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227"/>
  <workbookPr/>
  <mc:AlternateContent xmlns:mc="http://schemas.openxmlformats.org/markup-compatibility/2006">
    <mc:Choice Requires="x15">
      <x15ac:absPath xmlns:x15ac="http://schemas.microsoft.com/office/spreadsheetml/2010/11/ac" url="C:\Users\camil\Desktop\"/>
    </mc:Choice>
  </mc:AlternateContent>
  <xr:revisionPtr revIDLastSave="0" documentId="8_{6B1E65A1-371F-46CB-A31D-1967599B5B41}" xr6:coauthVersionLast="47" xr6:coauthVersionMax="47" xr10:uidLastSave="{00000000-0000-0000-0000-000000000000}"/>
  <bookViews>
    <workbookView xWindow="-110" yWindow="-110" windowWidth="19420" windowHeight="10300" tabRatio="899" xr2:uid="{00000000-000D-0000-FFFF-FFFF00000000}"/>
  </bookViews>
  <sheets>
    <sheet name="Capa" sheetId="1" r:id="rId1"/>
    <sheet name="Cronogramas" sheetId="2" r:id="rId2"/>
    <sheet name="Sintético" sheetId="3" r:id="rId3"/>
    <sheet name="Gastos das Atividades" sheetId="4" r:id="rId4"/>
    <sheet name="Analítico" sheetId="5" r:id="rId5"/>
    <sheet name="Encargos e Benefícios" sheetId="6" r:id="rId6"/>
    <sheet name="Gastos com Pessoal" sheetId="7" r:id="rId7"/>
    <sheet name="Bens" sheetId="8" r:id="rId8"/>
    <sheet name="Gastos Gerais" sheetId="9" r:id="rId9"/>
    <sheet name="Desmobilização" sheetId="10" r:id="rId10"/>
    <sheet name="Assinatura" sheetId="11" r:id="rId11"/>
    <sheet name="Plano" sheetId="12" state="hidden" r:id="rId12"/>
  </sheets>
  <externalReferences>
    <externalReference r:id="rId13"/>
  </externalReferences>
  <definedNames>
    <definedName name="_xlnm._FilterDatabase" localSheetId="9" hidden="1">Desmobilização!$A$3:$H$24</definedName>
    <definedName name="_xlnm._FilterDatabase" localSheetId="8" hidden="1">'Gastos Gerais'!$A$3:$I$3144</definedName>
    <definedName name="_ftn1" localSheetId="2">Sintético!#REF!</definedName>
    <definedName name="_ftnref1" localSheetId="2">Sintético!#REF!</definedName>
    <definedName name="Aquisição_de_Bens_Permanentes">Plano!$E$2:$E$14</definedName>
    <definedName name="_xlnm.Print_Area" localSheetId="4">Analítico!$A$1:$BL$152</definedName>
    <definedName name="_xlnm.Print_Area" localSheetId="10">Assinatura!$A$1:$F$14</definedName>
    <definedName name="_xlnm.Print_Area" localSheetId="7">Bens!$A$1:$H$278</definedName>
    <definedName name="_xlnm.Print_Area" localSheetId="0">Capa!$A$1:$A$10</definedName>
    <definedName name="_xlnm.Print_Area" localSheetId="9">Desmobilização!$A$1:$H$24</definedName>
    <definedName name="_xlnm.Print_Area" localSheetId="5">'Encargos e Benefícios'!$A$1:$AD$525</definedName>
    <definedName name="_xlnm.Print_Area" localSheetId="6">'Gastos com Pessoal'!$A$1:$AQ$530</definedName>
    <definedName name="_xlnm.Print_Area" localSheetId="3">'Gastos das Atividades'!$A$1:$O$46</definedName>
    <definedName name="_xlnm.Print_Area" localSheetId="2">Sintético!$A$1:$BL$28</definedName>
    <definedName name="área_destinada">Plano!$I$2:$I$3</definedName>
    <definedName name="Benefícios">Analítico!$B$48:$B$56</definedName>
    <definedName name="Beneficios2">Analítico!$B$49:$B$56</definedName>
    <definedName name="Beneficios3">'Gastos com Pessoal'!$AU$1:$AU$8</definedName>
    <definedName name="Bens">Analítico!$B$135:$B$148</definedName>
    <definedName name="Categorias">Plano!$C$1:$D$1</definedName>
    <definedName name="Dropdown1" localSheetId="2">Sintético!#REF!</definedName>
    <definedName name="Gastos_com_Pessoal">Plano!$C$2:$C$27</definedName>
    <definedName name="Gastos_Gerais">Plano!$D$2:$D$63</definedName>
    <definedName name="Gerais">Analítico!$B$60:$B$132</definedName>
    <definedName name="Ocorrência">Plano!$H$2:$H$3</definedName>
    <definedName name="Receitas">Plano!$A$2:$A$4</definedName>
    <definedName name="Rendimentos_de_Aplicações_Fin.">Plano!$B$1</definedName>
    <definedName name="Reserva">Plano!$F$1:$F$3</definedName>
    <definedName name="_xlnm.Print_Titles" localSheetId="4">Analítico!$A:$B,Analítico!$2:$3</definedName>
    <definedName name="_xlnm.Print_Titles" localSheetId="9">Desmobilização!$2:$3</definedName>
    <definedName name="_xlnm.Print_Titles" localSheetId="5">'Encargos e Benefícios'!$2:$5</definedName>
    <definedName name="_xlnm.Print_Titles" localSheetId="6">'Gastos com Pessoal'!$4:$6</definedName>
    <definedName name="_xlnm.Print_Titles" localSheetId="8">'Gastos Gerais'!$2:$3</definedName>
    <definedName name="_xlnm.Print_Titles" localSheetId="2">Sintético!$A:$B,Sintético!$2:$3</definedName>
    <definedName name="Transferência_para_Reserva_de_Recursos">Plano!$F$1:$F$1</definedName>
    <definedName name="VinculoPT" localSheetId="11">INDIRECT(CONCATENATE("'Gasto das Atividades'!$B$6:$B$",COUNTA([1]Atividades!$B$4:$B$35)+5))</definedName>
    <definedName name="VinculoPTg">OFFSET('Gastos das Atividades'!$B$3,1,0,COUNTA('Gastos das Atividades'!$B$4:$B$33),1)</definedName>
    <definedName name="VinculoPTp">OFFSET('Gastos das Atividades'!$B$48,0,0,COUNTA('Gastos das Atividades'!$B$4:$B$33)+1,1)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278" i="8" l="1"/>
  <c r="H3124" i="9"/>
  <c r="H3125" i="9"/>
  <c r="H3136" i="9"/>
  <c r="H3138" i="9"/>
  <c r="H3137" i="9"/>
  <c r="AB330" i="6" l="1"/>
  <c r="AA330" i="6"/>
  <c r="Z330" i="6"/>
  <c r="Y330" i="6"/>
  <c r="X330" i="6"/>
  <c r="W330" i="6"/>
  <c r="O331" i="7" s="1"/>
  <c r="U331" i="7" l="1"/>
  <c r="AA331" i="7" s="1"/>
  <c r="AG331" i="7" s="1"/>
  <c r="P331" i="7"/>
  <c r="V331" i="7" s="1"/>
  <c r="AB331" i="7" l="1"/>
  <c r="AH331" i="7" s="1"/>
  <c r="G117" i="8"/>
  <c r="AB187" i="6"/>
  <c r="AB188" i="6"/>
  <c r="AB189" i="6"/>
  <c r="AB190" i="6"/>
  <c r="AB191" i="6"/>
  <c r="AB192" i="6"/>
  <c r="AB193" i="6"/>
  <c r="AB194" i="6"/>
  <c r="AB195" i="6"/>
  <c r="AB196" i="6"/>
  <c r="AB197" i="6"/>
  <c r="AB198" i="6"/>
  <c r="AB199" i="6"/>
  <c r="AB200" i="6"/>
  <c r="AB201" i="6"/>
  <c r="AB202" i="6"/>
  <c r="AB203" i="6"/>
  <c r="AB204" i="6"/>
  <c r="AB205" i="6"/>
  <c r="AB206" i="6"/>
  <c r="AB207" i="6"/>
  <c r="AB208" i="6"/>
  <c r="AB209" i="6"/>
  <c r="AB210" i="6"/>
  <c r="AB211" i="6"/>
  <c r="AB212" i="6"/>
  <c r="AB213" i="6"/>
  <c r="AB214" i="6"/>
  <c r="AB215" i="6"/>
  <c r="AB186" i="6"/>
  <c r="AA187" i="6"/>
  <c r="AA188" i="6"/>
  <c r="AA189" i="6"/>
  <c r="AA190" i="6"/>
  <c r="AA191" i="6"/>
  <c r="AA192" i="6"/>
  <c r="AA193" i="6"/>
  <c r="AA194" i="6"/>
  <c r="AA195" i="6"/>
  <c r="AA196" i="6"/>
  <c r="AA197" i="6"/>
  <c r="AA198" i="6"/>
  <c r="AA199" i="6"/>
  <c r="AA200" i="6"/>
  <c r="AA201" i="6"/>
  <c r="AA202" i="6"/>
  <c r="AA203" i="6"/>
  <c r="AA204" i="6"/>
  <c r="AA205" i="6"/>
  <c r="AA206" i="6"/>
  <c r="AA207" i="6"/>
  <c r="AA208" i="6"/>
  <c r="AA209" i="6"/>
  <c r="AA210" i="6"/>
  <c r="AA211" i="6"/>
  <c r="AA212" i="6"/>
  <c r="AA213" i="6"/>
  <c r="AA214" i="6"/>
  <c r="AA215" i="6"/>
  <c r="AA186" i="6"/>
  <c r="Z187" i="6"/>
  <c r="Z188" i="6"/>
  <c r="Z189" i="6"/>
  <c r="Z190" i="6"/>
  <c r="Z191" i="6"/>
  <c r="Z192" i="6"/>
  <c r="Z193" i="6"/>
  <c r="Z194" i="6"/>
  <c r="Z195" i="6"/>
  <c r="Z196" i="6"/>
  <c r="Z197" i="6"/>
  <c r="Z198" i="6"/>
  <c r="Z199" i="6"/>
  <c r="Z200" i="6"/>
  <c r="Z201" i="6"/>
  <c r="Z202" i="6"/>
  <c r="Z203" i="6"/>
  <c r="Z204" i="6"/>
  <c r="Z205" i="6"/>
  <c r="Z206" i="6"/>
  <c r="Z207" i="6"/>
  <c r="Z208" i="6"/>
  <c r="Z209" i="6"/>
  <c r="Z210" i="6"/>
  <c r="Z211" i="6"/>
  <c r="Z212" i="6"/>
  <c r="Z213" i="6"/>
  <c r="Z214" i="6"/>
  <c r="Z215" i="6"/>
  <c r="Z186" i="6"/>
  <c r="Y187" i="6"/>
  <c r="Y188" i="6"/>
  <c r="Y189" i="6"/>
  <c r="Y190" i="6"/>
  <c r="Y191" i="6"/>
  <c r="Y192" i="6"/>
  <c r="Y193" i="6"/>
  <c r="Y194" i="6"/>
  <c r="Y195" i="6"/>
  <c r="Y196" i="6"/>
  <c r="Y197" i="6"/>
  <c r="Y198" i="6"/>
  <c r="Y199" i="6"/>
  <c r="Y200" i="6"/>
  <c r="Y201" i="6"/>
  <c r="Y202" i="6"/>
  <c r="Y203" i="6"/>
  <c r="Y204" i="6"/>
  <c r="Y205" i="6"/>
  <c r="Y206" i="6"/>
  <c r="Y207" i="6"/>
  <c r="Y208" i="6"/>
  <c r="Y209" i="6"/>
  <c r="Y210" i="6"/>
  <c r="Y211" i="6"/>
  <c r="Y212" i="6"/>
  <c r="Y213" i="6"/>
  <c r="Y214" i="6"/>
  <c r="Y215" i="6"/>
  <c r="Y186" i="6"/>
  <c r="X187" i="6"/>
  <c r="X188" i="6"/>
  <c r="X189" i="6"/>
  <c r="X190" i="6"/>
  <c r="X191" i="6"/>
  <c r="X192" i="6"/>
  <c r="X193" i="6"/>
  <c r="X194" i="6"/>
  <c r="X195" i="6"/>
  <c r="X196" i="6"/>
  <c r="X197" i="6"/>
  <c r="X198" i="6"/>
  <c r="X199" i="6"/>
  <c r="X200" i="6"/>
  <c r="X201" i="6"/>
  <c r="X202" i="6"/>
  <c r="X203" i="6"/>
  <c r="X204" i="6"/>
  <c r="X205" i="6"/>
  <c r="X206" i="6"/>
  <c r="X207" i="6"/>
  <c r="X208" i="6"/>
  <c r="X209" i="6"/>
  <c r="X210" i="6"/>
  <c r="X211" i="6"/>
  <c r="X212" i="6"/>
  <c r="X213" i="6"/>
  <c r="X214" i="6"/>
  <c r="X215" i="6"/>
  <c r="X186" i="6"/>
  <c r="W187" i="6"/>
  <c r="W188" i="6"/>
  <c r="W189" i="6"/>
  <c r="W190" i="6"/>
  <c r="W191" i="6"/>
  <c r="W192" i="6"/>
  <c r="W193" i="6"/>
  <c r="W194" i="6"/>
  <c r="W195" i="6"/>
  <c r="W196" i="6"/>
  <c r="W197" i="6"/>
  <c r="W198" i="6"/>
  <c r="W199" i="6"/>
  <c r="W200" i="6"/>
  <c r="W201" i="6"/>
  <c r="W202" i="6"/>
  <c r="W203" i="6"/>
  <c r="W204" i="6"/>
  <c r="W205" i="6"/>
  <c r="W206" i="6"/>
  <c r="W207" i="6"/>
  <c r="W208" i="6"/>
  <c r="W209" i="6"/>
  <c r="W210" i="6"/>
  <c r="W211" i="6"/>
  <c r="W212" i="6"/>
  <c r="W213" i="6"/>
  <c r="W214" i="6"/>
  <c r="W215" i="6"/>
  <c r="W186" i="6"/>
  <c r="AI327" i="7"/>
  <c r="AI328" i="7"/>
  <c r="AH327" i="7"/>
  <c r="AH328" i="7"/>
  <c r="AG327" i="7"/>
  <c r="AG328" i="7"/>
  <c r="AC327" i="7"/>
  <c r="AC328" i="7"/>
  <c r="AB327" i="7"/>
  <c r="AB328" i="7"/>
  <c r="AA327" i="7"/>
  <c r="AA328" i="7"/>
  <c r="W327" i="7"/>
  <c r="W328" i="7"/>
  <c r="W329" i="7"/>
  <c r="V327" i="7"/>
  <c r="V328" i="7"/>
  <c r="U327" i="7"/>
  <c r="U328" i="7"/>
  <c r="Q326" i="7"/>
  <c r="Q327" i="7"/>
  <c r="Q328" i="7"/>
  <c r="Q329" i="7"/>
  <c r="Q330" i="7"/>
  <c r="W330" i="7" s="1"/>
  <c r="AC330" i="7" s="1"/>
  <c r="P326" i="7"/>
  <c r="P327" i="7"/>
  <c r="P328" i="7"/>
  <c r="O326" i="7"/>
  <c r="O327" i="7"/>
  <c r="O328" i="7"/>
  <c r="AI330" i="7" l="1"/>
  <c r="AC329" i="7"/>
  <c r="AI329" i="7" s="1"/>
  <c r="AB326" i="6"/>
  <c r="AB327" i="6"/>
  <c r="AB328" i="6"/>
  <c r="AB329" i="6"/>
  <c r="Y326" i="6"/>
  <c r="Y327" i="6"/>
  <c r="Y328" i="6"/>
  <c r="Y329" i="6"/>
  <c r="X326" i="6"/>
  <c r="X327" i="6"/>
  <c r="X328" i="6"/>
  <c r="X329" i="6"/>
  <c r="W326" i="6"/>
  <c r="W327" i="6"/>
  <c r="W328" i="6"/>
  <c r="W329" i="6"/>
  <c r="O330" i="7" l="1"/>
  <c r="O329" i="7"/>
  <c r="U329" i="7" s="1"/>
  <c r="H1843" i="9"/>
  <c r="I1843" i="9"/>
  <c r="G154" i="8"/>
  <c r="G155" i="8"/>
  <c r="G156" i="8"/>
  <c r="G153" i="8"/>
  <c r="G152" i="8"/>
  <c r="G151" i="8"/>
  <c r="Q8" i="7"/>
  <c r="Q22" i="7"/>
  <c r="Q23" i="7"/>
  <c r="W23" i="7" s="1"/>
  <c r="Q37" i="7"/>
  <c r="Q38" i="7"/>
  <c r="W38" i="7" s="1"/>
  <c r="Q52" i="7"/>
  <c r="Q53" i="7"/>
  <c r="Q67" i="7"/>
  <c r="Q68" i="7"/>
  <c r="Q82" i="7"/>
  <c r="W82" i="7" s="1"/>
  <c r="Q83" i="7"/>
  <c r="Q97" i="7"/>
  <c r="Q98" i="7"/>
  <c r="Q112" i="7"/>
  <c r="Q113" i="7"/>
  <c r="Q127" i="7"/>
  <c r="W127" i="7" s="1"/>
  <c r="AC127" i="7" s="1"/>
  <c r="AI127" i="7" s="1"/>
  <c r="Q128" i="7"/>
  <c r="Q142" i="7"/>
  <c r="Q143" i="7"/>
  <c r="W143" i="7" s="1"/>
  <c r="Q157" i="7"/>
  <c r="W157" i="7" s="1"/>
  <c r="Q158" i="7"/>
  <c r="Q172" i="7"/>
  <c r="Q173" i="7"/>
  <c r="Q187" i="7"/>
  <c r="Q188" i="7"/>
  <c r="W203" i="7"/>
  <c r="Q217" i="7"/>
  <c r="Q218" i="7"/>
  <c r="W218" i="7" s="1"/>
  <c r="Q232" i="7"/>
  <c r="Q233" i="7"/>
  <c r="W233" i="7" s="1"/>
  <c r="Q247" i="7"/>
  <c r="W247" i="7" s="1"/>
  <c r="AC247" i="7" s="1"/>
  <c r="Q248" i="7"/>
  <c r="Q262" i="7"/>
  <c r="W262" i="7" s="1"/>
  <c r="Q263" i="7"/>
  <c r="W263" i="7" s="1"/>
  <c r="Q277" i="7"/>
  <c r="Q278" i="7"/>
  <c r="Q292" i="7"/>
  <c r="W292" i="7" s="1"/>
  <c r="Q293" i="7"/>
  <c r="Q295" i="7"/>
  <c r="W295" i="7" s="1"/>
  <c r="Q296" i="7"/>
  <c r="W296" i="7" s="1"/>
  <c r="Q310" i="7"/>
  <c r="Q311" i="7"/>
  <c r="W311" i="7" s="1"/>
  <c r="Q7" i="7"/>
  <c r="W7" i="7" s="1"/>
  <c r="G110" i="8"/>
  <c r="U330" i="7" l="1"/>
  <c r="AA330" i="7" s="1"/>
  <c r="AA329" i="7"/>
  <c r="AG329" i="7" s="1"/>
  <c r="AC82" i="7"/>
  <c r="AC7" i="7"/>
  <c r="W310" i="7"/>
  <c r="W278" i="7"/>
  <c r="AC278" i="7" s="1"/>
  <c r="AC203" i="7"/>
  <c r="AI203" i="7" s="1"/>
  <c r="W173" i="7"/>
  <c r="AC173" i="7" s="1"/>
  <c r="AC263" i="7"/>
  <c r="AI263" i="7" s="1"/>
  <c r="AC157" i="7"/>
  <c r="AI157" i="7" s="1"/>
  <c r="W142" i="7"/>
  <c r="AC142" i="7" s="1"/>
  <c r="AI142" i="7" s="1"/>
  <c r="AC295" i="7"/>
  <c r="AI295" i="7" s="1"/>
  <c r="AC262" i="7"/>
  <c r="AI262" i="7" s="1"/>
  <c r="AC218" i="7"/>
  <c r="AI218" i="7" s="1"/>
  <c r="W188" i="7"/>
  <c r="AC188" i="7" s="1"/>
  <c r="W248" i="7"/>
  <c r="W112" i="7"/>
  <c r="AC112" i="7" s="1"/>
  <c r="AI112" i="7" s="1"/>
  <c r="W217" i="7"/>
  <c r="AC217" i="7" s="1"/>
  <c r="AI7" i="7"/>
  <c r="W232" i="7"/>
  <c r="W98" i="7"/>
  <c r="W68" i="7"/>
  <c r="W53" i="7"/>
  <c r="W37" i="7"/>
  <c r="W22" i="7"/>
  <c r="AC22" i="7" s="1"/>
  <c r="AC233" i="7"/>
  <c r="AI233" i="7" s="1"/>
  <c r="W172" i="7"/>
  <c r="AC172" i="7" s="1"/>
  <c r="W8" i="7"/>
  <c r="AC8" i="7" s="1"/>
  <c r="AI8" i="7" s="1"/>
  <c r="AC311" i="7"/>
  <c r="AI311" i="7" s="1"/>
  <c r="AC296" i="7"/>
  <c r="AI296" i="7" s="1"/>
  <c r="AC292" i="7"/>
  <c r="AI292" i="7" s="1"/>
  <c r="AC143" i="7"/>
  <c r="AI143" i="7" s="1"/>
  <c r="W128" i="7"/>
  <c r="AC128" i="7" s="1"/>
  <c r="AI128" i="7" s="1"/>
  <c r="W113" i="7"/>
  <c r="W97" i="7"/>
  <c r="AC97" i="7" s="1"/>
  <c r="AI97" i="7" s="1"/>
  <c r="AI82" i="7"/>
  <c r="W52" i="7"/>
  <c r="AC52" i="7" s="1"/>
  <c r="W293" i="7"/>
  <c r="AC293" i="7" s="1"/>
  <c r="W277" i="7"/>
  <c r="AC277" i="7" s="1"/>
  <c r="AI277" i="7" s="1"/>
  <c r="W202" i="7"/>
  <c r="AC202" i="7" s="1"/>
  <c r="AI202" i="7" s="1"/>
  <c r="W158" i="7"/>
  <c r="AC158" i="7" s="1"/>
  <c r="AC38" i="7"/>
  <c r="AI38" i="7" s="1"/>
  <c r="AI247" i="7"/>
  <c r="W187" i="7"/>
  <c r="AC187" i="7" s="1"/>
  <c r="W83" i="7"/>
  <c r="AC83" i="7" s="1"/>
  <c r="AI83" i="7" s="1"/>
  <c r="W67" i="7"/>
  <c r="AC23" i="7"/>
  <c r="AI23" i="7" s="1"/>
  <c r="X21" i="6"/>
  <c r="S322" i="6"/>
  <c r="S320" i="6"/>
  <c r="S307" i="6"/>
  <c r="S305" i="6"/>
  <c r="S289" i="6"/>
  <c r="S287" i="6"/>
  <c r="S274" i="6"/>
  <c r="S272" i="6"/>
  <c r="S259" i="6"/>
  <c r="S257" i="6"/>
  <c r="S244" i="6"/>
  <c r="S242" i="6"/>
  <c r="S229" i="6"/>
  <c r="S227" i="6"/>
  <c r="S214" i="6"/>
  <c r="S212" i="6"/>
  <c r="S199" i="6"/>
  <c r="S197" i="6"/>
  <c r="S184" i="6"/>
  <c r="S182" i="6"/>
  <c r="S169" i="6"/>
  <c r="S167" i="6"/>
  <c r="S154" i="6"/>
  <c r="S152" i="6"/>
  <c r="S139" i="6"/>
  <c r="S137" i="6"/>
  <c r="S124" i="6"/>
  <c r="S122" i="6"/>
  <c r="S109" i="6"/>
  <c r="S107" i="6"/>
  <c r="S94" i="6"/>
  <c r="S92" i="6"/>
  <c r="S79" i="6"/>
  <c r="S77" i="6"/>
  <c r="S64" i="6"/>
  <c r="S62" i="6"/>
  <c r="S49" i="6"/>
  <c r="S47" i="6"/>
  <c r="S34" i="6"/>
  <c r="S32" i="6"/>
  <c r="S19" i="6"/>
  <c r="S17" i="6"/>
  <c r="I23" i="10"/>
  <c r="I22" i="10"/>
  <c r="I4" i="9"/>
  <c r="I5" i="9"/>
  <c r="I6" i="9"/>
  <c r="I7" i="9"/>
  <c r="I8" i="9"/>
  <c r="I9" i="9"/>
  <c r="I10" i="9"/>
  <c r="I11" i="9"/>
  <c r="I12" i="9"/>
  <c r="I13" i="9"/>
  <c r="I14" i="9"/>
  <c r="I15" i="9"/>
  <c r="I16" i="9"/>
  <c r="I17" i="9"/>
  <c r="I18" i="9"/>
  <c r="I19" i="9"/>
  <c r="I20" i="9"/>
  <c r="I21" i="9"/>
  <c r="I22" i="9"/>
  <c r="I23" i="9"/>
  <c r="I24" i="9"/>
  <c r="I25" i="9"/>
  <c r="I26" i="9"/>
  <c r="I27" i="9"/>
  <c r="I28" i="9"/>
  <c r="I29" i="9"/>
  <c r="I30" i="9"/>
  <c r="I31" i="9"/>
  <c r="I32" i="9"/>
  <c r="I33" i="9"/>
  <c r="I34" i="9"/>
  <c r="I35" i="9"/>
  <c r="I36" i="9"/>
  <c r="I37" i="9"/>
  <c r="I38" i="9"/>
  <c r="I39" i="9"/>
  <c r="I40" i="9"/>
  <c r="I41" i="9"/>
  <c r="I42" i="9"/>
  <c r="I43" i="9"/>
  <c r="I44" i="9"/>
  <c r="I45" i="9"/>
  <c r="I46" i="9"/>
  <c r="I47" i="9"/>
  <c r="I48" i="9"/>
  <c r="I49" i="9"/>
  <c r="I50" i="9"/>
  <c r="I51" i="9"/>
  <c r="I52" i="9"/>
  <c r="I53" i="9"/>
  <c r="I54" i="9"/>
  <c r="I55" i="9"/>
  <c r="I56" i="9"/>
  <c r="I57" i="9"/>
  <c r="I58" i="9"/>
  <c r="I59" i="9"/>
  <c r="I60" i="9"/>
  <c r="I61" i="9"/>
  <c r="I62" i="9"/>
  <c r="I63" i="9"/>
  <c r="I64" i="9"/>
  <c r="I65" i="9"/>
  <c r="I66" i="9"/>
  <c r="I67" i="9"/>
  <c r="I68" i="9"/>
  <c r="I69" i="9"/>
  <c r="I70" i="9"/>
  <c r="I71" i="9"/>
  <c r="I72" i="9"/>
  <c r="I73" i="9"/>
  <c r="I74" i="9"/>
  <c r="I75" i="9"/>
  <c r="I76" i="9"/>
  <c r="I77" i="9"/>
  <c r="I78" i="9"/>
  <c r="I79" i="9"/>
  <c r="I80" i="9"/>
  <c r="I81" i="9"/>
  <c r="I82" i="9"/>
  <c r="I83" i="9"/>
  <c r="I84" i="9"/>
  <c r="I85" i="9"/>
  <c r="I86" i="9"/>
  <c r="I87" i="9"/>
  <c r="I88" i="9"/>
  <c r="I89" i="9"/>
  <c r="I90" i="9"/>
  <c r="I91" i="9"/>
  <c r="I92" i="9"/>
  <c r="I93" i="9"/>
  <c r="I94" i="9"/>
  <c r="I95" i="9"/>
  <c r="I96" i="9"/>
  <c r="I97" i="9"/>
  <c r="I98" i="9"/>
  <c r="I99" i="9"/>
  <c r="I100" i="9"/>
  <c r="I101" i="9"/>
  <c r="I102" i="9"/>
  <c r="I103" i="9"/>
  <c r="I104" i="9"/>
  <c r="I105" i="9"/>
  <c r="I106" i="9"/>
  <c r="I107" i="9"/>
  <c r="I108" i="9"/>
  <c r="I109" i="9"/>
  <c r="I110" i="9"/>
  <c r="I111" i="9"/>
  <c r="I112" i="9"/>
  <c r="I113" i="9"/>
  <c r="I114" i="9"/>
  <c r="I115" i="9"/>
  <c r="I116" i="9"/>
  <c r="I117" i="9"/>
  <c r="I118" i="9"/>
  <c r="I119" i="9"/>
  <c r="I120" i="9"/>
  <c r="I121" i="9"/>
  <c r="I122" i="9"/>
  <c r="I123" i="9"/>
  <c r="I124" i="9"/>
  <c r="I125" i="9"/>
  <c r="I126" i="9"/>
  <c r="I127" i="9"/>
  <c r="I128" i="9"/>
  <c r="I129" i="9"/>
  <c r="I130" i="9"/>
  <c r="I131" i="9"/>
  <c r="I132" i="9"/>
  <c r="I133" i="9"/>
  <c r="I134" i="9"/>
  <c r="I135" i="9"/>
  <c r="I136" i="9"/>
  <c r="I137" i="9"/>
  <c r="I138" i="9"/>
  <c r="I139" i="9"/>
  <c r="I140" i="9"/>
  <c r="I141" i="9"/>
  <c r="I142" i="9"/>
  <c r="I143" i="9"/>
  <c r="I144" i="9"/>
  <c r="I145" i="9"/>
  <c r="I146" i="9"/>
  <c r="I147" i="9"/>
  <c r="I148" i="9"/>
  <c r="I149" i="9"/>
  <c r="I150" i="9"/>
  <c r="I151" i="9"/>
  <c r="I152" i="9"/>
  <c r="I153" i="9"/>
  <c r="I154" i="9"/>
  <c r="I155" i="9"/>
  <c r="I156" i="9"/>
  <c r="I157" i="9"/>
  <c r="I158" i="9"/>
  <c r="I159" i="9"/>
  <c r="I160" i="9"/>
  <c r="I161" i="9"/>
  <c r="I162" i="9"/>
  <c r="I163" i="9"/>
  <c r="I164" i="9"/>
  <c r="I165" i="9"/>
  <c r="I166" i="9"/>
  <c r="I167" i="9"/>
  <c r="I168" i="9"/>
  <c r="I169" i="9"/>
  <c r="I170" i="9"/>
  <c r="I171" i="9"/>
  <c r="I172" i="9"/>
  <c r="I173" i="9"/>
  <c r="I174" i="9"/>
  <c r="I175" i="9"/>
  <c r="I176" i="9"/>
  <c r="I177" i="9"/>
  <c r="I178" i="9"/>
  <c r="I179" i="9"/>
  <c r="I180" i="9"/>
  <c r="I181" i="9"/>
  <c r="I182" i="9"/>
  <c r="I183" i="9"/>
  <c r="I184" i="9"/>
  <c r="I185" i="9"/>
  <c r="I186" i="9"/>
  <c r="I187" i="9"/>
  <c r="I188" i="9"/>
  <c r="I189" i="9"/>
  <c r="I190" i="9"/>
  <c r="I191" i="9"/>
  <c r="I192" i="9"/>
  <c r="I193" i="9"/>
  <c r="I194" i="9"/>
  <c r="I195" i="9"/>
  <c r="I196" i="9"/>
  <c r="I197" i="9"/>
  <c r="I198" i="9"/>
  <c r="I199" i="9"/>
  <c r="I200" i="9"/>
  <c r="I201" i="9"/>
  <c r="I202" i="9"/>
  <c r="I203" i="9"/>
  <c r="I204" i="9"/>
  <c r="I205" i="9"/>
  <c r="I206" i="9"/>
  <c r="I207" i="9"/>
  <c r="I208" i="9"/>
  <c r="I209" i="9"/>
  <c r="I210" i="9"/>
  <c r="I211" i="9"/>
  <c r="I212" i="9"/>
  <c r="I213" i="9"/>
  <c r="I214" i="9"/>
  <c r="I215" i="9"/>
  <c r="I216" i="9"/>
  <c r="I217" i="9"/>
  <c r="I218" i="9"/>
  <c r="I219" i="9"/>
  <c r="I220" i="9"/>
  <c r="I221" i="9"/>
  <c r="I222" i="9"/>
  <c r="I223" i="9"/>
  <c r="I224" i="9"/>
  <c r="I225" i="9"/>
  <c r="I226" i="9"/>
  <c r="I227" i="9"/>
  <c r="I228" i="9"/>
  <c r="I229" i="9"/>
  <c r="I230" i="9"/>
  <c r="I231" i="9"/>
  <c r="I232" i="9"/>
  <c r="I233" i="9"/>
  <c r="I234" i="9"/>
  <c r="I235" i="9"/>
  <c r="I236" i="9"/>
  <c r="I237" i="9"/>
  <c r="I238" i="9"/>
  <c r="I239" i="9"/>
  <c r="I240" i="9"/>
  <c r="I241" i="9"/>
  <c r="I242" i="9"/>
  <c r="I243" i="9"/>
  <c r="I244" i="9"/>
  <c r="I245" i="9"/>
  <c r="I246" i="9"/>
  <c r="I247" i="9"/>
  <c r="I248" i="9"/>
  <c r="I249" i="9"/>
  <c r="I250" i="9"/>
  <c r="I251" i="9"/>
  <c r="I252" i="9"/>
  <c r="I253" i="9"/>
  <c r="I254" i="9"/>
  <c r="I255" i="9"/>
  <c r="I256" i="9"/>
  <c r="I257" i="9"/>
  <c r="I258" i="9"/>
  <c r="I259" i="9"/>
  <c r="I260" i="9"/>
  <c r="I261" i="9"/>
  <c r="I262" i="9"/>
  <c r="I263" i="9"/>
  <c r="I264" i="9"/>
  <c r="I265" i="9"/>
  <c r="I266" i="9"/>
  <c r="I267" i="9"/>
  <c r="I268" i="9"/>
  <c r="I269" i="9"/>
  <c r="I270" i="9"/>
  <c r="I271" i="9"/>
  <c r="I272" i="9"/>
  <c r="I273" i="9"/>
  <c r="I274" i="9"/>
  <c r="I275" i="9"/>
  <c r="I276" i="9"/>
  <c r="I277" i="9"/>
  <c r="I278" i="9"/>
  <c r="I279" i="9"/>
  <c r="I280" i="9"/>
  <c r="I281" i="9"/>
  <c r="I282" i="9"/>
  <c r="I283" i="9"/>
  <c r="I284" i="9"/>
  <c r="I285" i="9"/>
  <c r="I286" i="9"/>
  <c r="I287" i="9"/>
  <c r="I288" i="9"/>
  <c r="I289" i="9"/>
  <c r="I290" i="9"/>
  <c r="I291" i="9"/>
  <c r="I292" i="9"/>
  <c r="I293" i="9"/>
  <c r="I294" i="9"/>
  <c r="I295" i="9"/>
  <c r="I296" i="9"/>
  <c r="I297" i="9"/>
  <c r="I298" i="9"/>
  <c r="I299" i="9"/>
  <c r="I300" i="9"/>
  <c r="I301" i="9"/>
  <c r="I302" i="9"/>
  <c r="I303" i="9"/>
  <c r="I304" i="9"/>
  <c r="I305" i="9"/>
  <c r="I306" i="9"/>
  <c r="I307" i="9"/>
  <c r="I308" i="9"/>
  <c r="I309" i="9"/>
  <c r="I310" i="9"/>
  <c r="I311" i="9"/>
  <c r="I312" i="9"/>
  <c r="I313" i="9"/>
  <c r="I314" i="9"/>
  <c r="I315" i="9"/>
  <c r="I316" i="9"/>
  <c r="I317" i="9"/>
  <c r="I318" i="9"/>
  <c r="I319" i="9"/>
  <c r="I320" i="9"/>
  <c r="I321" i="9"/>
  <c r="I322" i="9"/>
  <c r="I323" i="9"/>
  <c r="I324" i="9"/>
  <c r="I325" i="9"/>
  <c r="I326" i="9"/>
  <c r="I327" i="9"/>
  <c r="I328" i="9"/>
  <c r="I329" i="9"/>
  <c r="I330" i="9"/>
  <c r="I331" i="9"/>
  <c r="I332" i="9"/>
  <c r="I333" i="9"/>
  <c r="I334" i="9"/>
  <c r="I335" i="9"/>
  <c r="I336" i="9"/>
  <c r="I337" i="9"/>
  <c r="I338" i="9"/>
  <c r="I339" i="9"/>
  <c r="I340" i="9"/>
  <c r="I341" i="9"/>
  <c r="I342" i="9"/>
  <c r="I343" i="9"/>
  <c r="I344" i="9"/>
  <c r="I345" i="9"/>
  <c r="I346" i="9"/>
  <c r="I347" i="9"/>
  <c r="I348" i="9"/>
  <c r="I349" i="9"/>
  <c r="I350" i="9"/>
  <c r="I351" i="9"/>
  <c r="I352" i="9"/>
  <c r="I353" i="9"/>
  <c r="I354" i="9"/>
  <c r="I355" i="9"/>
  <c r="I356" i="9"/>
  <c r="I357" i="9"/>
  <c r="I358" i="9"/>
  <c r="I359" i="9"/>
  <c r="I360" i="9"/>
  <c r="I361" i="9"/>
  <c r="I362" i="9"/>
  <c r="I363" i="9"/>
  <c r="I364" i="9"/>
  <c r="I365" i="9"/>
  <c r="I366" i="9"/>
  <c r="I367" i="9"/>
  <c r="I368" i="9"/>
  <c r="I369" i="9"/>
  <c r="I370" i="9"/>
  <c r="I371" i="9"/>
  <c r="I372" i="9"/>
  <c r="I373" i="9"/>
  <c r="I374" i="9"/>
  <c r="I375" i="9"/>
  <c r="I376" i="9"/>
  <c r="I377" i="9"/>
  <c r="I378" i="9"/>
  <c r="I379" i="9"/>
  <c r="I380" i="9"/>
  <c r="I381" i="9"/>
  <c r="I382" i="9"/>
  <c r="I383" i="9"/>
  <c r="I384" i="9"/>
  <c r="I385" i="9"/>
  <c r="I386" i="9"/>
  <c r="I387" i="9"/>
  <c r="I388" i="9"/>
  <c r="I389" i="9"/>
  <c r="I390" i="9"/>
  <c r="I391" i="9"/>
  <c r="I392" i="9"/>
  <c r="I393" i="9"/>
  <c r="I394" i="9"/>
  <c r="I395" i="9"/>
  <c r="I396" i="9"/>
  <c r="I397" i="9"/>
  <c r="I398" i="9"/>
  <c r="I399" i="9"/>
  <c r="I400" i="9"/>
  <c r="I401" i="9"/>
  <c r="I402" i="9"/>
  <c r="I403" i="9"/>
  <c r="I404" i="9"/>
  <c r="I405" i="9"/>
  <c r="I406" i="9"/>
  <c r="I407" i="9"/>
  <c r="I408" i="9"/>
  <c r="I409" i="9"/>
  <c r="I410" i="9"/>
  <c r="I411" i="9"/>
  <c r="I412" i="9"/>
  <c r="I413" i="9"/>
  <c r="I414" i="9"/>
  <c r="I415" i="9"/>
  <c r="I416" i="9"/>
  <c r="I417" i="9"/>
  <c r="I418" i="9"/>
  <c r="I419" i="9"/>
  <c r="I420" i="9"/>
  <c r="I421" i="9"/>
  <c r="I422" i="9"/>
  <c r="I423" i="9"/>
  <c r="I424" i="9"/>
  <c r="I425" i="9"/>
  <c r="I426" i="9"/>
  <c r="I427" i="9"/>
  <c r="I428" i="9"/>
  <c r="I429" i="9"/>
  <c r="I430" i="9"/>
  <c r="I431" i="9"/>
  <c r="I432" i="9"/>
  <c r="I433" i="9"/>
  <c r="I434" i="9"/>
  <c r="I435" i="9"/>
  <c r="I436" i="9"/>
  <c r="I437" i="9"/>
  <c r="I438" i="9"/>
  <c r="I439" i="9"/>
  <c r="I440" i="9"/>
  <c r="I441" i="9"/>
  <c r="I442" i="9"/>
  <c r="I443" i="9"/>
  <c r="I444" i="9"/>
  <c r="I445" i="9"/>
  <c r="I446" i="9"/>
  <c r="I447" i="9"/>
  <c r="I448" i="9"/>
  <c r="I449" i="9"/>
  <c r="I450" i="9"/>
  <c r="I451" i="9"/>
  <c r="I452" i="9"/>
  <c r="I453" i="9"/>
  <c r="I454" i="9"/>
  <c r="I455" i="9"/>
  <c r="I456" i="9"/>
  <c r="I457" i="9"/>
  <c r="I458" i="9"/>
  <c r="I459" i="9"/>
  <c r="I460" i="9"/>
  <c r="I461" i="9"/>
  <c r="I462" i="9"/>
  <c r="I463" i="9"/>
  <c r="I464" i="9"/>
  <c r="I465" i="9"/>
  <c r="I466" i="9"/>
  <c r="I467" i="9"/>
  <c r="I468" i="9"/>
  <c r="I469" i="9"/>
  <c r="I470" i="9"/>
  <c r="I471" i="9"/>
  <c r="I472" i="9"/>
  <c r="I473" i="9"/>
  <c r="I474" i="9"/>
  <c r="I475" i="9"/>
  <c r="I476" i="9"/>
  <c r="I477" i="9"/>
  <c r="I478" i="9"/>
  <c r="I479" i="9"/>
  <c r="I480" i="9"/>
  <c r="I481" i="9"/>
  <c r="I482" i="9"/>
  <c r="I483" i="9"/>
  <c r="I484" i="9"/>
  <c r="I485" i="9"/>
  <c r="I486" i="9"/>
  <c r="I487" i="9"/>
  <c r="I488" i="9"/>
  <c r="I489" i="9"/>
  <c r="I490" i="9"/>
  <c r="I491" i="9"/>
  <c r="I492" i="9"/>
  <c r="I493" i="9"/>
  <c r="I494" i="9"/>
  <c r="I495" i="9"/>
  <c r="I496" i="9"/>
  <c r="I497" i="9"/>
  <c r="I498" i="9"/>
  <c r="I499" i="9"/>
  <c r="I500" i="9"/>
  <c r="I501" i="9"/>
  <c r="I502" i="9"/>
  <c r="I503" i="9"/>
  <c r="I504" i="9"/>
  <c r="I505" i="9"/>
  <c r="I506" i="9"/>
  <c r="I507" i="9"/>
  <c r="I508" i="9"/>
  <c r="I509" i="9"/>
  <c r="I510" i="9"/>
  <c r="I511" i="9"/>
  <c r="I512" i="9"/>
  <c r="I513" i="9"/>
  <c r="I514" i="9"/>
  <c r="I515" i="9"/>
  <c r="I516" i="9"/>
  <c r="I517" i="9"/>
  <c r="I518" i="9"/>
  <c r="I519" i="9"/>
  <c r="I520" i="9"/>
  <c r="I521" i="9"/>
  <c r="I522" i="9"/>
  <c r="I523" i="9"/>
  <c r="I524" i="9"/>
  <c r="I525" i="9"/>
  <c r="I526" i="9"/>
  <c r="I527" i="9"/>
  <c r="I528" i="9"/>
  <c r="I529" i="9"/>
  <c r="I530" i="9"/>
  <c r="I531" i="9"/>
  <c r="I532" i="9"/>
  <c r="I533" i="9"/>
  <c r="I534" i="9"/>
  <c r="I535" i="9"/>
  <c r="I536" i="9"/>
  <c r="I537" i="9"/>
  <c r="I538" i="9"/>
  <c r="I539" i="9"/>
  <c r="I540" i="9"/>
  <c r="I541" i="9"/>
  <c r="I542" i="9"/>
  <c r="I543" i="9"/>
  <c r="I544" i="9"/>
  <c r="I545" i="9"/>
  <c r="I546" i="9"/>
  <c r="I547" i="9"/>
  <c r="I548" i="9"/>
  <c r="I549" i="9"/>
  <c r="I550" i="9"/>
  <c r="I551" i="9"/>
  <c r="I552" i="9"/>
  <c r="I553" i="9"/>
  <c r="I554" i="9"/>
  <c r="I555" i="9"/>
  <c r="I556" i="9"/>
  <c r="I557" i="9"/>
  <c r="I558" i="9"/>
  <c r="I559" i="9"/>
  <c r="I560" i="9"/>
  <c r="I561" i="9"/>
  <c r="I562" i="9"/>
  <c r="I563" i="9"/>
  <c r="I564" i="9"/>
  <c r="I565" i="9"/>
  <c r="I566" i="9"/>
  <c r="I567" i="9"/>
  <c r="I568" i="9"/>
  <c r="I569" i="9"/>
  <c r="I570" i="9"/>
  <c r="I571" i="9"/>
  <c r="I572" i="9"/>
  <c r="I573" i="9"/>
  <c r="I574" i="9"/>
  <c r="I575" i="9"/>
  <c r="I576" i="9"/>
  <c r="I577" i="9"/>
  <c r="I578" i="9"/>
  <c r="I579" i="9"/>
  <c r="I580" i="9"/>
  <c r="I581" i="9"/>
  <c r="I582" i="9"/>
  <c r="I583" i="9"/>
  <c r="I584" i="9"/>
  <c r="I585" i="9"/>
  <c r="I586" i="9"/>
  <c r="I587" i="9"/>
  <c r="I588" i="9"/>
  <c r="I589" i="9"/>
  <c r="I590" i="9"/>
  <c r="I591" i="9"/>
  <c r="I592" i="9"/>
  <c r="I593" i="9"/>
  <c r="I594" i="9"/>
  <c r="I595" i="9"/>
  <c r="I596" i="9"/>
  <c r="I597" i="9"/>
  <c r="I598" i="9"/>
  <c r="I599" i="9"/>
  <c r="I600" i="9"/>
  <c r="I601" i="9"/>
  <c r="I602" i="9"/>
  <c r="I603" i="9"/>
  <c r="I604" i="9"/>
  <c r="I605" i="9"/>
  <c r="I606" i="9"/>
  <c r="I607" i="9"/>
  <c r="I608" i="9"/>
  <c r="I609" i="9"/>
  <c r="I610" i="9"/>
  <c r="I611" i="9"/>
  <c r="I612" i="9"/>
  <c r="I613" i="9"/>
  <c r="I614" i="9"/>
  <c r="I615" i="9"/>
  <c r="I616" i="9"/>
  <c r="I617" i="9"/>
  <c r="I618" i="9"/>
  <c r="I619" i="9"/>
  <c r="I620" i="9"/>
  <c r="I621" i="9"/>
  <c r="I622" i="9"/>
  <c r="I623" i="9"/>
  <c r="I624" i="9"/>
  <c r="I625" i="9"/>
  <c r="I626" i="9"/>
  <c r="I627" i="9"/>
  <c r="I628" i="9"/>
  <c r="I629" i="9"/>
  <c r="I630" i="9"/>
  <c r="I631" i="9"/>
  <c r="I632" i="9"/>
  <c r="I633" i="9"/>
  <c r="I634" i="9"/>
  <c r="I635" i="9"/>
  <c r="I636" i="9"/>
  <c r="I637" i="9"/>
  <c r="I638" i="9"/>
  <c r="I639" i="9"/>
  <c r="I640" i="9"/>
  <c r="I641" i="9"/>
  <c r="I642" i="9"/>
  <c r="I643" i="9"/>
  <c r="I644" i="9"/>
  <c r="I645" i="9"/>
  <c r="I646" i="9"/>
  <c r="I647" i="9"/>
  <c r="I648" i="9"/>
  <c r="I649" i="9"/>
  <c r="I650" i="9"/>
  <c r="I651" i="9"/>
  <c r="I652" i="9"/>
  <c r="I653" i="9"/>
  <c r="I654" i="9"/>
  <c r="I655" i="9"/>
  <c r="I656" i="9"/>
  <c r="I657" i="9"/>
  <c r="I658" i="9"/>
  <c r="I659" i="9"/>
  <c r="I660" i="9"/>
  <c r="I661" i="9"/>
  <c r="I662" i="9"/>
  <c r="I663" i="9"/>
  <c r="I664" i="9"/>
  <c r="I665" i="9"/>
  <c r="I666" i="9"/>
  <c r="I667" i="9"/>
  <c r="I668" i="9"/>
  <c r="I669" i="9"/>
  <c r="I670" i="9"/>
  <c r="I671" i="9"/>
  <c r="I672" i="9"/>
  <c r="I673" i="9"/>
  <c r="I674" i="9"/>
  <c r="I675" i="9"/>
  <c r="I676" i="9"/>
  <c r="I677" i="9"/>
  <c r="I678" i="9"/>
  <c r="I679" i="9"/>
  <c r="I680" i="9"/>
  <c r="I681" i="9"/>
  <c r="I682" i="9"/>
  <c r="I683" i="9"/>
  <c r="I684" i="9"/>
  <c r="I685" i="9"/>
  <c r="I686" i="9"/>
  <c r="I687" i="9"/>
  <c r="I688" i="9"/>
  <c r="I689" i="9"/>
  <c r="I690" i="9"/>
  <c r="I691" i="9"/>
  <c r="I692" i="9"/>
  <c r="I693" i="9"/>
  <c r="I694" i="9"/>
  <c r="I695" i="9"/>
  <c r="I696" i="9"/>
  <c r="I697" i="9"/>
  <c r="I698" i="9"/>
  <c r="I699" i="9"/>
  <c r="I700" i="9"/>
  <c r="I701" i="9"/>
  <c r="I702" i="9"/>
  <c r="I703" i="9"/>
  <c r="I704" i="9"/>
  <c r="I705" i="9"/>
  <c r="I706" i="9"/>
  <c r="I707" i="9"/>
  <c r="I708" i="9"/>
  <c r="I709" i="9"/>
  <c r="I710" i="9"/>
  <c r="I711" i="9"/>
  <c r="I712" i="9"/>
  <c r="I713" i="9"/>
  <c r="I714" i="9"/>
  <c r="I715" i="9"/>
  <c r="I716" i="9"/>
  <c r="I717" i="9"/>
  <c r="I718" i="9"/>
  <c r="I719" i="9"/>
  <c r="I720" i="9"/>
  <c r="I721" i="9"/>
  <c r="I722" i="9"/>
  <c r="I723" i="9"/>
  <c r="I724" i="9"/>
  <c r="I725" i="9"/>
  <c r="I726" i="9"/>
  <c r="I727" i="9"/>
  <c r="I728" i="9"/>
  <c r="I729" i="9"/>
  <c r="I730" i="9"/>
  <c r="I731" i="9"/>
  <c r="I732" i="9"/>
  <c r="I733" i="9"/>
  <c r="I734" i="9"/>
  <c r="I735" i="9"/>
  <c r="I736" i="9"/>
  <c r="I737" i="9"/>
  <c r="I738" i="9"/>
  <c r="I739" i="9"/>
  <c r="I740" i="9"/>
  <c r="I741" i="9"/>
  <c r="I742" i="9"/>
  <c r="I743" i="9"/>
  <c r="I744" i="9"/>
  <c r="I745" i="9"/>
  <c r="I746" i="9"/>
  <c r="I747" i="9"/>
  <c r="I748" i="9"/>
  <c r="I749" i="9"/>
  <c r="I750" i="9"/>
  <c r="I751" i="9"/>
  <c r="I752" i="9"/>
  <c r="I753" i="9"/>
  <c r="I754" i="9"/>
  <c r="I755" i="9"/>
  <c r="I756" i="9"/>
  <c r="I757" i="9"/>
  <c r="I758" i="9"/>
  <c r="I759" i="9"/>
  <c r="I760" i="9"/>
  <c r="I761" i="9"/>
  <c r="I762" i="9"/>
  <c r="I763" i="9"/>
  <c r="I764" i="9"/>
  <c r="I765" i="9"/>
  <c r="I766" i="9"/>
  <c r="I767" i="9"/>
  <c r="I768" i="9"/>
  <c r="I769" i="9"/>
  <c r="I770" i="9"/>
  <c r="I771" i="9"/>
  <c r="I772" i="9"/>
  <c r="I773" i="9"/>
  <c r="I774" i="9"/>
  <c r="I775" i="9"/>
  <c r="I776" i="9"/>
  <c r="I777" i="9"/>
  <c r="I778" i="9"/>
  <c r="I779" i="9"/>
  <c r="I780" i="9"/>
  <c r="I781" i="9"/>
  <c r="I782" i="9"/>
  <c r="I783" i="9"/>
  <c r="I784" i="9"/>
  <c r="I785" i="9"/>
  <c r="I786" i="9"/>
  <c r="I787" i="9"/>
  <c r="I788" i="9"/>
  <c r="I789" i="9"/>
  <c r="I790" i="9"/>
  <c r="I791" i="9"/>
  <c r="I792" i="9"/>
  <c r="I793" i="9"/>
  <c r="I794" i="9"/>
  <c r="I795" i="9"/>
  <c r="I796" i="9"/>
  <c r="I797" i="9"/>
  <c r="I798" i="9"/>
  <c r="I799" i="9"/>
  <c r="I800" i="9"/>
  <c r="I801" i="9"/>
  <c r="I802" i="9"/>
  <c r="I803" i="9"/>
  <c r="I804" i="9"/>
  <c r="I805" i="9"/>
  <c r="I806" i="9"/>
  <c r="I807" i="9"/>
  <c r="I808" i="9"/>
  <c r="I809" i="9"/>
  <c r="I810" i="9"/>
  <c r="I811" i="9"/>
  <c r="I812" i="9"/>
  <c r="I813" i="9"/>
  <c r="I814" i="9"/>
  <c r="I815" i="9"/>
  <c r="I816" i="9"/>
  <c r="I817" i="9"/>
  <c r="I818" i="9"/>
  <c r="I819" i="9"/>
  <c r="I820" i="9"/>
  <c r="I821" i="9"/>
  <c r="I822" i="9"/>
  <c r="I823" i="9"/>
  <c r="I824" i="9"/>
  <c r="I825" i="9"/>
  <c r="I826" i="9"/>
  <c r="I827" i="9"/>
  <c r="I828" i="9"/>
  <c r="I829" i="9"/>
  <c r="I830" i="9"/>
  <c r="I831" i="9"/>
  <c r="I832" i="9"/>
  <c r="I833" i="9"/>
  <c r="I834" i="9"/>
  <c r="I835" i="9"/>
  <c r="I836" i="9"/>
  <c r="I837" i="9"/>
  <c r="I838" i="9"/>
  <c r="I839" i="9"/>
  <c r="I840" i="9"/>
  <c r="I841" i="9"/>
  <c r="I842" i="9"/>
  <c r="I843" i="9"/>
  <c r="I844" i="9"/>
  <c r="I845" i="9"/>
  <c r="I846" i="9"/>
  <c r="I847" i="9"/>
  <c r="I848" i="9"/>
  <c r="I849" i="9"/>
  <c r="I850" i="9"/>
  <c r="I851" i="9"/>
  <c r="I852" i="9"/>
  <c r="I853" i="9"/>
  <c r="I854" i="9"/>
  <c r="I855" i="9"/>
  <c r="I856" i="9"/>
  <c r="I857" i="9"/>
  <c r="I858" i="9"/>
  <c r="I859" i="9"/>
  <c r="I860" i="9"/>
  <c r="I861" i="9"/>
  <c r="I862" i="9"/>
  <c r="I863" i="9"/>
  <c r="I864" i="9"/>
  <c r="I865" i="9"/>
  <c r="I866" i="9"/>
  <c r="I867" i="9"/>
  <c r="I868" i="9"/>
  <c r="I869" i="9"/>
  <c r="I870" i="9"/>
  <c r="I871" i="9"/>
  <c r="I872" i="9"/>
  <c r="I873" i="9"/>
  <c r="I874" i="9"/>
  <c r="I875" i="9"/>
  <c r="I876" i="9"/>
  <c r="I877" i="9"/>
  <c r="I878" i="9"/>
  <c r="I879" i="9"/>
  <c r="I880" i="9"/>
  <c r="I881" i="9"/>
  <c r="I882" i="9"/>
  <c r="I883" i="9"/>
  <c r="I884" i="9"/>
  <c r="I885" i="9"/>
  <c r="I886" i="9"/>
  <c r="I887" i="9"/>
  <c r="I888" i="9"/>
  <c r="I889" i="9"/>
  <c r="I890" i="9"/>
  <c r="I891" i="9"/>
  <c r="I892" i="9"/>
  <c r="I893" i="9"/>
  <c r="I894" i="9"/>
  <c r="I895" i="9"/>
  <c r="I896" i="9"/>
  <c r="I897" i="9"/>
  <c r="I898" i="9"/>
  <c r="I899" i="9"/>
  <c r="I900" i="9"/>
  <c r="I901" i="9"/>
  <c r="I902" i="9"/>
  <c r="I903" i="9"/>
  <c r="I904" i="9"/>
  <c r="I905" i="9"/>
  <c r="I906" i="9"/>
  <c r="I907" i="9"/>
  <c r="I908" i="9"/>
  <c r="I909" i="9"/>
  <c r="I910" i="9"/>
  <c r="I911" i="9"/>
  <c r="I912" i="9"/>
  <c r="I913" i="9"/>
  <c r="I914" i="9"/>
  <c r="I915" i="9"/>
  <c r="I916" i="9"/>
  <c r="I917" i="9"/>
  <c r="I918" i="9"/>
  <c r="I919" i="9"/>
  <c r="I920" i="9"/>
  <c r="I921" i="9"/>
  <c r="I922" i="9"/>
  <c r="I923" i="9"/>
  <c r="I924" i="9"/>
  <c r="I925" i="9"/>
  <c r="I926" i="9"/>
  <c r="I927" i="9"/>
  <c r="I928" i="9"/>
  <c r="I929" i="9"/>
  <c r="I930" i="9"/>
  <c r="I931" i="9"/>
  <c r="I932" i="9"/>
  <c r="I933" i="9"/>
  <c r="I934" i="9"/>
  <c r="I935" i="9"/>
  <c r="I936" i="9"/>
  <c r="I937" i="9"/>
  <c r="I938" i="9"/>
  <c r="I939" i="9"/>
  <c r="I940" i="9"/>
  <c r="I941" i="9"/>
  <c r="I942" i="9"/>
  <c r="I943" i="9"/>
  <c r="I944" i="9"/>
  <c r="I945" i="9"/>
  <c r="I946" i="9"/>
  <c r="I947" i="9"/>
  <c r="I948" i="9"/>
  <c r="I949" i="9"/>
  <c r="I950" i="9"/>
  <c r="I951" i="9"/>
  <c r="I952" i="9"/>
  <c r="I953" i="9"/>
  <c r="I954" i="9"/>
  <c r="I955" i="9"/>
  <c r="I956" i="9"/>
  <c r="I957" i="9"/>
  <c r="I958" i="9"/>
  <c r="I959" i="9"/>
  <c r="I960" i="9"/>
  <c r="I961" i="9"/>
  <c r="I962" i="9"/>
  <c r="I963" i="9"/>
  <c r="I964" i="9"/>
  <c r="I965" i="9"/>
  <c r="I966" i="9"/>
  <c r="I967" i="9"/>
  <c r="I968" i="9"/>
  <c r="I969" i="9"/>
  <c r="I970" i="9"/>
  <c r="I971" i="9"/>
  <c r="I972" i="9"/>
  <c r="I973" i="9"/>
  <c r="I974" i="9"/>
  <c r="I975" i="9"/>
  <c r="I976" i="9"/>
  <c r="I977" i="9"/>
  <c r="I978" i="9"/>
  <c r="I979" i="9"/>
  <c r="I980" i="9"/>
  <c r="I981" i="9"/>
  <c r="I982" i="9"/>
  <c r="I983" i="9"/>
  <c r="I984" i="9"/>
  <c r="I985" i="9"/>
  <c r="I986" i="9"/>
  <c r="I987" i="9"/>
  <c r="I988" i="9"/>
  <c r="I989" i="9"/>
  <c r="I990" i="9"/>
  <c r="I991" i="9"/>
  <c r="I992" i="9"/>
  <c r="I993" i="9"/>
  <c r="I994" i="9"/>
  <c r="I995" i="9"/>
  <c r="I996" i="9"/>
  <c r="I997" i="9"/>
  <c r="I998" i="9"/>
  <c r="I999" i="9"/>
  <c r="I1000" i="9"/>
  <c r="I1001" i="9"/>
  <c r="I1002" i="9"/>
  <c r="I1003" i="9"/>
  <c r="I1004" i="9"/>
  <c r="I1005" i="9"/>
  <c r="I1006" i="9"/>
  <c r="I1007" i="9"/>
  <c r="I1008" i="9"/>
  <c r="I1009" i="9"/>
  <c r="I1010" i="9"/>
  <c r="I1011" i="9"/>
  <c r="I1012" i="9"/>
  <c r="I1013" i="9"/>
  <c r="I1014" i="9"/>
  <c r="I1015" i="9"/>
  <c r="I1016" i="9"/>
  <c r="I1017" i="9"/>
  <c r="I1018" i="9"/>
  <c r="I1019" i="9"/>
  <c r="I1020" i="9"/>
  <c r="I1021" i="9"/>
  <c r="I1022" i="9"/>
  <c r="I1023" i="9"/>
  <c r="I1024" i="9"/>
  <c r="I1025" i="9"/>
  <c r="I1026" i="9"/>
  <c r="I1027" i="9"/>
  <c r="I1028" i="9"/>
  <c r="I1029" i="9"/>
  <c r="I1030" i="9"/>
  <c r="I1031" i="9"/>
  <c r="I1032" i="9"/>
  <c r="I1033" i="9"/>
  <c r="I1034" i="9"/>
  <c r="I1035" i="9"/>
  <c r="I1036" i="9"/>
  <c r="I1037" i="9"/>
  <c r="I1038" i="9"/>
  <c r="I1039" i="9"/>
  <c r="I1040" i="9"/>
  <c r="I1041" i="9"/>
  <c r="I1042" i="9"/>
  <c r="I1043" i="9"/>
  <c r="I1044" i="9"/>
  <c r="I1045" i="9"/>
  <c r="I1046" i="9"/>
  <c r="I1047" i="9"/>
  <c r="I1048" i="9"/>
  <c r="I1049" i="9"/>
  <c r="I1050" i="9"/>
  <c r="I1051" i="9"/>
  <c r="I1052" i="9"/>
  <c r="I1053" i="9"/>
  <c r="I1054" i="9"/>
  <c r="I1055" i="9"/>
  <c r="I1056" i="9"/>
  <c r="I1057" i="9"/>
  <c r="I1058" i="9"/>
  <c r="I1059" i="9"/>
  <c r="I1060" i="9"/>
  <c r="I1061" i="9"/>
  <c r="I1062" i="9"/>
  <c r="I1063" i="9"/>
  <c r="I1064" i="9"/>
  <c r="I1065" i="9"/>
  <c r="I1066" i="9"/>
  <c r="I1067" i="9"/>
  <c r="I1068" i="9"/>
  <c r="I1069" i="9"/>
  <c r="I1070" i="9"/>
  <c r="I1071" i="9"/>
  <c r="I1072" i="9"/>
  <c r="I1073" i="9"/>
  <c r="I1074" i="9"/>
  <c r="I1075" i="9"/>
  <c r="I1076" i="9"/>
  <c r="I1077" i="9"/>
  <c r="I1078" i="9"/>
  <c r="I1079" i="9"/>
  <c r="I1080" i="9"/>
  <c r="I1081" i="9"/>
  <c r="I1082" i="9"/>
  <c r="I1083" i="9"/>
  <c r="I1084" i="9"/>
  <c r="I1085" i="9"/>
  <c r="I1086" i="9"/>
  <c r="I1087" i="9"/>
  <c r="I1088" i="9"/>
  <c r="I1089" i="9"/>
  <c r="I1090" i="9"/>
  <c r="I1091" i="9"/>
  <c r="I1092" i="9"/>
  <c r="I1093" i="9"/>
  <c r="I1094" i="9"/>
  <c r="I1095" i="9"/>
  <c r="I1096" i="9"/>
  <c r="I1097" i="9"/>
  <c r="I1098" i="9"/>
  <c r="I1099" i="9"/>
  <c r="I1100" i="9"/>
  <c r="I1101" i="9"/>
  <c r="I1102" i="9"/>
  <c r="I1103" i="9"/>
  <c r="I1104" i="9"/>
  <c r="I1105" i="9"/>
  <c r="I1106" i="9"/>
  <c r="I1107" i="9"/>
  <c r="I1108" i="9"/>
  <c r="I1109" i="9"/>
  <c r="I1110" i="9"/>
  <c r="I1111" i="9"/>
  <c r="I1112" i="9"/>
  <c r="I1113" i="9"/>
  <c r="I1114" i="9"/>
  <c r="I1115" i="9"/>
  <c r="I1116" i="9"/>
  <c r="I1117" i="9"/>
  <c r="I1118" i="9"/>
  <c r="I1119" i="9"/>
  <c r="I1120" i="9"/>
  <c r="I1121" i="9"/>
  <c r="I1122" i="9"/>
  <c r="I1123" i="9"/>
  <c r="I1124" i="9"/>
  <c r="I1125" i="9"/>
  <c r="I1126" i="9"/>
  <c r="I1127" i="9"/>
  <c r="I1128" i="9"/>
  <c r="I1129" i="9"/>
  <c r="I1130" i="9"/>
  <c r="I1131" i="9"/>
  <c r="I1132" i="9"/>
  <c r="I1133" i="9"/>
  <c r="I1134" i="9"/>
  <c r="I1135" i="9"/>
  <c r="I1136" i="9"/>
  <c r="I1137" i="9"/>
  <c r="I1138" i="9"/>
  <c r="I1139" i="9"/>
  <c r="I1140" i="9"/>
  <c r="I1141" i="9"/>
  <c r="I1142" i="9"/>
  <c r="I1143" i="9"/>
  <c r="I1144" i="9"/>
  <c r="I1145" i="9"/>
  <c r="I1146" i="9"/>
  <c r="I1147" i="9"/>
  <c r="I1148" i="9"/>
  <c r="I1149" i="9"/>
  <c r="I1150" i="9"/>
  <c r="I1151" i="9"/>
  <c r="I1152" i="9"/>
  <c r="I1153" i="9"/>
  <c r="I1154" i="9"/>
  <c r="I1155" i="9"/>
  <c r="I1156" i="9"/>
  <c r="I1157" i="9"/>
  <c r="I1158" i="9"/>
  <c r="I1159" i="9"/>
  <c r="I1160" i="9"/>
  <c r="I1161" i="9"/>
  <c r="I1162" i="9"/>
  <c r="I1163" i="9"/>
  <c r="I1164" i="9"/>
  <c r="I1165" i="9"/>
  <c r="I1166" i="9"/>
  <c r="I1167" i="9"/>
  <c r="I1168" i="9"/>
  <c r="I1169" i="9"/>
  <c r="I1170" i="9"/>
  <c r="I1171" i="9"/>
  <c r="I1172" i="9"/>
  <c r="I1173" i="9"/>
  <c r="I1174" i="9"/>
  <c r="I1175" i="9"/>
  <c r="I1176" i="9"/>
  <c r="I1177" i="9"/>
  <c r="I1178" i="9"/>
  <c r="I1179" i="9"/>
  <c r="I1180" i="9"/>
  <c r="I1181" i="9"/>
  <c r="I1182" i="9"/>
  <c r="I1183" i="9"/>
  <c r="I1184" i="9"/>
  <c r="I1185" i="9"/>
  <c r="I1186" i="9"/>
  <c r="I1187" i="9"/>
  <c r="I1188" i="9"/>
  <c r="I1189" i="9"/>
  <c r="I1190" i="9"/>
  <c r="I1191" i="9"/>
  <c r="I1192" i="9"/>
  <c r="I1193" i="9"/>
  <c r="I1194" i="9"/>
  <c r="I1195" i="9"/>
  <c r="I1196" i="9"/>
  <c r="I1197" i="9"/>
  <c r="I1198" i="9"/>
  <c r="I1199" i="9"/>
  <c r="I1200" i="9"/>
  <c r="I1201" i="9"/>
  <c r="I1202" i="9"/>
  <c r="I1203" i="9"/>
  <c r="I1204" i="9"/>
  <c r="I1205" i="9"/>
  <c r="I1206" i="9"/>
  <c r="I1207" i="9"/>
  <c r="I1208" i="9"/>
  <c r="I1209" i="9"/>
  <c r="I1210" i="9"/>
  <c r="I1211" i="9"/>
  <c r="I1212" i="9"/>
  <c r="I1213" i="9"/>
  <c r="I1214" i="9"/>
  <c r="I1215" i="9"/>
  <c r="I1216" i="9"/>
  <c r="I1217" i="9"/>
  <c r="I1218" i="9"/>
  <c r="I1219" i="9"/>
  <c r="I1220" i="9"/>
  <c r="I1221" i="9"/>
  <c r="I1222" i="9"/>
  <c r="I1223" i="9"/>
  <c r="I1224" i="9"/>
  <c r="I1225" i="9"/>
  <c r="I1226" i="9"/>
  <c r="I1227" i="9"/>
  <c r="I1228" i="9"/>
  <c r="I1229" i="9"/>
  <c r="I1230" i="9"/>
  <c r="I1231" i="9"/>
  <c r="I1232" i="9"/>
  <c r="I1233" i="9"/>
  <c r="I1234" i="9"/>
  <c r="I1235" i="9"/>
  <c r="I1236" i="9"/>
  <c r="I1237" i="9"/>
  <c r="I1238" i="9"/>
  <c r="I1239" i="9"/>
  <c r="I1240" i="9"/>
  <c r="I1241" i="9"/>
  <c r="I1242" i="9"/>
  <c r="I1243" i="9"/>
  <c r="I1244" i="9"/>
  <c r="I1245" i="9"/>
  <c r="I1246" i="9"/>
  <c r="I1247" i="9"/>
  <c r="I1248" i="9"/>
  <c r="I1249" i="9"/>
  <c r="I1250" i="9"/>
  <c r="I1251" i="9"/>
  <c r="I1252" i="9"/>
  <c r="I1253" i="9"/>
  <c r="I1254" i="9"/>
  <c r="I1255" i="9"/>
  <c r="I1256" i="9"/>
  <c r="I1257" i="9"/>
  <c r="I1258" i="9"/>
  <c r="I1259" i="9"/>
  <c r="I1260" i="9"/>
  <c r="I1261" i="9"/>
  <c r="I1262" i="9"/>
  <c r="I1263" i="9"/>
  <c r="I1264" i="9"/>
  <c r="I1265" i="9"/>
  <c r="I1266" i="9"/>
  <c r="I1267" i="9"/>
  <c r="I1268" i="9"/>
  <c r="I1269" i="9"/>
  <c r="I1270" i="9"/>
  <c r="I1271" i="9"/>
  <c r="I1272" i="9"/>
  <c r="I1273" i="9"/>
  <c r="I1274" i="9"/>
  <c r="I1275" i="9"/>
  <c r="I1276" i="9"/>
  <c r="I1277" i="9"/>
  <c r="I1278" i="9"/>
  <c r="I1279" i="9"/>
  <c r="I1280" i="9"/>
  <c r="I1281" i="9"/>
  <c r="I1282" i="9"/>
  <c r="I1283" i="9"/>
  <c r="I1284" i="9"/>
  <c r="I1285" i="9"/>
  <c r="I1286" i="9"/>
  <c r="I1287" i="9"/>
  <c r="I1288" i="9"/>
  <c r="I1289" i="9"/>
  <c r="I1290" i="9"/>
  <c r="I1291" i="9"/>
  <c r="I1292" i="9"/>
  <c r="I1293" i="9"/>
  <c r="I1294" i="9"/>
  <c r="I1295" i="9"/>
  <c r="I1296" i="9"/>
  <c r="I1297" i="9"/>
  <c r="I1298" i="9"/>
  <c r="I1299" i="9"/>
  <c r="I1300" i="9"/>
  <c r="I1301" i="9"/>
  <c r="I1302" i="9"/>
  <c r="I1303" i="9"/>
  <c r="I1304" i="9"/>
  <c r="I1305" i="9"/>
  <c r="I1306" i="9"/>
  <c r="I1307" i="9"/>
  <c r="I1308" i="9"/>
  <c r="I1309" i="9"/>
  <c r="I1310" i="9"/>
  <c r="I1311" i="9"/>
  <c r="I1312" i="9"/>
  <c r="I1313" i="9"/>
  <c r="I1314" i="9"/>
  <c r="I1315" i="9"/>
  <c r="I1316" i="9"/>
  <c r="I1317" i="9"/>
  <c r="I1318" i="9"/>
  <c r="I1319" i="9"/>
  <c r="I1320" i="9"/>
  <c r="I1321" i="9"/>
  <c r="I1322" i="9"/>
  <c r="I1323" i="9"/>
  <c r="I1324" i="9"/>
  <c r="I1325" i="9"/>
  <c r="I1326" i="9"/>
  <c r="I1327" i="9"/>
  <c r="I1328" i="9"/>
  <c r="I1329" i="9"/>
  <c r="I1330" i="9"/>
  <c r="I1331" i="9"/>
  <c r="I1332" i="9"/>
  <c r="I1333" i="9"/>
  <c r="I1334" i="9"/>
  <c r="I1335" i="9"/>
  <c r="I1336" i="9"/>
  <c r="I1337" i="9"/>
  <c r="I1338" i="9"/>
  <c r="I1339" i="9"/>
  <c r="I1340" i="9"/>
  <c r="I1341" i="9"/>
  <c r="I1342" i="9"/>
  <c r="I1343" i="9"/>
  <c r="I1344" i="9"/>
  <c r="I1345" i="9"/>
  <c r="I1346" i="9"/>
  <c r="I1347" i="9"/>
  <c r="I1348" i="9"/>
  <c r="I1349" i="9"/>
  <c r="I1350" i="9"/>
  <c r="I1351" i="9"/>
  <c r="I1352" i="9"/>
  <c r="I1353" i="9"/>
  <c r="I1354" i="9"/>
  <c r="I1355" i="9"/>
  <c r="I1356" i="9"/>
  <c r="I1357" i="9"/>
  <c r="I1358" i="9"/>
  <c r="I1359" i="9"/>
  <c r="I1360" i="9"/>
  <c r="I1361" i="9"/>
  <c r="I1362" i="9"/>
  <c r="I1363" i="9"/>
  <c r="I1364" i="9"/>
  <c r="I1365" i="9"/>
  <c r="I1366" i="9"/>
  <c r="I1367" i="9"/>
  <c r="I1368" i="9"/>
  <c r="I1369" i="9"/>
  <c r="I1370" i="9"/>
  <c r="I1371" i="9"/>
  <c r="I1372" i="9"/>
  <c r="I1373" i="9"/>
  <c r="I1374" i="9"/>
  <c r="I1375" i="9"/>
  <c r="I1376" i="9"/>
  <c r="I1377" i="9"/>
  <c r="I1378" i="9"/>
  <c r="I1379" i="9"/>
  <c r="I1380" i="9"/>
  <c r="I1381" i="9"/>
  <c r="I1382" i="9"/>
  <c r="I1383" i="9"/>
  <c r="I1384" i="9"/>
  <c r="I1385" i="9"/>
  <c r="I1386" i="9"/>
  <c r="I1387" i="9"/>
  <c r="I1388" i="9"/>
  <c r="I1389" i="9"/>
  <c r="I1390" i="9"/>
  <c r="I1391" i="9"/>
  <c r="I1392" i="9"/>
  <c r="I1393" i="9"/>
  <c r="I1394" i="9"/>
  <c r="I1395" i="9"/>
  <c r="I1396" i="9"/>
  <c r="I1397" i="9"/>
  <c r="I1398" i="9"/>
  <c r="I1399" i="9"/>
  <c r="I1400" i="9"/>
  <c r="I1401" i="9"/>
  <c r="I1402" i="9"/>
  <c r="I1403" i="9"/>
  <c r="I1404" i="9"/>
  <c r="I1405" i="9"/>
  <c r="I1406" i="9"/>
  <c r="I1407" i="9"/>
  <c r="I1408" i="9"/>
  <c r="I1409" i="9"/>
  <c r="I1410" i="9"/>
  <c r="I1411" i="9"/>
  <c r="I1412" i="9"/>
  <c r="I1413" i="9"/>
  <c r="I1414" i="9"/>
  <c r="I1415" i="9"/>
  <c r="I1416" i="9"/>
  <c r="I1417" i="9"/>
  <c r="I1418" i="9"/>
  <c r="I1419" i="9"/>
  <c r="I1420" i="9"/>
  <c r="I1421" i="9"/>
  <c r="I1422" i="9"/>
  <c r="I1423" i="9"/>
  <c r="I1424" i="9"/>
  <c r="I1425" i="9"/>
  <c r="I1426" i="9"/>
  <c r="I1427" i="9"/>
  <c r="I1428" i="9"/>
  <c r="I1429" i="9"/>
  <c r="I1430" i="9"/>
  <c r="I1431" i="9"/>
  <c r="I1432" i="9"/>
  <c r="I1433" i="9"/>
  <c r="I1434" i="9"/>
  <c r="I1435" i="9"/>
  <c r="I1436" i="9"/>
  <c r="I1437" i="9"/>
  <c r="I1438" i="9"/>
  <c r="I1439" i="9"/>
  <c r="I1440" i="9"/>
  <c r="I1441" i="9"/>
  <c r="I1442" i="9"/>
  <c r="I1443" i="9"/>
  <c r="I1444" i="9"/>
  <c r="I1445" i="9"/>
  <c r="I1446" i="9"/>
  <c r="I1447" i="9"/>
  <c r="I1448" i="9"/>
  <c r="I1449" i="9"/>
  <c r="I1450" i="9"/>
  <c r="I1451" i="9"/>
  <c r="I1452" i="9"/>
  <c r="I1453" i="9"/>
  <c r="I1454" i="9"/>
  <c r="I1455" i="9"/>
  <c r="I1456" i="9"/>
  <c r="I1457" i="9"/>
  <c r="I1458" i="9"/>
  <c r="I1459" i="9"/>
  <c r="I1460" i="9"/>
  <c r="I1461" i="9"/>
  <c r="I1462" i="9"/>
  <c r="I1463" i="9"/>
  <c r="I1464" i="9"/>
  <c r="I1465" i="9"/>
  <c r="I1466" i="9"/>
  <c r="I1467" i="9"/>
  <c r="I1468" i="9"/>
  <c r="I1469" i="9"/>
  <c r="I1470" i="9"/>
  <c r="I1471" i="9"/>
  <c r="I1472" i="9"/>
  <c r="I1473" i="9"/>
  <c r="I1474" i="9"/>
  <c r="I1475" i="9"/>
  <c r="I1476" i="9"/>
  <c r="I1477" i="9"/>
  <c r="I1478" i="9"/>
  <c r="I1479" i="9"/>
  <c r="I1480" i="9"/>
  <c r="I1481" i="9"/>
  <c r="I1482" i="9"/>
  <c r="I1483" i="9"/>
  <c r="I1484" i="9"/>
  <c r="I1485" i="9"/>
  <c r="I1486" i="9"/>
  <c r="I1487" i="9"/>
  <c r="I1488" i="9"/>
  <c r="I1489" i="9"/>
  <c r="I1490" i="9"/>
  <c r="I1491" i="9"/>
  <c r="I1492" i="9"/>
  <c r="I1493" i="9"/>
  <c r="I1494" i="9"/>
  <c r="I1495" i="9"/>
  <c r="I1496" i="9"/>
  <c r="I1497" i="9"/>
  <c r="I1498" i="9"/>
  <c r="I1499" i="9"/>
  <c r="I1500" i="9"/>
  <c r="I1501" i="9"/>
  <c r="I1502" i="9"/>
  <c r="I1503" i="9"/>
  <c r="I1504" i="9"/>
  <c r="I1505" i="9"/>
  <c r="I1506" i="9"/>
  <c r="I1507" i="9"/>
  <c r="I1508" i="9"/>
  <c r="I1509" i="9"/>
  <c r="I1510" i="9"/>
  <c r="I1511" i="9"/>
  <c r="I1512" i="9"/>
  <c r="I1513" i="9"/>
  <c r="I1514" i="9"/>
  <c r="I1515" i="9"/>
  <c r="I1516" i="9"/>
  <c r="I1517" i="9"/>
  <c r="I1518" i="9"/>
  <c r="I1519" i="9"/>
  <c r="I1520" i="9"/>
  <c r="I1521" i="9"/>
  <c r="I1522" i="9"/>
  <c r="I1523" i="9"/>
  <c r="I1524" i="9"/>
  <c r="I1525" i="9"/>
  <c r="I1526" i="9"/>
  <c r="I1527" i="9"/>
  <c r="I1528" i="9"/>
  <c r="I1529" i="9"/>
  <c r="I1530" i="9"/>
  <c r="I1531" i="9"/>
  <c r="I1532" i="9"/>
  <c r="I1533" i="9"/>
  <c r="I1534" i="9"/>
  <c r="I1535" i="9"/>
  <c r="I1536" i="9"/>
  <c r="I1537" i="9"/>
  <c r="I1538" i="9"/>
  <c r="I1539" i="9"/>
  <c r="I1540" i="9"/>
  <c r="I1541" i="9"/>
  <c r="I1542" i="9"/>
  <c r="I1543" i="9"/>
  <c r="I1544" i="9"/>
  <c r="I1545" i="9"/>
  <c r="I1546" i="9"/>
  <c r="I1547" i="9"/>
  <c r="I1548" i="9"/>
  <c r="I1549" i="9"/>
  <c r="I1550" i="9"/>
  <c r="I1551" i="9"/>
  <c r="I1552" i="9"/>
  <c r="I1553" i="9"/>
  <c r="I1554" i="9"/>
  <c r="I1555" i="9"/>
  <c r="I1556" i="9"/>
  <c r="I1557" i="9"/>
  <c r="I1558" i="9"/>
  <c r="I1559" i="9"/>
  <c r="I1560" i="9"/>
  <c r="I1561" i="9"/>
  <c r="I1562" i="9"/>
  <c r="I1563" i="9"/>
  <c r="I1564" i="9"/>
  <c r="I1565" i="9"/>
  <c r="I1566" i="9"/>
  <c r="I1567" i="9"/>
  <c r="I1568" i="9"/>
  <c r="I1569" i="9"/>
  <c r="I1570" i="9"/>
  <c r="I1571" i="9"/>
  <c r="I1572" i="9"/>
  <c r="I1573" i="9"/>
  <c r="I1574" i="9"/>
  <c r="I1575" i="9"/>
  <c r="I1576" i="9"/>
  <c r="I1577" i="9"/>
  <c r="I1578" i="9"/>
  <c r="I1579" i="9"/>
  <c r="I1580" i="9"/>
  <c r="I1581" i="9"/>
  <c r="I1582" i="9"/>
  <c r="I1583" i="9"/>
  <c r="I1584" i="9"/>
  <c r="I1585" i="9"/>
  <c r="I1586" i="9"/>
  <c r="I1587" i="9"/>
  <c r="I1588" i="9"/>
  <c r="I1589" i="9"/>
  <c r="I1590" i="9"/>
  <c r="I1591" i="9"/>
  <c r="I1592" i="9"/>
  <c r="I1593" i="9"/>
  <c r="I1594" i="9"/>
  <c r="I1595" i="9"/>
  <c r="I1596" i="9"/>
  <c r="I1597" i="9"/>
  <c r="I1598" i="9"/>
  <c r="I1599" i="9"/>
  <c r="I1600" i="9"/>
  <c r="I1601" i="9"/>
  <c r="I1602" i="9"/>
  <c r="I1603" i="9"/>
  <c r="I1604" i="9"/>
  <c r="I1605" i="9"/>
  <c r="I1606" i="9"/>
  <c r="I1607" i="9"/>
  <c r="I1608" i="9"/>
  <c r="I1609" i="9"/>
  <c r="I1610" i="9"/>
  <c r="I1611" i="9"/>
  <c r="I1612" i="9"/>
  <c r="I1613" i="9"/>
  <c r="I1614" i="9"/>
  <c r="I1615" i="9"/>
  <c r="I1616" i="9"/>
  <c r="I1617" i="9"/>
  <c r="I1618" i="9"/>
  <c r="I1619" i="9"/>
  <c r="I1620" i="9"/>
  <c r="I1621" i="9"/>
  <c r="I1622" i="9"/>
  <c r="I1623" i="9"/>
  <c r="I1624" i="9"/>
  <c r="I1625" i="9"/>
  <c r="I1626" i="9"/>
  <c r="I1627" i="9"/>
  <c r="I1628" i="9"/>
  <c r="I1629" i="9"/>
  <c r="I1630" i="9"/>
  <c r="I1631" i="9"/>
  <c r="I1632" i="9"/>
  <c r="I1633" i="9"/>
  <c r="I1634" i="9"/>
  <c r="I1635" i="9"/>
  <c r="I1636" i="9"/>
  <c r="I1637" i="9"/>
  <c r="I1638" i="9"/>
  <c r="I1639" i="9"/>
  <c r="I1640" i="9"/>
  <c r="I1641" i="9"/>
  <c r="I1642" i="9"/>
  <c r="I1643" i="9"/>
  <c r="I1644" i="9"/>
  <c r="I1645" i="9"/>
  <c r="I1646" i="9"/>
  <c r="I1647" i="9"/>
  <c r="I1648" i="9"/>
  <c r="I1649" i="9"/>
  <c r="I1650" i="9"/>
  <c r="I1651" i="9"/>
  <c r="I1652" i="9"/>
  <c r="I1653" i="9"/>
  <c r="I1654" i="9"/>
  <c r="I1655" i="9"/>
  <c r="I1656" i="9"/>
  <c r="I1657" i="9"/>
  <c r="I1658" i="9"/>
  <c r="I1659" i="9"/>
  <c r="I1660" i="9"/>
  <c r="I1661" i="9"/>
  <c r="I1662" i="9"/>
  <c r="I1663" i="9"/>
  <c r="I1664" i="9"/>
  <c r="I1665" i="9"/>
  <c r="I1666" i="9"/>
  <c r="I1667" i="9"/>
  <c r="I1668" i="9"/>
  <c r="I1669" i="9"/>
  <c r="I1670" i="9"/>
  <c r="I1671" i="9"/>
  <c r="I1672" i="9"/>
  <c r="I1673" i="9"/>
  <c r="I1674" i="9"/>
  <c r="I1675" i="9"/>
  <c r="I1676" i="9"/>
  <c r="I1677" i="9"/>
  <c r="I1678" i="9"/>
  <c r="I1679" i="9"/>
  <c r="I1680" i="9"/>
  <c r="I1681" i="9"/>
  <c r="I1682" i="9"/>
  <c r="I1683" i="9"/>
  <c r="I1684" i="9"/>
  <c r="I1685" i="9"/>
  <c r="I1686" i="9"/>
  <c r="I1687" i="9"/>
  <c r="I1688" i="9"/>
  <c r="I1689" i="9"/>
  <c r="I1690" i="9"/>
  <c r="I1691" i="9"/>
  <c r="I1692" i="9"/>
  <c r="I1693" i="9"/>
  <c r="I1694" i="9"/>
  <c r="I1695" i="9"/>
  <c r="I1696" i="9"/>
  <c r="I1697" i="9"/>
  <c r="I1698" i="9"/>
  <c r="I1699" i="9"/>
  <c r="I1700" i="9"/>
  <c r="I1701" i="9"/>
  <c r="I1702" i="9"/>
  <c r="I1703" i="9"/>
  <c r="I1704" i="9"/>
  <c r="I1705" i="9"/>
  <c r="I1706" i="9"/>
  <c r="I1707" i="9"/>
  <c r="I1708" i="9"/>
  <c r="I1709" i="9"/>
  <c r="I1710" i="9"/>
  <c r="I1711" i="9"/>
  <c r="I1712" i="9"/>
  <c r="I1713" i="9"/>
  <c r="I1714" i="9"/>
  <c r="I1715" i="9"/>
  <c r="I1716" i="9"/>
  <c r="I1717" i="9"/>
  <c r="I1718" i="9"/>
  <c r="I1719" i="9"/>
  <c r="I1720" i="9"/>
  <c r="I1721" i="9"/>
  <c r="I1722" i="9"/>
  <c r="I1723" i="9"/>
  <c r="I1724" i="9"/>
  <c r="I1725" i="9"/>
  <c r="I1726" i="9"/>
  <c r="I1727" i="9"/>
  <c r="I1728" i="9"/>
  <c r="I1729" i="9"/>
  <c r="I1730" i="9"/>
  <c r="I1731" i="9"/>
  <c r="I1732" i="9"/>
  <c r="I1733" i="9"/>
  <c r="I1734" i="9"/>
  <c r="I1735" i="9"/>
  <c r="I1736" i="9"/>
  <c r="I1737" i="9"/>
  <c r="I1738" i="9"/>
  <c r="I1739" i="9"/>
  <c r="I1740" i="9"/>
  <c r="I1741" i="9"/>
  <c r="I1742" i="9"/>
  <c r="I1743" i="9"/>
  <c r="I1744" i="9"/>
  <c r="I1745" i="9"/>
  <c r="I1746" i="9"/>
  <c r="I1747" i="9"/>
  <c r="I1748" i="9"/>
  <c r="I1749" i="9"/>
  <c r="I1750" i="9"/>
  <c r="I1751" i="9"/>
  <c r="I1752" i="9"/>
  <c r="I1753" i="9"/>
  <c r="I1754" i="9"/>
  <c r="I1755" i="9"/>
  <c r="I1756" i="9"/>
  <c r="I1757" i="9"/>
  <c r="I1758" i="9"/>
  <c r="I1759" i="9"/>
  <c r="I1760" i="9"/>
  <c r="I1761" i="9"/>
  <c r="I1762" i="9"/>
  <c r="I1763" i="9"/>
  <c r="I1764" i="9"/>
  <c r="I1765" i="9"/>
  <c r="I1766" i="9"/>
  <c r="I1767" i="9"/>
  <c r="I1768" i="9"/>
  <c r="I1769" i="9"/>
  <c r="I1770" i="9"/>
  <c r="I1771" i="9"/>
  <c r="I1772" i="9"/>
  <c r="I1773" i="9"/>
  <c r="I1774" i="9"/>
  <c r="I1775" i="9"/>
  <c r="I1776" i="9"/>
  <c r="I1777" i="9"/>
  <c r="I1778" i="9"/>
  <c r="I1779" i="9"/>
  <c r="I1780" i="9"/>
  <c r="I1781" i="9"/>
  <c r="I1782" i="9"/>
  <c r="I1783" i="9"/>
  <c r="I1784" i="9"/>
  <c r="I1785" i="9"/>
  <c r="I1786" i="9"/>
  <c r="I1787" i="9"/>
  <c r="I1788" i="9"/>
  <c r="I1789" i="9"/>
  <c r="I1790" i="9"/>
  <c r="I1791" i="9"/>
  <c r="I1792" i="9"/>
  <c r="I1793" i="9"/>
  <c r="I1794" i="9"/>
  <c r="I1795" i="9"/>
  <c r="I1796" i="9"/>
  <c r="I1797" i="9"/>
  <c r="I1798" i="9"/>
  <c r="I1799" i="9"/>
  <c r="I1800" i="9"/>
  <c r="I1801" i="9"/>
  <c r="I1802" i="9"/>
  <c r="I1803" i="9"/>
  <c r="I1804" i="9"/>
  <c r="I1805" i="9"/>
  <c r="I1806" i="9"/>
  <c r="I1807" i="9"/>
  <c r="I1808" i="9"/>
  <c r="I1809" i="9"/>
  <c r="I1810" i="9"/>
  <c r="I1811" i="9"/>
  <c r="I1812" i="9"/>
  <c r="I1813" i="9"/>
  <c r="I1814" i="9"/>
  <c r="I1815" i="9"/>
  <c r="I1816" i="9"/>
  <c r="I1817" i="9"/>
  <c r="I1818" i="9"/>
  <c r="I1819" i="9"/>
  <c r="I1820" i="9"/>
  <c r="I1821" i="9"/>
  <c r="I1822" i="9"/>
  <c r="I1823" i="9"/>
  <c r="I1824" i="9"/>
  <c r="I1825" i="9"/>
  <c r="I1826" i="9"/>
  <c r="I1827" i="9"/>
  <c r="I1828" i="9"/>
  <c r="I1829" i="9"/>
  <c r="I1830" i="9"/>
  <c r="I1831" i="9"/>
  <c r="I1832" i="9"/>
  <c r="I1833" i="9"/>
  <c r="I1834" i="9"/>
  <c r="I1835" i="9"/>
  <c r="I1836" i="9"/>
  <c r="I1837" i="9"/>
  <c r="I1838" i="9"/>
  <c r="I1839" i="9"/>
  <c r="I1840" i="9"/>
  <c r="I1841" i="9"/>
  <c r="I1842" i="9"/>
  <c r="I1844" i="9"/>
  <c r="I1845" i="9"/>
  <c r="I1846" i="9"/>
  <c r="I1847" i="9"/>
  <c r="I1848" i="9"/>
  <c r="I1849" i="9"/>
  <c r="I1850" i="9"/>
  <c r="I1851" i="9"/>
  <c r="I1852" i="9"/>
  <c r="I1853" i="9"/>
  <c r="I1854" i="9"/>
  <c r="I1855" i="9"/>
  <c r="I1856" i="9"/>
  <c r="I1857" i="9"/>
  <c r="I1858" i="9"/>
  <c r="I1859" i="9"/>
  <c r="I1860" i="9"/>
  <c r="I1861" i="9"/>
  <c r="I1862" i="9"/>
  <c r="I1863" i="9"/>
  <c r="I1864" i="9"/>
  <c r="I1865" i="9"/>
  <c r="I1866" i="9"/>
  <c r="I1867" i="9"/>
  <c r="I1868" i="9"/>
  <c r="I1869" i="9"/>
  <c r="I1870" i="9"/>
  <c r="I1871" i="9"/>
  <c r="I1872" i="9"/>
  <c r="I1873" i="9"/>
  <c r="I1874" i="9"/>
  <c r="I1875" i="9"/>
  <c r="I1876" i="9"/>
  <c r="I1877" i="9"/>
  <c r="I1878" i="9"/>
  <c r="I1879" i="9"/>
  <c r="I1880" i="9"/>
  <c r="I1881" i="9"/>
  <c r="I1882" i="9"/>
  <c r="I1883" i="9"/>
  <c r="I1884" i="9"/>
  <c r="I1885" i="9"/>
  <c r="I1886" i="9"/>
  <c r="I1887" i="9"/>
  <c r="I1888" i="9"/>
  <c r="I1889" i="9"/>
  <c r="I1890" i="9"/>
  <c r="I1891" i="9"/>
  <c r="I1892" i="9"/>
  <c r="I1893" i="9"/>
  <c r="I1894" i="9"/>
  <c r="I1895" i="9"/>
  <c r="I1896" i="9"/>
  <c r="I1897" i="9"/>
  <c r="I1898" i="9"/>
  <c r="I1899" i="9"/>
  <c r="I1900" i="9"/>
  <c r="I1901" i="9"/>
  <c r="I1902" i="9"/>
  <c r="I1903" i="9"/>
  <c r="I1904" i="9"/>
  <c r="I1905" i="9"/>
  <c r="I1906" i="9"/>
  <c r="I1907" i="9"/>
  <c r="I1908" i="9"/>
  <c r="I1909" i="9"/>
  <c r="I1910" i="9"/>
  <c r="I1911" i="9"/>
  <c r="I1912" i="9"/>
  <c r="I1913" i="9"/>
  <c r="I1914" i="9"/>
  <c r="I1915" i="9"/>
  <c r="I1916" i="9"/>
  <c r="I1917" i="9"/>
  <c r="I1918" i="9"/>
  <c r="I1919" i="9"/>
  <c r="I1920" i="9"/>
  <c r="I1921" i="9"/>
  <c r="I1922" i="9"/>
  <c r="I1923" i="9"/>
  <c r="I1924" i="9"/>
  <c r="I1925" i="9"/>
  <c r="I1926" i="9"/>
  <c r="I1927" i="9"/>
  <c r="I1928" i="9"/>
  <c r="I1929" i="9"/>
  <c r="I1930" i="9"/>
  <c r="I1931" i="9"/>
  <c r="I1932" i="9"/>
  <c r="I1933" i="9"/>
  <c r="I1934" i="9"/>
  <c r="I1935" i="9"/>
  <c r="I1936" i="9"/>
  <c r="I1937" i="9"/>
  <c r="I1938" i="9"/>
  <c r="I1939" i="9"/>
  <c r="I1940" i="9"/>
  <c r="I1941" i="9"/>
  <c r="I1942" i="9"/>
  <c r="I1943" i="9"/>
  <c r="I1944" i="9"/>
  <c r="I1945" i="9"/>
  <c r="I1946" i="9"/>
  <c r="I1947" i="9"/>
  <c r="I1948" i="9"/>
  <c r="I1949" i="9"/>
  <c r="I1950" i="9"/>
  <c r="I1951" i="9"/>
  <c r="I1952" i="9"/>
  <c r="I1953" i="9"/>
  <c r="I1954" i="9"/>
  <c r="I1955" i="9"/>
  <c r="I1956" i="9"/>
  <c r="I1957" i="9"/>
  <c r="I1958" i="9"/>
  <c r="I1959" i="9"/>
  <c r="I1960" i="9"/>
  <c r="I1961" i="9"/>
  <c r="I1962" i="9"/>
  <c r="I1963" i="9"/>
  <c r="I1964" i="9"/>
  <c r="I1965" i="9"/>
  <c r="I1966" i="9"/>
  <c r="I1967" i="9"/>
  <c r="I1968" i="9"/>
  <c r="I1969" i="9"/>
  <c r="I1970" i="9"/>
  <c r="I1971" i="9"/>
  <c r="I1972" i="9"/>
  <c r="I1973" i="9"/>
  <c r="I1974" i="9"/>
  <c r="I1975" i="9"/>
  <c r="I1976" i="9"/>
  <c r="I1977" i="9"/>
  <c r="I1978" i="9"/>
  <c r="I1979" i="9"/>
  <c r="I1980" i="9"/>
  <c r="I1981" i="9"/>
  <c r="I1982" i="9"/>
  <c r="I1983" i="9"/>
  <c r="I1984" i="9"/>
  <c r="I1985" i="9"/>
  <c r="I1986" i="9"/>
  <c r="I1987" i="9"/>
  <c r="I1988" i="9"/>
  <c r="I1989" i="9"/>
  <c r="I1990" i="9"/>
  <c r="I1991" i="9"/>
  <c r="I1992" i="9"/>
  <c r="I1993" i="9"/>
  <c r="I1994" i="9"/>
  <c r="I1995" i="9"/>
  <c r="I1996" i="9"/>
  <c r="I1997" i="9"/>
  <c r="I1998" i="9"/>
  <c r="I1999" i="9"/>
  <c r="I2000" i="9"/>
  <c r="I2001" i="9"/>
  <c r="I2002" i="9"/>
  <c r="I2003" i="9"/>
  <c r="I2004" i="9"/>
  <c r="I2005" i="9"/>
  <c r="I2006" i="9"/>
  <c r="I2007" i="9"/>
  <c r="I2008" i="9"/>
  <c r="I2009" i="9"/>
  <c r="I2010" i="9"/>
  <c r="I2011" i="9"/>
  <c r="I2012" i="9"/>
  <c r="I2013" i="9"/>
  <c r="I2014" i="9"/>
  <c r="I2015" i="9"/>
  <c r="I2016" i="9"/>
  <c r="I2017" i="9"/>
  <c r="I2018" i="9"/>
  <c r="I2019" i="9"/>
  <c r="I2020" i="9"/>
  <c r="I2021" i="9"/>
  <c r="I2022" i="9"/>
  <c r="I2023" i="9"/>
  <c r="I2024" i="9"/>
  <c r="I2025" i="9"/>
  <c r="I2026" i="9"/>
  <c r="I2027" i="9"/>
  <c r="I2028" i="9"/>
  <c r="I2029" i="9"/>
  <c r="I2030" i="9"/>
  <c r="I2031" i="9"/>
  <c r="I2032" i="9"/>
  <c r="I2033" i="9"/>
  <c r="I2034" i="9"/>
  <c r="I2035" i="9"/>
  <c r="I2036" i="9"/>
  <c r="I2037" i="9"/>
  <c r="I2038" i="9"/>
  <c r="I2039" i="9"/>
  <c r="I2040" i="9"/>
  <c r="I2041" i="9"/>
  <c r="I2042" i="9"/>
  <c r="I2043" i="9"/>
  <c r="I2044" i="9"/>
  <c r="I2045" i="9"/>
  <c r="I2046" i="9"/>
  <c r="I2047" i="9"/>
  <c r="I2048" i="9"/>
  <c r="I2049" i="9"/>
  <c r="I2050" i="9"/>
  <c r="I2051" i="9"/>
  <c r="I2052" i="9"/>
  <c r="I2053" i="9"/>
  <c r="I2054" i="9"/>
  <c r="I2055" i="9"/>
  <c r="I2056" i="9"/>
  <c r="I2057" i="9"/>
  <c r="I2058" i="9"/>
  <c r="I2059" i="9"/>
  <c r="I2060" i="9"/>
  <c r="I2061" i="9"/>
  <c r="I2062" i="9"/>
  <c r="I2063" i="9"/>
  <c r="I2064" i="9"/>
  <c r="I2065" i="9"/>
  <c r="I2066" i="9"/>
  <c r="I2067" i="9"/>
  <c r="I2068" i="9"/>
  <c r="I2069" i="9"/>
  <c r="I2070" i="9"/>
  <c r="I2071" i="9"/>
  <c r="I2072" i="9"/>
  <c r="I2073" i="9"/>
  <c r="I2074" i="9"/>
  <c r="I2075" i="9"/>
  <c r="I2076" i="9"/>
  <c r="I2077" i="9"/>
  <c r="I2078" i="9"/>
  <c r="I2079" i="9"/>
  <c r="I2080" i="9"/>
  <c r="I2081" i="9"/>
  <c r="I2082" i="9"/>
  <c r="I2083" i="9"/>
  <c r="I2084" i="9"/>
  <c r="I2085" i="9"/>
  <c r="I2086" i="9"/>
  <c r="I2087" i="9"/>
  <c r="I2088" i="9"/>
  <c r="I2089" i="9"/>
  <c r="I2090" i="9"/>
  <c r="I2091" i="9"/>
  <c r="I2092" i="9"/>
  <c r="I2093" i="9"/>
  <c r="I2094" i="9"/>
  <c r="I2095" i="9"/>
  <c r="I2096" i="9"/>
  <c r="I2097" i="9"/>
  <c r="I2098" i="9"/>
  <c r="I2099" i="9"/>
  <c r="I2100" i="9"/>
  <c r="I2101" i="9"/>
  <c r="I2102" i="9"/>
  <c r="I2103" i="9"/>
  <c r="I2104" i="9"/>
  <c r="I2105" i="9"/>
  <c r="I2106" i="9"/>
  <c r="I2107" i="9"/>
  <c r="I2108" i="9"/>
  <c r="I2109" i="9"/>
  <c r="I2110" i="9"/>
  <c r="I2111" i="9"/>
  <c r="I2112" i="9"/>
  <c r="I2113" i="9"/>
  <c r="I2114" i="9"/>
  <c r="I2115" i="9"/>
  <c r="I2116" i="9"/>
  <c r="I2117" i="9"/>
  <c r="I2118" i="9"/>
  <c r="I2119" i="9"/>
  <c r="I2120" i="9"/>
  <c r="I2121" i="9"/>
  <c r="I2122" i="9"/>
  <c r="I2123" i="9"/>
  <c r="I2124" i="9"/>
  <c r="I2125" i="9"/>
  <c r="I2126" i="9"/>
  <c r="I2127" i="9"/>
  <c r="I2128" i="9"/>
  <c r="I2129" i="9"/>
  <c r="I2130" i="9"/>
  <c r="I2131" i="9"/>
  <c r="I2132" i="9"/>
  <c r="I2133" i="9"/>
  <c r="I2134" i="9"/>
  <c r="I2135" i="9"/>
  <c r="I2136" i="9"/>
  <c r="I2137" i="9"/>
  <c r="I2138" i="9"/>
  <c r="I2139" i="9"/>
  <c r="I2140" i="9"/>
  <c r="I2141" i="9"/>
  <c r="I2142" i="9"/>
  <c r="I2143" i="9"/>
  <c r="I2144" i="9"/>
  <c r="I2145" i="9"/>
  <c r="I2146" i="9"/>
  <c r="I2147" i="9"/>
  <c r="I2148" i="9"/>
  <c r="I2149" i="9"/>
  <c r="I2150" i="9"/>
  <c r="I2151" i="9"/>
  <c r="I2152" i="9"/>
  <c r="I2153" i="9"/>
  <c r="I2154" i="9"/>
  <c r="I2155" i="9"/>
  <c r="I2156" i="9"/>
  <c r="I2157" i="9"/>
  <c r="I2158" i="9"/>
  <c r="I2159" i="9"/>
  <c r="I2160" i="9"/>
  <c r="I2161" i="9"/>
  <c r="I2162" i="9"/>
  <c r="I2163" i="9"/>
  <c r="I2164" i="9"/>
  <c r="I2165" i="9"/>
  <c r="I2166" i="9"/>
  <c r="I2167" i="9"/>
  <c r="I2168" i="9"/>
  <c r="I2169" i="9"/>
  <c r="I2170" i="9"/>
  <c r="I2171" i="9"/>
  <c r="I2172" i="9"/>
  <c r="I2173" i="9"/>
  <c r="I2174" i="9"/>
  <c r="I2175" i="9"/>
  <c r="I2176" i="9"/>
  <c r="I2177" i="9"/>
  <c r="I2178" i="9"/>
  <c r="I2179" i="9"/>
  <c r="I2180" i="9"/>
  <c r="I2181" i="9"/>
  <c r="I2182" i="9"/>
  <c r="I2183" i="9"/>
  <c r="I2184" i="9"/>
  <c r="I2185" i="9"/>
  <c r="I2186" i="9"/>
  <c r="I2187" i="9"/>
  <c r="I2188" i="9"/>
  <c r="I2189" i="9"/>
  <c r="I2190" i="9"/>
  <c r="I2191" i="9"/>
  <c r="I2192" i="9"/>
  <c r="I2193" i="9"/>
  <c r="I2194" i="9"/>
  <c r="I2195" i="9"/>
  <c r="I2196" i="9"/>
  <c r="I2197" i="9"/>
  <c r="I2198" i="9"/>
  <c r="I2199" i="9"/>
  <c r="I2200" i="9"/>
  <c r="I2201" i="9"/>
  <c r="I2202" i="9"/>
  <c r="I2203" i="9"/>
  <c r="I2204" i="9"/>
  <c r="I2205" i="9"/>
  <c r="I2206" i="9"/>
  <c r="I2207" i="9"/>
  <c r="I2208" i="9"/>
  <c r="I2209" i="9"/>
  <c r="I2210" i="9"/>
  <c r="I2211" i="9"/>
  <c r="I2212" i="9"/>
  <c r="I2213" i="9"/>
  <c r="I2214" i="9"/>
  <c r="I2215" i="9"/>
  <c r="I2216" i="9"/>
  <c r="I2217" i="9"/>
  <c r="I2218" i="9"/>
  <c r="I2219" i="9"/>
  <c r="I2220" i="9"/>
  <c r="I2221" i="9"/>
  <c r="I2222" i="9"/>
  <c r="I2223" i="9"/>
  <c r="I2224" i="9"/>
  <c r="I2225" i="9"/>
  <c r="I2226" i="9"/>
  <c r="I2227" i="9"/>
  <c r="I2228" i="9"/>
  <c r="I2229" i="9"/>
  <c r="I2230" i="9"/>
  <c r="I2231" i="9"/>
  <c r="I2232" i="9"/>
  <c r="I2233" i="9"/>
  <c r="I2234" i="9"/>
  <c r="I2235" i="9"/>
  <c r="I2236" i="9"/>
  <c r="I2237" i="9"/>
  <c r="I2238" i="9"/>
  <c r="I2239" i="9"/>
  <c r="I2240" i="9"/>
  <c r="I2241" i="9"/>
  <c r="I2242" i="9"/>
  <c r="I2243" i="9"/>
  <c r="I2244" i="9"/>
  <c r="I2245" i="9"/>
  <c r="I2246" i="9"/>
  <c r="I2247" i="9"/>
  <c r="I2248" i="9"/>
  <c r="I2249" i="9"/>
  <c r="I2250" i="9"/>
  <c r="I2251" i="9"/>
  <c r="I2252" i="9"/>
  <c r="I2253" i="9"/>
  <c r="I2254" i="9"/>
  <c r="I2255" i="9"/>
  <c r="I2256" i="9"/>
  <c r="I2257" i="9"/>
  <c r="I2258" i="9"/>
  <c r="I2259" i="9"/>
  <c r="I2260" i="9"/>
  <c r="I2261" i="9"/>
  <c r="I2262" i="9"/>
  <c r="I2263" i="9"/>
  <c r="I2264" i="9"/>
  <c r="I2265" i="9"/>
  <c r="I2266" i="9"/>
  <c r="I2267" i="9"/>
  <c r="I2268" i="9"/>
  <c r="I2269" i="9"/>
  <c r="I2270" i="9"/>
  <c r="I2271" i="9"/>
  <c r="I2272" i="9"/>
  <c r="I2273" i="9"/>
  <c r="I2274" i="9"/>
  <c r="I2275" i="9"/>
  <c r="I2276" i="9"/>
  <c r="I2277" i="9"/>
  <c r="I2278" i="9"/>
  <c r="I2279" i="9"/>
  <c r="I2280" i="9"/>
  <c r="I2281" i="9"/>
  <c r="I2282" i="9"/>
  <c r="I2283" i="9"/>
  <c r="I2284" i="9"/>
  <c r="I2285" i="9"/>
  <c r="I2286" i="9"/>
  <c r="I2287" i="9"/>
  <c r="I2288" i="9"/>
  <c r="I2289" i="9"/>
  <c r="I2290" i="9"/>
  <c r="I2291" i="9"/>
  <c r="I2292" i="9"/>
  <c r="I2293" i="9"/>
  <c r="I2294" i="9"/>
  <c r="I2295" i="9"/>
  <c r="I2296" i="9"/>
  <c r="I2297" i="9"/>
  <c r="I2298" i="9"/>
  <c r="I2299" i="9"/>
  <c r="I2300" i="9"/>
  <c r="I2301" i="9"/>
  <c r="I2302" i="9"/>
  <c r="I2303" i="9"/>
  <c r="I2304" i="9"/>
  <c r="I2305" i="9"/>
  <c r="I2306" i="9"/>
  <c r="I2307" i="9"/>
  <c r="I2308" i="9"/>
  <c r="I2309" i="9"/>
  <c r="I2310" i="9"/>
  <c r="I2311" i="9"/>
  <c r="I2312" i="9"/>
  <c r="I2313" i="9"/>
  <c r="I2314" i="9"/>
  <c r="I2315" i="9"/>
  <c r="I2316" i="9"/>
  <c r="I2317" i="9"/>
  <c r="I2318" i="9"/>
  <c r="I2319" i="9"/>
  <c r="I2320" i="9"/>
  <c r="I2321" i="9"/>
  <c r="I2322" i="9"/>
  <c r="I2323" i="9"/>
  <c r="I2324" i="9"/>
  <c r="I2325" i="9"/>
  <c r="I2326" i="9"/>
  <c r="I2327" i="9"/>
  <c r="I2328" i="9"/>
  <c r="I2329" i="9"/>
  <c r="I2330" i="9"/>
  <c r="I2331" i="9"/>
  <c r="I2332" i="9"/>
  <c r="I2333" i="9"/>
  <c r="I2334" i="9"/>
  <c r="I2335" i="9"/>
  <c r="I2336" i="9"/>
  <c r="I2337" i="9"/>
  <c r="I2338" i="9"/>
  <c r="I2339" i="9"/>
  <c r="I2340" i="9"/>
  <c r="I2341" i="9"/>
  <c r="I2342" i="9"/>
  <c r="I2343" i="9"/>
  <c r="I2344" i="9"/>
  <c r="I2345" i="9"/>
  <c r="I2346" i="9"/>
  <c r="I2347" i="9"/>
  <c r="I2348" i="9"/>
  <c r="I2349" i="9"/>
  <c r="I2350" i="9"/>
  <c r="I2351" i="9"/>
  <c r="I2352" i="9"/>
  <c r="I2353" i="9"/>
  <c r="I2354" i="9"/>
  <c r="I2355" i="9"/>
  <c r="I2356" i="9"/>
  <c r="I2357" i="9"/>
  <c r="I2358" i="9"/>
  <c r="I2359" i="9"/>
  <c r="I2360" i="9"/>
  <c r="I2361" i="9"/>
  <c r="I2362" i="9"/>
  <c r="I2363" i="9"/>
  <c r="I2364" i="9"/>
  <c r="I2365" i="9"/>
  <c r="I2366" i="9"/>
  <c r="I2367" i="9"/>
  <c r="I2368" i="9"/>
  <c r="I2369" i="9"/>
  <c r="I2370" i="9"/>
  <c r="I2371" i="9"/>
  <c r="I2372" i="9"/>
  <c r="I2373" i="9"/>
  <c r="I2374" i="9"/>
  <c r="I2375" i="9"/>
  <c r="I2376" i="9"/>
  <c r="I2377" i="9"/>
  <c r="I2378" i="9"/>
  <c r="I2379" i="9"/>
  <c r="I2380" i="9"/>
  <c r="I2381" i="9"/>
  <c r="I2382" i="9"/>
  <c r="I2383" i="9"/>
  <c r="I2384" i="9"/>
  <c r="I2385" i="9"/>
  <c r="I2386" i="9"/>
  <c r="I2387" i="9"/>
  <c r="I2388" i="9"/>
  <c r="I2389" i="9"/>
  <c r="I2390" i="9"/>
  <c r="I2391" i="9"/>
  <c r="I2392" i="9"/>
  <c r="I2393" i="9"/>
  <c r="I2394" i="9"/>
  <c r="I2395" i="9"/>
  <c r="I2396" i="9"/>
  <c r="I2397" i="9"/>
  <c r="I2398" i="9"/>
  <c r="I2399" i="9"/>
  <c r="I2400" i="9"/>
  <c r="I2401" i="9"/>
  <c r="I2402" i="9"/>
  <c r="I2403" i="9"/>
  <c r="I2404" i="9"/>
  <c r="I2405" i="9"/>
  <c r="I2406" i="9"/>
  <c r="I2407" i="9"/>
  <c r="I2408" i="9"/>
  <c r="I2409" i="9"/>
  <c r="I2410" i="9"/>
  <c r="I2411" i="9"/>
  <c r="I2412" i="9"/>
  <c r="I2413" i="9"/>
  <c r="I2414" i="9"/>
  <c r="I2415" i="9"/>
  <c r="I2416" i="9"/>
  <c r="I2417" i="9"/>
  <c r="I2418" i="9"/>
  <c r="I2419" i="9"/>
  <c r="I2420" i="9"/>
  <c r="I2421" i="9"/>
  <c r="I2422" i="9"/>
  <c r="I2423" i="9"/>
  <c r="I2424" i="9"/>
  <c r="I2425" i="9"/>
  <c r="I2426" i="9"/>
  <c r="I2427" i="9"/>
  <c r="I2428" i="9"/>
  <c r="I2429" i="9"/>
  <c r="I2430" i="9"/>
  <c r="I2431" i="9"/>
  <c r="I2432" i="9"/>
  <c r="I2433" i="9"/>
  <c r="I2434" i="9"/>
  <c r="I2435" i="9"/>
  <c r="I2436" i="9"/>
  <c r="I2437" i="9"/>
  <c r="I2438" i="9"/>
  <c r="I2439" i="9"/>
  <c r="I2440" i="9"/>
  <c r="I2441" i="9"/>
  <c r="I2442" i="9"/>
  <c r="I2443" i="9"/>
  <c r="I2444" i="9"/>
  <c r="I2445" i="9"/>
  <c r="I2446" i="9"/>
  <c r="I2447" i="9"/>
  <c r="I2448" i="9"/>
  <c r="I2449" i="9"/>
  <c r="I2450" i="9"/>
  <c r="I2451" i="9"/>
  <c r="I2452" i="9"/>
  <c r="I2453" i="9"/>
  <c r="I2454" i="9"/>
  <c r="I2455" i="9"/>
  <c r="I2456" i="9"/>
  <c r="I2457" i="9"/>
  <c r="I2458" i="9"/>
  <c r="I2459" i="9"/>
  <c r="I2460" i="9"/>
  <c r="I2461" i="9"/>
  <c r="I2462" i="9"/>
  <c r="I2463" i="9"/>
  <c r="I2464" i="9"/>
  <c r="I2465" i="9"/>
  <c r="I2466" i="9"/>
  <c r="I2467" i="9"/>
  <c r="I2468" i="9"/>
  <c r="I2469" i="9"/>
  <c r="I2470" i="9"/>
  <c r="I2471" i="9"/>
  <c r="I2472" i="9"/>
  <c r="I2473" i="9"/>
  <c r="I2474" i="9"/>
  <c r="I2475" i="9"/>
  <c r="I2476" i="9"/>
  <c r="I2477" i="9"/>
  <c r="I2478" i="9"/>
  <c r="I2479" i="9"/>
  <c r="I2480" i="9"/>
  <c r="I2481" i="9"/>
  <c r="I2482" i="9"/>
  <c r="I2483" i="9"/>
  <c r="I2484" i="9"/>
  <c r="I2485" i="9"/>
  <c r="I2486" i="9"/>
  <c r="I2487" i="9"/>
  <c r="I2488" i="9"/>
  <c r="I2489" i="9"/>
  <c r="I2490" i="9"/>
  <c r="I2491" i="9"/>
  <c r="I2492" i="9"/>
  <c r="I2493" i="9"/>
  <c r="I2494" i="9"/>
  <c r="I2495" i="9"/>
  <c r="I2496" i="9"/>
  <c r="I2497" i="9"/>
  <c r="I2498" i="9"/>
  <c r="I2499" i="9"/>
  <c r="I2500" i="9"/>
  <c r="I2501" i="9"/>
  <c r="I2502" i="9"/>
  <c r="I2503" i="9"/>
  <c r="I2504" i="9"/>
  <c r="I2505" i="9"/>
  <c r="I2506" i="9"/>
  <c r="I2507" i="9"/>
  <c r="I2508" i="9"/>
  <c r="I2509" i="9"/>
  <c r="I2510" i="9"/>
  <c r="I2511" i="9"/>
  <c r="I2512" i="9"/>
  <c r="I2513" i="9"/>
  <c r="I2514" i="9"/>
  <c r="I2515" i="9"/>
  <c r="I2516" i="9"/>
  <c r="I2517" i="9"/>
  <c r="I2518" i="9"/>
  <c r="I2519" i="9"/>
  <c r="I2520" i="9"/>
  <c r="I2521" i="9"/>
  <c r="I2522" i="9"/>
  <c r="I2523" i="9"/>
  <c r="I2524" i="9"/>
  <c r="I2525" i="9"/>
  <c r="I2526" i="9"/>
  <c r="I2527" i="9"/>
  <c r="I2528" i="9"/>
  <c r="I2529" i="9"/>
  <c r="I2530" i="9"/>
  <c r="I2531" i="9"/>
  <c r="I2532" i="9"/>
  <c r="I2533" i="9"/>
  <c r="I2534" i="9"/>
  <c r="I2535" i="9"/>
  <c r="I2536" i="9"/>
  <c r="I2537" i="9"/>
  <c r="I2538" i="9"/>
  <c r="I2539" i="9"/>
  <c r="I2540" i="9"/>
  <c r="I2541" i="9"/>
  <c r="I2542" i="9"/>
  <c r="I2543" i="9"/>
  <c r="I2544" i="9"/>
  <c r="I2545" i="9"/>
  <c r="I2546" i="9"/>
  <c r="I2547" i="9"/>
  <c r="I2548" i="9"/>
  <c r="I2549" i="9"/>
  <c r="I2550" i="9"/>
  <c r="I2551" i="9"/>
  <c r="I2552" i="9"/>
  <c r="I2553" i="9"/>
  <c r="I2554" i="9"/>
  <c r="I2555" i="9"/>
  <c r="I2556" i="9"/>
  <c r="I2557" i="9"/>
  <c r="I2558" i="9"/>
  <c r="I2559" i="9"/>
  <c r="I2560" i="9"/>
  <c r="I2561" i="9"/>
  <c r="I2562" i="9"/>
  <c r="I2563" i="9"/>
  <c r="I2564" i="9"/>
  <c r="I2565" i="9"/>
  <c r="I2566" i="9"/>
  <c r="I2567" i="9"/>
  <c r="I2568" i="9"/>
  <c r="I2569" i="9"/>
  <c r="I2570" i="9"/>
  <c r="I2571" i="9"/>
  <c r="I2572" i="9"/>
  <c r="I2573" i="9"/>
  <c r="I2574" i="9"/>
  <c r="I2575" i="9"/>
  <c r="I2576" i="9"/>
  <c r="I2577" i="9"/>
  <c r="I2578" i="9"/>
  <c r="I2579" i="9"/>
  <c r="I2580" i="9"/>
  <c r="I2581" i="9"/>
  <c r="I2582" i="9"/>
  <c r="I2583" i="9"/>
  <c r="I2584" i="9"/>
  <c r="I2585" i="9"/>
  <c r="I2586" i="9"/>
  <c r="I2587" i="9"/>
  <c r="I2588" i="9"/>
  <c r="I2589" i="9"/>
  <c r="I2590" i="9"/>
  <c r="I2591" i="9"/>
  <c r="I2592" i="9"/>
  <c r="I2593" i="9"/>
  <c r="I2594" i="9"/>
  <c r="I2595" i="9"/>
  <c r="I2596" i="9"/>
  <c r="I2597" i="9"/>
  <c r="I2598" i="9"/>
  <c r="I2599" i="9"/>
  <c r="I2600" i="9"/>
  <c r="I2601" i="9"/>
  <c r="I2602" i="9"/>
  <c r="I2603" i="9"/>
  <c r="I2604" i="9"/>
  <c r="I2605" i="9"/>
  <c r="I2606" i="9"/>
  <c r="I2607" i="9"/>
  <c r="I2608" i="9"/>
  <c r="I2609" i="9"/>
  <c r="I2610" i="9"/>
  <c r="I2611" i="9"/>
  <c r="I2612" i="9"/>
  <c r="I2613" i="9"/>
  <c r="I2614" i="9"/>
  <c r="I2615" i="9"/>
  <c r="I2616" i="9"/>
  <c r="I2617" i="9"/>
  <c r="I2618" i="9"/>
  <c r="I2619" i="9"/>
  <c r="I2620" i="9"/>
  <c r="I2621" i="9"/>
  <c r="I2622" i="9"/>
  <c r="I2623" i="9"/>
  <c r="I2624" i="9"/>
  <c r="I2625" i="9"/>
  <c r="I2626" i="9"/>
  <c r="I2627" i="9"/>
  <c r="I2628" i="9"/>
  <c r="I2629" i="9"/>
  <c r="I2630" i="9"/>
  <c r="I2631" i="9"/>
  <c r="I2632" i="9"/>
  <c r="I2633" i="9"/>
  <c r="I2634" i="9"/>
  <c r="I2635" i="9"/>
  <c r="I2636" i="9"/>
  <c r="I2637" i="9"/>
  <c r="I2638" i="9"/>
  <c r="I2639" i="9"/>
  <c r="I2640" i="9"/>
  <c r="I2641" i="9"/>
  <c r="I2642" i="9"/>
  <c r="I2643" i="9"/>
  <c r="I2644" i="9"/>
  <c r="I2645" i="9"/>
  <c r="I2646" i="9"/>
  <c r="I2647" i="9"/>
  <c r="I2648" i="9"/>
  <c r="I2649" i="9"/>
  <c r="I2650" i="9"/>
  <c r="I2651" i="9"/>
  <c r="I2652" i="9"/>
  <c r="I2653" i="9"/>
  <c r="I2654" i="9"/>
  <c r="I2655" i="9"/>
  <c r="I2656" i="9"/>
  <c r="I2657" i="9"/>
  <c r="I2658" i="9"/>
  <c r="I2659" i="9"/>
  <c r="I2660" i="9"/>
  <c r="I2661" i="9"/>
  <c r="I2662" i="9"/>
  <c r="I2663" i="9"/>
  <c r="I2664" i="9"/>
  <c r="I2665" i="9"/>
  <c r="I2666" i="9"/>
  <c r="I2667" i="9"/>
  <c r="I2668" i="9"/>
  <c r="I2669" i="9"/>
  <c r="I2670" i="9"/>
  <c r="I2671" i="9"/>
  <c r="I2672" i="9"/>
  <c r="I2673" i="9"/>
  <c r="I2674" i="9"/>
  <c r="I2675" i="9"/>
  <c r="I2676" i="9"/>
  <c r="I2677" i="9"/>
  <c r="I2678" i="9"/>
  <c r="I2679" i="9"/>
  <c r="I2680" i="9"/>
  <c r="I2681" i="9"/>
  <c r="I2682" i="9"/>
  <c r="I2683" i="9"/>
  <c r="I2684" i="9"/>
  <c r="I2685" i="9"/>
  <c r="I2686" i="9"/>
  <c r="I2687" i="9"/>
  <c r="I2688" i="9"/>
  <c r="I2689" i="9"/>
  <c r="I2690" i="9"/>
  <c r="I2691" i="9"/>
  <c r="I2692" i="9"/>
  <c r="I2693" i="9"/>
  <c r="I2694" i="9"/>
  <c r="I2695" i="9"/>
  <c r="I2696" i="9"/>
  <c r="I2697" i="9"/>
  <c r="I2698" i="9"/>
  <c r="I2699" i="9"/>
  <c r="I2700" i="9"/>
  <c r="I2701" i="9"/>
  <c r="I2702" i="9"/>
  <c r="I2703" i="9"/>
  <c r="I2704" i="9"/>
  <c r="I2705" i="9"/>
  <c r="I2706" i="9"/>
  <c r="I2707" i="9"/>
  <c r="I2708" i="9"/>
  <c r="I2709" i="9"/>
  <c r="I2710" i="9"/>
  <c r="I2711" i="9"/>
  <c r="I2712" i="9"/>
  <c r="I2713" i="9"/>
  <c r="I2714" i="9"/>
  <c r="I2715" i="9"/>
  <c r="I2716" i="9"/>
  <c r="I2717" i="9"/>
  <c r="I2718" i="9"/>
  <c r="I2719" i="9"/>
  <c r="I2720" i="9"/>
  <c r="I2721" i="9"/>
  <c r="I2722" i="9"/>
  <c r="I2723" i="9"/>
  <c r="I2724" i="9"/>
  <c r="I2725" i="9"/>
  <c r="I2726" i="9"/>
  <c r="I2727" i="9"/>
  <c r="I2728" i="9"/>
  <c r="I2729" i="9"/>
  <c r="I2730" i="9"/>
  <c r="I2731" i="9"/>
  <c r="I2732" i="9"/>
  <c r="I2733" i="9"/>
  <c r="I2734" i="9"/>
  <c r="I2735" i="9"/>
  <c r="I2736" i="9"/>
  <c r="I2737" i="9"/>
  <c r="I2738" i="9"/>
  <c r="I2739" i="9"/>
  <c r="I2740" i="9"/>
  <c r="I2741" i="9"/>
  <c r="I2742" i="9"/>
  <c r="I2743" i="9"/>
  <c r="I2744" i="9"/>
  <c r="I2745" i="9"/>
  <c r="I2746" i="9"/>
  <c r="I2747" i="9"/>
  <c r="I2748" i="9"/>
  <c r="I2749" i="9"/>
  <c r="I2750" i="9"/>
  <c r="I2751" i="9"/>
  <c r="I2752" i="9"/>
  <c r="I2753" i="9"/>
  <c r="I2754" i="9"/>
  <c r="I2755" i="9"/>
  <c r="I2756" i="9"/>
  <c r="I2757" i="9"/>
  <c r="I2758" i="9"/>
  <c r="I2759" i="9"/>
  <c r="I2760" i="9"/>
  <c r="I2761" i="9"/>
  <c r="I2762" i="9"/>
  <c r="I2763" i="9"/>
  <c r="I2764" i="9"/>
  <c r="I2765" i="9"/>
  <c r="I2766" i="9"/>
  <c r="I2767" i="9"/>
  <c r="I2768" i="9"/>
  <c r="I2769" i="9"/>
  <c r="I2770" i="9"/>
  <c r="I2771" i="9"/>
  <c r="I2772" i="9"/>
  <c r="I2773" i="9"/>
  <c r="I2774" i="9"/>
  <c r="I2775" i="9"/>
  <c r="I2776" i="9"/>
  <c r="I2777" i="9"/>
  <c r="I2778" i="9"/>
  <c r="I2779" i="9"/>
  <c r="I2780" i="9"/>
  <c r="I2781" i="9"/>
  <c r="I2782" i="9"/>
  <c r="I2783" i="9"/>
  <c r="I2784" i="9"/>
  <c r="I2785" i="9"/>
  <c r="I2786" i="9"/>
  <c r="I2787" i="9"/>
  <c r="I2788" i="9"/>
  <c r="I2789" i="9"/>
  <c r="I2790" i="9"/>
  <c r="I2791" i="9"/>
  <c r="I2792" i="9"/>
  <c r="I2793" i="9"/>
  <c r="I2794" i="9"/>
  <c r="I2795" i="9"/>
  <c r="I2796" i="9"/>
  <c r="I2797" i="9"/>
  <c r="I2798" i="9"/>
  <c r="I2799" i="9"/>
  <c r="I2800" i="9"/>
  <c r="I2801" i="9"/>
  <c r="I2802" i="9"/>
  <c r="I2803" i="9"/>
  <c r="I2804" i="9"/>
  <c r="I2805" i="9"/>
  <c r="I2806" i="9"/>
  <c r="I2807" i="9"/>
  <c r="I2808" i="9"/>
  <c r="I2809" i="9"/>
  <c r="I2810" i="9"/>
  <c r="I2811" i="9"/>
  <c r="I2812" i="9"/>
  <c r="I2813" i="9"/>
  <c r="I2814" i="9"/>
  <c r="I2815" i="9"/>
  <c r="I2816" i="9"/>
  <c r="I2817" i="9"/>
  <c r="I2818" i="9"/>
  <c r="I2819" i="9"/>
  <c r="I2820" i="9"/>
  <c r="I2821" i="9"/>
  <c r="I2822" i="9"/>
  <c r="I2823" i="9"/>
  <c r="I2824" i="9"/>
  <c r="I2825" i="9"/>
  <c r="I2826" i="9"/>
  <c r="I2827" i="9"/>
  <c r="I2828" i="9"/>
  <c r="I2829" i="9"/>
  <c r="I2830" i="9"/>
  <c r="I2831" i="9"/>
  <c r="I2832" i="9"/>
  <c r="I2833" i="9"/>
  <c r="I2834" i="9"/>
  <c r="I2835" i="9"/>
  <c r="I2836" i="9"/>
  <c r="I2837" i="9"/>
  <c r="I2838" i="9"/>
  <c r="I2839" i="9"/>
  <c r="I2840" i="9"/>
  <c r="I2841" i="9"/>
  <c r="I2842" i="9"/>
  <c r="I2843" i="9"/>
  <c r="I2844" i="9"/>
  <c r="I2845" i="9"/>
  <c r="I2846" i="9"/>
  <c r="I2847" i="9"/>
  <c r="I2848" i="9"/>
  <c r="I2849" i="9"/>
  <c r="I2850" i="9"/>
  <c r="I2851" i="9"/>
  <c r="I2852" i="9"/>
  <c r="I2853" i="9"/>
  <c r="I2854" i="9"/>
  <c r="I2855" i="9"/>
  <c r="I2856" i="9"/>
  <c r="I2857" i="9"/>
  <c r="I2858" i="9"/>
  <c r="I2859" i="9"/>
  <c r="I2860" i="9"/>
  <c r="I2861" i="9"/>
  <c r="I2862" i="9"/>
  <c r="I2863" i="9"/>
  <c r="I2864" i="9"/>
  <c r="I2865" i="9"/>
  <c r="I2866" i="9"/>
  <c r="I2867" i="9"/>
  <c r="I2868" i="9"/>
  <c r="I2869" i="9"/>
  <c r="I2870" i="9"/>
  <c r="I2871" i="9"/>
  <c r="I2872" i="9"/>
  <c r="I2873" i="9"/>
  <c r="I2874" i="9"/>
  <c r="I2875" i="9"/>
  <c r="I2876" i="9"/>
  <c r="I2877" i="9"/>
  <c r="I2878" i="9"/>
  <c r="I2879" i="9"/>
  <c r="I2880" i="9"/>
  <c r="I2881" i="9"/>
  <c r="I2882" i="9"/>
  <c r="I2883" i="9"/>
  <c r="I2884" i="9"/>
  <c r="I2885" i="9"/>
  <c r="I2886" i="9"/>
  <c r="I2887" i="9"/>
  <c r="I2888" i="9"/>
  <c r="I2889" i="9"/>
  <c r="I2890" i="9"/>
  <c r="I2891" i="9"/>
  <c r="I2892" i="9"/>
  <c r="I2893" i="9"/>
  <c r="I2894" i="9"/>
  <c r="I2895" i="9"/>
  <c r="I2896" i="9"/>
  <c r="I2897" i="9"/>
  <c r="I2898" i="9"/>
  <c r="I2899" i="9"/>
  <c r="I2900" i="9"/>
  <c r="I2901" i="9"/>
  <c r="I2902" i="9"/>
  <c r="I2903" i="9"/>
  <c r="I2904" i="9"/>
  <c r="I2905" i="9"/>
  <c r="I2906" i="9"/>
  <c r="I2907" i="9"/>
  <c r="I2908" i="9"/>
  <c r="I2909" i="9"/>
  <c r="I2910" i="9"/>
  <c r="I2911" i="9"/>
  <c r="I2912" i="9"/>
  <c r="I2913" i="9"/>
  <c r="I2914" i="9"/>
  <c r="I2915" i="9"/>
  <c r="I2916" i="9"/>
  <c r="I2917" i="9"/>
  <c r="I2918" i="9"/>
  <c r="I2919" i="9"/>
  <c r="I2920" i="9"/>
  <c r="I2921" i="9"/>
  <c r="I2922" i="9"/>
  <c r="I2923" i="9"/>
  <c r="I2924" i="9"/>
  <c r="I2925" i="9"/>
  <c r="I2926" i="9"/>
  <c r="I2927" i="9"/>
  <c r="I2928" i="9"/>
  <c r="I2929" i="9"/>
  <c r="I2930" i="9"/>
  <c r="I2931" i="9"/>
  <c r="I2932" i="9"/>
  <c r="I2933" i="9"/>
  <c r="I2934" i="9"/>
  <c r="I2935" i="9"/>
  <c r="I2936" i="9"/>
  <c r="I2937" i="9"/>
  <c r="I2938" i="9"/>
  <c r="I2939" i="9"/>
  <c r="I2940" i="9"/>
  <c r="I2941" i="9"/>
  <c r="I2942" i="9"/>
  <c r="I2943" i="9"/>
  <c r="I2944" i="9"/>
  <c r="I2945" i="9"/>
  <c r="I2946" i="9"/>
  <c r="I2947" i="9"/>
  <c r="I2948" i="9"/>
  <c r="I2949" i="9"/>
  <c r="I2950" i="9"/>
  <c r="I2951" i="9"/>
  <c r="I2952" i="9"/>
  <c r="I2953" i="9"/>
  <c r="I2954" i="9"/>
  <c r="I2955" i="9"/>
  <c r="I2956" i="9"/>
  <c r="I2957" i="9"/>
  <c r="I2958" i="9"/>
  <c r="I2959" i="9"/>
  <c r="I2960" i="9"/>
  <c r="I2961" i="9"/>
  <c r="I2962" i="9"/>
  <c r="I2963" i="9"/>
  <c r="I2964" i="9"/>
  <c r="I2965" i="9"/>
  <c r="I2966" i="9"/>
  <c r="I2967" i="9"/>
  <c r="I2968" i="9"/>
  <c r="I2969" i="9"/>
  <c r="I2970" i="9"/>
  <c r="I2971" i="9"/>
  <c r="I2972" i="9"/>
  <c r="I2973" i="9"/>
  <c r="I2974" i="9"/>
  <c r="I2975" i="9"/>
  <c r="I2976" i="9"/>
  <c r="I2977" i="9"/>
  <c r="I2978" i="9"/>
  <c r="I2979" i="9"/>
  <c r="I2980" i="9"/>
  <c r="I2981" i="9"/>
  <c r="I2982" i="9"/>
  <c r="I2983" i="9"/>
  <c r="I2984" i="9"/>
  <c r="I2985" i="9"/>
  <c r="I2986" i="9"/>
  <c r="I2987" i="9"/>
  <c r="I2988" i="9"/>
  <c r="I2989" i="9"/>
  <c r="I2990" i="9"/>
  <c r="I2991" i="9"/>
  <c r="I2992" i="9"/>
  <c r="I2993" i="9"/>
  <c r="I2994" i="9"/>
  <c r="I2995" i="9"/>
  <c r="I2996" i="9"/>
  <c r="I2997" i="9"/>
  <c r="I2998" i="9"/>
  <c r="I2999" i="9"/>
  <c r="I3000" i="9"/>
  <c r="I3001" i="9"/>
  <c r="I3002" i="9"/>
  <c r="I3003" i="9"/>
  <c r="I3004" i="9"/>
  <c r="I3005" i="9"/>
  <c r="I3006" i="9"/>
  <c r="I3007" i="9"/>
  <c r="I3008" i="9"/>
  <c r="I3009" i="9"/>
  <c r="I3010" i="9"/>
  <c r="I3011" i="9"/>
  <c r="I3012" i="9"/>
  <c r="I3013" i="9"/>
  <c r="I3014" i="9"/>
  <c r="I3015" i="9"/>
  <c r="I3016" i="9"/>
  <c r="I3017" i="9"/>
  <c r="I3018" i="9"/>
  <c r="I3019" i="9"/>
  <c r="I3020" i="9"/>
  <c r="I3021" i="9"/>
  <c r="I3022" i="9"/>
  <c r="I3023" i="9"/>
  <c r="I3024" i="9"/>
  <c r="I3025" i="9"/>
  <c r="I3026" i="9"/>
  <c r="I3027" i="9"/>
  <c r="I3028" i="9"/>
  <c r="I3029" i="9"/>
  <c r="I3030" i="9"/>
  <c r="I3031" i="9"/>
  <c r="I3032" i="9"/>
  <c r="I3033" i="9"/>
  <c r="I3034" i="9"/>
  <c r="I3035" i="9"/>
  <c r="I3036" i="9"/>
  <c r="I3037" i="9"/>
  <c r="I3038" i="9"/>
  <c r="I3039" i="9"/>
  <c r="I3040" i="9"/>
  <c r="I3041" i="9"/>
  <c r="I3042" i="9"/>
  <c r="I3043" i="9"/>
  <c r="I3044" i="9"/>
  <c r="I3045" i="9"/>
  <c r="I3046" i="9"/>
  <c r="I3047" i="9"/>
  <c r="I3048" i="9"/>
  <c r="I3049" i="9"/>
  <c r="I3050" i="9"/>
  <c r="I3051" i="9"/>
  <c r="I3052" i="9"/>
  <c r="I3053" i="9"/>
  <c r="I3054" i="9"/>
  <c r="I3055" i="9"/>
  <c r="I3056" i="9"/>
  <c r="I3057" i="9"/>
  <c r="I3058" i="9"/>
  <c r="I3059" i="9"/>
  <c r="I3060" i="9"/>
  <c r="I3061" i="9"/>
  <c r="I3062" i="9"/>
  <c r="I3063" i="9"/>
  <c r="I3064" i="9"/>
  <c r="I3065" i="9"/>
  <c r="I3066" i="9"/>
  <c r="I3067" i="9"/>
  <c r="I3068" i="9"/>
  <c r="I3069" i="9"/>
  <c r="I3070" i="9"/>
  <c r="I3071" i="9"/>
  <c r="I3072" i="9"/>
  <c r="I3073" i="9"/>
  <c r="I3074" i="9"/>
  <c r="I3075" i="9"/>
  <c r="I3076" i="9"/>
  <c r="I3077" i="9"/>
  <c r="I3078" i="9"/>
  <c r="I3079" i="9"/>
  <c r="I3080" i="9"/>
  <c r="I3081" i="9"/>
  <c r="I3082" i="9"/>
  <c r="I3083" i="9"/>
  <c r="I3084" i="9"/>
  <c r="I3085" i="9"/>
  <c r="I3086" i="9"/>
  <c r="I3087" i="9"/>
  <c r="I3088" i="9"/>
  <c r="I3089" i="9"/>
  <c r="I3090" i="9"/>
  <c r="I3091" i="9"/>
  <c r="I3092" i="9"/>
  <c r="I3093" i="9"/>
  <c r="I3094" i="9"/>
  <c r="I3095" i="9"/>
  <c r="I3096" i="9"/>
  <c r="I3097" i="9"/>
  <c r="I3098" i="9"/>
  <c r="I3099" i="9"/>
  <c r="I3100" i="9"/>
  <c r="I3101" i="9"/>
  <c r="I3102" i="9"/>
  <c r="I3103" i="9"/>
  <c r="I3104" i="9"/>
  <c r="I3105" i="9"/>
  <c r="I3106" i="9"/>
  <c r="I3107" i="9"/>
  <c r="I3108" i="9"/>
  <c r="I3109" i="9"/>
  <c r="I3110" i="9"/>
  <c r="I3111" i="9"/>
  <c r="I3112" i="9"/>
  <c r="I3113" i="9"/>
  <c r="I3114" i="9"/>
  <c r="I3115" i="9"/>
  <c r="I3116" i="9"/>
  <c r="I3117" i="9"/>
  <c r="I3118" i="9"/>
  <c r="I3119" i="9"/>
  <c r="I3120" i="9"/>
  <c r="I3121" i="9"/>
  <c r="I3122" i="9"/>
  <c r="I3123" i="9"/>
  <c r="I3126" i="9"/>
  <c r="I3127" i="9"/>
  <c r="I3128" i="9"/>
  <c r="I3129" i="9"/>
  <c r="I3130" i="9"/>
  <c r="I3131" i="9"/>
  <c r="I3132" i="9"/>
  <c r="I3133" i="9"/>
  <c r="I3134" i="9"/>
  <c r="I3135" i="9"/>
  <c r="I3139" i="9"/>
  <c r="I3140" i="9"/>
  <c r="I3141" i="9"/>
  <c r="I3142" i="9"/>
  <c r="I3143" i="9"/>
  <c r="V324" i="6"/>
  <c r="V325" i="6"/>
  <c r="O8" i="7"/>
  <c r="O9" i="7"/>
  <c r="O10" i="7"/>
  <c r="O11" i="7"/>
  <c r="O12" i="7"/>
  <c r="O13" i="7"/>
  <c r="O14" i="7"/>
  <c r="O15" i="7"/>
  <c r="O16" i="7"/>
  <c r="O17" i="7"/>
  <c r="O22" i="7"/>
  <c r="O23" i="7"/>
  <c r="O24" i="7"/>
  <c r="O25" i="7"/>
  <c r="O26" i="7"/>
  <c r="O27" i="7"/>
  <c r="O28" i="7"/>
  <c r="O29" i="7"/>
  <c r="O30" i="7"/>
  <c r="O31" i="7"/>
  <c r="O32" i="7"/>
  <c r="O37" i="7"/>
  <c r="O38" i="7"/>
  <c r="O39" i="7"/>
  <c r="O40" i="7"/>
  <c r="O41" i="7"/>
  <c r="O42" i="7"/>
  <c r="O43" i="7"/>
  <c r="O44" i="7"/>
  <c r="O45" i="7"/>
  <c r="O46" i="7"/>
  <c r="O47" i="7"/>
  <c r="O52" i="7"/>
  <c r="O53" i="7"/>
  <c r="O54" i="7"/>
  <c r="O55" i="7"/>
  <c r="O56" i="7"/>
  <c r="O57" i="7"/>
  <c r="O58" i="7"/>
  <c r="O59" i="7"/>
  <c r="O60" i="7"/>
  <c r="O61" i="7"/>
  <c r="O62" i="7"/>
  <c r="O67" i="7"/>
  <c r="O68" i="7"/>
  <c r="O69" i="7"/>
  <c r="O70" i="7"/>
  <c r="O71" i="7"/>
  <c r="O72" i="7"/>
  <c r="O73" i="7"/>
  <c r="O74" i="7"/>
  <c r="O75" i="7"/>
  <c r="O76" i="7"/>
  <c r="O77" i="7"/>
  <c r="O82" i="7"/>
  <c r="O83" i="7"/>
  <c r="O84" i="7"/>
  <c r="O85" i="7"/>
  <c r="O86" i="7"/>
  <c r="O87" i="7"/>
  <c r="O88" i="7"/>
  <c r="O89" i="7"/>
  <c r="O90" i="7"/>
  <c r="O91" i="7"/>
  <c r="O92" i="7"/>
  <c r="O97" i="7"/>
  <c r="O98" i="7"/>
  <c r="O99" i="7"/>
  <c r="O100" i="7"/>
  <c r="O101" i="7"/>
  <c r="O102" i="7"/>
  <c r="O103" i="7"/>
  <c r="O104" i="7"/>
  <c r="O105" i="7"/>
  <c r="O106" i="7"/>
  <c r="O107" i="7"/>
  <c r="O112" i="7"/>
  <c r="O113" i="7"/>
  <c r="O114" i="7"/>
  <c r="O115" i="7"/>
  <c r="O116" i="7"/>
  <c r="O117" i="7"/>
  <c r="O118" i="7"/>
  <c r="O119" i="7"/>
  <c r="O120" i="7"/>
  <c r="O121" i="7"/>
  <c r="O122" i="7"/>
  <c r="O127" i="7"/>
  <c r="O128" i="7"/>
  <c r="O129" i="7"/>
  <c r="O130" i="7"/>
  <c r="O131" i="7"/>
  <c r="O132" i="7"/>
  <c r="O133" i="7"/>
  <c r="O134" i="7"/>
  <c r="O135" i="7"/>
  <c r="O136" i="7"/>
  <c r="O137" i="7"/>
  <c r="O142" i="7"/>
  <c r="O143" i="7"/>
  <c r="O144" i="7"/>
  <c r="O145" i="7"/>
  <c r="O146" i="7"/>
  <c r="O147" i="7"/>
  <c r="O148" i="7"/>
  <c r="O149" i="7"/>
  <c r="O150" i="7"/>
  <c r="O151" i="7"/>
  <c r="O152" i="7"/>
  <c r="O157" i="7"/>
  <c r="O158" i="7"/>
  <c r="O159" i="7"/>
  <c r="O160" i="7"/>
  <c r="O161" i="7"/>
  <c r="O162" i="7"/>
  <c r="O163" i="7"/>
  <c r="O164" i="7"/>
  <c r="O165" i="7"/>
  <c r="O166" i="7"/>
  <c r="O167" i="7"/>
  <c r="O172" i="7"/>
  <c r="O173" i="7"/>
  <c r="O174" i="7"/>
  <c r="O175" i="7"/>
  <c r="O176" i="7"/>
  <c r="O177" i="7"/>
  <c r="O178" i="7"/>
  <c r="O179" i="7"/>
  <c r="O180" i="7"/>
  <c r="O181" i="7"/>
  <c r="O182" i="7"/>
  <c r="O187" i="7"/>
  <c r="O188" i="7"/>
  <c r="O217" i="7"/>
  <c r="O218" i="7"/>
  <c r="O219" i="7"/>
  <c r="O220" i="7"/>
  <c r="O221" i="7"/>
  <c r="O222" i="7"/>
  <c r="O223" i="7"/>
  <c r="O224" i="7"/>
  <c r="O225" i="7"/>
  <c r="O226" i="7"/>
  <c r="O227" i="7"/>
  <c r="O232" i="7"/>
  <c r="O233" i="7"/>
  <c r="O234" i="7"/>
  <c r="O235" i="7"/>
  <c r="O236" i="7"/>
  <c r="O237" i="7"/>
  <c r="O238" i="7"/>
  <c r="O239" i="7"/>
  <c r="O240" i="7"/>
  <c r="O241" i="7"/>
  <c r="O242" i="7"/>
  <c r="O247" i="7"/>
  <c r="O248" i="7"/>
  <c r="O249" i="7"/>
  <c r="O250" i="7"/>
  <c r="O251" i="7"/>
  <c r="O252" i="7"/>
  <c r="O253" i="7"/>
  <c r="O254" i="7"/>
  <c r="O255" i="7"/>
  <c r="O256" i="7"/>
  <c r="O257" i="7"/>
  <c r="O262" i="7"/>
  <c r="O263" i="7"/>
  <c r="O264" i="7"/>
  <c r="O265" i="7"/>
  <c r="O266" i="7"/>
  <c r="O267" i="7"/>
  <c r="O268" i="7"/>
  <c r="O269" i="7"/>
  <c r="O270" i="7"/>
  <c r="O271" i="7"/>
  <c r="O272" i="7"/>
  <c r="O277" i="7"/>
  <c r="O278" i="7"/>
  <c r="O279" i="7"/>
  <c r="O280" i="7"/>
  <c r="O281" i="7"/>
  <c r="O282" i="7"/>
  <c r="O283" i="7"/>
  <c r="O284" i="7"/>
  <c r="O285" i="7"/>
  <c r="O286" i="7"/>
  <c r="O287" i="7"/>
  <c r="O295" i="7"/>
  <c r="O296" i="7"/>
  <c r="O297" i="7"/>
  <c r="O298" i="7"/>
  <c r="O299" i="7"/>
  <c r="O300" i="7"/>
  <c r="O301" i="7"/>
  <c r="O302" i="7"/>
  <c r="O303" i="7"/>
  <c r="O304" i="7"/>
  <c r="O305" i="7"/>
  <c r="O310" i="7"/>
  <c r="O311" i="7"/>
  <c r="O312" i="7"/>
  <c r="O313" i="7"/>
  <c r="O314" i="7"/>
  <c r="O315" i="7"/>
  <c r="O316" i="7"/>
  <c r="O317" i="7"/>
  <c r="O318" i="7"/>
  <c r="O319" i="7"/>
  <c r="O320" i="7"/>
  <c r="O7" i="7"/>
  <c r="AB324" i="6"/>
  <c r="AB325" i="6"/>
  <c r="AA324" i="6"/>
  <c r="AA325" i="6"/>
  <c r="Y324" i="6"/>
  <c r="Y325" i="6"/>
  <c r="X324" i="6"/>
  <c r="X325" i="6"/>
  <c r="W324" i="6"/>
  <c r="O325" i="7" s="1"/>
  <c r="W325" i="6"/>
  <c r="AB19" i="6"/>
  <c r="AB20" i="6"/>
  <c r="AB21" i="6"/>
  <c r="AB22" i="6"/>
  <c r="AB23" i="6"/>
  <c r="AB24" i="6"/>
  <c r="AB25" i="6"/>
  <c r="AB26" i="6"/>
  <c r="AB27" i="6"/>
  <c r="AB28" i="6"/>
  <c r="AB29" i="6"/>
  <c r="AB30" i="6"/>
  <c r="AB31" i="6"/>
  <c r="AB32" i="6"/>
  <c r="AB33" i="6"/>
  <c r="AB34" i="6"/>
  <c r="AB35" i="6"/>
  <c r="AB36" i="6"/>
  <c r="AB37" i="6"/>
  <c r="AB38" i="6"/>
  <c r="AB39" i="6"/>
  <c r="AB40" i="6"/>
  <c r="AB41" i="6"/>
  <c r="AB42" i="6"/>
  <c r="AB43" i="6"/>
  <c r="AB44" i="6"/>
  <c r="AB45" i="6"/>
  <c r="AB46" i="6"/>
  <c r="AB47" i="6"/>
  <c r="AB48" i="6"/>
  <c r="AB49" i="6"/>
  <c r="AB50" i="6"/>
  <c r="AB51" i="6"/>
  <c r="AB52" i="6"/>
  <c r="AB53" i="6"/>
  <c r="AB54" i="6"/>
  <c r="AB55" i="6"/>
  <c r="AB56" i="6"/>
  <c r="AB57" i="6"/>
  <c r="AB58" i="6"/>
  <c r="AB59" i="6"/>
  <c r="AB60" i="6"/>
  <c r="AB61" i="6"/>
  <c r="AB62" i="6"/>
  <c r="AB63" i="6"/>
  <c r="AB64" i="6"/>
  <c r="AB65" i="6"/>
  <c r="AB66" i="6"/>
  <c r="AB67" i="6"/>
  <c r="AB68" i="6"/>
  <c r="AB69" i="6"/>
  <c r="AB70" i="6"/>
  <c r="AB71" i="6"/>
  <c r="AB72" i="6"/>
  <c r="AB73" i="6"/>
  <c r="AB74" i="6"/>
  <c r="AB75" i="6"/>
  <c r="AB76" i="6"/>
  <c r="AB77" i="6"/>
  <c r="AB78" i="6"/>
  <c r="AB79" i="6"/>
  <c r="AB80" i="6"/>
  <c r="AB81" i="6"/>
  <c r="AB82" i="6"/>
  <c r="AB83" i="6"/>
  <c r="AB84" i="6"/>
  <c r="AB85" i="6"/>
  <c r="AB86" i="6"/>
  <c r="AB87" i="6"/>
  <c r="AB88" i="6"/>
  <c r="AB89" i="6"/>
  <c r="AB90" i="6"/>
  <c r="AB91" i="6"/>
  <c r="AB92" i="6"/>
  <c r="AB93" i="6"/>
  <c r="AB94" i="6"/>
  <c r="AB95" i="6"/>
  <c r="AB96" i="6"/>
  <c r="AB97" i="6"/>
  <c r="AB98" i="6"/>
  <c r="AB99" i="6"/>
  <c r="AB100" i="6"/>
  <c r="AB101" i="6"/>
  <c r="AB102" i="6"/>
  <c r="AB103" i="6"/>
  <c r="AB104" i="6"/>
  <c r="AB105" i="6"/>
  <c r="AB106" i="6"/>
  <c r="AB107" i="6"/>
  <c r="AB108" i="6"/>
  <c r="AB109" i="6"/>
  <c r="AB110" i="6"/>
  <c r="AB111" i="6"/>
  <c r="AB112" i="6"/>
  <c r="AB113" i="6"/>
  <c r="AB114" i="6"/>
  <c r="AB115" i="6"/>
  <c r="AB116" i="6"/>
  <c r="AB117" i="6"/>
  <c r="AB118" i="6"/>
  <c r="AB119" i="6"/>
  <c r="AB120" i="6"/>
  <c r="AB121" i="6"/>
  <c r="AB122" i="6"/>
  <c r="AB123" i="6"/>
  <c r="AB124" i="6"/>
  <c r="AB125" i="6"/>
  <c r="AB126" i="6"/>
  <c r="AB127" i="6"/>
  <c r="AB128" i="6"/>
  <c r="AB129" i="6"/>
  <c r="AB130" i="6"/>
  <c r="AB131" i="6"/>
  <c r="AB132" i="6"/>
  <c r="AB133" i="6"/>
  <c r="AB134" i="6"/>
  <c r="AB135" i="6"/>
  <c r="AB136" i="6"/>
  <c r="AB137" i="6"/>
  <c r="AB138" i="6"/>
  <c r="AB139" i="6"/>
  <c r="AB140" i="6"/>
  <c r="AB141" i="6"/>
  <c r="AB142" i="6"/>
  <c r="AB143" i="6"/>
  <c r="AB144" i="6"/>
  <c r="AB145" i="6"/>
  <c r="AB146" i="6"/>
  <c r="AB147" i="6"/>
  <c r="AB148" i="6"/>
  <c r="AB149" i="6"/>
  <c r="AB150" i="6"/>
  <c r="AB151" i="6"/>
  <c r="AB152" i="6"/>
  <c r="AB153" i="6"/>
  <c r="AB154" i="6"/>
  <c r="AB155" i="6"/>
  <c r="AB156" i="6"/>
  <c r="AB157" i="6"/>
  <c r="AB158" i="6"/>
  <c r="AB159" i="6"/>
  <c r="AB160" i="6"/>
  <c r="AB161" i="6"/>
  <c r="AB162" i="6"/>
  <c r="AB163" i="6"/>
  <c r="AB164" i="6"/>
  <c r="AB165" i="6"/>
  <c r="AB166" i="6"/>
  <c r="AB167" i="6"/>
  <c r="AB168" i="6"/>
  <c r="AB169" i="6"/>
  <c r="AB170" i="6"/>
  <c r="AB171" i="6"/>
  <c r="AB172" i="6"/>
  <c r="AB173" i="6"/>
  <c r="AB174" i="6"/>
  <c r="AB175" i="6"/>
  <c r="AB176" i="6"/>
  <c r="AB177" i="6"/>
  <c r="AB178" i="6"/>
  <c r="AB179" i="6"/>
  <c r="AB180" i="6"/>
  <c r="AB181" i="6"/>
  <c r="AB182" i="6"/>
  <c r="AB183" i="6"/>
  <c r="AB184" i="6"/>
  <c r="AB185" i="6"/>
  <c r="AB216" i="6"/>
  <c r="AB217" i="6"/>
  <c r="AB218" i="6"/>
  <c r="AB219" i="6"/>
  <c r="AB220" i="6"/>
  <c r="AB221" i="6"/>
  <c r="AB222" i="6"/>
  <c r="AB223" i="6"/>
  <c r="AB224" i="6"/>
  <c r="AB225" i="6"/>
  <c r="AB226" i="6"/>
  <c r="AB227" i="6"/>
  <c r="AB228" i="6"/>
  <c r="AB229" i="6"/>
  <c r="AB230" i="6"/>
  <c r="AB231" i="6"/>
  <c r="AB232" i="6"/>
  <c r="AB233" i="6"/>
  <c r="AB234" i="6"/>
  <c r="AB235" i="6"/>
  <c r="AB236" i="6"/>
  <c r="AB237" i="6"/>
  <c r="AB238" i="6"/>
  <c r="AB239" i="6"/>
  <c r="AB240" i="6"/>
  <c r="AB241" i="6"/>
  <c r="AB242" i="6"/>
  <c r="AB243" i="6"/>
  <c r="AB244" i="6"/>
  <c r="AB245" i="6"/>
  <c r="AB246" i="6"/>
  <c r="AB247" i="6"/>
  <c r="AB248" i="6"/>
  <c r="AB249" i="6"/>
  <c r="AB250" i="6"/>
  <c r="AB251" i="6"/>
  <c r="AB252" i="6"/>
  <c r="AB253" i="6"/>
  <c r="AB254" i="6"/>
  <c r="AB255" i="6"/>
  <c r="AB256" i="6"/>
  <c r="AB257" i="6"/>
  <c r="AB258" i="6"/>
  <c r="AB259" i="6"/>
  <c r="AB260" i="6"/>
  <c r="AB261" i="6"/>
  <c r="AB262" i="6"/>
  <c r="AB263" i="6"/>
  <c r="AB264" i="6"/>
  <c r="AB265" i="6"/>
  <c r="AB266" i="6"/>
  <c r="AB267" i="6"/>
  <c r="AB268" i="6"/>
  <c r="AB269" i="6"/>
  <c r="AB270" i="6"/>
  <c r="AB271" i="6"/>
  <c r="AB272" i="6"/>
  <c r="AB273" i="6"/>
  <c r="AB274" i="6"/>
  <c r="AB275" i="6"/>
  <c r="AB276" i="6"/>
  <c r="AB277" i="6"/>
  <c r="AB278" i="6"/>
  <c r="AB279" i="6"/>
  <c r="AB280" i="6"/>
  <c r="AB281" i="6"/>
  <c r="AB282" i="6"/>
  <c r="AB283" i="6"/>
  <c r="AB284" i="6"/>
  <c r="AB285" i="6"/>
  <c r="AB286" i="6"/>
  <c r="AB287" i="6"/>
  <c r="AB288" i="6"/>
  <c r="AB289" i="6"/>
  <c r="AB290" i="6"/>
  <c r="AB291" i="6"/>
  <c r="AB292" i="6"/>
  <c r="AB293" i="6"/>
  <c r="AB294" i="6"/>
  <c r="AB295" i="6"/>
  <c r="AB296" i="6"/>
  <c r="AB297" i="6"/>
  <c r="AB298" i="6"/>
  <c r="AB299" i="6"/>
  <c r="AB300" i="6"/>
  <c r="AB301" i="6"/>
  <c r="AB302" i="6"/>
  <c r="AB303" i="6"/>
  <c r="AB304" i="6"/>
  <c r="AB305" i="6"/>
  <c r="AB306" i="6"/>
  <c r="AB307" i="6"/>
  <c r="AB308" i="6"/>
  <c r="AB309" i="6"/>
  <c r="AB310" i="6"/>
  <c r="AB311" i="6"/>
  <c r="AB312" i="6"/>
  <c r="AB313" i="6"/>
  <c r="AB314" i="6"/>
  <c r="AB315" i="6"/>
  <c r="AB316" i="6"/>
  <c r="AB317" i="6"/>
  <c r="AB318" i="6"/>
  <c r="AB319" i="6"/>
  <c r="AB320" i="6"/>
  <c r="AB321" i="6"/>
  <c r="AB322" i="6"/>
  <c r="AB323" i="6"/>
  <c r="AB18" i="6"/>
  <c r="AB7" i="6"/>
  <c r="AB8" i="6"/>
  <c r="AB9" i="6"/>
  <c r="AB10" i="6"/>
  <c r="AB11" i="6"/>
  <c r="AB12" i="6"/>
  <c r="AB13" i="6"/>
  <c r="AB14" i="6"/>
  <c r="AB15" i="6"/>
  <c r="AB16" i="6"/>
  <c r="AB17" i="6"/>
  <c r="AB6" i="6"/>
  <c r="AA8" i="6"/>
  <c r="AA9" i="6"/>
  <c r="AA10" i="6"/>
  <c r="AA11" i="6"/>
  <c r="AA12" i="6"/>
  <c r="AA13" i="6"/>
  <c r="AA14" i="6"/>
  <c r="AA15" i="6"/>
  <c r="AA16" i="6"/>
  <c r="AA17" i="6"/>
  <c r="AA18" i="6"/>
  <c r="AA19" i="6"/>
  <c r="AA20" i="6"/>
  <c r="AA21" i="6"/>
  <c r="AA22" i="6"/>
  <c r="AA23" i="6"/>
  <c r="AA24" i="6"/>
  <c r="AA25" i="6"/>
  <c r="AA26" i="6"/>
  <c r="AA27" i="6"/>
  <c r="AA28" i="6"/>
  <c r="AA29" i="6"/>
  <c r="AA30" i="6"/>
  <c r="AA31" i="6"/>
  <c r="AA32" i="6"/>
  <c r="AA33" i="6"/>
  <c r="AA34" i="6"/>
  <c r="AA35" i="6"/>
  <c r="AA36" i="6"/>
  <c r="AA37" i="6"/>
  <c r="AA38" i="6"/>
  <c r="AA39" i="6"/>
  <c r="AA40" i="6"/>
  <c r="AA41" i="6"/>
  <c r="AA42" i="6"/>
  <c r="AA43" i="6"/>
  <c r="AA44" i="6"/>
  <c r="AA45" i="6"/>
  <c r="AA46" i="6"/>
  <c r="AA47" i="6"/>
  <c r="AA48" i="6"/>
  <c r="AA49" i="6"/>
  <c r="AA50" i="6"/>
  <c r="AA51" i="6"/>
  <c r="AA52" i="6"/>
  <c r="AA53" i="6"/>
  <c r="AA54" i="6"/>
  <c r="AA55" i="6"/>
  <c r="AA56" i="6"/>
  <c r="AA57" i="6"/>
  <c r="AA58" i="6"/>
  <c r="AA59" i="6"/>
  <c r="AA60" i="6"/>
  <c r="AA61" i="6"/>
  <c r="AA62" i="6"/>
  <c r="AA63" i="6"/>
  <c r="AA64" i="6"/>
  <c r="AA65" i="6"/>
  <c r="AA66" i="6"/>
  <c r="AA67" i="6"/>
  <c r="AA68" i="6"/>
  <c r="AA69" i="6"/>
  <c r="AA70" i="6"/>
  <c r="AA71" i="6"/>
  <c r="AA72" i="6"/>
  <c r="AA73" i="6"/>
  <c r="AA74" i="6"/>
  <c r="AA75" i="6"/>
  <c r="AA76" i="6"/>
  <c r="AA77" i="6"/>
  <c r="AA78" i="6"/>
  <c r="AA79" i="6"/>
  <c r="AA80" i="6"/>
  <c r="AA81" i="6"/>
  <c r="AA82" i="6"/>
  <c r="AA83" i="6"/>
  <c r="AA84" i="6"/>
  <c r="AA85" i="6"/>
  <c r="AA86" i="6"/>
  <c r="AA87" i="6"/>
  <c r="AA88" i="6"/>
  <c r="AA89" i="6"/>
  <c r="AA90" i="6"/>
  <c r="AA91" i="6"/>
  <c r="AA92" i="6"/>
  <c r="AA93" i="6"/>
  <c r="AA94" i="6"/>
  <c r="AA95" i="6"/>
  <c r="AA96" i="6"/>
  <c r="AA97" i="6"/>
  <c r="AA98" i="6"/>
  <c r="AA99" i="6"/>
  <c r="AA100" i="6"/>
  <c r="AA101" i="6"/>
  <c r="AA102" i="6"/>
  <c r="AA103" i="6"/>
  <c r="AA104" i="6"/>
  <c r="AA105" i="6"/>
  <c r="AA106" i="6"/>
  <c r="AA107" i="6"/>
  <c r="AA108" i="6"/>
  <c r="AA109" i="6"/>
  <c r="AA110" i="6"/>
  <c r="AA111" i="6"/>
  <c r="AA112" i="6"/>
  <c r="AA113" i="6"/>
  <c r="AA114" i="6"/>
  <c r="AA115" i="6"/>
  <c r="AA116" i="6"/>
  <c r="AA117" i="6"/>
  <c r="AA118" i="6"/>
  <c r="AA119" i="6"/>
  <c r="AA120" i="6"/>
  <c r="AA121" i="6"/>
  <c r="AA122" i="6"/>
  <c r="AA123" i="6"/>
  <c r="AA124" i="6"/>
  <c r="AA125" i="6"/>
  <c r="AA126" i="6"/>
  <c r="AA127" i="6"/>
  <c r="AA128" i="6"/>
  <c r="AA129" i="6"/>
  <c r="AA130" i="6"/>
  <c r="AA131" i="6"/>
  <c r="AA132" i="6"/>
  <c r="AA133" i="6"/>
  <c r="AA134" i="6"/>
  <c r="AA135" i="6"/>
  <c r="AA136" i="6"/>
  <c r="AA137" i="6"/>
  <c r="AA138" i="6"/>
  <c r="AA139" i="6"/>
  <c r="AA140" i="6"/>
  <c r="AA141" i="6"/>
  <c r="AA142" i="6"/>
  <c r="AA143" i="6"/>
  <c r="AA144" i="6"/>
  <c r="AA145" i="6"/>
  <c r="AA146" i="6"/>
  <c r="AA147" i="6"/>
  <c r="AA148" i="6"/>
  <c r="AA149" i="6"/>
  <c r="AA150" i="6"/>
  <c r="AA151" i="6"/>
  <c r="AA152" i="6"/>
  <c r="AA153" i="6"/>
  <c r="AA154" i="6"/>
  <c r="AA155" i="6"/>
  <c r="AA156" i="6"/>
  <c r="AA157" i="6"/>
  <c r="AA158" i="6"/>
  <c r="AA159" i="6"/>
  <c r="AA160" i="6"/>
  <c r="AA161" i="6"/>
  <c r="AA162" i="6"/>
  <c r="AA163" i="6"/>
  <c r="AA164" i="6"/>
  <c r="AA165" i="6"/>
  <c r="AA166" i="6"/>
  <c r="AA167" i="6"/>
  <c r="AA168" i="6"/>
  <c r="AA169" i="6"/>
  <c r="AA170" i="6"/>
  <c r="AA171" i="6"/>
  <c r="AA172" i="6"/>
  <c r="AA173" i="6"/>
  <c r="AA174" i="6"/>
  <c r="AA175" i="6"/>
  <c r="AA176" i="6"/>
  <c r="AA177" i="6"/>
  <c r="AA178" i="6"/>
  <c r="AA179" i="6"/>
  <c r="AA180" i="6"/>
  <c r="AA181" i="6"/>
  <c r="AA182" i="6"/>
  <c r="AA183" i="6"/>
  <c r="AA184" i="6"/>
  <c r="AA185" i="6"/>
  <c r="AA216" i="6"/>
  <c r="AA217" i="6"/>
  <c r="AA218" i="6"/>
  <c r="AA219" i="6"/>
  <c r="AA220" i="6"/>
  <c r="AA221" i="6"/>
  <c r="AA222" i="6"/>
  <c r="AA223" i="6"/>
  <c r="AA224" i="6"/>
  <c r="AA225" i="6"/>
  <c r="AA226" i="6"/>
  <c r="AA227" i="6"/>
  <c r="AA228" i="6"/>
  <c r="AA229" i="6"/>
  <c r="AA230" i="6"/>
  <c r="AA231" i="6"/>
  <c r="AA232" i="6"/>
  <c r="AA233" i="6"/>
  <c r="AA234" i="6"/>
  <c r="AA235" i="6"/>
  <c r="AA236" i="6"/>
  <c r="AA237" i="6"/>
  <c r="AA238" i="6"/>
  <c r="AA239" i="6"/>
  <c r="AA240" i="6"/>
  <c r="AA241" i="6"/>
  <c r="AA242" i="6"/>
  <c r="AA243" i="6"/>
  <c r="AA244" i="6"/>
  <c r="AA245" i="6"/>
  <c r="AA246" i="6"/>
  <c r="AA247" i="6"/>
  <c r="AA248" i="6"/>
  <c r="AA249" i="6"/>
  <c r="AA250" i="6"/>
  <c r="AA251" i="6"/>
  <c r="AA252" i="6"/>
  <c r="AA253" i="6"/>
  <c r="AA254" i="6"/>
  <c r="AA255" i="6"/>
  <c r="AA256" i="6"/>
  <c r="AA257" i="6"/>
  <c r="AA258" i="6"/>
  <c r="AA259" i="6"/>
  <c r="AA260" i="6"/>
  <c r="AA261" i="6"/>
  <c r="AA262" i="6"/>
  <c r="AA263" i="6"/>
  <c r="AA264" i="6"/>
  <c r="AA265" i="6"/>
  <c r="AA266" i="6"/>
  <c r="AA267" i="6"/>
  <c r="AA268" i="6"/>
  <c r="AA269" i="6"/>
  <c r="AA270" i="6"/>
  <c r="AA271" i="6"/>
  <c r="AA272" i="6"/>
  <c r="AA273" i="6"/>
  <c r="AA274" i="6"/>
  <c r="AA275" i="6"/>
  <c r="AA276" i="6"/>
  <c r="AA277" i="6"/>
  <c r="AA278" i="6"/>
  <c r="AA279" i="6"/>
  <c r="AA280" i="6"/>
  <c r="AA281" i="6"/>
  <c r="AA282" i="6"/>
  <c r="AA283" i="6"/>
  <c r="AA284" i="6"/>
  <c r="AA285" i="6"/>
  <c r="AA286" i="6"/>
  <c r="AA287" i="6"/>
  <c r="AA288" i="6"/>
  <c r="AA289" i="6"/>
  <c r="AA290" i="6"/>
  <c r="AA291" i="6"/>
  <c r="AA292" i="6"/>
  <c r="AA293" i="6"/>
  <c r="AA294" i="6"/>
  <c r="AA295" i="6"/>
  <c r="AA296" i="6"/>
  <c r="AA297" i="6"/>
  <c r="AA298" i="6"/>
  <c r="AA299" i="6"/>
  <c r="AA300" i="6"/>
  <c r="AA301" i="6"/>
  <c r="AA302" i="6"/>
  <c r="AA303" i="6"/>
  <c r="AA304" i="6"/>
  <c r="AA305" i="6"/>
  <c r="AA306" i="6"/>
  <c r="AA307" i="6"/>
  <c r="AA308" i="6"/>
  <c r="AA309" i="6"/>
  <c r="AA310" i="6"/>
  <c r="AA311" i="6"/>
  <c r="AA312" i="6"/>
  <c r="AA313" i="6"/>
  <c r="AA314" i="6"/>
  <c r="AA315" i="6"/>
  <c r="AA316" i="6"/>
  <c r="AA317" i="6"/>
  <c r="AA318" i="6"/>
  <c r="AA319" i="6"/>
  <c r="AA320" i="6"/>
  <c r="AA321" i="6"/>
  <c r="AA322" i="6"/>
  <c r="AA323" i="6"/>
  <c r="AA7" i="6"/>
  <c r="AA6" i="6"/>
  <c r="Y18" i="6"/>
  <c r="Y19" i="6"/>
  <c r="Y20" i="6"/>
  <c r="Y21" i="6"/>
  <c r="Y22" i="6"/>
  <c r="Y23" i="6"/>
  <c r="Y24" i="6"/>
  <c r="Y25" i="6"/>
  <c r="Y26" i="6"/>
  <c r="Y27" i="6"/>
  <c r="Y28" i="6"/>
  <c r="Y29" i="6"/>
  <c r="Y30" i="6"/>
  <c r="Y31" i="6"/>
  <c r="Y32" i="6"/>
  <c r="Y33" i="6"/>
  <c r="Y34" i="6"/>
  <c r="Y35" i="6"/>
  <c r="Y36" i="6"/>
  <c r="Y37" i="6"/>
  <c r="Y38" i="6"/>
  <c r="Y39" i="6"/>
  <c r="Y40" i="6"/>
  <c r="Y41" i="6"/>
  <c r="Y42" i="6"/>
  <c r="Y43" i="6"/>
  <c r="Y44" i="6"/>
  <c r="Y45" i="6"/>
  <c r="Y46" i="6"/>
  <c r="Y47" i="6"/>
  <c r="Y48" i="6"/>
  <c r="Y49" i="6"/>
  <c r="Y50" i="6"/>
  <c r="Y51" i="6"/>
  <c r="Y52" i="6"/>
  <c r="Y53" i="6"/>
  <c r="Y54" i="6"/>
  <c r="Y55" i="6"/>
  <c r="Y56" i="6"/>
  <c r="Y57" i="6"/>
  <c r="Y58" i="6"/>
  <c r="Y59" i="6"/>
  <c r="Y60" i="6"/>
  <c r="Y61" i="6"/>
  <c r="Y62" i="6"/>
  <c r="Y63" i="6"/>
  <c r="Y64" i="6"/>
  <c r="Y65" i="6"/>
  <c r="Y66" i="6"/>
  <c r="Y67" i="6"/>
  <c r="Y68" i="6"/>
  <c r="Y69" i="6"/>
  <c r="Y70" i="6"/>
  <c r="Y71" i="6"/>
  <c r="Y72" i="6"/>
  <c r="Y73" i="6"/>
  <c r="Y74" i="6"/>
  <c r="Y75" i="6"/>
  <c r="Y76" i="6"/>
  <c r="Y77" i="6"/>
  <c r="Y78" i="6"/>
  <c r="Y79" i="6"/>
  <c r="Y80" i="6"/>
  <c r="Y81" i="6"/>
  <c r="Y82" i="6"/>
  <c r="Y83" i="6"/>
  <c r="Y84" i="6"/>
  <c r="Y85" i="6"/>
  <c r="Y86" i="6"/>
  <c r="Y87" i="6"/>
  <c r="Y88" i="6"/>
  <c r="Y89" i="6"/>
  <c r="Y90" i="6"/>
  <c r="Y91" i="6"/>
  <c r="Y92" i="6"/>
  <c r="Y93" i="6"/>
  <c r="Y94" i="6"/>
  <c r="Y95" i="6"/>
  <c r="Y96" i="6"/>
  <c r="Y97" i="6"/>
  <c r="Y98" i="6"/>
  <c r="Y99" i="6"/>
  <c r="Y100" i="6"/>
  <c r="Y101" i="6"/>
  <c r="Y102" i="6"/>
  <c r="Y103" i="6"/>
  <c r="Y104" i="6"/>
  <c r="Y105" i="6"/>
  <c r="Y106" i="6"/>
  <c r="Y107" i="6"/>
  <c r="Y108" i="6"/>
  <c r="Y109" i="6"/>
  <c r="Y110" i="6"/>
  <c r="Y111" i="6"/>
  <c r="Y112" i="6"/>
  <c r="Y113" i="6"/>
  <c r="Y114" i="6"/>
  <c r="Y115" i="6"/>
  <c r="Y116" i="6"/>
  <c r="Y117" i="6"/>
  <c r="Y118" i="6"/>
  <c r="Y119" i="6"/>
  <c r="Y120" i="6"/>
  <c r="Y121" i="6"/>
  <c r="Y122" i="6"/>
  <c r="Y123" i="6"/>
  <c r="Y124" i="6"/>
  <c r="Y125" i="6"/>
  <c r="Y126" i="6"/>
  <c r="Y127" i="6"/>
  <c r="Y128" i="6"/>
  <c r="Y129" i="6"/>
  <c r="Y130" i="6"/>
  <c r="Y131" i="6"/>
  <c r="Y132" i="6"/>
  <c r="Y133" i="6"/>
  <c r="Y134" i="6"/>
  <c r="Y135" i="6"/>
  <c r="Y136" i="6"/>
  <c r="Y137" i="6"/>
  <c r="Y138" i="6"/>
  <c r="Y139" i="6"/>
  <c r="Y140" i="6"/>
  <c r="Y141" i="6"/>
  <c r="Y142" i="6"/>
  <c r="Y143" i="6"/>
  <c r="Y144" i="6"/>
  <c r="Y145" i="6"/>
  <c r="Y146" i="6"/>
  <c r="Y147" i="6"/>
  <c r="Y148" i="6"/>
  <c r="Y149" i="6"/>
  <c r="Y150" i="6"/>
  <c r="Y151" i="6"/>
  <c r="Y152" i="6"/>
  <c r="Y153" i="6"/>
  <c r="Y154" i="6"/>
  <c r="Y155" i="6"/>
  <c r="Y156" i="6"/>
  <c r="Y157" i="6"/>
  <c r="Y158" i="6"/>
  <c r="Y159" i="6"/>
  <c r="Y160" i="6"/>
  <c r="Y161" i="6"/>
  <c r="Y162" i="6"/>
  <c r="Y163" i="6"/>
  <c r="Y164" i="6"/>
  <c r="Y165" i="6"/>
  <c r="Y166" i="6"/>
  <c r="Y167" i="6"/>
  <c r="Y168" i="6"/>
  <c r="Y169" i="6"/>
  <c r="Y170" i="6"/>
  <c r="Y171" i="6"/>
  <c r="Y172" i="6"/>
  <c r="Y173" i="6"/>
  <c r="Y174" i="6"/>
  <c r="Y175" i="6"/>
  <c r="Y176" i="6"/>
  <c r="Y177" i="6"/>
  <c r="Y178" i="6"/>
  <c r="Y179" i="6"/>
  <c r="Y180" i="6"/>
  <c r="Y181" i="6"/>
  <c r="Y182" i="6"/>
  <c r="Y183" i="6"/>
  <c r="Y184" i="6"/>
  <c r="Y185" i="6"/>
  <c r="Y216" i="6"/>
  <c r="Y217" i="6"/>
  <c r="Y218" i="6"/>
  <c r="Y219" i="6"/>
  <c r="Y220" i="6"/>
  <c r="Y221" i="6"/>
  <c r="Y222" i="6"/>
  <c r="Y223" i="6"/>
  <c r="Y224" i="6"/>
  <c r="Y225" i="6"/>
  <c r="Y226" i="6"/>
  <c r="Y227" i="6"/>
  <c r="Y228" i="6"/>
  <c r="Y229" i="6"/>
  <c r="Y230" i="6"/>
  <c r="Y231" i="6"/>
  <c r="Y232" i="6"/>
  <c r="Y233" i="6"/>
  <c r="Y234" i="6"/>
  <c r="Y235" i="6"/>
  <c r="Y236" i="6"/>
  <c r="Y237" i="6"/>
  <c r="Y238" i="6"/>
  <c r="Y239" i="6"/>
  <c r="Y240" i="6"/>
  <c r="Y241" i="6"/>
  <c r="Y242" i="6"/>
  <c r="Y243" i="6"/>
  <c r="Y244" i="6"/>
  <c r="Y245" i="6"/>
  <c r="Y246" i="6"/>
  <c r="Y247" i="6"/>
  <c r="Y248" i="6"/>
  <c r="Y249" i="6"/>
  <c r="Y250" i="6"/>
  <c r="Y251" i="6"/>
  <c r="Y252" i="6"/>
  <c r="Y253" i="6"/>
  <c r="Y254" i="6"/>
  <c r="Y255" i="6"/>
  <c r="Y256" i="6"/>
  <c r="Y257" i="6"/>
  <c r="Y258" i="6"/>
  <c r="Y259" i="6"/>
  <c r="Y260" i="6"/>
  <c r="Y261" i="6"/>
  <c r="Y262" i="6"/>
  <c r="Y263" i="6"/>
  <c r="Y264" i="6"/>
  <c r="Y265" i="6"/>
  <c r="Y266" i="6"/>
  <c r="Y267" i="6"/>
  <c r="Y268" i="6"/>
  <c r="Y269" i="6"/>
  <c r="Y270" i="6"/>
  <c r="Y271" i="6"/>
  <c r="Y272" i="6"/>
  <c r="Y273" i="6"/>
  <c r="Y274" i="6"/>
  <c r="Y275" i="6"/>
  <c r="Y276" i="6"/>
  <c r="Y277" i="6"/>
  <c r="Y278" i="6"/>
  <c r="Y279" i="6"/>
  <c r="Y280" i="6"/>
  <c r="Y281" i="6"/>
  <c r="Y282" i="6"/>
  <c r="Y283" i="6"/>
  <c r="Y284" i="6"/>
  <c r="Y285" i="6"/>
  <c r="Y286" i="6"/>
  <c r="Y287" i="6"/>
  <c r="Y288" i="6"/>
  <c r="Y289" i="6"/>
  <c r="Y290" i="6"/>
  <c r="Y291" i="6"/>
  <c r="Y292" i="6"/>
  <c r="Y293" i="6"/>
  <c r="Y294" i="6"/>
  <c r="Y295" i="6"/>
  <c r="Y296" i="6"/>
  <c r="Y297" i="6"/>
  <c r="Y298" i="6"/>
  <c r="Y299" i="6"/>
  <c r="Y300" i="6"/>
  <c r="Y301" i="6"/>
  <c r="Y302" i="6"/>
  <c r="Y303" i="6"/>
  <c r="Y304" i="6"/>
  <c r="Y305" i="6"/>
  <c r="Y306" i="6"/>
  <c r="Y307" i="6"/>
  <c r="Y308" i="6"/>
  <c r="Y309" i="6"/>
  <c r="Y310" i="6"/>
  <c r="Y311" i="6"/>
  <c r="Y312" i="6"/>
  <c r="Y313" i="6"/>
  <c r="Y314" i="6"/>
  <c r="Y315" i="6"/>
  <c r="Y316" i="6"/>
  <c r="Y317" i="6"/>
  <c r="Y318" i="6"/>
  <c r="Y319" i="6"/>
  <c r="Y320" i="6"/>
  <c r="Y321" i="6"/>
  <c r="Y322" i="6"/>
  <c r="Y323" i="6"/>
  <c r="Y8" i="6"/>
  <c r="Y9" i="6"/>
  <c r="Y10" i="6"/>
  <c r="Y11" i="6"/>
  <c r="Y12" i="6"/>
  <c r="Y13" i="6"/>
  <c r="Y14" i="6"/>
  <c r="Y15" i="6"/>
  <c r="Y16" i="6"/>
  <c r="Y17" i="6"/>
  <c r="Y7" i="6"/>
  <c r="Y6" i="6"/>
  <c r="X141" i="6"/>
  <c r="X142" i="6"/>
  <c r="X143" i="6"/>
  <c r="X144" i="6"/>
  <c r="X145" i="6"/>
  <c r="X146" i="6"/>
  <c r="X147" i="6"/>
  <c r="X148" i="6"/>
  <c r="X149" i="6"/>
  <c r="X150" i="6"/>
  <c r="X151" i="6"/>
  <c r="X152" i="6"/>
  <c r="X153" i="6"/>
  <c r="X154" i="6"/>
  <c r="X155" i="6"/>
  <c r="X156" i="6"/>
  <c r="X157" i="6"/>
  <c r="X158" i="6"/>
  <c r="X159" i="6"/>
  <c r="X160" i="6"/>
  <c r="X161" i="6"/>
  <c r="X162" i="6"/>
  <c r="X163" i="6"/>
  <c r="X164" i="6"/>
  <c r="X165" i="6"/>
  <c r="X166" i="6"/>
  <c r="X167" i="6"/>
  <c r="X168" i="6"/>
  <c r="X169" i="6"/>
  <c r="X170" i="6"/>
  <c r="X171" i="6"/>
  <c r="X172" i="6"/>
  <c r="X173" i="6"/>
  <c r="X174" i="6"/>
  <c r="X175" i="6"/>
  <c r="X176" i="6"/>
  <c r="X177" i="6"/>
  <c r="X178" i="6"/>
  <c r="X179" i="6"/>
  <c r="X180" i="6"/>
  <c r="X181" i="6"/>
  <c r="X182" i="6"/>
  <c r="X183" i="6"/>
  <c r="X184" i="6"/>
  <c r="X185" i="6"/>
  <c r="X216" i="6"/>
  <c r="X217" i="6"/>
  <c r="X218" i="6"/>
  <c r="X219" i="6"/>
  <c r="X220" i="6"/>
  <c r="X221" i="6"/>
  <c r="X222" i="6"/>
  <c r="X223" i="6"/>
  <c r="X224" i="6"/>
  <c r="X225" i="6"/>
  <c r="X226" i="6"/>
  <c r="X227" i="6"/>
  <c r="X228" i="6"/>
  <c r="X229" i="6"/>
  <c r="X230" i="6"/>
  <c r="X231" i="6"/>
  <c r="X232" i="6"/>
  <c r="X233" i="6"/>
  <c r="X234" i="6"/>
  <c r="X235" i="6"/>
  <c r="X236" i="6"/>
  <c r="X237" i="6"/>
  <c r="X238" i="6"/>
  <c r="X239" i="6"/>
  <c r="X240" i="6"/>
  <c r="X241" i="6"/>
  <c r="X242" i="6"/>
  <c r="X243" i="6"/>
  <c r="X244" i="6"/>
  <c r="X245" i="6"/>
  <c r="X246" i="6"/>
  <c r="X247" i="6"/>
  <c r="X248" i="6"/>
  <c r="X249" i="6"/>
  <c r="X250" i="6"/>
  <c r="X251" i="6"/>
  <c r="X252" i="6"/>
  <c r="X253" i="6"/>
  <c r="X254" i="6"/>
  <c r="X255" i="6"/>
  <c r="X256" i="6"/>
  <c r="X257" i="6"/>
  <c r="X258" i="6"/>
  <c r="X259" i="6"/>
  <c r="X260" i="6"/>
  <c r="X261" i="6"/>
  <c r="X262" i="6"/>
  <c r="X263" i="6"/>
  <c r="X264" i="6"/>
  <c r="X265" i="6"/>
  <c r="X266" i="6"/>
  <c r="X267" i="6"/>
  <c r="X268" i="6"/>
  <c r="X269" i="6"/>
  <c r="X270" i="6"/>
  <c r="X271" i="6"/>
  <c r="X272" i="6"/>
  <c r="X273" i="6"/>
  <c r="X274" i="6"/>
  <c r="X275" i="6"/>
  <c r="X276" i="6"/>
  <c r="X277" i="6"/>
  <c r="X278" i="6"/>
  <c r="X279" i="6"/>
  <c r="X280" i="6"/>
  <c r="X281" i="6"/>
  <c r="X282" i="6"/>
  <c r="X283" i="6"/>
  <c r="X284" i="6"/>
  <c r="X285" i="6"/>
  <c r="X286" i="6"/>
  <c r="X287" i="6"/>
  <c r="X288" i="6"/>
  <c r="X289" i="6"/>
  <c r="X290" i="6"/>
  <c r="X291" i="6"/>
  <c r="X292" i="6"/>
  <c r="X293" i="6"/>
  <c r="X294" i="6"/>
  <c r="X295" i="6"/>
  <c r="X296" i="6"/>
  <c r="X297" i="6"/>
  <c r="X298" i="6"/>
  <c r="X299" i="6"/>
  <c r="X300" i="6"/>
  <c r="X301" i="6"/>
  <c r="X302" i="6"/>
  <c r="X303" i="6"/>
  <c r="X304" i="6"/>
  <c r="X305" i="6"/>
  <c r="X306" i="6"/>
  <c r="X307" i="6"/>
  <c r="X308" i="6"/>
  <c r="X309" i="6"/>
  <c r="X310" i="6"/>
  <c r="X311" i="6"/>
  <c r="X312" i="6"/>
  <c r="X313" i="6"/>
  <c r="X314" i="6"/>
  <c r="X315" i="6"/>
  <c r="X316" i="6"/>
  <c r="X317" i="6"/>
  <c r="X318" i="6"/>
  <c r="X319" i="6"/>
  <c r="X320" i="6"/>
  <c r="X321" i="6"/>
  <c r="X322" i="6"/>
  <c r="X323" i="6"/>
  <c r="X132" i="6"/>
  <c r="X133" i="6"/>
  <c r="X134" i="6"/>
  <c r="X135" i="6"/>
  <c r="X136" i="6"/>
  <c r="X137" i="6"/>
  <c r="X138" i="6"/>
  <c r="X139" i="6"/>
  <c r="X140" i="6"/>
  <c r="X36" i="6"/>
  <c r="X37" i="6"/>
  <c r="X38" i="6"/>
  <c r="X39" i="6"/>
  <c r="X40" i="6"/>
  <c r="X41" i="6"/>
  <c r="X42" i="6"/>
  <c r="X43" i="6"/>
  <c r="X44" i="6"/>
  <c r="X45" i="6"/>
  <c r="X46" i="6"/>
  <c r="X47" i="6"/>
  <c r="X48" i="6"/>
  <c r="X49" i="6"/>
  <c r="X50" i="6"/>
  <c r="X51" i="6"/>
  <c r="X52" i="6"/>
  <c r="X53" i="6"/>
  <c r="X54" i="6"/>
  <c r="X55" i="6"/>
  <c r="X56" i="6"/>
  <c r="X57" i="6"/>
  <c r="X58" i="6"/>
  <c r="X59" i="6"/>
  <c r="X60" i="6"/>
  <c r="X61" i="6"/>
  <c r="X62" i="6"/>
  <c r="X63" i="6"/>
  <c r="X64" i="6"/>
  <c r="X65" i="6"/>
  <c r="X66" i="6"/>
  <c r="X67" i="6"/>
  <c r="X68" i="6"/>
  <c r="X69" i="6"/>
  <c r="X70" i="6"/>
  <c r="X71" i="6"/>
  <c r="X72" i="6"/>
  <c r="X73" i="6"/>
  <c r="X74" i="6"/>
  <c r="X75" i="6"/>
  <c r="X76" i="6"/>
  <c r="X77" i="6"/>
  <c r="X78" i="6"/>
  <c r="X79" i="6"/>
  <c r="X80" i="6"/>
  <c r="X81" i="6"/>
  <c r="X82" i="6"/>
  <c r="X83" i="6"/>
  <c r="X84" i="6"/>
  <c r="X85" i="6"/>
  <c r="X86" i="6"/>
  <c r="X87" i="6"/>
  <c r="X88" i="6"/>
  <c r="X89" i="6"/>
  <c r="X90" i="6"/>
  <c r="X91" i="6"/>
  <c r="X92" i="6"/>
  <c r="X93" i="6"/>
  <c r="X94" i="6"/>
  <c r="X95" i="6"/>
  <c r="X96" i="6"/>
  <c r="X97" i="6"/>
  <c r="X98" i="6"/>
  <c r="X99" i="6"/>
  <c r="X100" i="6"/>
  <c r="X101" i="6"/>
  <c r="X102" i="6"/>
  <c r="X103" i="6"/>
  <c r="X104" i="6"/>
  <c r="X105" i="6"/>
  <c r="X106" i="6"/>
  <c r="X107" i="6"/>
  <c r="X108" i="6"/>
  <c r="X109" i="6"/>
  <c r="X110" i="6"/>
  <c r="X111" i="6"/>
  <c r="X112" i="6"/>
  <c r="X113" i="6"/>
  <c r="X114" i="6"/>
  <c r="X115" i="6"/>
  <c r="X116" i="6"/>
  <c r="X117" i="6"/>
  <c r="X118" i="6"/>
  <c r="X119" i="6"/>
  <c r="X120" i="6"/>
  <c r="X121" i="6"/>
  <c r="X122" i="6"/>
  <c r="X123" i="6"/>
  <c r="X124" i="6"/>
  <c r="X125" i="6"/>
  <c r="X126" i="6"/>
  <c r="X127" i="6"/>
  <c r="X128" i="6"/>
  <c r="X129" i="6"/>
  <c r="X130" i="6"/>
  <c r="X131" i="6"/>
  <c r="X33" i="6"/>
  <c r="X34" i="6"/>
  <c r="X35" i="6"/>
  <c r="X32" i="6"/>
  <c r="X27" i="6"/>
  <c r="X28" i="6"/>
  <c r="X29" i="6"/>
  <c r="X30" i="6"/>
  <c r="X31" i="6"/>
  <c r="X22" i="6"/>
  <c r="X23" i="6"/>
  <c r="X24" i="6"/>
  <c r="X25" i="6"/>
  <c r="X26" i="6"/>
  <c r="X20" i="6"/>
  <c r="X19" i="6"/>
  <c r="X18" i="6"/>
  <c r="X17" i="6"/>
  <c r="X7" i="6"/>
  <c r="X8" i="6"/>
  <c r="X9" i="6"/>
  <c r="X10" i="6"/>
  <c r="X11" i="6"/>
  <c r="X12" i="6"/>
  <c r="X13" i="6"/>
  <c r="X14" i="6"/>
  <c r="X15" i="6"/>
  <c r="X16" i="6"/>
  <c r="X6" i="6"/>
  <c r="H3086" i="9"/>
  <c r="H3087" i="9"/>
  <c r="H3088" i="9"/>
  <c r="H3089" i="9"/>
  <c r="W293" i="6"/>
  <c r="W292" i="6"/>
  <c r="W291" i="6"/>
  <c r="W323" i="6"/>
  <c r="W322" i="6"/>
  <c r="W321" i="6"/>
  <c r="W320" i="6"/>
  <c r="W308" i="6"/>
  <c r="W307" i="6"/>
  <c r="W306" i="6"/>
  <c r="W305" i="6"/>
  <c r="W290" i="6"/>
  <c r="W289" i="6"/>
  <c r="W288" i="6"/>
  <c r="W287" i="6"/>
  <c r="W275" i="6"/>
  <c r="W274" i="6"/>
  <c r="W273" i="6"/>
  <c r="W272" i="6"/>
  <c r="W260" i="6"/>
  <c r="W259" i="6"/>
  <c r="W258" i="6"/>
  <c r="W257" i="6"/>
  <c r="W245" i="6"/>
  <c r="W244" i="6"/>
  <c r="W243" i="6"/>
  <c r="W242" i="6"/>
  <c r="W230" i="6"/>
  <c r="W229" i="6"/>
  <c r="W228" i="6"/>
  <c r="W227" i="6"/>
  <c r="W185" i="6"/>
  <c r="W184" i="6"/>
  <c r="W183" i="6"/>
  <c r="W182" i="6"/>
  <c r="W170" i="6"/>
  <c r="W169" i="6"/>
  <c r="W168" i="6"/>
  <c r="W167" i="6"/>
  <c r="W155" i="6"/>
  <c r="W154" i="6"/>
  <c r="W153" i="6"/>
  <c r="W152" i="6"/>
  <c r="W140" i="6"/>
  <c r="W139" i="6"/>
  <c r="W138" i="6"/>
  <c r="W137" i="6"/>
  <c r="W125" i="6"/>
  <c r="W124" i="6"/>
  <c r="W123" i="6"/>
  <c r="W122" i="6"/>
  <c r="W110" i="6"/>
  <c r="W109" i="6"/>
  <c r="W108" i="6"/>
  <c r="W107" i="6"/>
  <c r="W95" i="6"/>
  <c r="W94" i="6"/>
  <c r="W93" i="6"/>
  <c r="W92" i="6"/>
  <c r="W80" i="6"/>
  <c r="W79" i="6"/>
  <c r="W78" i="6"/>
  <c r="W77" i="6"/>
  <c r="W65" i="6"/>
  <c r="W64" i="6"/>
  <c r="W63" i="6"/>
  <c r="W62" i="6"/>
  <c r="W50" i="6"/>
  <c r="W49" i="6"/>
  <c r="W48" i="6"/>
  <c r="W47" i="6"/>
  <c r="W35" i="6"/>
  <c r="W34" i="6"/>
  <c r="W33" i="6"/>
  <c r="W32" i="6"/>
  <c r="W20" i="6"/>
  <c r="W19" i="6"/>
  <c r="W18" i="6"/>
  <c r="W17" i="6"/>
  <c r="V323" i="6"/>
  <c r="V322" i="6"/>
  <c r="V321" i="6"/>
  <c r="V320" i="6"/>
  <c r="V319" i="6"/>
  <c r="V318" i="6"/>
  <c r="V317" i="6"/>
  <c r="V316" i="6"/>
  <c r="V315" i="6"/>
  <c r="V314" i="6"/>
  <c r="V313" i="6"/>
  <c r="V312" i="6"/>
  <c r="V311" i="6"/>
  <c r="V308" i="6"/>
  <c r="V307" i="6"/>
  <c r="V306" i="6"/>
  <c r="V305" i="6"/>
  <c r="V304" i="6"/>
  <c r="V303" i="6"/>
  <c r="V302" i="6"/>
  <c r="V301" i="6"/>
  <c r="V300" i="6"/>
  <c r="V299" i="6"/>
  <c r="V298" i="6"/>
  <c r="V297" i="6"/>
  <c r="V296" i="6"/>
  <c r="H22" i="10"/>
  <c r="H23" i="10"/>
  <c r="H1997" i="9"/>
  <c r="H1996" i="9"/>
  <c r="H1995" i="9"/>
  <c r="H1994" i="9"/>
  <c r="H1993" i="9"/>
  <c r="H1992" i="9"/>
  <c r="H1991" i="9"/>
  <c r="H1990" i="9"/>
  <c r="H1989" i="9"/>
  <c r="H1988" i="9"/>
  <c r="H1987" i="9"/>
  <c r="H1986" i="9"/>
  <c r="H1985" i="9"/>
  <c r="H1984" i="9"/>
  <c r="H1983" i="9"/>
  <c r="H1982" i="9"/>
  <c r="H1981" i="9"/>
  <c r="H1980" i="9"/>
  <c r="H1979" i="9"/>
  <c r="H1978" i="9"/>
  <c r="H1977" i="9"/>
  <c r="H1976" i="9"/>
  <c r="H1975" i="9"/>
  <c r="H1974" i="9"/>
  <c r="H1973" i="9"/>
  <c r="H1972" i="9"/>
  <c r="H1971" i="9"/>
  <c r="H1970" i="9"/>
  <c r="H1969" i="9"/>
  <c r="H1968" i="9"/>
  <c r="H1967" i="9"/>
  <c r="H1966" i="9"/>
  <c r="H1965" i="9"/>
  <c r="H1964" i="9"/>
  <c r="H1963" i="9"/>
  <c r="H1962" i="9"/>
  <c r="H1961" i="9"/>
  <c r="H1960" i="9"/>
  <c r="H1959" i="9"/>
  <c r="H1958" i="9"/>
  <c r="H1957" i="9"/>
  <c r="H1956" i="9"/>
  <c r="H1955" i="9"/>
  <c r="H1954" i="9"/>
  <c r="H1953" i="9"/>
  <c r="H1952" i="9"/>
  <c r="H1951" i="9"/>
  <c r="H1950" i="9"/>
  <c r="H1949" i="9"/>
  <c r="H1948" i="9"/>
  <c r="H1947" i="9"/>
  <c r="H1946" i="9"/>
  <c r="H1945" i="9"/>
  <c r="H1944" i="9"/>
  <c r="H1943" i="9"/>
  <c r="H1942" i="9"/>
  <c r="H1941" i="9"/>
  <c r="H1940" i="9"/>
  <c r="H1939" i="9"/>
  <c r="H1938" i="9"/>
  <c r="H1937" i="9"/>
  <c r="H1936" i="9"/>
  <c r="H1935" i="9"/>
  <c r="H1934" i="9"/>
  <c r="H1933" i="9"/>
  <c r="H1932" i="9"/>
  <c r="H1931" i="9"/>
  <c r="H1930" i="9"/>
  <c r="H1929" i="9"/>
  <c r="H1928" i="9"/>
  <c r="H1927" i="9"/>
  <c r="H1926" i="9"/>
  <c r="H1925" i="9"/>
  <c r="H1924" i="9"/>
  <c r="H1923" i="9"/>
  <c r="H1922" i="9"/>
  <c r="H1921" i="9"/>
  <c r="H1920" i="9"/>
  <c r="H1919" i="9"/>
  <c r="H1918" i="9"/>
  <c r="H1917" i="9"/>
  <c r="H1916" i="9"/>
  <c r="H1915" i="9"/>
  <c r="H1914" i="9"/>
  <c r="H1913" i="9"/>
  <c r="H1912" i="9"/>
  <c r="H1911" i="9"/>
  <c r="H1910" i="9"/>
  <c r="H1909" i="9"/>
  <c r="H1908" i="9"/>
  <c r="H1907" i="9"/>
  <c r="H1906" i="9"/>
  <c r="H1905" i="9"/>
  <c r="H1904" i="9"/>
  <c r="H1903" i="9"/>
  <c r="H1902" i="9"/>
  <c r="H1901" i="9"/>
  <c r="H1900" i="9"/>
  <c r="H1899" i="9"/>
  <c r="H1898" i="9"/>
  <c r="H1897" i="9"/>
  <c r="H1896" i="9"/>
  <c r="H1895" i="9"/>
  <c r="H1894" i="9"/>
  <c r="H1893" i="9"/>
  <c r="H1892" i="9"/>
  <c r="H1891" i="9"/>
  <c r="H1890" i="9"/>
  <c r="H1889" i="9"/>
  <c r="H1888" i="9"/>
  <c r="H1887" i="9"/>
  <c r="H1886" i="9"/>
  <c r="H1885" i="9"/>
  <c r="H1884" i="9"/>
  <c r="H1883" i="9"/>
  <c r="H1882" i="9"/>
  <c r="H1881" i="9"/>
  <c r="H1880" i="9"/>
  <c r="H1879" i="9"/>
  <c r="H1878" i="9"/>
  <c r="H1877" i="9"/>
  <c r="H1876" i="9"/>
  <c r="H1875" i="9"/>
  <c r="H1874" i="9"/>
  <c r="H1873" i="9"/>
  <c r="H1872" i="9"/>
  <c r="H1871" i="9"/>
  <c r="H1870" i="9"/>
  <c r="H1869" i="9"/>
  <c r="H1868" i="9"/>
  <c r="H1867" i="9"/>
  <c r="H1866" i="9"/>
  <c r="H1865" i="9"/>
  <c r="H1864" i="9"/>
  <c r="H1863" i="9"/>
  <c r="H1862" i="9"/>
  <c r="H1861" i="9"/>
  <c r="H1860" i="9"/>
  <c r="H1859" i="9"/>
  <c r="H1858" i="9"/>
  <c r="H1857" i="9"/>
  <c r="H1856" i="9"/>
  <c r="H1855" i="9"/>
  <c r="H1854" i="9"/>
  <c r="H2999" i="9"/>
  <c r="H2998" i="9"/>
  <c r="H2997" i="9"/>
  <c r="H2996" i="9"/>
  <c r="H2995" i="9"/>
  <c r="H2994" i="9"/>
  <c r="H2993" i="9"/>
  <c r="H2992" i="9"/>
  <c r="H2991" i="9"/>
  <c r="H2990" i="9"/>
  <c r="H2989" i="9"/>
  <c r="H2988" i="9"/>
  <c r="H2987" i="9"/>
  <c r="H2986" i="9"/>
  <c r="H2985" i="9"/>
  <c r="H2984" i="9"/>
  <c r="H2983" i="9"/>
  <c r="H2982" i="9"/>
  <c r="H2981" i="9"/>
  <c r="H2980" i="9"/>
  <c r="H2979" i="9"/>
  <c r="H2978" i="9"/>
  <c r="H2977" i="9"/>
  <c r="H2976" i="9"/>
  <c r="H2975" i="9"/>
  <c r="H2974" i="9"/>
  <c r="H2973" i="9"/>
  <c r="H2972" i="9"/>
  <c r="H2971" i="9"/>
  <c r="H2970" i="9"/>
  <c r="H2969" i="9"/>
  <c r="H2968" i="9"/>
  <c r="H2967" i="9"/>
  <c r="H2966" i="9"/>
  <c r="H2965" i="9"/>
  <c r="H2964" i="9"/>
  <c r="H2963" i="9"/>
  <c r="H2962" i="9"/>
  <c r="H2961" i="9"/>
  <c r="H2960" i="9"/>
  <c r="H2959" i="9"/>
  <c r="H2958" i="9"/>
  <c r="H2957" i="9"/>
  <c r="H2956" i="9"/>
  <c r="H2955" i="9"/>
  <c r="H2954" i="9"/>
  <c r="H2953" i="9"/>
  <c r="H2952" i="9"/>
  <c r="H2951" i="9"/>
  <c r="H2950" i="9"/>
  <c r="H2949" i="9"/>
  <c r="H2948" i="9"/>
  <c r="H2947" i="9"/>
  <c r="H2946" i="9"/>
  <c r="H2945" i="9"/>
  <c r="H2944" i="9"/>
  <c r="H2943" i="9"/>
  <c r="H2942" i="9"/>
  <c r="H2941" i="9"/>
  <c r="H2940" i="9"/>
  <c r="H2939" i="9"/>
  <c r="H2938" i="9"/>
  <c r="H2937" i="9"/>
  <c r="H2936" i="9"/>
  <c r="H2935" i="9"/>
  <c r="H2934" i="9"/>
  <c r="H2933" i="9"/>
  <c r="H2932" i="9"/>
  <c r="H2931" i="9"/>
  <c r="H2930" i="9"/>
  <c r="H2929" i="9"/>
  <c r="H2928" i="9"/>
  <c r="H2927" i="9"/>
  <c r="H2926" i="9"/>
  <c r="H2925" i="9"/>
  <c r="H2924" i="9"/>
  <c r="H2923" i="9"/>
  <c r="H2922" i="9"/>
  <c r="H2921" i="9"/>
  <c r="H2920" i="9"/>
  <c r="H2919" i="9"/>
  <c r="H2918" i="9"/>
  <c r="H2917" i="9"/>
  <c r="H2916" i="9"/>
  <c r="H2915" i="9"/>
  <c r="H2914" i="9"/>
  <c r="H2913" i="9"/>
  <c r="H2912" i="9"/>
  <c r="H2911" i="9"/>
  <c r="H2910" i="9"/>
  <c r="H2909" i="9"/>
  <c r="H2908" i="9"/>
  <c r="H2907" i="9"/>
  <c r="H2906" i="9"/>
  <c r="H2905" i="9"/>
  <c r="H2904" i="9"/>
  <c r="H2903" i="9"/>
  <c r="H2902" i="9"/>
  <c r="H2901" i="9"/>
  <c r="H2900" i="9"/>
  <c r="H2899" i="9"/>
  <c r="H2898" i="9"/>
  <c r="H2897" i="9"/>
  <c r="H2896" i="9"/>
  <c r="H2895" i="9"/>
  <c r="H2894" i="9"/>
  <c r="H2893" i="9"/>
  <c r="H2892" i="9"/>
  <c r="H2891" i="9"/>
  <c r="H2890" i="9"/>
  <c r="H2889" i="9"/>
  <c r="H2888" i="9"/>
  <c r="H2887" i="9"/>
  <c r="H2886" i="9"/>
  <c r="H2885" i="9"/>
  <c r="H2884" i="9"/>
  <c r="H2883" i="9"/>
  <c r="H2882" i="9"/>
  <c r="H2881" i="9"/>
  <c r="H2880" i="9"/>
  <c r="H2879" i="9"/>
  <c r="H2878" i="9"/>
  <c r="H2877" i="9"/>
  <c r="H2876" i="9"/>
  <c r="H2875" i="9"/>
  <c r="H2874" i="9"/>
  <c r="H2873" i="9"/>
  <c r="H2872" i="9"/>
  <c r="H2871" i="9"/>
  <c r="H2870" i="9"/>
  <c r="H2869" i="9"/>
  <c r="H2868" i="9"/>
  <c r="H2867" i="9"/>
  <c r="H2866" i="9"/>
  <c r="H2865" i="9"/>
  <c r="H2864" i="9"/>
  <c r="H2863" i="9"/>
  <c r="H2862" i="9"/>
  <c r="H2861" i="9"/>
  <c r="H2860" i="9"/>
  <c r="H2859" i="9"/>
  <c r="H2858" i="9"/>
  <c r="H2857" i="9"/>
  <c r="H2856" i="9"/>
  <c r="AG330" i="7" l="1"/>
  <c r="AC68" i="7"/>
  <c r="AI68" i="7" s="1"/>
  <c r="AI52" i="7"/>
  <c r="AI172" i="7"/>
  <c r="AI217" i="7"/>
  <c r="Q301" i="7"/>
  <c r="Q315" i="7"/>
  <c r="W315" i="7" s="1"/>
  <c r="Q306" i="7"/>
  <c r="Q320" i="7"/>
  <c r="AC113" i="7"/>
  <c r="AI113" i="7" s="1"/>
  <c r="AC53" i="7"/>
  <c r="AI53" i="7" s="1"/>
  <c r="AC232" i="7"/>
  <c r="AI232" i="7" s="1"/>
  <c r="AC248" i="7"/>
  <c r="AI248" i="7" s="1"/>
  <c r="AI188" i="7"/>
  <c r="AI173" i="7"/>
  <c r="AC310" i="7"/>
  <c r="AI310" i="7" s="1"/>
  <c r="Q297" i="7"/>
  <c r="Q309" i="7"/>
  <c r="Q323" i="7"/>
  <c r="Q302" i="7"/>
  <c r="Q316" i="7"/>
  <c r="W316" i="7" s="1"/>
  <c r="AC316" i="7" s="1"/>
  <c r="AI316" i="7" s="1"/>
  <c r="Q303" i="7"/>
  <c r="W303" i="7" s="1"/>
  <c r="AC303" i="7" s="1"/>
  <c r="Q317" i="7"/>
  <c r="Q325" i="7"/>
  <c r="AC67" i="7"/>
  <c r="AI67" i="7" s="1"/>
  <c r="AI22" i="7"/>
  <c r="AC37" i="7"/>
  <c r="AI37" i="7" s="1"/>
  <c r="AC98" i="7"/>
  <c r="AI98" i="7" s="1"/>
  <c r="AI278" i="7"/>
  <c r="Q305" i="7"/>
  <c r="Q319" i="7"/>
  <c r="W319" i="7" s="1"/>
  <c r="AI158" i="7"/>
  <c r="Q298" i="7"/>
  <c r="W298" i="7" s="1"/>
  <c r="Q312" i="7"/>
  <c r="W312" i="7" s="1"/>
  <c r="Q324" i="7"/>
  <c r="W324" i="7" s="1"/>
  <c r="Q299" i="7"/>
  <c r="Q307" i="7"/>
  <c r="W307" i="7" s="1"/>
  <c r="AC307" i="7" s="1"/>
  <c r="Q313" i="7"/>
  <c r="W313" i="7" s="1"/>
  <c r="Q321" i="7"/>
  <c r="W321" i="7" s="1"/>
  <c r="Q300" i="7"/>
  <c r="W300" i="7" s="1"/>
  <c r="AC300" i="7" s="1"/>
  <c r="Q304" i="7"/>
  <c r="W304" i="7" s="1"/>
  <c r="AC304" i="7" s="1"/>
  <c r="Q308" i="7"/>
  <c r="W308" i="7" s="1"/>
  <c r="Q314" i="7"/>
  <c r="W314" i="7" s="1"/>
  <c r="Q318" i="7"/>
  <c r="W318" i="7" s="1"/>
  <c r="AC318" i="7" s="1"/>
  <c r="Q322" i="7"/>
  <c r="W322" i="7" s="1"/>
  <c r="AI293" i="7"/>
  <c r="AI187" i="7"/>
  <c r="O20" i="7"/>
  <c r="O35" i="7"/>
  <c r="O50" i="7"/>
  <c r="O65" i="7"/>
  <c r="O80" i="7"/>
  <c r="O95" i="7"/>
  <c r="O110" i="7"/>
  <c r="O125" i="7"/>
  <c r="O140" i="7"/>
  <c r="O155" i="7"/>
  <c r="U155" i="7" s="1"/>
  <c r="O170" i="7"/>
  <c r="U170" i="7" s="1"/>
  <c r="O185" i="7"/>
  <c r="U185" i="7" s="1"/>
  <c r="U200" i="7"/>
  <c r="U215" i="7"/>
  <c r="O230" i="7"/>
  <c r="U230" i="7" s="1"/>
  <c r="O245" i="7"/>
  <c r="U245" i="7" s="1"/>
  <c r="O260" i="7"/>
  <c r="U260" i="7" s="1"/>
  <c r="O275" i="7"/>
  <c r="U275" i="7" s="1"/>
  <c r="AA275" i="7" s="1"/>
  <c r="O290" i="7"/>
  <c r="U290" i="7" s="1"/>
  <c r="O308" i="7"/>
  <c r="U308" i="7" s="1"/>
  <c r="O323" i="7"/>
  <c r="U323" i="7" s="1"/>
  <c r="O294" i="7"/>
  <c r="U294" i="7" s="1"/>
  <c r="O21" i="7"/>
  <c r="O36" i="7"/>
  <c r="O51" i="7"/>
  <c r="O66" i="7"/>
  <c r="O81" i="7"/>
  <c r="O96" i="7"/>
  <c r="O111" i="7"/>
  <c r="O126" i="7"/>
  <c r="O141" i="7"/>
  <c r="O156" i="7"/>
  <c r="O171" i="7"/>
  <c r="O186" i="7"/>
  <c r="O231" i="7"/>
  <c r="O246" i="7"/>
  <c r="O261" i="7"/>
  <c r="O276" i="7"/>
  <c r="O291" i="7"/>
  <c r="O309" i="7"/>
  <c r="O324" i="7"/>
  <c r="O18" i="7"/>
  <c r="O33" i="7"/>
  <c r="O48" i="7"/>
  <c r="O63" i="7"/>
  <c r="O78" i="7"/>
  <c r="O93" i="7"/>
  <c r="O108" i="7"/>
  <c r="O123" i="7"/>
  <c r="O138" i="7"/>
  <c r="O153" i="7"/>
  <c r="O168" i="7"/>
  <c r="O183" i="7"/>
  <c r="O228" i="7"/>
  <c r="O243" i="7"/>
  <c r="O258" i="7"/>
  <c r="O273" i="7"/>
  <c r="O288" i="7"/>
  <c r="O306" i="7"/>
  <c r="O321" i="7"/>
  <c r="O292" i="7"/>
  <c r="O19" i="7"/>
  <c r="O34" i="7"/>
  <c r="O49" i="7"/>
  <c r="O64" i="7"/>
  <c r="O79" i="7"/>
  <c r="O94" i="7"/>
  <c r="O109" i="7"/>
  <c r="O124" i="7"/>
  <c r="O139" i="7"/>
  <c r="O154" i="7"/>
  <c r="O169" i="7"/>
  <c r="O184" i="7"/>
  <c r="O229" i="7"/>
  <c r="O244" i="7"/>
  <c r="O259" i="7"/>
  <c r="O274" i="7"/>
  <c r="O289" i="7"/>
  <c r="O307" i="7"/>
  <c r="O322" i="7"/>
  <c r="O293" i="7"/>
  <c r="U318" i="7"/>
  <c r="AA318" i="7" s="1"/>
  <c r="AG318" i="7" s="1"/>
  <c r="U314" i="7"/>
  <c r="AA314" i="7" s="1"/>
  <c r="U310" i="7"/>
  <c r="AA310" i="7" s="1"/>
  <c r="AG310" i="7" s="1"/>
  <c r="U302" i="7"/>
  <c r="U298" i="7"/>
  <c r="AA298" i="7" s="1"/>
  <c r="U286" i="7"/>
  <c r="AA286" i="7" s="1"/>
  <c r="AG286" i="7" s="1"/>
  <c r="U282" i="7"/>
  <c r="AA282" i="7" s="1"/>
  <c r="AG282" i="7" s="1"/>
  <c r="U278" i="7"/>
  <c r="AA278" i="7" s="1"/>
  <c r="U270" i="7"/>
  <c r="AA270" i="7" s="1"/>
  <c r="U266" i="7"/>
  <c r="AA266" i="7" s="1"/>
  <c r="AG266" i="7" s="1"/>
  <c r="U262" i="7"/>
  <c r="AA262" i="7" s="1"/>
  <c r="AG262" i="7" s="1"/>
  <c r="U254" i="7"/>
  <c r="U250" i="7"/>
  <c r="AA250" i="7" s="1"/>
  <c r="U242" i="7"/>
  <c r="AA242" i="7" s="1"/>
  <c r="AG242" i="7" s="1"/>
  <c r="U238" i="7"/>
  <c r="AA238" i="7" s="1"/>
  <c r="AG238" i="7" s="1"/>
  <c r="U234" i="7"/>
  <c r="AA234" i="7" s="1"/>
  <c r="U226" i="7"/>
  <c r="AA226" i="7" s="1"/>
  <c r="U222" i="7"/>
  <c r="AA222" i="7" s="1"/>
  <c r="AG222" i="7" s="1"/>
  <c r="U218" i="7"/>
  <c r="AA218" i="7" s="1"/>
  <c r="AG218" i="7" s="1"/>
  <c r="U210" i="7"/>
  <c r="U206" i="7"/>
  <c r="AA206" i="7" s="1"/>
  <c r="U202" i="7"/>
  <c r="AA202" i="7" s="1"/>
  <c r="AG202" i="7" s="1"/>
  <c r="U194" i="7"/>
  <c r="AA194" i="7" s="1"/>
  <c r="AG194" i="7" s="1"/>
  <c r="U190" i="7"/>
  <c r="U182" i="7"/>
  <c r="AA182" i="7" s="1"/>
  <c r="U178" i="7"/>
  <c r="U174" i="7"/>
  <c r="AA174" i="7" s="1"/>
  <c r="AG174" i="7" s="1"/>
  <c r="U166" i="7"/>
  <c r="U162" i="7"/>
  <c r="AA162" i="7" s="1"/>
  <c r="U158" i="7"/>
  <c r="AA158" i="7" s="1"/>
  <c r="AG158" i="7" s="1"/>
  <c r="U150" i="7"/>
  <c r="AA150" i="7" s="1"/>
  <c r="AG150" i="7" s="1"/>
  <c r="U146" i="7"/>
  <c r="U142" i="7"/>
  <c r="AA142" i="7" s="1"/>
  <c r="U134" i="7"/>
  <c r="AA134" i="7" s="1"/>
  <c r="AG134" i="7" s="1"/>
  <c r="U130" i="7"/>
  <c r="AA130" i="7" s="1"/>
  <c r="AG130" i="7" s="1"/>
  <c r="U122" i="7"/>
  <c r="U118" i="7"/>
  <c r="AA118" i="7" s="1"/>
  <c r="U114" i="7"/>
  <c r="AA114" i="7" s="1"/>
  <c r="AG114" i="7" s="1"/>
  <c r="U106" i="7"/>
  <c r="AA106" i="7" s="1"/>
  <c r="AG106" i="7" s="1"/>
  <c r="U102" i="7"/>
  <c r="U98" i="7"/>
  <c r="AA98" i="7" s="1"/>
  <c r="U90" i="7"/>
  <c r="AA90" i="7" s="1"/>
  <c r="AG90" i="7" s="1"/>
  <c r="U86" i="7"/>
  <c r="AA86" i="7" s="1"/>
  <c r="AG86" i="7" s="1"/>
  <c r="U82" i="7"/>
  <c r="U74" i="7"/>
  <c r="AA74" i="7" s="1"/>
  <c r="U70" i="7"/>
  <c r="AA70" i="7" s="1"/>
  <c r="AG70" i="7" s="1"/>
  <c r="U62" i="7"/>
  <c r="AA62" i="7" s="1"/>
  <c r="AG62" i="7" s="1"/>
  <c r="U58" i="7"/>
  <c r="U54" i="7"/>
  <c r="AA54" i="7" s="1"/>
  <c r="U46" i="7"/>
  <c r="AA46" i="7" s="1"/>
  <c r="AG46" i="7" s="1"/>
  <c r="U42" i="7"/>
  <c r="AA42" i="7" s="1"/>
  <c r="AG42" i="7" s="1"/>
  <c r="U38" i="7"/>
  <c r="U30" i="7"/>
  <c r="AA30" i="7" s="1"/>
  <c r="U26" i="7"/>
  <c r="AA26" i="7" s="1"/>
  <c r="AG26" i="7" s="1"/>
  <c r="U22" i="7"/>
  <c r="AA22" i="7" s="1"/>
  <c r="AG22" i="7" s="1"/>
  <c r="U14" i="7"/>
  <c r="U10" i="7"/>
  <c r="AA10" i="7" s="1"/>
  <c r="U326" i="7"/>
  <c r="AA326" i="7" s="1"/>
  <c r="AG326" i="7" s="1"/>
  <c r="U317" i="7"/>
  <c r="AA317" i="7" s="1"/>
  <c r="AG317" i="7" s="1"/>
  <c r="U313" i="7"/>
  <c r="AA313" i="7" s="1"/>
  <c r="U305" i="7"/>
  <c r="AA305" i="7" s="1"/>
  <c r="U301" i="7"/>
  <c r="AA301" i="7" s="1"/>
  <c r="U297" i="7"/>
  <c r="AA297" i="7" s="1"/>
  <c r="AG297" i="7" s="1"/>
  <c r="U285" i="7"/>
  <c r="U281" i="7"/>
  <c r="AA281" i="7" s="1"/>
  <c r="U277" i="7"/>
  <c r="AA277" i="7" s="1"/>
  <c r="AG277" i="7" s="1"/>
  <c r="U269" i="7"/>
  <c r="AA269" i="7" s="1"/>
  <c r="U265" i="7"/>
  <c r="U257" i="7"/>
  <c r="AA257" i="7" s="1"/>
  <c r="U253" i="7"/>
  <c r="AA253" i="7" s="1"/>
  <c r="AG253" i="7" s="1"/>
  <c r="U249" i="7"/>
  <c r="AA249" i="7" s="1"/>
  <c r="U241" i="7"/>
  <c r="U237" i="7"/>
  <c r="AA237" i="7" s="1"/>
  <c r="U233" i="7"/>
  <c r="AA233" i="7" s="1"/>
  <c r="AG233" i="7" s="1"/>
  <c r="U225" i="7"/>
  <c r="AA225" i="7" s="1"/>
  <c r="AG225" i="7" s="1"/>
  <c r="U221" i="7"/>
  <c r="U217" i="7"/>
  <c r="AA217" i="7" s="1"/>
  <c r="U209" i="7"/>
  <c r="AA209" i="7" s="1"/>
  <c r="AG209" i="7" s="1"/>
  <c r="U205" i="7"/>
  <c r="AA205" i="7" s="1"/>
  <c r="AG205" i="7" s="1"/>
  <c r="U197" i="7"/>
  <c r="U193" i="7"/>
  <c r="AA193" i="7" s="1"/>
  <c r="U189" i="7"/>
  <c r="AA189" i="7" s="1"/>
  <c r="AG189" i="7" s="1"/>
  <c r="U181" i="7"/>
  <c r="AA181" i="7" s="1"/>
  <c r="AG181" i="7" s="1"/>
  <c r="U177" i="7"/>
  <c r="U173" i="7"/>
  <c r="AA173" i="7" s="1"/>
  <c r="U165" i="7"/>
  <c r="AA165" i="7" s="1"/>
  <c r="AG165" i="7" s="1"/>
  <c r="U161" i="7"/>
  <c r="AA161" i="7" s="1"/>
  <c r="AG161" i="7" s="1"/>
  <c r="U157" i="7"/>
  <c r="U149" i="7"/>
  <c r="AA149" i="7" s="1"/>
  <c r="U145" i="7"/>
  <c r="AA145" i="7" s="1"/>
  <c r="AG145" i="7" s="1"/>
  <c r="U137" i="7"/>
  <c r="AA137" i="7" s="1"/>
  <c r="AG137" i="7" s="1"/>
  <c r="U133" i="7"/>
  <c r="U129" i="7"/>
  <c r="AA129" i="7" s="1"/>
  <c r="U121" i="7"/>
  <c r="AA121" i="7" s="1"/>
  <c r="AG121" i="7" s="1"/>
  <c r="U117" i="7"/>
  <c r="AA117" i="7" s="1"/>
  <c r="AG117" i="7" s="1"/>
  <c r="U113" i="7"/>
  <c r="AA113" i="7" s="1"/>
  <c r="U105" i="7"/>
  <c r="AA105" i="7" s="1"/>
  <c r="U101" i="7"/>
  <c r="AA101" i="7" s="1"/>
  <c r="AG101" i="7" s="1"/>
  <c r="U97" i="7"/>
  <c r="AA97" i="7" s="1"/>
  <c r="U89" i="7"/>
  <c r="AA89" i="7" s="1"/>
  <c r="U85" i="7"/>
  <c r="AA85" i="7" s="1"/>
  <c r="U77" i="7"/>
  <c r="AA77" i="7" s="1"/>
  <c r="AG77" i="7" s="1"/>
  <c r="U73" i="7"/>
  <c r="U69" i="7"/>
  <c r="U61" i="7"/>
  <c r="U57" i="7"/>
  <c r="AA57" i="7" s="1"/>
  <c r="AG57" i="7" s="1"/>
  <c r="U53" i="7"/>
  <c r="AA53" i="7" s="1"/>
  <c r="AG53" i="7" s="1"/>
  <c r="U45" i="7"/>
  <c r="U41" i="7"/>
  <c r="AA41" i="7" s="1"/>
  <c r="U37" i="7"/>
  <c r="AA37" i="7" s="1"/>
  <c r="U29" i="7"/>
  <c r="AA29" i="7" s="1"/>
  <c r="AG29" i="7" s="1"/>
  <c r="U25" i="7"/>
  <c r="AA25" i="7" s="1"/>
  <c r="U17" i="7"/>
  <c r="AA17" i="7" s="1"/>
  <c r="AG17" i="7" s="1"/>
  <c r="U13" i="7"/>
  <c r="AA13" i="7" s="1"/>
  <c r="U9" i="7"/>
  <c r="U325" i="7"/>
  <c r="U320" i="7"/>
  <c r="AA320" i="7" s="1"/>
  <c r="AG320" i="7" s="1"/>
  <c r="U316" i="7"/>
  <c r="AA316" i="7" s="1"/>
  <c r="AG316" i="7" s="1"/>
  <c r="U312" i="7"/>
  <c r="U304" i="7"/>
  <c r="AA304" i="7" s="1"/>
  <c r="U300" i="7"/>
  <c r="AA300" i="7" s="1"/>
  <c r="AG300" i="7" s="1"/>
  <c r="U296" i="7"/>
  <c r="AA296" i="7" s="1"/>
  <c r="AG296" i="7" s="1"/>
  <c r="U284" i="7"/>
  <c r="AA284" i="7" s="1"/>
  <c r="U280" i="7"/>
  <c r="AA280" i="7" s="1"/>
  <c r="U272" i="7"/>
  <c r="AA272" i="7" s="1"/>
  <c r="AG272" i="7" s="1"/>
  <c r="U268" i="7"/>
  <c r="AA268" i="7" s="1"/>
  <c r="AG268" i="7" s="1"/>
  <c r="U264" i="7"/>
  <c r="U256" i="7"/>
  <c r="AA256" i="7" s="1"/>
  <c r="U252" i="7"/>
  <c r="AA252" i="7" s="1"/>
  <c r="AG252" i="7" s="1"/>
  <c r="U248" i="7"/>
  <c r="AA248" i="7" s="1"/>
  <c r="AG248" i="7" s="1"/>
  <c r="U240" i="7"/>
  <c r="U236" i="7"/>
  <c r="AA236" i="7" s="1"/>
  <c r="U232" i="7"/>
  <c r="AA232" i="7" s="1"/>
  <c r="AG232" i="7" s="1"/>
  <c r="U224" i="7"/>
  <c r="AA224" i="7" s="1"/>
  <c r="AG224" i="7" s="1"/>
  <c r="U220" i="7"/>
  <c r="U212" i="7"/>
  <c r="AA212" i="7" s="1"/>
  <c r="U208" i="7"/>
  <c r="AA208" i="7" s="1"/>
  <c r="AG208" i="7" s="1"/>
  <c r="U204" i="7"/>
  <c r="AA204" i="7" s="1"/>
  <c r="AG204" i="7" s="1"/>
  <c r="U196" i="7"/>
  <c r="U192" i="7"/>
  <c r="AA192" i="7" s="1"/>
  <c r="U188" i="7"/>
  <c r="AA188" i="7" s="1"/>
  <c r="AG188" i="7" s="1"/>
  <c r="U180" i="7"/>
  <c r="AA180" i="7" s="1"/>
  <c r="AG180" i="7" s="1"/>
  <c r="U176" i="7"/>
  <c r="U172" i="7"/>
  <c r="AA172" i="7" s="1"/>
  <c r="U164" i="7"/>
  <c r="AA164" i="7" s="1"/>
  <c r="AG164" i="7" s="1"/>
  <c r="U160" i="7"/>
  <c r="AA160" i="7" s="1"/>
  <c r="AG160" i="7" s="1"/>
  <c r="U152" i="7"/>
  <c r="U148" i="7"/>
  <c r="AA148" i="7" s="1"/>
  <c r="U144" i="7"/>
  <c r="AA144" i="7" s="1"/>
  <c r="AG144" i="7" s="1"/>
  <c r="U136" i="7"/>
  <c r="AA136" i="7" s="1"/>
  <c r="AG136" i="7" s="1"/>
  <c r="U132" i="7"/>
  <c r="U128" i="7"/>
  <c r="AA128" i="7" s="1"/>
  <c r="U120" i="7"/>
  <c r="AA120" i="7" s="1"/>
  <c r="AG120" i="7" s="1"/>
  <c r="U116" i="7"/>
  <c r="AA116" i="7" s="1"/>
  <c r="AG116" i="7" s="1"/>
  <c r="U112" i="7"/>
  <c r="U104" i="7"/>
  <c r="AA104" i="7" s="1"/>
  <c r="U100" i="7"/>
  <c r="AA100" i="7" s="1"/>
  <c r="AG100" i="7" s="1"/>
  <c r="U92" i="7"/>
  <c r="AA92" i="7" s="1"/>
  <c r="AG92" i="7" s="1"/>
  <c r="U88" i="7"/>
  <c r="U84" i="7"/>
  <c r="AA84" i="7" s="1"/>
  <c r="U76" i="7"/>
  <c r="AA76" i="7" s="1"/>
  <c r="AG76" i="7" s="1"/>
  <c r="U72" i="7"/>
  <c r="AA72" i="7" s="1"/>
  <c r="AG72" i="7" s="1"/>
  <c r="U68" i="7"/>
  <c r="U60" i="7"/>
  <c r="AA60" i="7" s="1"/>
  <c r="U56" i="7"/>
  <c r="AA56" i="7" s="1"/>
  <c r="AG56" i="7" s="1"/>
  <c r="U52" i="7"/>
  <c r="AA52" i="7" s="1"/>
  <c r="AG52" i="7" s="1"/>
  <c r="U44" i="7"/>
  <c r="U40" i="7"/>
  <c r="AA40" i="7" s="1"/>
  <c r="U32" i="7"/>
  <c r="AA32" i="7" s="1"/>
  <c r="AG32" i="7" s="1"/>
  <c r="U28" i="7"/>
  <c r="AA28" i="7" s="1"/>
  <c r="AG28" i="7" s="1"/>
  <c r="U24" i="7"/>
  <c r="U16" i="7"/>
  <c r="AA16" i="7" s="1"/>
  <c r="U12" i="7"/>
  <c r="AA12" i="7" s="1"/>
  <c r="AG12" i="7" s="1"/>
  <c r="U8" i="7"/>
  <c r="AA8" i="7" s="1"/>
  <c r="AG8" i="7" s="1"/>
  <c r="U7" i="7"/>
  <c r="U319" i="7"/>
  <c r="AA319" i="7" s="1"/>
  <c r="AG319" i="7" s="1"/>
  <c r="U315" i="7"/>
  <c r="AA315" i="7" s="1"/>
  <c r="U311" i="7"/>
  <c r="U303" i="7"/>
  <c r="AA303" i="7" s="1"/>
  <c r="U299" i="7"/>
  <c r="AA299" i="7" s="1"/>
  <c r="AG299" i="7" s="1"/>
  <c r="U295" i="7"/>
  <c r="AA295" i="7" s="1"/>
  <c r="AG295" i="7" s="1"/>
  <c r="U287" i="7"/>
  <c r="U283" i="7"/>
  <c r="AA283" i="7" s="1"/>
  <c r="AG283" i="7" s="1"/>
  <c r="U279" i="7"/>
  <c r="AA279" i="7" s="1"/>
  <c r="AG279" i="7" s="1"/>
  <c r="U271" i="7"/>
  <c r="AA271" i="7" s="1"/>
  <c r="AG271" i="7" s="1"/>
  <c r="U267" i="7"/>
  <c r="U263" i="7"/>
  <c r="U255" i="7"/>
  <c r="AA255" i="7" s="1"/>
  <c r="U251" i="7"/>
  <c r="AA251" i="7" s="1"/>
  <c r="AG251" i="7" s="1"/>
  <c r="U247" i="7"/>
  <c r="U239" i="7"/>
  <c r="AA239" i="7" s="1"/>
  <c r="U235" i="7"/>
  <c r="AA235" i="7" s="1"/>
  <c r="AG235" i="7" s="1"/>
  <c r="U227" i="7"/>
  <c r="AA227" i="7" s="1"/>
  <c r="AG227" i="7" s="1"/>
  <c r="U223" i="7"/>
  <c r="U219" i="7"/>
  <c r="U211" i="7"/>
  <c r="AA211" i="7" s="1"/>
  <c r="AG211" i="7" s="1"/>
  <c r="U207" i="7"/>
  <c r="AA207" i="7" s="1"/>
  <c r="AG207" i="7" s="1"/>
  <c r="U203" i="7"/>
  <c r="U195" i="7"/>
  <c r="U191" i="7"/>
  <c r="AA191" i="7" s="1"/>
  <c r="AG191" i="7" s="1"/>
  <c r="U187" i="7"/>
  <c r="AA187" i="7" s="1"/>
  <c r="AG187" i="7" s="1"/>
  <c r="U179" i="7"/>
  <c r="U175" i="7"/>
  <c r="U167" i="7"/>
  <c r="AA167" i="7" s="1"/>
  <c r="AG167" i="7" s="1"/>
  <c r="U163" i="7"/>
  <c r="AA163" i="7" s="1"/>
  <c r="AG163" i="7" s="1"/>
  <c r="U159" i="7"/>
  <c r="U151" i="7"/>
  <c r="U147" i="7"/>
  <c r="AA147" i="7" s="1"/>
  <c r="AG147" i="7" s="1"/>
  <c r="U143" i="7"/>
  <c r="AA143" i="7" s="1"/>
  <c r="AG143" i="7" s="1"/>
  <c r="U135" i="7"/>
  <c r="U131" i="7"/>
  <c r="U127" i="7"/>
  <c r="AA127" i="7" s="1"/>
  <c r="AG127" i="7" s="1"/>
  <c r="U119" i="7"/>
  <c r="AA119" i="7" s="1"/>
  <c r="AG119" i="7" s="1"/>
  <c r="U115" i="7"/>
  <c r="U107" i="7"/>
  <c r="U103" i="7"/>
  <c r="AA103" i="7" s="1"/>
  <c r="AG103" i="7" s="1"/>
  <c r="U99" i="7"/>
  <c r="AA99" i="7" s="1"/>
  <c r="AG99" i="7" s="1"/>
  <c r="U91" i="7"/>
  <c r="U87" i="7"/>
  <c r="U83" i="7"/>
  <c r="AA83" i="7" s="1"/>
  <c r="AG83" i="7" s="1"/>
  <c r="U75" i="7"/>
  <c r="AA75" i="7" s="1"/>
  <c r="AG75" i="7" s="1"/>
  <c r="U71" i="7"/>
  <c r="U67" i="7"/>
  <c r="U59" i="7"/>
  <c r="AA59" i="7" s="1"/>
  <c r="AG59" i="7" s="1"/>
  <c r="U55" i="7"/>
  <c r="AA55" i="7" s="1"/>
  <c r="AG55" i="7" s="1"/>
  <c r="U47" i="7"/>
  <c r="U43" i="7"/>
  <c r="U39" i="7"/>
  <c r="AA39" i="7" s="1"/>
  <c r="AG39" i="7" s="1"/>
  <c r="U31" i="7"/>
  <c r="AA31" i="7" s="1"/>
  <c r="AG31" i="7" s="1"/>
  <c r="U27" i="7"/>
  <c r="U23" i="7"/>
  <c r="U15" i="7"/>
  <c r="AA15" i="7" s="1"/>
  <c r="AG15" i="7" s="1"/>
  <c r="U11" i="7"/>
  <c r="AA11" i="7" s="1"/>
  <c r="AG11" i="7" s="1"/>
  <c r="V293" i="6"/>
  <c r="V288" i="6"/>
  <c r="V289" i="6"/>
  <c r="V290" i="6"/>
  <c r="V287" i="6"/>
  <c r="V279" i="6"/>
  <c r="V280" i="6"/>
  <c r="V281" i="6"/>
  <c r="V282" i="6"/>
  <c r="V283" i="6"/>
  <c r="V284" i="6"/>
  <c r="V285" i="6"/>
  <c r="V286" i="6"/>
  <c r="V278" i="6"/>
  <c r="V273" i="6"/>
  <c r="V274" i="6"/>
  <c r="V275" i="6"/>
  <c r="V272" i="6"/>
  <c r="V264" i="6"/>
  <c r="V265" i="6"/>
  <c r="V266" i="6"/>
  <c r="V267" i="6"/>
  <c r="V268" i="6"/>
  <c r="V269" i="6"/>
  <c r="V270" i="6"/>
  <c r="V271" i="6"/>
  <c r="V263" i="6"/>
  <c r="V258" i="6"/>
  <c r="V259" i="6"/>
  <c r="V260" i="6"/>
  <c r="V257" i="6"/>
  <c r="V249" i="6"/>
  <c r="V250" i="6"/>
  <c r="V251" i="6"/>
  <c r="V252" i="6"/>
  <c r="V253" i="6"/>
  <c r="V254" i="6"/>
  <c r="V255" i="6"/>
  <c r="V256" i="6"/>
  <c r="V248" i="6"/>
  <c r="V243" i="6"/>
  <c r="V244" i="6"/>
  <c r="V245" i="6"/>
  <c r="V242" i="6"/>
  <c r="V234" i="6"/>
  <c r="V235" i="6"/>
  <c r="V236" i="6"/>
  <c r="V237" i="6"/>
  <c r="V238" i="6"/>
  <c r="V239" i="6"/>
  <c r="V240" i="6"/>
  <c r="V241" i="6"/>
  <c r="V233" i="6"/>
  <c r="V228" i="6"/>
  <c r="V229" i="6"/>
  <c r="V230" i="6"/>
  <c r="V227" i="6"/>
  <c r="V219" i="6"/>
  <c r="V220" i="6"/>
  <c r="V221" i="6"/>
  <c r="V222" i="6"/>
  <c r="V223" i="6"/>
  <c r="V224" i="6"/>
  <c r="V225" i="6"/>
  <c r="V226" i="6"/>
  <c r="V218" i="6"/>
  <c r="V213" i="6"/>
  <c r="V214" i="6"/>
  <c r="V215" i="6"/>
  <c r="V212" i="6"/>
  <c r="V204" i="6"/>
  <c r="V205" i="6"/>
  <c r="V206" i="6"/>
  <c r="V207" i="6"/>
  <c r="V208" i="6"/>
  <c r="V209" i="6"/>
  <c r="V210" i="6"/>
  <c r="V211" i="6"/>
  <c r="V203" i="6"/>
  <c r="V198" i="6"/>
  <c r="V199" i="6"/>
  <c r="V200" i="6"/>
  <c r="V197" i="6"/>
  <c r="V189" i="6"/>
  <c r="V190" i="6"/>
  <c r="V191" i="6"/>
  <c r="V192" i="6"/>
  <c r="V193" i="6"/>
  <c r="V194" i="6"/>
  <c r="V195" i="6"/>
  <c r="V196" i="6"/>
  <c r="V188" i="6"/>
  <c r="V183" i="6"/>
  <c r="V184" i="6"/>
  <c r="V185" i="6"/>
  <c r="V182" i="6"/>
  <c r="V174" i="6"/>
  <c r="V175" i="6"/>
  <c r="V176" i="6"/>
  <c r="V177" i="6"/>
  <c r="V178" i="6"/>
  <c r="V179" i="6"/>
  <c r="V180" i="6"/>
  <c r="V181" i="6"/>
  <c r="V173" i="6"/>
  <c r="V168" i="6"/>
  <c r="V169" i="6"/>
  <c r="V170" i="6"/>
  <c r="V167" i="6"/>
  <c r="V159" i="6"/>
  <c r="V160" i="6"/>
  <c r="V161" i="6"/>
  <c r="V162" i="6"/>
  <c r="V163" i="6"/>
  <c r="V164" i="6"/>
  <c r="V165" i="6"/>
  <c r="V166" i="6"/>
  <c r="V158" i="6"/>
  <c r="V153" i="6"/>
  <c r="V154" i="6"/>
  <c r="V155" i="6"/>
  <c r="V152" i="6"/>
  <c r="V144" i="6"/>
  <c r="V145" i="6"/>
  <c r="V146" i="6"/>
  <c r="V147" i="6"/>
  <c r="V148" i="6"/>
  <c r="V149" i="6"/>
  <c r="V150" i="6"/>
  <c r="V151" i="6"/>
  <c r="V143" i="6"/>
  <c r="V138" i="6"/>
  <c r="V139" i="6"/>
  <c r="V140" i="6"/>
  <c r="V137" i="6"/>
  <c r="V129" i="6"/>
  <c r="V130" i="6"/>
  <c r="V131" i="6"/>
  <c r="V132" i="6"/>
  <c r="V133" i="6"/>
  <c r="V134" i="6"/>
  <c r="V135" i="6"/>
  <c r="V136" i="6"/>
  <c r="V128" i="6"/>
  <c r="V123" i="6"/>
  <c r="V124" i="6"/>
  <c r="V125" i="6"/>
  <c r="V122" i="6"/>
  <c r="V114" i="6"/>
  <c r="V115" i="6"/>
  <c r="V116" i="6"/>
  <c r="V117" i="6"/>
  <c r="V118" i="6"/>
  <c r="V119" i="6"/>
  <c r="V120" i="6"/>
  <c r="V121" i="6"/>
  <c r="V113" i="6"/>
  <c r="V108" i="6"/>
  <c r="V109" i="6"/>
  <c r="V110" i="6"/>
  <c r="V107" i="6"/>
  <c r="V99" i="6"/>
  <c r="V100" i="6"/>
  <c r="V101" i="6"/>
  <c r="V102" i="6"/>
  <c r="V103" i="6"/>
  <c r="V104" i="6"/>
  <c r="V105" i="6"/>
  <c r="V106" i="6"/>
  <c r="V98" i="6"/>
  <c r="V93" i="6"/>
  <c r="V94" i="6"/>
  <c r="V95" i="6"/>
  <c r="V92" i="6"/>
  <c r="V84" i="6"/>
  <c r="V85" i="6"/>
  <c r="V86" i="6"/>
  <c r="V87" i="6"/>
  <c r="V88" i="6"/>
  <c r="V89" i="6"/>
  <c r="V90" i="6"/>
  <c r="V91" i="6"/>
  <c r="V83" i="6"/>
  <c r="V78" i="6"/>
  <c r="V79" i="6"/>
  <c r="V80" i="6"/>
  <c r="V77" i="6"/>
  <c r="V69" i="6"/>
  <c r="V70" i="6"/>
  <c r="V71" i="6"/>
  <c r="V72" i="6"/>
  <c r="V73" i="6"/>
  <c r="V74" i="6"/>
  <c r="V75" i="6"/>
  <c r="V76" i="6"/>
  <c r="V68" i="6"/>
  <c r="V63" i="6"/>
  <c r="V64" i="6"/>
  <c r="V65" i="6"/>
  <c r="V62" i="6"/>
  <c r="V54" i="6"/>
  <c r="V55" i="6"/>
  <c r="V56" i="6"/>
  <c r="V57" i="6"/>
  <c r="V58" i="6"/>
  <c r="V59" i="6"/>
  <c r="V60" i="6"/>
  <c r="V61" i="6"/>
  <c r="V53" i="6"/>
  <c r="V48" i="6"/>
  <c r="V49" i="6"/>
  <c r="V50" i="6"/>
  <c r="V47" i="6"/>
  <c r="V39" i="6"/>
  <c r="V40" i="6"/>
  <c r="V41" i="6"/>
  <c r="V42" i="6"/>
  <c r="V43" i="6"/>
  <c r="V44" i="6"/>
  <c r="V45" i="6"/>
  <c r="V46" i="6"/>
  <c r="V38" i="6"/>
  <c r="V33" i="6"/>
  <c r="V34" i="6"/>
  <c r="V35" i="6"/>
  <c r="V32" i="6"/>
  <c r="V24" i="6"/>
  <c r="V25" i="6"/>
  <c r="V26" i="6"/>
  <c r="V27" i="6"/>
  <c r="V28" i="6"/>
  <c r="V29" i="6"/>
  <c r="V30" i="6"/>
  <c r="V31" i="6"/>
  <c r="V23" i="6"/>
  <c r="V18" i="6"/>
  <c r="V19" i="6"/>
  <c r="V20" i="6"/>
  <c r="V17" i="6"/>
  <c r="V9" i="6"/>
  <c r="V10" i="6"/>
  <c r="V11" i="6"/>
  <c r="V12" i="6"/>
  <c r="V13" i="6"/>
  <c r="V14" i="6"/>
  <c r="V15" i="6"/>
  <c r="V16" i="6"/>
  <c r="V8" i="6"/>
  <c r="AA326" i="6"/>
  <c r="AA327" i="6"/>
  <c r="AA328" i="6"/>
  <c r="AA329" i="6"/>
  <c r="AA331" i="6"/>
  <c r="AA332" i="6"/>
  <c r="AA333" i="6"/>
  <c r="AA334" i="6"/>
  <c r="AA335" i="6"/>
  <c r="AA336" i="6"/>
  <c r="AA337" i="6"/>
  <c r="AA338" i="6"/>
  <c r="AA339" i="6"/>
  <c r="AA340" i="6"/>
  <c r="AA341" i="6"/>
  <c r="AA342" i="6"/>
  <c r="AA343" i="6"/>
  <c r="AA344" i="6"/>
  <c r="AA345" i="6"/>
  <c r="AA346" i="6"/>
  <c r="AA347" i="6"/>
  <c r="AA348" i="6"/>
  <c r="AA349" i="6"/>
  <c r="AA350" i="6"/>
  <c r="AA351" i="6"/>
  <c r="AA352" i="6"/>
  <c r="AA353" i="6"/>
  <c r="AA354" i="6"/>
  <c r="AA355" i="6"/>
  <c r="AA356" i="6"/>
  <c r="AA357" i="6"/>
  <c r="AA358" i="6"/>
  <c r="AA359" i="6"/>
  <c r="AA360" i="6"/>
  <c r="AA361" i="6"/>
  <c r="AA362" i="6"/>
  <c r="AA363" i="6"/>
  <c r="AA364" i="6"/>
  <c r="AA365" i="6"/>
  <c r="AA366" i="6"/>
  <c r="AA367" i="6"/>
  <c r="AA368" i="6"/>
  <c r="AA369" i="6"/>
  <c r="AA370" i="6"/>
  <c r="AA371" i="6"/>
  <c r="AA372" i="6"/>
  <c r="AA373" i="6"/>
  <c r="AA374" i="6"/>
  <c r="AA375" i="6"/>
  <c r="AA376" i="6"/>
  <c r="AA377" i="6"/>
  <c r="AA378" i="6"/>
  <c r="AA379" i="6"/>
  <c r="AA380" i="6"/>
  <c r="AA381" i="6"/>
  <c r="AA382" i="6"/>
  <c r="AA383" i="6"/>
  <c r="AA384" i="6"/>
  <c r="AA385" i="6"/>
  <c r="AA386" i="6"/>
  <c r="AA387" i="6"/>
  <c r="AA388" i="6"/>
  <c r="AA389" i="6"/>
  <c r="AA390" i="6"/>
  <c r="AA391" i="6"/>
  <c r="AA392" i="6"/>
  <c r="AA393" i="6"/>
  <c r="AA394" i="6"/>
  <c r="AA395" i="6"/>
  <c r="AA396" i="6"/>
  <c r="AA397" i="6"/>
  <c r="AA398" i="6"/>
  <c r="AA399" i="6"/>
  <c r="AA400" i="6"/>
  <c r="AA401" i="6"/>
  <c r="AA402" i="6"/>
  <c r="AA403" i="6"/>
  <c r="AA404" i="6"/>
  <c r="AA405" i="6"/>
  <c r="AA406" i="6"/>
  <c r="AA407" i="6"/>
  <c r="AA408" i="6"/>
  <c r="AA409" i="6"/>
  <c r="AA410" i="6"/>
  <c r="AA411" i="6"/>
  <c r="AA412" i="6"/>
  <c r="AA413" i="6"/>
  <c r="AA414" i="6"/>
  <c r="AA415" i="6"/>
  <c r="AA416" i="6"/>
  <c r="AA417" i="6"/>
  <c r="AA418" i="6"/>
  <c r="AA419" i="6"/>
  <c r="AA420" i="6"/>
  <c r="AA421" i="6"/>
  <c r="AA422" i="6"/>
  <c r="AA423" i="6"/>
  <c r="AA424" i="6"/>
  <c r="AA425" i="6"/>
  <c r="AA426" i="6"/>
  <c r="AA427" i="6"/>
  <c r="AA428" i="6"/>
  <c r="AA429" i="6"/>
  <c r="AA430" i="6"/>
  <c r="AA431" i="6"/>
  <c r="AA432" i="6"/>
  <c r="AA433" i="6"/>
  <c r="AA434" i="6"/>
  <c r="AA435" i="6"/>
  <c r="AA436" i="6"/>
  <c r="AA437" i="6"/>
  <c r="AA438" i="6"/>
  <c r="AA439" i="6"/>
  <c r="AA440" i="6"/>
  <c r="AA441" i="6"/>
  <c r="AA442" i="6"/>
  <c r="AA443" i="6"/>
  <c r="AA444" i="6"/>
  <c r="AA445" i="6"/>
  <c r="AA446" i="6"/>
  <c r="AA447" i="6"/>
  <c r="AA448" i="6"/>
  <c r="AA449" i="6"/>
  <c r="AA450" i="6"/>
  <c r="AA451" i="6"/>
  <c r="AA452" i="6"/>
  <c r="AA453" i="6"/>
  <c r="AA454" i="6"/>
  <c r="AA455" i="6"/>
  <c r="AA456" i="6"/>
  <c r="AA457" i="6"/>
  <c r="AA458" i="6"/>
  <c r="AA459" i="6"/>
  <c r="AA460" i="6"/>
  <c r="AA461" i="6"/>
  <c r="AA462" i="6"/>
  <c r="AA463" i="6"/>
  <c r="AA464" i="6"/>
  <c r="AA465" i="6"/>
  <c r="AA466" i="6"/>
  <c r="AA467" i="6"/>
  <c r="AA468" i="6"/>
  <c r="AA469" i="6"/>
  <c r="AA470" i="6"/>
  <c r="AA471" i="6"/>
  <c r="AA472" i="6"/>
  <c r="AA473" i="6"/>
  <c r="AA474" i="6"/>
  <c r="AA475" i="6"/>
  <c r="AA476" i="6"/>
  <c r="AA477" i="6"/>
  <c r="AA478" i="6"/>
  <c r="AA479" i="6"/>
  <c r="AA480" i="6"/>
  <c r="AA481" i="6"/>
  <c r="AA482" i="6"/>
  <c r="AA483" i="6"/>
  <c r="AA484" i="6"/>
  <c r="AA485" i="6"/>
  <c r="AA486" i="6"/>
  <c r="AA487" i="6"/>
  <c r="AA488" i="6"/>
  <c r="AA489" i="6"/>
  <c r="AA490" i="6"/>
  <c r="AA491" i="6"/>
  <c r="AA492" i="6"/>
  <c r="AA493" i="6"/>
  <c r="AA494" i="6"/>
  <c r="AA495" i="6"/>
  <c r="AA496" i="6"/>
  <c r="AA497" i="6"/>
  <c r="AA498" i="6"/>
  <c r="AA499" i="6"/>
  <c r="AA500" i="6"/>
  <c r="AA501" i="6"/>
  <c r="AA502" i="6"/>
  <c r="AA503" i="6"/>
  <c r="AA504" i="6"/>
  <c r="AA505" i="6"/>
  <c r="Z7" i="6"/>
  <c r="Z8" i="6"/>
  <c r="Z9" i="6"/>
  <c r="Z10" i="6"/>
  <c r="Z11" i="6"/>
  <c r="Z12" i="6"/>
  <c r="Z13" i="6"/>
  <c r="Z14" i="6"/>
  <c r="Z15" i="6"/>
  <c r="Z16" i="6"/>
  <c r="Z17" i="6"/>
  <c r="Z18" i="6"/>
  <c r="Z19" i="6"/>
  <c r="Z20" i="6"/>
  <c r="Z21" i="6"/>
  <c r="Z22" i="6"/>
  <c r="Z23" i="6"/>
  <c r="Z24" i="6"/>
  <c r="Z25" i="6"/>
  <c r="Z26" i="6"/>
  <c r="Z27" i="6"/>
  <c r="Z28" i="6"/>
  <c r="Z29" i="6"/>
  <c r="Z30" i="6"/>
  <c r="Z31" i="6"/>
  <c r="Z32" i="6"/>
  <c r="Z33" i="6"/>
  <c r="Z34" i="6"/>
  <c r="Z35" i="6"/>
  <c r="Z36" i="6"/>
  <c r="Z37" i="6"/>
  <c r="Z38" i="6"/>
  <c r="Z39" i="6"/>
  <c r="Z40" i="6"/>
  <c r="Z41" i="6"/>
  <c r="Z42" i="6"/>
  <c r="Z43" i="6"/>
  <c r="Z44" i="6"/>
  <c r="Z45" i="6"/>
  <c r="Z46" i="6"/>
  <c r="Z47" i="6"/>
  <c r="Z48" i="6"/>
  <c r="Z49" i="6"/>
  <c r="Z50" i="6"/>
  <c r="Z51" i="6"/>
  <c r="Z52" i="6"/>
  <c r="Z53" i="6"/>
  <c r="Z54" i="6"/>
  <c r="Z55" i="6"/>
  <c r="Z56" i="6"/>
  <c r="Z57" i="6"/>
  <c r="Z58" i="6"/>
  <c r="Z59" i="6"/>
  <c r="Z60" i="6"/>
  <c r="Z61" i="6"/>
  <c r="Z62" i="6"/>
  <c r="Z63" i="6"/>
  <c r="Z64" i="6"/>
  <c r="Z65" i="6"/>
  <c r="Z66" i="6"/>
  <c r="Z67" i="6"/>
  <c r="Z68" i="6"/>
  <c r="Z69" i="6"/>
  <c r="Z70" i="6"/>
  <c r="Z71" i="6"/>
  <c r="Z72" i="6"/>
  <c r="Z73" i="6"/>
  <c r="Z74" i="6"/>
  <c r="Z75" i="6"/>
  <c r="Z76" i="6"/>
  <c r="Z77" i="6"/>
  <c r="Z78" i="6"/>
  <c r="Z79" i="6"/>
  <c r="Z80" i="6"/>
  <c r="Z81" i="6"/>
  <c r="Z82" i="6"/>
  <c r="Z83" i="6"/>
  <c r="Z84" i="6"/>
  <c r="Z85" i="6"/>
  <c r="Z86" i="6"/>
  <c r="Z87" i="6"/>
  <c r="Z88" i="6"/>
  <c r="Z89" i="6"/>
  <c r="Z90" i="6"/>
  <c r="Z91" i="6"/>
  <c r="Z92" i="6"/>
  <c r="Z93" i="6"/>
  <c r="Z94" i="6"/>
  <c r="Z95" i="6"/>
  <c r="Z96" i="6"/>
  <c r="Z97" i="6"/>
  <c r="Z98" i="6"/>
  <c r="Z99" i="6"/>
  <c r="Z100" i="6"/>
  <c r="Z101" i="6"/>
  <c r="Z102" i="6"/>
  <c r="Z103" i="6"/>
  <c r="Z104" i="6"/>
  <c r="Z105" i="6"/>
  <c r="Z106" i="6"/>
  <c r="Z107" i="6"/>
  <c r="Z108" i="6"/>
  <c r="Z109" i="6"/>
  <c r="Z110" i="6"/>
  <c r="Z111" i="6"/>
  <c r="Z112" i="6"/>
  <c r="Z113" i="6"/>
  <c r="Z114" i="6"/>
  <c r="Z115" i="6"/>
  <c r="Z116" i="6"/>
  <c r="Z117" i="6"/>
  <c r="Z118" i="6"/>
  <c r="Z119" i="6"/>
  <c r="Z120" i="6"/>
  <c r="Z121" i="6"/>
  <c r="Z122" i="6"/>
  <c r="Z123" i="6"/>
  <c r="Z124" i="6"/>
  <c r="Z125" i="6"/>
  <c r="Z126" i="6"/>
  <c r="Z127" i="6"/>
  <c r="Z128" i="6"/>
  <c r="Z129" i="6"/>
  <c r="Z130" i="6"/>
  <c r="Z131" i="6"/>
  <c r="Z132" i="6"/>
  <c r="Z133" i="6"/>
  <c r="Z134" i="6"/>
  <c r="Z135" i="6"/>
  <c r="Z136" i="6"/>
  <c r="Z137" i="6"/>
  <c r="Z138" i="6"/>
  <c r="Z139" i="6"/>
  <c r="Z140" i="6"/>
  <c r="Z141" i="6"/>
  <c r="Z142" i="6"/>
  <c r="Z143" i="6"/>
  <c r="Z144" i="6"/>
  <c r="Z145" i="6"/>
  <c r="Z146" i="6"/>
  <c r="Z147" i="6"/>
  <c r="Z148" i="6"/>
  <c r="Z149" i="6"/>
  <c r="Z150" i="6"/>
  <c r="Z151" i="6"/>
  <c r="Z152" i="6"/>
  <c r="Z153" i="6"/>
  <c r="Z154" i="6"/>
  <c r="Z155" i="6"/>
  <c r="Z156" i="6"/>
  <c r="Z157" i="6"/>
  <c r="Z158" i="6"/>
  <c r="Z159" i="6"/>
  <c r="Z160" i="6"/>
  <c r="Z161" i="6"/>
  <c r="Z162" i="6"/>
  <c r="Z163" i="6"/>
  <c r="Z164" i="6"/>
  <c r="Z165" i="6"/>
  <c r="Z166" i="6"/>
  <c r="Z167" i="6"/>
  <c r="Z168" i="6"/>
  <c r="Z169" i="6"/>
  <c r="Z170" i="6"/>
  <c r="Z171" i="6"/>
  <c r="Z172" i="6"/>
  <c r="Z173" i="6"/>
  <c r="Z174" i="6"/>
  <c r="Z175" i="6"/>
  <c r="Z176" i="6"/>
  <c r="Z177" i="6"/>
  <c r="Z178" i="6"/>
  <c r="Z179" i="6"/>
  <c r="Z180" i="6"/>
  <c r="Z181" i="6"/>
  <c r="Z182" i="6"/>
  <c r="Z183" i="6"/>
  <c r="Z184" i="6"/>
  <c r="Z185" i="6"/>
  <c r="Z216" i="6"/>
  <c r="Z217" i="6"/>
  <c r="Z218" i="6"/>
  <c r="Z219" i="6"/>
  <c r="Z220" i="6"/>
  <c r="Z221" i="6"/>
  <c r="Z222" i="6"/>
  <c r="Z223" i="6"/>
  <c r="Z224" i="6"/>
  <c r="Z225" i="6"/>
  <c r="Z226" i="6"/>
  <c r="Z227" i="6"/>
  <c r="Z228" i="6"/>
  <c r="Z229" i="6"/>
  <c r="Z230" i="6"/>
  <c r="Z231" i="6"/>
  <c r="Z232" i="6"/>
  <c r="Z233" i="6"/>
  <c r="Z234" i="6"/>
  <c r="Z235" i="6"/>
  <c r="Z236" i="6"/>
  <c r="Z237" i="6"/>
  <c r="Z238" i="6"/>
  <c r="Z239" i="6"/>
  <c r="Z240" i="6"/>
  <c r="Z241" i="6"/>
  <c r="Z242" i="6"/>
  <c r="Z243" i="6"/>
  <c r="Z244" i="6"/>
  <c r="Z245" i="6"/>
  <c r="Z246" i="6"/>
  <c r="Z247" i="6"/>
  <c r="Z248" i="6"/>
  <c r="Z249" i="6"/>
  <c r="Z250" i="6"/>
  <c r="Z251" i="6"/>
  <c r="Z252" i="6"/>
  <c r="Z253" i="6"/>
  <c r="Z254" i="6"/>
  <c r="Z255" i="6"/>
  <c r="Z256" i="6"/>
  <c r="Z257" i="6"/>
  <c r="Z258" i="6"/>
  <c r="Z259" i="6"/>
  <c r="Z260" i="6"/>
  <c r="Z261" i="6"/>
  <c r="Z262" i="6"/>
  <c r="Z263" i="6"/>
  <c r="Z264" i="6"/>
  <c r="Z265" i="6"/>
  <c r="Z266" i="6"/>
  <c r="Z267" i="6"/>
  <c r="Z268" i="6"/>
  <c r="Z269" i="6"/>
  <c r="Z270" i="6"/>
  <c r="Z271" i="6"/>
  <c r="Z272" i="6"/>
  <c r="Z273" i="6"/>
  <c r="Z274" i="6"/>
  <c r="Z275" i="6"/>
  <c r="Z276" i="6"/>
  <c r="Z277" i="6"/>
  <c r="Z278" i="6"/>
  <c r="Z279" i="6"/>
  <c r="Z280" i="6"/>
  <c r="Z281" i="6"/>
  <c r="Z282" i="6"/>
  <c r="Z283" i="6"/>
  <c r="Z284" i="6"/>
  <c r="Z285" i="6"/>
  <c r="Z286" i="6"/>
  <c r="Z287" i="6"/>
  <c r="Z288" i="6"/>
  <c r="Z289" i="6"/>
  <c r="Z290" i="6"/>
  <c r="Z291" i="6"/>
  <c r="Z292" i="6"/>
  <c r="Z293" i="6"/>
  <c r="Z294" i="6"/>
  <c r="Z295" i="6"/>
  <c r="Z296" i="6"/>
  <c r="Z297" i="6"/>
  <c r="Z298" i="6"/>
  <c r="Z299" i="6"/>
  <c r="Z300" i="6"/>
  <c r="Z301" i="6"/>
  <c r="Z302" i="6"/>
  <c r="Z303" i="6"/>
  <c r="Z304" i="6"/>
  <c r="Z305" i="6"/>
  <c r="Z306" i="6"/>
  <c r="Z307" i="6"/>
  <c r="Z308" i="6"/>
  <c r="Z309" i="6"/>
  <c r="Z310" i="6"/>
  <c r="Z311" i="6"/>
  <c r="Z312" i="6"/>
  <c r="Z313" i="6"/>
  <c r="Z314" i="6"/>
  <c r="Z315" i="6"/>
  <c r="Z316" i="6"/>
  <c r="Z317" i="6"/>
  <c r="Z318" i="6"/>
  <c r="Z319" i="6"/>
  <c r="Z320" i="6"/>
  <c r="Z321" i="6"/>
  <c r="Z322" i="6"/>
  <c r="Z323" i="6"/>
  <c r="Z324" i="6"/>
  <c r="Z325" i="6"/>
  <c r="Z326" i="6"/>
  <c r="Z327" i="6"/>
  <c r="Z328" i="6"/>
  <c r="Z329" i="6"/>
  <c r="Z331" i="6"/>
  <c r="Z332" i="6"/>
  <c r="Z333" i="6"/>
  <c r="Z334" i="6"/>
  <c r="Z335" i="6"/>
  <c r="Z336" i="6"/>
  <c r="Z337" i="6"/>
  <c r="Z338" i="6"/>
  <c r="Z339" i="6"/>
  <c r="Z340" i="6"/>
  <c r="Z341" i="6"/>
  <c r="Z342" i="6"/>
  <c r="Z343" i="6"/>
  <c r="Z344" i="6"/>
  <c r="Z345" i="6"/>
  <c r="Z346" i="6"/>
  <c r="Z347" i="6"/>
  <c r="Z348" i="6"/>
  <c r="Z349" i="6"/>
  <c r="Z350" i="6"/>
  <c r="Z351" i="6"/>
  <c r="Z352" i="6"/>
  <c r="Z353" i="6"/>
  <c r="Z354" i="6"/>
  <c r="Z355" i="6"/>
  <c r="Z356" i="6"/>
  <c r="Z357" i="6"/>
  <c r="Z358" i="6"/>
  <c r="Z359" i="6"/>
  <c r="Z360" i="6"/>
  <c r="Z361" i="6"/>
  <c r="Z362" i="6"/>
  <c r="Z363" i="6"/>
  <c r="Z364" i="6"/>
  <c r="Z365" i="6"/>
  <c r="Z366" i="6"/>
  <c r="Z367" i="6"/>
  <c r="Z368" i="6"/>
  <c r="Z369" i="6"/>
  <c r="Z370" i="6"/>
  <c r="Z371" i="6"/>
  <c r="Z372" i="6"/>
  <c r="Z373" i="6"/>
  <c r="Z374" i="6"/>
  <c r="Z375" i="6"/>
  <c r="Z376" i="6"/>
  <c r="Z377" i="6"/>
  <c r="Z378" i="6"/>
  <c r="Z379" i="6"/>
  <c r="Z380" i="6"/>
  <c r="Z381" i="6"/>
  <c r="Z382" i="6"/>
  <c r="Z383" i="6"/>
  <c r="Z384" i="6"/>
  <c r="Z385" i="6"/>
  <c r="Z386" i="6"/>
  <c r="Z387" i="6"/>
  <c r="Z388" i="6"/>
  <c r="Z389" i="6"/>
  <c r="Z390" i="6"/>
  <c r="Z391" i="6"/>
  <c r="Z392" i="6"/>
  <c r="Z393" i="6"/>
  <c r="Z394" i="6"/>
  <c r="Z395" i="6"/>
  <c r="Z396" i="6"/>
  <c r="Z397" i="6"/>
  <c r="Z398" i="6"/>
  <c r="Z399" i="6"/>
  <c r="Z400" i="6"/>
  <c r="Z401" i="6"/>
  <c r="Z402" i="6"/>
  <c r="Z403" i="6"/>
  <c r="Z404" i="6"/>
  <c r="Z405" i="6"/>
  <c r="Z406" i="6"/>
  <c r="Z407" i="6"/>
  <c r="Z408" i="6"/>
  <c r="Z409" i="6"/>
  <c r="Z410" i="6"/>
  <c r="Z411" i="6"/>
  <c r="Z412" i="6"/>
  <c r="Z413" i="6"/>
  <c r="Z414" i="6"/>
  <c r="Z415" i="6"/>
  <c r="Z416" i="6"/>
  <c r="Z417" i="6"/>
  <c r="Z418" i="6"/>
  <c r="Z419" i="6"/>
  <c r="Z420" i="6"/>
  <c r="Z421" i="6"/>
  <c r="Z422" i="6"/>
  <c r="Z423" i="6"/>
  <c r="Z424" i="6"/>
  <c r="Z425" i="6"/>
  <c r="Z426" i="6"/>
  <c r="Z427" i="6"/>
  <c r="Z428" i="6"/>
  <c r="Z429" i="6"/>
  <c r="Z430" i="6"/>
  <c r="Z431" i="6"/>
  <c r="Z432" i="6"/>
  <c r="Z433" i="6"/>
  <c r="Z434" i="6"/>
  <c r="Z435" i="6"/>
  <c r="Z436" i="6"/>
  <c r="Z437" i="6"/>
  <c r="Z438" i="6"/>
  <c r="Z439" i="6"/>
  <c r="Z440" i="6"/>
  <c r="Z441" i="6"/>
  <c r="Z442" i="6"/>
  <c r="Z443" i="6"/>
  <c r="Z444" i="6"/>
  <c r="Z445" i="6"/>
  <c r="Z446" i="6"/>
  <c r="Z447" i="6"/>
  <c r="Z448" i="6"/>
  <c r="Z449" i="6"/>
  <c r="Z450" i="6"/>
  <c r="Z451" i="6"/>
  <c r="Z452" i="6"/>
  <c r="Z453" i="6"/>
  <c r="Z454" i="6"/>
  <c r="Z455" i="6"/>
  <c r="Z456" i="6"/>
  <c r="Z457" i="6"/>
  <c r="Z458" i="6"/>
  <c r="Z459" i="6"/>
  <c r="Z460" i="6"/>
  <c r="Z461" i="6"/>
  <c r="Z462" i="6"/>
  <c r="Z463" i="6"/>
  <c r="Z464" i="6"/>
  <c r="Z465" i="6"/>
  <c r="Z466" i="6"/>
  <c r="Z467" i="6"/>
  <c r="Z468" i="6"/>
  <c r="Z469" i="6"/>
  <c r="Z470" i="6"/>
  <c r="Z471" i="6"/>
  <c r="Z472" i="6"/>
  <c r="Z473" i="6"/>
  <c r="Z474" i="6"/>
  <c r="Z475" i="6"/>
  <c r="Z476" i="6"/>
  <c r="Z477" i="6"/>
  <c r="Z478" i="6"/>
  <c r="Z479" i="6"/>
  <c r="Z480" i="6"/>
  <c r="Z481" i="6"/>
  <c r="Z482" i="6"/>
  <c r="Z483" i="6"/>
  <c r="Z484" i="6"/>
  <c r="Z485" i="6"/>
  <c r="Z486" i="6"/>
  <c r="Z487" i="6"/>
  <c r="Z488" i="6"/>
  <c r="Z489" i="6"/>
  <c r="Z490" i="6"/>
  <c r="Z491" i="6"/>
  <c r="Z492" i="6"/>
  <c r="Z493" i="6"/>
  <c r="Z494" i="6"/>
  <c r="Z495" i="6"/>
  <c r="Z496" i="6"/>
  <c r="Z497" i="6"/>
  <c r="Z498" i="6"/>
  <c r="Z499" i="6"/>
  <c r="Z500" i="6"/>
  <c r="Z501" i="6"/>
  <c r="Z502" i="6"/>
  <c r="Z503" i="6"/>
  <c r="Z504" i="6"/>
  <c r="Z505" i="6"/>
  <c r="Z6" i="6"/>
  <c r="X331" i="6"/>
  <c r="X332" i="6"/>
  <c r="X333" i="6"/>
  <c r="X334" i="6"/>
  <c r="X335" i="6"/>
  <c r="X336" i="6"/>
  <c r="X337" i="6"/>
  <c r="X338" i="6"/>
  <c r="X339" i="6"/>
  <c r="X340" i="6"/>
  <c r="X341" i="6"/>
  <c r="X342" i="6"/>
  <c r="X343" i="6"/>
  <c r="X344" i="6"/>
  <c r="X345" i="6"/>
  <c r="X346" i="6"/>
  <c r="X347" i="6"/>
  <c r="X348" i="6"/>
  <c r="X349" i="6"/>
  <c r="X350" i="6"/>
  <c r="X351" i="6"/>
  <c r="X352" i="6"/>
  <c r="X353" i="6"/>
  <c r="X354" i="6"/>
  <c r="X355" i="6"/>
  <c r="X356" i="6"/>
  <c r="X357" i="6"/>
  <c r="X358" i="6"/>
  <c r="X359" i="6"/>
  <c r="X360" i="6"/>
  <c r="X361" i="6"/>
  <c r="X362" i="6"/>
  <c r="X363" i="6"/>
  <c r="X364" i="6"/>
  <c r="X365" i="6"/>
  <c r="X366" i="6"/>
  <c r="X367" i="6"/>
  <c r="X368" i="6"/>
  <c r="X369" i="6"/>
  <c r="X370" i="6"/>
  <c r="X371" i="6"/>
  <c r="X372" i="6"/>
  <c r="X373" i="6"/>
  <c r="X374" i="6"/>
  <c r="X375" i="6"/>
  <c r="X376" i="6"/>
  <c r="X377" i="6"/>
  <c r="X378" i="6"/>
  <c r="X379" i="6"/>
  <c r="X380" i="6"/>
  <c r="X381" i="6"/>
  <c r="X382" i="6"/>
  <c r="X383" i="6"/>
  <c r="X384" i="6"/>
  <c r="X385" i="6"/>
  <c r="X386" i="6"/>
  <c r="X387" i="6"/>
  <c r="X388" i="6"/>
  <c r="X389" i="6"/>
  <c r="X390" i="6"/>
  <c r="X391" i="6"/>
  <c r="X392" i="6"/>
  <c r="X393" i="6"/>
  <c r="X394" i="6"/>
  <c r="X395" i="6"/>
  <c r="X396" i="6"/>
  <c r="X397" i="6"/>
  <c r="X398" i="6"/>
  <c r="X399" i="6"/>
  <c r="X400" i="6"/>
  <c r="X401" i="6"/>
  <c r="X402" i="6"/>
  <c r="X403" i="6"/>
  <c r="X404" i="6"/>
  <c r="X405" i="6"/>
  <c r="X406" i="6"/>
  <c r="X407" i="6"/>
  <c r="X408" i="6"/>
  <c r="X409" i="6"/>
  <c r="X410" i="6"/>
  <c r="X411" i="6"/>
  <c r="X412" i="6"/>
  <c r="X413" i="6"/>
  <c r="X414" i="6"/>
  <c r="X415" i="6"/>
  <c r="X416" i="6"/>
  <c r="X417" i="6"/>
  <c r="X418" i="6"/>
  <c r="X419" i="6"/>
  <c r="X420" i="6"/>
  <c r="X421" i="6"/>
  <c r="X422" i="6"/>
  <c r="X423" i="6"/>
  <c r="X424" i="6"/>
  <c r="X425" i="6"/>
  <c r="X426" i="6"/>
  <c r="X427" i="6"/>
  <c r="X428" i="6"/>
  <c r="X429" i="6"/>
  <c r="X430" i="6"/>
  <c r="X431" i="6"/>
  <c r="X432" i="6"/>
  <c r="X433" i="6"/>
  <c r="X434" i="6"/>
  <c r="X435" i="6"/>
  <c r="X436" i="6"/>
  <c r="X437" i="6"/>
  <c r="X438" i="6"/>
  <c r="X439" i="6"/>
  <c r="X440" i="6"/>
  <c r="X441" i="6"/>
  <c r="X442" i="6"/>
  <c r="X443" i="6"/>
  <c r="X444" i="6"/>
  <c r="X445" i="6"/>
  <c r="X446" i="6"/>
  <c r="X447" i="6"/>
  <c r="X448" i="6"/>
  <c r="X449" i="6"/>
  <c r="X450" i="6"/>
  <c r="X451" i="6"/>
  <c r="X452" i="6"/>
  <c r="X453" i="6"/>
  <c r="X454" i="6"/>
  <c r="X455" i="6"/>
  <c r="X456" i="6"/>
  <c r="X457" i="6"/>
  <c r="X458" i="6"/>
  <c r="X459" i="6"/>
  <c r="X460" i="6"/>
  <c r="X461" i="6"/>
  <c r="X462" i="6"/>
  <c r="X463" i="6"/>
  <c r="X464" i="6"/>
  <c r="X465" i="6"/>
  <c r="X466" i="6"/>
  <c r="X467" i="6"/>
  <c r="X468" i="6"/>
  <c r="X469" i="6"/>
  <c r="X470" i="6"/>
  <c r="X471" i="6"/>
  <c r="X472" i="6"/>
  <c r="X473" i="6"/>
  <c r="X474" i="6"/>
  <c r="X475" i="6"/>
  <c r="X476" i="6"/>
  <c r="X477" i="6"/>
  <c r="X478" i="6"/>
  <c r="X479" i="6"/>
  <c r="X480" i="6"/>
  <c r="X481" i="6"/>
  <c r="X482" i="6"/>
  <c r="X483" i="6"/>
  <c r="X484" i="6"/>
  <c r="X485" i="6"/>
  <c r="X486" i="6"/>
  <c r="X487" i="6"/>
  <c r="X488" i="6"/>
  <c r="X489" i="6"/>
  <c r="X490" i="6"/>
  <c r="X491" i="6"/>
  <c r="X492" i="6"/>
  <c r="X493" i="6"/>
  <c r="X494" i="6"/>
  <c r="X495" i="6"/>
  <c r="X496" i="6"/>
  <c r="X497" i="6"/>
  <c r="X498" i="6"/>
  <c r="X499" i="6"/>
  <c r="X500" i="6"/>
  <c r="X501" i="6"/>
  <c r="X502" i="6"/>
  <c r="X503" i="6"/>
  <c r="X504" i="6"/>
  <c r="X505" i="6"/>
  <c r="W331" i="6"/>
  <c r="W332" i="6"/>
  <c r="W333" i="6"/>
  <c r="W334" i="6"/>
  <c r="W335" i="6"/>
  <c r="W336" i="6"/>
  <c r="W337" i="6"/>
  <c r="W338" i="6"/>
  <c r="W339" i="6"/>
  <c r="W340" i="6"/>
  <c r="W341" i="6"/>
  <c r="W342" i="6"/>
  <c r="W343" i="6"/>
  <c r="W344" i="6"/>
  <c r="W345" i="6"/>
  <c r="W346" i="6"/>
  <c r="W347" i="6"/>
  <c r="W348" i="6"/>
  <c r="W349" i="6"/>
  <c r="W350" i="6"/>
  <c r="W351" i="6"/>
  <c r="W352" i="6"/>
  <c r="W353" i="6"/>
  <c r="W354" i="6"/>
  <c r="W355" i="6"/>
  <c r="W356" i="6"/>
  <c r="W357" i="6"/>
  <c r="W358" i="6"/>
  <c r="W359" i="6"/>
  <c r="W360" i="6"/>
  <c r="W361" i="6"/>
  <c r="W362" i="6"/>
  <c r="W363" i="6"/>
  <c r="W364" i="6"/>
  <c r="W365" i="6"/>
  <c r="W366" i="6"/>
  <c r="W367" i="6"/>
  <c r="W368" i="6"/>
  <c r="W369" i="6"/>
  <c r="W370" i="6"/>
  <c r="W371" i="6"/>
  <c r="W372" i="6"/>
  <c r="W373" i="6"/>
  <c r="W374" i="6"/>
  <c r="W375" i="6"/>
  <c r="W376" i="6"/>
  <c r="W377" i="6"/>
  <c r="W378" i="6"/>
  <c r="W379" i="6"/>
  <c r="W380" i="6"/>
  <c r="W381" i="6"/>
  <c r="W382" i="6"/>
  <c r="W383" i="6"/>
  <c r="W384" i="6"/>
  <c r="W385" i="6"/>
  <c r="W386" i="6"/>
  <c r="W387" i="6"/>
  <c r="W388" i="6"/>
  <c r="W389" i="6"/>
  <c r="W390" i="6"/>
  <c r="W391" i="6"/>
  <c r="W392" i="6"/>
  <c r="W393" i="6"/>
  <c r="W394" i="6"/>
  <c r="W395" i="6"/>
  <c r="W396" i="6"/>
  <c r="W397" i="6"/>
  <c r="W398" i="6"/>
  <c r="W399" i="6"/>
  <c r="W400" i="6"/>
  <c r="W401" i="6"/>
  <c r="W402" i="6"/>
  <c r="W403" i="6"/>
  <c r="W404" i="6"/>
  <c r="W405" i="6"/>
  <c r="W406" i="6"/>
  <c r="W407" i="6"/>
  <c r="W408" i="6"/>
  <c r="W409" i="6"/>
  <c r="W410" i="6"/>
  <c r="W411" i="6"/>
  <c r="W412" i="6"/>
  <c r="W413" i="6"/>
  <c r="W414" i="6"/>
  <c r="W415" i="6"/>
  <c r="W416" i="6"/>
  <c r="W417" i="6"/>
  <c r="W418" i="6"/>
  <c r="W419" i="6"/>
  <c r="W420" i="6"/>
  <c r="W421" i="6"/>
  <c r="W422" i="6"/>
  <c r="W423" i="6"/>
  <c r="W424" i="6"/>
  <c r="W425" i="6"/>
  <c r="W426" i="6"/>
  <c r="W427" i="6"/>
  <c r="W428" i="6"/>
  <c r="W429" i="6"/>
  <c r="W430" i="6"/>
  <c r="W431" i="6"/>
  <c r="W432" i="6"/>
  <c r="W433" i="6"/>
  <c r="W434" i="6"/>
  <c r="W435" i="6"/>
  <c r="W436" i="6"/>
  <c r="W437" i="6"/>
  <c r="W438" i="6"/>
  <c r="W439" i="6"/>
  <c r="W440" i="6"/>
  <c r="W441" i="6"/>
  <c r="W442" i="6"/>
  <c r="W443" i="6"/>
  <c r="W444" i="6"/>
  <c r="W445" i="6"/>
  <c r="W446" i="6"/>
  <c r="W447" i="6"/>
  <c r="W448" i="6"/>
  <c r="W449" i="6"/>
  <c r="W450" i="6"/>
  <c r="W451" i="6"/>
  <c r="W452" i="6"/>
  <c r="W453" i="6"/>
  <c r="W454" i="6"/>
  <c r="W455" i="6"/>
  <c r="W456" i="6"/>
  <c r="W457" i="6"/>
  <c r="W458" i="6"/>
  <c r="W459" i="6"/>
  <c r="W460" i="6"/>
  <c r="W461" i="6"/>
  <c r="W462" i="6"/>
  <c r="W463" i="6"/>
  <c r="W464" i="6"/>
  <c r="W465" i="6"/>
  <c r="W466" i="6"/>
  <c r="W467" i="6"/>
  <c r="W468" i="6"/>
  <c r="W469" i="6"/>
  <c r="W470" i="6"/>
  <c r="W471" i="6"/>
  <c r="W472" i="6"/>
  <c r="W473" i="6"/>
  <c r="W474" i="6"/>
  <c r="W475" i="6"/>
  <c r="W476" i="6"/>
  <c r="W477" i="6"/>
  <c r="W478" i="6"/>
  <c r="W479" i="6"/>
  <c r="W480" i="6"/>
  <c r="W481" i="6"/>
  <c r="W482" i="6"/>
  <c r="W483" i="6"/>
  <c r="W484" i="6"/>
  <c r="W485" i="6"/>
  <c r="W486" i="6"/>
  <c r="W487" i="6"/>
  <c r="W488" i="6"/>
  <c r="W489" i="6"/>
  <c r="W490" i="6"/>
  <c r="W491" i="6"/>
  <c r="W492" i="6"/>
  <c r="W493" i="6"/>
  <c r="W494" i="6"/>
  <c r="W495" i="6"/>
  <c r="W496" i="6"/>
  <c r="W497" i="6"/>
  <c r="W498" i="6"/>
  <c r="W499" i="6"/>
  <c r="W500" i="6"/>
  <c r="W501" i="6"/>
  <c r="W502" i="6"/>
  <c r="W503" i="6"/>
  <c r="W504" i="6"/>
  <c r="W505" i="6"/>
  <c r="H3139" i="9"/>
  <c r="H2850" i="9"/>
  <c r="H2707" i="9"/>
  <c r="H2565" i="9"/>
  <c r="H2421" i="9"/>
  <c r="H2138" i="9"/>
  <c r="H1849" i="9"/>
  <c r="H1715" i="9"/>
  <c r="H1573" i="9"/>
  <c r="H1430" i="9"/>
  <c r="H1287" i="9"/>
  <c r="H1147" i="9"/>
  <c r="H1005" i="9"/>
  <c r="H862" i="9"/>
  <c r="H720" i="9"/>
  <c r="H578" i="9"/>
  <c r="H436" i="9"/>
  <c r="H289" i="9"/>
  <c r="H146" i="9"/>
  <c r="H2708" i="9"/>
  <c r="H2566" i="9"/>
  <c r="H2422" i="9"/>
  <c r="H2279" i="9"/>
  <c r="H1850" i="9"/>
  <c r="H1716" i="9"/>
  <c r="H1574" i="9"/>
  <c r="H1431" i="9"/>
  <c r="H1288" i="9"/>
  <c r="H1148" i="9"/>
  <c r="H1006" i="9"/>
  <c r="H863" i="9"/>
  <c r="H721" i="9"/>
  <c r="H579" i="9"/>
  <c r="H437" i="9"/>
  <c r="H290" i="9"/>
  <c r="H147" i="9"/>
  <c r="H2848" i="9"/>
  <c r="H2705" i="9"/>
  <c r="H2562" i="9"/>
  <c r="H2419" i="9"/>
  <c r="H2277" i="9"/>
  <c r="H2133" i="9"/>
  <c r="H1845" i="9"/>
  <c r="H1711" i="9"/>
  <c r="H1568" i="9"/>
  <c r="H1425" i="9"/>
  <c r="H1282" i="9"/>
  <c r="H1143" i="9"/>
  <c r="H1000" i="9"/>
  <c r="H858" i="9"/>
  <c r="H716" i="9"/>
  <c r="H574" i="9"/>
  <c r="H431" i="9"/>
  <c r="H284" i="9"/>
  <c r="P330" i="7" l="1"/>
  <c r="P329" i="7"/>
  <c r="AI318" i="7"/>
  <c r="AI300" i="7"/>
  <c r="W326" i="7"/>
  <c r="AC326" i="7" s="1"/>
  <c r="AI304" i="7"/>
  <c r="AI307" i="7"/>
  <c r="AC314" i="7"/>
  <c r="AI314" i="7" s="1"/>
  <c r="AC298" i="7"/>
  <c r="AI298" i="7" s="1"/>
  <c r="W302" i="7"/>
  <c r="AC302" i="7" s="1"/>
  <c r="AI302" i="7" s="1"/>
  <c r="W297" i="7"/>
  <c r="AC297" i="7" s="1"/>
  <c r="AI297" i="7" s="1"/>
  <c r="W301" i="7"/>
  <c r="AC301" i="7" s="1"/>
  <c r="AC319" i="7"/>
  <c r="AI319" i="7" s="1"/>
  <c r="AC315" i="7"/>
  <c r="AI315" i="7" s="1"/>
  <c r="Q15" i="7"/>
  <c r="W15" i="7" s="1"/>
  <c r="Q20" i="7"/>
  <c r="Q31" i="7"/>
  <c r="W31" i="7" s="1"/>
  <c r="Q36" i="7"/>
  <c r="W36" i="7" s="1"/>
  <c r="Q43" i="7"/>
  <c r="W43" i="7" s="1"/>
  <c r="Q54" i="7"/>
  <c r="W54" i="7" s="1"/>
  <c r="AC54" i="7" s="1"/>
  <c r="Q55" i="7"/>
  <c r="W55" i="7" s="1"/>
  <c r="AC55" i="7" s="1"/>
  <c r="AI55" i="7" s="1"/>
  <c r="Q75" i="7"/>
  <c r="Q80" i="7"/>
  <c r="Q91" i="7"/>
  <c r="Q96" i="7"/>
  <c r="W96" i="7" s="1"/>
  <c r="AC96" i="7" s="1"/>
  <c r="Q103" i="7"/>
  <c r="W103" i="7" s="1"/>
  <c r="AC103" i="7" s="1"/>
  <c r="AI103" i="7" s="1"/>
  <c r="Q114" i="7"/>
  <c r="Q115" i="7"/>
  <c r="Q135" i="7"/>
  <c r="Q131" i="7"/>
  <c r="W131" i="7" s="1"/>
  <c r="AC131" i="7" s="1"/>
  <c r="Q151" i="7"/>
  <c r="Q156" i="7"/>
  <c r="Q163" i="7"/>
  <c r="W163" i="7" s="1"/>
  <c r="AC163" i="7" s="1"/>
  <c r="Q174" i="7"/>
  <c r="Q175" i="7"/>
  <c r="W195" i="7"/>
  <c r="AC195" i="7" s="1"/>
  <c r="W211" i="7"/>
  <c r="AC211" i="7" s="1"/>
  <c r="W216" i="7"/>
  <c r="AC216" i="7" s="1"/>
  <c r="Q223" i="7"/>
  <c r="Q234" i="7"/>
  <c r="Q239" i="7"/>
  <c r="Q244" i="7"/>
  <c r="W244" i="7" s="1"/>
  <c r="AC244" i="7" s="1"/>
  <c r="Q251" i="7"/>
  <c r="Q271" i="7"/>
  <c r="Q276" i="7"/>
  <c r="Q283" i="7"/>
  <c r="Q288" i="7"/>
  <c r="W288" i="7" s="1"/>
  <c r="AC288" i="7" s="1"/>
  <c r="Q14" i="7"/>
  <c r="W14" i="7" s="1"/>
  <c r="AC14" i="7" s="1"/>
  <c r="Q10" i="7"/>
  <c r="W10" i="7" s="1"/>
  <c r="AC10" i="7" s="1"/>
  <c r="Q30" i="7"/>
  <c r="W30" i="7" s="1"/>
  <c r="AC30" i="7" s="1"/>
  <c r="Q35" i="7"/>
  <c r="W35" i="7" s="1"/>
  <c r="AC35" i="7" s="1"/>
  <c r="Q42" i="7"/>
  <c r="W42" i="7" s="1"/>
  <c r="AC42" i="7" s="1"/>
  <c r="Q62" i="7"/>
  <c r="W62" i="7" s="1"/>
  <c r="AC62" i="7" s="1"/>
  <c r="Q63" i="7"/>
  <c r="W63" i="7" s="1"/>
  <c r="AC63" i="7" s="1"/>
  <c r="Q74" i="7"/>
  <c r="W74" i="7" s="1"/>
  <c r="AC74" i="7" s="1"/>
  <c r="Q70" i="7"/>
  <c r="W70" i="7" s="1"/>
  <c r="AC70" i="7" s="1"/>
  <c r="Q90" i="7"/>
  <c r="Q95" i="7"/>
  <c r="W95" i="7" s="1"/>
  <c r="Q102" i="7"/>
  <c r="Q122" i="7"/>
  <c r="Q123" i="7"/>
  <c r="W123" i="7" s="1"/>
  <c r="Q134" i="7"/>
  <c r="W134" i="7" s="1"/>
  <c r="AC134" i="7" s="1"/>
  <c r="Q139" i="7"/>
  <c r="Q146" i="7"/>
  <c r="Q166" i="7"/>
  <c r="Q162" i="7"/>
  <c r="W162" i="7" s="1"/>
  <c r="Q182" i="7"/>
  <c r="Q183" i="7"/>
  <c r="W190" i="7"/>
  <c r="AC190" i="7" s="1"/>
  <c r="W206" i="7"/>
  <c r="AC206" i="7" s="1"/>
  <c r="Q226" i="7"/>
  <c r="Q231" i="7"/>
  <c r="Q238" i="7"/>
  <c r="Q249" i="7"/>
  <c r="W249" i="7" s="1"/>
  <c r="AC249" i="7" s="1"/>
  <c r="Q250" i="7"/>
  <c r="W250" i="7" s="1"/>
  <c r="Q270" i="7"/>
  <c r="Q275" i="7"/>
  <c r="Q286" i="7"/>
  <c r="Q282" i="7"/>
  <c r="W282" i="7" s="1"/>
  <c r="AC324" i="7"/>
  <c r="AI303" i="7"/>
  <c r="Q17" i="7"/>
  <c r="Q13" i="7"/>
  <c r="Q18" i="7"/>
  <c r="Q24" i="7"/>
  <c r="Q29" i="7"/>
  <c r="Q25" i="7"/>
  <c r="Q34" i="7"/>
  <c r="Q45" i="7"/>
  <c r="Q41" i="7"/>
  <c r="Q50" i="7"/>
  <c r="Q61" i="7"/>
  <c r="Q57" i="7"/>
  <c r="Q66" i="7"/>
  <c r="Q77" i="7"/>
  <c r="Q73" i="7"/>
  <c r="Q78" i="7"/>
  <c r="Q84" i="7"/>
  <c r="Q89" i="7"/>
  <c r="Q85" i="7"/>
  <c r="Q94" i="7"/>
  <c r="Q105" i="7"/>
  <c r="Q101" i="7"/>
  <c r="Q110" i="7"/>
  <c r="Q121" i="7"/>
  <c r="Q117" i="7"/>
  <c r="Q126" i="7"/>
  <c r="Q137" i="7"/>
  <c r="Q133" i="7"/>
  <c r="Q138" i="7"/>
  <c r="W138" i="7" s="1"/>
  <c r="Q144" i="7"/>
  <c r="Q149" i="7"/>
  <c r="Q145" i="7"/>
  <c r="Q154" i="7"/>
  <c r="W154" i="7" s="1"/>
  <c r="Q165" i="7"/>
  <c r="Q161" i="7"/>
  <c r="Q170" i="7"/>
  <c r="Q181" i="7"/>
  <c r="Q177" i="7"/>
  <c r="Q186" i="7"/>
  <c r="W197" i="7"/>
  <c r="W198" i="7"/>
  <c r="W209" i="7"/>
  <c r="W205" i="7"/>
  <c r="Q225" i="7"/>
  <c r="W225" i="7" s="1"/>
  <c r="Q221" i="7"/>
  <c r="Q230" i="7"/>
  <c r="W230" i="7" s="1"/>
  <c r="Q241" i="7"/>
  <c r="W241" i="7" s="1"/>
  <c r="Q237" i="7"/>
  <c r="W237" i="7" s="1"/>
  <c r="Q246" i="7"/>
  <c r="Q257" i="7"/>
  <c r="W257" i="7" s="1"/>
  <c r="Q253" i="7"/>
  <c r="W253" i="7" s="1"/>
  <c r="Q258" i="7"/>
  <c r="W258" i="7" s="1"/>
  <c r="Q264" i="7"/>
  <c r="W264" i="7" s="1"/>
  <c r="Q269" i="7"/>
  <c r="W269" i="7" s="1"/>
  <c r="Q265" i="7"/>
  <c r="Q274" i="7"/>
  <c r="Q285" i="7"/>
  <c r="W285" i="7" s="1"/>
  <c r="Q281" i="7"/>
  <c r="W281" i="7" s="1"/>
  <c r="Q290" i="7"/>
  <c r="W290" i="7" s="1"/>
  <c r="AC321" i="7"/>
  <c r="AI321" i="7" s="1"/>
  <c r="W299" i="7"/>
  <c r="AC299" i="7" s="1"/>
  <c r="AI324" i="7"/>
  <c r="W325" i="7"/>
  <c r="AC325" i="7" s="1"/>
  <c r="W317" i="7"/>
  <c r="AC317" i="7" s="1"/>
  <c r="W323" i="7"/>
  <c r="W309" i="7"/>
  <c r="W320" i="7"/>
  <c r="W306" i="7"/>
  <c r="AC306" i="7" s="1"/>
  <c r="Q11" i="7"/>
  <c r="Q27" i="7"/>
  <c r="Q47" i="7"/>
  <c r="Q48" i="7"/>
  <c r="W48" i="7" s="1"/>
  <c r="AC48" i="7" s="1"/>
  <c r="AI48" i="7" s="1"/>
  <c r="Q59" i="7"/>
  <c r="Q64" i="7"/>
  <c r="W64" i="7" s="1"/>
  <c r="AC64" i="7" s="1"/>
  <c r="AI64" i="7" s="1"/>
  <c r="Q71" i="7"/>
  <c r="Q87" i="7"/>
  <c r="Q107" i="7"/>
  <c r="Q108" i="7"/>
  <c r="Q119" i="7"/>
  <c r="Q124" i="7"/>
  <c r="Q140" i="7"/>
  <c r="W140" i="7" s="1"/>
  <c r="AC140" i="7" s="1"/>
  <c r="Q147" i="7"/>
  <c r="Q167" i="7"/>
  <c r="W167" i="7" s="1"/>
  <c r="Q168" i="7"/>
  <c r="W168" i="7" s="1"/>
  <c r="Q179" i="7"/>
  <c r="W179" i="7" s="1"/>
  <c r="Q184" i="7"/>
  <c r="W184" i="7" s="1"/>
  <c r="W200" i="7"/>
  <c r="W207" i="7"/>
  <c r="Q227" i="7"/>
  <c r="Q228" i="7"/>
  <c r="Q235" i="7"/>
  <c r="W235" i="7" s="1"/>
  <c r="Q255" i="7"/>
  <c r="W255" i="7" s="1"/>
  <c r="Q260" i="7"/>
  <c r="Q267" i="7"/>
  <c r="W267" i="7" s="1"/>
  <c r="Q287" i="7"/>
  <c r="Q294" i="7"/>
  <c r="Q9" i="7"/>
  <c r="W9" i="7" s="1"/>
  <c r="AC9" i="7" s="1"/>
  <c r="AI9" i="7" s="1"/>
  <c r="Q19" i="7"/>
  <c r="W19" i="7" s="1"/>
  <c r="AC19" i="7" s="1"/>
  <c r="AI19" i="7" s="1"/>
  <c r="Q26" i="7"/>
  <c r="W26" i="7" s="1"/>
  <c r="AC26" i="7" s="1"/>
  <c r="Q46" i="7"/>
  <c r="Q51" i="7"/>
  <c r="Q58" i="7"/>
  <c r="W58" i="7" s="1"/>
  <c r="AC58" i="7" s="1"/>
  <c r="Q69" i="7"/>
  <c r="W69" i="7" s="1"/>
  <c r="Q79" i="7"/>
  <c r="Q86" i="7"/>
  <c r="Q106" i="7"/>
  <c r="Q111" i="7"/>
  <c r="Q118" i="7"/>
  <c r="Q129" i="7"/>
  <c r="W129" i="7" s="1"/>
  <c r="AC129" i="7" s="1"/>
  <c r="Q130" i="7"/>
  <c r="W130" i="7" s="1"/>
  <c r="AC130" i="7" s="1"/>
  <c r="AI130" i="7" s="1"/>
  <c r="Q150" i="7"/>
  <c r="W150" i="7" s="1"/>
  <c r="AC150" i="7" s="1"/>
  <c r="Q155" i="7"/>
  <c r="W155" i="7" s="1"/>
  <c r="Q171" i="7"/>
  <c r="W171" i="7" s="1"/>
  <c r="Q178" i="7"/>
  <c r="W178" i="7" s="1"/>
  <c r="AC178" i="7" s="1"/>
  <c r="AI178" i="7" s="1"/>
  <c r="W189" i="7"/>
  <c r="W199" i="7"/>
  <c r="W215" i="7"/>
  <c r="Q222" i="7"/>
  <c r="W222" i="7" s="1"/>
  <c r="AC222" i="7" s="1"/>
  <c r="AI222" i="7" s="1"/>
  <c r="Q242" i="7"/>
  <c r="W242" i="7" s="1"/>
  <c r="Q243" i="7"/>
  <c r="W243" i="7" s="1"/>
  <c r="Q254" i="7"/>
  <c r="W254" i="7" s="1"/>
  <c r="Q259" i="7"/>
  <c r="W259" i="7" s="1"/>
  <c r="Q266" i="7"/>
  <c r="W266" i="7" s="1"/>
  <c r="Q291" i="7"/>
  <c r="W291" i="7" s="1"/>
  <c r="AC322" i="7"/>
  <c r="AI322" i="7" s="1"/>
  <c r="AC308" i="7"/>
  <c r="AI308" i="7" s="1"/>
  <c r="AC313" i="7"/>
  <c r="AI313" i="7" s="1"/>
  <c r="AC312" i="7"/>
  <c r="AI312" i="7" s="1"/>
  <c r="W305" i="7"/>
  <c r="AC305" i="7" s="1"/>
  <c r="Q16" i="7"/>
  <c r="Q12" i="7"/>
  <c r="Q21" i="7"/>
  <c r="W21" i="7" s="1"/>
  <c r="Q32" i="7"/>
  <c r="Q28" i="7"/>
  <c r="W28" i="7" s="1"/>
  <c r="AC28" i="7" s="1"/>
  <c r="AI28" i="7" s="1"/>
  <c r="Q33" i="7"/>
  <c r="Q39" i="7"/>
  <c r="Q44" i="7"/>
  <c r="Q40" i="7"/>
  <c r="Q49" i="7"/>
  <c r="Q60" i="7"/>
  <c r="Q56" i="7"/>
  <c r="Q65" i="7"/>
  <c r="W65" i="7" s="1"/>
  <c r="AC65" i="7" s="1"/>
  <c r="AI65" i="7" s="1"/>
  <c r="Q76" i="7"/>
  <c r="Q72" i="7"/>
  <c r="Q81" i="7"/>
  <c r="Q92" i="7"/>
  <c r="Q88" i="7"/>
  <c r="Q93" i="7"/>
  <c r="Q99" i="7"/>
  <c r="Q104" i="7"/>
  <c r="Q100" i="7"/>
  <c r="Q109" i="7"/>
  <c r="Q120" i="7"/>
  <c r="Q116" i="7"/>
  <c r="Q125" i="7"/>
  <c r="Q136" i="7"/>
  <c r="Q132" i="7"/>
  <c r="Q141" i="7"/>
  <c r="W141" i="7" s="1"/>
  <c r="Q152" i="7"/>
  <c r="Q148" i="7"/>
  <c r="Q153" i="7"/>
  <c r="Q159" i="7"/>
  <c r="W159" i="7" s="1"/>
  <c r="AC159" i="7" s="1"/>
  <c r="AI159" i="7" s="1"/>
  <c r="Q164" i="7"/>
  <c r="Q160" i="7"/>
  <c r="Q169" i="7"/>
  <c r="Q180" i="7"/>
  <c r="Q176" i="7"/>
  <c r="Q185" i="7"/>
  <c r="Q219" i="7"/>
  <c r="Q224" i="7"/>
  <c r="Q220" i="7"/>
  <c r="W220" i="7" s="1"/>
  <c r="AC220" i="7" s="1"/>
  <c r="Q229" i="7"/>
  <c r="Q240" i="7"/>
  <c r="Q236" i="7"/>
  <c r="W236" i="7" s="1"/>
  <c r="AC236" i="7" s="1"/>
  <c r="Q245" i="7"/>
  <c r="Q256" i="7"/>
  <c r="Q252" i="7"/>
  <c r="Q261" i="7"/>
  <c r="W261" i="7" s="1"/>
  <c r="AC261" i="7" s="1"/>
  <c r="Q272" i="7"/>
  <c r="Q268" i="7"/>
  <c r="Q273" i="7"/>
  <c r="Q279" i="7"/>
  <c r="W279" i="7" s="1"/>
  <c r="AC279" i="7" s="1"/>
  <c r="Q284" i="7"/>
  <c r="W284" i="7" s="1"/>
  <c r="AC284" i="7" s="1"/>
  <c r="Q280" i="7"/>
  <c r="Q289" i="7"/>
  <c r="AG97" i="7"/>
  <c r="AG269" i="7"/>
  <c r="AG239" i="7"/>
  <c r="AG280" i="7"/>
  <c r="AG148" i="7"/>
  <c r="AA73" i="7"/>
  <c r="AG73" i="7" s="1"/>
  <c r="AA263" i="7"/>
  <c r="AG263" i="7" s="1"/>
  <c r="AG16" i="7"/>
  <c r="AG60" i="7"/>
  <c r="AG104" i="7"/>
  <c r="AG192" i="7"/>
  <c r="AG236" i="7"/>
  <c r="AA178" i="7"/>
  <c r="AG178" i="7" s="1"/>
  <c r="AA190" i="7"/>
  <c r="AG190" i="7" s="1"/>
  <c r="AG249" i="7"/>
  <c r="AG255" i="7"/>
  <c r="AA325" i="7"/>
  <c r="AG325" i="7" s="1"/>
  <c r="AG25" i="7"/>
  <c r="AA69" i="7"/>
  <c r="AG69" i="7" s="1"/>
  <c r="AA210" i="7"/>
  <c r="AG210" i="7" s="1"/>
  <c r="AA254" i="7"/>
  <c r="AG254" i="7" s="1"/>
  <c r="AA302" i="7"/>
  <c r="AG302" i="7" s="1"/>
  <c r="AG303" i="7"/>
  <c r="AG89" i="7"/>
  <c r="AG40" i="7"/>
  <c r="AG84" i="7"/>
  <c r="AG128" i="7"/>
  <c r="AG172" i="7"/>
  <c r="AG212" i="7"/>
  <c r="AG256" i="7"/>
  <c r="AG304" i="7"/>
  <c r="AA61" i="7"/>
  <c r="AG61" i="7" s="1"/>
  <c r="AG113" i="7"/>
  <c r="AG301" i="7"/>
  <c r="AG234" i="7"/>
  <c r="AG278" i="7"/>
  <c r="P321" i="7"/>
  <c r="V321" i="7" s="1"/>
  <c r="AB321" i="7" s="1"/>
  <c r="P317" i="7"/>
  <c r="V317" i="7" s="1"/>
  <c r="P313" i="7"/>
  <c r="V313" i="7" s="1"/>
  <c r="P309" i="7"/>
  <c r="V309" i="7" s="1"/>
  <c r="AB309" i="7" s="1"/>
  <c r="P305" i="7"/>
  <c r="V305" i="7" s="1"/>
  <c r="AB305" i="7" s="1"/>
  <c r="P301" i="7"/>
  <c r="P297" i="7"/>
  <c r="V297" i="7" s="1"/>
  <c r="AB297" i="7" s="1"/>
  <c r="P293" i="7"/>
  <c r="V293" i="7" s="1"/>
  <c r="AB293" i="7" s="1"/>
  <c r="P289" i="7"/>
  <c r="V289" i="7" s="1"/>
  <c r="AB289" i="7" s="1"/>
  <c r="P285" i="7"/>
  <c r="V285" i="7" s="1"/>
  <c r="AB285" i="7" s="1"/>
  <c r="P281" i="7"/>
  <c r="P277" i="7"/>
  <c r="V277" i="7" s="1"/>
  <c r="AB277" i="7" s="1"/>
  <c r="P273" i="7"/>
  <c r="V273" i="7" s="1"/>
  <c r="AB273" i="7" s="1"/>
  <c r="P269" i="7"/>
  <c r="P265" i="7"/>
  <c r="V265" i="7" s="1"/>
  <c r="AB265" i="7" s="1"/>
  <c r="P261" i="7"/>
  <c r="V261" i="7" s="1"/>
  <c r="AB261" i="7" s="1"/>
  <c r="P257" i="7"/>
  <c r="V257" i="7" s="1"/>
  <c r="AB257" i="7" s="1"/>
  <c r="P253" i="7"/>
  <c r="V253" i="7" s="1"/>
  <c r="P249" i="7"/>
  <c r="V249" i="7" s="1"/>
  <c r="P245" i="7"/>
  <c r="V245" i="7" s="1"/>
  <c r="AB245" i="7" s="1"/>
  <c r="P241" i="7"/>
  <c r="V241" i="7" s="1"/>
  <c r="AB241" i="7" s="1"/>
  <c r="P237" i="7"/>
  <c r="P233" i="7"/>
  <c r="V233" i="7" s="1"/>
  <c r="AB233" i="7" s="1"/>
  <c r="P229" i="7"/>
  <c r="V229" i="7" s="1"/>
  <c r="AB229" i="7" s="1"/>
  <c r="P225" i="7"/>
  <c r="V225" i="7" s="1"/>
  <c r="AB225" i="7" s="1"/>
  <c r="P221" i="7"/>
  <c r="V221" i="7" s="1"/>
  <c r="AB221" i="7" s="1"/>
  <c r="P217" i="7"/>
  <c r="V217" i="7" s="1"/>
  <c r="V213" i="7"/>
  <c r="AB213" i="7" s="1"/>
  <c r="V209" i="7"/>
  <c r="AB209" i="7" s="1"/>
  <c r="V201" i="7"/>
  <c r="AB201" i="7" s="1"/>
  <c r="V197" i="7"/>
  <c r="AB197" i="7" s="1"/>
  <c r="V193" i="7"/>
  <c r="AB193" i="7" s="1"/>
  <c r="V189" i="7"/>
  <c r="P185" i="7"/>
  <c r="P181" i="7"/>
  <c r="V181" i="7" s="1"/>
  <c r="AB181" i="7" s="1"/>
  <c r="P177" i="7"/>
  <c r="V177" i="7" s="1"/>
  <c r="AB177" i="7" s="1"/>
  <c r="P173" i="7"/>
  <c r="P169" i="7"/>
  <c r="V169" i="7" s="1"/>
  <c r="AB169" i="7" s="1"/>
  <c r="P165" i="7"/>
  <c r="V165" i="7" s="1"/>
  <c r="AB165" i="7" s="1"/>
  <c r="P161" i="7"/>
  <c r="V161" i="7" s="1"/>
  <c r="AB161" i="7" s="1"/>
  <c r="P157" i="7"/>
  <c r="V157" i="7" s="1"/>
  <c r="AB157" i="7" s="1"/>
  <c r="P153" i="7"/>
  <c r="V153" i="7" s="1"/>
  <c r="P149" i="7"/>
  <c r="V149" i="7" s="1"/>
  <c r="AB149" i="7" s="1"/>
  <c r="P145" i="7"/>
  <c r="V145" i="7" s="1"/>
  <c r="AB145" i="7" s="1"/>
  <c r="P141" i="7"/>
  <c r="P137" i="7"/>
  <c r="V137" i="7" s="1"/>
  <c r="AB137" i="7" s="1"/>
  <c r="P133" i="7"/>
  <c r="V133" i="7" s="1"/>
  <c r="AB133" i="7" s="1"/>
  <c r="P129" i="7"/>
  <c r="V129" i="7" s="1"/>
  <c r="AB129" i="7" s="1"/>
  <c r="P125" i="7"/>
  <c r="P121" i="7"/>
  <c r="V121" i="7" s="1"/>
  <c r="AB121" i="7" s="1"/>
  <c r="P117" i="7"/>
  <c r="V117" i="7" s="1"/>
  <c r="AB117" i="7" s="1"/>
  <c r="P113" i="7"/>
  <c r="V113" i="7" s="1"/>
  <c r="AB113" i="7" s="1"/>
  <c r="P109" i="7"/>
  <c r="P105" i="7"/>
  <c r="V105" i="7" s="1"/>
  <c r="P101" i="7"/>
  <c r="V101" i="7" s="1"/>
  <c r="AB101" i="7" s="1"/>
  <c r="P97" i="7"/>
  <c r="V97" i="7" s="1"/>
  <c r="AB97" i="7" s="1"/>
  <c r="P93" i="7"/>
  <c r="V93" i="7" s="1"/>
  <c r="AB93" i="7" s="1"/>
  <c r="P89" i="7"/>
  <c r="V89" i="7" s="1"/>
  <c r="AB89" i="7" s="1"/>
  <c r="P85" i="7"/>
  <c r="V85" i="7" s="1"/>
  <c r="AB85" i="7" s="1"/>
  <c r="P81" i="7"/>
  <c r="V81" i="7" s="1"/>
  <c r="AB81" i="7" s="1"/>
  <c r="P77" i="7"/>
  <c r="P73" i="7"/>
  <c r="V73" i="7" s="1"/>
  <c r="P69" i="7"/>
  <c r="V69" i="7" s="1"/>
  <c r="AB69" i="7" s="1"/>
  <c r="P65" i="7"/>
  <c r="V65" i="7" s="1"/>
  <c r="AB65" i="7" s="1"/>
  <c r="P61" i="7"/>
  <c r="P57" i="7"/>
  <c r="V57" i="7" s="1"/>
  <c r="P53" i="7"/>
  <c r="V53" i="7" s="1"/>
  <c r="AB53" i="7" s="1"/>
  <c r="P49" i="7"/>
  <c r="V49" i="7" s="1"/>
  <c r="AB49" i="7" s="1"/>
  <c r="P45" i="7"/>
  <c r="P41" i="7"/>
  <c r="V41" i="7" s="1"/>
  <c r="P37" i="7"/>
  <c r="V37" i="7" s="1"/>
  <c r="AB37" i="7" s="1"/>
  <c r="P33" i="7"/>
  <c r="V33" i="7" s="1"/>
  <c r="AB33" i="7" s="1"/>
  <c r="P29" i="7"/>
  <c r="V29" i="7" s="1"/>
  <c r="P25" i="7"/>
  <c r="V25" i="7" s="1"/>
  <c r="AB25" i="7" s="1"/>
  <c r="P21" i="7"/>
  <c r="V21" i="7" s="1"/>
  <c r="AB21" i="7" s="1"/>
  <c r="P17" i="7"/>
  <c r="V17" i="7" s="1"/>
  <c r="AB17" i="7" s="1"/>
  <c r="P13" i="7"/>
  <c r="P9" i="7"/>
  <c r="V9" i="7" s="1"/>
  <c r="V326" i="7"/>
  <c r="AB326" i="7" s="1"/>
  <c r="AH326" i="7" s="1"/>
  <c r="AG41" i="7"/>
  <c r="AG85" i="7"/>
  <c r="AG105" i="7"/>
  <c r="AG129" i="7"/>
  <c r="AG149" i="7"/>
  <c r="AG173" i="7"/>
  <c r="AG193" i="7"/>
  <c r="AG217" i="7"/>
  <c r="AG237" i="7"/>
  <c r="AG257" i="7"/>
  <c r="AG281" i="7"/>
  <c r="AG305" i="7"/>
  <c r="AG10" i="7"/>
  <c r="AG30" i="7"/>
  <c r="AG54" i="7"/>
  <c r="AG74" i="7"/>
  <c r="AG98" i="7"/>
  <c r="AG118" i="7"/>
  <c r="AG142" i="7"/>
  <c r="AG162" i="7"/>
  <c r="AG182" i="7"/>
  <c r="AG206" i="7"/>
  <c r="AG226" i="7"/>
  <c r="AG250" i="7"/>
  <c r="AG270" i="7"/>
  <c r="AG298" i="7"/>
  <c r="P324" i="7"/>
  <c r="P320" i="7"/>
  <c r="P316" i="7"/>
  <c r="P312" i="7"/>
  <c r="P308" i="7"/>
  <c r="P304" i="7"/>
  <c r="P300" i="7"/>
  <c r="P296" i="7"/>
  <c r="P292" i="7"/>
  <c r="P288" i="7"/>
  <c r="P284" i="7"/>
  <c r="P280" i="7"/>
  <c r="P276" i="7"/>
  <c r="P272" i="7"/>
  <c r="P268" i="7"/>
  <c r="P264" i="7"/>
  <c r="P260" i="7"/>
  <c r="P256" i="7"/>
  <c r="P252" i="7"/>
  <c r="P248" i="7"/>
  <c r="P244" i="7"/>
  <c r="P240" i="7"/>
  <c r="P236" i="7"/>
  <c r="P232" i="7"/>
  <c r="P228" i="7"/>
  <c r="P224" i="7"/>
  <c r="P220" i="7"/>
  <c r="P188" i="7"/>
  <c r="P184" i="7"/>
  <c r="P180" i="7"/>
  <c r="P176" i="7"/>
  <c r="P172" i="7"/>
  <c r="P168" i="7"/>
  <c r="P164" i="7"/>
  <c r="P160" i="7"/>
  <c r="P156" i="7"/>
  <c r="P152" i="7"/>
  <c r="P148" i="7"/>
  <c r="P144" i="7"/>
  <c r="P140" i="7"/>
  <c r="P136" i="7"/>
  <c r="P132" i="7"/>
  <c r="V132" i="7" s="1"/>
  <c r="AB132" i="7" s="1"/>
  <c r="P128" i="7"/>
  <c r="V128" i="7" s="1"/>
  <c r="AB128" i="7" s="1"/>
  <c r="P124" i="7"/>
  <c r="V124" i="7" s="1"/>
  <c r="AB124" i="7" s="1"/>
  <c r="P120" i="7"/>
  <c r="V120" i="7" s="1"/>
  <c r="AB120" i="7" s="1"/>
  <c r="P116" i="7"/>
  <c r="V116" i="7" s="1"/>
  <c r="AB116" i="7" s="1"/>
  <c r="P112" i="7"/>
  <c r="V112" i="7" s="1"/>
  <c r="AB112" i="7" s="1"/>
  <c r="P108" i="7"/>
  <c r="V108" i="7" s="1"/>
  <c r="AB108" i="7" s="1"/>
  <c r="P104" i="7"/>
  <c r="V104" i="7" s="1"/>
  <c r="AB104" i="7" s="1"/>
  <c r="P100" i="7"/>
  <c r="V100" i="7" s="1"/>
  <c r="AB100" i="7" s="1"/>
  <c r="P96" i="7"/>
  <c r="V96" i="7" s="1"/>
  <c r="AB96" i="7" s="1"/>
  <c r="P92" i="7"/>
  <c r="V92" i="7" s="1"/>
  <c r="AB92" i="7" s="1"/>
  <c r="P88" i="7"/>
  <c r="V88" i="7" s="1"/>
  <c r="AB88" i="7" s="1"/>
  <c r="P84" i="7"/>
  <c r="V84" i="7" s="1"/>
  <c r="AB84" i="7" s="1"/>
  <c r="P80" i="7"/>
  <c r="V80" i="7" s="1"/>
  <c r="AB80" i="7" s="1"/>
  <c r="P76" i="7"/>
  <c r="V76" i="7" s="1"/>
  <c r="AB76" i="7" s="1"/>
  <c r="P72" i="7"/>
  <c r="V72" i="7" s="1"/>
  <c r="AB72" i="7" s="1"/>
  <c r="P68" i="7"/>
  <c r="V68" i="7" s="1"/>
  <c r="AB68" i="7" s="1"/>
  <c r="P64" i="7"/>
  <c r="V64" i="7" s="1"/>
  <c r="AB64" i="7" s="1"/>
  <c r="P60" i="7"/>
  <c r="V60" i="7" s="1"/>
  <c r="AB60" i="7" s="1"/>
  <c r="P56" i="7"/>
  <c r="V56" i="7" s="1"/>
  <c r="AB56" i="7" s="1"/>
  <c r="P52" i="7"/>
  <c r="V52" i="7" s="1"/>
  <c r="AB52" i="7" s="1"/>
  <c r="P48" i="7"/>
  <c r="V48" i="7" s="1"/>
  <c r="AB48" i="7" s="1"/>
  <c r="P44" i="7"/>
  <c r="V44" i="7" s="1"/>
  <c r="AB44" i="7" s="1"/>
  <c r="P40" i="7"/>
  <c r="V40" i="7" s="1"/>
  <c r="AB40" i="7" s="1"/>
  <c r="P36" i="7"/>
  <c r="P32" i="7"/>
  <c r="V32" i="7" s="1"/>
  <c r="AB32" i="7" s="1"/>
  <c r="P28" i="7"/>
  <c r="V28" i="7" s="1"/>
  <c r="AB28" i="7" s="1"/>
  <c r="P24" i="7"/>
  <c r="V24" i="7" s="1"/>
  <c r="AB24" i="7" s="1"/>
  <c r="P20" i="7"/>
  <c r="V20" i="7" s="1"/>
  <c r="AB20" i="7" s="1"/>
  <c r="P16" i="7"/>
  <c r="V16" i="7" s="1"/>
  <c r="AB16" i="7" s="1"/>
  <c r="P12" i="7"/>
  <c r="V12" i="7" s="1"/>
  <c r="AB12" i="7" s="1"/>
  <c r="P8" i="7"/>
  <c r="V8" i="7" s="1"/>
  <c r="AB8" i="7" s="1"/>
  <c r="AA27" i="7"/>
  <c r="AG27" i="7" s="1"/>
  <c r="AA47" i="7"/>
  <c r="AG47" i="7" s="1"/>
  <c r="AA71" i="7"/>
  <c r="AG71" i="7" s="1"/>
  <c r="AA91" i="7"/>
  <c r="AG91" i="7" s="1"/>
  <c r="AA115" i="7"/>
  <c r="AG115" i="7" s="1"/>
  <c r="AA135" i="7"/>
  <c r="AG135" i="7" s="1"/>
  <c r="AA159" i="7"/>
  <c r="AG159" i="7" s="1"/>
  <c r="AA179" i="7"/>
  <c r="AG179" i="7" s="1"/>
  <c r="AA203" i="7"/>
  <c r="AG203" i="7" s="1"/>
  <c r="AA223" i="7"/>
  <c r="AG223" i="7" s="1"/>
  <c r="AA247" i="7"/>
  <c r="AG247" i="7" s="1"/>
  <c r="AA267" i="7"/>
  <c r="AG267" i="7" s="1"/>
  <c r="AA287" i="7"/>
  <c r="AG287" i="7" s="1"/>
  <c r="AA311" i="7"/>
  <c r="AG311" i="7" s="1"/>
  <c r="AG315" i="7"/>
  <c r="AA7" i="7"/>
  <c r="AG7" i="7" s="1"/>
  <c r="AA24" i="7"/>
  <c r="AG24" i="7" s="1"/>
  <c r="AA44" i="7"/>
  <c r="AG44" i="7" s="1"/>
  <c r="AA68" i="7"/>
  <c r="AG68" i="7" s="1"/>
  <c r="AA88" i="7"/>
  <c r="AG88" i="7" s="1"/>
  <c r="AA112" i="7"/>
  <c r="AG112" i="7" s="1"/>
  <c r="AA132" i="7"/>
  <c r="AG132" i="7" s="1"/>
  <c r="AA152" i="7"/>
  <c r="AG152" i="7" s="1"/>
  <c r="AA176" i="7"/>
  <c r="AG176" i="7" s="1"/>
  <c r="AA196" i="7"/>
  <c r="AG196" i="7" s="1"/>
  <c r="AA220" i="7"/>
  <c r="AG220" i="7" s="1"/>
  <c r="AA240" i="7"/>
  <c r="AG240" i="7" s="1"/>
  <c r="AA264" i="7"/>
  <c r="AG264" i="7" s="1"/>
  <c r="AG284" i="7"/>
  <c r="AA312" i="7"/>
  <c r="AG312" i="7" s="1"/>
  <c r="AA9" i="7"/>
  <c r="AG9" i="7" s="1"/>
  <c r="AG13" i="7"/>
  <c r="AG37" i="7"/>
  <c r="AA45" i="7"/>
  <c r="AG45" i="7" s="1"/>
  <c r="P7" i="7"/>
  <c r="V7" i="7" s="1"/>
  <c r="AB7" i="7" s="1"/>
  <c r="AH7" i="7" s="1"/>
  <c r="P323" i="7"/>
  <c r="V323" i="7" s="1"/>
  <c r="AB323" i="7" s="1"/>
  <c r="AH323" i="7" s="1"/>
  <c r="P319" i="7"/>
  <c r="V319" i="7" s="1"/>
  <c r="P315" i="7"/>
  <c r="P311" i="7"/>
  <c r="V311" i="7" s="1"/>
  <c r="P307" i="7"/>
  <c r="V307" i="7" s="1"/>
  <c r="P303" i="7"/>
  <c r="V303" i="7" s="1"/>
  <c r="P299" i="7"/>
  <c r="P295" i="7"/>
  <c r="V295" i="7" s="1"/>
  <c r="P291" i="7"/>
  <c r="V291" i="7" s="1"/>
  <c r="P287" i="7"/>
  <c r="V287" i="7" s="1"/>
  <c r="P283" i="7"/>
  <c r="P279" i="7"/>
  <c r="V279" i="7" s="1"/>
  <c r="P275" i="7"/>
  <c r="V275" i="7" s="1"/>
  <c r="P271" i="7"/>
  <c r="V271" i="7" s="1"/>
  <c r="P267" i="7"/>
  <c r="P263" i="7"/>
  <c r="V263" i="7" s="1"/>
  <c r="P259" i="7"/>
  <c r="V259" i="7" s="1"/>
  <c r="P255" i="7"/>
  <c r="V255" i="7" s="1"/>
  <c r="P251" i="7"/>
  <c r="P247" i="7"/>
  <c r="V247" i="7" s="1"/>
  <c r="P243" i="7"/>
  <c r="V243" i="7" s="1"/>
  <c r="P239" i="7"/>
  <c r="V239" i="7" s="1"/>
  <c r="P235" i="7"/>
  <c r="P231" i="7"/>
  <c r="V231" i="7" s="1"/>
  <c r="P227" i="7"/>
  <c r="V227" i="7" s="1"/>
  <c r="P223" i="7"/>
  <c r="V223" i="7" s="1"/>
  <c r="P219" i="7"/>
  <c r="V215" i="7"/>
  <c r="V211" i="7"/>
  <c r="V207" i="7"/>
  <c r="V199" i="7"/>
  <c r="V195" i="7"/>
  <c r="V191" i="7"/>
  <c r="P187" i="7"/>
  <c r="P183" i="7"/>
  <c r="V183" i="7" s="1"/>
  <c r="P179" i="7"/>
  <c r="V179" i="7" s="1"/>
  <c r="P175" i="7"/>
  <c r="V175" i="7" s="1"/>
  <c r="P171" i="7"/>
  <c r="P167" i="7"/>
  <c r="P163" i="7"/>
  <c r="P159" i="7"/>
  <c r="V159" i="7" s="1"/>
  <c r="P155" i="7"/>
  <c r="V155" i="7" s="1"/>
  <c r="P151" i="7"/>
  <c r="V151" i="7" s="1"/>
  <c r="P147" i="7"/>
  <c r="V147" i="7" s="1"/>
  <c r="P143" i="7"/>
  <c r="P139" i="7"/>
  <c r="V139" i="7" s="1"/>
  <c r="P135" i="7"/>
  <c r="V135" i="7" s="1"/>
  <c r="P131" i="7"/>
  <c r="V131" i="7" s="1"/>
  <c r="P127" i="7"/>
  <c r="V127" i="7" s="1"/>
  <c r="P123" i="7"/>
  <c r="V123" i="7" s="1"/>
  <c r="P119" i="7"/>
  <c r="V119" i="7" s="1"/>
  <c r="P115" i="7"/>
  <c r="V115" i="7" s="1"/>
  <c r="P111" i="7"/>
  <c r="V111" i="7" s="1"/>
  <c r="P107" i="7"/>
  <c r="V107" i="7" s="1"/>
  <c r="P103" i="7"/>
  <c r="V103" i="7" s="1"/>
  <c r="P99" i="7"/>
  <c r="V99" i="7" s="1"/>
  <c r="P95" i="7"/>
  <c r="V95" i="7" s="1"/>
  <c r="P91" i="7"/>
  <c r="V91" i="7" s="1"/>
  <c r="P87" i="7"/>
  <c r="V87" i="7" s="1"/>
  <c r="P83" i="7"/>
  <c r="V83" i="7" s="1"/>
  <c r="P79" i="7"/>
  <c r="V79" i="7" s="1"/>
  <c r="P75" i="7"/>
  <c r="V75" i="7" s="1"/>
  <c r="P71" i="7"/>
  <c r="V71" i="7" s="1"/>
  <c r="P67" i="7"/>
  <c r="V67" i="7" s="1"/>
  <c r="P63" i="7"/>
  <c r="V63" i="7" s="1"/>
  <c r="P59" i="7"/>
  <c r="V59" i="7" s="1"/>
  <c r="P55" i="7"/>
  <c r="V55" i="7" s="1"/>
  <c r="P51" i="7"/>
  <c r="V51" i="7" s="1"/>
  <c r="P47" i="7"/>
  <c r="V47" i="7" s="1"/>
  <c r="P43" i="7"/>
  <c r="V43" i="7" s="1"/>
  <c r="P39" i="7"/>
  <c r="V39" i="7" s="1"/>
  <c r="P35" i="7"/>
  <c r="P31" i="7"/>
  <c r="P27" i="7"/>
  <c r="V27" i="7" s="1"/>
  <c r="P23" i="7"/>
  <c r="V23" i="7" s="1"/>
  <c r="P19" i="7"/>
  <c r="V19" i="7" s="1"/>
  <c r="P15" i="7"/>
  <c r="V15" i="7" s="1"/>
  <c r="P11" i="7"/>
  <c r="V11" i="7" s="1"/>
  <c r="P325" i="7"/>
  <c r="AA23" i="7"/>
  <c r="AG23" i="7" s="1"/>
  <c r="AA43" i="7"/>
  <c r="AG43" i="7" s="1"/>
  <c r="AA67" i="7"/>
  <c r="AG67" i="7" s="1"/>
  <c r="AA87" i="7"/>
  <c r="AG87" i="7" s="1"/>
  <c r="AA107" i="7"/>
  <c r="AG107" i="7" s="1"/>
  <c r="AA131" i="7"/>
  <c r="AG131" i="7" s="1"/>
  <c r="AA151" i="7"/>
  <c r="AG151" i="7" s="1"/>
  <c r="AA175" i="7"/>
  <c r="AG175" i="7" s="1"/>
  <c r="AA195" i="7"/>
  <c r="AG195" i="7" s="1"/>
  <c r="AA219" i="7"/>
  <c r="AG219" i="7" s="1"/>
  <c r="AA133" i="7"/>
  <c r="AG133" i="7" s="1"/>
  <c r="AA157" i="7"/>
  <c r="AG157" i="7" s="1"/>
  <c r="AA177" i="7"/>
  <c r="AG177" i="7" s="1"/>
  <c r="AA197" i="7"/>
  <c r="AG197" i="7" s="1"/>
  <c r="AA221" i="7"/>
  <c r="AG221" i="7" s="1"/>
  <c r="AA241" i="7"/>
  <c r="AG241" i="7" s="1"/>
  <c r="AA265" i="7"/>
  <c r="AG265" i="7" s="1"/>
  <c r="AA285" i="7"/>
  <c r="AG285" i="7" s="1"/>
  <c r="AG313" i="7"/>
  <c r="AA14" i="7"/>
  <c r="AG14" i="7" s="1"/>
  <c r="AA38" i="7"/>
  <c r="AG38" i="7" s="1"/>
  <c r="AA58" i="7"/>
  <c r="AG58" i="7" s="1"/>
  <c r="AA82" i="7"/>
  <c r="AG82" i="7" s="1"/>
  <c r="AA102" i="7"/>
  <c r="AG102" i="7" s="1"/>
  <c r="AA122" i="7"/>
  <c r="AG122" i="7" s="1"/>
  <c r="AA146" i="7"/>
  <c r="AG146" i="7" s="1"/>
  <c r="AA166" i="7"/>
  <c r="AG166" i="7" s="1"/>
  <c r="P322" i="7"/>
  <c r="V322" i="7" s="1"/>
  <c r="P318" i="7"/>
  <c r="V318" i="7" s="1"/>
  <c r="P314" i="7"/>
  <c r="V314" i="7" s="1"/>
  <c r="P310" i="7"/>
  <c r="V310" i="7" s="1"/>
  <c r="P306" i="7"/>
  <c r="V306" i="7" s="1"/>
  <c r="P302" i="7"/>
  <c r="V302" i="7" s="1"/>
  <c r="P298" i="7"/>
  <c r="V298" i="7" s="1"/>
  <c r="P294" i="7"/>
  <c r="V294" i="7" s="1"/>
  <c r="P290" i="7"/>
  <c r="V290" i="7" s="1"/>
  <c r="P286" i="7"/>
  <c r="V286" i="7" s="1"/>
  <c r="P282" i="7"/>
  <c r="V282" i="7" s="1"/>
  <c r="P278" i="7"/>
  <c r="V278" i="7" s="1"/>
  <c r="P274" i="7"/>
  <c r="V274" i="7" s="1"/>
  <c r="P270" i="7"/>
  <c r="V270" i="7" s="1"/>
  <c r="P266" i="7"/>
  <c r="V266" i="7" s="1"/>
  <c r="P262" i="7"/>
  <c r="V262" i="7" s="1"/>
  <c r="P258" i="7"/>
  <c r="V258" i="7" s="1"/>
  <c r="P254" i="7"/>
  <c r="V254" i="7" s="1"/>
  <c r="P250" i="7"/>
  <c r="V250" i="7" s="1"/>
  <c r="P246" i="7"/>
  <c r="V246" i="7" s="1"/>
  <c r="P242" i="7"/>
  <c r="V242" i="7" s="1"/>
  <c r="P238" i="7"/>
  <c r="V238" i="7" s="1"/>
  <c r="P234" i="7"/>
  <c r="V234" i="7" s="1"/>
  <c r="P230" i="7"/>
  <c r="V230" i="7" s="1"/>
  <c r="P226" i="7"/>
  <c r="V226" i="7" s="1"/>
  <c r="P222" i="7"/>
  <c r="V222" i="7" s="1"/>
  <c r="P218" i="7"/>
  <c r="V218" i="7" s="1"/>
  <c r="V214" i="7"/>
  <c r="V210" i="7"/>
  <c r="V206" i="7"/>
  <c r="V202" i="7"/>
  <c r="V198" i="7"/>
  <c r="V194" i="7"/>
  <c r="V190" i="7"/>
  <c r="P186" i="7"/>
  <c r="V186" i="7" s="1"/>
  <c r="P182" i="7"/>
  <c r="V182" i="7" s="1"/>
  <c r="P178" i="7"/>
  <c r="V178" i="7" s="1"/>
  <c r="P174" i="7"/>
  <c r="V174" i="7" s="1"/>
  <c r="P170" i="7"/>
  <c r="V170" i="7" s="1"/>
  <c r="P166" i="7"/>
  <c r="V166" i="7" s="1"/>
  <c r="P162" i="7"/>
  <c r="V162" i="7" s="1"/>
  <c r="P158" i="7"/>
  <c r="V158" i="7" s="1"/>
  <c r="P154" i="7"/>
  <c r="V154" i="7" s="1"/>
  <c r="P150" i="7"/>
  <c r="V150" i="7" s="1"/>
  <c r="P146" i="7"/>
  <c r="V146" i="7" s="1"/>
  <c r="P142" i="7"/>
  <c r="V142" i="7" s="1"/>
  <c r="P138" i="7"/>
  <c r="V138" i="7" s="1"/>
  <c r="P134" i="7"/>
  <c r="V134" i="7" s="1"/>
  <c r="P130" i="7"/>
  <c r="V130" i="7" s="1"/>
  <c r="P126" i="7"/>
  <c r="V126" i="7" s="1"/>
  <c r="P122" i="7"/>
  <c r="V122" i="7" s="1"/>
  <c r="P118" i="7"/>
  <c r="V118" i="7" s="1"/>
  <c r="P114" i="7"/>
  <c r="V114" i="7" s="1"/>
  <c r="P110" i="7"/>
  <c r="V110" i="7" s="1"/>
  <c r="P106" i="7"/>
  <c r="V106" i="7" s="1"/>
  <c r="P102" i="7"/>
  <c r="V102" i="7" s="1"/>
  <c r="P98" i="7"/>
  <c r="V98" i="7" s="1"/>
  <c r="P94" i="7"/>
  <c r="V94" i="7" s="1"/>
  <c r="P90" i="7"/>
  <c r="V90" i="7" s="1"/>
  <c r="P86" i="7"/>
  <c r="V86" i="7" s="1"/>
  <c r="P82" i="7"/>
  <c r="V82" i="7" s="1"/>
  <c r="P78" i="7"/>
  <c r="V78" i="7" s="1"/>
  <c r="P74" i="7"/>
  <c r="V74" i="7" s="1"/>
  <c r="P70" i="7"/>
  <c r="V70" i="7" s="1"/>
  <c r="P66" i="7"/>
  <c r="V66" i="7" s="1"/>
  <c r="P62" i="7"/>
  <c r="V62" i="7" s="1"/>
  <c r="P58" i="7"/>
  <c r="V58" i="7" s="1"/>
  <c r="P54" i="7"/>
  <c r="V54" i="7" s="1"/>
  <c r="P50" i="7"/>
  <c r="V50" i="7" s="1"/>
  <c r="P46" i="7"/>
  <c r="V46" i="7" s="1"/>
  <c r="P42" i="7"/>
  <c r="V42" i="7" s="1"/>
  <c r="P38" i="7"/>
  <c r="V38" i="7" s="1"/>
  <c r="P34" i="7"/>
  <c r="V34" i="7" s="1"/>
  <c r="P30" i="7"/>
  <c r="P26" i="7"/>
  <c r="V26" i="7" s="1"/>
  <c r="P22" i="7"/>
  <c r="V22" i="7" s="1"/>
  <c r="P18" i="7"/>
  <c r="P14" i="7"/>
  <c r="V14" i="7" s="1"/>
  <c r="P10" i="7"/>
  <c r="V10" i="7" s="1"/>
  <c r="AG314" i="7"/>
  <c r="U293" i="7"/>
  <c r="AA293" i="7" s="1"/>
  <c r="U322" i="7"/>
  <c r="U307" i="7"/>
  <c r="AA307" i="7" s="1"/>
  <c r="U289" i="7"/>
  <c r="U274" i="7"/>
  <c r="AA274" i="7" s="1"/>
  <c r="U259" i="7"/>
  <c r="AA259" i="7" s="1"/>
  <c r="U244" i="7"/>
  <c r="AA244" i="7" s="1"/>
  <c r="AG244" i="7" s="1"/>
  <c r="U229" i="7"/>
  <c r="AA229" i="7" s="1"/>
  <c r="AG229" i="7" s="1"/>
  <c r="U214" i="7"/>
  <c r="AA214" i="7" s="1"/>
  <c r="U199" i="7"/>
  <c r="U184" i="7"/>
  <c r="AA184" i="7" s="1"/>
  <c r="U169" i="7"/>
  <c r="AA169" i="7" s="1"/>
  <c r="U154" i="7"/>
  <c r="AA154" i="7" s="1"/>
  <c r="U139" i="7"/>
  <c r="U124" i="7"/>
  <c r="U109" i="7"/>
  <c r="AA109" i="7" s="1"/>
  <c r="AG109" i="7" s="1"/>
  <c r="U94" i="7"/>
  <c r="AA94" i="7" s="1"/>
  <c r="U79" i="7"/>
  <c r="U64" i="7"/>
  <c r="AA64" i="7" s="1"/>
  <c r="U49" i="7"/>
  <c r="AA49" i="7" s="1"/>
  <c r="U34" i="7"/>
  <c r="AA34" i="7" s="1"/>
  <c r="U19" i="7"/>
  <c r="U292" i="7"/>
  <c r="AA292" i="7" s="1"/>
  <c r="AG292" i="7" s="1"/>
  <c r="U321" i="7"/>
  <c r="AA321" i="7" s="1"/>
  <c r="AG321" i="7" s="1"/>
  <c r="U306" i="7"/>
  <c r="AA306" i="7" s="1"/>
  <c r="U288" i="7"/>
  <c r="U273" i="7"/>
  <c r="AA273" i="7" s="1"/>
  <c r="U258" i="7"/>
  <c r="AA258" i="7" s="1"/>
  <c r="U243" i="7"/>
  <c r="AA243" i="7" s="1"/>
  <c r="U228" i="7"/>
  <c r="U213" i="7"/>
  <c r="U198" i="7"/>
  <c r="AA198" i="7" s="1"/>
  <c r="AG198" i="7" s="1"/>
  <c r="U183" i="7"/>
  <c r="AA183" i="7" s="1"/>
  <c r="U168" i="7"/>
  <c r="U153" i="7"/>
  <c r="AA153" i="7" s="1"/>
  <c r="U138" i="7"/>
  <c r="AA138" i="7" s="1"/>
  <c r="U123" i="7"/>
  <c r="AA123" i="7" s="1"/>
  <c r="U108" i="7"/>
  <c r="U78" i="7"/>
  <c r="AA78" i="7" s="1"/>
  <c r="AG78" i="7" s="1"/>
  <c r="U63" i="7"/>
  <c r="AA63" i="7" s="1"/>
  <c r="U48" i="7"/>
  <c r="U33" i="7"/>
  <c r="AA33" i="7" s="1"/>
  <c r="U18" i="7"/>
  <c r="AA18" i="7" s="1"/>
  <c r="U324" i="7"/>
  <c r="U309" i="7"/>
  <c r="U291" i="7"/>
  <c r="U276" i="7"/>
  <c r="AA276" i="7" s="1"/>
  <c r="AG276" i="7" s="1"/>
  <c r="U261" i="7"/>
  <c r="AA261" i="7" s="1"/>
  <c r="U246" i="7"/>
  <c r="U231" i="7"/>
  <c r="AA231" i="7" s="1"/>
  <c r="U216" i="7"/>
  <c r="AA216" i="7" s="1"/>
  <c r="AG216" i="7" s="1"/>
  <c r="U201" i="7"/>
  <c r="U186" i="7"/>
  <c r="U171" i="7"/>
  <c r="AA171" i="7" s="1"/>
  <c r="AG171" i="7" s="1"/>
  <c r="U156" i="7"/>
  <c r="AA156" i="7" s="1"/>
  <c r="AG156" i="7" s="1"/>
  <c r="U141" i="7"/>
  <c r="AA141" i="7" s="1"/>
  <c r="U126" i="7"/>
  <c r="U111" i="7"/>
  <c r="AA111" i="7" s="1"/>
  <c r="U96" i="7"/>
  <c r="AA96" i="7" s="1"/>
  <c r="U81" i="7"/>
  <c r="U66" i="7"/>
  <c r="U51" i="7"/>
  <c r="U36" i="7"/>
  <c r="AA36" i="7" s="1"/>
  <c r="AG36" i="7" s="1"/>
  <c r="AA289" i="7"/>
  <c r="U93" i="7"/>
  <c r="U21" i="7"/>
  <c r="AA21" i="7" s="1"/>
  <c r="U140" i="7"/>
  <c r="U125" i="7"/>
  <c r="AA125" i="7" s="1"/>
  <c r="U110" i="7"/>
  <c r="U95" i="7"/>
  <c r="AA95" i="7" s="1"/>
  <c r="U80" i="7"/>
  <c r="AA80" i="7" s="1"/>
  <c r="U65" i="7"/>
  <c r="AA65" i="7" s="1"/>
  <c r="U50" i="7"/>
  <c r="U35" i="7"/>
  <c r="U20" i="7"/>
  <c r="AA294" i="7"/>
  <c r="AG294" i="7" s="1"/>
  <c r="AA323" i="7"/>
  <c r="AG323" i="7" s="1"/>
  <c r="AA308" i="7"/>
  <c r="AG308" i="7" s="1"/>
  <c r="AA290" i="7"/>
  <c r="AG290" i="7" s="1"/>
  <c r="AG275" i="7"/>
  <c r="AA260" i="7"/>
  <c r="AG260" i="7" s="1"/>
  <c r="AA245" i="7"/>
  <c r="AG245" i="7" s="1"/>
  <c r="AA230" i="7"/>
  <c r="AG230" i="7" s="1"/>
  <c r="AA215" i="7"/>
  <c r="AG215" i="7" s="1"/>
  <c r="AA200" i="7"/>
  <c r="AG200" i="7" s="1"/>
  <c r="AA185" i="7"/>
  <c r="AG185" i="7" s="1"/>
  <c r="AA170" i="7"/>
  <c r="AG170" i="7" s="1"/>
  <c r="AA155" i="7"/>
  <c r="AG155" i="7" s="1"/>
  <c r="H3140" i="9"/>
  <c r="H3130" i="9"/>
  <c r="H3078" i="9"/>
  <c r="H480" i="9"/>
  <c r="H182" i="9"/>
  <c r="H154" i="9"/>
  <c r="G27" i="8"/>
  <c r="H2131" i="9"/>
  <c r="G76" i="8"/>
  <c r="G41" i="8"/>
  <c r="G40" i="8"/>
  <c r="H4" i="9"/>
  <c r="H3121" i="9"/>
  <c r="H3123" i="9"/>
  <c r="H2137" i="9"/>
  <c r="H1848" i="9"/>
  <c r="H3119" i="9"/>
  <c r="H143" i="9"/>
  <c r="H2854" i="9"/>
  <c r="H2853" i="9"/>
  <c r="H2852" i="9"/>
  <c r="H2851" i="9"/>
  <c r="H2711" i="9"/>
  <c r="H2710" i="9"/>
  <c r="H2709" i="9"/>
  <c r="H2569" i="9"/>
  <c r="H2568" i="9"/>
  <c r="H2567" i="9"/>
  <c r="H2425" i="9"/>
  <c r="H2424" i="9"/>
  <c r="H2423" i="9"/>
  <c r="H2282" i="9"/>
  <c r="H2281" i="9"/>
  <c r="H2280" i="9"/>
  <c r="H2142" i="9"/>
  <c r="H2141" i="9"/>
  <c r="H2140" i="9"/>
  <c r="H2139" i="9"/>
  <c r="H1853" i="9"/>
  <c r="H1852" i="9"/>
  <c r="H1851" i="9"/>
  <c r="H1718" i="9"/>
  <c r="H1717" i="9"/>
  <c r="H1714" i="9"/>
  <c r="H1577" i="9"/>
  <c r="H1576" i="9"/>
  <c r="H1575" i="9"/>
  <c r="H1434" i="9"/>
  <c r="H1433" i="9"/>
  <c r="H1432" i="9"/>
  <c r="H1291" i="9"/>
  <c r="H1290" i="9"/>
  <c r="H1289" i="9"/>
  <c r="H1151" i="9"/>
  <c r="H1150" i="9"/>
  <c r="H1149" i="9"/>
  <c r="H1009" i="9"/>
  <c r="H1008" i="9"/>
  <c r="H1007" i="9"/>
  <c r="H866" i="9"/>
  <c r="H865" i="9"/>
  <c r="H864" i="9"/>
  <c r="H724" i="9"/>
  <c r="H723" i="9"/>
  <c r="H722" i="9"/>
  <c r="H582" i="9"/>
  <c r="H581" i="9"/>
  <c r="H580" i="9"/>
  <c r="H440" i="9"/>
  <c r="H439" i="9"/>
  <c r="H438" i="9"/>
  <c r="H150" i="9"/>
  <c r="H149" i="9"/>
  <c r="H148" i="9"/>
  <c r="H291" i="9"/>
  <c r="H292" i="9"/>
  <c r="H293" i="9"/>
  <c r="G260" i="8"/>
  <c r="G261" i="8"/>
  <c r="G262" i="8"/>
  <c r="G263" i="8"/>
  <c r="G264" i="8"/>
  <c r="G265" i="8"/>
  <c r="G266" i="8"/>
  <c r="G267" i="8"/>
  <c r="G268" i="8"/>
  <c r="G269" i="8"/>
  <c r="G270" i="8"/>
  <c r="G271" i="8"/>
  <c r="G272" i="8"/>
  <c r="G273" i="8"/>
  <c r="G274" i="8"/>
  <c r="G275" i="8"/>
  <c r="G276" i="8"/>
  <c r="G134" i="8"/>
  <c r="G133" i="8"/>
  <c r="G157" i="8"/>
  <c r="H2849" i="9"/>
  <c r="H2706" i="9"/>
  <c r="H2564" i="9"/>
  <c r="H2563" i="9"/>
  <c r="H2420" i="9"/>
  <c r="H2278" i="9"/>
  <c r="H2136" i="9"/>
  <c r="H1847" i="9"/>
  <c r="H1719" i="9"/>
  <c r="H1572" i="9"/>
  <c r="H1571" i="9"/>
  <c r="H1429" i="9"/>
  <c r="H1286" i="9"/>
  <c r="H1146" i="9"/>
  <c r="H1004" i="9"/>
  <c r="H861" i="9"/>
  <c r="H719" i="9"/>
  <c r="H577" i="9"/>
  <c r="H435" i="9"/>
  <c r="H145" i="9"/>
  <c r="H288" i="9"/>
  <c r="H3135" i="9"/>
  <c r="H3141" i="9"/>
  <c r="H3142" i="9"/>
  <c r="H3143" i="9"/>
  <c r="H3131" i="9"/>
  <c r="G39" i="8"/>
  <c r="H1567" i="9"/>
  <c r="H2416" i="9"/>
  <c r="H2417" i="9"/>
  <c r="H2702" i="9"/>
  <c r="H2703" i="9"/>
  <c r="H857" i="9"/>
  <c r="H1424" i="9"/>
  <c r="H999" i="9"/>
  <c r="H1001" i="9"/>
  <c r="H2559" i="9"/>
  <c r="H2560" i="9"/>
  <c r="H2845" i="9"/>
  <c r="H2846" i="9"/>
  <c r="H430" i="9"/>
  <c r="H432" i="9"/>
  <c r="H1281" i="9"/>
  <c r="H573" i="9"/>
  <c r="H715" i="9"/>
  <c r="H2132" i="9"/>
  <c r="H1844" i="9"/>
  <c r="H2275" i="9"/>
  <c r="H1710" i="9"/>
  <c r="H140" i="9"/>
  <c r="H141" i="9"/>
  <c r="H283" i="9"/>
  <c r="H1142" i="9"/>
  <c r="H840" i="9"/>
  <c r="H839" i="9"/>
  <c r="H838" i="9"/>
  <c r="H837" i="9"/>
  <c r="H2399" i="9"/>
  <c r="H2398" i="9"/>
  <c r="H2397" i="9"/>
  <c r="H2396" i="9"/>
  <c r="H1550" i="9"/>
  <c r="H1549" i="9"/>
  <c r="H1548" i="9"/>
  <c r="H1547" i="9"/>
  <c r="H2685" i="9"/>
  <c r="H2684" i="9"/>
  <c r="H2683" i="9"/>
  <c r="H2682" i="9"/>
  <c r="H2114" i="9"/>
  <c r="H2113" i="9"/>
  <c r="H2112" i="9"/>
  <c r="H2111" i="9"/>
  <c r="H1407" i="9"/>
  <c r="H1406" i="9"/>
  <c r="H1405" i="9"/>
  <c r="H1404" i="9"/>
  <c r="H982" i="9"/>
  <c r="H981" i="9"/>
  <c r="H980" i="9"/>
  <c r="H979" i="9"/>
  <c r="H2542" i="9"/>
  <c r="H2541" i="9"/>
  <c r="H2540" i="9"/>
  <c r="H2539" i="9"/>
  <c r="H1826" i="9"/>
  <c r="H1825" i="9"/>
  <c r="H1824" i="9"/>
  <c r="H1823" i="9"/>
  <c r="H2828" i="9"/>
  <c r="H2827" i="9"/>
  <c r="H2826" i="9"/>
  <c r="H2825" i="9"/>
  <c r="H1264" i="9"/>
  <c r="H1263" i="9"/>
  <c r="H1262" i="9"/>
  <c r="H1261" i="9"/>
  <c r="H2258" i="9"/>
  <c r="H2257" i="9"/>
  <c r="H2256" i="9"/>
  <c r="H2255" i="9"/>
  <c r="H1693" i="9"/>
  <c r="H1692" i="9"/>
  <c r="H1691" i="9"/>
  <c r="H1690" i="9"/>
  <c r="H1125" i="9"/>
  <c r="H1124" i="9"/>
  <c r="H1123" i="9"/>
  <c r="H1122" i="9"/>
  <c r="H698" i="9"/>
  <c r="H697" i="9"/>
  <c r="H696" i="9"/>
  <c r="H695" i="9"/>
  <c r="H556" i="9"/>
  <c r="H555" i="9"/>
  <c r="H554" i="9"/>
  <c r="H553" i="9"/>
  <c r="H13" i="10"/>
  <c r="H12" i="10"/>
  <c r="H11" i="10"/>
  <c r="H10" i="10"/>
  <c r="H17" i="10"/>
  <c r="H16" i="10"/>
  <c r="H15" i="10"/>
  <c r="H14" i="10"/>
  <c r="H414" i="9"/>
  <c r="H415" i="9"/>
  <c r="H416" i="9"/>
  <c r="H417" i="9"/>
  <c r="H124" i="9"/>
  <c r="H125" i="9"/>
  <c r="H126" i="9"/>
  <c r="H127" i="9"/>
  <c r="H273" i="9"/>
  <c r="H272" i="9"/>
  <c r="H271" i="9"/>
  <c r="H3106" i="9"/>
  <c r="H3084" i="9"/>
  <c r="H3085" i="9"/>
  <c r="H3068" i="9"/>
  <c r="H3067" i="9"/>
  <c r="H3129" i="9"/>
  <c r="H3128" i="9"/>
  <c r="H3127" i="9"/>
  <c r="H3126" i="9"/>
  <c r="H3118" i="9"/>
  <c r="H3120" i="9"/>
  <c r="H3122" i="9"/>
  <c r="G63" i="8"/>
  <c r="G62" i="8"/>
  <c r="G242" i="8"/>
  <c r="G241" i="8"/>
  <c r="G240" i="8"/>
  <c r="G239" i="8"/>
  <c r="G238" i="8"/>
  <c r="G237" i="8"/>
  <c r="G236" i="8"/>
  <c r="G235" i="8"/>
  <c r="G234" i="8"/>
  <c r="G233" i="8"/>
  <c r="G232" i="8"/>
  <c r="G231" i="8"/>
  <c r="G230" i="8"/>
  <c r="G229" i="8"/>
  <c r="G228" i="8"/>
  <c r="G227" i="8"/>
  <c r="G226" i="8"/>
  <c r="G225" i="8"/>
  <c r="G224" i="8"/>
  <c r="G223" i="8"/>
  <c r="G222" i="8"/>
  <c r="G221" i="8"/>
  <c r="G220" i="8"/>
  <c r="G219" i="8"/>
  <c r="G218" i="8"/>
  <c r="G217" i="8"/>
  <c r="G216" i="8"/>
  <c r="G215" i="8"/>
  <c r="G214" i="8"/>
  <c r="G213" i="8"/>
  <c r="G212" i="8"/>
  <c r="G211" i="8"/>
  <c r="G210" i="8"/>
  <c r="G209" i="8"/>
  <c r="G208" i="8"/>
  <c r="G207" i="8"/>
  <c r="G206" i="8"/>
  <c r="G205" i="8"/>
  <c r="G204" i="8"/>
  <c r="G203" i="8"/>
  <c r="G202" i="8"/>
  <c r="G201" i="8"/>
  <c r="G200" i="8"/>
  <c r="G199" i="8"/>
  <c r="G198" i="8"/>
  <c r="G197" i="8"/>
  <c r="G196" i="8"/>
  <c r="G195" i="8"/>
  <c r="G194" i="8"/>
  <c r="G193" i="8"/>
  <c r="G192" i="8"/>
  <c r="G191" i="8"/>
  <c r="G190" i="8"/>
  <c r="G189" i="8"/>
  <c r="G188" i="8"/>
  <c r="G187" i="8"/>
  <c r="G186" i="8"/>
  <c r="G185" i="8"/>
  <c r="G184" i="8"/>
  <c r="G183" i="8"/>
  <c r="G182" i="8"/>
  <c r="G181" i="8"/>
  <c r="G180" i="8"/>
  <c r="G179" i="8"/>
  <c r="G178" i="8"/>
  <c r="G177" i="8"/>
  <c r="G176" i="8"/>
  <c r="G175" i="8"/>
  <c r="G174" i="8"/>
  <c r="G173" i="8"/>
  <c r="G172" i="8"/>
  <c r="G171" i="8"/>
  <c r="G170" i="8"/>
  <c r="G169" i="8"/>
  <c r="G168" i="8"/>
  <c r="G167" i="8"/>
  <c r="G166" i="8"/>
  <c r="G165" i="8"/>
  <c r="G164" i="8"/>
  <c r="G163" i="8"/>
  <c r="G162" i="8"/>
  <c r="G161" i="8"/>
  <c r="G160" i="8"/>
  <c r="G159" i="8"/>
  <c r="G158" i="8"/>
  <c r="G150" i="8"/>
  <c r="G149" i="8"/>
  <c r="G148" i="8"/>
  <c r="G147" i="8"/>
  <c r="G146" i="8"/>
  <c r="G145" i="8"/>
  <c r="G144" i="8"/>
  <c r="G143" i="8"/>
  <c r="G142" i="8"/>
  <c r="G141" i="8"/>
  <c r="G140" i="8"/>
  <c r="G139" i="8"/>
  <c r="G138" i="8"/>
  <c r="G137" i="8"/>
  <c r="G136" i="8"/>
  <c r="G135" i="8"/>
  <c r="G132" i="8"/>
  <c r="G131" i="8"/>
  <c r="G130" i="8"/>
  <c r="G129" i="8"/>
  <c r="G128" i="8"/>
  <c r="G127" i="8"/>
  <c r="G126" i="8"/>
  <c r="G125" i="8"/>
  <c r="G124" i="8"/>
  <c r="G123" i="8"/>
  <c r="G122" i="8"/>
  <c r="G121" i="8"/>
  <c r="G120" i="8"/>
  <c r="G119" i="8"/>
  <c r="G118" i="8"/>
  <c r="G116" i="8"/>
  <c r="G115" i="8"/>
  <c r="G114" i="8"/>
  <c r="G113" i="8"/>
  <c r="G112" i="8"/>
  <c r="G111" i="8"/>
  <c r="G109" i="8"/>
  <c r="G108" i="8"/>
  <c r="G107" i="8"/>
  <c r="G106" i="8"/>
  <c r="G105" i="8"/>
  <c r="G104" i="8"/>
  <c r="G103" i="8"/>
  <c r="G102" i="8"/>
  <c r="G101" i="8"/>
  <c r="G100" i="8"/>
  <c r="G99" i="8"/>
  <c r="G98" i="8"/>
  <c r="G97" i="8"/>
  <c r="G96" i="8"/>
  <c r="G95" i="8"/>
  <c r="G94" i="8"/>
  <c r="G93" i="8"/>
  <c r="G92" i="8"/>
  <c r="G91" i="8"/>
  <c r="G90" i="8"/>
  <c r="G89" i="8"/>
  <c r="G88" i="8"/>
  <c r="G87" i="8"/>
  <c r="G86" i="8"/>
  <c r="G85" i="8"/>
  <c r="G84" i="8"/>
  <c r="G83" i="8"/>
  <c r="G82" i="8"/>
  <c r="G81" i="8"/>
  <c r="G80" i="8"/>
  <c r="G79" i="8"/>
  <c r="G78" i="8"/>
  <c r="G77" i="8"/>
  <c r="G75" i="8"/>
  <c r="G74" i="8"/>
  <c r="G73" i="8"/>
  <c r="G72" i="8"/>
  <c r="G259" i="8"/>
  <c r="G258" i="8"/>
  <c r="G257" i="8"/>
  <c r="G256" i="8"/>
  <c r="G255" i="8"/>
  <c r="G254" i="8"/>
  <c r="G253" i="8"/>
  <c r="G252" i="8"/>
  <c r="G251" i="8"/>
  <c r="G250" i="8"/>
  <c r="G249" i="8"/>
  <c r="G248" i="8"/>
  <c r="G247" i="8"/>
  <c r="G246" i="8"/>
  <c r="G245" i="8"/>
  <c r="G244" i="8"/>
  <c r="G243" i="8"/>
  <c r="H132" i="9"/>
  <c r="H133" i="9"/>
  <c r="H134" i="9"/>
  <c r="H135" i="9"/>
  <c r="H136" i="9"/>
  <c r="H137" i="9"/>
  <c r="H138" i="9"/>
  <c r="H139" i="9"/>
  <c r="H142" i="9"/>
  <c r="H144" i="9"/>
  <c r="H151" i="9"/>
  <c r="H152" i="9"/>
  <c r="H153" i="9"/>
  <c r="H155" i="9"/>
  <c r="H156" i="9"/>
  <c r="H157" i="9"/>
  <c r="H158" i="9"/>
  <c r="H159" i="9"/>
  <c r="H160" i="9"/>
  <c r="H161" i="9"/>
  <c r="H162" i="9"/>
  <c r="H163" i="9"/>
  <c r="H164" i="9"/>
  <c r="H165" i="9"/>
  <c r="H166" i="9"/>
  <c r="H167" i="9"/>
  <c r="H168" i="9"/>
  <c r="H169" i="9"/>
  <c r="H170" i="9"/>
  <c r="H171" i="9"/>
  <c r="H172" i="9"/>
  <c r="H173" i="9"/>
  <c r="H174" i="9"/>
  <c r="H175" i="9"/>
  <c r="H176" i="9"/>
  <c r="H177" i="9"/>
  <c r="H178" i="9"/>
  <c r="H179" i="9"/>
  <c r="H180" i="9"/>
  <c r="H181" i="9"/>
  <c r="H183" i="9"/>
  <c r="H184" i="9"/>
  <c r="H185" i="9"/>
  <c r="H186" i="9"/>
  <c r="H187" i="9"/>
  <c r="H188" i="9"/>
  <c r="H189" i="9"/>
  <c r="H190" i="9"/>
  <c r="H191" i="9"/>
  <c r="H192" i="9"/>
  <c r="H193" i="9"/>
  <c r="H194" i="9"/>
  <c r="H195" i="9"/>
  <c r="H196" i="9"/>
  <c r="H197" i="9"/>
  <c r="H198" i="9"/>
  <c r="H199" i="9"/>
  <c r="H200" i="9"/>
  <c r="H201" i="9"/>
  <c r="H202" i="9"/>
  <c r="H203" i="9"/>
  <c r="H204" i="9"/>
  <c r="H205" i="9"/>
  <c r="H206" i="9"/>
  <c r="H207" i="9"/>
  <c r="H208" i="9"/>
  <c r="H209" i="9"/>
  <c r="H210" i="9"/>
  <c r="H211" i="9"/>
  <c r="H212" i="9"/>
  <c r="H213" i="9"/>
  <c r="H214" i="9"/>
  <c r="H215" i="9"/>
  <c r="H216" i="9"/>
  <c r="H217" i="9"/>
  <c r="H218" i="9"/>
  <c r="H219" i="9"/>
  <c r="H220" i="9"/>
  <c r="H221" i="9"/>
  <c r="H222" i="9"/>
  <c r="H223" i="9"/>
  <c r="H224" i="9"/>
  <c r="H225" i="9"/>
  <c r="H226" i="9"/>
  <c r="H227" i="9"/>
  <c r="H228" i="9"/>
  <c r="H229" i="9"/>
  <c r="H230" i="9"/>
  <c r="H231" i="9"/>
  <c r="H232" i="9"/>
  <c r="H233" i="9"/>
  <c r="H234" i="9"/>
  <c r="H235" i="9"/>
  <c r="H236" i="9"/>
  <c r="H237" i="9"/>
  <c r="H238" i="9"/>
  <c r="H239" i="9"/>
  <c r="H240" i="9"/>
  <c r="H241" i="9"/>
  <c r="H242" i="9"/>
  <c r="H243" i="9"/>
  <c r="H244" i="9"/>
  <c r="H245" i="9"/>
  <c r="H246" i="9"/>
  <c r="H247" i="9"/>
  <c r="H248" i="9"/>
  <c r="H249" i="9"/>
  <c r="H250" i="9"/>
  <c r="H251" i="9"/>
  <c r="H252" i="9"/>
  <c r="H253" i="9"/>
  <c r="H254" i="9"/>
  <c r="H255" i="9"/>
  <c r="H256" i="9"/>
  <c r="H257" i="9"/>
  <c r="H258" i="9"/>
  <c r="H259" i="9"/>
  <c r="H260" i="9"/>
  <c r="H261" i="9"/>
  <c r="H262" i="9"/>
  <c r="H263" i="9"/>
  <c r="H264" i="9"/>
  <c r="H265" i="9"/>
  <c r="H266" i="9"/>
  <c r="H267" i="9"/>
  <c r="H268" i="9"/>
  <c r="H269" i="9"/>
  <c r="H270" i="9"/>
  <c r="H274" i="9"/>
  <c r="H275" i="9"/>
  <c r="H276" i="9"/>
  <c r="H277" i="9"/>
  <c r="H278" i="9"/>
  <c r="H279" i="9"/>
  <c r="H280" i="9"/>
  <c r="H281" i="9"/>
  <c r="H282" i="9"/>
  <c r="H285" i="9"/>
  <c r="H286" i="9"/>
  <c r="H287" i="9"/>
  <c r="H294" i="9"/>
  <c r="H295" i="9"/>
  <c r="H296" i="9"/>
  <c r="H297" i="9"/>
  <c r="H298" i="9"/>
  <c r="H299" i="9"/>
  <c r="H300" i="9"/>
  <c r="H301" i="9"/>
  <c r="H302" i="9"/>
  <c r="H303" i="9"/>
  <c r="H304" i="9"/>
  <c r="H305" i="9"/>
  <c r="H306" i="9"/>
  <c r="H307" i="9"/>
  <c r="H308" i="9"/>
  <c r="H309" i="9"/>
  <c r="H310" i="9"/>
  <c r="H311" i="9"/>
  <c r="H312" i="9"/>
  <c r="H313" i="9"/>
  <c r="H314" i="9"/>
  <c r="H315" i="9"/>
  <c r="H316" i="9"/>
  <c r="H317" i="9"/>
  <c r="H318" i="9"/>
  <c r="H319" i="9"/>
  <c r="H320" i="9"/>
  <c r="H321" i="9"/>
  <c r="H322" i="9"/>
  <c r="H323" i="9"/>
  <c r="H324" i="9"/>
  <c r="H325" i="9"/>
  <c r="H326" i="9"/>
  <c r="H327" i="9"/>
  <c r="H328" i="9"/>
  <c r="H329" i="9"/>
  <c r="H330" i="9"/>
  <c r="H331" i="9"/>
  <c r="H332" i="9"/>
  <c r="H333" i="9"/>
  <c r="H334" i="9"/>
  <c r="H335" i="9"/>
  <c r="H336" i="9"/>
  <c r="H337" i="9"/>
  <c r="H338" i="9"/>
  <c r="H339" i="9"/>
  <c r="H340" i="9"/>
  <c r="H341" i="9"/>
  <c r="H342" i="9"/>
  <c r="H343" i="9"/>
  <c r="H344" i="9"/>
  <c r="H345" i="9"/>
  <c r="H346" i="9"/>
  <c r="H347" i="9"/>
  <c r="H348" i="9"/>
  <c r="H349" i="9"/>
  <c r="H350" i="9"/>
  <c r="H351" i="9"/>
  <c r="H352" i="9"/>
  <c r="H353" i="9"/>
  <c r="H354" i="9"/>
  <c r="H355" i="9"/>
  <c r="H356" i="9"/>
  <c r="H357" i="9"/>
  <c r="H358" i="9"/>
  <c r="H359" i="9"/>
  <c r="H360" i="9"/>
  <c r="H361" i="9"/>
  <c r="H362" i="9"/>
  <c r="H363" i="9"/>
  <c r="H364" i="9"/>
  <c r="H365" i="9"/>
  <c r="H366" i="9"/>
  <c r="H367" i="9"/>
  <c r="H368" i="9"/>
  <c r="H369" i="9"/>
  <c r="H370" i="9"/>
  <c r="H371" i="9"/>
  <c r="H372" i="9"/>
  <c r="H373" i="9"/>
  <c r="H374" i="9"/>
  <c r="H375" i="9"/>
  <c r="H376" i="9"/>
  <c r="H377" i="9"/>
  <c r="H378" i="9"/>
  <c r="H379" i="9"/>
  <c r="H380" i="9"/>
  <c r="H381" i="9"/>
  <c r="H382" i="9"/>
  <c r="H383" i="9"/>
  <c r="H384" i="9"/>
  <c r="H385" i="9"/>
  <c r="H386" i="9"/>
  <c r="H387" i="9"/>
  <c r="H388" i="9"/>
  <c r="H389" i="9"/>
  <c r="H390" i="9"/>
  <c r="H391" i="9"/>
  <c r="H392" i="9"/>
  <c r="H393" i="9"/>
  <c r="H394" i="9"/>
  <c r="H395" i="9"/>
  <c r="H396" i="9"/>
  <c r="H397" i="9"/>
  <c r="H398" i="9"/>
  <c r="H399" i="9"/>
  <c r="H400" i="9"/>
  <c r="H401" i="9"/>
  <c r="H402" i="9"/>
  <c r="H403" i="9"/>
  <c r="H404" i="9"/>
  <c r="H405" i="9"/>
  <c r="H406" i="9"/>
  <c r="H407" i="9"/>
  <c r="H408" i="9"/>
  <c r="H409" i="9"/>
  <c r="H410" i="9"/>
  <c r="H411" i="9"/>
  <c r="H412" i="9"/>
  <c r="H413" i="9"/>
  <c r="H418" i="9"/>
  <c r="H419" i="9"/>
  <c r="H420" i="9"/>
  <c r="H421" i="9"/>
  <c r="H422" i="9"/>
  <c r="H423" i="9"/>
  <c r="H424" i="9"/>
  <c r="H425" i="9"/>
  <c r="H426" i="9"/>
  <c r="H427" i="9"/>
  <c r="H428" i="9"/>
  <c r="H429" i="9"/>
  <c r="H433" i="9"/>
  <c r="H434" i="9"/>
  <c r="H441" i="9"/>
  <c r="H442" i="9"/>
  <c r="H443" i="9"/>
  <c r="H444" i="9"/>
  <c r="H445" i="9"/>
  <c r="H446" i="9"/>
  <c r="H447" i="9"/>
  <c r="H448" i="9"/>
  <c r="H449" i="9"/>
  <c r="H450" i="9"/>
  <c r="H451" i="9"/>
  <c r="H452" i="9"/>
  <c r="H453" i="9"/>
  <c r="H454" i="9"/>
  <c r="H455" i="9"/>
  <c r="H456" i="9"/>
  <c r="H457" i="9"/>
  <c r="H458" i="9"/>
  <c r="H459" i="9"/>
  <c r="H460" i="9"/>
  <c r="H461" i="9"/>
  <c r="H462" i="9"/>
  <c r="H463" i="9"/>
  <c r="H464" i="9"/>
  <c r="H465" i="9"/>
  <c r="H466" i="9"/>
  <c r="H467" i="9"/>
  <c r="H468" i="9"/>
  <c r="H469" i="9"/>
  <c r="H470" i="9"/>
  <c r="H471" i="9"/>
  <c r="H472" i="9"/>
  <c r="H473" i="9"/>
  <c r="H474" i="9"/>
  <c r="H475" i="9"/>
  <c r="H476" i="9"/>
  <c r="H477" i="9"/>
  <c r="H478" i="9"/>
  <c r="H479" i="9"/>
  <c r="H481" i="9"/>
  <c r="H482" i="9"/>
  <c r="H483" i="9"/>
  <c r="H484" i="9"/>
  <c r="H485" i="9"/>
  <c r="H486" i="9"/>
  <c r="H487" i="9"/>
  <c r="H488" i="9"/>
  <c r="H489" i="9"/>
  <c r="H490" i="9"/>
  <c r="H491" i="9"/>
  <c r="H492" i="9"/>
  <c r="H493" i="9"/>
  <c r="H494" i="9"/>
  <c r="H495" i="9"/>
  <c r="H496" i="9"/>
  <c r="H497" i="9"/>
  <c r="H498" i="9"/>
  <c r="H499" i="9"/>
  <c r="H500" i="9"/>
  <c r="H501" i="9"/>
  <c r="H502" i="9"/>
  <c r="H503" i="9"/>
  <c r="H504" i="9"/>
  <c r="H505" i="9"/>
  <c r="H506" i="9"/>
  <c r="H507" i="9"/>
  <c r="H508" i="9"/>
  <c r="H509" i="9"/>
  <c r="H510" i="9"/>
  <c r="H511" i="9"/>
  <c r="H512" i="9"/>
  <c r="H513" i="9"/>
  <c r="H514" i="9"/>
  <c r="H515" i="9"/>
  <c r="H516" i="9"/>
  <c r="H517" i="9"/>
  <c r="H518" i="9"/>
  <c r="H519" i="9"/>
  <c r="H520" i="9"/>
  <c r="H521" i="9"/>
  <c r="H522" i="9"/>
  <c r="H523" i="9"/>
  <c r="H524" i="9"/>
  <c r="H525" i="9"/>
  <c r="H526" i="9"/>
  <c r="H527" i="9"/>
  <c r="H528" i="9"/>
  <c r="H529" i="9"/>
  <c r="H530" i="9"/>
  <c r="H531" i="9"/>
  <c r="H532" i="9"/>
  <c r="H533" i="9"/>
  <c r="H534" i="9"/>
  <c r="H535" i="9"/>
  <c r="H536" i="9"/>
  <c r="H537" i="9"/>
  <c r="H538" i="9"/>
  <c r="H539" i="9"/>
  <c r="H540" i="9"/>
  <c r="H541" i="9"/>
  <c r="H542" i="9"/>
  <c r="H543" i="9"/>
  <c r="H544" i="9"/>
  <c r="H545" i="9"/>
  <c r="H546" i="9"/>
  <c r="H547" i="9"/>
  <c r="H548" i="9"/>
  <c r="H549" i="9"/>
  <c r="H550" i="9"/>
  <c r="H551" i="9"/>
  <c r="H552" i="9"/>
  <c r="H557" i="9"/>
  <c r="H558" i="9"/>
  <c r="H559" i="9"/>
  <c r="H560" i="9"/>
  <c r="H561" i="9"/>
  <c r="H562" i="9"/>
  <c r="H563" i="9"/>
  <c r="H564" i="9"/>
  <c r="H565" i="9"/>
  <c r="H566" i="9"/>
  <c r="H567" i="9"/>
  <c r="H568" i="9"/>
  <c r="H569" i="9"/>
  <c r="H570" i="9"/>
  <c r="H571" i="9"/>
  <c r="H572" i="9"/>
  <c r="H575" i="9"/>
  <c r="H576" i="9"/>
  <c r="H583" i="9"/>
  <c r="H584" i="9"/>
  <c r="H585" i="9"/>
  <c r="H586" i="9"/>
  <c r="H587" i="9"/>
  <c r="H588" i="9"/>
  <c r="H589" i="9"/>
  <c r="H590" i="9"/>
  <c r="H591" i="9"/>
  <c r="H592" i="9"/>
  <c r="H593" i="9"/>
  <c r="H594" i="9"/>
  <c r="H595" i="9"/>
  <c r="H596" i="9"/>
  <c r="H597" i="9"/>
  <c r="H598" i="9"/>
  <c r="H599" i="9"/>
  <c r="H600" i="9"/>
  <c r="H601" i="9"/>
  <c r="H602" i="9"/>
  <c r="H603" i="9"/>
  <c r="H604" i="9"/>
  <c r="H605" i="9"/>
  <c r="H606" i="9"/>
  <c r="H607" i="9"/>
  <c r="H608" i="9"/>
  <c r="H609" i="9"/>
  <c r="H610" i="9"/>
  <c r="H611" i="9"/>
  <c r="H612" i="9"/>
  <c r="H613" i="9"/>
  <c r="H614" i="9"/>
  <c r="H615" i="9"/>
  <c r="H616" i="9"/>
  <c r="H617" i="9"/>
  <c r="H618" i="9"/>
  <c r="H619" i="9"/>
  <c r="H620" i="9"/>
  <c r="H621" i="9"/>
  <c r="H622" i="9"/>
  <c r="H623" i="9"/>
  <c r="H624" i="9"/>
  <c r="H625" i="9"/>
  <c r="H626" i="9"/>
  <c r="H627" i="9"/>
  <c r="H628" i="9"/>
  <c r="H629" i="9"/>
  <c r="H630" i="9"/>
  <c r="H631" i="9"/>
  <c r="H632" i="9"/>
  <c r="H633" i="9"/>
  <c r="H634" i="9"/>
  <c r="H635" i="9"/>
  <c r="H636" i="9"/>
  <c r="H637" i="9"/>
  <c r="H638" i="9"/>
  <c r="H639" i="9"/>
  <c r="H640" i="9"/>
  <c r="H641" i="9"/>
  <c r="H642" i="9"/>
  <c r="H643" i="9"/>
  <c r="H644" i="9"/>
  <c r="H645" i="9"/>
  <c r="H646" i="9"/>
  <c r="H647" i="9"/>
  <c r="H648" i="9"/>
  <c r="H649" i="9"/>
  <c r="H650" i="9"/>
  <c r="H651" i="9"/>
  <c r="H652" i="9"/>
  <c r="H653" i="9"/>
  <c r="H654" i="9"/>
  <c r="H655" i="9"/>
  <c r="H656" i="9"/>
  <c r="H657" i="9"/>
  <c r="H658" i="9"/>
  <c r="H659" i="9"/>
  <c r="H660" i="9"/>
  <c r="H661" i="9"/>
  <c r="H662" i="9"/>
  <c r="H663" i="9"/>
  <c r="H664" i="9"/>
  <c r="H665" i="9"/>
  <c r="H666" i="9"/>
  <c r="H667" i="9"/>
  <c r="H668" i="9"/>
  <c r="H669" i="9"/>
  <c r="H670" i="9"/>
  <c r="H671" i="9"/>
  <c r="H672" i="9"/>
  <c r="H673" i="9"/>
  <c r="H674" i="9"/>
  <c r="H675" i="9"/>
  <c r="H676" i="9"/>
  <c r="H677" i="9"/>
  <c r="H678" i="9"/>
  <c r="H679" i="9"/>
  <c r="H680" i="9"/>
  <c r="H681" i="9"/>
  <c r="H682" i="9"/>
  <c r="H683" i="9"/>
  <c r="H684" i="9"/>
  <c r="H685" i="9"/>
  <c r="H686" i="9"/>
  <c r="H687" i="9"/>
  <c r="H688" i="9"/>
  <c r="H689" i="9"/>
  <c r="H690" i="9"/>
  <c r="H691" i="9"/>
  <c r="H692" i="9"/>
  <c r="H693" i="9"/>
  <c r="H694" i="9"/>
  <c r="H699" i="9"/>
  <c r="H700" i="9"/>
  <c r="H701" i="9"/>
  <c r="H702" i="9"/>
  <c r="H703" i="9"/>
  <c r="H704" i="9"/>
  <c r="H705" i="9"/>
  <c r="H706" i="9"/>
  <c r="H707" i="9"/>
  <c r="H708" i="9"/>
  <c r="H709" i="9"/>
  <c r="H710" i="9"/>
  <c r="H711" i="9"/>
  <c r="H712" i="9"/>
  <c r="H713" i="9"/>
  <c r="H714" i="9"/>
  <c r="H717" i="9"/>
  <c r="H718" i="9"/>
  <c r="H725" i="9"/>
  <c r="H726" i="9"/>
  <c r="H727" i="9"/>
  <c r="H728" i="9"/>
  <c r="H729" i="9"/>
  <c r="H730" i="9"/>
  <c r="H731" i="9"/>
  <c r="H732" i="9"/>
  <c r="H733" i="9"/>
  <c r="H734" i="9"/>
  <c r="H735" i="9"/>
  <c r="H736" i="9"/>
  <c r="H737" i="9"/>
  <c r="H738" i="9"/>
  <c r="H739" i="9"/>
  <c r="H740" i="9"/>
  <c r="H741" i="9"/>
  <c r="H742" i="9"/>
  <c r="H743" i="9"/>
  <c r="H744" i="9"/>
  <c r="H745" i="9"/>
  <c r="H746" i="9"/>
  <c r="H747" i="9"/>
  <c r="H748" i="9"/>
  <c r="H749" i="9"/>
  <c r="H750" i="9"/>
  <c r="H751" i="9"/>
  <c r="H752" i="9"/>
  <c r="H753" i="9"/>
  <c r="H754" i="9"/>
  <c r="H755" i="9"/>
  <c r="H756" i="9"/>
  <c r="H757" i="9"/>
  <c r="H758" i="9"/>
  <c r="H759" i="9"/>
  <c r="H760" i="9"/>
  <c r="H761" i="9"/>
  <c r="H762" i="9"/>
  <c r="H763" i="9"/>
  <c r="H764" i="9"/>
  <c r="H765" i="9"/>
  <c r="H766" i="9"/>
  <c r="H767" i="9"/>
  <c r="H768" i="9"/>
  <c r="H769" i="9"/>
  <c r="H770" i="9"/>
  <c r="H771" i="9"/>
  <c r="H772" i="9"/>
  <c r="H773" i="9"/>
  <c r="H774" i="9"/>
  <c r="H775" i="9"/>
  <c r="H776" i="9"/>
  <c r="H777" i="9"/>
  <c r="H778" i="9"/>
  <c r="H779" i="9"/>
  <c r="H780" i="9"/>
  <c r="H781" i="9"/>
  <c r="H782" i="9"/>
  <c r="H783" i="9"/>
  <c r="H784" i="9"/>
  <c r="H785" i="9"/>
  <c r="H786" i="9"/>
  <c r="H787" i="9"/>
  <c r="H788" i="9"/>
  <c r="H789" i="9"/>
  <c r="H790" i="9"/>
  <c r="H791" i="9"/>
  <c r="H792" i="9"/>
  <c r="H793" i="9"/>
  <c r="H794" i="9"/>
  <c r="H795" i="9"/>
  <c r="H796" i="9"/>
  <c r="H797" i="9"/>
  <c r="H798" i="9"/>
  <c r="H799" i="9"/>
  <c r="H800" i="9"/>
  <c r="H801" i="9"/>
  <c r="H802" i="9"/>
  <c r="H803" i="9"/>
  <c r="H804" i="9"/>
  <c r="H805" i="9"/>
  <c r="H806" i="9"/>
  <c r="H807" i="9"/>
  <c r="H808" i="9"/>
  <c r="H809" i="9"/>
  <c r="H810" i="9"/>
  <c r="H811" i="9"/>
  <c r="H812" i="9"/>
  <c r="H813" i="9"/>
  <c r="H814" i="9"/>
  <c r="H815" i="9"/>
  <c r="H816" i="9"/>
  <c r="H817" i="9"/>
  <c r="H818" i="9"/>
  <c r="H819" i="9"/>
  <c r="H820" i="9"/>
  <c r="H821" i="9"/>
  <c r="H822" i="9"/>
  <c r="H823" i="9"/>
  <c r="H824" i="9"/>
  <c r="H825" i="9"/>
  <c r="H826" i="9"/>
  <c r="H827" i="9"/>
  <c r="H828" i="9"/>
  <c r="H829" i="9"/>
  <c r="H830" i="9"/>
  <c r="H831" i="9"/>
  <c r="H832" i="9"/>
  <c r="H833" i="9"/>
  <c r="H834" i="9"/>
  <c r="H835" i="9"/>
  <c r="H836" i="9"/>
  <c r="H841" i="9"/>
  <c r="H842" i="9"/>
  <c r="H843" i="9"/>
  <c r="H844" i="9"/>
  <c r="H845" i="9"/>
  <c r="H846" i="9"/>
  <c r="H847" i="9"/>
  <c r="H848" i="9"/>
  <c r="H849" i="9"/>
  <c r="H850" i="9"/>
  <c r="H851" i="9"/>
  <c r="H852" i="9"/>
  <c r="H853" i="9"/>
  <c r="H854" i="9"/>
  <c r="H855" i="9"/>
  <c r="H856" i="9"/>
  <c r="H859" i="9"/>
  <c r="H860" i="9"/>
  <c r="H867" i="9"/>
  <c r="H868" i="9"/>
  <c r="H869" i="9"/>
  <c r="H870" i="9"/>
  <c r="H871" i="9"/>
  <c r="H872" i="9"/>
  <c r="H873" i="9"/>
  <c r="H874" i="9"/>
  <c r="H875" i="9"/>
  <c r="H876" i="9"/>
  <c r="H877" i="9"/>
  <c r="H878" i="9"/>
  <c r="H879" i="9"/>
  <c r="H880" i="9"/>
  <c r="H881" i="9"/>
  <c r="H882" i="9"/>
  <c r="H883" i="9"/>
  <c r="H884" i="9"/>
  <c r="H885" i="9"/>
  <c r="H886" i="9"/>
  <c r="H887" i="9"/>
  <c r="H888" i="9"/>
  <c r="H889" i="9"/>
  <c r="H890" i="9"/>
  <c r="H891" i="9"/>
  <c r="H892" i="9"/>
  <c r="H893" i="9"/>
  <c r="H894" i="9"/>
  <c r="H895" i="9"/>
  <c r="H896" i="9"/>
  <c r="H897" i="9"/>
  <c r="H898" i="9"/>
  <c r="H899" i="9"/>
  <c r="H900" i="9"/>
  <c r="H901" i="9"/>
  <c r="H902" i="9"/>
  <c r="H903" i="9"/>
  <c r="H904" i="9"/>
  <c r="H905" i="9"/>
  <c r="H906" i="9"/>
  <c r="H907" i="9"/>
  <c r="H908" i="9"/>
  <c r="H909" i="9"/>
  <c r="H910" i="9"/>
  <c r="H911" i="9"/>
  <c r="H912" i="9"/>
  <c r="H913" i="9"/>
  <c r="H914" i="9"/>
  <c r="H915" i="9"/>
  <c r="H916" i="9"/>
  <c r="H917" i="9"/>
  <c r="H918" i="9"/>
  <c r="H919" i="9"/>
  <c r="H920" i="9"/>
  <c r="H921" i="9"/>
  <c r="H922" i="9"/>
  <c r="H923" i="9"/>
  <c r="H924" i="9"/>
  <c r="H925" i="9"/>
  <c r="H926" i="9"/>
  <c r="H927" i="9"/>
  <c r="H928" i="9"/>
  <c r="H929" i="9"/>
  <c r="H930" i="9"/>
  <c r="H931" i="9"/>
  <c r="H932" i="9"/>
  <c r="H933" i="9"/>
  <c r="H934" i="9"/>
  <c r="H935" i="9"/>
  <c r="H936" i="9"/>
  <c r="H937" i="9"/>
  <c r="H938" i="9"/>
  <c r="H939" i="9"/>
  <c r="H940" i="9"/>
  <c r="H941" i="9"/>
  <c r="H942" i="9"/>
  <c r="H943" i="9"/>
  <c r="H944" i="9"/>
  <c r="H945" i="9"/>
  <c r="H946" i="9"/>
  <c r="H947" i="9"/>
  <c r="H948" i="9"/>
  <c r="H949" i="9"/>
  <c r="H950" i="9"/>
  <c r="H951" i="9"/>
  <c r="H952" i="9"/>
  <c r="H953" i="9"/>
  <c r="H954" i="9"/>
  <c r="H955" i="9"/>
  <c r="H956" i="9"/>
  <c r="H957" i="9"/>
  <c r="H958" i="9"/>
  <c r="H959" i="9"/>
  <c r="H960" i="9"/>
  <c r="H961" i="9"/>
  <c r="H962" i="9"/>
  <c r="H963" i="9"/>
  <c r="H964" i="9"/>
  <c r="H965" i="9"/>
  <c r="H966" i="9"/>
  <c r="H967" i="9"/>
  <c r="H968" i="9"/>
  <c r="H969" i="9"/>
  <c r="H970" i="9"/>
  <c r="H971" i="9"/>
  <c r="H972" i="9"/>
  <c r="H973" i="9"/>
  <c r="H974" i="9"/>
  <c r="H975" i="9"/>
  <c r="H976" i="9"/>
  <c r="H977" i="9"/>
  <c r="H978" i="9"/>
  <c r="H983" i="9"/>
  <c r="H984" i="9"/>
  <c r="H985" i="9"/>
  <c r="H986" i="9"/>
  <c r="H987" i="9"/>
  <c r="H988" i="9"/>
  <c r="H989" i="9"/>
  <c r="H990" i="9"/>
  <c r="H991" i="9"/>
  <c r="H992" i="9"/>
  <c r="H993" i="9"/>
  <c r="H994" i="9"/>
  <c r="H995" i="9"/>
  <c r="H996" i="9"/>
  <c r="H997" i="9"/>
  <c r="H998" i="9"/>
  <c r="H1002" i="9"/>
  <c r="H1003" i="9"/>
  <c r="H1010" i="9"/>
  <c r="H1011" i="9"/>
  <c r="H1012" i="9"/>
  <c r="H1013" i="9"/>
  <c r="H1014" i="9"/>
  <c r="H1015" i="9"/>
  <c r="H1016" i="9"/>
  <c r="H1017" i="9"/>
  <c r="H1018" i="9"/>
  <c r="H1019" i="9"/>
  <c r="H1020" i="9"/>
  <c r="H1021" i="9"/>
  <c r="H1022" i="9"/>
  <c r="H1023" i="9"/>
  <c r="H1024" i="9"/>
  <c r="H1025" i="9"/>
  <c r="H1026" i="9"/>
  <c r="H1027" i="9"/>
  <c r="H1028" i="9"/>
  <c r="H1029" i="9"/>
  <c r="H1030" i="9"/>
  <c r="H1031" i="9"/>
  <c r="H1032" i="9"/>
  <c r="H1033" i="9"/>
  <c r="H1034" i="9"/>
  <c r="H1035" i="9"/>
  <c r="H1036" i="9"/>
  <c r="H1037" i="9"/>
  <c r="H1038" i="9"/>
  <c r="H1039" i="9"/>
  <c r="H1040" i="9"/>
  <c r="H1041" i="9"/>
  <c r="H1042" i="9"/>
  <c r="H1043" i="9"/>
  <c r="H1044" i="9"/>
  <c r="H1045" i="9"/>
  <c r="H1046" i="9"/>
  <c r="H1047" i="9"/>
  <c r="H1048" i="9"/>
  <c r="H1049" i="9"/>
  <c r="H1050" i="9"/>
  <c r="H1051" i="9"/>
  <c r="H1052" i="9"/>
  <c r="H1053" i="9"/>
  <c r="H1054" i="9"/>
  <c r="H1055" i="9"/>
  <c r="H1056" i="9"/>
  <c r="H1057" i="9"/>
  <c r="H1058" i="9"/>
  <c r="H1059" i="9"/>
  <c r="H1060" i="9"/>
  <c r="H1061" i="9"/>
  <c r="H1062" i="9"/>
  <c r="H1063" i="9"/>
  <c r="H1064" i="9"/>
  <c r="H1065" i="9"/>
  <c r="H1066" i="9"/>
  <c r="H1067" i="9"/>
  <c r="H1068" i="9"/>
  <c r="H1069" i="9"/>
  <c r="H1070" i="9"/>
  <c r="H1071" i="9"/>
  <c r="H1072" i="9"/>
  <c r="H1073" i="9"/>
  <c r="H1074" i="9"/>
  <c r="H1075" i="9"/>
  <c r="H1076" i="9"/>
  <c r="H1077" i="9"/>
  <c r="H1078" i="9"/>
  <c r="H1079" i="9"/>
  <c r="H1080" i="9"/>
  <c r="H1081" i="9"/>
  <c r="H1082" i="9"/>
  <c r="H1083" i="9"/>
  <c r="H1084" i="9"/>
  <c r="H1085" i="9"/>
  <c r="H1086" i="9"/>
  <c r="H1087" i="9"/>
  <c r="H1088" i="9"/>
  <c r="H1089" i="9"/>
  <c r="H1090" i="9"/>
  <c r="H1091" i="9"/>
  <c r="H1092" i="9"/>
  <c r="H1093" i="9"/>
  <c r="H1094" i="9"/>
  <c r="H1095" i="9"/>
  <c r="H1096" i="9"/>
  <c r="H1097" i="9"/>
  <c r="H1098" i="9"/>
  <c r="H1099" i="9"/>
  <c r="H1100" i="9"/>
  <c r="H1101" i="9"/>
  <c r="H1102" i="9"/>
  <c r="H1103" i="9"/>
  <c r="H1104" i="9"/>
  <c r="H1105" i="9"/>
  <c r="H1106" i="9"/>
  <c r="H1107" i="9"/>
  <c r="H1108" i="9"/>
  <c r="H1109" i="9"/>
  <c r="H1110" i="9"/>
  <c r="H1111" i="9"/>
  <c r="H1112" i="9"/>
  <c r="H1113" i="9"/>
  <c r="H1114" i="9"/>
  <c r="H1115" i="9"/>
  <c r="H1116" i="9"/>
  <c r="H1117" i="9"/>
  <c r="H1118" i="9"/>
  <c r="H1119" i="9"/>
  <c r="H1120" i="9"/>
  <c r="H1121" i="9"/>
  <c r="H1126" i="9"/>
  <c r="H1127" i="9"/>
  <c r="H1128" i="9"/>
  <c r="H1129" i="9"/>
  <c r="H1130" i="9"/>
  <c r="H1131" i="9"/>
  <c r="H1132" i="9"/>
  <c r="H1133" i="9"/>
  <c r="H1134" i="9"/>
  <c r="H1135" i="9"/>
  <c r="H1136" i="9"/>
  <c r="H1137" i="9"/>
  <c r="H1138" i="9"/>
  <c r="H1139" i="9"/>
  <c r="H1140" i="9"/>
  <c r="H1141" i="9"/>
  <c r="H1144" i="9"/>
  <c r="H1145" i="9"/>
  <c r="H1152" i="9"/>
  <c r="H1153" i="9"/>
  <c r="H1154" i="9"/>
  <c r="H1155" i="9"/>
  <c r="H1156" i="9"/>
  <c r="H1157" i="9"/>
  <c r="H1158" i="9"/>
  <c r="H1159" i="9"/>
  <c r="H1160" i="9"/>
  <c r="H1161" i="9"/>
  <c r="H1162" i="9"/>
  <c r="H1163" i="9"/>
  <c r="H1164" i="9"/>
  <c r="H1165" i="9"/>
  <c r="H1166" i="9"/>
  <c r="H1167" i="9"/>
  <c r="H1168" i="9"/>
  <c r="H1169" i="9"/>
  <c r="H1170" i="9"/>
  <c r="H1171" i="9"/>
  <c r="H1172" i="9"/>
  <c r="H1173" i="9"/>
  <c r="H1174" i="9"/>
  <c r="H1175" i="9"/>
  <c r="H1176" i="9"/>
  <c r="H1177" i="9"/>
  <c r="H1178" i="9"/>
  <c r="H1179" i="9"/>
  <c r="H1180" i="9"/>
  <c r="H1181" i="9"/>
  <c r="H1182" i="9"/>
  <c r="H1183" i="9"/>
  <c r="H1184" i="9"/>
  <c r="H1185" i="9"/>
  <c r="H1186" i="9"/>
  <c r="H1187" i="9"/>
  <c r="H1188" i="9"/>
  <c r="H1189" i="9"/>
  <c r="H1190" i="9"/>
  <c r="H1191" i="9"/>
  <c r="H1192" i="9"/>
  <c r="H1193" i="9"/>
  <c r="H1194" i="9"/>
  <c r="H1195" i="9"/>
  <c r="H1196" i="9"/>
  <c r="H1197" i="9"/>
  <c r="H1198" i="9"/>
  <c r="H1199" i="9"/>
  <c r="H1200" i="9"/>
  <c r="H1201" i="9"/>
  <c r="H1202" i="9"/>
  <c r="H1203" i="9"/>
  <c r="H1204" i="9"/>
  <c r="H1205" i="9"/>
  <c r="H1206" i="9"/>
  <c r="H1207" i="9"/>
  <c r="H1208" i="9"/>
  <c r="H1209" i="9"/>
  <c r="H1210" i="9"/>
  <c r="H1211" i="9"/>
  <c r="H1212" i="9"/>
  <c r="H1213" i="9"/>
  <c r="H1214" i="9"/>
  <c r="H1215" i="9"/>
  <c r="H1216" i="9"/>
  <c r="H1217" i="9"/>
  <c r="H1218" i="9"/>
  <c r="H1219" i="9"/>
  <c r="H1220" i="9"/>
  <c r="H1221" i="9"/>
  <c r="H1222" i="9"/>
  <c r="H1223" i="9"/>
  <c r="H1224" i="9"/>
  <c r="H1225" i="9"/>
  <c r="H1226" i="9"/>
  <c r="H1227" i="9"/>
  <c r="H1228" i="9"/>
  <c r="H1229" i="9"/>
  <c r="H1230" i="9"/>
  <c r="H1231" i="9"/>
  <c r="H1232" i="9"/>
  <c r="H1233" i="9"/>
  <c r="H1234" i="9"/>
  <c r="H1235" i="9"/>
  <c r="H1236" i="9"/>
  <c r="H1237" i="9"/>
  <c r="H1238" i="9"/>
  <c r="H1239" i="9"/>
  <c r="H1240" i="9"/>
  <c r="H1241" i="9"/>
  <c r="H1242" i="9"/>
  <c r="H1243" i="9"/>
  <c r="H1244" i="9"/>
  <c r="H1245" i="9"/>
  <c r="H1246" i="9"/>
  <c r="H1247" i="9"/>
  <c r="H1248" i="9"/>
  <c r="H1249" i="9"/>
  <c r="H1250" i="9"/>
  <c r="H1251" i="9"/>
  <c r="H1252" i="9"/>
  <c r="H1253" i="9"/>
  <c r="H1254" i="9"/>
  <c r="H1255" i="9"/>
  <c r="H1256" i="9"/>
  <c r="H1257" i="9"/>
  <c r="H1258" i="9"/>
  <c r="H1259" i="9"/>
  <c r="H1260" i="9"/>
  <c r="H1265" i="9"/>
  <c r="H1266" i="9"/>
  <c r="H1267" i="9"/>
  <c r="H1268" i="9"/>
  <c r="H1269" i="9"/>
  <c r="H1270" i="9"/>
  <c r="H1271" i="9"/>
  <c r="H1272" i="9"/>
  <c r="H1273" i="9"/>
  <c r="H1274" i="9"/>
  <c r="H1275" i="9"/>
  <c r="H1276" i="9"/>
  <c r="H1277" i="9"/>
  <c r="H1278" i="9"/>
  <c r="H1279" i="9"/>
  <c r="H1280" i="9"/>
  <c r="H1283" i="9"/>
  <c r="H1284" i="9"/>
  <c r="H1285" i="9"/>
  <c r="H1292" i="9"/>
  <c r="H1293" i="9"/>
  <c r="H1294" i="9"/>
  <c r="H1295" i="9"/>
  <c r="H1296" i="9"/>
  <c r="H1297" i="9"/>
  <c r="H1298" i="9"/>
  <c r="H1299" i="9"/>
  <c r="H1300" i="9"/>
  <c r="H1301" i="9"/>
  <c r="H1302" i="9"/>
  <c r="H1303" i="9"/>
  <c r="H1304" i="9"/>
  <c r="H1305" i="9"/>
  <c r="H1306" i="9"/>
  <c r="H1307" i="9"/>
  <c r="H1308" i="9"/>
  <c r="H1309" i="9"/>
  <c r="H1310" i="9"/>
  <c r="H1311" i="9"/>
  <c r="H1312" i="9"/>
  <c r="H1313" i="9"/>
  <c r="H1314" i="9"/>
  <c r="H1315" i="9"/>
  <c r="H1316" i="9"/>
  <c r="H1317" i="9"/>
  <c r="H1318" i="9"/>
  <c r="H1319" i="9"/>
  <c r="H1320" i="9"/>
  <c r="H1321" i="9"/>
  <c r="H1322" i="9"/>
  <c r="H1323" i="9"/>
  <c r="H1324" i="9"/>
  <c r="H1325" i="9"/>
  <c r="H1326" i="9"/>
  <c r="H1327" i="9"/>
  <c r="H1328" i="9"/>
  <c r="H1329" i="9"/>
  <c r="H1330" i="9"/>
  <c r="H1331" i="9"/>
  <c r="H1332" i="9"/>
  <c r="H1333" i="9"/>
  <c r="H1334" i="9"/>
  <c r="H1335" i="9"/>
  <c r="H1336" i="9"/>
  <c r="H1337" i="9"/>
  <c r="H1338" i="9"/>
  <c r="H1339" i="9"/>
  <c r="H1340" i="9"/>
  <c r="H1341" i="9"/>
  <c r="H1342" i="9"/>
  <c r="H1343" i="9"/>
  <c r="H1344" i="9"/>
  <c r="H1345" i="9"/>
  <c r="H1346" i="9"/>
  <c r="H1347" i="9"/>
  <c r="H1348" i="9"/>
  <c r="H1349" i="9"/>
  <c r="H1350" i="9"/>
  <c r="H1351" i="9"/>
  <c r="H1352" i="9"/>
  <c r="H1353" i="9"/>
  <c r="H1354" i="9"/>
  <c r="H1355" i="9"/>
  <c r="H1356" i="9"/>
  <c r="H1357" i="9"/>
  <c r="H1358" i="9"/>
  <c r="H1359" i="9"/>
  <c r="H1360" i="9"/>
  <c r="H1361" i="9"/>
  <c r="H1362" i="9"/>
  <c r="H1363" i="9"/>
  <c r="H1364" i="9"/>
  <c r="H1365" i="9"/>
  <c r="H1366" i="9"/>
  <c r="H1367" i="9"/>
  <c r="H1368" i="9"/>
  <c r="H1369" i="9"/>
  <c r="H1370" i="9"/>
  <c r="H1371" i="9"/>
  <c r="H1372" i="9"/>
  <c r="H1373" i="9"/>
  <c r="H1374" i="9"/>
  <c r="H1375" i="9"/>
  <c r="H1376" i="9"/>
  <c r="H1377" i="9"/>
  <c r="H1378" i="9"/>
  <c r="H1379" i="9"/>
  <c r="H1380" i="9"/>
  <c r="H1381" i="9"/>
  <c r="H1382" i="9"/>
  <c r="H1383" i="9"/>
  <c r="H1384" i="9"/>
  <c r="H1385" i="9"/>
  <c r="H1386" i="9"/>
  <c r="H1387" i="9"/>
  <c r="H1388" i="9"/>
  <c r="H1389" i="9"/>
  <c r="H1390" i="9"/>
  <c r="H1391" i="9"/>
  <c r="H1392" i="9"/>
  <c r="H1393" i="9"/>
  <c r="H1394" i="9"/>
  <c r="H1395" i="9"/>
  <c r="H1396" i="9"/>
  <c r="H1397" i="9"/>
  <c r="H1398" i="9"/>
  <c r="H1399" i="9"/>
  <c r="H1400" i="9"/>
  <c r="H1401" i="9"/>
  <c r="H1402" i="9"/>
  <c r="H1403" i="9"/>
  <c r="H1408" i="9"/>
  <c r="H1409" i="9"/>
  <c r="H1410" i="9"/>
  <c r="H1411" i="9"/>
  <c r="H1412" i="9"/>
  <c r="H1413" i="9"/>
  <c r="H1414" i="9"/>
  <c r="H1415" i="9"/>
  <c r="H1416" i="9"/>
  <c r="H1417" i="9"/>
  <c r="H1418" i="9"/>
  <c r="H1419" i="9"/>
  <c r="H1420" i="9"/>
  <c r="H1421" i="9"/>
  <c r="H1422" i="9"/>
  <c r="H1423" i="9"/>
  <c r="H1426" i="9"/>
  <c r="H1427" i="9"/>
  <c r="H1428" i="9"/>
  <c r="H1435" i="9"/>
  <c r="H1436" i="9"/>
  <c r="H1437" i="9"/>
  <c r="H1438" i="9"/>
  <c r="H1439" i="9"/>
  <c r="H1440" i="9"/>
  <c r="H1441" i="9"/>
  <c r="H1442" i="9"/>
  <c r="H1443" i="9"/>
  <c r="H1444" i="9"/>
  <c r="H1445" i="9"/>
  <c r="H1446" i="9"/>
  <c r="H1447" i="9"/>
  <c r="H1448" i="9"/>
  <c r="H1449" i="9"/>
  <c r="H1450" i="9"/>
  <c r="H1451" i="9"/>
  <c r="H1452" i="9"/>
  <c r="H1453" i="9"/>
  <c r="H1454" i="9"/>
  <c r="H1455" i="9"/>
  <c r="H1456" i="9"/>
  <c r="H1457" i="9"/>
  <c r="H1458" i="9"/>
  <c r="H1459" i="9"/>
  <c r="H1460" i="9"/>
  <c r="H1461" i="9"/>
  <c r="H1462" i="9"/>
  <c r="H1463" i="9"/>
  <c r="H1464" i="9"/>
  <c r="H1465" i="9"/>
  <c r="H1466" i="9"/>
  <c r="H1467" i="9"/>
  <c r="H1468" i="9"/>
  <c r="H1469" i="9"/>
  <c r="H1470" i="9"/>
  <c r="H1471" i="9"/>
  <c r="H1472" i="9"/>
  <c r="H1473" i="9"/>
  <c r="H1474" i="9"/>
  <c r="H1475" i="9"/>
  <c r="H1476" i="9"/>
  <c r="H1477" i="9"/>
  <c r="H1478" i="9"/>
  <c r="H1479" i="9"/>
  <c r="H1480" i="9"/>
  <c r="H1481" i="9"/>
  <c r="H1482" i="9"/>
  <c r="H1483" i="9"/>
  <c r="H1484" i="9"/>
  <c r="H1485" i="9"/>
  <c r="H1486" i="9"/>
  <c r="H1487" i="9"/>
  <c r="H1488" i="9"/>
  <c r="H1489" i="9"/>
  <c r="H1490" i="9"/>
  <c r="H1491" i="9"/>
  <c r="H1492" i="9"/>
  <c r="H1493" i="9"/>
  <c r="H1494" i="9"/>
  <c r="H1495" i="9"/>
  <c r="H1496" i="9"/>
  <c r="H1497" i="9"/>
  <c r="H1498" i="9"/>
  <c r="H1499" i="9"/>
  <c r="H1500" i="9"/>
  <c r="H1501" i="9"/>
  <c r="H1502" i="9"/>
  <c r="H1503" i="9"/>
  <c r="H1504" i="9"/>
  <c r="H1505" i="9"/>
  <c r="H1506" i="9"/>
  <c r="H1507" i="9"/>
  <c r="H1508" i="9"/>
  <c r="H1509" i="9"/>
  <c r="H1510" i="9"/>
  <c r="H1511" i="9"/>
  <c r="H1512" i="9"/>
  <c r="H1513" i="9"/>
  <c r="H1514" i="9"/>
  <c r="H1515" i="9"/>
  <c r="H1516" i="9"/>
  <c r="H1517" i="9"/>
  <c r="H1518" i="9"/>
  <c r="H1519" i="9"/>
  <c r="H1520" i="9"/>
  <c r="H1521" i="9"/>
  <c r="H1522" i="9"/>
  <c r="H1523" i="9"/>
  <c r="H1524" i="9"/>
  <c r="H1525" i="9"/>
  <c r="H1526" i="9"/>
  <c r="H1527" i="9"/>
  <c r="H1528" i="9"/>
  <c r="H1529" i="9"/>
  <c r="H1530" i="9"/>
  <c r="H1531" i="9"/>
  <c r="H1532" i="9"/>
  <c r="H1533" i="9"/>
  <c r="H1534" i="9"/>
  <c r="H1535" i="9"/>
  <c r="H1536" i="9"/>
  <c r="H1537" i="9"/>
  <c r="H1538" i="9"/>
  <c r="H1539" i="9"/>
  <c r="H1540" i="9"/>
  <c r="H1541" i="9"/>
  <c r="H1542" i="9"/>
  <c r="H1543" i="9"/>
  <c r="H1544" i="9"/>
  <c r="H1545" i="9"/>
  <c r="H1546" i="9"/>
  <c r="H1551" i="9"/>
  <c r="H1552" i="9"/>
  <c r="H1553" i="9"/>
  <c r="H1554" i="9"/>
  <c r="H1555" i="9"/>
  <c r="H1556" i="9"/>
  <c r="H1557" i="9"/>
  <c r="H1558" i="9"/>
  <c r="H1559" i="9"/>
  <c r="H1560" i="9"/>
  <c r="H1561" i="9"/>
  <c r="H1562" i="9"/>
  <c r="H1563" i="9"/>
  <c r="H1564" i="9"/>
  <c r="H1565" i="9"/>
  <c r="H1566" i="9"/>
  <c r="H1569" i="9"/>
  <c r="H1570" i="9"/>
  <c r="H1578" i="9"/>
  <c r="H1579" i="9"/>
  <c r="H1580" i="9"/>
  <c r="H1581" i="9"/>
  <c r="H1582" i="9"/>
  <c r="H1583" i="9"/>
  <c r="H1584" i="9"/>
  <c r="H1585" i="9"/>
  <c r="H1586" i="9"/>
  <c r="H1587" i="9"/>
  <c r="H1588" i="9"/>
  <c r="H1589" i="9"/>
  <c r="H1590" i="9"/>
  <c r="H1591" i="9"/>
  <c r="H1592" i="9"/>
  <c r="H1593" i="9"/>
  <c r="H1594" i="9"/>
  <c r="H1595" i="9"/>
  <c r="H1596" i="9"/>
  <c r="H1597" i="9"/>
  <c r="H1598" i="9"/>
  <c r="H1599" i="9"/>
  <c r="H1600" i="9"/>
  <c r="H1601" i="9"/>
  <c r="H1602" i="9"/>
  <c r="H1603" i="9"/>
  <c r="H1604" i="9"/>
  <c r="H1605" i="9"/>
  <c r="H1606" i="9"/>
  <c r="H1607" i="9"/>
  <c r="H1608" i="9"/>
  <c r="H1609" i="9"/>
  <c r="H1610" i="9"/>
  <c r="H1611" i="9"/>
  <c r="H1612" i="9"/>
  <c r="H1613" i="9"/>
  <c r="H1614" i="9"/>
  <c r="H1615" i="9"/>
  <c r="H1616" i="9"/>
  <c r="H1617" i="9"/>
  <c r="H1618" i="9"/>
  <c r="H1619" i="9"/>
  <c r="H1620" i="9"/>
  <c r="H1621" i="9"/>
  <c r="H1622" i="9"/>
  <c r="H1623" i="9"/>
  <c r="H1624" i="9"/>
  <c r="H1625" i="9"/>
  <c r="H1626" i="9"/>
  <c r="H1627" i="9"/>
  <c r="H1628" i="9"/>
  <c r="H1629" i="9"/>
  <c r="H1630" i="9"/>
  <c r="H1631" i="9"/>
  <c r="H1632" i="9"/>
  <c r="H1633" i="9"/>
  <c r="H1634" i="9"/>
  <c r="H1635" i="9"/>
  <c r="H1636" i="9"/>
  <c r="H1637" i="9"/>
  <c r="H1638" i="9"/>
  <c r="H1639" i="9"/>
  <c r="H1640" i="9"/>
  <c r="H1641" i="9"/>
  <c r="H1642" i="9"/>
  <c r="H1643" i="9"/>
  <c r="H1644" i="9"/>
  <c r="H1645" i="9"/>
  <c r="H1646" i="9"/>
  <c r="H1647" i="9"/>
  <c r="H1648" i="9"/>
  <c r="H1649" i="9"/>
  <c r="H1650" i="9"/>
  <c r="H1651" i="9"/>
  <c r="H1652" i="9"/>
  <c r="H1653" i="9"/>
  <c r="H1654" i="9"/>
  <c r="H1655" i="9"/>
  <c r="H1656" i="9"/>
  <c r="H1657" i="9"/>
  <c r="H1658" i="9"/>
  <c r="H1659" i="9"/>
  <c r="H1660" i="9"/>
  <c r="H1661" i="9"/>
  <c r="H1662" i="9"/>
  <c r="H1663" i="9"/>
  <c r="H1664" i="9"/>
  <c r="H1665" i="9"/>
  <c r="H1666" i="9"/>
  <c r="H1667" i="9"/>
  <c r="H1668" i="9"/>
  <c r="H1669" i="9"/>
  <c r="H1670" i="9"/>
  <c r="H1671" i="9"/>
  <c r="H1672" i="9"/>
  <c r="H1673" i="9"/>
  <c r="H1674" i="9"/>
  <c r="H1675" i="9"/>
  <c r="H1676" i="9"/>
  <c r="H1677" i="9"/>
  <c r="H1678" i="9"/>
  <c r="H1679" i="9"/>
  <c r="H1680" i="9"/>
  <c r="H1681" i="9"/>
  <c r="H1682" i="9"/>
  <c r="H1683" i="9"/>
  <c r="H1684" i="9"/>
  <c r="H1685" i="9"/>
  <c r="H1686" i="9"/>
  <c r="H1687" i="9"/>
  <c r="H1688" i="9"/>
  <c r="H1689" i="9"/>
  <c r="H1694" i="9"/>
  <c r="H1695" i="9"/>
  <c r="H1696" i="9"/>
  <c r="H1697" i="9"/>
  <c r="H1698" i="9"/>
  <c r="H1699" i="9"/>
  <c r="H1700" i="9"/>
  <c r="H1701" i="9"/>
  <c r="H1702" i="9"/>
  <c r="H1703" i="9"/>
  <c r="H1704" i="9"/>
  <c r="H1705" i="9"/>
  <c r="H1706" i="9"/>
  <c r="H1707" i="9"/>
  <c r="H1708" i="9"/>
  <c r="H1709" i="9"/>
  <c r="H1712" i="9"/>
  <c r="H1713" i="9"/>
  <c r="H1720" i="9"/>
  <c r="H1721" i="9"/>
  <c r="H1722" i="9"/>
  <c r="H1723" i="9"/>
  <c r="H1724" i="9"/>
  <c r="H1725" i="9"/>
  <c r="H1726" i="9"/>
  <c r="H1727" i="9"/>
  <c r="H1728" i="9"/>
  <c r="H1729" i="9"/>
  <c r="H1730" i="9"/>
  <c r="H1731" i="9"/>
  <c r="H1732" i="9"/>
  <c r="H1733" i="9"/>
  <c r="H1734" i="9"/>
  <c r="H1735" i="9"/>
  <c r="H1736" i="9"/>
  <c r="H1737" i="9"/>
  <c r="H1738" i="9"/>
  <c r="H1739" i="9"/>
  <c r="H1740" i="9"/>
  <c r="H1741" i="9"/>
  <c r="H1742" i="9"/>
  <c r="H1743" i="9"/>
  <c r="H1744" i="9"/>
  <c r="H1745" i="9"/>
  <c r="H1746" i="9"/>
  <c r="H1747" i="9"/>
  <c r="H1748" i="9"/>
  <c r="H1749" i="9"/>
  <c r="H1750" i="9"/>
  <c r="H1751" i="9"/>
  <c r="H1752" i="9"/>
  <c r="H1753" i="9"/>
  <c r="H1754" i="9"/>
  <c r="H1755" i="9"/>
  <c r="H1756" i="9"/>
  <c r="H1757" i="9"/>
  <c r="H1758" i="9"/>
  <c r="H1759" i="9"/>
  <c r="H1760" i="9"/>
  <c r="H1761" i="9"/>
  <c r="H1762" i="9"/>
  <c r="H1763" i="9"/>
  <c r="H1764" i="9"/>
  <c r="H1765" i="9"/>
  <c r="H1766" i="9"/>
  <c r="H1767" i="9"/>
  <c r="H1768" i="9"/>
  <c r="H1769" i="9"/>
  <c r="H1770" i="9"/>
  <c r="H1771" i="9"/>
  <c r="H1772" i="9"/>
  <c r="H1773" i="9"/>
  <c r="H1774" i="9"/>
  <c r="H1775" i="9"/>
  <c r="H1776" i="9"/>
  <c r="H1777" i="9"/>
  <c r="H1778" i="9"/>
  <c r="H1779" i="9"/>
  <c r="H1780" i="9"/>
  <c r="H1781" i="9"/>
  <c r="H1782" i="9"/>
  <c r="H1783" i="9"/>
  <c r="H1784" i="9"/>
  <c r="H1785" i="9"/>
  <c r="H1786" i="9"/>
  <c r="H1787" i="9"/>
  <c r="H1788" i="9"/>
  <c r="H1789" i="9"/>
  <c r="H1790" i="9"/>
  <c r="H1791" i="9"/>
  <c r="H1792" i="9"/>
  <c r="H1793" i="9"/>
  <c r="H1794" i="9"/>
  <c r="H1795" i="9"/>
  <c r="H1796" i="9"/>
  <c r="H1797" i="9"/>
  <c r="H1798" i="9"/>
  <c r="H1799" i="9"/>
  <c r="H1800" i="9"/>
  <c r="H1801" i="9"/>
  <c r="H1802" i="9"/>
  <c r="H1803" i="9"/>
  <c r="H1804" i="9"/>
  <c r="H1805" i="9"/>
  <c r="H1806" i="9"/>
  <c r="H1807" i="9"/>
  <c r="H1808" i="9"/>
  <c r="H1809" i="9"/>
  <c r="H1810" i="9"/>
  <c r="H1811" i="9"/>
  <c r="H1812" i="9"/>
  <c r="H1813" i="9"/>
  <c r="H1814" i="9"/>
  <c r="H1815" i="9"/>
  <c r="H1816" i="9"/>
  <c r="H1817" i="9"/>
  <c r="H1818" i="9"/>
  <c r="H1819" i="9"/>
  <c r="H1820" i="9"/>
  <c r="H1821" i="9"/>
  <c r="H1822" i="9"/>
  <c r="H1827" i="9"/>
  <c r="H1828" i="9"/>
  <c r="H1829" i="9"/>
  <c r="H1830" i="9"/>
  <c r="H1831" i="9"/>
  <c r="H1832" i="9"/>
  <c r="H1833" i="9"/>
  <c r="H1834" i="9"/>
  <c r="H1835" i="9"/>
  <c r="H1836" i="9"/>
  <c r="H1837" i="9"/>
  <c r="H1838" i="9"/>
  <c r="H1839" i="9"/>
  <c r="H1840" i="9"/>
  <c r="H1841" i="9"/>
  <c r="H1842" i="9"/>
  <c r="H1846" i="9"/>
  <c r="H1998" i="9"/>
  <c r="H1999" i="9"/>
  <c r="H2000" i="9"/>
  <c r="H2001" i="9"/>
  <c r="H2002" i="9"/>
  <c r="H2003" i="9"/>
  <c r="H2004" i="9"/>
  <c r="H2005" i="9"/>
  <c r="H2006" i="9"/>
  <c r="H2007" i="9"/>
  <c r="H2008" i="9"/>
  <c r="H2009" i="9"/>
  <c r="H2010" i="9"/>
  <c r="H2011" i="9"/>
  <c r="H2012" i="9"/>
  <c r="H2013" i="9"/>
  <c r="H2014" i="9"/>
  <c r="H2015" i="9"/>
  <c r="H2016" i="9"/>
  <c r="H2017" i="9"/>
  <c r="H2018" i="9"/>
  <c r="H2019" i="9"/>
  <c r="H2020" i="9"/>
  <c r="H2021" i="9"/>
  <c r="H2022" i="9"/>
  <c r="H2023" i="9"/>
  <c r="H2024" i="9"/>
  <c r="H2025" i="9"/>
  <c r="H2026" i="9"/>
  <c r="H2027" i="9"/>
  <c r="H2028" i="9"/>
  <c r="H2029" i="9"/>
  <c r="H2030" i="9"/>
  <c r="H2031" i="9"/>
  <c r="H2032" i="9"/>
  <c r="H2033" i="9"/>
  <c r="H2034" i="9"/>
  <c r="H2035" i="9"/>
  <c r="H2036" i="9"/>
  <c r="H2037" i="9"/>
  <c r="H2038" i="9"/>
  <c r="H2039" i="9"/>
  <c r="H2040" i="9"/>
  <c r="H2041" i="9"/>
  <c r="H2042" i="9"/>
  <c r="H2043" i="9"/>
  <c r="H2044" i="9"/>
  <c r="H2045" i="9"/>
  <c r="H2046" i="9"/>
  <c r="H2047" i="9"/>
  <c r="H2048" i="9"/>
  <c r="H2049" i="9"/>
  <c r="H2050" i="9"/>
  <c r="H2051" i="9"/>
  <c r="H2052" i="9"/>
  <c r="H2053" i="9"/>
  <c r="H2054" i="9"/>
  <c r="H2055" i="9"/>
  <c r="H2056" i="9"/>
  <c r="H2057" i="9"/>
  <c r="H2058" i="9"/>
  <c r="H2059" i="9"/>
  <c r="H2060" i="9"/>
  <c r="H2061" i="9"/>
  <c r="H2062" i="9"/>
  <c r="H2063" i="9"/>
  <c r="H2064" i="9"/>
  <c r="H2065" i="9"/>
  <c r="H2066" i="9"/>
  <c r="H2067" i="9"/>
  <c r="H2068" i="9"/>
  <c r="H2069" i="9"/>
  <c r="H2070" i="9"/>
  <c r="H2071" i="9"/>
  <c r="H2072" i="9"/>
  <c r="H2073" i="9"/>
  <c r="H2074" i="9"/>
  <c r="H2075" i="9"/>
  <c r="H2076" i="9"/>
  <c r="H2077" i="9"/>
  <c r="H2078" i="9"/>
  <c r="H2079" i="9"/>
  <c r="H2080" i="9"/>
  <c r="H2081" i="9"/>
  <c r="H2082" i="9"/>
  <c r="H2083" i="9"/>
  <c r="H2084" i="9"/>
  <c r="H2085" i="9"/>
  <c r="H2086" i="9"/>
  <c r="H2087" i="9"/>
  <c r="H2088" i="9"/>
  <c r="H2089" i="9"/>
  <c r="H2090" i="9"/>
  <c r="H2091" i="9"/>
  <c r="H2092" i="9"/>
  <c r="H2093" i="9"/>
  <c r="H2094" i="9"/>
  <c r="H2095" i="9"/>
  <c r="H2096" i="9"/>
  <c r="H2097" i="9"/>
  <c r="H2098" i="9"/>
  <c r="H2099" i="9"/>
  <c r="H2100" i="9"/>
  <c r="H2101" i="9"/>
  <c r="H2102" i="9"/>
  <c r="H2103" i="9"/>
  <c r="H2104" i="9"/>
  <c r="H2105" i="9"/>
  <c r="H2106" i="9"/>
  <c r="H2107" i="9"/>
  <c r="H2108" i="9"/>
  <c r="H2109" i="9"/>
  <c r="H2110" i="9"/>
  <c r="H2115" i="9"/>
  <c r="H2116" i="9"/>
  <c r="H2117" i="9"/>
  <c r="H2118" i="9"/>
  <c r="H2119" i="9"/>
  <c r="H2120" i="9"/>
  <c r="H2121" i="9"/>
  <c r="H2122" i="9"/>
  <c r="H2123" i="9"/>
  <c r="H2124" i="9"/>
  <c r="H2125" i="9"/>
  <c r="H2126" i="9"/>
  <c r="H2127" i="9"/>
  <c r="H2128" i="9"/>
  <c r="H2129" i="9"/>
  <c r="H2130" i="9"/>
  <c r="H2134" i="9"/>
  <c r="H2135" i="9"/>
  <c r="H2143" i="9"/>
  <c r="H2144" i="9"/>
  <c r="H2145" i="9"/>
  <c r="H2146" i="9"/>
  <c r="H2147" i="9"/>
  <c r="H2148" i="9"/>
  <c r="H2149" i="9"/>
  <c r="H2150" i="9"/>
  <c r="H2151" i="9"/>
  <c r="H2152" i="9"/>
  <c r="H2153" i="9"/>
  <c r="H2154" i="9"/>
  <c r="H2155" i="9"/>
  <c r="H2156" i="9"/>
  <c r="H2157" i="9"/>
  <c r="H2158" i="9"/>
  <c r="H2159" i="9"/>
  <c r="H2160" i="9"/>
  <c r="H2161" i="9"/>
  <c r="H2162" i="9"/>
  <c r="H2163" i="9"/>
  <c r="H2164" i="9"/>
  <c r="H2165" i="9"/>
  <c r="H2166" i="9"/>
  <c r="H2167" i="9"/>
  <c r="H2168" i="9"/>
  <c r="H2169" i="9"/>
  <c r="H2170" i="9"/>
  <c r="H2171" i="9"/>
  <c r="H2172" i="9"/>
  <c r="H2173" i="9"/>
  <c r="H2174" i="9"/>
  <c r="H2175" i="9"/>
  <c r="H2176" i="9"/>
  <c r="H2177" i="9"/>
  <c r="H2178" i="9"/>
  <c r="H2179" i="9"/>
  <c r="H2180" i="9"/>
  <c r="H2181" i="9"/>
  <c r="H2182" i="9"/>
  <c r="H2183" i="9"/>
  <c r="H2184" i="9"/>
  <c r="H2185" i="9"/>
  <c r="H2186" i="9"/>
  <c r="H2187" i="9"/>
  <c r="H2188" i="9"/>
  <c r="H2189" i="9"/>
  <c r="H2190" i="9"/>
  <c r="H2191" i="9"/>
  <c r="H2192" i="9"/>
  <c r="H2193" i="9"/>
  <c r="H2194" i="9"/>
  <c r="H2195" i="9"/>
  <c r="H2196" i="9"/>
  <c r="H2197" i="9"/>
  <c r="H2198" i="9"/>
  <c r="H2199" i="9"/>
  <c r="H2200" i="9"/>
  <c r="H2201" i="9"/>
  <c r="H2202" i="9"/>
  <c r="H2203" i="9"/>
  <c r="H2204" i="9"/>
  <c r="H2205" i="9"/>
  <c r="H2206" i="9"/>
  <c r="H2207" i="9"/>
  <c r="H2208" i="9"/>
  <c r="H2209" i="9"/>
  <c r="H2210" i="9"/>
  <c r="H2211" i="9"/>
  <c r="H2212" i="9"/>
  <c r="H2213" i="9"/>
  <c r="H2214" i="9"/>
  <c r="H2215" i="9"/>
  <c r="H2216" i="9"/>
  <c r="H2217" i="9"/>
  <c r="H2218" i="9"/>
  <c r="H2219" i="9"/>
  <c r="H2220" i="9"/>
  <c r="H2221" i="9"/>
  <c r="H2222" i="9"/>
  <c r="H2223" i="9"/>
  <c r="H2224" i="9"/>
  <c r="H2225" i="9"/>
  <c r="H2226" i="9"/>
  <c r="H2227" i="9"/>
  <c r="H2228" i="9"/>
  <c r="H2229" i="9"/>
  <c r="H2230" i="9"/>
  <c r="H2231" i="9"/>
  <c r="H2232" i="9"/>
  <c r="H2233" i="9"/>
  <c r="H2234" i="9"/>
  <c r="H2235" i="9"/>
  <c r="H2236" i="9"/>
  <c r="H2237" i="9"/>
  <c r="H2238" i="9"/>
  <c r="H2239" i="9"/>
  <c r="H2240" i="9"/>
  <c r="H2241" i="9"/>
  <c r="H2242" i="9"/>
  <c r="H2243" i="9"/>
  <c r="H2244" i="9"/>
  <c r="H2245" i="9"/>
  <c r="H2246" i="9"/>
  <c r="H2247" i="9"/>
  <c r="H2248" i="9"/>
  <c r="H2249" i="9"/>
  <c r="H2250" i="9"/>
  <c r="H2251" i="9"/>
  <c r="H2252" i="9"/>
  <c r="H2253" i="9"/>
  <c r="H2254" i="9"/>
  <c r="H2259" i="9"/>
  <c r="H2260" i="9"/>
  <c r="H2261" i="9"/>
  <c r="H2262" i="9"/>
  <c r="H2263" i="9"/>
  <c r="H2264" i="9"/>
  <c r="H2265" i="9"/>
  <c r="H2266" i="9"/>
  <c r="H2267" i="9"/>
  <c r="H2268" i="9"/>
  <c r="H2269" i="9"/>
  <c r="H2270" i="9"/>
  <c r="H2271" i="9"/>
  <c r="H2272" i="9"/>
  <c r="H2273" i="9"/>
  <c r="H2274" i="9"/>
  <c r="H2276" i="9"/>
  <c r="H2283" i="9"/>
  <c r="H2284" i="9"/>
  <c r="H2285" i="9"/>
  <c r="H2286" i="9"/>
  <c r="H2287" i="9"/>
  <c r="H2288" i="9"/>
  <c r="H2289" i="9"/>
  <c r="H2290" i="9"/>
  <c r="H2291" i="9"/>
  <c r="H2292" i="9"/>
  <c r="H2293" i="9"/>
  <c r="H2294" i="9"/>
  <c r="H2295" i="9"/>
  <c r="H2296" i="9"/>
  <c r="H2297" i="9"/>
  <c r="H2298" i="9"/>
  <c r="H2299" i="9"/>
  <c r="H2300" i="9"/>
  <c r="H2301" i="9"/>
  <c r="H2302" i="9"/>
  <c r="H2303" i="9"/>
  <c r="H2304" i="9"/>
  <c r="H2305" i="9"/>
  <c r="H2306" i="9"/>
  <c r="H2307" i="9"/>
  <c r="H2308" i="9"/>
  <c r="H2309" i="9"/>
  <c r="H2310" i="9"/>
  <c r="H2311" i="9"/>
  <c r="H2312" i="9"/>
  <c r="H2313" i="9"/>
  <c r="H2314" i="9"/>
  <c r="H2315" i="9"/>
  <c r="H2316" i="9"/>
  <c r="H2317" i="9"/>
  <c r="H2318" i="9"/>
  <c r="H2319" i="9"/>
  <c r="H2320" i="9"/>
  <c r="H2321" i="9"/>
  <c r="H2322" i="9"/>
  <c r="H2323" i="9"/>
  <c r="H2324" i="9"/>
  <c r="H2325" i="9"/>
  <c r="H2326" i="9"/>
  <c r="H2327" i="9"/>
  <c r="H2328" i="9"/>
  <c r="H2329" i="9"/>
  <c r="H2330" i="9"/>
  <c r="H2331" i="9"/>
  <c r="H2332" i="9"/>
  <c r="H2333" i="9"/>
  <c r="H2334" i="9"/>
  <c r="H2335" i="9"/>
  <c r="H2336" i="9"/>
  <c r="H2337" i="9"/>
  <c r="H2338" i="9"/>
  <c r="H2339" i="9"/>
  <c r="H2340" i="9"/>
  <c r="H2341" i="9"/>
  <c r="H2342" i="9"/>
  <c r="H2343" i="9"/>
  <c r="H2344" i="9"/>
  <c r="H2345" i="9"/>
  <c r="H2346" i="9"/>
  <c r="H2347" i="9"/>
  <c r="H2348" i="9"/>
  <c r="H2349" i="9"/>
  <c r="H2350" i="9"/>
  <c r="H2351" i="9"/>
  <c r="H2352" i="9"/>
  <c r="H2353" i="9"/>
  <c r="H2354" i="9"/>
  <c r="H2355" i="9"/>
  <c r="H2356" i="9"/>
  <c r="H2357" i="9"/>
  <c r="H2358" i="9"/>
  <c r="H2359" i="9"/>
  <c r="H2360" i="9"/>
  <c r="H2361" i="9"/>
  <c r="H2362" i="9"/>
  <c r="H2363" i="9"/>
  <c r="H2364" i="9"/>
  <c r="H2365" i="9"/>
  <c r="H2366" i="9"/>
  <c r="H2367" i="9"/>
  <c r="H2368" i="9"/>
  <c r="H2369" i="9"/>
  <c r="H2370" i="9"/>
  <c r="H2371" i="9"/>
  <c r="H2372" i="9"/>
  <c r="H2373" i="9"/>
  <c r="H2374" i="9"/>
  <c r="H2375" i="9"/>
  <c r="H2376" i="9"/>
  <c r="H2377" i="9"/>
  <c r="H2378" i="9"/>
  <c r="H2379" i="9"/>
  <c r="H2380" i="9"/>
  <c r="H2381" i="9"/>
  <c r="H2382" i="9"/>
  <c r="H2383" i="9"/>
  <c r="H2384" i="9"/>
  <c r="H2385" i="9"/>
  <c r="H2386" i="9"/>
  <c r="H2387" i="9"/>
  <c r="H2388" i="9"/>
  <c r="H2389" i="9"/>
  <c r="H2390" i="9"/>
  <c r="H2391" i="9"/>
  <c r="H2392" i="9"/>
  <c r="H2393" i="9"/>
  <c r="H2394" i="9"/>
  <c r="H2395" i="9"/>
  <c r="H2400" i="9"/>
  <c r="H2401" i="9"/>
  <c r="H2402" i="9"/>
  <c r="H2403" i="9"/>
  <c r="H2404" i="9"/>
  <c r="H2405" i="9"/>
  <c r="H2406" i="9"/>
  <c r="H2407" i="9"/>
  <c r="H2408" i="9"/>
  <c r="H2409" i="9"/>
  <c r="H2410" i="9"/>
  <c r="H2411" i="9"/>
  <c r="H2412" i="9"/>
  <c r="H2413" i="9"/>
  <c r="H2414" i="9"/>
  <c r="H2415" i="9"/>
  <c r="H2418" i="9"/>
  <c r="H2426" i="9"/>
  <c r="H2427" i="9"/>
  <c r="H2428" i="9"/>
  <c r="H2429" i="9"/>
  <c r="H2430" i="9"/>
  <c r="H2431" i="9"/>
  <c r="H2432" i="9"/>
  <c r="H2433" i="9"/>
  <c r="H2434" i="9"/>
  <c r="H2435" i="9"/>
  <c r="H2436" i="9"/>
  <c r="H2437" i="9"/>
  <c r="H2438" i="9"/>
  <c r="H2439" i="9"/>
  <c r="H2440" i="9"/>
  <c r="H2441" i="9"/>
  <c r="H2442" i="9"/>
  <c r="H2443" i="9"/>
  <c r="H2444" i="9"/>
  <c r="H2445" i="9"/>
  <c r="H2446" i="9"/>
  <c r="H2447" i="9"/>
  <c r="H2448" i="9"/>
  <c r="H2449" i="9"/>
  <c r="H2450" i="9"/>
  <c r="H2451" i="9"/>
  <c r="H2452" i="9"/>
  <c r="H2453" i="9"/>
  <c r="H2454" i="9"/>
  <c r="H2455" i="9"/>
  <c r="H2456" i="9"/>
  <c r="H2457" i="9"/>
  <c r="H2458" i="9"/>
  <c r="H2459" i="9"/>
  <c r="H2460" i="9"/>
  <c r="H2461" i="9"/>
  <c r="H2462" i="9"/>
  <c r="H2463" i="9"/>
  <c r="H2464" i="9"/>
  <c r="H2465" i="9"/>
  <c r="H2466" i="9"/>
  <c r="H2467" i="9"/>
  <c r="H2468" i="9"/>
  <c r="H2469" i="9"/>
  <c r="H2470" i="9"/>
  <c r="H2471" i="9"/>
  <c r="H2472" i="9"/>
  <c r="H2473" i="9"/>
  <c r="H2474" i="9"/>
  <c r="H2475" i="9"/>
  <c r="H2476" i="9"/>
  <c r="H2477" i="9"/>
  <c r="H2478" i="9"/>
  <c r="H2479" i="9"/>
  <c r="H2480" i="9"/>
  <c r="H2481" i="9"/>
  <c r="H2482" i="9"/>
  <c r="H2483" i="9"/>
  <c r="H2484" i="9"/>
  <c r="H2485" i="9"/>
  <c r="H2486" i="9"/>
  <c r="H2487" i="9"/>
  <c r="H2488" i="9"/>
  <c r="H2489" i="9"/>
  <c r="H2490" i="9"/>
  <c r="H2491" i="9"/>
  <c r="H2492" i="9"/>
  <c r="H2493" i="9"/>
  <c r="H2494" i="9"/>
  <c r="H2495" i="9"/>
  <c r="H2496" i="9"/>
  <c r="H2497" i="9"/>
  <c r="H2498" i="9"/>
  <c r="H2499" i="9"/>
  <c r="H2500" i="9"/>
  <c r="H2501" i="9"/>
  <c r="H2502" i="9"/>
  <c r="H2503" i="9"/>
  <c r="H2504" i="9"/>
  <c r="H2505" i="9"/>
  <c r="H2506" i="9"/>
  <c r="H2507" i="9"/>
  <c r="H2508" i="9"/>
  <c r="H2509" i="9"/>
  <c r="H2510" i="9"/>
  <c r="H2511" i="9"/>
  <c r="H2512" i="9"/>
  <c r="H2513" i="9"/>
  <c r="H2514" i="9"/>
  <c r="H2515" i="9"/>
  <c r="H2516" i="9"/>
  <c r="H2517" i="9"/>
  <c r="H2518" i="9"/>
  <c r="H2519" i="9"/>
  <c r="H2520" i="9"/>
  <c r="H2521" i="9"/>
  <c r="H2522" i="9"/>
  <c r="H2523" i="9"/>
  <c r="H2524" i="9"/>
  <c r="H2525" i="9"/>
  <c r="H2526" i="9"/>
  <c r="H2527" i="9"/>
  <c r="H2528" i="9"/>
  <c r="H2529" i="9"/>
  <c r="H2530" i="9"/>
  <c r="H2531" i="9"/>
  <c r="H2532" i="9"/>
  <c r="H2533" i="9"/>
  <c r="H2534" i="9"/>
  <c r="H2535" i="9"/>
  <c r="H2536" i="9"/>
  <c r="H2537" i="9"/>
  <c r="H2538" i="9"/>
  <c r="H2543" i="9"/>
  <c r="H2544" i="9"/>
  <c r="H2545" i="9"/>
  <c r="H2546" i="9"/>
  <c r="H2547" i="9"/>
  <c r="H2548" i="9"/>
  <c r="H2549" i="9"/>
  <c r="H2550" i="9"/>
  <c r="H2551" i="9"/>
  <c r="H2552" i="9"/>
  <c r="H2553" i="9"/>
  <c r="H2554" i="9"/>
  <c r="H2555" i="9"/>
  <c r="H2556" i="9"/>
  <c r="H2557" i="9"/>
  <c r="H2558" i="9"/>
  <c r="H2561" i="9"/>
  <c r="H2570" i="9"/>
  <c r="H2571" i="9"/>
  <c r="H2572" i="9"/>
  <c r="H2573" i="9"/>
  <c r="H2574" i="9"/>
  <c r="H2575" i="9"/>
  <c r="H2576" i="9"/>
  <c r="H2577" i="9"/>
  <c r="H2578" i="9"/>
  <c r="H2579" i="9"/>
  <c r="H2580" i="9"/>
  <c r="H2581" i="9"/>
  <c r="H2582" i="9"/>
  <c r="H2583" i="9"/>
  <c r="H2584" i="9"/>
  <c r="H2585" i="9"/>
  <c r="H2586" i="9"/>
  <c r="H2587" i="9"/>
  <c r="H2588" i="9"/>
  <c r="H2589" i="9"/>
  <c r="H2590" i="9"/>
  <c r="H2591" i="9"/>
  <c r="H2592" i="9"/>
  <c r="H2593" i="9"/>
  <c r="H2594" i="9"/>
  <c r="H2595" i="9"/>
  <c r="H2596" i="9"/>
  <c r="H2597" i="9"/>
  <c r="H2598" i="9"/>
  <c r="H2599" i="9"/>
  <c r="H2600" i="9"/>
  <c r="H2601" i="9"/>
  <c r="H2602" i="9"/>
  <c r="H2603" i="9"/>
  <c r="H2604" i="9"/>
  <c r="H2605" i="9"/>
  <c r="H2606" i="9"/>
  <c r="H2607" i="9"/>
  <c r="H2608" i="9"/>
  <c r="H2609" i="9"/>
  <c r="H2610" i="9"/>
  <c r="H2611" i="9"/>
  <c r="H2612" i="9"/>
  <c r="H2613" i="9"/>
  <c r="H2614" i="9"/>
  <c r="H2615" i="9"/>
  <c r="H2616" i="9"/>
  <c r="H2617" i="9"/>
  <c r="H2618" i="9"/>
  <c r="H2619" i="9"/>
  <c r="H2620" i="9"/>
  <c r="H2621" i="9"/>
  <c r="H2622" i="9"/>
  <c r="H2623" i="9"/>
  <c r="H2624" i="9"/>
  <c r="H2625" i="9"/>
  <c r="H2626" i="9"/>
  <c r="H2627" i="9"/>
  <c r="H2628" i="9"/>
  <c r="H2629" i="9"/>
  <c r="H2630" i="9"/>
  <c r="H2631" i="9"/>
  <c r="H2632" i="9"/>
  <c r="H2633" i="9"/>
  <c r="H2634" i="9"/>
  <c r="H2635" i="9"/>
  <c r="H2636" i="9"/>
  <c r="H2637" i="9"/>
  <c r="H2638" i="9"/>
  <c r="H2639" i="9"/>
  <c r="H2640" i="9"/>
  <c r="H2641" i="9"/>
  <c r="H2642" i="9"/>
  <c r="H2643" i="9"/>
  <c r="H2644" i="9"/>
  <c r="H2645" i="9"/>
  <c r="H2646" i="9"/>
  <c r="H2647" i="9"/>
  <c r="H2648" i="9"/>
  <c r="H2649" i="9"/>
  <c r="H2650" i="9"/>
  <c r="H2651" i="9"/>
  <c r="H2652" i="9"/>
  <c r="H2653" i="9"/>
  <c r="H2654" i="9"/>
  <c r="H2655" i="9"/>
  <c r="H2656" i="9"/>
  <c r="H2657" i="9"/>
  <c r="H2658" i="9"/>
  <c r="H2659" i="9"/>
  <c r="H2660" i="9"/>
  <c r="H2661" i="9"/>
  <c r="H2662" i="9"/>
  <c r="H2663" i="9"/>
  <c r="H2664" i="9"/>
  <c r="H2665" i="9"/>
  <c r="H2666" i="9"/>
  <c r="H2667" i="9"/>
  <c r="H2668" i="9"/>
  <c r="H2669" i="9"/>
  <c r="H2670" i="9"/>
  <c r="H2671" i="9"/>
  <c r="H2672" i="9"/>
  <c r="H2673" i="9"/>
  <c r="H2674" i="9"/>
  <c r="H2675" i="9"/>
  <c r="H2676" i="9"/>
  <c r="H2677" i="9"/>
  <c r="H2678" i="9"/>
  <c r="H2679" i="9"/>
  <c r="H2680" i="9"/>
  <c r="H2681" i="9"/>
  <c r="H2686" i="9"/>
  <c r="H2687" i="9"/>
  <c r="H2688" i="9"/>
  <c r="H2689" i="9"/>
  <c r="H2690" i="9"/>
  <c r="H2691" i="9"/>
  <c r="H2692" i="9"/>
  <c r="H2693" i="9"/>
  <c r="H2694" i="9"/>
  <c r="H2695" i="9"/>
  <c r="H2696" i="9"/>
  <c r="H2697" i="9"/>
  <c r="H2698" i="9"/>
  <c r="H2699" i="9"/>
  <c r="H2700" i="9"/>
  <c r="H2701" i="9"/>
  <c r="H2704" i="9"/>
  <c r="H2712" i="9"/>
  <c r="H2713" i="9"/>
  <c r="H2714" i="9"/>
  <c r="H2715" i="9"/>
  <c r="H2716" i="9"/>
  <c r="H2717" i="9"/>
  <c r="H2718" i="9"/>
  <c r="H2719" i="9"/>
  <c r="H2720" i="9"/>
  <c r="H2721" i="9"/>
  <c r="H2722" i="9"/>
  <c r="H2723" i="9"/>
  <c r="H2724" i="9"/>
  <c r="H2725" i="9"/>
  <c r="H2726" i="9"/>
  <c r="H2727" i="9"/>
  <c r="H2728" i="9"/>
  <c r="H2729" i="9"/>
  <c r="H2730" i="9"/>
  <c r="H2731" i="9"/>
  <c r="H2732" i="9"/>
  <c r="H2733" i="9"/>
  <c r="H2734" i="9"/>
  <c r="H2735" i="9"/>
  <c r="H2736" i="9"/>
  <c r="H2737" i="9"/>
  <c r="H2738" i="9"/>
  <c r="H2739" i="9"/>
  <c r="H2740" i="9"/>
  <c r="H2741" i="9"/>
  <c r="H2742" i="9"/>
  <c r="H2743" i="9"/>
  <c r="H2744" i="9"/>
  <c r="H2745" i="9"/>
  <c r="H2746" i="9"/>
  <c r="H2747" i="9"/>
  <c r="H2748" i="9"/>
  <c r="H2749" i="9"/>
  <c r="H2750" i="9"/>
  <c r="H2751" i="9"/>
  <c r="H2752" i="9"/>
  <c r="H2753" i="9"/>
  <c r="H2754" i="9"/>
  <c r="H2755" i="9"/>
  <c r="H2756" i="9"/>
  <c r="H2757" i="9"/>
  <c r="H2758" i="9"/>
  <c r="H2759" i="9"/>
  <c r="H2760" i="9"/>
  <c r="H2761" i="9"/>
  <c r="H2762" i="9"/>
  <c r="H2763" i="9"/>
  <c r="H2764" i="9"/>
  <c r="H2765" i="9"/>
  <c r="H2766" i="9"/>
  <c r="H2767" i="9"/>
  <c r="H2768" i="9"/>
  <c r="H2769" i="9"/>
  <c r="H2770" i="9"/>
  <c r="H2771" i="9"/>
  <c r="H2772" i="9"/>
  <c r="H2773" i="9"/>
  <c r="H2774" i="9"/>
  <c r="H2775" i="9"/>
  <c r="H2776" i="9"/>
  <c r="H2777" i="9"/>
  <c r="H2778" i="9"/>
  <c r="H2779" i="9"/>
  <c r="H2780" i="9"/>
  <c r="H2781" i="9"/>
  <c r="H2782" i="9"/>
  <c r="H2783" i="9"/>
  <c r="H2784" i="9"/>
  <c r="H2785" i="9"/>
  <c r="H2786" i="9"/>
  <c r="H2787" i="9"/>
  <c r="H2788" i="9"/>
  <c r="H2789" i="9"/>
  <c r="H2790" i="9"/>
  <c r="H2791" i="9"/>
  <c r="H2792" i="9"/>
  <c r="H2793" i="9"/>
  <c r="H2794" i="9"/>
  <c r="H2795" i="9"/>
  <c r="H2796" i="9"/>
  <c r="H2797" i="9"/>
  <c r="H2798" i="9"/>
  <c r="H2799" i="9"/>
  <c r="H2800" i="9"/>
  <c r="H2801" i="9"/>
  <c r="H2802" i="9"/>
  <c r="H2803" i="9"/>
  <c r="H2804" i="9"/>
  <c r="H2805" i="9"/>
  <c r="H2806" i="9"/>
  <c r="H2807" i="9"/>
  <c r="H2808" i="9"/>
  <c r="H2809" i="9"/>
  <c r="H2810" i="9"/>
  <c r="H2811" i="9"/>
  <c r="H2812" i="9"/>
  <c r="H2813" i="9"/>
  <c r="H2814" i="9"/>
  <c r="H2815" i="9"/>
  <c r="H2816" i="9"/>
  <c r="H2817" i="9"/>
  <c r="H2818" i="9"/>
  <c r="H2819" i="9"/>
  <c r="H2820" i="9"/>
  <c r="H2821" i="9"/>
  <c r="H2822" i="9"/>
  <c r="H2823" i="9"/>
  <c r="H2824" i="9"/>
  <c r="H2829" i="9"/>
  <c r="H2830" i="9"/>
  <c r="H2831" i="9"/>
  <c r="H2832" i="9"/>
  <c r="H2833" i="9"/>
  <c r="H2834" i="9"/>
  <c r="H2835" i="9"/>
  <c r="H2836" i="9"/>
  <c r="H2837" i="9"/>
  <c r="H2838" i="9"/>
  <c r="H2839" i="9"/>
  <c r="H2840" i="9"/>
  <c r="H2841" i="9"/>
  <c r="H2842" i="9"/>
  <c r="H2843" i="9"/>
  <c r="H2844" i="9"/>
  <c r="H2847" i="9"/>
  <c r="H2855" i="9"/>
  <c r="H3000" i="9"/>
  <c r="H3001" i="9"/>
  <c r="H3002" i="9"/>
  <c r="H3003" i="9"/>
  <c r="H3004" i="9"/>
  <c r="H3005" i="9"/>
  <c r="H3006" i="9"/>
  <c r="H3007" i="9"/>
  <c r="H3008" i="9"/>
  <c r="H3009" i="9"/>
  <c r="H3010" i="9"/>
  <c r="H3011" i="9"/>
  <c r="H3012" i="9"/>
  <c r="H3013" i="9"/>
  <c r="H3014" i="9"/>
  <c r="H3015" i="9"/>
  <c r="H3016" i="9"/>
  <c r="H3017" i="9"/>
  <c r="H3018" i="9"/>
  <c r="H3019" i="9"/>
  <c r="H3020" i="9"/>
  <c r="H3021" i="9"/>
  <c r="H3022" i="9"/>
  <c r="H3023" i="9"/>
  <c r="H3024" i="9"/>
  <c r="H3025" i="9"/>
  <c r="H3026" i="9"/>
  <c r="H3027" i="9"/>
  <c r="H3028" i="9"/>
  <c r="H3029" i="9"/>
  <c r="H3030" i="9"/>
  <c r="H3031" i="9"/>
  <c r="H3032" i="9"/>
  <c r="H3033" i="9"/>
  <c r="H3034" i="9"/>
  <c r="H3035" i="9"/>
  <c r="H3036" i="9"/>
  <c r="H3037" i="9"/>
  <c r="H3038" i="9"/>
  <c r="H3039" i="9"/>
  <c r="H3040" i="9"/>
  <c r="H3041" i="9"/>
  <c r="H3042" i="9"/>
  <c r="H3043" i="9"/>
  <c r="H3044" i="9"/>
  <c r="H3045" i="9"/>
  <c r="H3046" i="9"/>
  <c r="H3047" i="9"/>
  <c r="H3048" i="9"/>
  <c r="H3049" i="9"/>
  <c r="H3050" i="9"/>
  <c r="H3051" i="9"/>
  <c r="H3052" i="9"/>
  <c r="H3053" i="9"/>
  <c r="H3054" i="9"/>
  <c r="H3055" i="9"/>
  <c r="H3056" i="9"/>
  <c r="H3057" i="9"/>
  <c r="H3058" i="9"/>
  <c r="H3059" i="9"/>
  <c r="H3060" i="9"/>
  <c r="H3061" i="9"/>
  <c r="H3062" i="9"/>
  <c r="H3063" i="9"/>
  <c r="H3064" i="9"/>
  <c r="H3065" i="9"/>
  <c r="H3066" i="9"/>
  <c r="H3069" i="9"/>
  <c r="H3070" i="9"/>
  <c r="H3071" i="9"/>
  <c r="H3072" i="9"/>
  <c r="H3073" i="9"/>
  <c r="H3074" i="9"/>
  <c r="H3075" i="9"/>
  <c r="H3076" i="9"/>
  <c r="H3077" i="9"/>
  <c r="H3079" i="9"/>
  <c r="H3080" i="9"/>
  <c r="H3081" i="9"/>
  <c r="H3082" i="9"/>
  <c r="H3083" i="9"/>
  <c r="H3090" i="9"/>
  <c r="H3091" i="9"/>
  <c r="H3092" i="9"/>
  <c r="H3093" i="9"/>
  <c r="H3094" i="9"/>
  <c r="H3095" i="9"/>
  <c r="H3096" i="9"/>
  <c r="H3097" i="9"/>
  <c r="H3098" i="9"/>
  <c r="H3099" i="9"/>
  <c r="H3100" i="9"/>
  <c r="H3101" i="9"/>
  <c r="H3102" i="9"/>
  <c r="H3103" i="9"/>
  <c r="H3104" i="9"/>
  <c r="H3105" i="9"/>
  <c r="H3107" i="9"/>
  <c r="H3108" i="9"/>
  <c r="H3109" i="9"/>
  <c r="H3110" i="9"/>
  <c r="H3111" i="9"/>
  <c r="H3112" i="9"/>
  <c r="H3113" i="9"/>
  <c r="H3114" i="9"/>
  <c r="H3115" i="9"/>
  <c r="H3116" i="9"/>
  <c r="H3117" i="9"/>
  <c r="H3132" i="9"/>
  <c r="H3133" i="9"/>
  <c r="H3134" i="9"/>
  <c r="A5" i="11"/>
  <c r="A2" i="11"/>
  <c r="A1" i="11"/>
  <c r="I21" i="10"/>
  <c r="H21" i="10"/>
  <c r="I20" i="10"/>
  <c r="H20" i="10"/>
  <c r="I19" i="10"/>
  <c r="H19" i="10"/>
  <c r="I18" i="10"/>
  <c r="H18" i="10"/>
  <c r="I17" i="10"/>
  <c r="I16" i="10"/>
  <c r="I15" i="10"/>
  <c r="I14" i="10"/>
  <c r="I13" i="10"/>
  <c r="I12" i="10"/>
  <c r="I11" i="10"/>
  <c r="I10" i="10"/>
  <c r="I9" i="10"/>
  <c r="H9" i="10"/>
  <c r="I8" i="10"/>
  <c r="H8" i="10"/>
  <c r="I7" i="10"/>
  <c r="H7" i="10"/>
  <c r="I6" i="10"/>
  <c r="H6" i="10"/>
  <c r="I5" i="10"/>
  <c r="H5" i="10"/>
  <c r="I4" i="10"/>
  <c r="H4" i="10"/>
  <c r="A1" i="10"/>
  <c r="H131" i="9"/>
  <c r="H130" i="9"/>
  <c r="H129" i="9"/>
  <c r="H128" i="9"/>
  <c r="H123" i="9"/>
  <c r="H122" i="9"/>
  <c r="H121" i="9"/>
  <c r="H120" i="9"/>
  <c r="H119" i="9"/>
  <c r="H118" i="9"/>
  <c r="H117" i="9"/>
  <c r="H116" i="9"/>
  <c r="H115" i="9"/>
  <c r="H114" i="9"/>
  <c r="H113" i="9"/>
  <c r="H112" i="9"/>
  <c r="H111" i="9"/>
  <c r="H110" i="9"/>
  <c r="H109" i="9"/>
  <c r="H108" i="9"/>
  <c r="H107" i="9"/>
  <c r="H106" i="9"/>
  <c r="H105" i="9"/>
  <c r="H104" i="9"/>
  <c r="H103" i="9"/>
  <c r="H102" i="9"/>
  <c r="H101" i="9"/>
  <c r="H100" i="9"/>
  <c r="H99" i="9"/>
  <c r="H98" i="9"/>
  <c r="H97" i="9"/>
  <c r="H96" i="9"/>
  <c r="H95" i="9"/>
  <c r="H94" i="9"/>
  <c r="H93" i="9"/>
  <c r="H92" i="9"/>
  <c r="H91" i="9"/>
  <c r="H90" i="9"/>
  <c r="H89" i="9"/>
  <c r="H88" i="9"/>
  <c r="H87" i="9"/>
  <c r="H86" i="9"/>
  <c r="H85" i="9"/>
  <c r="H84" i="9"/>
  <c r="H83" i="9"/>
  <c r="H82" i="9"/>
  <c r="H81" i="9"/>
  <c r="H80" i="9"/>
  <c r="H79" i="9"/>
  <c r="H78" i="9"/>
  <c r="H77" i="9"/>
  <c r="H76" i="9"/>
  <c r="H75" i="9"/>
  <c r="H74" i="9"/>
  <c r="H73" i="9"/>
  <c r="H72" i="9"/>
  <c r="H71" i="9"/>
  <c r="H70" i="9"/>
  <c r="H69" i="9"/>
  <c r="H68" i="9"/>
  <c r="H67" i="9"/>
  <c r="H66" i="9"/>
  <c r="H65" i="9"/>
  <c r="H64" i="9"/>
  <c r="H63" i="9"/>
  <c r="H62" i="9"/>
  <c r="H61" i="9"/>
  <c r="H60" i="9"/>
  <c r="H59" i="9"/>
  <c r="H58" i="9"/>
  <c r="H57" i="9"/>
  <c r="H56" i="9"/>
  <c r="H55" i="9"/>
  <c r="H54" i="9"/>
  <c r="H53" i="9"/>
  <c r="H52" i="9"/>
  <c r="H51" i="9"/>
  <c r="H50" i="9"/>
  <c r="H49" i="9"/>
  <c r="H48" i="9"/>
  <c r="H47" i="9"/>
  <c r="H46" i="9"/>
  <c r="H45" i="9"/>
  <c r="H44" i="9"/>
  <c r="H43" i="9"/>
  <c r="H42" i="9"/>
  <c r="H41" i="9"/>
  <c r="H40" i="9"/>
  <c r="H39" i="9"/>
  <c r="H38" i="9"/>
  <c r="H37" i="9"/>
  <c r="H36" i="9"/>
  <c r="H35" i="9"/>
  <c r="H34" i="9"/>
  <c r="H33" i="9"/>
  <c r="H32" i="9"/>
  <c r="H31" i="9"/>
  <c r="H30" i="9"/>
  <c r="H29" i="9"/>
  <c r="H28" i="9"/>
  <c r="H27" i="9"/>
  <c r="H26" i="9"/>
  <c r="H25" i="9"/>
  <c r="H24" i="9"/>
  <c r="H23" i="9"/>
  <c r="H22" i="9"/>
  <c r="H21" i="9"/>
  <c r="H20" i="9"/>
  <c r="H19" i="9"/>
  <c r="H18" i="9"/>
  <c r="H17" i="9"/>
  <c r="H16" i="9"/>
  <c r="H15" i="9"/>
  <c r="H14" i="9"/>
  <c r="H13" i="9"/>
  <c r="H12" i="9"/>
  <c r="H11" i="9"/>
  <c r="H10" i="9"/>
  <c r="H9" i="9"/>
  <c r="H8" i="9"/>
  <c r="H7" i="9"/>
  <c r="H6" i="9"/>
  <c r="H5" i="9"/>
  <c r="A1" i="9"/>
  <c r="G71" i="8"/>
  <c r="G70" i="8"/>
  <c r="G69" i="8"/>
  <c r="G68" i="8"/>
  <c r="G67" i="8"/>
  <c r="G66" i="8"/>
  <c r="G65" i="8"/>
  <c r="G64" i="8"/>
  <c r="G61" i="8"/>
  <c r="G60" i="8"/>
  <c r="G59" i="8"/>
  <c r="G58" i="8"/>
  <c r="G57" i="8"/>
  <c r="G56" i="8"/>
  <c r="G55" i="8"/>
  <c r="G54" i="8"/>
  <c r="G53" i="8"/>
  <c r="G52" i="8"/>
  <c r="G51" i="8"/>
  <c r="G50" i="8"/>
  <c r="G49" i="8"/>
  <c r="G48" i="8"/>
  <c r="G47" i="8"/>
  <c r="G46" i="8"/>
  <c r="G45" i="8"/>
  <c r="G44" i="8"/>
  <c r="G43" i="8"/>
  <c r="G42" i="8"/>
  <c r="G38" i="8"/>
  <c r="G37" i="8"/>
  <c r="G36" i="8"/>
  <c r="G35" i="8"/>
  <c r="G34" i="8"/>
  <c r="G33" i="8"/>
  <c r="G32" i="8"/>
  <c r="G31" i="8"/>
  <c r="G30" i="8"/>
  <c r="G29" i="8"/>
  <c r="G28" i="8"/>
  <c r="G26" i="8"/>
  <c r="G25" i="8"/>
  <c r="G24" i="8"/>
  <c r="G23" i="8"/>
  <c r="G22" i="8"/>
  <c r="G21" i="8"/>
  <c r="G20" i="8"/>
  <c r="G19" i="8"/>
  <c r="G18" i="8"/>
  <c r="G17" i="8"/>
  <c r="G16" i="8"/>
  <c r="G15" i="8"/>
  <c r="G14" i="8"/>
  <c r="G13" i="8"/>
  <c r="G12" i="8"/>
  <c r="G11" i="8"/>
  <c r="G10" i="8"/>
  <c r="G9" i="8"/>
  <c r="G8" i="8"/>
  <c r="G7" i="8"/>
  <c r="G6" i="8"/>
  <c r="G5" i="8"/>
  <c r="G4" i="8"/>
  <c r="A1" i="8"/>
  <c r="AJ523" i="7"/>
  <c r="AI523" i="7"/>
  <c r="AG523" i="7"/>
  <c r="AD523" i="7"/>
  <c r="AC523" i="7"/>
  <c r="AA523" i="7"/>
  <c r="X523" i="7"/>
  <c r="W523" i="7"/>
  <c r="U523" i="7"/>
  <c r="R523" i="7"/>
  <c r="Q523" i="7"/>
  <c r="O523" i="7"/>
  <c r="L523" i="7"/>
  <c r="K523" i="7"/>
  <c r="I523" i="7"/>
  <c r="AN522" i="7"/>
  <c r="AM522" i="7"/>
  <c r="AL522" i="7"/>
  <c r="AK522" i="7"/>
  <c r="C522" i="7"/>
  <c r="B522" i="7"/>
  <c r="AN521" i="7"/>
  <c r="AM521" i="7"/>
  <c r="AL521" i="7"/>
  <c r="AK521" i="7"/>
  <c r="C521" i="7"/>
  <c r="B521" i="7"/>
  <c r="AN520" i="7"/>
  <c r="AM520" i="7"/>
  <c r="AL520" i="7"/>
  <c r="AK520" i="7"/>
  <c r="C520" i="7"/>
  <c r="B520" i="7"/>
  <c r="AN519" i="7"/>
  <c r="AM519" i="7"/>
  <c r="AL519" i="7"/>
  <c r="AK519" i="7"/>
  <c r="C519" i="7"/>
  <c r="B519" i="7"/>
  <c r="AN518" i="7"/>
  <c r="AM518" i="7"/>
  <c r="AL518" i="7"/>
  <c r="AK518" i="7"/>
  <c r="C518" i="7"/>
  <c r="B518" i="7"/>
  <c r="AN517" i="7"/>
  <c r="AM517" i="7"/>
  <c r="AL517" i="7"/>
  <c r="AK517" i="7"/>
  <c r="C517" i="7"/>
  <c r="B517" i="7"/>
  <c r="AN516" i="7"/>
  <c r="AM516" i="7"/>
  <c r="AL516" i="7"/>
  <c r="AK516" i="7"/>
  <c r="C516" i="7"/>
  <c r="B516" i="7"/>
  <c r="AL515" i="7"/>
  <c r="AK515" i="7"/>
  <c r="C515" i="7"/>
  <c r="B515" i="7"/>
  <c r="AL514" i="7"/>
  <c r="AK514" i="7"/>
  <c r="C514" i="7"/>
  <c r="B514" i="7"/>
  <c r="AL513" i="7"/>
  <c r="AK513" i="7"/>
  <c r="C513" i="7"/>
  <c r="B513" i="7"/>
  <c r="AQ507" i="7"/>
  <c r="AP507" i="7"/>
  <c r="AO507" i="7"/>
  <c r="AN506" i="7"/>
  <c r="AM506" i="7"/>
  <c r="AL506" i="7"/>
  <c r="AK506" i="7"/>
  <c r="C506" i="7"/>
  <c r="B506" i="7"/>
  <c r="AN505" i="7"/>
  <c r="AM505" i="7"/>
  <c r="AL505" i="7"/>
  <c r="AK505" i="7"/>
  <c r="C505" i="7"/>
  <c r="B505" i="7"/>
  <c r="AN504" i="7"/>
  <c r="AM504" i="7"/>
  <c r="AL504" i="7"/>
  <c r="AK504" i="7"/>
  <c r="C504" i="7"/>
  <c r="B504" i="7"/>
  <c r="AN503" i="7"/>
  <c r="AM503" i="7"/>
  <c r="AL503" i="7"/>
  <c r="AK503" i="7"/>
  <c r="C503" i="7"/>
  <c r="B503" i="7"/>
  <c r="AN502" i="7"/>
  <c r="AM502" i="7"/>
  <c r="AL502" i="7"/>
  <c r="AK502" i="7"/>
  <c r="C502" i="7"/>
  <c r="B502" i="7"/>
  <c r="AN501" i="7"/>
  <c r="AM501" i="7"/>
  <c r="AL501" i="7"/>
  <c r="AK501" i="7"/>
  <c r="C501" i="7"/>
  <c r="B501" i="7"/>
  <c r="AN500" i="7"/>
  <c r="AM500" i="7"/>
  <c r="AL500" i="7"/>
  <c r="AK500" i="7"/>
  <c r="C500" i="7"/>
  <c r="B500" i="7"/>
  <c r="AN499" i="7"/>
  <c r="AM499" i="7"/>
  <c r="AL499" i="7"/>
  <c r="AK499" i="7"/>
  <c r="C499" i="7"/>
  <c r="B499" i="7"/>
  <c r="AN498" i="7"/>
  <c r="AM498" i="7"/>
  <c r="AL498" i="7"/>
  <c r="AK498" i="7"/>
  <c r="C498" i="7"/>
  <c r="B498" i="7"/>
  <c r="AN497" i="7"/>
  <c r="AM497" i="7"/>
  <c r="AL497" i="7"/>
  <c r="AK497" i="7"/>
  <c r="C497" i="7"/>
  <c r="B497" i="7"/>
  <c r="AN496" i="7"/>
  <c r="AM496" i="7"/>
  <c r="AL496" i="7"/>
  <c r="AK496" i="7"/>
  <c r="C496" i="7"/>
  <c r="B496" i="7"/>
  <c r="AN495" i="7"/>
  <c r="AM495" i="7"/>
  <c r="AL495" i="7"/>
  <c r="AK495" i="7"/>
  <c r="C495" i="7"/>
  <c r="B495" i="7"/>
  <c r="AN494" i="7"/>
  <c r="AM494" i="7"/>
  <c r="AL494" i="7"/>
  <c r="AK494" i="7"/>
  <c r="C494" i="7"/>
  <c r="B494" i="7"/>
  <c r="AN493" i="7"/>
  <c r="AM493" i="7"/>
  <c r="AL493" i="7"/>
  <c r="AK493" i="7"/>
  <c r="C493" i="7"/>
  <c r="B493" i="7"/>
  <c r="AN492" i="7"/>
  <c r="AM492" i="7"/>
  <c r="AL492" i="7"/>
  <c r="AK492" i="7"/>
  <c r="C492" i="7"/>
  <c r="B492" i="7"/>
  <c r="AN491" i="7"/>
  <c r="AM491" i="7"/>
  <c r="AL491" i="7"/>
  <c r="AK491" i="7"/>
  <c r="C491" i="7"/>
  <c r="B491" i="7"/>
  <c r="AN490" i="7"/>
  <c r="AM490" i="7"/>
  <c r="AL490" i="7"/>
  <c r="AK490" i="7"/>
  <c r="C490" i="7"/>
  <c r="B490" i="7"/>
  <c r="AN489" i="7"/>
  <c r="AM489" i="7"/>
  <c r="AL489" i="7"/>
  <c r="AK489" i="7"/>
  <c r="C489" i="7"/>
  <c r="B489" i="7"/>
  <c r="AN488" i="7"/>
  <c r="AM488" i="7"/>
  <c r="AL488" i="7"/>
  <c r="AK488" i="7"/>
  <c r="C488" i="7"/>
  <c r="B488" i="7"/>
  <c r="AN487" i="7"/>
  <c r="AM487" i="7"/>
  <c r="AL487" i="7"/>
  <c r="AK487" i="7"/>
  <c r="C487" i="7"/>
  <c r="B487" i="7"/>
  <c r="AN486" i="7"/>
  <c r="AM486" i="7"/>
  <c r="AL486" i="7"/>
  <c r="AK486" i="7"/>
  <c r="C486" i="7"/>
  <c r="B486" i="7"/>
  <c r="AN485" i="7"/>
  <c r="AM485" i="7"/>
  <c r="AL485" i="7"/>
  <c r="AK485" i="7"/>
  <c r="C485" i="7"/>
  <c r="B485" i="7"/>
  <c r="AN484" i="7"/>
  <c r="AM484" i="7"/>
  <c r="AL484" i="7"/>
  <c r="AK484" i="7"/>
  <c r="C484" i="7"/>
  <c r="B484" i="7"/>
  <c r="AN483" i="7"/>
  <c r="AM483" i="7"/>
  <c r="AL483" i="7"/>
  <c r="AK483" i="7"/>
  <c r="C483" i="7"/>
  <c r="B483" i="7"/>
  <c r="AN482" i="7"/>
  <c r="AM482" i="7"/>
  <c r="AL482" i="7"/>
  <c r="AK482" i="7"/>
  <c r="C482" i="7"/>
  <c r="B482" i="7"/>
  <c r="AN481" i="7"/>
  <c r="AM481" i="7"/>
  <c r="AL481" i="7"/>
  <c r="AK481" i="7"/>
  <c r="C481" i="7"/>
  <c r="B481" i="7"/>
  <c r="AN480" i="7"/>
  <c r="AM480" i="7"/>
  <c r="AL480" i="7"/>
  <c r="AK480" i="7"/>
  <c r="C480" i="7"/>
  <c r="B480" i="7"/>
  <c r="AN479" i="7"/>
  <c r="AM479" i="7"/>
  <c r="AL479" i="7"/>
  <c r="AK479" i="7"/>
  <c r="C479" i="7"/>
  <c r="B479" i="7"/>
  <c r="AN478" i="7"/>
  <c r="AM478" i="7"/>
  <c r="AL478" i="7"/>
  <c r="AK478" i="7"/>
  <c r="C478" i="7"/>
  <c r="B478" i="7"/>
  <c r="AN477" i="7"/>
  <c r="AM477" i="7"/>
  <c r="AL477" i="7"/>
  <c r="AK477" i="7"/>
  <c r="C477" i="7"/>
  <c r="B477" i="7"/>
  <c r="AN476" i="7"/>
  <c r="AM476" i="7"/>
  <c r="AL476" i="7"/>
  <c r="AK476" i="7"/>
  <c r="C476" i="7"/>
  <c r="B476" i="7"/>
  <c r="AN475" i="7"/>
  <c r="AM475" i="7"/>
  <c r="AL475" i="7"/>
  <c r="AK475" i="7"/>
  <c r="C475" i="7"/>
  <c r="B475" i="7"/>
  <c r="AN474" i="7"/>
  <c r="AM474" i="7"/>
  <c r="AL474" i="7"/>
  <c r="AK474" i="7"/>
  <c r="C474" i="7"/>
  <c r="B474" i="7"/>
  <c r="AN473" i="7"/>
  <c r="AM473" i="7"/>
  <c r="AL473" i="7"/>
  <c r="AK473" i="7"/>
  <c r="C473" i="7"/>
  <c r="B473" i="7"/>
  <c r="AN472" i="7"/>
  <c r="AM472" i="7"/>
  <c r="AL472" i="7"/>
  <c r="AK472" i="7"/>
  <c r="C472" i="7"/>
  <c r="B472" i="7"/>
  <c r="AN471" i="7"/>
  <c r="AM471" i="7"/>
  <c r="AL471" i="7"/>
  <c r="AK471" i="7"/>
  <c r="C471" i="7"/>
  <c r="B471" i="7"/>
  <c r="AN470" i="7"/>
  <c r="AM470" i="7"/>
  <c r="AL470" i="7"/>
  <c r="AK470" i="7"/>
  <c r="C470" i="7"/>
  <c r="B470" i="7"/>
  <c r="AN469" i="7"/>
  <c r="AM469" i="7"/>
  <c r="AL469" i="7"/>
  <c r="AK469" i="7"/>
  <c r="C469" i="7"/>
  <c r="B469" i="7"/>
  <c r="AN468" i="7"/>
  <c r="AM468" i="7"/>
  <c r="AL468" i="7"/>
  <c r="AK468" i="7"/>
  <c r="C468" i="7"/>
  <c r="B468" i="7"/>
  <c r="AN467" i="7"/>
  <c r="AM467" i="7"/>
  <c r="AL467" i="7"/>
  <c r="AK467" i="7"/>
  <c r="C467" i="7"/>
  <c r="B467" i="7"/>
  <c r="AN466" i="7"/>
  <c r="AM466" i="7"/>
  <c r="AL466" i="7"/>
  <c r="AK466" i="7"/>
  <c r="C466" i="7"/>
  <c r="B466" i="7"/>
  <c r="AN465" i="7"/>
  <c r="AM465" i="7"/>
  <c r="AL465" i="7"/>
  <c r="AK465" i="7"/>
  <c r="C465" i="7"/>
  <c r="B465" i="7"/>
  <c r="AN464" i="7"/>
  <c r="AM464" i="7"/>
  <c r="AL464" i="7"/>
  <c r="AK464" i="7"/>
  <c r="C464" i="7"/>
  <c r="B464" i="7"/>
  <c r="AN463" i="7"/>
  <c r="AM463" i="7"/>
  <c r="AL463" i="7"/>
  <c r="AK463" i="7"/>
  <c r="C463" i="7"/>
  <c r="B463" i="7"/>
  <c r="AN462" i="7"/>
  <c r="AM462" i="7"/>
  <c r="AL462" i="7"/>
  <c r="AK462" i="7"/>
  <c r="C462" i="7"/>
  <c r="B462" i="7"/>
  <c r="AN461" i="7"/>
  <c r="AM461" i="7"/>
  <c r="AL461" i="7"/>
  <c r="AK461" i="7"/>
  <c r="C461" i="7"/>
  <c r="B461" i="7"/>
  <c r="AN460" i="7"/>
  <c r="AM460" i="7"/>
  <c r="AL460" i="7"/>
  <c r="AK460" i="7"/>
  <c r="C460" i="7"/>
  <c r="B460" i="7"/>
  <c r="AN459" i="7"/>
  <c r="AM459" i="7"/>
  <c r="AL459" i="7"/>
  <c r="AK459" i="7"/>
  <c r="C459" i="7"/>
  <c r="B459" i="7"/>
  <c r="AN458" i="7"/>
  <c r="AM458" i="7"/>
  <c r="AL458" i="7"/>
  <c r="AK458" i="7"/>
  <c r="C458" i="7"/>
  <c r="B458" i="7"/>
  <c r="AN457" i="7"/>
  <c r="AM457" i="7"/>
  <c r="AL457" i="7"/>
  <c r="AK457" i="7"/>
  <c r="C457" i="7"/>
  <c r="B457" i="7"/>
  <c r="AN456" i="7"/>
  <c r="AM456" i="7"/>
  <c r="AL456" i="7"/>
  <c r="AK456" i="7"/>
  <c r="C456" i="7"/>
  <c r="B456" i="7"/>
  <c r="AN455" i="7"/>
  <c r="AM455" i="7"/>
  <c r="AL455" i="7"/>
  <c r="AK455" i="7"/>
  <c r="C455" i="7"/>
  <c r="B455" i="7"/>
  <c r="AN454" i="7"/>
  <c r="AM454" i="7"/>
  <c r="AL454" i="7"/>
  <c r="AK454" i="7"/>
  <c r="C454" i="7"/>
  <c r="B454" i="7"/>
  <c r="AN453" i="7"/>
  <c r="AM453" i="7"/>
  <c r="AL453" i="7"/>
  <c r="AK453" i="7"/>
  <c r="C453" i="7"/>
  <c r="B453" i="7"/>
  <c r="AN452" i="7"/>
  <c r="AM452" i="7"/>
  <c r="AL452" i="7"/>
  <c r="AK452" i="7"/>
  <c r="C452" i="7"/>
  <c r="B452" i="7"/>
  <c r="AN451" i="7"/>
  <c r="AM451" i="7"/>
  <c r="AL451" i="7"/>
  <c r="AK451" i="7"/>
  <c r="C451" i="7"/>
  <c r="B451" i="7"/>
  <c r="AN450" i="7"/>
  <c r="AM450" i="7"/>
  <c r="AL450" i="7"/>
  <c r="AK450" i="7"/>
  <c r="C450" i="7"/>
  <c r="B450" i="7"/>
  <c r="AN449" i="7"/>
  <c r="AM449" i="7"/>
  <c r="AL449" i="7"/>
  <c r="AK449" i="7"/>
  <c r="C449" i="7"/>
  <c r="B449" i="7"/>
  <c r="AN448" i="7"/>
  <c r="AM448" i="7"/>
  <c r="AL448" i="7"/>
  <c r="AK448" i="7"/>
  <c r="C448" i="7"/>
  <c r="B448" i="7"/>
  <c r="AN447" i="7"/>
  <c r="AM447" i="7"/>
  <c r="AL447" i="7"/>
  <c r="AK447" i="7"/>
  <c r="C447" i="7"/>
  <c r="B447" i="7"/>
  <c r="AN446" i="7"/>
  <c r="AM446" i="7"/>
  <c r="AL446" i="7"/>
  <c r="AK446" i="7"/>
  <c r="C446" i="7"/>
  <c r="B446" i="7"/>
  <c r="AN445" i="7"/>
  <c r="AM445" i="7"/>
  <c r="AL445" i="7"/>
  <c r="AK445" i="7"/>
  <c r="C445" i="7"/>
  <c r="B445" i="7"/>
  <c r="AN444" i="7"/>
  <c r="AM444" i="7"/>
  <c r="AL444" i="7"/>
  <c r="AK444" i="7"/>
  <c r="C444" i="7"/>
  <c r="B444" i="7"/>
  <c r="AN443" i="7"/>
  <c r="AM443" i="7"/>
  <c r="AL443" i="7"/>
  <c r="AK443" i="7"/>
  <c r="C443" i="7"/>
  <c r="B443" i="7"/>
  <c r="AN442" i="7"/>
  <c r="AM442" i="7"/>
  <c r="AL442" i="7"/>
  <c r="AK442" i="7"/>
  <c r="C442" i="7"/>
  <c r="B442" i="7"/>
  <c r="AN441" i="7"/>
  <c r="AM441" i="7"/>
  <c r="AL441" i="7"/>
  <c r="AK441" i="7"/>
  <c r="C441" i="7"/>
  <c r="B441" i="7"/>
  <c r="AN440" i="7"/>
  <c r="AM440" i="7"/>
  <c r="AL440" i="7"/>
  <c r="AK440" i="7"/>
  <c r="C440" i="7"/>
  <c r="B440" i="7"/>
  <c r="AN439" i="7"/>
  <c r="AM439" i="7"/>
  <c r="AL439" i="7"/>
  <c r="AK439" i="7"/>
  <c r="C439" i="7"/>
  <c r="B439" i="7"/>
  <c r="AN438" i="7"/>
  <c r="AM438" i="7"/>
  <c r="AL438" i="7"/>
  <c r="AK438" i="7"/>
  <c r="C438" i="7"/>
  <c r="B438" i="7"/>
  <c r="AN437" i="7"/>
  <c r="AM437" i="7"/>
  <c r="AL437" i="7"/>
  <c r="AK437" i="7"/>
  <c r="C437" i="7"/>
  <c r="B437" i="7"/>
  <c r="AN436" i="7"/>
  <c r="AM436" i="7"/>
  <c r="AL436" i="7"/>
  <c r="AK436" i="7"/>
  <c r="C436" i="7"/>
  <c r="B436" i="7"/>
  <c r="AN435" i="7"/>
  <c r="AM435" i="7"/>
  <c r="AL435" i="7"/>
  <c r="AK435" i="7"/>
  <c r="C435" i="7"/>
  <c r="B435" i="7"/>
  <c r="AN434" i="7"/>
  <c r="AM434" i="7"/>
  <c r="AL434" i="7"/>
  <c r="AK434" i="7"/>
  <c r="C434" i="7"/>
  <c r="B434" i="7"/>
  <c r="AN433" i="7"/>
  <c r="AM433" i="7"/>
  <c r="AL433" i="7"/>
  <c r="AK433" i="7"/>
  <c r="C433" i="7"/>
  <c r="B433" i="7"/>
  <c r="AN432" i="7"/>
  <c r="AM432" i="7"/>
  <c r="AL432" i="7"/>
  <c r="AK432" i="7"/>
  <c r="C432" i="7"/>
  <c r="B432" i="7"/>
  <c r="AN431" i="7"/>
  <c r="AM431" i="7"/>
  <c r="AL431" i="7"/>
  <c r="AK431" i="7"/>
  <c r="C431" i="7"/>
  <c r="B431" i="7"/>
  <c r="AN430" i="7"/>
  <c r="AM430" i="7"/>
  <c r="AL430" i="7"/>
  <c r="AK430" i="7"/>
  <c r="C430" i="7"/>
  <c r="B430" i="7"/>
  <c r="AN429" i="7"/>
  <c r="AM429" i="7"/>
  <c r="AL429" i="7"/>
  <c r="AK429" i="7"/>
  <c r="C429" i="7"/>
  <c r="B429" i="7"/>
  <c r="AN428" i="7"/>
  <c r="AM428" i="7"/>
  <c r="AL428" i="7"/>
  <c r="AK428" i="7"/>
  <c r="C428" i="7"/>
  <c r="B428" i="7"/>
  <c r="AN427" i="7"/>
  <c r="AM427" i="7"/>
  <c r="AL427" i="7"/>
  <c r="AK427" i="7"/>
  <c r="C427" i="7"/>
  <c r="B427" i="7"/>
  <c r="AN426" i="7"/>
  <c r="AM426" i="7"/>
  <c r="AL426" i="7"/>
  <c r="AK426" i="7"/>
  <c r="C426" i="7"/>
  <c r="B426" i="7"/>
  <c r="AN425" i="7"/>
  <c r="AM425" i="7"/>
  <c r="AL425" i="7"/>
  <c r="AK425" i="7"/>
  <c r="C425" i="7"/>
  <c r="B425" i="7"/>
  <c r="AN424" i="7"/>
  <c r="AM424" i="7"/>
  <c r="AL424" i="7"/>
  <c r="AK424" i="7"/>
  <c r="C424" i="7"/>
  <c r="B424" i="7"/>
  <c r="AN423" i="7"/>
  <c r="AM423" i="7"/>
  <c r="AL423" i="7"/>
  <c r="AK423" i="7"/>
  <c r="C423" i="7"/>
  <c r="B423" i="7"/>
  <c r="AN422" i="7"/>
  <c r="AM422" i="7"/>
  <c r="AL422" i="7"/>
  <c r="AK422" i="7"/>
  <c r="C422" i="7"/>
  <c r="B422" i="7"/>
  <c r="AN421" i="7"/>
  <c r="AM421" i="7"/>
  <c r="AL421" i="7"/>
  <c r="AK421" i="7"/>
  <c r="C421" i="7"/>
  <c r="B421" i="7"/>
  <c r="AN420" i="7"/>
  <c r="AM420" i="7"/>
  <c r="AL420" i="7"/>
  <c r="AK420" i="7"/>
  <c r="C420" i="7"/>
  <c r="B420" i="7"/>
  <c r="AN419" i="7"/>
  <c r="AM419" i="7"/>
  <c r="AL419" i="7"/>
  <c r="AK419" i="7"/>
  <c r="C419" i="7"/>
  <c r="B419" i="7"/>
  <c r="AN418" i="7"/>
  <c r="AM418" i="7"/>
  <c r="AL418" i="7"/>
  <c r="AK418" i="7"/>
  <c r="C418" i="7"/>
  <c r="B418" i="7"/>
  <c r="AN417" i="7"/>
  <c r="AM417" i="7"/>
  <c r="AL417" i="7"/>
  <c r="AK417" i="7"/>
  <c r="C417" i="7"/>
  <c r="B417" i="7"/>
  <c r="AN416" i="7"/>
  <c r="AM416" i="7"/>
  <c r="AL416" i="7"/>
  <c r="AK416" i="7"/>
  <c r="C416" i="7"/>
  <c r="B416" i="7"/>
  <c r="AN415" i="7"/>
  <c r="AM415" i="7"/>
  <c r="AL415" i="7"/>
  <c r="AK415" i="7"/>
  <c r="C415" i="7"/>
  <c r="B415" i="7"/>
  <c r="AN414" i="7"/>
  <c r="AM414" i="7"/>
  <c r="AL414" i="7"/>
  <c r="AK414" i="7"/>
  <c r="C414" i="7"/>
  <c r="B414" i="7"/>
  <c r="AN413" i="7"/>
  <c r="AM413" i="7"/>
  <c r="AL413" i="7"/>
  <c r="AK413" i="7"/>
  <c r="C413" i="7"/>
  <c r="B413" i="7"/>
  <c r="AN412" i="7"/>
  <c r="AM412" i="7"/>
  <c r="AL412" i="7"/>
  <c r="AK412" i="7"/>
  <c r="C412" i="7"/>
  <c r="B412" i="7"/>
  <c r="AN411" i="7"/>
  <c r="AM411" i="7"/>
  <c r="AL411" i="7"/>
  <c r="AK411" i="7"/>
  <c r="C411" i="7"/>
  <c r="B411" i="7"/>
  <c r="AN410" i="7"/>
  <c r="AM410" i="7"/>
  <c r="AL410" i="7"/>
  <c r="AK410" i="7"/>
  <c r="C410" i="7"/>
  <c r="B410" i="7"/>
  <c r="AN409" i="7"/>
  <c r="AM409" i="7"/>
  <c r="AL409" i="7"/>
  <c r="AK409" i="7"/>
  <c r="C409" i="7"/>
  <c r="B409" i="7"/>
  <c r="AN408" i="7"/>
  <c r="AM408" i="7"/>
  <c r="AL408" i="7"/>
  <c r="AK408" i="7"/>
  <c r="C408" i="7"/>
  <c r="B408" i="7"/>
  <c r="AN407" i="7"/>
  <c r="AM407" i="7"/>
  <c r="AL407" i="7"/>
  <c r="AK407" i="7"/>
  <c r="C407" i="7"/>
  <c r="B407" i="7"/>
  <c r="AN406" i="7"/>
  <c r="AM406" i="7"/>
  <c r="AL406" i="7"/>
  <c r="AK406" i="7"/>
  <c r="C406" i="7"/>
  <c r="B406" i="7"/>
  <c r="AN405" i="7"/>
  <c r="AM405" i="7"/>
  <c r="AL405" i="7"/>
  <c r="AK405" i="7"/>
  <c r="C405" i="7"/>
  <c r="B405" i="7"/>
  <c r="AN404" i="7"/>
  <c r="AM404" i="7"/>
  <c r="AL404" i="7"/>
  <c r="AK404" i="7"/>
  <c r="C404" i="7"/>
  <c r="B404" i="7"/>
  <c r="AN403" i="7"/>
  <c r="AM403" i="7"/>
  <c r="AL403" i="7"/>
  <c r="AK403" i="7"/>
  <c r="C403" i="7"/>
  <c r="B403" i="7"/>
  <c r="AN402" i="7"/>
  <c r="AM402" i="7"/>
  <c r="AL402" i="7"/>
  <c r="AK402" i="7"/>
  <c r="C402" i="7"/>
  <c r="B402" i="7"/>
  <c r="AN401" i="7"/>
  <c r="AM401" i="7"/>
  <c r="AL401" i="7"/>
  <c r="AK401" i="7"/>
  <c r="C401" i="7"/>
  <c r="B401" i="7"/>
  <c r="AN400" i="7"/>
  <c r="AM400" i="7"/>
  <c r="AL400" i="7"/>
  <c r="AK400" i="7"/>
  <c r="C400" i="7"/>
  <c r="B400" i="7"/>
  <c r="AN399" i="7"/>
  <c r="AM399" i="7"/>
  <c r="AL399" i="7"/>
  <c r="AK399" i="7"/>
  <c r="C399" i="7"/>
  <c r="B399" i="7"/>
  <c r="AN398" i="7"/>
  <c r="AM398" i="7"/>
  <c r="AL398" i="7"/>
  <c r="AK398" i="7"/>
  <c r="C398" i="7"/>
  <c r="B398" i="7"/>
  <c r="AN397" i="7"/>
  <c r="AM397" i="7"/>
  <c r="AL397" i="7"/>
  <c r="AK397" i="7"/>
  <c r="C397" i="7"/>
  <c r="B397" i="7"/>
  <c r="AN396" i="7"/>
  <c r="AM396" i="7"/>
  <c r="AL396" i="7"/>
  <c r="AK396" i="7"/>
  <c r="C396" i="7"/>
  <c r="B396" i="7"/>
  <c r="AN395" i="7"/>
  <c r="AM395" i="7"/>
  <c r="AL395" i="7"/>
  <c r="AK395" i="7"/>
  <c r="C395" i="7"/>
  <c r="B395" i="7"/>
  <c r="AN394" i="7"/>
  <c r="AM394" i="7"/>
  <c r="AL394" i="7"/>
  <c r="AK394" i="7"/>
  <c r="C394" i="7"/>
  <c r="B394" i="7"/>
  <c r="AN393" i="7"/>
  <c r="AM393" i="7"/>
  <c r="AL393" i="7"/>
  <c r="AK393" i="7"/>
  <c r="C393" i="7"/>
  <c r="B393" i="7"/>
  <c r="AN392" i="7"/>
  <c r="AM392" i="7"/>
  <c r="AL392" i="7"/>
  <c r="AK392" i="7"/>
  <c r="C392" i="7"/>
  <c r="B392" i="7"/>
  <c r="AN391" i="7"/>
  <c r="AM391" i="7"/>
  <c r="AL391" i="7"/>
  <c r="AK391" i="7"/>
  <c r="C391" i="7"/>
  <c r="B391" i="7"/>
  <c r="AN390" i="7"/>
  <c r="AM390" i="7"/>
  <c r="AL390" i="7"/>
  <c r="AK390" i="7"/>
  <c r="C390" i="7"/>
  <c r="B390" i="7"/>
  <c r="AN389" i="7"/>
  <c r="AM389" i="7"/>
  <c r="AL389" i="7"/>
  <c r="AK389" i="7"/>
  <c r="C389" i="7"/>
  <c r="B389" i="7"/>
  <c r="AN388" i="7"/>
  <c r="AM388" i="7"/>
  <c r="AL388" i="7"/>
  <c r="AK388" i="7"/>
  <c r="C388" i="7"/>
  <c r="B388" i="7"/>
  <c r="AN387" i="7"/>
  <c r="AM387" i="7"/>
  <c r="AL387" i="7"/>
  <c r="AK387" i="7"/>
  <c r="C387" i="7"/>
  <c r="B387" i="7"/>
  <c r="AN386" i="7"/>
  <c r="AM386" i="7"/>
  <c r="AL386" i="7"/>
  <c r="AK386" i="7"/>
  <c r="C386" i="7"/>
  <c r="B386" i="7"/>
  <c r="AN385" i="7"/>
  <c r="AM385" i="7"/>
  <c r="AL385" i="7"/>
  <c r="AK385" i="7"/>
  <c r="C385" i="7"/>
  <c r="B385" i="7"/>
  <c r="AN384" i="7"/>
  <c r="AM384" i="7"/>
  <c r="AL384" i="7"/>
  <c r="AK384" i="7"/>
  <c r="C384" i="7"/>
  <c r="B384" i="7"/>
  <c r="AN383" i="7"/>
  <c r="AM383" i="7"/>
  <c r="AL383" i="7"/>
  <c r="AK383" i="7"/>
  <c r="C383" i="7"/>
  <c r="B383" i="7"/>
  <c r="AN382" i="7"/>
  <c r="AM382" i="7"/>
  <c r="AL382" i="7"/>
  <c r="AK382" i="7"/>
  <c r="C382" i="7"/>
  <c r="B382" i="7"/>
  <c r="AN381" i="7"/>
  <c r="AM381" i="7"/>
  <c r="AL381" i="7"/>
  <c r="AK381" i="7"/>
  <c r="C381" i="7"/>
  <c r="B381" i="7"/>
  <c r="AN380" i="7"/>
  <c r="AM380" i="7"/>
  <c r="AL380" i="7"/>
  <c r="AK380" i="7"/>
  <c r="C380" i="7"/>
  <c r="B380" i="7"/>
  <c r="AN379" i="7"/>
  <c r="AM379" i="7"/>
  <c r="AL379" i="7"/>
  <c r="AK379" i="7"/>
  <c r="C379" i="7"/>
  <c r="B379" i="7"/>
  <c r="AN378" i="7"/>
  <c r="AM378" i="7"/>
  <c r="AL378" i="7"/>
  <c r="AK378" i="7"/>
  <c r="C378" i="7"/>
  <c r="B378" i="7"/>
  <c r="AN377" i="7"/>
  <c r="AM377" i="7"/>
  <c r="AL377" i="7"/>
  <c r="AK377" i="7"/>
  <c r="C377" i="7"/>
  <c r="B377" i="7"/>
  <c r="AN376" i="7"/>
  <c r="AM376" i="7"/>
  <c r="AL376" i="7"/>
  <c r="AK376" i="7"/>
  <c r="C376" i="7"/>
  <c r="B376" i="7"/>
  <c r="AN375" i="7"/>
  <c r="AM375" i="7"/>
  <c r="AL375" i="7"/>
  <c r="AK375" i="7"/>
  <c r="C375" i="7"/>
  <c r="B375" i="7"/>
  <c r="AN374" i="7"/>
  <c r="AM374" i="7"/>
  <c r="AL374" i="7"/>
  <c r="AK374" i="7"/>
  <c r="C374" i="7"/>
  <c r="B374" i="7"/>
  <c r="AN373" i="7"/>
  <c r="AM373" i="7"/>
  <c r="AL373" i="7"/>
  <c r="AK373" i="7"/>
  <c r="C373" i="7"/>
  <c r="B373" i="7"/>
  <c r="AN372" i="7"/>
  <c r="AM372" i="7"/>
  <c r="AL372" i="7"/>
  <c r="AK372" i="7"/>
  <c r="C372" i="7"/>
  <c r="B372" i="7"/>
  <c r="AN371" i="7"/>
  <c r="AM371" i="7"/>
  <c r="AL371" i="7"/>
  <c r="AK371" i="7"/>
  <c r="C371" i="7"/>
  <c r="B371" i="7"/>
  <c r="AN370" i="7"/>
  <c r="AM370" i="7"/>
  <c r="AL370" i="7"/>
  <c r="AK370" i="7"/>
  <c r="C370" i="7"/>
  <c r="B370" i="7"/>
  <c r="AN369" i="7"/>
  <c r="AM369" i="7"/>
  <c r="AL369" i="7"/>
  <c r="AK369" i="7"/>
  <c r="C369" i="7"/>
  <c r="B369" i="7"/>
  <c r="AN368" i="7"/>
  <c r="AM368" i="7"/>
  <c r="AL368" i="7"/>
  <c r="AK368" i="7"/>
  <c r="C368" i="7"/>
  <c r="B368" i="7"/>
  <c r="AN367" i="7"/>
  <c r="AM367" i="7"/>
  <c r="AL367" i="7"/>
  <c r="AK367" i="7"/>
  <c r="C367" i="7"/>
  <c r="B367" i="7"/>
  <c r="AN366" i="7"/>
  <c r="AM366" i="7"/>
  <c r="AL366" i="7"/>
  <c r="AK366" i="7"/>
  <c r="C366" i="7"/>
  <c r="B366" i="7"/>
  <c r="AN365" i="7"/>
  <c r="AM365" i="7"/>
  <c r="AL365" i="7"/>
  <c r="AK365" i="7"/>
  <c r="C365" i="7"/>
  <c r="B365" i="7"/>
  <c r="AN364" i="7"/>
  <c r="AM364" i="7"/>
  <c r="AL364" i="7"/>
  <c r="AK364" i="7"/>
  <c r="C364" i="7"/>
  <c r="B364" i="7"/>
  <c r="AN363" i="7"/>
  <c r="AM363" i="7"/>
  <c r="AL363" i="7"/>
  <c r="AK363" i="7"/>
  <c r="C363" i="7"/>
  <c r="B363" i="7"/>
  <c r="AN362" i="7"/>
  <c r="AM362" i="7"/>
  <c r="AL362" i="7"/>
  <c r="AK362" i="7"/>
  <c r="C362" i="7"/>
  <c r="B362" i="7"/>
  <c r="AN361" i="7"/>
  <c r="AM361" i="7"/>
  <c r="AL361" i="7"/>
  <c r="AK361" i="7"/>
  <c r="C361" i="7"/>
  <c r="B361" i="7"/>
  <c r="AN360" i="7"/>
  <c r="AM360" i="7"/>
  <c r="AL360" i="7"/>
  <c r="AK360" i="7"/>
  <c r="C360" i="7"/>
  <c r="B360" i="7"/>
  <c r="AN359" i="7"/>
  <c r="AM359" i="7"/>
  <c r="AL359" i="7"/>
  <c r="AK359" i="7"/>
  <c r="C359" i="7"/>
  <c r="B359" i="7"/>
  <c r="AN358" i="7"/>
  <c r="AM358" i="7"/>
  <c r="AL358" i="7"/>
  <c r="AK358" i="7"/>
  <c r="C358" i="7"/>
  <c r="B358" i="7"/>
  <c r="AN357" i="7"/>
  <c r="AM357" i="7"/>
  <c r="AL357" i="7"/>
  <c r="AK357" i="7"/>
  <c r="C357" i="7"/>
  <c r="B357" i="7"/>
  <c r="AN356" i="7"/>
  <c r="AM356" i="7"/>
  <c r="AL356" i="7"/>
  <c r="AK356" i="7"/>
  <c r="C356" i="7"/>
  <c r="B356" i="7"/>
  <c r="AN355" i="7"/>
  <c r="AM355" i="7"/>
  <c r="AL355" i="7"/>
  <c r="AK355" i="7"/>
  <c r="C355" i="7"/>
  <c r="B355" i="7"/>
  <c r="AN354" i="7"/>
  <c r="AM354" i="7"/>
  <c r="AL354" i="7"/>
  <c r="AK354" i="7"/>
  <c r="C354" i="7"/>
  <c r="B354" i="7"/>
  <c r="AN353" i="7"/>
  <c r="AM353" i="7"/>
  <c r="AL353" i="7"/>
  <c r="AK353" i="7"/>
  <c r="C353" i="7"/>
  <c r="B353" i="7"/>
  <c r="AN352" i="7"/>
  <c r="AM352" i="7"/>
  <c r="AL352" i="7"/>
  <c r="AK352" i="7"/>
  <c r="C352" i="7"/>
  <c r="B352" i="7"/>
  <c r="AN351" i="7"/>
  <c r="AM351" i="7"/>
  <c r="AL351" i="7"/>
  <c r="AK351" i="7"/>
  <c r="C351" i="7"/>
  <c r="B351" i="7"/>
  <c r="AN350" i="7"/>
  <c r="AM350" i="7"/>
  <c r="AL350" i="7"/>
  <c r="AK350" i="7"/>
  <c r="C350" i="7"/>
  <c r="B350" i="7"/>
  <c r="AN349" i="7"/>
  <c r="AM349" i="7"/>
  <c r="AL349" i="7"/>
  <c r="AK349" i="7"/>
  <c r="C349" i="7"/>
  <c r="B349" i="7"/>
  <c r="AN348" i="7"/>
  <c r="AM348" i="7"/>
  <c r="AL348" i="7"/>
  <c r="AK348" i="7"/>
  <c r="C348" i="7"/>
  <c r="B348" i="7"/>
  <c r="AN347" i="7"/>
  <c r="AM347" i="7"/>
  <c r="AL347" i="7"/>
  <c r="AK347" i="7"/>
  <c r="C347" i="7"/>
  <c r="B347" i="7"/>
  <c r="AN346" i="7"/>
  <c r="AM346" i="7"/>
  <c r="AL346" i="7"/>
  <c r="AK346" i="7"/>
  <c r="C346" i="7"/>
  <c r="B346" i="7"/>
  <c r="AN345" i="7"/>
  <c r="AM345" i="7"/>
  <c r="AL345" i="7"/>
  <c r="AK345" i="7"/>
  <c r="C345" i="7"/>
  <c r="B345" i="7"/>
  <c r="AN344" i="7"/>
  <c r="AM344" i="7"/>
  <c r="AL344" i="7"/>
  <c r="AK344" i="7"/>
  <c r="C344" i="7"/>
  <c r="B344" i="7"/>
  <c r="AN343" i="7"/>
  <c r="AM343" i="7"/>
  <c r="AL343" i="7"/>
  <c r="AK343" i="7"/>
  <c r="C343" i="7"/>
  <c r="B343" i="7"/>
  <c r="AN342" i="7"/>
  <c r="AM342" i="7"/>
  <c r="AL342" i="7"/>
  <c r="AK342" i="7"/>
  <c r="C342" i="7"/>
  <c r="B342" i="7"/>
  <c r="AN341" i="7"/>
  <c r="AM341" i="7"/>
  <c r="AL341" i="7"/>
  <c r="AK341" i="7"/>
  <c r="C341" i="7"/>
  <c r="B341" i="7"/>
  <c r="AN340" i="7"/>
  <c r="AM340" i="7"/>
  <c r="AL340" i="7"/>
  <c r="AK340" i="7"/>
  <c r="C340" i="7"/>
  <c r="B340" i="7"/>
  <c r="AN339" i="7"/>
  <c r="AM339" i="7"/>
  <c r="AL339" i="7"/>
  <c r="AK339" i="7"/>
  <c r="C339" i="7"/>
  <c r="B339" i="7"/>
  <c r="AN338" i="7"/>
  <c r="AM338" i="7"/>
  <c r="AL338" i="7"/>
  <c r="AK338" i="7"/>
  <c r="C338" i="7"/>
  <c r="B338" i="7"/>
  <c r="AN337" i="7"/>
  <c r="AM337" i="7"/>
  <c r="AL337" i="7"/>
  <c r="AK337" i="7"/>
  <c r="C337" i="7"/>
  <c r="B337" i="7"/>
  <c r="AN336" i="7"/>
  <c r="AM336" i="7"/>
  <c r="AL336" i="7"/>
  <c r="AK336" i="7"/>
  <c r="C336" i="7"/>
  <c r="B336" i="7"/>
  <c r="AN335" i="7"/>
  <c r="AM335" i="7"/>
  <c r="AL335" i="7"/>
  <c r="AK335" i="7"/>
  <c r="C335" i="7"/>
  <c r="B335" i="7"/>
  <c r="AN334" i="7"/>
  <c r="AM334" i="7"/>
  <c r="AL334" i="7"/>
  <c r="AK334" i="7"/>
  <c r="C334" i="7"/>
  <c r="B334" i="7"/>
  <c r="AN333" i="7"/>
  <c r="AM333" i="7"/>
  <c r="AL333" i="7"/>
  <c r="AK333" i="7"/>
  <c r="C333" i="7"/>
  <c r="B333" i="7"/>
  <c r="AN332" i="7"/>
  <c r="AM332" i="7"/>
  <c r="AL332" i="7"/>
  <c r="AK332" i="7"/>
  <c r="C332" i="7"/>
  <c r="B332" i="7"/>
  <c r="AK331" i="7"/>
  <c r="C331" i="7"/>
  <c r="B331" i="7"/>
  <c r="AK330" i="7"/>
  <c r="C330" i="7"/>
  <c r="B330" i="7"/>
  <c r="AK329" i="7"/>
  <c r="C329" i="7"/>
  <c r="B329" i="7"/>
  <c r="AK328" i="7"/>
  <c r="C328" i="7"/>
  <c r="B328" i="7"/>
  <c r="AK327" i="7"/>
  <c r="C327" i="7"/>
  <c r="B327" i="7"/>
  <c r="AK326" i="7"/>
  <c r="C326" i="7"/>
  <c r="B326" i="7"/>
  <c r="AK325" i="7"/>
  <c r="C325" i="7"/>
  <c r="B325" i="7"/>
  <c r="AK324" i="7"/>
  <c r="C324" i="7"/>
  <c r="B324" i="7"/>
  <c r="AK323" i="7"/>
  <c r="C323" i="7"/>
  <c r="B323" i="7"/>
  <c r="AK322" i="7"/>
  <c r="C322" i="7"/>
  <c r="B322" i="7"/>
  <c r="AK321" i="7"/>
  <c r="C321" i="7"/>
  <c r="B321" i="7"/>
  <c r="AK320" i="7"/>
  <c r="C320" i="7"/>
  <c r="B320" i="7"/>
  <c r="AK319" i="7"/>
  <c r="C319" i="7"/>
  <c r="B319" i="7"/>
  <c r="AK318" i="7"/>
  <c r="C318" i="7"/>
  <c r="B318" i="7"/>
  <c r="AK317" i="7"/>
  <c r="C317" i="7"/>
  <c r="B317" i="7"/>
  <c r="AK316" i="7"/>
  <c r="C316" i="7"/>
  <c r="B316" i="7"/>
  <c r="AK315" i="7"/>
  <c r="C315" i="7"/>
  <c r="B315" i="7"/>
  <c r="AK314" i="7"/>
  <c r="C314" i="7"/>
  <c r="B314" i="7"/>
  <c r="AK313" i="7"/>
  <c r="C313" i="7"/>
  <c r="B313" i="7"/>
  <c r="AK312" i="7"/>
  <c r="C312" i="7"/>
  <c r="B312" i="7"/>
  <c r="AK311" i="7"/>
  <c r="C311" i="7"/>
  <c r="B311" i="7"/>
  <c r="AK310" i="7"/>
  <c r="C310" i="7"/>
  <c r="B310" i="7"/>
  <c r="AK309" i="7"/>
  <c r="C309" i="7"/>
  <c r="B309" i="7"/>
  <c r="AK308" i="7"/>
  <c r="C308" i="7"/>
  <c r="B308" i="7"/>
  <c r="AK307" i="7"/>
  <c r="C307" i="7"/>
  <c r="B307" i="7"/>
  <c r="AK306" i="7"/>
  <c r="C306" i="7"/>
  <c r="B306" i="7"/>
  <c r="AK305" i="7"/>
  <c r="C305" i="7"/>
  <c r="B305" i="7"/>
  <c r="AK304" i="7"/>
  <c r="C304" i="7"/>
  <c r="B304" i="7"/>
  <c r="AK303" i="7"/>
  <c r="C303" i="7"/>
  <c r="B303" i="7"/>
  <c r="AK302" i="7"/>
  <c r="C302" i="7"/>
  <c r="B302" i="7"/>
  <c r="AK301" i="7"/>
  <c r="C301" i="7"/>
  <c r="B301" i="7"/>
  <c r="AK300" i="7"/>
  <c r="C300" i="7"/>
  <c r="B300" i="7"/>
  <c r="AK299" i="7"/>
  <c r="C299" i="7"/>
  <c r="B299" i="7"/>
  <c r="AK298" i="7"/>
  <c r="C298" i="7"/>
  <c r="B298" i="7"/>
  <c r="AK297" i="7"/>
  <c r="C297" i="7"/>
  <c r="B297" i="7"/>
  <c r="AK296" i="7"/>
  <c r="C296" i="7"/>
  <c r="B296" i="7"/>
  <c r="AK295" i="7"/>
  <c r="C295" i="7"/>
  <c r="B295" i="7"/>
  <c r="AK294" i="7"/>
  <c r="C294" i="7"/>
  <c r="B294" i="7"/>
  <c r="AK293" i="7"/>
  <c r="C293" i="7"/>
  <c r="B293" i="7"/>
  <c r="AK292" i="7"/>
  <c r="C292" i="7"/>
  <c r="B292" i="7"/>
  <c r="AK291" i="7"/>
  <c r="C291" i="7"/>
  <c r="B291" i="7"/>
  <c r="AK290" i="7"/>
  <c r="C290" i="7"/>
  <c r="B290" i="7"/>
  <c r="AK289" i="7"/>
  <c r="C289" i="7"/>
  <c r="B289" i="7"/>
  <c r="AK288" i="7"/>
  <c r="C288" i="7"/>
  <c r="B288" i="7"/>
  <c r="AK287" i="7"/>
  <c r="C287" i="7"/>
  <c r="B287" i="7"/>
  <c r="AK286" i="7"/>
  <c r="C286" i="7"/>
  <c r="B286" i="7"/>
  <c r="AK285" i="7"/>
  <c r="C285" i="7"/>
  <c r="B285" i="7"/>
  <c r="AK284" i="7"/>
  <c r="C284" i="7"/>
  <c r="B284" i="7"/>
  <c r="AK283" i="7"/>
  <c r="C283" i="7"/>
  <c r="B283" i="7"/>
  <c r="AK282" i="7"/>
  <c r="C282" i="7"/>
  <c r="B282" i="7"/>
  <c r="AK281" i="7"/>
  <c r="C281" i="7"/>
  <c r="B281" i="7"/>
  <c r="AK280" i="7"/>
  <c r="C280" i="7"/>
  <c r="B280" i="7"/>
  <c r="AK279" i="7"/>
  <c r="C279" i="7"/>
  <c r="B279" i="7"/>
  <c r="AK278" i="7"/>
  <c r="C278" i="7"/>
  <c r="B278" i="7"/>
  <c r="AK277" i="7"/>
  <c r="C277" i="7"/>
  <c r="B277" i="7"/>
  <c r="AK276" i="7"/>
  <c r="C276" i="7"/>
  <c r="B276" i="7"/>
  <c r="AK275" i="7"/>
  <c r="C275" i="7"/>
  <c r="B275" i="7"/>
  <c r="AK274" i="7"/>
  <c r="C274" i="7"/>
  <c r="B274" i="7"/>
  <c r="AK273" i="7"/>
  <c r="C273" i="7"/>
  <c r="B273" i="7"/>
  <c r="AK272" i="7"/>
  <c r="C272" i="7"/>
  <c r="B272" i="7"/>
  <c r="AK271" i="7"/>
  <c r="C271" i="7"/>
  <c r="B271" i="7"/>
  <c r="AK270" i="7"/>
  <c r="C270" i="7"/>
  <c r="B270" i="7"/>
  <c r="AK269" i="7"/>
  <c r="C269" i="7"/>
  <c r="B269" i="7"/>
  <c r="AK268" i="7"/>
  <c r="C268" i="7"/>
  <c r="B268" i="7"/>
  <c r="AK267" i="7"/>
  <c r="C267" i="7"/>
  <c r="B267" i="7"/>
  <c r="AK266" i="7"/>
  <c r="C266" i="7"/>
  <c r="B266" i="7"/>
  <c r="AK265" i="7"/>
  <c r="C265" i="7"/>
  <c r="B265" i="7"/>
  <c r="AK264" i="7"/>
  <c r="C264" i="7"/>
  <c r="B264" i="7"/>
  <c r="AK263" i="7"/>
  <c r="C263" i="7"/>
  <c r="B263" i="7"/>
  <c r="AK262" i="7"/>
  <c r="C262" i="7"/>
  <c r="B262" i="7"/>
  <c r="AK261" i="7"/>
  <c r="C261" i="7"/>
  <c r="B261" i="7"/>
  <c r="AK260" i="7"/>
  <c r="C260" i="7"/>
  <c r="B260" i="7"/>
  <c r="AK259" i="7"/>
  <c r="C259" i="7"/>
  <c r="B259" i="7"/>
  <c r="AK258" i="7"/>
  <c r="C258" i="7"/>
  <c r="B258" i="7"/>
  <c r="AK257" i="7"/>
  <c r="C257" i="7"/>
  <c r="B257" i="7"/>
  <c r="AK256" i="7"/>
  <c r="C256" i="7"/>
  <c r="B256" i="7"/>
  <c r="AK255" i="7"/>
  <c r="C255" i="7"/>
  <c r="B255" i="7"/>
  <c r="AK254" i="7"/>
  <c r="C254" i="7"/>
  <c r="B254" i="7"/>
  <c r="AK253" i="7"/>
  <c r="C253" i="7"/>
  <c r="B253" i="7"/>
  <c r="AK252" i="7"/>
  <c r="C252" i="7"/>
  <c r="B252" i="7"/>
  <c r="AK251" i="7"/>
  <c r="C251" i="7"/>
  <c r="B251" i="7"/>
  <c r="AK250" i="7"/>
  <c r="C250" i="7"/>
  <c r="B250" i="7"/>
  <c r="AK249" i="7"/>
  <c r="C249" i="7"/>
  <c r="B249" i="7"/>
  <c r="AK248" i="7"/>
  <c r="C248" i="7"/>
  <c r="B248" i="7"/>
  <c r="AK247" i="7"/>
  <c r="C247" i="7"/>
  <c r="B247" i="7"/>
  <c r="AK246" i="7"/>
  <c r="C246" i="7"/>
  <c r="B246" i="7"/>
  <c r="AK245" i="7"/>
  <c r="C245" i="7"/>
  <c r="B245" i="7"/>
  <c r="AK244" i="7"/>
  <c r="C244" i="7"/>
  <c r="B244" i="7"/>
  <c r="AK243" i="7"/>
  <c r="C243" i="7"/>
  <c r="B243" i="7"/>
  <c r="AK242" i="7"/>
  <c r="C242" i="7"/>
  <c r="B242" i="7"/>
  <c r="AK241" i="7"/>
  <c r="C241" i="7"/>
  <c r="B241" i="7"/>
  <c r="AK240" i="7"/>
  <c r="C240" i="7"/>
  <c r="B240" i="7"/>
  <c r="AK239" i="7"/>
  <c r="C239" i="7"/>
  <c r="B239" i="7"/>
  <c r="AK238" i="7"/>
  <c r="C238" i="7"/>
  <c r="B238" i="7"/>
  <c r="AK237" i="7"/>
  <c r="C237" i="7"/>
  <c r="B237" i="7"/>
  <c r="AK236" i="7"/>
  <c r="C236" i="7"/>
  <c r="B236" i="7"/>
  <c r="AK235" i="7"/>
  <c r="C235" i="7"/>
  <c r="B235" i="7"/>
  <c r="AK234" i="7"/>
  <c r="C234" i="7"/>
  <c r="B234" i="7"/>
  <c r="AK233" i="7"/>
  <c r="C233" i="7"/>
  <c r="B233" i="7"/>
  <c r="AK232" i="7"/>
  <c r="C232" i="7"/>
  <c r="B232" i="7"/>
  <c r="AK231" i="7"/>
  <c r="C231" i="7"/>
  <c r="B231" i="7"/>
  <c r="AK230" i="7"/>
  <c r="C230" i="7"/>
  <c r="B230" i="7"/>
  <c r="AK229" i="7"/>
  <c r="C229" i="7"/>
  <c r="B229" i="7"/>
  <c r="AK228" i="7"/>
  <c r="C228" i="7"/>
  <c r="B228" i="7"/>
  <c r="AK227" i="7"/>
  <c r="C227" i="7"/>
  <c r="B227" i="7"/>
  <c r="AK226" i="7"/>
  <c r="C226" i="7"/>
  <c r="B226" i="7"/>
  <c r="AK225" i="7"/>
  <c r="C225" i="7"/>
  <c r="B225" i="7"/>
  <c r="AK224" i="7"/>
  <c r="C224" i="7"/>
  <c r="B224" i="7"/>
  <c r="AK223" i="7"/>
  <c r="C223" i="7"/>
  <c r="B223" i="7"/>
  <c r="AK222" i="7"/>
  <c r="C222" i="7"/>
  <c r="B222" i="7"/>
  <c r="AK221" i="7"/>
  <c r="C221" i="7"/>
  <c r="B221" i="7"/>
  <c r="AK220" i="7"/>
  <c r="C220" i="7"/>
  <c r="B220" i="7"/>
  <c r="AK219" i="7"/>
  <c r="C219" i="7"/>
  <c r="B219" i="7"/>
  <c r="AK218" i="7"/>
  <c r="C218" i="7"/>
  <c r="B218" i="7"/>
  <c r="AK217" i="7"/>
  <c r="C217" i="7"/>
  <c r="B217" i="7"/>
  <c r="AK216" i="7"/>
  <c r="C216" i="7"/>
  <c r="B216" i="7"/>
  <c r="AK215" i="7"/>
  <c r="C215" i="7"/>
  <c r="B215" i="7"/>
  <c r="AK214" i="7"/>
  <c r="C214" i="7"/>
  <c r="B214" i="7"/>
  <c r="AK213" i="7"/>
  <c r="C213" i="7"/>
  <c r="B213" i="7"/>
  <c r="AK212" i="7"/>
  <c r="C212" i="7"/>
  <c r="B212" i="7"/>
  <c r="AK211" i="7"/>
  <c r="C211" i="7"/>
  <c r="B211" i="7"/>
  <c r="AK210" i="7"/>
  <c r="C210" i="7"/>
  <c r="B210" i="7"/>
  <c r="AK209" i="7"/>
  <c r="C209" i="7"/>
  <c r="B209" i="7"/>
  <c r="AK208" i="7"/>
  <c r="C208" i="7"/>
  <c r="B208" i="7"/>
  <c r="AK207" i="7"/>
  <c r="C207" i="7"/>
  <c r="B207" i="7"/>
  <c r="AK206" i="7"/>
  <c r="C206" i="7"/>
  <c r="B206" i="7"/>
  <c r="AK205" i="7"/>
  <c r="C205" i="7"/>
  <c r="B205" i="7"/>
  <c r="AK204" i="7"/>
  <c r="C204" i="7"/>
  <c r="B204" i="7"/>
  <c r="AK203" i="7"/>
  <c r="C203" i="7"/>
  <c r="B203" i="7"/>
  <c r="AK202" i="7"/>
  <c r="C202" i="7"/>
  <c r="B202" i="7"/>
  <c r="AK201" i="7"/>
  <c r="C201" i="7"/>
  <c r="B201" i="7"/>
  <c r="AK200" i="7"/>
  <c r="C200" i="7"/>
  <c r="B200" i="7"/>
  <c r="AK199" i="7"/>
  <c r="C199" i="7"/>
  <c r="B199" i="7"/>
  <c r="AK198" i="7"/>
  <c r="C198" i="7"/>
  <c r="B198" i="7"/>
  <c r="AK197" i="7"/>
  <c r="C197" i="7"/>
  <c r="B197" i="7"/>
  <c r="AK196" i="7"/>
  <c r="C196" i="7"/>
  <c r="B196" i="7"/>
  <c r="AK195" i="7"/>
  <c r="C195" i="7"/>
  <c r="B195" i="7"/>
  <c r="AK194" i="7"/>
  <c r="C194" i="7"/>
  <c r="B194" i="7"/>
  <c r="AK193" i="7"/>
  <c r="C193" i="7"/>
  <c r="B193" i="7"/>
  <c r="AK192" i="7"/>
  <c r="C192" i="7"/>
  <c r="B192" i="7"/>
  <c r="AK191" i="7"/>
  <c r="C191" i="7"/>
  <c r="B191" i="7"/>
  <c r="AK190" i="7"/>
  <c r="C190" i="7"/>
  <c r="B190" i="7"/>
  <c r="AK189" i="7"/>
  <c r="C189" i="7"/>
  <c r="B189" i="7"/>
  <c r="AK188" i="7"/>
  <c r="C188" i="7"/>
  <c r="B188" i="7"/>
  <c r="AK187" i="7"/>
  <c r="C187" i="7"/>
  <c r="B187" i="7"/>
  <c r="AK186" i="7"/>
  <c r="C186" i="7"/>
  <c r="B186" i="7"/>
  <c r="AK185" i="7"/>
  <c r="C185" i="7"/>
  <c r="B185" i="7"/>
  <c r="AK184" i="7"/>
  <c r="C184" i="7"/>
  <c r="B184" i="7"/>
  <c r="AK183" i="7"/>
  <c r="C183" i="7"/>
  <c r="B183" i="7"/>
  <c r="AK182" i="7"/>
  <c r="C182" i="7"/>
  <c r="B182" i="7"/>
  <c r="AK181" i="7"/>
  <c r="C181" i="7"/>
  <c r="B181" i="7"/>
  <c r="AK180" i="7"/>
  <c r="C180" i="7"/>
  <c r="B180" i="7"/>
  <c r="AK179" i="7"/>
  <c r="C179" i="7"/>
  <c r="B179" i="7"/>
  <c r="AK178" i="7"/>
  <c r="C178" i="7"/>
  <c r="B178" i="7"/>
  <c r="AK177" i="7"/>
  <c r="C177" i="7"/>
  <c r="B177" i="7"/>
  <c r="AK176" i="7"/>
  <c r="C176" i="7"/>
  <c r="B176" i="7"/>
  <c r="AK175" i="7"/>
  <c r="C175" i="7"/>
  <c r="B175" i="7"/>
  <c r="AK174" i="7"/>
  <c r="C174" i="7"/>
  <c r="B174" i="7"/>
  <c r="AK173" i="7"/>
  <c r="C173" i="7"/>
  <c r="B173" i="7"/>
  <c r="AK172" i="7"/>
  <c r="C172" i="7"/>
  <c r="B172" i="7"/>
  <c r="AK171" i="7"/>
  <c r="C171" i="7"/>
  <c r="B171" i="7"/>
  <c r="AK170" i="7"/>
  <c r="C170" i="7"/>
  <c r="B170" i="7"/>
  <c r="AK169" i="7"/>
  <c r="C169" i="7"/>
  <c r="B169" i="7"/>
  <c r="AK168" i="7"/>
  <c r="C168" i="7"/>
  <c r="B168" i="7"/>
  <c r="AK167" i="7"/>
  <c r="C167" i="7"/>
  <c r="B167" i="7"/>
  <c r="AK166" i="7"/>
  <c r="C166" i="7"/>
  <c r="B166" i="7"/>
  <c r="AK165" i="7"/>
  <c r="C165" i="7"/>
  <c r="B165" i="7"/>
  <c r="AK164" i="7"/>
  <c r="C164" i="7"/>
  <c r="B164" i="7"/>
  <c r="AK163" i="7"/>
  <c r="C163" i="7"/>
  <c r="B163" i="7"/>
  <c r="AK162" i="7"/>
  <c r="C162" i="7"/>
  <c r="B162" i="7"/>
  <c r="AK161" i="7"/>
  <c r="C161" i="7"/>
  <c r="B161" i="7"/>
  <c r="AK160" i="7"/>
  <c r="C160" i="7"/>
  <c r="B160" i="7"/>
  <c r="AK159" i="7"/>
  <c r="C159" i="7"/>
  <c r="B159" i="7"/>
  <c r="AK158" i="7"/>
  <c r="C158" i="7"/>
  <c r="B158" i="7"/>
  <c r="AK157" i="7"/>
  <c r="C157" i="7"/>
  <c r="B157" i="7"/>
  <c r="AK156" i="7"/>
  <c r="C156" i="7"/>
  <c r="B156" i="7"/>
  <c r="AK155" i="7"/>
  <c r="C155" i="7"/>
  <c r="B155" i="7"/>
  <c r="AK154" i="7"/>
  <c r="C154" i="7"/>
  <c r="B154" i="7"/>
  <c r="AK153" i="7"/>
  <c r="C153" i="7"/>
  <c r="B153" i="7"/>
  <c r="AK152" i="7"/>
  <c r="C152" i="7"/>
  <c r="B152" i="7"/>
  <c r="AK151" i="7"/>
  <c r="C151" i="7"/>
  <c r="B151" i="7"/>
  <c r="AK150" i="7"/>
  <c r="C150" i="7"/>
  <c r="B150" i="7"/>
  <c r="AK149" i="7"/>
  <c r="C149" i="7"/>
  <c r="B149" i="7"/>
  <c r="AK148" i="7"/>
  <c r="C148" i="7"/>
  <c r="B148" i="7"/>
  <c r="AK147" i="7"/>
  <c r="C147" i="7"/>
  <c r="B147" i="7"/>
  <c r="AK146" i="7"/>
  <c r="C146" i="7"/>
  <c r="B146" i="7"/>
  <c r="AK145" i="7"/>
  <c r="C145" i="7"/>
  <c r="B145" i="7"/>
  <c r="AK144" i="7"/>
  <c r="C144" i="7"/>
  <c r="B144" i="7"/>
  <c r="AK143" i="7"/>
  <c r="C143" i="7"/>
  <c r="B143" i="7"/>
  <c r="AK142" i="7"/>
  <c r="C142" i="7"/>
  <c r="B142" i="7"/>
  <c r="AK141" i="7"/>
  <c r="C141" i="7"/>
  <c r="B141" i="7"/>
  <c r="AK140" i="7"/>
  <c r="C140" i="7"/>
  <c r="B140" i="7"/>
  <c r="AK139" i="7"/>
  <c r="C139" i="7"/>
  <c r="B139" i="7"/>
  <c r="AK138" i="7"/>
  <c r="C138" i="7"/>
  <c r="B138" i="7"/>
  <c r="AK137" i="7"/>
  <c r="C137" i="7"/>
  <c r="B137" i="7"/>
  <c r="AK136" i="7"/>
  <c r="C136" i="7"/>
  <c r="B136" i="7"/>
  <c r="AK135" i="7"/>
  <c r="C135" i="7"/>
  <c r="B135" i="7"/>
  <c r="AK134" i="7"/>
  <c r="C134" i="7"/>
  <c r="B134" i="7"/>
  <c r="AK133" i="7"/>
  <c r="C133" i="7"/>
  <c r="B133" i="7"/>
  <c r="AK132" i="7"/>
  <c r="C132" i="7"/>
  <c r="B132" i="7"/>
  <c r="AK131" i="7"/>
  <c r="C131" i="7"/>
  <c r="B131" i="7"/>
  <c r="AK130" i="7"/>
  <c r="C130" i="7"/>
  <c r="B130" i="7"/>
  <c r="AK129" i="7"/>
  <c r="C129" i="7"/>
  <c r="B129" i="7"/>
  <c r="AK128" i="7"/>
  <c r="C128" i="7"/>
  <c r="B128" i="7"/>
  <c r="AK127" i="7"/>
  <c r="C127" i="7"/>
  <c r="B127" i="7"/>
  <c r="AK126" i="7"/>
  <c r="C126" i="7"/>
  <c r="B126" i="7"/>
  <c r="AK125" i="7"/>
  <c r="C125" i="7"/>
  <c r="B125" i="7"/>
  <c r="AK124" i="7"/>
  <c r="C124" i="7"/>
  <c r="B124" i="7"/>
  <c r="AK123" i="7"/>
  <c r="C123" i="7"/>
  <c r="B123" i="7"/>
  <c r="AK122" i="7"/>
  <c r="C122" i="7"/>
  <c r="B122" i="7"/>
  <c r="AK121" i="7"/>
  <c r="C121" i="7"/>
  <c r="B121" i="7"/>
  <c r="AK120" i="7"/>
  <c r="C120" i="7"/>
  <c r="B120" i="7"/>
  <c r="AK119" i="7"/>
  <c r="C119" i="7"/>
  <c r="B119" i="7"/>
  <c r="AK118" i="7"/>
  <c r="C118" i="7"/>
  <c r="B118" i="7"/>
  <c r="AK117" i="7"/>
  <c r="C117" i="7"/>
  <c r="B117" i="7"/>
  <c r="AK116" i="7"/>
  <c r="C116" i="7"/>
  <c r="B116" i="7"/>
  <c r="AK115" i="7"/>
  <c r="C115" i="7"/>
  <c r="B115" i="7"/>
  <c r="AK114" i="7"/>
  <c r="C114" i="7"/>
  <c r="B114" i="7"/>
  <c r="AK113" i="7"/>
  <c r="C113" i="7"/>
  <c r="B113" i="7"/>
  <c r="AK112" i="7"/>
  <c r="C112" i="7"/>
  <c r="B112" i="7"/>
  <c r="AK111" i="7"/>
  <c r="C111" i="7"/>
  <c r="B111" i="7"/>
  <c r="AK110" i="7"/>
  <c r="C110" i="7"/>
  <c r="B110" i="7"/>
  <c r="AK109" i="7"/>
  <c r="C109" i="7"/>
  <c r="B109" i="7"/>
  <c r="AK108" i="7"/>
  <c r="C108" i="7"/>
  <c r="B108" i="7"/>
  <c r="AK107" i="7"/>
  <c r="C107" i="7"/>
  <c r="B107" i="7"/>
  <c r="AK106" i="7"/>
  <c r="C106" i="7"/>
  <c r="B106" i="7"/>
  <c r="AK105" i="7"/>
  <c r="C105" i="7"/>
  <c r="B105" i="7"/>
  <c r="AK104" i="7"/>
  <c r="C104" i="7"/>
  <c r="B104" i="7"/>
  <c r="AK103" i="7"/>
  <c r="C103" i="7"/>
  <c r="B103" i="7"/>
  <c r="AK102" i="7"/>
  <c r="C102" i="7"/>
  <c r="B102" i="7"/>
  <c r="AK101" i="7"/>
  <c r="C101" i="7"/>
  <c r="B101" i="7"/>
  <c r="AK100" i="7"/>
  <c r="C100" i="7"/>
  <c r="B100" i="7"/>
  <c r="AK99" i="7"/>
  <c r="C99" i="7"/>
  <c r="B99" i="7"/>
  <c r="AK98" i="7"/>
  <c r="C98" i="7"/>
  <c r="B98" i="7"/>
  <c r="AK97" i="7"/>
  <c r="C97" i="7"/>
  <c r="B97" i="7"/>
  <c r="AK96" i="7"/>
  <c r="C96" i="7"/>
  <c r="B96" i="7"/>
  <c r="AK95" i="7"/>
  <c r="C95" i="7"/>
  <c r="B95" i="7"/>
  <c r="AK94" i="7"/>
  <c r="C94" i="7"/>
  <c r="B94" i="7"/>
  <c r="AK93" i="7"/>
  <c r="C93" i="7"/>
  <c r="B93" i="7"/>
  <c r="AK92" i="7"/>
  <c r="C92" i="7"/>
  <c r="B92" i="7"/>
  <c r="AK91" i="7"/>
  <c r="C91" i="7"/>
  <c r="B91" i="7"/>
  <c r="AK90" i="7"/>
  <c r="C90" i="7"/>
  <c r="B90" i="7"/>
  <c r="AK89" i="7"/>
  <c r="C89" i="7"/>
  <c r="B89" i="7"/>
  <c r="AK88" i="7"/>
  <c r="C88" i="7"/>
  <c r="B88" i="7"/>
  <c r="AK87" i="7"/>
  <c r="C87" i="7"/>
  <c r="B87" i="7"/>
  <c r="AK86" i="7"/>
  <c r="C86" i="7"/>
  <c r="B86" i="7"/>
  <c r="AK85" i="7"/>
  <c r="C85" i="7"/>
  <c r="B85" i="7"/>
  <c r="AK84" i="7"/>
  <c r="C84" i="7"/>
  <c r="B84" i="7"/>
  <c r="AK83" i="7"/>
  <c r="C83" i="7"/>
  <c r="B83" i="7"/>
  <c r="AK82" i="7"/>
  <c r="C82" i="7"/>
  <c r="B82" i="7"/>
  <c r="AK81" i="7"/>
  <c r="C81" i="7"/>
  <c r="B81" i="7"/>
  <c r="AK80" i="7"/>
  <c r="C80" i="7"/>
  <c r="B80" i="7"/>
  <c r="AK79" i="7"/>
  <c r="C79" i="7"/>
  <c r="B79" i="7"/>
  <c r="AK78" i="7"/>
  <c r="C78" i="7"/>
  <c r="B78" i="7"/>
  <c r="AK77" i="7"/>
  <c r="C77" i="7"/>
  <c r="B77" i="7"/>
  <c r="AK76" i="7"/>
  <c r="C76" i="7"/>
  <c r="B76" i="7"/>
  <c r="AK75" i="7"/>
  <c r="C75" i="7"/>
  <c r="B75" i="7"/>
  <c r="AK74" i="7"/>
  <c r="C74" i="7"/>
  <c r="B74" i="7"/>
  <c r="AK73" i="7"/>
  <c r="C73" i="7"/>
  <c r="B73" i="7"/>
  <c r="AK72" i="7"/>
  <c r="C72" i="7"/>
  <c r="B72" i="7"/>
  <c r="AK71" i="7"/>
  <c r="C71" i="7"/>
  <c r="B71" i="7"/>
  <c r="AK70" i="7"/>
  <c r="C70" i="7"/>
  <c r="B70" i="7"/>
  <c r="AK69" i="7"/>
  <c r="C69" i="7"/>
  <c r="B69" i="7"/>
  <c r="AK68" i="7"/>
  <c r="C68" i="7"/>
  <c r="B68" i="7"/>
  <c r="AK67" i="7"/>
  <c r="C67" i="7"/>
  <c r="B67" i="7"/>
  <c r="AK66" i="7"/>
  <c r="C66" i="7"/>
  <c r="B66" i="7"/>
  <c r="AK65" i="7"/>
  <c r="C65" i="7"/>
  <c r="B65" i="7"/>
  <c r="AK64" i="7"/>
  <c r="C64" i="7"/>
  <c r="B64" i="7"/>
  <c r="AK63" i="7"/>
  <c r="C63" i="7"/>
  <c r="B63" i="7"/>
  <c r="AK62" i="7"/>
  <c r="C62" i="7"/>
  <c r="B62" i="7"/>
  <c r="AK61" i="7"/>
  <c r="C61" i="7"/>
  <c r="B61" i="7"/>
  <c r="AK60" i="7"/>
  <c r="C60" i="7"/>
  <c r="B60" i="7"/>
  <c r="AK59" i="7"/>
  <c r="C59" i="7"/>
  <c r="B59" i="7"/>
  <c r="AK58" i="7"/>
  <c r="C58" i="7"/>
  <c r="B58" i="7"/>
  <c r="AK57" i="7"/>
  <c r="C57" i="7"/>
  <c r="B57" i="7"/>
  <c r="AK56" i="7"/>
  <c r="C56" i="7"/>
  <c r="B56" i="7"/>
  <c r="AK55" i="7"/>
  <c r="C55" i="7"/>
  <c r="B55" i="7"/>
  <c r="AK54" i="7"/>
  <c r="C54" i="7"/>
  <c r="B54" i="7"/>
  <c r="AK53" i="7"/>
  <c r="C53" i="7"/>
  <c r="B53" i="7"/>
  <c r="AK52" i="7"/>
  <c r="C52" i="7"/>
  <c r="B52" i="7"/>
  <c r="AK51" i="7"/>
  <c r="C51" i="7"/>
  <c r="B51" i="7"/>
  <c r="AK50" i="7"/>
  <c r="C50" i="7"/>
  <c r="B50" i="7"/>
  <c r="AK49" i="7"/>
  <c r="C49" i="7"/>
  <c r="B49" i="7"/>
  <c r="AK48" i="7"/>
  <c r="C48" i="7"/>
  <c r="B48" i="7"/>
  <c r="AK47" i="7"/>
  <c r="C47" i="7"/>
  <c r="B47" i="7"/>
  <c r="AK46" i="7"/>
  <c r="C46" i="7"/>
  <c r="B46" i="7"/>
  <c r="AK45" i="7"/>
  <c r="C45" i="7"/>
  <c r="B45" i="7"/>
  <c r="AK44" i="7"/>
  <c r="C44" i="7"/>
  <c r="B44" i="7"/>
  <c r="AK43" i="7"/>
  <c r="C43" i="7"/>
  <c r="B43" i="7"/>
  <c r="AK42" i="7"/>
  <c r="C42" i="7"/>
  <c r="B42" i="7"/>
  <c r="AK41" i="7"/>
  <c r="C41" i="7"/>
  <c r="B41" i="7"/>
  <c r="AK40" i="7"/>
  <c r="C40" i="7"/>
  <c r="B40" i="7"/>
  <c r="AK39" i="7"/>
  <c r="C39" i="7"/>
  <c r="B39" i="7"/>
  <c r="AK38" i="7"/>
  <c r="C38" i="7"/>
  <c r="B38" i="7"/>
  <c r="AK37" i="7"/>
  <c r="C37" i="7"/>
  <c r="B37" i="7"/>
  <c r="AK36" i="7"/>
  <c r="C36" i="7"/>
  <c r="B36" i="7"/>
  <c r="AK35" i="7"/>
  <c r="C35" i="7"/>
  <c r="B35" i="7"/>
  <c r="AK34" i="7"/>
  <c r="C34" i="7"/>
  <c r="B34" i="7"/>
  <c r="AK33" i="7"/>
  <c r="C33" i="7"/>
  <c r="B33" i="7"/>
  <c r="AK32" i="7"/>
  <c r="C32" i="7"/>
  <c r="B32" i="7"/>
  <c r="AK31" i="7"/>
  <c r="C31" i="7"/>
  <c r="B31" i="7"/>
  <c r="AK30" i="7"/>
  <c r="C30" i="7"/>
  <c r="B30" i="7"/>
  <c r="AK29" i="7"/>
  <c r="C29" i="7"/>
  <c r="B29" i="7"/>
  <c r="AK28" i="7"/>
  <c r="C28" i="7"/>
  <c r="B28" i="7"/>
  <c r="AK27" i="7"/>
  <c r="C27" i="7"/>
  <c r="B27" i="7"/>
  <c r="AK26" i="7"/>
  <c r="C26" i="7"/>
  <c r="B26" i="7"/>
  <c r="AK25" i="7"/>
  <c r="C25" i="7"/>
  <c r="B25" i="7"/>
  <c r="AK24" i="7"/>
  <c r="C24" i="7"/>
  <c r="B24" i="7"/>
  <c r="AK23" i="7"/>
  <c r="C23" i="7"/>
  <c r="B23" i="7"/>
  <c r="AK22" i="7"/>
  <c r="C22" i="7"/>
  <c r="B22" i="7"/>
  <c r="AK21" i="7"/>
  <c r="C21" i="7"/>
  <c r="B21" i="7"/>
  <c r="AK20" i="7"/>
  <c r="C20" i="7"/>
  <c r="B20" i="7"/>
  <c r="AK19" i="7"/>
  <c r="C19" i="7"/>
  <c r="B19" i="7"/>
  <c r="AK18" i="7"/>
  <c r="C18" i="7"/>
  <c r="B18" i="7"/>
  <c r="AK17" i="7"/>
  <c r="C17" i="7"/>
  <c r="B17" i="7"/>
  <c r="AK16" i="7"/>
  <c r="C16" i="7"/>
  <c r="B16" i="7"/>
  <c r="AK15" i="7"/>
  <c r="C15" i="7"/>
  <c r="B15" i="7"/>
  <c r="AK14" i="7"/>
  <c r="C14" i="7"/>
  <c r="B14" i="7"/>
  <c r="AK13" i="7"/>
  <c r="C13" i="7"/>
  <c r="B13" i="7"/>
  <c r="AK12" i="7"/>
  <c r="C12" i="7"/>
  <c r="B12" i="7"/>
  <c r="AK11" i="7"/>
  <c r="C11" i="7"/>
  <c r="B11" i="7"/>
  <c r="AK10" i="7"/>
  <c r="C10" i="7"/>
  <c r="B10" i="7"/>
  <c r="AK9" i="7"/>
  <c r="C9" i="7"/>
  <c r="B9" i="7"/>
  <c r="AK8" i="7"/>
  <c r="C8" i="7"/>
  <c r="B8" i="7"/>
  <c r="AK7" i="7"/>
  <c r="C7" i="7"/>
  <c r="B7" i="7"/>
  <c r="A1" i="7"/>
  <c r="K522" i="6"/>
  <c r="J522" i="6"/>
  <c r="I522" i="6"/>
  <c r="H522" i="6"/>
  <c r="G522" i="6"/>
  <c r="F522" i="6"/>
  <c r="D522" i="6"/>
  <c r="C522" i="6"/>
  <c r="L521" i="6"/>
  <c r="E521" i="6"/>
  <c r="L520" i="6"/>
  <c r="E520" i="6"/>
  <c r="L519" i="6"/>
  <c r="E519" i="6"/>
  <c r="L518" i="6"/>
  <c r="E518" i="6"/>
  <c r="L517" i="6"/>
  <c r="E517" i="6"/>
  <c r="L516" i="6"/>
  <c r="E516" i="6"/>
  <c r="L515" i="6"/>
  <c r="E515" i="6"/>
  <c r="L514" i="6"/>
  <c r="AM515" i="7"/>
  <c r="E514" i="6"/>
  <c r="L513" i="6"/>
  <c r="AM514" i="7"/>
  <c r="E513" i="6"/>
  <c r="L512" i="6"/>
  <c r="AM513" i="7" s="1"/>
  <c r="E512" i="6"/>
  <c r="AB506" i="6"/>
  <c r="AA506" i="6"/>
  <c r="Z506" i="6"/>
  <c r="Y506" i="6"/>
  <c r="X506" i="6"/>
  <c r="W506" i="6"/>
  <c r="V506" i="6"/>
  <c r="S506" i="6"/>
  <c r="D506" i="6"/>
  <c r="AC505" i="6"/>
  <c r="E505" i="6"/>
  <c r="AC504" i="6"/>
  <c r="E504" i="6"/>
  <c r="K504" i="6" s="1"/>
  <c r="L504" i="6" s="1"/>
  <c r="AC503" i="6"/>
  <c r="E503" i="6"/>
  <c r="AC502" i="6"/>
  <c r="E502" i="6"/>
  <c r="J502" i="6" s="1"/>
  <c r="AC501" i="6"/>
  <c r="E501" i="6"/>
  <c r="K501" i="6" s="1"/>
  <c r="L501" i="6" s="1"/>
  <c r="AC500" i="6"/>
  <c r="E500" i="6"/>
  <c r="M500" i="6" s="1"/>
  <c r="AC499" i="6"/>
  <c r="E499" i="6"/>
  <c r="M499" i="6" s="1"/>
  <c r="AC498" i="6"/>
  <c r="E498" i="6"/>
  <c r="AC497" i="6"/>
  <c r="E497" i="6"/>
  <c r="M497" i="6" s="1"/>
  <c r="AC496" i="6"/>
  <c r="E496" i="6"/>
  <c r="AC495" i="6"/>
  <c r="E495" i="6"/>
  <c r="AC494" i="6"/>
  <c r="E494" i="6"/>
  <c r="J494" i="6" s="1"/>
  <c r="AC493" i="6"/>
  <c r="E493" i="6"/>
  <c r="J493" i="6" s="1"/>
  <c r="AC492" i="6"/>
  <c r="E492" i="6"/>
  <c r="K492" i="6" s="1"/>
  <c r="L492" i="6" s="1"/>
  <c r="AC491" i="6"/>
  <c r="E491" i="6"/>
  <c r="M491" i="6" s="1"/>
  <c r="AC490" i="6"/>
  <c r="E490" i="6"/>
  <c r="M490" i="6" s="1"/>
  <c r="AC489" i="6"/>
  <c r="E489" i="6"/>
  <c r="J489" i="6" s="1"/>
  <c r="AC488" i="6"/>
  <c r="E488" i="6"/>
  <c r="AC487" i="6"/>
  <c r="E487" i="6"/>
  <c r="K487" i="6" s="1"/>
  <c r="L487" i="6" s="1"/>
  <c r="AC486" i="6"/>
  <c r="E486" i="6"/>
  <c r="J486" i="6" s="1"/>
  <c r="AC485" i="6"/>
  <c r="E485" i="6"/>
  <c r="K485" i="6" s="1"/>
  <c r="L485" i="6" s="1"/>
  <c r="AC484" i="6"/>
  <c r="E484" i="6"/>
  <c r="J484" i="6" s="1"/>
  <c r="AC483" i="6"/>
  <c r="E483" i="6"/>
  <c r="K483" i="6" s="1"/>
  <c r="L483" i="6" s="1"/>
  <c r="AC482" i="6"/>
  <c r="E482" i="6"/>
  <c r="M482" i="6" s="1"/>
  <c r="AC481" i="6"/>
  <c r="E481" i="6"/>
  <c r="AC480" i="6"/>
  <c r="E480" i="6"/>
  <c r="M480" i="6" s="1"/>
  <c r="AC479" i="6"/>
  <c r="E479" i="6"/>
  <c r="K479" i="6" s="1"/>
  <c r="L479" i="6" s="1"/>
  <c r="AC478" i="6"/>
  <c r="E478" i="6"/>
  <c r="M478" i="6" s="1"/>
  <c r="AC477" i="6"/>
  <c r="E477" i="6"/>
  <c r="M477" i="6" s="1"/>
  <c r="AC476" i="6"/>
  <c r="E476" i="6"/>
  <c r="J476" i="6" s="1"/>
  <c r="AC475" i="6"/>
  <c r="E475" i="6"/>
  <c r="J475" i="6" s="1"/>
  <c r="AC474" i="6"/>
  <c r="E474" i="6"/>
  <c r="M474" i="6" s="1"/>
  <c r="AC473" i="6"/>
  <c r="E473" i="6"/>
  <c r="AC472" i="6"/>
  <c r="E472" i="6"/>
  <c r="J472" i="6" s="1"/>
  <c r="AC471" i="6"/>
  <c r="E471" i="6"/>
  <c r="K471" i="6" s="1"/>
  <c r="L471" i="6" s="1"/>
  <c r="AC470" i="6"/>
  <c r="E470" i="6"/>
  <c r="K470" i="6" s="1"/>
  <c r="L470" i="6" s="1"/>
  <c r="AC469" i="6"/>
  <c r="E469" i="6"/>
  <c r="AC468" i="6"/>
  <c r="E468" i="6"/>
  <c r="J468" i="6" s="1"/>
  <c r="AC467" i="6"/>
  <c r="E467" i="6"/>
  <c r="K467" i="6" s="1"/>
  <c r="L467" i="6" s="1"/>
  <c r="AC466" i="6"/>
  <c r="E466" i="6"/>
  <c r="J466" i="6" s="1"/>
  <c r="AC465" i="6"/>
  <c r="E465" i="6"/>
  <c r="J465" i="6" s="1"/>
  <c r="AC464" i="6"/>
  <c r="E464" i="6"/>
  <c r="K464" i="6" s="1"/>
  <c r="L464" i="6" s="1"/>
  <c r="AC463" i="6"/>
  <c r="E463" i="6"/>
  <c r="K463" i="6" s="1"/>
  <c r="L463" i="6" s="1"/>
  <c r="AC462" i="6"/>
  <c r="E462" i="6"/>
  <c r="K462" i="6" s="1"/>
  <c r="L462" i="6" s="1"/>
  <c r="AC461" i="6"/>
  <c r="E461" i="6"/>
  <c r="J461" i="6" s="1"/>
  <c r="AC460" i="6"/>
  <c r="E460" i="6"/>
  <c r="J460" i="6" s="1"/>
  <c r="AC459" i="6"/>
  <c r="E459" i="6"/>
  <c r="K459" i="6" s="1"/>
  <c r="L459" i="6" s="1"/>
  <c r="AC458" i="6"/>
  <c r="E458" i="6"/>
  <c r="J458" i="6" s="1"/>
  <c r="AC457" i="6"/>
  <c r="E457" i="6"/>
  <c r="AC456" i="6"/>
  <c r="E456" i="6"/>
  <c r="K456" i="6" s="1"/>
  <c r="L456" i="6" s="1"/>
  <c r="AC455" i="6"/>
  <c r="E455" i="6"/>
  <c r="M455" i="6" s="1"/>
  <c r="AC454" i="6"/>
  <c r="E454" i="6"/>
  <c r="M454" i="6" s="1"/>
  <c r="AC453" i="6"/>
  <c r="E453" i="6"/>
  <c r="K453" i="6" s="1"/>
  <c r="L453" i="6" s="1"/>
  <c r="AC452" i="6"/>
  <c r="E452" i="6"/>
  <c r="K452" i="6" s="1"/>
  <c r="L452" i="6" s="1"/>
  <c r="AC451" i="6"/>
  <c r="E451" i="6"/>
  <c r="J451" i="6" s="1"/>
  <c r="AC450" i="6"/>
  <c r="E450" i="6"/>
  <c r="M450" i="6" s="1"/>
  <c r="AC449" i="6"/>
  <c r="E449" i="6"/>
  <c r="AC448" i="6"/>
  <c r="E448" i="6"/>
  <c r="K448" i="6" s="1"/>
  <c r="L448" i="6" s="1"/>
  <c r="AC447" i="6"/>
  <c r="E447" i="6"/>
  <c r="AC446" i="6"/>
  <c r="E446" i="6"/>
  <c r="M446" i="6" s="1"/>
  <c r="AC445" i="6"/>
  <c r="E445" i="6"/>
  <c r="K445" i="6" s="1"/>
  <c r="L445" i="6" s="1"/>
  <c r="AC444" i="6"/>
  <c r="E444" i="6"/>
  <c r="J444" i="6" s="1"/>
  <c r="AC443" i="6"/>
  <c r="E443" i="6"/>
  <c r="M443" i="6" s="1"/>
  <c r="AC442" i="6"/>
  <c r="E442" i="6"/>
  <c r="M442" i="6" s="1"/>
  <c r="AC441" i="6"/>
  <c r="E441" i="6"/>
  <c r="M441" i="6" s="1"/>
  <c r="AC440" i="6"/>
  <c r="E440" i="6"/>
  <c r="K440" i="6" s="1"/>
  <c r="L440" i="6" s="1"/>
  <c r="AC439" i="6"/>
  <c r="E439" i="6"/>
  <c r="K439" i="6" s="1"/>
  <c r="L439" i="6" s="1"/>
  <c r="AC438" i="6"/>
  <c r="E438" i="6"/>
  <c r="J438" i="6" s="1"/>
  <c r="AC437" i="6"/>
  <c r="E437" i="6"/>
  <c r="AC436" i="6"/>
  <c r="E436" i="6"/>
  <c r="AC435" i="6"/>
  <c r="E435" i="6"/>
  <c r="M435" i="6" s="1"/>
  <c r="AC434" i="6"/>
  <c r="E434" i="6"/>
  <c r="M434" i="6" s="1"/>
  <c r="AC433" i="6"/>
  <c r="E433" i="6"/>
  <c r="M433" i="6" s="1"/>
  <c r="AC432" i="6"/>
  <c r="E432" i="6"/>
  <c r="M432" i="6" s="1"/>
  <c r="AC431" i="6"/>
  <c r="E431" i="6"/>
  <c r="J431" i="6" s="1"/>
  <c r="AC430" i="6"/>
  <c r="E430" i="6"/>
  <c r="J430" i="6" s="1"/>
  <c r="AC429" i="6"/>
  <c r="E429" i="6"/>
  <c r="K429" i="6" s="1"/>
  <c r="L429" i="6" s="1"/>
  <c r="AC428" i="6"/>
  <c r="E428" i="6"/>
  <c r="AC427" i="6"/>
  <c r="E427" i="6"/>
  <c r="AC426" i="6"/>
  <c r="E426" i="6"/>
  <c r="M426" i="6" s="1"/>
  <c r="AC425" i="6"/>
  <c r="E425" i="6"/>
  <c r="J425" i="6" s="1"/>
  <c r="AC424" i="6"/>
  <c r="E424" i="6"/>
  <c r="AC423" i="6"/>
  <c r="E423" i="6"/>
  <c r="AC422" i="6"/>
  <c r="E422" i="6"/>
  <c r="M422" i="6" s="1"/>
  <c r="AC421" i="6"/>
  <c r="E421" i="6"/>
  <c r="J421" i="6" s="1"/>
  <c r="AC420" i="6"/>
  <c r="E420" i="6"/>
  <c r="M420" i="6" s="1"/>
  <c r="AC419" i="6"/>
  <c r="E419" i="6"/>
  <c r="K419" i="6" s="1"/>
  <c r="L419" i="6" s="1"/>
  <c r="AC418" i="6"/>
  <c r="E418" i="6"/>
  <c r="AC417" i="6"/>
  <c r="E417" i="6"/>
  <c r="M417" i="6" s="1"/>
  <c r="AC416" i="6"/>
  <c r="E416" i="6"/>
  <c r="J416" i="6" s="1"/>
  <c r="AC415" i="6"/>
  <c r="E415" i="6"/>
  <c r="J415" i="6" s="1"/>
  <c r="AC414" i="6"/>
  <c r="E414" i="6"/>
  <c r="J414" i="6" s="1"/>
  <c r="AC413" i="6"/>
  <c r="E413" i="6"/>
  <c r="K413" i="6" s="1"/>
  <c r="L413" i="6" s="1"/>
  <c r="AC412" i="6"/>
  <c r="E412" i="6"/>
  <c r="M412" i="6" s="1"/>
  <c r="AC411" i="6"/>
  <c r="E411" i="6"/>
  <c r="K411" i="6" s="1"/>
  <c r="L411" i="6" s="1"/>
  <c r="AC410" i="6"/>
  <c r="E410" i="6"/>
  <c r="M410" i="6" s="1"/>
  <c r="AC409" i="6"/>
  <c r="E409" i="6"/>
  <c r="J409" i="6" s="1"/>
  <c r="AC408" i="6"/>
  <c r="E408" i="6"/>
  <c r="AC407" i="6"/>
  <c r="E407" i="6"/>
  <c r="M407" i="6" s="1"/>
  <c r="AC406" i="6"/>
  <c r="E406" i="6"/>
  <c r="K406" i="6" s="1"/>
  <c r="L406" i="6" s="1"/>
  <c r="AC405" i="6"/>
  <c r="E405" i="6"/>
  <c r="J405" i="6" s="1"/>
  <c r="AC404" i="6"/>
  <c r="E404" i="6"/>
  <c r="M404" i="6" s="1"/>
  <c r="AC403" i="6"/>
  <c r="E403" i="6"/>
  <c r="M403" i="6" s="1"/>
  <c r="AC402" i="6"/>
  <c r="E402" i="6"/>
  <c r="M402" i="6" s="1"/>
  <c r="AC401" i="6"/>
  <c r="E401" i="6"/>
  <c r="K401" i="6" s="1"/>
  <c r="L401" i="6" s="1"/>
  <c r="AC400" i="6"/>
  <c r="E400" i="6"/>
  <c r="M400" i="6" s="1"/>
  <c r="AC399" i="6"/>
  <c r="E399" i="6"/>
  <c r="K399" i="6" s="1"/>
  <c r="L399" i="6" s="1"/>
  <c r="AC398" i="6"/>
  <c r="E398" i="6"/>
  <c r="AC397" i="6"/>
  <c r="E397" i="6"/>
  <c r="M397" i="6" s="1"/>
  <c r="AC396" i="6"/>
  <c r="E396" i="6"/>
  <c r="J396" i="6" s="1"/>
  <c r="AC395" i="6"/>
  <c r="E395" i="6"/>
  <c r="M395" i="6" s="1"/>
  <c r="AC394" i="6"/>
  <c r="E394" i="6"/>
  <c r="J394" i="6" s="1"/>
  <c r="AC393" i="6"/>
  <c r="E393" i="6"/>
  <c r="J393" i="6" s="1"/>
  <c r="AC392" i="6"/>
  <c r="E392" i="6"/>
  <c r="K392" i="6" s="1"/>
  <c r="L392" i="6" s="1"/>
  <c r="AC391" i="6"/>
  <c r="E391" i="6"/>
  <c r="K391" i="6" s="1"/>
  <c r="L391" i="6" s="1"/>
  <c r="AC390" i="6"/>
  <c r="E390" i="6"/>
  <c r="J390" i="6" s="1"/>
  <c r="AC389" i="6"/>
  <c r="E389" i="6"/>
  <c r="J389" i="6" s="1"/>
  <c r="AC388" i="6"/>
  <c r="E388" i="6"/>
  <c r="K388" i="6" s="1"/>
  <c r="L388" i="6" s="1"/>
  <c r="AC387" i="6"/>
  <c r="E387" i="6"/>
  <c r="K387" i="6" s="1"/>
  <c r="L387" i="6" s="1"/>
  <c r="AC386" i="6"/>
  <c r="E386" i="6"/>
  <c r="M386" i="6" s="1"/>
  <c r="AC385" i="6"/>
  <c r="E385" i="6"/>
  <c r="AC384" i="6"/>
  <c r="E384" i="6"/>
  <c r="J384" i="6" s="1"/>
  <c r="AC383" i="6"/>
  <c r="E383" i="6"/>
  <c r="AC382" i="6"/>
  <c r="E382" i="6"/>
  <c r="K382" i="6" s="1"/>
  <c r="L382" i="6" s="1"/>
  <c r="AC381" i="6"/>
  <c r="E381" i="6"/>
  <c r="K381" i="6" s="1"/>
  <c r="L381" i="6" s="1"/>
  <c r="AC380" i="6"/>
  <c r="E380" i="6"/>
  <c r="M380" i="6" s="1"/>
  <c r="AC379" i="6"/>
  <c r="E379" i="6"/>
  <c r="J379" i="6" s="1"/>
  <c r="AC378" i="6"/>
  <c r="E378" i="6"/>
  <c r="K378" i="6" s="1"/>
  <c r="L378" i="6" s="1"/>
  <c r="AC377" i="6"/>
  <c r="E377" i="6"/>
  <c r="M377" i="6" s="1"/>
  <c r="AC376" i="6"/>
  <c r="E376" i="6"/>
  <c r="AC375" i="6"/>
  <c r="E375" i="6"/>
  <c r="AC374" i="6"/>
  <c r="E374" i="6"/>
  <c r="AC373" i="6"/>
  <c r="E373" i="6"/>
  <c r="K373" i="6" s="1"/>
  <c r="L373" i="6" s="1"/>
  <c r="AC372" i="6"/>
  <c r="E372" i="6"/>
  <c r="J372" i="6" s="1"/>
  <c r="AC371" i="6"/>
  <c r="E371" i="6"/>
  <c r="K371" i="6" s="1"/>
  <c r="L371" i="6" s="1"/>
  <c r="AC370" i="6"/>
  <c r="E370" i="6"/>
  <c r="K370" i="6" s="1"/>
  <c r="L370" i="6" s="1"/>
  <c r="AC369" i="6"/>
  <c r="E369" i="6"/>
  <c r="M369" i="6" s="1"/>
  <c r="AC368" i="6"/>
  <c r="E368" i="6"/>
  <c r="J368" i="6" s="1"/>
  <c r="AC367" i="6"/>
  <c r="E367" i="6"/>
  <c r="J367" i="6" s="1"/>
  <c r="AC366" i="6"/>
  <c r="E366" i="6"/>
  <c r="J366" i="6" s="1"/>
  <c r="AC365" i="6"/>
  <c r="E365" i="6"/>
  <c r="AC364" i="6"/>
  <c r="E364" i="6"/>
  <c r="AC363" i="6"/>
  <c r="E363" i="6"/>
  <c r="K363" i="6" s="1"/>
  <c r="L363" i="6" s="1"/>
  <c r="AC362" i="6"/>
  <c r="E362" i="6"/>
  <c r="M362" i="6" s="1"/>
  <c r="AC361" i="6"/>
  <c r="E361" i="6"/>
  <c r="J361" i="6" s="1"/>
  <c r="AC360" i="6"/>
  <c r="E360" i="6"/>
  <c r="K360" i="6" s="1"/>
  <c r="L360" i="6" s="1"/>
  <c r="AC359" i="6"/>
  <c r="E359" i="6"/>
  <c r="J359" i="6" s="1"/>
  <c r="AC358" i="6"/>
  <c r="E358" i="6"/>
  <c r="J358" i="6" s="1"/>
  <c r="AC357" i="6"/>
  <c r="E357" i="6"/>
  <c r="M357" i="6" s="1"/>
  <c r="AC356" i="6"/>
  <c r="E356" i="6"/>
  <c r="K356" i="6" s="1"/>
  <c r="L356" i="6" s="1"/>
  <c r="AC355" i="6"/>
  <c r="E355" i="6"/>
  <c r="K355" i="6" s="1"/>
  <c r="L355" i="6" s="1"/>
  <c r="AC354" i="6"/>
  <c r="E354" i="6"/>
  <c r="K354" i="6" s="1"/>
  <c r="L354" i="6" s="1"/>
  <c r="AC353" i="6"/>
  <c r="E353" i="6"/>
  <c r="AC352" i="6"/>
  <c r="E352" i="6"/>
  <c r="J352" i="6" s="1"/>
  <c r="AC351" i="6"/>
  <c r="E351" i="6"/>
  <c r="J351" i="6" s="1"/>
  <c r="AC350" i="6"/>
  <c r="E350" i="6"/>
  <c r="M350" i="6" s="1"/>
  <c r="AC349" i="6"/>
  <c r="E349" i="6"/>
  <c r="K349" i="6" s="1"/>
  <c r="L349" i="6" s="1"/>
  <c r="AC348" i="6"/>
  <c r="E348" i="6"/>
  <c r="J348" i="6" s="1"/>
  <c r="AC347" i="6"/>
  <c r="E347" i="6"/>
  <c r="M347" i="6" s="1"/>
  <c r="AC346" i="6"/>
  <c r="E346" i="6"/>
  <c r="J346" i="6" s="1"/>
  <c r="AC345" i="6"/>
  <c r="E345" i="6"/>
  <c r="K345" i="6" s="1"/>
  <c r="L345" i="6" s="1"/>
  <c r="AC344" i="6"/>
  <c r="E344" i="6"/>
  <c r="AC343" i="6"/>
  <c r="E343" i="6"/>
  <c r="J343" i="6" s="1"/>
  <c r="AC342" i="6"/>
  <c r="E342" i="6"/>
  <c r="AC341" i="6"/>
  <c r="E341" i="6"/>
  <c r="K341" i="6" s="1"/>
  <c r="L341" i="6" s="1"/>
  <c r="AC340" i="6"/>
  <c r="E340" i="6"/>
  <c r="K340" i="6" s="1"/>
  <c r="L340" i="6" s="1"/>
  <c r="AC339" i="6"/>
  <c r="E339" i="6"/>
  <c r="J339" i="6" s="1"/>
  <c r="AC338" i="6"/>
  <c r="E338" i="6"/>
  <c r="J338" i="6" s="1"/>
  <c r="AC337" i="6"/>
  <c r="E337" i="6"/>
  <c r="K337" i="6" s="1"/>
  <c r="L337" i="6" s="1"/>
  <c r="AC336" i="6"/>
  <c r="E336" i="6"/>
  <c r="J336" i="6" s="1"/>
  <c r="AC335" i="6"/>
  <c r="E335" i="6"/>
  <c r="J335" i="6" s="1"/>
  <c r="AC334" i="6"/>
  <c r="E334" i="6"/>
  <c r="M334" i="6" s="1"/>
  <c r="AC333" i="6"/>
  <c r="E333" i="6"/>
  <c r="M333" i="6" s="1"/>
  <c r="AC332" i="6"/>
  <c r="E332" i="6"/>
  <c r="J332" i="6" s="1"/>
  <c r="AC331" i="6"/>
  <c r="E331" i="6"/>
  <c r="K331" i="6" s="1"/>
  <c r="L331" i="6" s="1"/>
  <c r="AC330" i="6"/>
  <c r="AM331" i="7" s="1"/>
  <c r="E330" i="6"/>
  <c r="M330" i="6" s="1"/>
  <c r="AC329" i="6"/>
  <c r="AM330" i="7" s="1"/>
  <c r="E329" i="6"/>
  <c r="AC328" i="6"/>
  <c r="AM329" i="7" s="1"/>
  <c r="E328" i="6"/>
  <c r="AC327" i="6"/>
  <c r="AM328" i="7" s="1"/>
  <c r="E327" i="6"/>
  <c r="AC326" i="6"/>
  <c r="AM327" i="7" s="1"/>
  <c r="E326" i="6"/>
  <c r="AC325" i="6"/>
  <c r="AM326" i="7" s="1"/>
  <c r="E325" i="6"/>
  <c r="AC324" i="6"/>
  <c r="AM325" i="7" s="1"/>
  <c r="E324" i="6"/>
  <c r="AC323" i="6"/>
  <c r="AM324" i="7" s="1"/>
  <c r="E323" i="6"/>
  <c r="AC322" i="6"/>
  <c r="AM323" i="7" s="1"/>
  <c r="E322" i="6"/>
  <c r="AC321" i="6"/>
  <c r="AM322" i="7" s="1"/>
  <c r="E321" i="6"/>
  <c r="AC320" i="6"/>
  <c r="AM321" i="7" s="1"/>
  <c r="E320" i="6"/>
  <c r="AC319" i="6"/>
  <c r="AM320" i="7" s="1"/>
  <c r="E319" i="6"/>
  <c r="M319" i="6" s="1"/>
  <c r="AC318" i="6"/>
  <c r="AM319" i="7" s="1"/>
  <c r="E318" i="6"/>
  <c r="AC317" i="6"/>
  <c r="AM318" i="7" s="1"/>
  <c r="E317" i="6"/>
  <c r="AC316" i="6"/>
  <c r="AM317" i="7" s="1"/>
  <c r="E316" i="6"/>
  <c r="AC315" i="6"/>
  <c r="AM316" i="7" s="1"/>
  <c r="E315" i="6"/>
  <c r="AC314" i="6"/>
  <c r="AM315" i="7" s="1"/>
  <c r="E314" i="6"/>
  <c r="AC313" i="6"/>
  <c r="AM314" i="7" s="1"/>
  <c r="E313" i="6"/>
  <c r="AC312" i="6"/>
  <c r="AM313" i="7" s="1"/>
  <c r="E312" i="6"/>
  <c r="AC311" i="6"/>
  <c r="AM312" i="7" s="1"/>
  <c r="E311" i="6"/>
  <c r="M311" i="6" s="1"/>
  <c r="AC310" i="6"/>
  <c r="AM311" i="7" s="1"/>
  <c r="E310" i="6"/>
  <c r="AC309" i="6"/>
  <c r="AM310" i="7" s="1"/>
  <c r="E309" i="6"/>
  <c r="AC308" i="6"/>
  <c r="AM309" i="7" s="1"/>
  <c r="E308" i="6"/>
  <c r="AC307" i="6"/>
  <c r="AM308" i="7" s="1"/>
  <c r="E307" i="6"/>
  <c r="AC306" i="6"/>
  <c r="AM307" i="7" s="1"/>
  <c r="E306" i="6"/>
  <c r="AC305" i="6"/>
  <c r="AM306" i="7" s="1"/>
  <c r="E305" i="6"/>
  <c r="AC304" i="6"/>
  <c r="AM305" i="7" s="1"/>
  <c r="E304" i="6"/>
  <c r="AC303" i="6"/>
  <c r="AM304" i="7" s="1"/>
  <c r="E303" i="6"/>
  <c r="AC302" i="6"/>
  <c r="AM303" i="7" s="1"/>
  <c r="E302" i="6"/>
  <c r="AC301" i="6"/>
  <c r="AM302" i="7" s="1"/>
  <c r="E301" i="6"/>
  <c r="AC300" i="6"/>
  <c r="AM301" i="7" s="1"/>
  <c r="E300" i="6"/>
  <c r="AC299" i="6"/>
  <c r="AM300" i="7" s="1"/>
  <c r="E299" i="6"/>
  <c r="AC298" i="6"/>
  <c r="AM299" i="7" s="1"/>
  <c r="E298" i="6"/>
  <c r="AC297" i="6"/>
  <c r="AM298" i="7" s="1"/>
  <c r="E297" i="6"/>
  <c r="AC296" i="6"/>
  <c r="AM297" i="7" s="1"/>
  <c r="E296" i="6"/>
  <c r="AC295" i="6"/>
  <c r="AM296" i="7" s="1"/>
  <c r="E295" i="6"/>
  <c r="AC294" i="6"/>
  <c r="AM295" i="7" s="1"/>
  <c r="E294" i="6"/>
  <c r="AC293" i="6"/>
  <c r="AM294" i="7" s="1"/>
  <c r="E293" i="6"/>
  <c r="AC292" i="6"/>
  <c r="AM293" i="7" s="1"/>
  <c r="E292" i="6"/>
  <c r="AC291" i="6"/>
  <c r="AM292" i="7" s="1"/>
  <c r="E291" i="6"/>
  <c r="M291" i="6" s="1"/>
  <c r="AC290" i="6"/>
  <c r="AM291" i="7" s="1"/>
  <c r="E290" i="6"/>
  <c r="AC289" i="6"/>
  <c r="AM290" i="7" s="1"/>
  <c r="E289" i="6"/>
  <c r="R289" i="6" s="1"/>
  <c r="AC288" i="6"/>
  <c r="AM289" i="7" s="1"/>
  <c r="E288" i="6"/>
  <c r="R288" i="6" s="1"/>
  <c r="P288" i="6" s="1"/>
  <c r="Q288" i="6" s="1"/>
  <c r="AC287" i="6"/>
  <c r="AM288" i="7" s="1"/>
  <c r="E287" i="6"/>
  <c r="M287" i="6" s="1"/>
  <c r="AC286" i="6"/>
  <c r="AM287" i="7" s="1"/>
  <c r="E286" i="6"/>
  <c r="M286" i="6" s="1"/>
  <c r="AC285" i="6"/>
  <c r="AM286" i="7" s="1"/>
  <c r="E285" i="6"/>
  <c r="AC284" i="6"/>
  <c r="AM285" i="7" s="1"/>
  <c r="E284" i="6"/>
  <c r="P284" i="6" s="1"/>
  <c r="Q284" i="6" s="1"/>
  <c r="AC283" i="6"/>
  <c r="AM284" i="7" s="1"/>
  <c r="E283" i="6"/>
  <c r="P283" i="6" s="1"/>
  <c r="Q283" i="6" s="1"/>
  <c r="AC282" i="6"/>
  <c r="AM283" i="7" s="1"/>
  <c r="E282" i="6"/>
  <c r="M282" i="6" s="1"/>
  <c r="AC281" i="6"/>
  <c r="AM282" i="7" s="1"/>
  <c r="E281" i="6"/>
  <c r="P281" i="6" s="1"/>
  <c r="Q281" i="6" s="1"/>
  <c r="AC280" i="6"/>
  <c r="AM281" i="7" s="1"/>
  <c r="E280" i="6"/>
  <c r="AC279" i="6"/>
  <c r="AM280" i="7" s="1"/>
  <c r="E279" i="6"/>
  <c r="M279" i="6" s="1"/>
  <c r="AC278" i="6"/>
  <c r="AM279" i="7" s="1"/>
  <c r="E278" i="6"/>
  <c r="P278" i="6" s="1"/>
  <c r="Q278" i="6" s="1"/>
  <c r="AC277" i="6"/>
  <c r="AM278" i="7" s="1"/>
  <c r="E277" i="6"/>
  <c r="AC276" i="6"/>
  <c r="AM277" i="7" s="1"/>
  <c r="E276" i="6"/>
  <c r="M276" i="6" s="1"/>
  <c r="AC275" i="6"/>
  <c r="AM276" i="7" s="1"/>
  <c r="E275" i="6"/>
  <c r="M275" i="6" s="1"/>
  <c r="AC274" i="6"/>
  <c r="AM275" i="7" s="1"/>
  <c r="E274" i="6"/>
  <c r="AC273" i="6"/>
  <c r="AM274" i="7" s="1"/>
  <c r="E273" i="6"/>
  <c r="M273" i="6" s="1"/>
  <c r="AC272" i="6"/>
  <c r="AM273" i="7" s="1"/>
  <c r="E272" i="6"/>
  <c r="AC271" i="6"/>
  <c r="AM272" i="7" s="1"/>
  <c r="E271" i="6"/>
  <c r="P271" i="6" s="1"/>
  <c r="Q271" i="6" s="1"/>
  <c r="AC270" i="6"/>
  <c r="AM271" i="7" s="1"/>
  <c r="E270" i="6"/>
  <c r="AC269" i="6"/>
  <c r="AM270" i="7" s="1"/>
  <c r="E269" i="6"/>
  <c r="P269" i="6" s="1"/>
  <c r="Q269" i="6" s="1"/>
  <c r="AC268" i="6"/>
  <c r="AM269" i="7" s="1"/>
  <c r="E268" i="6"/>
  <c r="P268" i="6" s="1"/>
  <c r="Q268" i="6" s="1"/>
  <c r="AC267" i="6"/>
  <c r="AM268" i="7" s="1"/>
  <c r="E267" i="6"/>
  <c r="P267" i="6" s="1"/>
  <c r="Q267" i="6" s="1"/>
  <c r="AC266" i="6"/>
  <c r="AM267" i="7" s="1"/>
  <c r="E266" i="6"/>
  <c r="P266" i="6" s="1"/>
  <c r="Q266" i="6" s="1"/>
  <c r="AC265" i="6"/>
  <c r="AM266" i="7" s="1"/>
  <c r="E265" i="6"/>
  <c r="M265" i="6" s="1"/>
  <c r="AC264" i="6"/>
  <c r="AM265" i="7" s="1"/>
  <c r="E264" i="6"/>
  <c r="P264" i="6" s="1"/>
  <c r="Q264" i="6" s="1"/>
  <c r="AC263" i="6"/>
  <c r="AM264" i="7" s="1"/>
  <c r="E263" i="6"/>
  <c r="M263" i="6" s="1"/>
  <c r="AC262" i="6"/>
  <c r="AM263" i="7" s="1"/>
  <c r="E262" i="6"/>
  <c r="M262" i="6" s="1"/>
  <c r="AC261" i="6"/>
  <c r="AM262" i="7" s="1"/>
  <c r="E261" i="6"/>
  <c r="M261" i="6" s="1"/>
  <c r="AC260" i="6"/>
  <c r="AM261" i="7" s="1"/>
  <c r="E260" i="6"/>
  <c r="M260" i="6" s="1"/>
  <c r="AC259" i="6"/>
  <c r="AM260" i="7" s="1"/>
  <c r="E259" i="6"/>
  <c r="M259" i="6" s="1"/>
  <c r="AC258" i="6"/>
  <c r="AM259" i="7" s="1"/>
  <c r="E258" i="6"/>
  <c r="R258" i="6" s="1"/>
  <c r="P258" i="6" s="1"/>
  <c r="Q258" i="6" s="1"/>
  <c r="AC257" i="6"/>
  <c r="AM258" i="7" s="1"/>
  <c r="E257" i="6"/>
  <c r="R257" i="6" s="1"/>
  <c r="AC256" i="6"/>
  <c r="AM257" i="7" s="1"/>
  <c r="E256" i="6"/>
  <c r="P256" i="6" s="1"/>
  <c r="Q256" i="6" s="1"/>
  <c r="AC255" i="6"/>
  <c r="AM256" i="7" s="1"/>
  <c r="E255" i="6"/>
  <c r="M255" i="6" s="1"/>
  <c r="AC254" i="6"/>
  <c r="AM255" i="7" s="1"/>
  <c r="E254" i="6"/>
  <c r="AC253" i="6"/>
  <c r="AM254" i="7" s="1"/>
  <c r="E253" i="6"/>
  <c r="M253" i="6" s="1"/>
  <c r="AC252" i="6"/>
  <c r="AM253" i="7" s="1"/>
  <c r="E252" i="6"/>
  <c r="P252" i="6" s="1"/>
  <c r="Q252" i="6" s="1"/>
  <c r="AC251" i="6"/>
  <c r="AM252" i="7" s="1"/>
  <c r="E251" i="6"/>
  <c r="P251" i="6" s="1"/>
  <c r="Q251" i="6" s="1"/>
  <c r="AC250" i="6"/>
  <c r="AM251" i="7" s="1"/>
  <c r="E250" i="6"/>
  <c r="M250" i="6" s="1"/>
  <c r="AC249" i="6"/>
  <c r="AM250" i="7" s="1"/>
  <c r="E249" i="6"/>
  <c r="P249" i="6" s="1"/>
  <c r="Q249" i="6" s="1"/>
  <c r="AC248" i="6"/>
  <c r="AM249" i="7" s="1"/>
  <c r="E248" i="6"/>
  <c r="M248" i="6" s="1"/>
  <c r="AC247" i="6"/>
  <c r="AM248" i="7" s="1"/>
  <c r="E247" i="6"/>
  <c r="M247" i="6" s="1"/>
  <c r="AC246" i="6"/>
  <c r="AM247" i="7" s="1"/>
  <c r="E246" i="6"/>
  <c r="M246" i="6" s="1"/>
  <c r="AC245" i="6"/>
  <c r="AM246" i="7" s="1"/>
  <c r="E245" i="6"/>
  <c r="R245" i="6" s="1"/>
  <c r="AC244" i="6"/>
  <c r="AM245" i="7" s="1"/>
  <c r="E244" i="6"/>
  <c r="R244" i="6" s="1"/>
  <c r="N244" i="6" s="1"/>
  <c r="O244" i="6" s="1"/>
  <c r="T244" i="6" s="1"/>
  <c r="AC243" i="6"/>
  <c r="AM244" i="7" s="1"/>
  <c r="E243" i="6"/>
  <c r="AC242" i="6"/>
  <c r="AM243" i="7" s="1"/>
  <c r="E242" i="6"/>
  <c r="R242" i="6" s="1"/>
  <c r="P242" i="6" s="1"/>
  <c r="Q242" i="6" s="1"/>
  <c r="AC241" i="6"/>
  <c r="AM242" i="7" s="1"/>
  <c r="E241" i="6"/>
  <c r="P241" i="6" s="1"/>
  <c r="Q241" i="6" s="1"/>
  <c r="AC240" i="6"/>
  <c r="AM241" i="7" s="1"/>
  <c r="E240" i="6"/>
  <c r="M240" i="6" s="1"/>
  <c r="AC239" i="6"/>
  <c r="AM240" i="7" s="1"/>
  <c r="E239" i="6"/>
  <c r="M239" i="6" s="1"/>
  <c r="AC238" i="6"/>
  <c r="AM239" i="7" s="1"/>
  <c r="E238" i="6"/>
  <c r="AC237" i="6"/>
  <c r="AM238" i="7" s="1"/>
  <c r="E237" i="6"/>
  <c r="AC236" i="6"/>
  <c r="AM237" i="7" s="1"/>
  <c r="E236" i="6"/>
  <c r="M236" i="6" s="1"/>
  <c r="AC235" i="6"/>
  <c r="AM236" i="7" s="1"/>
  <c r="E235" i="6"/>
  <c r="AC234" i="6"/>
  <c r="AM235" i="7" s="1"/>
  <c r="E234" i="6"/>
  <c r="AC233" i="6"/>
  <c r="AM234" i="7" s="1"/>
  <c r="E233" i="6"/>
  <c r="P233" i="6" s="1"/>
  <c r="Q233" i="6" s="1"/>
  <c r="AC232" i="6"/>
  <c r="AM233" i="7" s="1"/>
  <c r="E232" i="6"/>
  <c r="R232" i="6" s="1"/>
  <c r="AC231" i="6"/>
  <c r="AM232" i="7" s="1"/>
  <c r="E231" i="6"/>
  <c r="M231" i="6" s="1"/>
  <c r="AC230" i="6"/>
  <c r="AM231" i="7" s="1"/>
  <c r="E230" i="6"/>
  <c r="R230" i="6" s="1"/>
  <c r="AC229" i="6"/>
  <c r="AM230" i="7" s="1"/>
  <c r="E229" i="6"/>
  <c r="R229" i="6" s="1"/>
  <c r="AC228" i="6"/>
  <c r="AM229" i="7" s="1"/>
  <c r="E228" i="6"/>
  <c r="M228" i="6" s="1"/>
  <c r="AC227" i="6"/>
  <c r="AM228" i="7" s="1"/>
  <c r="E227" i="6"/>
  <c r="AC226" i="6"/>
  <c r="AM227" i="7" s="1"/>
  <c r="E226" i="6"/>
  <c r="M226" i="6" s="1"/>
  <c r="AC225" i="6"/>
  <c r="AM226" i="7" s="1"/>
  <c r="E225" i="6"/>
  <c r="M225" i="6" s="1"/>
  <c r="AC224" i="6"/>
  <c r="AM225" i="7" s="1"/>
  <c r="E224" i="6"/>
  <c r="P224" i="6" s="1"/>
  <c r="Q224" i="6" s="1"/>
  <c r="AC223" i="6"/>
  <c r="AM224" i="7" s="1"/>
  <c r="E223" i="6"/>
  <c r="P223" i="6" s="1"/>
  <c r="Q223" i="6" s="1"/>
  <c r="AC222" i="6"/>
  <c r="AM223" i="7" s="1"/>
  <c r="E222" i="6"/>
  <c r="M222" i="6" s="1"/>
  <c r="AC221" i="6"/>
  <c r="AM222" i="7" s="1"/>
  <c r="E221" i="6"/>
  <c r="AC220" i="6"/>
  <c r="AM221" i="7" s="1"/>
  <c r="E220" i="6"/>
  <c r="P220" i="6" s="1"/>
  <c r="Q220" i="6" s="1"/>
  <c r="AC219" i="6"/>
  <c r="AM220" i="7" s="1"/>
  <c r="E219" i="6"/>
  <c r="AC218" i="6"/>
  <c r="AM219" i="7" s="1"/>
  <c r="E218" i="6"/>
  <c r="P218" i="6" s="1"/>
  <c r="Q218" i="6" s="1"/>
  <c r="AC217" i="6"/>
  <c r="AM218" i="7" s="1"/>
  <c r="E217" i="6"/>
  <c r="AC216" i="6"/>
  <c r="AM217" i="7" s="1"/>
  <c r="E216" i="6"/>
  <c r="AC215" i="6"/>
  <c r="AM216" i="7" s="1"/>
  <c r="E215" i="6"/>
  <c r="AC214" i="6"/>
  <c r="AM215" i="7" s="1"/>
  <c r="E214" i="6"/>
  <c r="R214" i="6" s="1"/>
  <c r="P214" i="6" s="1"/>
  <c r="Q214" i="6" s="1"/>
  <c r="AC213" i="6"/>
  <c r="AM214" i="7" s="1"/>
  <c r="E213" i="6"/>
  <c r="M213" i="6" s="1"/>
  <c r="AC212" i="6"/>
  <c r="AM213" i="7" s="1"/>
  <c r="E212" i="6"/>
  <c r="R212" i="6" s="1"/>
  <c r="P212" i="6" s="1"/>
  <c r="Q212" i="6" s="1"/>
  <c r="AC211" i="6"/>
  <c r="AM212" i="7" s="1"/>
  <c r="E211" i="6"/>
  <c r="P211" i="6" s="1"/>
  <c r="Q211" i="6" s="1"/>
  <c r="AC210" i="6"/>
  <c r="AM211" i="7" s="1"/>
  <c r="E210" i="6"/>
  <c r="AC209" i="6"/>
  <c r="AM210" i="7" s="1"/>
  <c r="E209" i="6"/>
  <c r="AC208" i="6"/>
  <c r="AM209" i="7" s="1"/>
  <c r="E208" i="6"/>
  <c r="AC207" i="6"/>
  <c r="AM208" i="7" s="1"/>
  <c r="E207" i="6"/>
  <c r="M207" i="6" s="1"/>
  <c r="AC206" i="6"/>
  <c r="AM207" i="7" s="1"/>
  <c r="E206" i="6"/>
  <c r="P206" i="6" s="1"/>
  <c r="Q206" i="6" s="1"/>
  <c r="AC205" i="6"/>
  <c r="AM206" i="7" s="1"/>
  <c r="E205" i="6"/>
  <c r="M205" i="6" s="1"/>
  <c r="AC204" i="6"/>
  <c r="AM205" i="7" s="1"/>
  <c r="E204" i="6"/>
  <c r="AC203" i="6"/>
  <c r="AM204" i="7" s="1"/>
  <c r="E203" i="6"/>
  <c r="AC202" i="6"/>
  <c r="AM203" i="7" s="1"/>
  <c r="E202" i="6"/>
  <c r="AC201" i="6"/>
  <c r="AM202" i="7" s="1"/>
  <c r="E201" i="6"/>
  <c r="M201" i="6" s="1"/>
  <c r="AC200" i="6"/>
  <c r="AM201" i="7" s="1"/>
  <c r="E200" i="6"/>
  <c r="R200" i="6" s="1"/>
  <c r="AC199" i="6"/>
  <c r="AM200" i="7" s="1"/>
  <c r="E199" i="6"/>
  <c r="R199" i="6" s="1"/>
  <c r="N199" i="6" s="1"/>
  <c r="AC198" i="6"/>
  <c r="AM199" i="7" s="1"/>
  <c r="E198" i="6"/>
  <c r="R198" i="6" s="1"/>
  <c r="P198" i="6" s="1"/>
  <c r="Q198" i="6" s="1"/>
  <c r="AC197" i="6"/>
  <c r="AM198" i="7" s="1"/>
  <c r="E197" i="6"/>
  <c r="M197" i="6" s="1"/>
  <c r="AC196" i="6"/>
  <c r="AM197" i="7" s="1"/>
  <c r="E196" i="6"/>
  <c r="M196" i="6" s="1"/>
  <c r="AC195" i="6"/>
  <c r="AM196" i="7" s="1"/>
  <c r="E195" i="6"/>
  <c r="AC194" i="6"/>
  <c r="AM195" i="7" s="1"/>
  <c r="E194" i="6"/>
  <c r="AC193" i="6"/>
  <c r="AM194" i="7" s="1"/>
  <c r="E193" i="6"/>
  <c r="M193" i="6" s="1"/>
  <c r="AC192" i="6"/>
  <c r="AM193" i="7" s="1"/>
  <c r="E192" i="6"/>
  <c r="P192" i="6" s="1"/>
  <c r="Q192" i="6" s="1"/>
  <c r="AC191" i="6"/>
  <c r="AM192" i="7" s="1"/>
  <c r="E191" i="6"/>
  <c r="M191" i="6" s="1"/>
  <c r="AC190" i="6"/>
  <c r="AM191" i="7" s="1"/>
  <c r="E190" i="6"/>
  <c r="P190" i="6" s="1"/>
  <c r="Q190" i="6" s="1"/>
  <c r="AC189" i="6"/>
  <c r="AM190" i="7" s="1"/>
  <c r="E189" i="6"/>
  <c r="M189" i="6" s="1"/>
  <c r="AC188" i="6"/>
  <c r="AM189" i="7" s="1"/>
  <c r="E188" i="6"/>
  <c r="P188" i="6" s="1"/>
  <c r="Q188" i="6" s="1"/>
  <c r="AC187" i="6"/>
  <c r="AM188" i="7" s="1"/>
  <c r="E187" i="6"/>
  <c r="M187" i="6" s="1"/>
  <c r="AC186" i="6"/>
  <c r="AM187" i="7" s="1"/>
  <c r="E186" i="6"/>
  <c r="AC185" i="6"/>
  <c r="AM186" i="7" s="1"/>
  <c r="E185" i="6"/>
  <c r="M185" i="6" s="1"/>
  <c r="AC184" i="6"/>
  <c r="AM185" i="7" s="1"/>
  <c r="E184" i="6"/>
  <c r="R184" i="6" s="1"/>
  <c r="AC183" i="6"/>
  <c r="AM184" i="7" s="1"/>
  <c r="E183" i="6"/>
  <c r="M183" i="6" s="1"/>
  <c r="AC182" i="6"/>
  <c r="AM183" i="7" s="1"/>
  <c r="E182" i="6"/>
  <c r="M182" i="6" s="1"/>
  <c r="AC181" i="6"/>
  <c r="AM182" i="7" s="1"/>
  <c r="E181" i="6"/>
  <c r="M181" i="6" s="1"/>
  <c r="AC180" i="6"/>
  <c r="AM181" i="7" s="1"/>
  <c r="E180" i="6"/>
  <c r="P180" i="6" s="1"/>
  <c r="Q180" i="6" s="1"/>
  <c r="AC179" i="6"/>
  <c r="AM180" i="7" s="1"/>
  <c r="E179" i="6"/>
  <c r="P179" i="6" s="1"/>
  <c r="Q179" i="6" s="1"/>
  <c r="AC178" i="6"/>
  <c r="AM179" i="7" s="1"/>
  <c r="E178" i="6"/>
  <c r="P178" i="6" s="1"/>
  <c r="Q178" i="6" s="1"/>
  <c r="AC177" i="6"/>
  <c r="AM178" i="7" s="1"/>
  <c r="E177" i="6"/>
  <c r="AC176" i="6"/>
  <c r="AM177" i="7" s="1"/>
  <c r="E176" i="6"/>
  <c r="P176" i="6" s="1"/>
  <c r="Q176" i="6" s="1"/>
  <c r="AC175" i="6"/>
  <c r="AM176" i="7" s="1"/>
  <c r="E175" i="6"/>
  <c r="P175" i="6" s="1"/>
  <c r="Q175" i="6" s="1"/>
  <c r="AC174" i="6"/>
  <c r="AM175" i="7" s="1"/>
  <c r="E174" i="6"/>
  <c r="P174" i="6" s="1"/>
  <c r="Q174" i="6" s="1"/>
  <c r="AC173" i="6"/>
  <c r="AM174" i="7" s="1"/>
  <c r="E173" i="6"/>
  <c r="M173" i="6" s="1"/>
  <c r="AC172" i="6"/>
  <c r="AM173" i="7" s="1"/>
  <c r="E172" i="6"/>
  <c r="AC171" i="6"/>
  <c r="AM172" i="7" s="1"/>
  <c r="E171" i="6"/>
  <c r="M171" i="6" s="1"/>
  <c r="AC170" i="6"/>
  <c r="AM171" i="7" s="1"/>
  <c r="E170" i="6"/>
  <c r="AC169" i="6"/>
  <c r="AM170" i="7" s="1"/>
  <c r="E169" i="6"/>
  <c r="R169" i="6" s="1"/>
  <c r="AC168" i="6"/>
  <c r="AM169" i="7" s="1"/>
  <c r="E168" i="6"/>
  <c r="AC167" i="6"/>
  <c r="AM168" i="7" s="1"/>
  <c r="E167" i="6"/>
  <c r="M167" i="6" s="1"/>
  <c r="AC166" i="6"/>
  <c r="AM167" i="7" s="1"/>
  <c r="E166" i="6"/>
  <c r="AC165" i="6"/>
  <c r="AM166" i="7" s="1"/>
  <c r="E165" i="6"/>
  <c r="AC164" i="6"/>
  <c r="AM165" i="7" s="1"/>
  <c r="E164" i="6"/>
  <c r="P164" i="6" s="1"/>
  <c r="Q164" i="6" s="1"/>
  <c r="AC163" i="6"/>
  <c r="AM164" i="7" s="1"/>
  <c r="E163" i="6"/>
  <c r="AC162" i="6"/>
  <c r="AM163" i="7" s="1"/>
  <c r="E162" i="6"/>
  <c r="P162" i="6" s="1"/>
  <c r="Q162" i="6" s="1"/>
  <c r="AC161" i="6"/>
  <c r="AM162" i="7" s="1"/>
  <c r="E161" i="6"/>
  <c r="M161" i="6" s="1"/>
  <c r="AC160" i="6"/>
  <c r="AM161" i="7" s="1"/>
  <c r="E160" i="6"/>
  <c r="AC159" i="6"/>
  <c r="AM160" i="7" s="1"/>
  <c r="E159" i="6"/>
  <c r="AC158" i="6"/>
  <c r="AM159" i="7" s="1"/>
  <c r="E158" i="6"/>
  <c r="P158" i="6" s="1"/>
  <c r="Q158" i="6" s="1"/>
  <c r="AC157" i="6"/>
  <c r="AM158" i="7" s="1"/>
  <c r="E157" i="6"/>
  <c r="R157" i="6" s="1"/>
  <c r="AC156" i="6"/>
  <c r="AM157" i="7" s="1"/>
  <c r="E156" i="6"/>
  <c r="M156" i="6" s="1"/>
  <c r="AC155" i="6"/>
  <c r="AM156" i="7" s="1"/>
  <c r="E155" i="6"/>
  <c r="R155" i="6" s="1"/>
  <c r="P155" i="6" s="1"/>
  <c r="Q155" i="6" s="1"/>
  <c r="AC154" i="6"/>
  <c r="AM155" i="7" s="1"/>
  <c r="E154" i="6"/>
  <c r="M154" i="6" s="1"/>
  <c r="AC153" i="6"/>
  <c r="AM154" i="7" s="1"/>
  <c r="E153" i="6"/>
  <c r="M153" i="6" s="1"/>
  <c r="AC152" i="6"/>
  <c r="AM153" i="7" s="1"/>
  <c r="E152" i="6"/>
  <c r="M152" i="6" s="1"/>
  <c r="AC151" i="6"/>
  <c r="AM152" i="7" s="1"/>
  <c r="E151" i="6"/>
  <c r="M151" i="6" s="1"/>
  <c r="AC150" i="6"/>
  <c r="AM151" i="7" s="1"/>
  <c r="E150" i="6"/>
  <c r="P150" i="6" s="1"/>
  <c r="Q150" i="6" s="1"/>
  <c r="AC149" i="6"/>
  <c r="AM150" i="7" s="1"/>
  <c r="E149" i="6"/>
  <c r="P149" i="6" s="1"/>
  <c r="Q149" i="6" s="1"/>
  <c r="AC148" i="6"/>
  <c r="AM149" i="7" s="1"/>
  <c r="E148" i="6"/>
  <c r="M148" i="6" s="1"/>
  <c r="AC147" i="6"/>
  <c r="AM148" i="7" s="1"/>
  <c r="E147" i="6"/>
  <c r="P147" i="6" s="1"/>
  <c r="Q147" i="6" s="1"/>
  <c r="AC146" i="6"/>
  <c r="AM147" i="7" s="1"/>
  <c r="E146" i="6"/>
  <c r="P146" i="6" s="1"/>
  <c r="Q146" i="6" s="1"/>
  <c r="AC145" i="6"/>
  <c r="AM146" i="7" s="1"/>
  <c r="E145" i="6"/>
  <c r="P145" i="6" s="1"/>
  <c r="Q145" i="6" s="1"/>
  <c r="AC144" i="6"/>
  <c r="AM145" i="7" s="1"/>
  <c r="E144" i="6"/>
  <c r="M144" i="6" s="1"/>
  <c r="AC143" i="6"/>
  <c r="AM144" i="7" s="1"/>
  <c r="E143" i="6"/>
  <c r="AC142" i="6"/>
  <c r="AM143" i="7" s="1"/>
  <c r="E142" i="6"/>
  <c r="M142" i="6" s="1"/>
  <c r="AC141" i="6"/>
  <c r="AM142" i="7" s="1"/>
  <c r="E141" i="6"/>
  <c r="M141" i="6" s="1"/>
  <c r="AC140" i="6"/>
  <c r="AM141" i="7" s="1"/>
  <c r="E140" i="6"/>
  <c r="R140" i="6" s="1"/>
  <c r="AC139" i="6"/>
  <c r="AM140" i="7" s="1"/>
  <c r="E139" i="6"/>
  <c r="R139" i="6" s="1"/>
  <c r="P139" i="6" s="1"/>
  <c r="Q139" i="6" s="1"/>
  <c r="AC138" i="6"/>
  <c r="AM139" i="7" s="1"/>
  <c r="E138" i="6"/>
  <c r="M138" i="6" s="1"/>
  <c r="AC137" i="6"/>
  <c r="AM138" i="7" s="1"/>
  <c r="E137" i="6"/>
  <c r="R137" i="6" s="1"/>
  <c r="AC136" i="6"/>
  <c r="AM137" i="7" s="1"/>
  <c r="E136" i="6"/>
  <c r="AC135" i="6"/>
  <c r="AM136" i="7" s="1"/>
  <c r="E135" i="6"/>
  <c r="P135" i="6" s="1"/>
  <c r="Q135" i="6" s="1"/>
  <c r="AC134" i="6"/>
  <c r="AM135" i="7" s="1"/>
  <c r="E134" i="6"/>
  <c r="M134" i="6" s="1"/>
  <c r="AC133" i="6"/>
  <c r="AM134" i="7" s="1"/>
  <c r="E133" i="6"/>
  <c r="AC132" i="6"/>
  <c r="AM133" i="7" s="1"/>
  <c r="E132" i="6"/>
  <c r="P132" i="6" s="1"/>
  <c r="Q132" i="6" s="1"/>
  <c r="AC131" i="6"/>
  <c r="AM132" i="7" s="1"/>
  <c r="E131" i="6"/>
  <c r="P131" i="6" s="1"/>
  <c r="Q131" i="6" s="1"/>
  <c r="AC130" i="6"/>
  <c r="AM131" i="7" s="1"/>
  <c r="E130" i="6"/>
  <c r="P130" i="6" s="1"/>
  <c r="Q130" i="6" s="1"/>
  <c r="AC129" i="6"/>
  <c r="AM130" i="7" s="1"/>
  <c r="E129" i="6"/>
  <c r="M129" i="6" s="1"/>
  <c r="AC128" i="6"/>
  <c r="AM129" i="7" s="1"/>
  <c r="E128" i="6"/>
  <c r="AC127" i="6"/>
  <c r="AM128" i="7" s="1"/>
  <c r="E127" i="6"/>
  <c r="AC126" i="6"/>
  <c r="AM127" i="7" s="1"/>
  <c r="E126" i="6"/>
  <c r="AC125" i="6"/>
  <c r="AM126" i="7" s="1"/>
  <c r="E125" i="6"/>
  <c r="M125" i="6" s="1"/>
  <c r="AC124" i="6"/>
  <c r="AM125" i="7" s="1"/>
  <c r="E124" i="6"/>
  <c r="R124" i="6" s="1"/>
  <c r="P124" i="6" s="1"/>
  <c r="Q124" i="6" s="1"/>
  <c r="AC123" i="6"/>
  <c r="AM124" i="7" s="1"/>
  <c r="E123" i="6"/>
  <c r="M123" i="6" s="1"/>
  <c r="AC122" i="6"/>
  <c r="AM123" i="7" s="1"/>
  <c r="E122" i="6"/>
  <c r="M122" i="6" s="1"/>
  <c r="AC121" i="6"/>
  <c r="AM122" i="7" s="1"/>
  <c r="E121" i="6"/>
  <c r="P121" i="6" s="1"/>
  <c r="Q121" i="6" s="1"/>
  <c r="AC120" i="6"/>
  <c r="AM121" i="7" s="1"/>
  <c r="E120" i="6"/>
  <c r="AC119" i="6"/>
  <c r="AM120" i="7" s="1"/>
  <c r="E119" i="6"/>
  <c r="AC118" i="6"/>
  <c r="AM119" i="7" s="1"/>
  <c r="E118" i="6"/>
  <c r="P118" i="6" s="1"/>
  <c r="Q118" i="6" s="1"/>
  <c r="AC117" i="6"/>
  <c r="AM118" i="7" s="1"/>
  <c r="E117" i="6"/>
  <c r="AC116" i="6"/>
  <c r="AM117" i="7" s="1"/>
  <c r="E116" i="6"/>
  <c r="M116" i="6" s="1"/>
  <c r="AC115" i="6"/>
  <c r="AM116" i="7" s="1"/>
  <c r="E115" i="6"/>
  <c r="AC114" i="6"/>
  <c r="AM115" i="7" s="1"/>
  <c r="E114" i="6"/>
  <c r="AC113" i="6"/>
  <c r="AM114" i="7" s="1"/>
  <c r="E113" i="6"/>
  <c r="AC112" i="6"/>
  <c r="AM113" i="7" s="1"/>
  <c r="E112" i="6"/>
  <c r="R112" i="6" s="1"/>
  <c r="AC111" i="6"/>
  <c r="AM112" i="7" s="1"/>
  <c r="E111" i="6"/>
  <c r="AC110" i="6"/>
  <c r="AM111" i="7" s="1"/>
  <c r="E110" i="6"/>
  <c r="AC109" i="6"/>
  <c r="AM110" i="7" s="1"/>
  <c r="E109" i="6"/>
  <c r="AC108" i="6"/>
  <c r="AM109" i="7" s="1"/>
  <c r="E108" i="6"/>
  <c r="M108" i="6" s="1"/>
  <c r="AC107" i="6"/>
  <c r="AM108" i="7" s="1"/>
  <c r="E107" i="6"/>
  <c r="AC106" i="6"/>
  <c r="AM107" i="7" s="1"/>
  <c r="E106" i="6"/>
  <c r="P106" i="6" s="1"/>
  <c r="Q106" i="6" s="1"/>
  <c r="AC105" i="6"/>
  <c r="AM106" i="7" s="1"/>
  <c r="E105" i="6"/>
  <c r="AC104" i="6"/>
  <c r="AM105" i="7" s="1"/>
  <c r="E104" i="6"/>
  <c r="AC103" i="6"/>
  <c r="AM104" i="7" s="1"/>
  <c r="E103" i="6"/>
  <c r="AC102" i="6"/>
  <c r="AM103" i="7" s="1"/>
  <c r="E102" i="6"/>
  <c r="M102" i="6" s="1"/>
  <c r="AC101" i="6"/>
  <c r="AM102" i="7" s="1"/>
  <c r="E101" i="6"/>
  <c r="AC100" i="6"/>
  <c r="AM101" i="7" s="1"/>
  <c r="E100" i="6"/>
  <c r="M100" i="6" s="1"/>
  <c r="AC99" i="6"/>
  <c r="AM100" i="7" s="1"/>
  <c r="E99" i="6"/>
  <c r="AC98" i="6"/>
  <c r="AM99" i="7" s="1"/>
  <c r="E98" i="6"/>
  <c r="P98" i="6" s="1"/>
  <c r="Q98" i="6" s="1"/>
  <c r="AC97" i="6"/>
  <c r="AM98" i="7" s="1"/>
  <c r="E97" i="6"/>
  <c r="AC96" i="6"/>
  <c r="AM97" i="7" s="1"/>
  <c r="E96" i="6"/>
  <c r="M96" i="6" s="1"/>
  <c r="AC95" i="6"/>
  <c r="AM96" i="7" s="1"/>
  <c r="E95" i="6"/>
  <c r="AC94" i="6"/>
  <c r="AM95" i="7" s="1"/>
  <c r="E94" i="6"/>
  <c r="AC93" i="6"/>
  <c r="AM94" i="7" s="1"/>
  <c r="E93" i="6"/>
  <c r="AC92" i="6"/>
  <c r="AM93" i="7" s="1"/>
  <c r="E92" i="6"/>
  <c r="R92" i="6" s="1"/>
  <c r="P92" i="6" s="1"/>
  <c r="Q92" i="6" s="1"/>
  <c r="AC91" i="6"/>
  <c r="AM92" i="7" s="1"/>
  <c r="E91" i="6"/>
  <c r="M91" i="6" s="1"/>
  <c r="AC90" i="6"/>
  <c r="AM91" i="7" s="1"/>
  <c r="E90" i="6"/>
  <c r="M90" i="6" s="1"/>
  <c r="AC89" i="6"/>
  <c r="AM90" i="7" s="1"/>
  <c r="E89" i="6"/>
  <c r="AC88" i="6"/>
  <c r="AM89" i="7" s="1"/>
  <c r="E88" i="6"/>
  <c r="P88" i="6" s="1"/>
  <c r="Q88" i="6" s="1"/>
  <c r="AC87" i="6"/>
  <c r="AM88" i="7" s="1"/>
  <c r="E87" i="6"/>
  <c r="M87" i="6" s="1"/>
  <c r="AC86" i="6"/>
  <c r="AM87" i="7" s="1"/>
  <c r="E86" i="6"/>
  <c r="P86" i="6" s="1"/>
  <c r="Q86" i="6" s="1"/>
  <c r="AC85" i="6"/>
  <c r="AM86" i="7" s="1"/>
  <c r="E85" i="6"/>
  <c r="AC84" i="6"/>
  <c r="AM85" i="7" s="1"/>
  <c r="E84" i="6"/>
  <c r="P84" i="6" s="1"/>
  <c r="Q84" i="6" s="1"/>
  <c r="AC83" i="6"/>
  <c r="AM84" i="7" s="1"/>
  <c r="E83" i="6"/>
  <c r="AC82" i="6"/>
  <c r="AM83" i="7" s="1"/>
  <c r="E82" i="6"/>
  <c r="R82" i="6" s="1"/>
  <c r="AC81" i="6"/>
  <c r="AM82" i="7" s="1"/>
  <c r="E81" i="6"/>
  <c r="AC80" i="6"/>
  <c r="AM81" i="7" s="1"/>
  <c r="E80" i="6"/>
  <c r="R80" i="6" s="1"/>
  <c r="AC79" i="6"/>
  <c r="AM80" i="7" s="1"/>
  <c r="E79" i="6"/>
  <c r="AC78" i="6"/>
  <c r="AM79" i="7" s="1"/>
  <c r="E78" i="6"/>
  <c r="R78" i="6" s="1"/>
  <c r="AC77" i="6"/>
  <c r="AM78" i="7" s="1"/>
  <c r="E77" i="6"/>
  <c r="AC76" i="6"/>
  <c r="AM77" i="7" s="1"/>
  <c r="E76" i="6"/>
  <c r="M76" i="6" s="1"/>
  <c r="AC75" i="6"/>
  <c r="AM76" i="7" s="1"/>
  <c r="E75" i="6"/>
  <c r="AC74" i="6"/>
  <c r="AM75" i="7" s="1"/>
  <c r="E74" i="6"/>
  <c r="P74" i="6" s="1"/>
  <c r="Q74" i="6" s="1"/>
  <c r="AC73" i="6"/>
  <c r="AM74" i="7" s="1"/>
  <c r="E73" i="6"/>
  <c r="AC72" i="6"/>
  <c r="AM73" i="7" s="1"/>
  <c r="E72" i="6"/>
  <c r="AC71" i="6"/>
  <c r="AM72" i="7" s="1"/>
  <c r="E71" i="6"/>
  <c r="AC70" i="6"/>
  <c r="AM71" i="7" s="1"/>
  <c r="E70" i="6"/>
  <c r="P70" i="6" s="1"/>
  <c r="Q70" i="6" s="1"/>
  <c r="AC69" i="6"/>
  <c r="AM70" i="7" s="1"/>
  <c r="E69" i="6"/>
  <c r="AC68" i="6"/>
  <c r="AM69" i="7" s="1"/>
  <c r="E68" i="6"/>
  <c r="P68" i="6" s="1"/>
  <c r="Q68" i="6" s="1"/>
  <c r="AC67" i="6"/>
  <c r="AM68" i="7" s="1"/>
  <c r="E67" i="6"/>
  <c r="AC66" i="6"/>
  <c r="AM67" i="7" s="1"/>
  <c r="E66" i="6"/>
  <c r="M66" i="6" s="1"/>
  <c r="AC65" i="6"/>
  <c r="AM66" i="7" s="1"/>
  <c r="E65" i="6"/>
  <c r="AC64" i="6"/>
  <c r="AM65" i="7" s="1"/>
  <c r="E64" i="6"/>
  <c r="M64" i="6" s="1"/>
  <c r="AC63" i="6"/>
  <c r="AM64" i="7" s="1"/>
  <c r="E63" i="6"/>
  <c r="AC62" i="6"/>
  <c r="AM63" i="7" s="1"/>
  <c r="E62" i="6"/>
  <c r="AC61" i="6"/>
  <c r="AM62" i="7" s="1"/>
  <c r="E61" i="6"/>
  <c r="P61" i="6" s="1"/>
  <c r="Q61" i="6" s="1"/>
  <c r="AC60" i="6"/>
  <c r="AM61" i="7" s="1"/>
  <c r="E60" i="6"/>
  <c r="P60" i="6" s="1"/>
  <c r="Q60" i="6" s="1"/>
  <c r="AC59" i="6"/>
  <c r="AM60" i="7" s="1"/>
  <c r="E59" i="6"/>
  <c r="M59" i="6" s="1"/>
  <c r="AC58" i="6"/>
  <c r="AM59" i="7" s="1"/>
  <c r="E58" i="6"/>
  <c r="P58" i="6" s="1"/>
  <c r="Q58" i="6" s="1"/>
  <c r="AC57" i="6"/>
  <c r="AM58" i="7" s="1"/>
  <c r="E57" i="6"/>
  <c r="AC56" i="6"/>
  <c r="AM57" i="7" s="1"/>
  <c r="E56" i="6"/>
  <c r="P56" i="6" s="1"/>
  <c r="Q56" i="6" s="1"/>
  <c r="AC55" i="6"/>
  <c r="AM56" i="7" s="1"/>
  <c r="E55" i="6"/>
  <c r="AC54" i="6"/>
  <c r="AM55" i="7" s="1"/>
  <c r="E54" i="6"/>
  <c r="P54" i="6" s="1"/>
  <c r="Q54" i="6" s="1"/>
  <c r="AC53" i="6"/>
  <c r="AM54" i="7" s="1"/>
  <c r="E53" i="6"/>
  <c r="P53" i="6" s="1"/>
  <c r="Q53" i="6" s="1"/>
  <c r="AC52" i="6"/>
  <c r="AM53" i="7" s="1"/>
  <c r="E52" i="6"/>
  <c r="R52" i="6" s="1"/>
  <c r="AC51" i="6"/>
  <c r="AM52" i="7" s="1"/>
  <c r="E51" i="6"/>
  <c r="M51" i="6" s="1"/>
  <c r="AC50" i="6"/>
  <c r="AM51" i="7" s="1"/>
  <c r="E50" i="6"/>
  <c r="R50" i="6" s="1"/>
  <c r="P50" i="6" s="1"/>
  <c r="Q50" i="6" s="1"/>
  <c r="AC49" i="6"/>
  <c r="AM50" i="7" s="1"/>
  <c r="E49" i="6"/>
  <c r="AC48" i="6"/>
  <c r="AM49" i="7" s="1"/>
  <c r="E48" i="6"/>
  <c r="R48" i="6" s="1"/>
  <c r="AC47" i="6"/>
  <c r="AM48" i="7" s="1"/>
  <c r="E47" i="6"/>
  <c r="AC46" i="6"/>
  <c r="AM47" i="7" s="1"/>
  <c r="E46" i="6"/>
  <c r="P46" i="6" s="1"/>
  <c r="Q46" i="6" s="1"/>
  <c r="AC45" i="6"/>
  <c r="AM46" i="7" s="1"/>
  <c r="E45" i="6"/>
  <c r="M45" i="6" s="1"/>
  <c r="AC44" i="6"/>
  <c r="AM45" i="7" s="1"/>
  <c r="E44" i="6"/>
  <c r="M44" i="6" s="1"/>
  <c r="AC43" i="6"/>
  <c r="AM44" i="7" s="1"/>
  <c r="E43" i="6"/>
  <c r="P43" i="6" s="1"/>
  <c r="Q43" i="6" s="1"/>
  <c r="AC42" i="6"/>
  <c r="AM43" i="7" s="1"/>
  <c r="E42" i="6"/>
  <c r="AC41" i="6"/>
  <c r="AM42" i="7" s="1"/>
  <c r="E41" i="6"/>
  <c r="AC40" i="6"/>
  <c r="AM41" i="7" s="1"/>
  <c r="E40" i="6"/>
  <c r="P40" i="6" s="1"/>
  <c r="Q40" i="6" s="1"/>
  <c r="AC39" i="6"/>
  <c r="AM40" i="7" s="1"/>
  <c r="E39" i="6"/>
  <c r="AC38" i="6"/>
  <c r="AM39" i="7" s="1"/>
  <c r="E38" i="6"/>
  <c r="P38" i="6" s="1"/>
  <c r="Q38" i="6" s="1"/>
  <c r="AC37" i="6"/>
  <c r="AM38" i="7" s="1"/>
  <c r="E37" i="6"/>
  <c r="AC36" i="6"/>
  <c r="AM37" i="7" s="1"/>
  <c r="E36" i="6"/>
  <c r="M36" i="6" s="1"/>
  <c r="AC35" i="6"/>
  <c r="AM36" i="7" s="1"/>
  <c r="E35" i="6"/>
  <c r="AC34" i="6"/>
  <c r="AM35" i="7" s="1"/>
  <c r="E34" i="6"/>
  <c r="AC33" i="6"/>
  <c r="AM34" i="7" s="1"/>
  <c r="E33" i="6"/>
  <c r="AC32" i="6"/>
  <c r="AM33" i="7" s="1"/>
  <c r="E32" i="6"/>
  <c r="AC31" i="6"/>
  <c r="AM32" i="7" s="1"/>
  <c r="E31" i="6"/>
  <c r="P31" i="6" s="1"/>
  <c r="Q31" i="6" s="1"/>
  <c r="AC30" i="6"/>
  <c r="AM31" i="7" s="1"/>
  <c r="E30" i="6"/>
  <c r="P30" i="6" s="1"/>
  <c r="Q30" i="6" s="1"/>
  <c r="AC29" i="6"/>
  <c r="AM30" i="7" s="1"/>
  <c r="E29" i="6"/>
  <c r="AC28" i="6"/>
  <c r="AM29" i="7" s="1"/>
  <c r="E28" i="6"/>
  <c r="M28" i="6" s="1"/>
  <c r="AC27" i="6"/>
  <c r="AM28" i="7" s="1"/>
  <c r="E27" i="6"/>
  <c r="AC26" i="6"/>
  <c r="AM27" i="7" s="1"/>
  <c r="E26" i="6"/>
  <c r="AC25" i="6"/>
  <c r="AM26" i="7" s="1"/>
  <c r="E25" i="6"/>
  <c r="AC24" i="6"/>
  <c r="AM25" i="7" s="1"/>
  <c r="E24" i="6"/>
  <c r="P24" i="6" s="1"/>
  <c r="Q24" i="6" s="1"/>
  <c r="AC23" i="6"/>
  <c r="AM24" i="7" s="1"/>
  <c r="E23" i="6"/>
  <c r="M23" i="6" s="1"/>
  <c r="AC22" i="6"/>
  <c r="AM23" i="7" s="1"/>
  <c r="E22" i="6"/>
  <c r="AC21" i="6"/>
  <c r="AM22" i="7" s="1"/>
  <c r="E21" i="6"/>
  <c r="AC20" i="6"/>
  <c r="AM21" i="7" s="1"/>
  <c r="E20" i="6"/>
  <c r="M20" i="6" s="1"/>
  <c r="AC19" i="6"/>
  <c r="AM20" i="7" s="1"/>
  <c r="E19" i="6"/>
  <c r="AC18" i="6"/>
  <c r="AM19" i="7" s="1"/>
  <c r="E18" i="6"/>
  <c r="R18" i="6" s="1"/>
  <c r="AC17" i="6"/>
  <c r="AM18" i="7" s="1"/>
  <c r="E17" i="6"/>
  <c r="AC16" i="6"/>
  <c r="AM17" i="7" s="1"/>
  <c r="E16" i="6"/>
  <c r="M16" i="6" s="1"/>
  <c r="AC15" i="6"/>
  <c r="AM16" i="7" s="1"/>
  <c r="E15" i="6"/>
  <c r="M15" i="6" s="1"/>
  <c r="AC14" i="6"/>
  <c r="AM15" i="7" s="1"/>
  <c r="E14" i="6"/>
  <c r="AC13" i="6"/>
  <c r="AM14" i="7" s="1"/>
  <c r="E13" i="6"/>
  <c r="AC12" i="6"/>
  <c r="AM13" i="7" s="1"/>
  <c r="E12" i="6"/>
  <c r="AC11" i="6"/>
  <c r="AM12" i="7" s="1"/>
  <c r="E11" i="6"/>
  <c r="M11" i="6" s="1"/>
  <c r="AC10" i="6"/>
  <c r="AM11" i="7" s="1"/>
  <c r="E10" i="6"/>
  <c r="AC9" i="6"/>
  <c r="AM10" i="7" s="1"/>
  <c r="E9" i="6"/>
  <c r="AC8" i="6"/>
  <c r="AM9" i="7" s="1"/>
  <c r="E8" i="6"/>
  <c r="P8" i="6" s="1"/>
  <c r="Q8" i="6" s="1"/>
  <c r="AC7" i="6"/>
  <c r="AM8" i="7" s="1"/>
  <c r="E7" i="6"/>
  <c r="R7" i="6" s="1"/>
  <c r="AC6" i="6"/>
  <c r="AM7" i="7" s="1"/>
  <c r="E6" i="6"/>
  <c r="A1" i="6"/>
  <c r="BK150" i="5"/>
  <c r="BK44" i="5"/>
  <c r="BK43" i="5"/>
  <c r="BK42" i="5"/>
  <c r="BK27" i="5"/>
  <c r="BJ13" i="5"/>
  <c r="BI13" i="5"/>
  <c r="BH13" i="5"/>
  <c r="BG13" i="5"/>
  <c r="BF13" i="5"/>
  <c r="BE13" i="5"/>
  <c r="BD13" i="5"/>
  <c r="BC13" i="5"/>
  <c r="BB13" i="5"/>
  <c r="BA13" i="5"/>
  <c r="AZ13" i="5"/>
  <c r="AY13" i="5"/>
  <c r="AX13" i="5"/>
  <c r="AW13" i="5"/>
  <c r="AV13" i="5"/>
  <c r="AU13" i="5"/>
  <c r="AT13" i="5"/>
  <c r="AS13" i="5"/>
  <c r="AR13" i="5"/>
  <c r="AQ13" i="5"/>
  <c r="AP13" i="5"/>
  <c r="AO13" i="5"/>
  <c r="AN13" i="5"/>
  <c r="AM13" i="5"/>
  <c r="AL13" i="5"/>
  <c r="AK13" i="5"/>
  <c r="AJ13" i="5"/>
  <c r="AI13" i="5"/>
  <c r="AH13" i="5"/>
  <c r="AG13" i="5"/>
  <c r="AF13" i="5"/>
  <c r="AE13" i="5"/>
  <c r="AD13" i="5"/>
  <c r="AC13" i="5"/>
  <c r="AB13" i="5"/>
  <c r="AA13" i="5"/>
  <c r="Z13" i="5"/>
  <c r="Y13" i="5"/>
  <c r="X13" i="5"/>
  <c r="W13" i="5"/>
  <c r="V13" i="5"/>
  <c r="U13" i="5"/>
  <c r="T13" i="5"/>
  <c r="S13" i="5"/>
  <c r="R13" i="5"/>
  <c r="Q13" i="5"/>
  <c r="P13" i="5"/>
  <c r="O13" i="5"/>
  <c r="N13" i="5"/>
  <c r="M13" i="5"/>
  <c r="L13" i="5"/>
  <c r="K13" i="5"/>
  <c r="J13" i="5"/>
  <c r="I13" i="5"/>
  <c r="H13" i="5"/>
  <c r="G13" i="5"/>
  <c r="F13" i="5"/>
  <c r="E13" i="5"/>
  <c r="D13" i="5"/>
  <c r="C13" i="5"/>
  <c r="BK12" i="5"/>
  <c r="BK11" i="5"/>
  <c r="BK10" i="5"/>
  <c r="BK13" i="5" s="1"/>
  <c r="BK8" i="5"/>
  <c r="BK4" i="5"/>
  <c r="AF7" i="2" s="1"/>
  <c r="C1" i="5"/>
  <c r="B78" i="4"/>
  <c r="B77" i="4"/>
  <c r="B76" i="4"/>
  <c r="B75" i="4"/>
  <c r="B74" i="4"/>
  <c r="B73" i="4"/>
  <c r="B72" i="4"/>
  <c r="B71" i="4"/>
  <c r="B70" i="4"/>
  <c r="B69" i="4"/>
  <c r="B68" i="4"/>
  <c r="B67" i="4"/>
  <c r="B66" i="4"/>
  <c r="B65" i="4"/>
  <c r="B64" i="4"/>
  <c r="B63" i="4"/>
  <c r="B62" i="4"/>
  <c r="B61" i="4"/>
  <c r="B60" i="4"/>
  <c r="B59" i="4"/>
  <c r="B58" i="4"/>
  <c r="B57" i="4"/>
  <c r="B56" i="4"/>
  <c r="B55" i="4"/>
  <c r="B54" i="4"/>
  <c r="B53" i="4"/>
  <c r="B52" i="4"/>
  <c r="B51" i="4"/>
  <c r="B50" i="4"/>
  <c r="B48" i="4"/>
  <c r="C34" i="4"/>
  <c r="BW33" i="4"/>
  <c r="BV33" i="4"/>
  <c r="BU33" i="4"/>
  <c r="BT33" i="4"/>
  <c r="BS33" i="4"/>
  <c r="BR33" i="4"/>
  <c r="BQ33" i="4"/>
  <c r="BP33" i="4"/>
  <c r="BO33" i="4"/>
  <c r="BN33" i="4"/>
  <c r="BM33" i="4"/>
  <c r="BL33" i="4"/>
  <c r="BK33" i="4"/>
  <c r="BJ33" i="4"/>
  <c r="BI33" i="4"/>
  <c r="BH33" i="4"/>
  <c r="BG33" i="4"/>
  <c r="BF33" i="4"/>
  <c r="BE33" i="4"/>
  <c r="BD33" i="4"/>
  <c r="BC33" i="4"/>
  <c r="BB33" i="4"/>
  <c r="BA33" i="4"/>
  <c r="AZ33" i="4"/>
  <c r="AY33" i="4"/>
  <c r="AX33" i="4"/>
  <c r="AW33" i="4"/>
  <c r="AV33" i="4"/>
  <c r="AU33" i="4"/>
  <c r="AT33" i="4"/>
  <c r="AS33" i="4"/>
  <c r="AR33" i="4"/>
  <c r="AQ33" i="4"/>
  <c r="AP33" i="4"/>
  <c r="AO33" i="4"/>
  <c r="AN33" i="4"/>
  <c r="AM33" i="4"/>
  <c r="AL33" i="4"/>
  <c r="AK33" i="4"/>
  <c r="AJ33" i="4"/>
  <c r="AI33" i="4"/>
  <c r="AH33" i="4"/>
  <c r="AG33" i="4"/>
  <c r="AF33" i="4"/>
  <c r="AE33" i="4"/>
  <c r="AD33" i="4"/>
  <c r="AC33" i="4"/>
  <c r="AB33" i="4"/>
  <c r="AA33" i="4"/>
  <c r="Z33" i="4"/>
  <c r="Y33" i="4"/>
  <c r="X33" i="4"/>
  <c r="W33" i="4"/>
  <c r="V33" i="4"/>
  <c r="U33" i="4"/>
  <c r="T33" i="4"/>
  <c r="S33" i="4"/>
  <c r="R33" i="4"/>
  <c r="Q33" i="4"/>
  <c r="P33" i="4"/>
  <c r="BW32" i="4"/>
  <c r="BV32" i="4"/>
  <c r="BU32" i="4"/>
  <c r="BT32" i="4"/>
  <c r="BS32" i="4"/>
  <c r="BR32" i="4"/>
  <c r="BQ32" i="4"/>
  <c r="BP32" i="4"/>
  <c r="BO32" i="4"/>
  <c r="BN32" i="4"/>
  <c r="BM32" i="4"/>
  <c r="BL32" i="4"/>
  <c r="BK32" i="4"/>
  <c r="BJ32" i="4"/>
  <c r="BI32" i="4"/>
  <c r="BH32" i="4"/>
  <c r="BG32" i="4"/>
  <c r="BF32" i="4"/>
  <c r="BE32" i="4"/>
  <c r="BD32" i="4"/>
  <c r="BC32" i="4"/>
  <c r="BB32" i="4"/>
  <c r="BA32" i="4"/>
  <c r="AZ32" i="4"/>
  <c r="AY32" i="4"/>
  <c r="AX32" i="4"/>
  <c r="AW32" i="4"/>
  <c r="AV32" i="4"/>
  <c r="AU32" i="4"/>
  <c r="AT32" i="4"/>
  <c r="AS32" i="4"/>
  <c r="AR32" i="4"/>
  <c r="AQ32" i="4"/>
  <c r="AP32" i="4"/>
  <c r="AO32" i="4"/>
  <c r="AN32" i="4"/>
  <c r="AM32" i="4"/>
  <c r="AL32" i="4"/>
  <c r="AK32" i="4"/>
  <c r="AJ32" i="4"/>
  <c r="AI32" i="4"/>
  <c r="AH32" i="4"/>
  <c r="AG32" i="4"/>
  <c r="AF32" i="4"/>
  <c r="AE32" i="4"/>
  <c r="AD32" i="4"/>
  <c r="AC32" i="4"/>
  <c r="AB32" i="4"/>
  <c r="AA32" i="4"/>
  <c r="Z32" i="4"/>
  <c r="Y32" i="4"/>
  <c r="X32" i="4"/>
  <c r="W32" i="4"/>
  <c r="V32" i="4"/>
  <c r="U32" i="4"/>
  <c r="T32" i="4"/>
  <c r="S32" i="4"/>
  <c r="R32" i="4"/>
  <c r="Q32" i="4"/>
  <c r="P32" i="4"/>
  <c r="BW31" i="4"/>
  <c r="BV31" i="4"/>
  <c r="BU31" i="4"/>
  <c r="BT31" i="4"/>
  <c r="BS31" i="4"/>
  <c r="BR31" i="4"/>
  <c r="BQ31" i="4"/>
  <c r="BP31" i="4"/>
  <c r="BO31" i="4"/>
  <c r="BN31" i="4"/>
  <c r="BM31" i="4"/>
  <c r="BL31" i="4"/>
  <c r="BK31" i="4"/>
  <c r="BJ31" i="4"/>
  <c r="BI31" i="4"/>
  <c r="BH31" i="4"/>
  <c r="BG31" i="4"/>
  <c r="BF31" i="4"/>
  <c r="BE31" i="4"/>
  <c r="BD31" i="4"/>
  <c r="BC31" i="4"/>
  <c r="BB31" i="4"/>
  <c r="BA31" i="4"/>
  <c r="AZ31" i="4"/>
  <c r="AY31" i="4"/>
  <c r="AX31" i="4"/>
  <c r="AW31" i="4"/>
  <c r="AV31" i="4"/>
  <c r="AU31" i="4"/>
  <c r="AT31" i="4"/>
  <c r="AS31" i="4"/>
  <c r="AR31" i="4"/>
  <c r="AQ31" i="4"/>
  <c r="AP31" i="4"/>
  <c r="AO31" i="4"/>
  <c r="AN31" i="4"/>
  <c r="AM31" i="4"/>
  <c r="AL31" i="4"/>
  <c r="AK31" i="4"/>
  <c r="AJ31" i="4"/>
  <c r="AI31" i="4"/>
  <c r="AH31" i="4"/>
  <c r="AG31" i="4"/>
  <c r="AF31" i="4"/>
  <c r="AE31" i="4"/>
  <c r="AD31" i="4"/>
  <c r="AC31" i="4"/>
  <c r="AB31" i="4"/>
  <c r="AA31" i="4"/>
  <c r="Z31" i="4"/>
  <c r="Y31" i="4"/>
  <c r="X31" i="4"/>
  <c r="W31" i="4"/>
  <c r="V31" i="4"/>
  <c r="U31" i="4"/>
  <c r="T31" i="4"/>
  <c r="S31" i="4"/>
  <c r="R31" i="4"/>
  <c r="Q31" i="4"/>
  <c r="P31" i="4"/>
  <c r="BW30" i="4"/>
  <c r="BV30" i="4"/>
  <c r="BU30" i="4"/>
  <c r="BT30" i="4"/>
  <c r="BS30" i="4"/>
  <c r="BR30" i="4"/>
  <c r="BQ30" i="4"/>
  <c r="BP30" i="4"/>
  <c r="BO30" i="4"/>
  <c r="BN30" i="4"/>
  <c r="BM30" i="4"/>
  <c r="BL30" i="4"/>
  <c r="BK30" i="4"/>
  <c r="BJ30" i="4"/>
  <c r="BI30" i="4"/>
  <c r="BH30" i="4"/>
  <c r="BG30" i="4"/>
  <c r="BF30" i="4"/>
  <c r="BE30" i="4"/>
  <c r="BD30" i="4"/>
  <c r="BC30" i="4"/>
  <c r="BB30" i="4"/>
  <c r="BA30" i="4"/>
  <c r="AZ30" i="4"/>
  <c r="AY30" i="4"/>
  <c r="AX30" i="4"/>
  <c r="AW30" i="4"/>
  <c r="AV30" i="4"/>
  <c r="AU30" i="4"/>
  <c r="AT30" i="4"/>
  <c r="AS30" i="4"/>
  <c r="AR30" i="4"/>
  <c r="AQ30" i="4"/>
  <c r="AP30" i="4"/>
  <c r="AO30" i="4"/>
  <c r="AN30" i="4"/>
  <c r="AM30" i="4"/>
  <c r="AL30" i="4"/>
  <c r="AK30" i="4"/>
  <c r="AJ30" i="4"/>
  <c r="AI30" i="4"/>
  <c r="AH30" i="4"/>
  <c r="AG30" i="4"/>
  <c r="AF30" i="4"/>
  <c r="AE30" i="4"/>
  <c r="AD30" i="4"/>
  <c r="AC30" i="4"/>
  <c r="AB30" i="4"/>
  <c r="AA30" i="4"/>
  <c r="Z30" i="4"/>
  <c r="Y30" i="4"/>
  <c r="X30" i="4"/>
  <c r="W30" i="4"/>
  <c r="V30" i="4"/>
  <c r="U30" i="4"/>
  <c r="T30" i="4"/>
  <c r="S30" i="4"/>
  <c r="R30" i="4"/>
  <c r="Q30" i="4"/>
  <c r="P30" i="4"/>
  <c r="BW29" i="4"/>
  <c r="BV29" i="4"/>
  <c r="BU29" i="4"/>
  <c r="BT29" i="4"/>
  <c r="BS29" i="4"/>
  <c r="BR29" i="4"/>
  <c r="BQ29" i="4"/>
  <c r="BP29" i="4"/>
  <c r="BO29" i="4"/>
  <c r="BN29" i="4"/>
  <c r="BM29" i="4"/>
  <c r="BL29" i="4"/>
  <c r="BK29" i="4"/>
  <c r="BJ29" i="4"/>
  <c r="BI29" i="4"/>
  <c r="BH29" i="4"/>
  <c r="BG29" i="4"/>
  <c r="BF29" i="4"/>
  <c r="BE29" i="4"/>
  <c r="BD29" i="4"/>
  <c r="BC29" i="4"/>
  <c r="BB29" i="4"/>
  <c r="BA29" i="4"/>
  <c r="AZ29" i="4"/>
  <c r="AY29" i="4"/>
  <c r="AX29" i="4"/>
  <c r="AW29" i="4"/>
  <c r="AV29" i="4"/>
  <c r="AU29" i="4"/>
  <c r="AT29" i="4"/>
  <c r="AS29" i="4"/>
  <c r="AR29" i="4"/>
  <c r="AQ29" i="4"/>
  <c r="AP29" i="4"/>
  <c r="AO29" i="4"/>
  <c r="AN29" i="4"/>
  <c r="AM29" i="4"/>
  <c r="AL29" i="4"/>
  <c r="AK29" i="4"/>
  <c r="AJ29" i="4"/>
  <c r="AI29" i="4"/>
  <c r="AH29" i="4"/>
  <c r="AG29" i="4"/>
  <c r="AF29" i="4"/>
  <c r="AE29" i="4"/>
  <c r="AD29" i="4"/>
  <c r="AC29" i="4"/>
  <c r="AB29" i="4"/>
  <c r="AA29" i="4"/>
  <c r="Z29" i="4"/>
  <c r="Y29" i="4"/>
  <c r="X29" i="4"/>
  <c r="W29" i="4"/>
  <c r="V29" i="4"/>
  <c r="U29" i="4"/>
  <c r="T29" i="4"/>
  <c r="S29" i="4"/>
  <c r="R29" i="4"/>
  <c r="Q29" i="4"/>
  <c r="P29" i="4"/>
  <c r="BW28" i="4"/>
  <c r="BV28" i="4"/>
  <c r="BU28" i="4"/>
  <c r="BT28" i="4"/>
  <c r="BS28" i="4"/>
  <c r="BR28" i="4"/>
  <c r="BQ28" i="4"/>
  <c r="BP28" i="4"/>
  <c r="BO28" i="4"/>
  <c r="BN28" i="4"/>
  <c r="BM28" i="4"/>
  <c r="BL28" i="4"/>
  <c r="BK28" i="4"/>
  <c r="BJ28" i="4"/>
  <c r="BI28" i="4"/>
  <c r="BH28" i="4"/>
  <c r="BG28" i="4"/>
  <c r="BF28" i="4"/>
  <c r="BE28" i="4"/>
  <c r="BD28" i="4"/>
  <c r="BC28" i="4"/>
  <c r="BB28" i="4"/>
  <c r="BA28" i="4"/>
  <c r="AZ28" i="4"/>
  <c r="AY28" i="4"/>
  <c r="AX28" i="4"/>
  <c r="AW28" i="4"/>
  <c r="AV28" i="4"/>
  <c r="AU28" i="4"/>
  <c r="AT28" i="4"/>
  <c r="AS28" i="4"/>
  <c r="AR28" i="4"/>
  <c r="AQ28" i="4"/>
  <c r="AP28" i="4"/>
  <c r="AO28" i="4"/>
  <c r="AN28" i="4"/>
  <c r="AM28" i="4"/>
  <c r="AL28" i="4"/>
  <c r="AK28" i="4"/>
  <c r="AJ28" i="4"/>
  <c r="AI28" i="4"/>
  <c r="AH28" i="4"/>
  <c r="AG28" i="4"/>
  <c r="AF28" i="4"/>
  <c r="AE28" i="4"/>
  <c r="AD28" i="4"/>
  <c r="AC28" i="4"/>
  <c r="AB28" i="4"/>
  <c r="AA28" i="4"/>
  <c r="Z28" i="4"/>
  <c r="Y28" i="4"/>
  <c r="X28" i="4"/>
  <c r="W28" i="4"/>
  <c r="V28" i="4"/>
  <c r="U28" i="4"/>
  <c r="T28" i="4"/>
  <c r="S28" i="4"/>
  <c r="R28" i="4"/>
  <c r="Q28" i="4"/>
  <c r="P28" i="4"/>
  <c r="BW27" i="4"/>
  <c r="BV27" i="4"/>
  <c r="BU27" i="4"/>
  <c r="BT27" i="4"/>
  <c r="BS27" i="4"/>
  <c r="BR27" i="4"/>
  <c r="BQ27" i="4"/>
  <c r="BP27" i="4"/>
  <c r="BO27" i="4"/>
  <c r="BN27" i="4"/>
  <c r="BM27" i="4"/>
  <c r="BL27" i="4"/>
  <c r="BK27" i="4"/>
  <c r="BJ27" i="4"/>
  <c r="BI27" i="4"/>
  <c r="BH27" i="4"/>
  <c r="BG27" i="4"/>
  <c r="BF27" i="4"/>
  <c r="BE27" i="4"/>
  <c r="BD27" i="4"/>
  <c r="BC27" i="4"/>
  <c r="BB27" i="4"/>
  <c r="BA27" i="4"/>
  <c r="AZ27" i="4"/>
  <c r="AY27" i="4"/>
  <c r="AX27" i="4"/>
  <c r="AW27" i="4"/>
  <c r="AV27" i="4"/>
  <c r="AU27" i="4"/>
  <c r="AT27" i="4"/>
  <c r="AS27" i="4"/>
  <c r="AR27" i="4"/>
  <c r="AQ27" i="4"/>
  <c r="AP27" i="4"/>
  <c r="AO27" i="4"/>
  <c r="AN27" i="4"/>
  <c r="AM27" i="4"/>
  <c r="AL27" i="4"/>
  <c r="AK27" i="4"/>
  <c r="AJ27" i="4"/>
  <c r="AI27" i="4"/>
  <c r="AH27" i="4"/>
  <c r="AG27" i="4"/>
  <c r="AF27" i="4"/>
  <c r="AE27" i="4"/>
  <c r="AD27" i="4"/>
  <c r="AC27" i="4"/>
  <c r="AB27" i="4"/>
  <c r="AA27" i="4"/>
  <c r="Z27" i="4"/>
  <c r="Y27" i="4"/>
  <c r="X27" i="4"/>
  <c r="W27" i="4"/>
  <c r="V27" i="4"/>
  <c r="U27" i="4"/>
  <c r="T27" i="4"/>
  <c r="S27" i="4"/>
  <c r="R27" i="4"/>
  <c r="Q27" i="4"/>
  <c r="P27" i="4"/>
  <c r="BW26" i="4"/>
  <c r="BV26" i="4"/>
  <c r="BU26" i="4"/>
  <c r="BT26" i="4"/>
  <c r="BS26" i="4"/>
  <c r="BR26" i="4"/>
  <c r="BQ26" i="4"/>
  <c r="BP26" i="4"/>
  <c r="BO26" i="4"/>
  <c r="BN26" i="4"/>
  <c r="BM26" i="4"/>
  <c r="BL26" i="4"/>
  <c r="BK26" i="4"/>
  <c r="BJ26" i="4"/>
  <c r="BI26" i="4"/>
  <c r="BH26" i="4"/>
  <c r="BG26" i="4"/>
  <c r="BF26" i="4"/>
  <c r="BE26" i="4"/>
  <c r="BD26" i="4"/>
  <c r="BC26" i="4"/>
  <c r="BB26" i="4"/>
  <c r="BA26" i="4"/>
  <c r="AZ26" i="4"/>
  <c r="AY26" i="4"/>
  <c r="AX26" i="4"/>
  <c r="AW26" i="4"/>
  <c r="AV26" i="4"/>
  <c r="AU26" i="4"/>
  <c r="AT26" i="4"/>
  <c r="AS26" i="4"/>
  <c r="AR26" i="4"/>
  <c r="AQ26" i="4"/>
  <c r="AP26" i="4"/>
  <c r="AO26" i="4"/>
  <c r="AN26" i="4"/>
  <c r="AM26" i="4"/>
  <c r="AL26" i="4"/>
  <c r="AK26" i="4"/>
  <c r="AJ26" i="4"/>
  <c r="AI26" i="4"/>
  <c r="AH26" i="4"/>
  <c r="AG26" i="4"/>
  <c r="AF26" i="4"/>
  <c r="AE26" i="4"/>
  <c r="AD26" i="4"/>
  <c r="AC26" i="4"/>
  <c r="AB26" i="4"/>
  <c r="AA26" i="4"/>
  <c r="Z26" i="4"/>
  <c r="Y26" i="4"/>
  <c r="X26" i="4"/>
  <c r="W26" i="4"/>
  <c r="V26" i="4"/>
  <c r="U26" i="4"/>
  <c r="T26" i="4"/>
  <c r="S26" i="4"/>
  <c r="R26" i="4"/>
  <c r="Q26" i="4"/>
  <c r="P26" i="4"/>
  <c r="A1" i="4"/>
  <c r="BJ26" i="3"/>
  <c r="BI26" i="3"/>
  <c r="BH26" i="3"/>
  <c r="BG26" i="3"/>
  <c r="BF26" i="3"/>
  <c r="BE26" i="3"/>
  <c r="BD26" i="3"/>
  <c r="BC26" i="3"/>
  <c r="BB26" i="3"/>
  <c r="BA26" i="3"/>
  <c r="AZ26" i="3"/>
  <c r="AY26" i="3"/>
  <c r="AX26" i="3"/>
  <c r="AW26" i="3"/>
  <c r="AV26" i="3"/>
  <c r="AU26" i="3"/>
  <c r="AT26" i="3"/>
  <c r="AS26" i="3"/>
  <c r="AR26" i="3"/>
  <c r="AQ26" i="3"/>
  <c r="AP26" i="3"/>
  <c r="AO26" i="3"/>
  <c r="AN26" i="3"/>
  <c r="AM26" i="3"/>
  <c r="AL26" i="3"/>
  <c r="AK26" i="3"/>
  <c r="AJ26" i="3"/>
  <c r="AI26" i="3"/>
  <c r="AH26" i="3"/>
  <c r="AG26" i="3"/>
  <c r="AF26" i="3"/>
  <c r="AE26" i="3"/>
  <c r="AD26" i="3"/>
  <c r="AC26" i="3"/>
  <c r="AB26" i="3"/>
  <c r="AA26" i="3"/>
  <c r="Z26" i="3"/>
  <c r="Y26" i="3"/>
  <c r="X26" i="3"/>
  <c r="W26" i="3"/>
  <c r="V26" i="3"/>
  <c r="U26" i="3"/>
  <c r="T26" i="3"/>
  <c r="S26" i="3"/>
  <c r="R26" i="3"/>
  <c r="Q26" i="3"/>
  <c r="P26" i="3"/>
  <c r="O26" i="3"/>
  <c r="N26" i="3"/>
  <c r="M26" i="3"/>
  <c r="L26" i="3"/>
  <c r="K26" i="3"/>
  <c r="J26" i="3"/>
  <c r="I26" i="3"/>
  <c r="H26" i="3"/>
  <c r="G26" i="3"/>
  <c r="F26" i="3"/>
  <c r="E26" i="3"/>
  <c r="D26" i="3"/>
  <c r="C26" i="3"/>
  <c r="BJ12" i="3"/>
  <c r="BI12" i="3"/>
  <c r="BH12" i="3"/>
  <c r="BG12" i="3"/>
  <c r="BF12" i="3"/>
  <c r="BE12" i="3"/>
  <c r="BD12" i="3"/>
  <c r="BC12" i="3"/>
  <c r="BB12" i="3"/>
  <c r="BA12" i="3"/>
  <c r="AZ12" i="3"/>
  <c r="AY12" i="3"/>
  <c r="AX12" i="3"/>
  <c r="AW12" i="3"/>
  <c r="AV12" i="3"/>
  <c r="AU12" i="3"/>
  <c r="AT12" i="3"/>
  <c r="AS12" i="3"/>
  <c r="AR12" i="3"/>
  <c r="AQ12" i="3"/>
  <c r="AP12" i="3"/>
  <c r="AO12" i="3"/>
  <c r="AN12" i="3"/>
  <c r="AM12" i="3"/>
  <c r="AL12" i="3"/>
  <c r="AK12" i="3"/>
  <c r="AJ12" i="3"/>
  <c r="AI12" i="3"/>
  <c r="AH12" i="3"/>
  <c r="AG12" i="3"/>
  <c r="AF12" i="3"/>
  <c r="AE12" i="3"/>
  <c r="AD12" i="3"/>
  <c r="AC12" i="3"/>
  <c r="AB12" i="3"/>
  <c r="AA12" i="3"/>
  <c r="Z12" i="3"/>
  <c r="Y12" i="3"/>
  <c r="X12" i="3"/>
  <c r="W12" i="3"/>
  <c r="V12" i="3"/>
  <c r="U12" i="3"/>
  <c r="T12" i="3"/>
  <c r="S12" i="3"/>
  <c r="R12" i="3"/>
  <c r="Q12" i="3"/>
  <c r="P12" i="3"/>
  <c r="O12" i="3"/>
  <c r="N12" i="3"/>
  <c r="M12" i="3"/>
  <c r="L12" i="3"/>
  <c r="K12" i="3"/>
  <c r="J12" i="3"/>
  <c r="I12" i="3"/>
  <c r="H12" i="3"/>
  <c r="G12" i="3"/>
  <c r="F12" i="3"/>
  <c r="E12" i="3"/>
  <c r="D12" i="3"/>
  <c r="C12" i="3"/>
  <c r="BJ11" i="3"/>
  <c r="BI11" i="3"/>
  <c r="BH11" i="3"/>
  <c r="BG11" i="3"/>
  <c r="BF11" i="3"/>
  <c r="BE11" i="3"/>
  <c r="BD11" i="3"/>
  <c r="BC11" i="3"/>
  <c r="BB11" i="3"/>
  <c r="BA11" i="3"/>
  <c r="AZ11" i="3"/>
  <c r="AY11" i="3"/>
  <c r="AX11" i="3"/>
  <c r="AW11" i="3"/>
  <c r="AV11" i="3"/>
  <c r="AU11" i="3"/>
  <c r="AT11" i="3"/>
  <c r="AS11" i="3"/>
  <c r="AR11" i="3"/>
  <c r="AQ11" i="3"/>
  <c r="AP11" i="3"/>
  <c r="AO11" i="3"/>
  <c r="AN11" i="3"/>
  <c r="AM11" i="3"/>
  <c r="AL11" i="3"/>
  <c r="AK11" i="3"/>
  <c r="AJ11" i="3"/>
  <c r="AI11" i="3"/>
  <c r="AH11" i="3"/>
  <c r="AG11" i="3"/>
  <c r="AF11" i="3"/>
  <c r="AE11" i="3"/>
  <c r="AD11" i="3"/>
  <c r="AC11" i="3"/>
  <c r="AB11" i="3"/>
  <c r="AA11" i="3"/>
  <c r="Z11" i="3"/>
  <c r="Y11" i="3"/>
  <c r="X11" i="3"/>
  <c r="W11" i="3"/>
  <c r="V11" i="3"/>
  <c r="U11" i="3"/>
  <c r="T11" i="3"/>
  <c r="S11" i="3"/>
  <c r="R11" i="3"/>
  <c r="Q11" i="3"/>
  <c r="P11" i="3"/>
  <c r="O11" i="3"/>
  <c r="N11" i="3"/>
  <c r="M11" i="3"/>
  <c r="L11" i="3"/>
  <c r="K11" i="3"/>
  <c r="J11" i="3"/>
  <c r="I11" i="3"/>
  <c r="H11" i="3"/>
  <c r="G11" i="3"/>
  <c r="F11" i="3"/>
  <c r="E11" i="3"/>
  <c r="D11" i="3"/>
  <c r="C11" i="3"/>
  <c r="BJ10" i="3"/>
  <c r="BI10" i="3"/>
  <c r="BI13" i="3" s="1"/>
  <c r="BH10" i="3"/>
  <c r="BH13" i="3" s="1"/>
  <c r="BG10" i="3"/>
  <c r="BG13" i="3" s="1"/>
  <c r="BF10" i="3"/>
  <c r="BE10" i="3"/>
  <c r="BE13" i="3" s="1"/>
  <c r="BD10" i="3"/>
  <c r="BC10" i="3"/>
  <c r="BC13" i="3" s="1"/>
  <c r="BB10" i="3"/>
  <c r="BB13" i="3" s="1"/>
  <c r="BA10" i="3"/>
  <c r="BA13" i="3" s="1"/>
  <c r="AZ10" i="3"/>
  <c r="AY10" i="3"/>
  <c r="AY13" i="3" s="1"/>
  <c r="AX10" i="3"/>
  <c r="AW10" i="3"/>
  <c r="AW13" i="3" s="1"/>
  <c r="AV10" i="3"/>
  <c r="AV13" i="3" s="1"/>
  <c r="AU10" i="3"/>
  <c r="AU13" i="3" s="1"/>
  <c r="AT10" i="3"/>
  <c r="AT13" i="3" s="1"/>
  <c r="AS10" i="3"/>
  <c r="AS13" i="3" s="1"/>
  <c r="AR10" i="3"/>
  <c r="AR13" i="3" s="1"/>
  <c r="AQ10" i="3"/>
  <c r="AQ13" i="3" s="1"/>
  <c r="AP10" i="3"/>
  <c r="AO10" i="3"/>
  <c r="AO13" i="3" s="1"/>
  <c r="AN10" i="3"/>
  <c r="AM10" i="3"/>
  <c r="AM13" i="3" s="1"/>
  <c r="AL10" i="3"/>
  <c r="AK10" i="3"/>
  <c r="AK13" i="3" s="1"/>
  <c r="AJ10" i="3"/>
  <c r="AI10" i="3"/>
  <c r="AH10" i="3"/>
  <c r="AH13" i="3" s="1"/>
  <c r="AG10" i="3"/>
  <c r="AG13" i="3" s="1"/>
  <c r="AF10" i="3"/>
  <c r="AE10" i="3"/>
  <c r="AE13" i="3" s="1"/>
  <c r="AD10" i="3"/>
  <c r="AD13" i="3" s="1"/>
  <c r="AC10" i="3"/>
  <c r="AC13" i="3" s="1"/>
  <c r="AB10" i="3"/>
  <c r="AA10" i="3"/>
  <c r="AA13" i="3" s="1"/>
  <c r="Z10" i="3"/>
  <c r="Z13" i="3" s="1"/>
  <c r="Y10" i="3"/>
  <c r="X10" i="3"/>
  <c r="X13" i="3" s="1"/>
  <c r="W10" i="3"/>
  <c r="W13" i="3" s="1"/>
  <c r="V10" i="3"/>
  <c r="U10" i="3"/>
  <c r="U13" i="3" s="1"/>
  <c r="T10" i="3"/>
  <c r="S10" i="3"/>
  <c r="S13" i="3" s="1"/>
  <c r="R10" i="3"/>
  <c r="Q10" i="3"/>
  <c r="Q13" i="3" s="1"/>
  <c r="P10" i="3"/>
  <c r="O10" i="3"/>
  <c r="O13" i="3" s="1"/>
  <c r="N10" i="3"/>
  <c r="N13" i="3" s="1"/>
  <c r="M10" i="3"/>
  <c r="L10" i="3"/>
  <c r="K10" i="3"/>
  <c r="K13" i="3" s="1"/>
  <c r="J10" i="3"/>
  <c r="J13" i="3" s="1"/>
  <c r="I10" i="3"/>
  <c r="H10" i="3"/>
  <c r="G10" i="3"/>
  <c r="G13" i="3" s="1"/>
  <c r="F10" i="3"/>
  <c r="F13" i="3" s="1"/>
  <c r="E10" i="3"/>
  <c r="D10" i="3"/>
  <c r="C10" i="3"/>
  <c r="C13" i="3" s="1"/>
  <c r="BJ8" i="3"/>
  <c r="BI8" i="3"/>
  <c r="BH8" i="3"/>
  <c r="BG8" i="3"/>
  <c r="BF8" i="3"/>
  <c r="BE8" i="3"/>
  <c r="BD8" i="3"/>
  <c r="BC8" i="3"/>
  <c r="BB8" i="3"/>
  <c r="BA8" i="3"/>
  <c r="AZ8" i="3"/>
  <c r="AY8" i="3"/>
  <c r="AX8" i="3"/>
  <c r="AW8" i="3"/>
  <c r="AV8" i="3"/>
  <c r="AU8" i="3"/>
  <c r="AT8" i="3"/>
  <c r="AS8" i="3"/>
  <c r="AR8" i="3"/>
  <c r="AQ8" i="3"/>
  <c r="AP8" i="3"/>
  <c r="AO8" i="3"/>
  <c r="AN8" i="3"/>
  <c r="AM8" i="3"/>
  <c r="AL8" i="3"/>
  <c r="AK8" i="3"/>
  <c r="AJ8" i="3"/>
  <c r="AI8" i="3"/>
  <c r="AH8" i="3"/>
  <c r="AG8" i="3"/>
  <c r="AF8" i="3"/>
  <c r="AE8" i="3"/>
  <c r="AD8" i="3"/>
  <c r="AC8" i="3"/>
  <c r="AB8" i="3"/>
  <c r="AA8" i="3"/>
  <c r="Z8" i="3"/>
  <c r="Y8" i="3"/>
  <c r="X8" i="3"/>
  <c r="W8" i="3"/>
  <c r="V8" i="3"/>
  <c r="U8" i="3"/>
  <c r="T8" i="3"/>
  <c r="S8" i="3"/>
  <c r="R8" i="3"/>
  <c r="Q8" i="3"/>
  <c r="P8" i="3"/>
  <c r="O8" i="3"/>
  <c r="N8" i="3"/>
  <c r="M8" i="3"/>
  <c r="L8" i="3"/>
  <c r="K8" i="3"/>
  <c r="J8" i="3"/>
  <c r="I8" i="3"/>
  <c r="H8" i="3"/>
  <c r="G8" i="3"/>
  <c r="F8" i="3"/>
  <c r="E8" i="3"/>
  <c r="D8" i="3"/>
  <c r="C8" i="3"/>
  <c r="BJ4" i="3"/>
  <c r="BI4" i="3"/>
  <c r="BH4" i="3"/>
  <c r="BG4" i="3"/>
  <c r="BF4" i="3"/>
  <c r="BE4" i="3"/>
  <c r="BD4" i="3"/>
  <c r="BC4" i="3"/>
  <c r="BB4" i="3"/>
  <c r="BA4" i="3"/>
  <c r="AZ4" i="3"/>
  <c r="AY4" i="3"/>
  <c r="AX4" i="3"/>
  <c r="AW4" i="3"/>
  <c r="AV4" i="3"/>
  <c r="AU4" i="3"/>
  <c r="AT4" i="3"/>
  <c r="AS4" i="3"/>
  <c r="AR4" i="3"/>
  <c r="AQ4" i="3"/>
  <c r="AP4" i="3"/>
  <c r="AO4" i="3"/>
  <c r="AN4" i="3"/>
  <c r="AM4" i="3"/>
  <c r="AL4" i="3"/>
  <c r="AK4" i="3"/>
  <c r="AJ4" i="3"/>
  <c r="AI4" i="3"/>
  <c r="AH4" i="3"/>
  <c r="AG4" i="3"/>
  <c r="AF4" i="3"/>
  <c r="AE4" i="3"/>
  <c r="AD4" i="3"/>
  <c r="AC4" i="3"/>
  <c r="AB4" i="3"/>
  <c r="AA4" i="3"/>
  <c r="Z4" i="3"/>
  <c r="Y4" i="3"/>
  <c r="X4" i="3"/>
  <c r="W4" i="3"/>
  <c r="V4" i="3"/>
  <c r="U4" i="3"/>
  <c r="T4" i="3"/>
  <c r="S4" i="3"/>
  <c r="R4" i="3"/>
  <c r="Q4" i="3"/>
  <c r="P4" i="3"/>
  <c r="O4" i="3"/>
  <c r="N4" i="3"/>
  <c r="M4" i="3"/>
  <c r="L4" i="3"/>
  <c r="K4" i="3"/>
  <c r="J4" i="3"/>
  <c r="I4" i="3"/>
  <c r="H4" i="3"/>
  <c r="G4" i="3"/>
  <c r="F4" i="3"/>
  <c r="E4" i="3"/>
  <c r="D4" i="3"/>
  <c r="C4" i="3"/>
  <c r="C1" i="3"/>
  <c r="AD66" i="2"/>
  <c r="R66" i="2"/>
  <c r="AD65" i="2"/>
  <c r="R65" i="2"/>
  <c r="AD64" i="2"/>
  <c r="R64" i="2"/>
  <c r="AD63" i="2"/>
  <c r="R63" i="2"/>
  <c r="AD62" i="2"/>
  <c r="R62" i="2"/>
  <c r="AD61" i="2"/>
  <c r="R61" i="2"/>
  <c r="AD60" i="2"/>
  <c r="R60" i="2"/>
  <c r="AD59" i="2"/>
  <c r="R59" i="2"/>
  <c r="AD58" i="2"/>
  <c r="R58" i="2"/>
  <c r="AD57" i="2"/>
  <c r="R57" i="2"/>
  <c r="AD56" i="2"/>
  <c r="R56" i="2"/>
  <c r="AD55" i="2"/>
  <c r="R55" i="2"/>
  <c r="AD54" i="2"/>
  <c r="R54" i="2"/>
  <c r="AD53" i="2"/>
  <c r="R53" i="2"/>
  <c r="AD52" i="2"/>
  <c r="R52" i="2"/>
  <c r="AD51" i="2"/>
  <c r="R51" i="2"/>
  <c r="AD50" i="2"/>
  <c r="R50" i="2"/>
  <c r="AD49" i="2"/>
  <c r="R49" i="2"/>
  <c r="AD48" i="2"/>
  <c r="R48" i="2"/>
  <c r="AD47" i="2"/>
  <c r="R47" i="2"/>
  <c r="AD46" i="2"/>
  <c r="R46" i="2"/>
  <c r="AD45" i="2"/>
  <c r="R45" i="2"/>
  <c r="AD44" i="2"/>
  <c r="R44" i="2"/>
  <c r="AD43" i="2"/>
  <c r="R43" i="2"/>
  <c r="AD42" i="2"/>
  <c r="R42" i="2"/>
  <c r="AD41" i="2"/>
  <c r="R41" i="2"/>
  <c r="AD40" i="2"/>
  <c r="R40" i="2"/>
  <c r="AD39" i="2"/>
  <c r="R39" i="2"/>
  <c r="AD38" i="2"/>
  <c r="AD37" i="2"/>
  <c r="AD36" i="2"/>
  <c r="AD35" i="2"/>
  <c r="AD34" i="2"/>
  <c r="AD33" i="2"/>
  <c r="AD32" i="2"/>
  <c r="AD31" i="2"/>
  <c r="AD30" i="2"/>
  <c r="AD29" i="2"/>
  <c r="AD28" i="2"/>
  <c r="AD27" i="2"/>
  <c r="AD26" i="2"/>
  <c r="AD25" i="2"/>
  <c r="AD24" i="2"/>
  <c r="AD23" i="2"/>
  <c r="AD22" i="2"/>
  <c r="AD21" i="2"/>
  <c r="AD20" i="2"/>
  <c r="AD19" i="2"/>
  <c r="AD18" i="2"/>
  <c r="AD17" i="2"/>
  <c r="AD16" i="2"/>
  <c r="AD15" i="2"/>
  <c r="AD14" i="2"/>
  <c r="AD13" i="2"/>
  <c r="AD12" i="2"/>
  <c r="AD11" i="2"/>
  <c r="AD10" i="2"/>
  <c r="AD9" i="2"/>
  <c r="AD8" i="2"/>
  <c r="AD7" i="2"/>
  <c r="Y7" i="2"/>
  <c r="W7" i="2"/>
  <c r="V7" i="2"/>
  <c r="X7" i="2" s="1"/>
  <c r="T7" i="2"/>
  <c r="K3" i="2"/>
  <c r="AB1" i="2"/>
  <c r="A1" i="2"/>
  <c r="A36" i="1"/>
  <c r="C3" i="5" s="1"/>
  <c r="D3" i="5" s="1"/>
  <c r="M13" i="3"/>
  <c r="AN515" i="7"/>
  <c r="AN513" i="7"/>
  <c r="K326" i="6" l="1"/>
  <c r="L326" i="6" s="1"/>
  <c r="P326" i="6"/>
  <c r="Q326" i="6" s="1"/>
  <c r="K327" i="6"/>
  <c r="L327" i="6" s="1"/>
  <c r="P327" i="6"/>
  <c r="Q327" i="6" s="1"/>
  <c r="M328" i="6"/>
  <c r="P328" i="6"/>
  <c r="Q328" i="6" s="1"/>
  <c r="J329" i="6"/>
  <c r="P329" i="6"/>
  <c r="Q329" i="6" s="1"/>
  <c r="V329" i="7"/>
  <c r="V330" i="7"/>
  <c r="AC141" i="7"/>
  <c r="W106" i="7"/>
  <c r="AC106" i="7" s="1"/>
  <c r="AI106" i="7" s="1"/>
  <c r="W146" i="7"/>
  <c r="AC146" i="7" s="1"/>
  <c r="AI146" i="7" s="1"/>
  <c r="AI42" i="7"/>
  <c r="AC291" i="7"/>
  <c r="AI291" i="7" s="1"/>
  <c r="AC243" i="7"/>
  <c r="AI243" i="7" s="1"/>
  <c r="AC266" i="7"/>
  <c r="AI266" i="7" s="1"/>
  <c r="AC259" i="7"/>
  <c r="AI259" i="7" s="1"/>
  <c r="AC254" i="7"/>
  <c r="AI254" i="7" s="1"/>
  <c r="AI284" i="7"/>
  <c r="AI279" i="7"/>
  <c r="AI220" i="7"/>
  <c r="W219" i="7"/>
  <c r="AC219" i="7" s="1"/>
  <c r="W93" i="7"/>
  <c r="AC93" i="7" s="1"/>
  <c r="AI93" i="7" s="1"/>
  <c r="AC189" i="7"/>
  <c r="AI189" i="7" s="1"/>
  <c r="W287" i="7"/>
  <c r="AC287" i="7" s="1"/>
  <c r="AI287" i="7" s="1"/>
  <c r="AC200" i="7"/>
  <c r="AI200" i="7" s="1"/>
  <c r="AC184" i="7"/>
  <c r="AI184" i="7" s="1"/>
  <c r="AC179" i="7"/>
  <c r="AI179" i="7" s="1"/>
  <c r="AC168" i="7"/>
  <c r="AI168" i="7" s="1"/>
  <c r="AC197" i="7"/>
  <c r="W270" i="7"/>
  <c r="AC270" i="7" s="1"/>
  <c r="W226" i="7"/>
  <c r="AC226" i="7" s="1"/>
  <c r="W91" i="7"/>
  <c r="AC91" i="7" s="1"/>
  <c r="AI91" i="7" s="1"/>
  <c r="AC36" i="7"/>
  <c r="AI36" i="7" s="1"/>
  <c r="AC15" i="7"/>
  <c r="W92" i="7"/>
  <c r="AC92" i="7" s="1"/>
  <c r="W118" i="7"/>
  <c r="W86" i="7"/>
  <c r="AC86" i="7" s="1"/>
  <c r="AI86" i="7" s="1"/>
  <c r="W51" i="7"/>
  <c r="W46" i="7"/>
  <c r="W294" i="7"/>
  <c r="AC294" i="7" s="1"/>
  <c r="AI294" i="7" s="1"/>
  <c r="W260" i="7"/>
  <c r="W228" i="7"/>
  <c r="W227" i="7"/>
  <c r="W147" i="7"/>
  <c r="W108" i="7"/>
  <c r="AC108" i="7" s="1"/>
  <c r="AI108" i="7" s="1"/>
  <c r="W238" i="7"/>
  <c r="AC238" i="7" s="1"/>
  <c r="AI206" i="7"/>
  <c r="W182" i="7"/>
  <c r="AC182" i="7" s="1"/>
  <c r="AI163" i="7"/>
  <c r="AI131" i="7"/>
  <c r="W115" i="7"/>
  <c r="AC115" i="7" s="1"/>
  <c r="W75" i="7"/>
  <c r="AC75" i="7" s="1"/>
  <c r="AI75" i="7" s="1"/>
  <c r="W20" i="7"/>
  <c r="AC20" i="7" s="1"/>
  <c r="AI299" i="7"/>
  <c r="AI301" i="7"/>
  <c r="W60" i="7"/>
  <c r="W133" i="7"/>
  <c r="AC133" i="7" s="1"/>
  <c r="AI133" i="7" s="1"/>
  <c r="W275" i="7"/>
  <c r="AC275" i="7" s="1"/>
  <c r="AI249" i="7"/>
  <c r="AC162" i="7"/>
  <c r="AI162" i="7" s="1"/>
  <c r="AC123" i="7"/>
  <c r="W90" i="7"/>
  <c r="AC90" i="7" s="1"/>
  <c r="W234" i="7"/>
  <c r="AC234" i="7" s="1"/>
  <c r="AI96" i="7"/>
  <c r="AI15" i="7"/>
  <c r="AI326" i="7"/>
  <c r="W289" i="7"/>
  <c r="AC289" i="7" s="1"/>
  <c r="W273" i="7"/>
  <c r="AC273" i="7" s="1"/>
  <c r="W272" i="7"/>
  <c r="AC272" i="7" s="1"/>
  <c r="W229" i="7"/>
  <c r="AC229" i="7" s="1"/>
  <c r="W132" i="7"/>
  <c r="AC132" i="7" s="1"/>
  <c r="W125" i="7"/>
  <c r="AC125" i="7" s="1"/>
  <c r="AI125" i="7" s="1"/>
  <c r="W120" i="7"/>
  <c r="AC120" i="7" s="1"/>
  <c r="W100" i="7"/>
  <c r="AC100" i="7" s="1"/>
  <c r="W99" i="7"/>
  <c r="AC99" i="7" s="1"/>
  <c r="W81" i="7"/>
  <c r="AC81" i="7" s="1"/>
  <c r="W76" i="7"/>
  <c r="AC76" i="7" s="1"/>
  <c r="AC215" i="7"/>
  <c r="AI215" i="7" s="1"/>
  <c r="AC171" i="7"/>
  <c r="AI171" i="7" s="1"/>
  <c r="AI150" i="7"/>
  <c r="AI129" i="7"/>
  <c r="AI26" i="7"/>
  <c r="AC267" i="7"/>
  <c r="AI267" i="7" s="1"/>
  <c r="AC235" i="7"/>
  <c r="AI235" i="7" s="1"/>
  <c r="AC167" i="7"/>
  <c r="AI167" i="7" s="1"/>
  <c r="AI140" i="7"/>
  <c r="W119" i="7"/>
  <c r="AC119" i="7" s="1"/>
  <c r="AC309" i="7"/>
  <c r="AI309" i="7" s="1"/>
  <c r="AI305" i="7"/>
  <c r="W274" i="7"/>
  <c r="AC274" i="7" s="1"/>
  <c r="AC269" i="7"/>
  <c r="AI269" i="7" s="1"/>
  <c r="AC258" i="7"/>
  <c r="AI258" i="7" s="1"/>
  <c r="AC257" i="7"/>
  <c r="AI257" i="7" s="1"/>
  <c r="AC237" i="7"/>
  <c r="AI237" i="7" s="1"/>
  <c r="AC205" i="7"/>
  <c r="AI205" i="7" s="1"/>
  <c r="W204" i="7"/>
  <c r="W181" i="7"/>
  <c r="W117" i="7"/>
  <c r="AC117" i="7" s="1"/>
  <c r="AI117" i="7" s="1"/>
  <c r="W105" i="7"/>
  <c r="AC105" i="7" s="1"/>
  <c r="AI105" i="7" s="1"/>
  <c r="W84" i="7"/>
  <c r="W66" i="7"/>
  <c r="W41" i="7"/>
  <c r="AC41" i="7" s="1"/>
  <c r="W29" i="7"/>
  <c r="AC29" i="7" s="1"/>
  <c r="W17" i="7"/>
  <c r="AC282" i="7"/>
  <c r="AI190" i="7"/>
  <c r="W102" i="7"/>
  <c r="AC102" i="7" s="1"/>
  <c r="AI102" i="7" s="1"/>
  <c r="AI74" i="7"/>
  <c r="AI63" i="7"/>
  <c r="AI30" i="7"/>
  <c r="AI14" i="7"/>
  <c r="AI211" i="7"/>
  <c r="AI195" i="7"/>
  <c r="W174" i="7"/>
  <c r="AC174" i="7" s="1"/>
  <c r="W151" i="7"/>
  <c r="AC151" i="7" s="1"/>
  <c r="AI151" i="7" s="1"/>
  <c r="AI54" i="7"/>
  <c r="AC31" i="7"/>
  <c r="W256" i="7"/>
  <c r="AC256" i="7" s="1"/>
  <c r="W213" i="7"/>
  <c r="AC213" i="7" s="1"/>
  <c r="AI213" i="7" s="1"/>
  <c r="W212" i="7"/>
  <c r="W192" i="7"/>
  <c r="W185" i="7"/>
  <c r="AC185" i="7" s="1"/>
  <c r="W180" i="7"/>
  <c r="W160" i="7"/>
  <c r="W153" i="7"/>
  <c r="W152" i="7"/>
  <c r="W49" i="7"/>
  <c r="AC49" i="7" s="1"/>
  <c r="W44" i="7"/>
  <c r="AC44" i="7" s="1"/>
  <c r="W33" i="7"/>
  <c r="AC33" i="7" s="1"/>
  <c r="AC21" i="7"/>
  <c r="AI21" i="7" s="1"/>
  <c r="W16" i="7"/>
  <c r="AC199" i="7"/>
  <c r="AI199" i="7" s="1"/>
  <c r="W111" i="7"/>
  <c r="AC111" i="7" s="1"/>
  <c r="AI111" i="7" s="1"/>
  <c r="W87" i="7"/>
  <c r="W59" i="7"/>
  <c r="AC59" i="7" s="1"/>
  <c r="W27" i="7"/>
  <c r="AC27" i="7" s="1"/>
  <c r="AI27" i="7" s="1"/>
  <c r="W193" i="7"/>
  <c r="AC193" i="7" s="1"/>
  <c r="W177" i="7"/>
  <c r="AC177" i="7" s="1"/>
  <c r="W165" i="7"/>
  <c r="AC165" i="7" s="1"/>
  <c r="W126" i="7"/>
  <c r="W101" i="7"/>
  <c r="AC101" i="7" s="1"/>
  <c r="AI101" i="7" s="1"/>
  <c r="W89" i="7"/>
  <c r="AC89" i="7" s="1"/>
  <c r="AI89" i="7" s="1"/>
  <c r="W77" i="7"/>
  <c r="AC77" i="7" s="1"/>
  <c r="W50" i="7"/>
  <c r="AC50" i="7" s="1"/>
  <c r="AI50" i="7" s="1"/>
  <c r="W25" i="7"/>
  <c r="AC25" i="7" s="1"/>
  <c r="W13" i="7"/>
  <c r="AC13" i="7" s="1"/>
  <c r="W210" i="7"/>
  <c r="AI134" i="7"/>
  <c r="W122" i="7"/>
  <c r="W156" i="7"/>
  <c r="AC156" i="7" s="1"/>
  <c r="W114" i="7"/>
  <c r="AC114" i="7" s="1"/>
  <c r="AI114" i="7" s="1"/>
  <c r="W252" i="7"/>
  <c r="AC252" i="7" s="1"/>
  <c r="AI252" i="7" s="1"/>
  <c r="W245" i="7"/>
  <c r="AI236" i="7"/>
  <c r="W208" i="7"/>
  <c r="AC208" i="7" s="1"/>
  <c r="AI208" i="7" s="1"/>
  <c r="W201" i="7"/>
  <c r="AC201" i="7" s="1"/>
  <c r="AI201" i="7" s="1"/>
  <c r="W196" i="7"/>
  <c r="AC196" i="7" s="1"/>
  <c r="AI196" i="7" s="1"/>
  <c r="W176" i="7"/>
  <c r="AC176" i="7" s="1"/>
  <c r="AI176" i="7" s="1"/>
  <c r="W169" i="7"/>
  <c r="AC169" i="7" s="1"/>
  <c r="AI169" i="7" s="1"/>
  <c r="W164" i="7"/>
  <c r="AC164" i="7" s="1"/>
  <c r="AI164" i="7" s="1"/>
  <c r="W148" i="7"/>
  <c r="AC148" i="7" s="1"/>
  <c r="AI148" i="7" s="1"/>
  <c r="AI141" i="7"/>
  <c r="W40" i="7"/>
  <c r="AC40" i="7" s="1"/>
  <c r="AI40" i="7" s="1"/>
  <c r="W32" i="7"/>
  <c r="AC32" i="7" s="1"/>
  <c r="AI32" i="7" s="1"/>
  <c r="W12" i="7"/>
  <c r="AC12" i="7" s="1"/>
  <c r="AI12" i="7" s="1"/>
  <c r="AI58" i="7"/>
  <c r="W124" i="7"/>
  <c r="AC124" i="7" s="1"/>
  <c r="AI124" i="7" s="1"/>
  <c r="W47" i="7"/>
  <c r="W11" i="7"/>
  <c r="AC11" i="7" s="1"/>
  <c r="AC323" i="7"/>
  <c r="AI323" i="7" s="1"/>
  <c r="AC281" i="7"/>
  <c r="AI281" i="7" s="1"/>
  <c r="AC230" i="7"/>
  <c r="AI230" i="7" s="1"/>
  <c r="AC225" i="7"/>
  <c r="AI225" i="7" s="1"/>
  <c r="W170" i="7"/>
  <c r="AC170" i="7" s="1"/>
  <c r="AI170" i="7" s="1"/>
  <c r="W144" i="7"/>
  <c r="AC144" i="7" s="1"/>
  <c r="AI144" i="7" s="1"/>
  <c r="W121" i="7"/>
  <c r="AC121" i="7" s="1"/>
  <c r="AI121" i="7" s="1"/>
  <c r="W94" i="7"/>
  <c r="W78" i="7"/>
  <c r="AC78" i="7" s="1"/>
  <c r="W57" i="7"/>
  <c r="AC57" i="7" s="1"/>
  <c r="AI57" i="7" s="1"/>
  <c r="W45" i="7"/>
  <c r="AC45" i="7" s="1"/>
  <c r="W24" i="7"/>
  <c r="AI282" i="7"/>
  <c r="W166" i="7"/>
  <c r="AC166" i="7" s="1"/>
  <c r="AI166" i="7" s="1"/>
  <c r="W251" i="7"/>
  <c r="AC251" i="7" s="1"/>
  <c r="W223" i="7"/>
  <c r="AC223" i="7" s="1"/>
  <c r="W80" i="7"/>
  <c r="AC80" i="7" s="1"/>
  <c r="W280" i="7"/>
  <c r="AC280" i="7" s="1"/>
  <c r="W268" i="7"/>
  <c r="AI261" i="7"/>
  <c r="AC245" i="7"/>
  <c r="AI245" i="7" s="1"/>
  <c r="W240" i="7"/>
  <c r="W224" i="7"/>
  <c r="AC224" i="7" s="1"/>
  <c r="W136" i="7"/>
  <c r="W116" i="7"/>
  <c r="AC116" i="7" s="1"/>
  <c r="W109" i="7"/>
  <c r="AC109" i="7" s="1"/>
  <c r="AI109" i="7" s="1"/>
  <c r="W104" i="7"/>
  <c r="AC104" i="7" s="1"/>
  <c r="W88" i="7"/>
  <c r="W72" i="7"/>
  <c r="AC72" i="7" s="1"/>
  <c r="W56" i="7"/>
  <c r="W39" i="7"/>
  <c r="AC39" i="7" s="1"/>
  <c r="AC242" i="7"/>
  <c r="AI242" i="7" s="1"/>
  <c r="AC155" i="7"/>
  <c r="AI155" i="7" s="1"/>
  <c r="W79" i="7"/>
  <c r="AC79" i="7" s="1"/>
  <c r="AC69" i="7"/>
  <c r="AI69" i="7" s="1"/>
  <c r="AC255" i="7"/>
  <c r="AI255" i="7" s="1"/>
  <c r="AC207" i="7"/>
  <c r="AI207" i="7" s="1"/>
  <c r="W107" i="7"/>
  <c r="AC107" i="7" s="1"/>
  <c r="W71" i="7"/>
  <c r="AC71" i="7" s="1"/>
  <c r="AI306" i="7"/>
  <c r="AC290" i="7"/>
  <c r="AI290" i="7" s="1"/>
  <c r="AC285" i="7"/>
  <c r="AI285" i="7" s="1"/>
  <c r="W265" i="7"/>
  <c r="AC264" i="7"/>
  <c r="AI264" i="7" s="1"/>
  <c r="AC253" i="7"/>
  <c r="AI253" i="7" s="1"/>
  <c r="W246" i="7"/>
  <c r="AC241" i="7"/>
  <c r="AI241" i="7" s="1"/>
  <c r="W221" i="7"/>
  <c r="AC221" i="7" s="1"/>
  <c r="W214" i="7"/>
  <c r="AC214" i="7" s="1"/>
  <c r="AC209" i="7"/>
  <c r="AI209" i="7" s="1"/>
  <c r="W186" i="7"/>
  <c r="W161" i="7"/>
  <c r="W145" i="7"/>
  <c r="AC145" i="7" s="1"/>
  <c r="AI145" i="7" s="1"/>
  <c r="W137" i="7"/>
  <c r="W110" i="7"/>
  <c r="AC110" i="7" s="1"/>
  <c r="W85" i="7"/>
  <c r="AC85" i="7" s="1"/>
  <c r="W73" i="7"/>
  <c r="AC73" i="7" s="1"/>
  <c r="W61" i="7"/>
  <c r="AC61" i="7" s="1"/>
  <c r="W34" i="7"/>
  <c r="AC34" i="7" s="1"/>
  <c r="AI34" i="7" s="1"/>
  <c r="W18" i="7"/>
  <c r="AC18" i="7" s="1"/>
  <c r="AI18" i="7" s="1"/>
  <c r="W286" i="7"/>
  <c r="W194" i="7"/>
  <c r="AC95" i="7"/>
  <c r="AI70" i="7"/>
  <c r="AI62" i="7"/>
  <c r="AI35" i="7"/>
  <c r="AI10" i="7"/>
  <c r="AI288" i="7"/>
  <c r="W276" i="7"/>
  <c r="AC276" i="7" s="1"/>
  <c r="AI276" i="7" s="1"/>
  <c r="AI244" i="7"/>
  <c r="AI216" i="7"/>
  <c r="AC43" i="7"/>
  <c r="AI43" i="7" s="1"/>
  <c r="AC198" i="7"/>
  <c r="AI198" i="7" s="1"/>
  <c r="AI197" i="7"/>
  <c r="AC154" i="7"/>
  <c r="AI154" i="7" s="1"/>
  <c r="W149" i="7"/>
  <c r="AC138" i="7"/>
  <c r="AI138" i="7" s="1"/>
  <c r="AC250" i="7"/>
  <c r="AI250" i="7" s="1"/>
  <c r="W231" i="7"/>
  <c r="W183" i="7"/>
  <c r="W139" i="7"/>
  <c r="AC139" i="7" s="1"/>
  <c r="AI123" i="7"/>
  <c r="AI95" i="7"/>
  <c r="W283" i="7"/>
  <c r="W271" i="7"/>
  <c r="AC271" i="7" s="1"/>
  <c r="W239" i="7"/>
  <c r="AC239" i="7" s="1"/>
  <c r="W191" i="7"/>
  <c r="AC191" i="7" s="1"/>
  <c r="W175" i="7"/>
  <c r="W135" i="7"/>
  <c r="AI31" i="7"/>
  <c r="AC320" i="7"/>
  <c r="AI320" i="7" s="1"/>
  <c r="AI317" i="7"/>
  <c r="AI325" i="7"/>
  <c r="V13" i="3"/>
  <c r="M324" i="6"/>
  <c r="P324" i="6"/>
  <c r="Q324" i="6" s="1"/>
  <c r="M325" i="6"/>
  <c r="P325" i="6"/>
  <c r="Q325" i="6" s="1"/>
  <c r="E13" i="3"/>
  <c r="R13" i="3"/>
  <c r="AI13" i="3"/>
  <c r="BF13" i="3"/>
  <c r="AX13" i="3"/>
  <c r="BJ13" i="3"/>
  <c r="I13" i="3"/>
  <c r="P90" i="6"/>
  <c r="Q90" i="6" s="1"/>
  <c r="M336" i="6"/>
  <c r="P282" i="6"/>
  <c r="Q282" i="6" s="1"/>
  <c r="M68" i="6"/>
  <c r="K482" i="6"/>
  <c r="L482" i="6" s="1"/>
  <c r="M174" i="6"/>
  <c r="M48" i="6"/>
  <c r="Y13" i="3"/>
  <c r="K403" i="6"/>
  <c r="L403" i="6" s="1"/>
  <c r="M169" i="6"/>
  <c r="AP13" i="3"/>
  <c r="AL13" i="3"/>
  <c r="K333" i="6"/>
  <c r="L333" i="6" s="1"/>
  <c r="L522" i="6"/>
  <c r="J471" i="6"/>
  <c r="M338" i="6"/>
  <c r="M244" i="6"/>
  <c r="P116" i="6"/>
  <c r="Q116" i="6" s="1"/>
  <c r="R20" i="6"/>
  <c r="N20" i="6" s="1"/>
  <c r="O20" i="6" s="1"/>
  <c r="T20" i="6" s="1"/>
  <c r="R247" i="6"/>
  <c r="M175" i="6"/>
  <c r="M121" i="6"/>
  <c r="M381" i="6"/>
  <c r="K394" i="6"/>
  <c r="L394" i="6" s="1"/>
  <c r="K426" i="6"/>
  <c r="L426" i="6" s="1"/>
  <c r="P240" i="6"/>
  <c r="Q240" i="6" s="1"/>
  <c r="M158" i="6"/>
  <c r="R138" i="6"/>
  <c r="P138" i="6" s="1"/>
  <c r="Q138" i="6" s="1"/>
  <c r="R108" i="6"/>
  <c r="P108" i="6" s="1"/>
  <c r="Q108" i="6" s="1"/>
  <c r="M84" i="6"/>
  <c r="R64" i="6"/>
  <c r="N64" i="6" s="1"/>
  <c r="O64" i="6" s="1"/>
  <c r="T64" i="6" s="1"/>
  <c r="P44" i="6"/>
  <c r="Q44" i="6" s="1"/>
  <c r="P16" i="6"/>
  <c r="Q16" i="6" s="1"/>
  <c r="M199" i="6"/>
  <c r="P161" i="6"/>
  <c r="Q161" i="6" s="1"/>
  <c r="J456" i="6"/>
  <c r="M372" i="6"/>
  <c r="K474" i="6"/>
  <c r="L474" i="6" s="1"/>
  <c r="M230" i="6"/>
  <c r="R154" i="6"/>
  <c r="N154" i="6" s="1"/>
  <c r="O154" i="6" s="1"/>
  <c r="T154" i="6" s="1"/>
  <c r="P102" i="6"/>
  <c r="Q102" i="6" s="1"/>
  <c r="M80" i="6"/>
  <c r="M58" i="6"/>
  <c r="J500" i="6"/>
  <c r="M352" i="6"/>
  <c r="M354" i="6"/>
  <c r="P226" i="6"/>
  <c r="Q226" i="6" s="1"/>
  <c r="R122" i="6"/>
  <c r="P122" i="6" s="1"/>
  <c r="Q122" i="6" s="1"/>
  <c r="P76" i="6"/>
  <c r="Q76" i="6" s="1"/>
  <c r="M54" i="6"/>
  <c r="P28" i="6"/>
  <c r="Q28" i="6" s="1"/>
  <c r="K359" i="6"/>
  <c r="L359" i="6" s="1"/>
  <c r="J417" i="6"/>
  <c r="M289" i="6"/>
  <c r="M257" i="6"/>
  <c r="P225" i="6"/>
  <c r="Q225" i="6" s="1"/>
  <c r="R185" i="6"/>
  <c r="P185" i="6" s="1"/>
  <c r="Q185" i="6" s="1"/>
  <c r="R153" i="6"/>
  <c r="AB147" i="7"/>
  <c r="P80" i="6"/>
  <c r="Q80" i="6" s="1"/>
  <c r="N80" i="6"/>
  <c r="O80" i="6" s="1"/>
  <c r="T80" i="6" s="1"/>
  <c r="P140" i="6"/>
  <c r="Q140" i="6" s="1"/>
  <c r="N140" i="6"/>
  <c r="O140" i="6" s="1"/>
  <c r="T140" i="6" s="1"/>
  <c r="N184" i="6"/>
  <c r="O184" i="6" s="1"/>
  <c r="T184" i="6" s="1"/>
  <c r="P184" i="6"/>
  <c r="Q184" i="6" s="1"/>
  <c r="K502" i="6"/>
  <c r="L502" i="6" s="1"/>
  <c r="M448" i="6"/>
  <c r="K348" i="6"/>
  <c r="L348" i="6" s="1"/>
  <c r="K332" i="6"/>
  <c r="L332" i="6" s="1"/>
  <c r="J354" i="6"/>
  <c r="J480" i="6"/>
  <c r="K350" i="6"/>
  <c r="L350" i="6" s="1"/>
  <c r="F350" i="6" s="1"/>
  <c r="K442" i="6"/>
  <c r="L442" i="6" s="1"/>
  <c r="K422" i="6"/>
  <c r="L422" i="6" s="1"/>
  <c r="J426" i="6"/>
  <c r="J328" i="6"/>
  <c r="M284" i="6"/>
  <c r="M278" i="6"/>
  <c r="M224" i="6"/>
  <c r="M218" i="6"/>
  <c r="M146" i="6"/>
  <c r="M140" i="6"/>
  <c r="M124" i="6"/>
  <c r="M118" i="6"/>
  <c r="M112" i="6"/>
  <c r="M106" i="6"/>
  <c r="M92" i="6"/>
  <c r="M88" i="6"/>
  <c r="M74" i="6"/>
  <c r="R62" i="6"/>
  <c r="P62" i="6" s="1"/>
  <c r="Q62" i="6" s="1"/>
  <c r="M30" i="6"/>
  <c r="M24" i="6"/>
  <c r="M18" i="6"/>
  <c r="M8" i="6"/>
  <c r="AG49" i="7"/>
  <c r="M460" i="6"/>
  <c r="M452" i="6"/>
  <c r="J448" i="6"/>
  <c r="M392" i="6"/>
  <c r="P3" i="4"/>
  <c r="P13" i="4" s="1"/>
  <c r="M348" i="6"/>
  <c r="M332" i="6"/>
  <c r="J350" i="6"/>
  <c r="K372" i="6"/>
  <c r="L372" i="6" s="1"/>
  <c r="K438" i="6"/>
  <c r="L438" i="6" s="1"/>
  <c r="K420" i="6"/>
  <c r="L420" i="6" s="1"/>
  <c r="J440" i="6"/>
  <c r="J422" i="6"/>
  <c r="M288" i="6"/>
  <c r="M256" i="6"/>
  <c r="M232" i="6"/>
  <c r="M200" i="6"/>
  <c r="M176" i="6"/>
  <c r="M150" i="6"/>
  <c r="M132" i="6"/>
  <c r="M98" i="6"/>
  <c r="M82" i="6"/>
  <c r="M60" i="6"/>
  <c r="M56" i="6"/>
  <c r="M38" i="6"/>
  <c r="M514" i="6"/>
  <c r="M456" i="6"/>
  <c r="J452" i="6"/>
  <c r="K396" i="6"/>
  <c r="L396" i="6" s="1"/>
  <c r="K352" i="6"/>
  <c r="L352" i="6" s="1"/>
  <c r="K336" i="6"/>
  <c r="L336" i="6" s="1"/>
  <c r="G336" i="6" s="1"/>
  <c r="K338" i="6"/>
  <c r="L338" i="6" s="1"/>
  <c r="K432" i="6"/>
  <c r="L432" i="6" s="1"/>
  <c r="J474" i="6"/>
  <c r="J434" i="6"/>
  <c r="J420" i="6"/>
  <c r="V163" i="7"/>
  <c r="AB163" i="7" s="1"/>
  <c r="AH163" i="7" s="1"/>
  <c r="AB253" i="7"/>
  <c r="N169" i="6"/>
  <c r="O169" i="6" s="1"/>
  <c r="T169" i="6" s="1"/>
  <c r="P169" i="6"/>
  <c r="Q169" i="6" s="1"/>
  <c r="N229" i="6"/>
  <c r="O229" i="6" s="1"/>
  <c r="T229" i="6" s="1"/>
  <c r="P229" i="6"/>
  <c r="Q229" i="6" s="1"/>
  <c r="N245" i="6"/>
  <c r="O245" i="6" s="1"/>
  <c r="T245" i="6" s="1"/>
  <c r="P245" i="6"/>
  <c r="Q245" i="6" s="1"/>
  <c r="M516" i="6"/>
  <c r="AB151" i="7"/>
  <c r="AB311" i="7"/>
  <c r="AB319" i="7"/>
  <c r="AH319" i="7" s="1"/>
  <c r="AB189" i="7"/>
  <c r="AB249" i="7"/>
  <c r="M485" i="6"/>
  <c r="M451" i="6"/>
  <c r="M359" i="6"/>
  <c r="J373" i="6"/>
  <c r="K325" i="6"/>
  <c r="L325" i="6" s="1"/>
  <c r="K435" i="6"/>
  <c r="L435" i="6" s="1"/>
  <c r="J399" i="6"/>
  <c r="M249" i="6"/>
  <c r="M223" i="6"/>
  <c r="N214" i="6"/>
  <c r="O214" i="6" s="1"/>
  <c r="T214" i="6" s="1"/>
  <c r="M463" i="6"/>
  <c r="M355" i="6"/>
  <c r="J357" i="6"/>
  <c r="K361" i="6"/>
  <c r="L361" i="6" s="1"/>
  <c r="J387" i="6"/>
  <c r="G387" i="6" s="1"/>
  <c r="AG138" i="7"/>
  <c r="AG289" i="7"/>
  <c r="V35" i="7"/>
  <c r="AB35" i="7" s="1"/>
  <c r="AH35" i="7" s="1"/>
  <c r="AB135" i="7"/>
  <c r="AB303" i="7"/>
  <c r="AH303" i="7" s="1"/>
  <c r="AB29" i="7"/>
  <c r="AB153" i="7"/>
  <c r="AB313" i="7"/>
  <c r="T288" i="6"/>
  <c r="K491" i="6"/>
  <c r="L491" i="6" s="1"/>
  <c r="M387" i="6"/>
  <c r="M371" i="6"/>
  <c r="C3" i="3"/>
  <c r="J381" i="6"/>
  <c r="K335" i="6"/>
  <c r="L335" i="6" s="1"/>
  <c r="J337" i="6"/>
  <c r="M361" i="6"/>
  <c r="M341" i="6"/>
  <c r="K441" i="6"/>
  <c r="L441" i="6" s="1"/>
  <c r="J477" i="6"/>
  <c r="J331" i="6"/>
  <c r="AA93" i="7"/>
  <c r="AG93" i="7" s="1"/>
  <c r="V18" i="7"/>
  <c r="AB18" i="7" s="1"/>
  <c r="AH18" i="7" s="1"/>
  <c r="V185" i="7"/>
  <c r="AB185" i="7" s="1"/>
  <c r="AH185" i="7" s="1"/>
  <c r="AB217" i="7"/>
  <c r="V281" i="7"/>
  <c r="AB281" i="7" s="1"/>
  <c r="AH281" i="7" s="1"/>
  <c r="AB317" i="7"/>
  <c r="AB19" i="7"/>
  <c r="AH19" i="7" s="1"/>
  <c r="AB139" i="7"/>
  <c r="AH139" i="7" s="1"/>
  <c r="D120" i="5"/>
  <c r="D116" i="5"/>
  <c r="D115" i="5"/>
  <c r="D101" i="5"/>
  <c r="D91" i="5"/>
  <c r="D102" i="5"/>
  <c r="D90" i="5"/>
  <c r="D86" i="5"/>
  <c r="D78" i="5"/>
  <c r="D70" i="5"/>
  <c r="D62" i="5"/>
  <c r="D52" i="5" a="1"/>
  <c r="D52" i="5" s="1"/>
  <c r="D83" i="5"/>
  <c r="D75" i="5"/>
  <c r="D67" i="5"/>
  <c r="D55" i="5" a="1"/>
  <c r="D55" i="5" s="1"/>
  <c r="D26" i="5" a="1"/>
  <c r="D26" i="5" s="1"/>
  <c r="D30" i="5" a="1"/>
  <c r="D30" i="5" s="1"/>
  <c r="D71" i="5"/>
  <c r="D118" i="5"/>
  <c r="D105" i="5"/>
  <c r="D94" i="5"/>
  <c r="D64" i="5"/>
  <c r="D69" i="5"/>
  <c r="D114" i="5"/>
  <c r="D111" i="5"/>
  <c r="D99" i="5"/>
  <c r="D110" i="5"/>
  <c r="D98" i="5"/>
  <c r="D88" i="5"/>
  <c r="D84" i="5"/>
  <c r="D76" i="5"/>
  <c r="D68" i="5"/>
  <c r="D60" i="5"/>
  <c r="D50" i="5" a="1"/>
  <c r="D50" i="5" s="1"/>
  <c r="D81" i="5"/>
  <c r="D73" i="5"/>
  <c r="D65" i="5"/>
  <c r="D53" i="5" a="1"/>
  <c r="D53" i="5" s="1"/>
  <c r="E3" i="5"/>
  <c r="D3" i="3"/>
  <c r="D51" i="5" a="1"/>
  <c r="D51" i="5" s="1"/>
  <c r="D31" i="5" a="1"/>
  <c r="D31" i="5" s="1"/>
  <c r="Q3" i="4"/>
  <c r="D117" i="5"/>
  <c r="D104" i="5"/>
  <c r="D72" i="5"/>
  <c r="D54" i="5" a="1"/>
  <c r="D54" i="5" s="1"/>
  <c r="D85" i="5"/>
  <c r="D61" i="5"/>
  <c r="D119" i="5"/>
  <c r="D109" i="5"/>
  <c r="D97" i="5"/>
  <c r="D106" i="5"/>
  <c r="D96" i="5"/>
  <c r="D108" i="5"/>
  <c r="D82" i="5"/>
  <c r="D74" i="5"/>
  <c r="D66" i="5"/>
  <c r="D56" i="5" a="1"/>
  <c r="D56" i="5" s="1"/>
  <c r="D89" i="5"/>
  <c r="D79" i="5"/>
  <c r="D63" i="5"/>
  <c r="D80" i="5"/>
  <c r="D122" i="5"/>
  <c r="D93" i="5"/>
  <c r="D87" i="5"/>
  <c r="D77" i="5"/>
  <c r="D20" i="5" a="1"/>
  <c r="D20" i="5" s="1"/>
  <c r="AG80" i="7"/>
  <c r="AH135" i="7"/>
  <c r="AH151" i="7"/>
  <c r="AB307" i="7"/>
  <c r="AH307" i="7" s="1"/>
  <c r="V315" i="7"/>
  <c r="AB315" i="7" s="1"/>
  <c r="V77" i="7"/>
  <c r="AB77" i="7" s="1"/>
  <c r="AH77" i="7" s="1"/>
  <c r="V141" i="7"/>
  <c r="AB141" i="7" s="1"/>
  <c r="AH141" i="7" s="1"/>
  <c r="V269" i="7"/>
  <c r="AB269" i="7" s="1"/>
  <c r="P9" i="4"/>
  <c r="P14" i="4"/>
  <c r="P21" i="4"/>
  <c r="P20" i="6"/>
  <c r="Q20" i="6" s="1"/>
  <c r="M515" i="6"/>
  <c r="M517" i="6"/>
  <c r="M519" i="6"/>
  <c r="AL523" i="7"/>
  <c r="C523" i="7"/>
  <c r="V30" i="7"/>
  <c r="AB30" i="7" s="1"/>
  <c r="AH30" i="7" s="1"/>
  <c r="AH147" i="7"/>
  <c r="V171" i="7"/>
  <c r="AB171" i="7" s="1"/>
  <c r="AB179" i="7"/>
  <c r="AH179" i="7" s="1"/>
  <c r="V187" i="7"/>
  <c r="AB195" i="7"/>
  <c r="AH195" i="7" s="1"/>
  <c r="V203" i="7"/>
  <c r="AB203" i="7" s="1"/>
  <c r="AB211" i="7"/>
  <c r="AH211" i="7" s="1"/>
  <c r="V219" i="7"/>
  <c r="AB227" i="7"/>
  <c r="AH227" i="7" s="1"/>
  <c r="V235" i="7"/>
  <c r="AB235" i="7" s="1"/>
  <c r="AB243" i="7"/>
  <c r="AH243" i="7" s="1"/>
  <c r="V251" i="7"/>
  <c r="AB259" i="7"/>
  <c r="AH259" i="7" s="1"/>
  <c r="V267" i="7"/>
  <c r="AB267" i="7" s="1"/>
  <c r="AB275" i="7"/>
  <c r="AH275" i="7" s="1"/>
  <c r="V283" i="7"/>
  <c r="AB291" i="7"/>
  <c r="AH291" i="7" s="1"/>
  <c r="V299" i="7"/>
  <c r="AB299" i="7" s="1"/>
  <c r="V237" i="7"/>
  <c r="AB237" i="7" s="1"/>
  <c r="AH237" i="7" s="1"/>
  <c r="D3" i="4"/>
  <c r="P10" i="4"/>
  <c r="P16" i="4"/>
  <c r="P64" i="6"/>
  <c r="Q64" i="6" s="1"/>
  <c r="T242" i="6"/>
  <c r="K242" i="6" s="1"/>
  <c r="AA20" i="7"/>
  <c r="AG20" i="7" s="1"/>
  <c r="AA140" i="7"/>
  <c r="AG140" i="7" s="1"/>
  <c r="AG141" i="7"/>
  <c r="AG261" i="7"/>
  <c r="AG63" i="7"/>
  <c r="AG123" i="7"/>
  <c r="AG183" i="7"/>
  <c r="AG243" i="7"/>
  <c r="AG306" i="7"/>
  <c r="AG34" i="7"/>
  <c r="AG94" i="7"/>
  <c r="AG154" i="7"/>
  <c r="AG214" i="7"/>
  <c r="AG274" i="7"/>
  <c r="AG293" i="7"/>
  <c r="V31" i="7"/>
  <c r="V143" i="7"/>
  <c r="AB159" i="7"/>
  <c r="AH159" i="7" s="1"/>
  <c r="V167" i="7"/>
  <c r="V205" i="7"/>
  <c r="AB205" i="7" s="1"/>
  <c r="P4" i="4"/>
  <c r="P12" i="4"/>
  <c r="P17" i="4"/>
  <c r="P154" i="6"/>
  <c r="Q154" i="6" s="1"/>
  <c r="P199" i="6"/>
  <c r="Q199" i="6" s="1"/>
  <c r="AG65" i="7"/>
  <c r="AG125" i="7"/>
  <c r="AA81" i="7"/>
  <c r="AG81" i="7" s="1"/>
  <c r="AA201" i="7"/>
  <c r="AG201" i="7" s="1"/>
  <c r="AA324" i="7"/>
  <c r="AG324" i="7" s="1"/>
  <c r="AG96" i="7"/>
  <c r="AG18" i="7"/>
  <c r="AG258" i="7"/>
  <c r="AG169" i="7"/>
  <c r="AB155" i="7"/>
  <c r="AH155" i="7" s="1"/>
  <c r="AB175" i="7"/>
  <c r="AH175" i="7" s="1"/>
  <c r="AB183" i="7"/>
  <c r="AH183" i="7" s="1"/>
  <c r="AB191" i="7"/>
  <c r="AH191" i="7" s="1"/>
  <c r="AB199" i="7"/>
  <c r="AH199" i="7" s="1"/>
  <c r="AB207" i="7"/>
  <c r="AH207" i="7" s="1"/>
  <c r="AB215" i="7"/>
  <c r="AH215" i="7" s="1"/>
  <c r="AB223" i="7"/>
  <c r="AH223" i="7" s="1"/>
  <c r="AB231" i="7"/>
  <c r="AH231" i="7" s="1"/>
  <c r="AB239" i="7"/>
  <c r="AH239" i="7" s="1"/>
  <c r="AB247" i="7"/>
  <c r="AH247" i="7" s="1"/>
  <c r="AB255" i="7"/>
  <c r="AH255" i="7" s="1"/>
  <c r="AB263" i="7"/>
  <c r="AH263" i="7" s="1"/>
  <c r="AB271" i="7"/>
  <c r="AH271" i="7" s="1"/>
  <c r="AB279" i="7"/>
  <c r="AH279" i="7" s="1"/>
  <c r="AB287" i="7"/>
  <c r="AH287" i="7" s="1"/>
  <c r="AB295" i="7"/>
  <c r="AH295" i="7" s="1"/>
  <c r="AH311" i="7"/>
  <c r="V13" i="7"/>
  <c r="AB13" i="7" s="1"/>
  <c r="AH13" i="7" s="1"/>
  <c r="V173" i="7"/>
  <c r="AB173" i="7" s="1"/>
  <c r="V301" i="7"/>
  <c r="AH40" i="7"/>
  <c r="AH48" i="7"/>
  <c r="AH56" i="7"/>
  <c r="AH64" i="7"/>
  <c r="AH72" i="7"/>
  <c r="AH80" i="7"/>
  <c r="AH88" i="7"/>
  <c r="AH96" i="7"/>
  <c r="AH104" i="7"/>
  <c r="AH112" i="7"/>
  <c r="AH120" i="7"/>
  <c r="AH128" i="7"/>
  <c r="AH121" i="7"/>
  <c r="AH137" i="7"/>
  <c r="AH169" i="7"/>
  <c r="AH201" i="7"/>
  <c r="AH233" i="7"/>
  <c r="AH265" i="7"/>
  <c r="AH297" i="7"/>
  <c r="AH29" i="7"/>
  <c r="AH93" i="7"/>
  <c r="AH157" i="7"/>
  <c r="AH189" i="7"/>
  <c r="AH221" i="7"/>
  <c r="AH241" i="7"/>
  <c r="AH253" i="7"/>
  <c r="AH273" i="7"/>
  <c r="AH285" i="7"/>
  <c r="AH305" i="7"/>
  <c r="AH317" i="7"/>
  <c r="AH44" i="7"/>
  <c r="AH52" i="7"/>
  <c r="AH60" i="7"/>
  <c r="AH68" i="7"/>
  <c r="AH76" i="7"/>
  <c r="AH84" i="7"/>
  <c r="AH92" i="7"/>
  <c r="AH100" i="7"/>
  <c r="AH108" i="7"/>
  <c r="AH116" i="7"/>
  <c r="AH124" i="7"/>
  <c r="AH132" i="7"/>
  <c r="AB9" i="7"/>
  <c r="AH9" i="7" s="1"/>
  <c r="AH25" i="7"/>
  <c r="AB41" i="7"/>
  <c r="AH41" i="7" s="1"/>
  <c r="AB57" i="7"/>
  <c r="AH57" i="7" s="1"/>
  <c r="AB73" i="7"/>
  <c r="AH73" i="7" s="1"/>
  <c r="AH89" i="7"/>
  <c r="AB105" i="7"/>
  <c r="AH105" i="7" s="1"/>
  <c r="AH153" i="7"/>
  <c r="AH217" i="7"/>
  <c r="AH249" i="7"/>
  <c r="AH313" i="7"/>
  <c r="AB78" i="7"/>
  <c r="AH78" i="7" s="1"/>
  <c r="AB94" i="7"/>
  <c r="AH94" i="7" s="1"/>
  <c r="AB110" i="7"/>
  <c r="AH110" i="7" s="1"/>
  <c r="AB126" i="7"/>
  <c r="AH126" i="7" s="1"/>
  <c r="AB142" i="7"/>
  <c r="AH142" i="7" s="1"/>
  <c r="AB158" i="7"/>
  <c r="AH158" i="7" s="1"/>
  <c r="AB174" i="7"/>
  <c r="AH174" i="7" s="1"/>
  <c r="AB190" i="7"/>
  <c r="AH190" i="7" s="1"/>
  <c r="AB206" i="7"/>
  <c r="AH206" i="7" s="1"/>
  <c r="AB222" i="7"/>
  <c r="AH222" i="7" s="1"/>
  <c r="AB238" i="7"/>
  <c r="AH238" i="7" s="1"/>
  <c r="AB254" i="7"/>
  <c r="AH254" i="7" s="1"/>
  <c r="AB270" i="7"/>
  <c r="AH270" i="7" s="1"/>
  <c r="AB286" i="7"/>
  <c r="AH286" i="7" s="1"/>
  <c r="AB302" i="7"/>
  <c r="AH302" i="7" s="1"/>
  <c r="AB318" i="7"/>
  <c r="AH318" i="7" s="1"/>
  <c r="AB82" i="7"/>
  <c r="AH82" i="7" s="1"/>
  <c r="AB98" i="7"/>
  <c r="AH98" i="7" s="1"/>
  <c r="AB114" i="7"/>
  <c r="AH114" i="7" s="1"/>
  <c r="AB130" i="7"/>
  <c r="AH130" i="7" s="1"/>
  <c r="AB146" i="7"/>
  <c r="AH146" i="7" s="1"/>
  <c r="AB162" i="7"/>
  <c r="AH162" i="7" s="1"/>
  <c r="AB178" i="7"/>
  <c r="AH178" i="7" s="1"/>
  <c r="AB194" i="7"/>
  <c r="AH194" i="7" s="1"/>
  <c r="AB210" i="7"/>
  <c r="AH210" i="7" s="1"/>
  <c r="AB226" i="7"/>
  <c r="AH226" i="7" s="1"/>
  <c r="AB242" i="7"/>
  <c r="AH242" i="7" s="1"/>
  <c r="AB258" i="7"/>
  <c r="AH258" i="7" s="1"/>
  <c r="AB274" i="7"/>
  <c r="AH274" i="7" s="1"/>
  <c r="AB290" i="7"/>
  <c r="AH290" i="7" s="1"/>
  <c r="AB306" i="7"/>
  <c r="AH306" i="7" s="1"/>
  <c r="AB322" i="7"/>
  <c r="AH322" i="7" s="1"/>
  <c r="AH8" i="7"/>
  <c r="AH16" i="7"/>
  <c r="AH24" i="7"/>
  <c r="AH32" i="7"/>
  <c r="AH17" i="7"/>
  <c r="AH37" i="7"/>
  <c r="AH53" i="7"/>
  <c r="AH69" i="7"/>
  <c r="AH81" i="7"/>
  <c r="AH101" i="7"/>
  <c r="AH117" i="7"/>
  <c r="AH133" i="7"/>
  <c r="AH145" i="7"/>
  <c r="AH165" i="7"/>
  <c r="AH177" i="7"/>
  <c r="AH197" i="7"/>
  <c r="AH209" i="7"/>
  <c r="AH229" i="7"/>
  <c r="AH261" i="7"/>
  <c r="AH293" i="7"/>
  <c r="AB70" i="7"/>
  <c r="AH70" i="7" s="1"/>
  <c r="AB86" i="7"/>
  <c r="AH86" i="7" s="1"/>
  <c r="AB102" i="7"/>
  <c r="AH102" i="7" s="1"/>
  <c r="AB118" i="7"/>
  <c r="AH118" i="7" s="1"/>
  <c r="AB134" i="7"/>
  <c r="AH134" i="7" s="1"/>
  <c r="AB150" i="7"/>
  <c r="AH150" i="7" s="1"/>
  <c r="AB166" i="7"/>
  <c r="AH166" i="7" s="1"/>
  <c r="AB182" i="7"/>
  <c r="AH182" i="7" s="1"/>
  <c r="AB198" i="7"/>
  <c r="AH198" i="7" s="1"/>
  <c r="AB214" i="7"/>
  <c r="AH214" i="7" s="1"/>
  <c r="AB230" i="7"/>
  <c r="AH230" i="7" s="1"/>
  <c r="AB246" i="7"/>
  <c r="AH246" i="7" s="1"/>
  <c r="AB262" i="7"/>
  <c r="AH262" i="7" s="1"/>
  <c r="AB278" i="7"/>
  <c r="AH278" i="7" s="1"/>
  <c r="AB294" i="7"/>
  <c r="AH294" i="7" s="1"/>
  <c r="AB310" i="7"/>
  <c r="AH310" i="7" s="1"/>
  <c r="AB74" i="7"/>
  <c r="AH74" i="7" s="1"/>
  <c r="AB90" i="7"/>
  <c r="AH90" i="7" s="1"/>
  <c r="AB106" i="7"/>
  <c r="AH106" i="7" s="1"/>
  <c r="AB122" i="7"/>
  <c r="AH122" i="7" s="1"/>
  <c r="AB138" i="7"/>
  <c r="AH138" i="7" s="1"/>
  <c r="AB154" i="7"/>
  <c r="AH154" i="7" s="1"/>
  <c r="AB170" i="7"/>
  <c r="AH170" i="7" s="1"/>
  <c r="AB186" i="7"/>
  <c r="AH186" i="7" s="1"/>
  <c r="AB202" i="7"/>
  <c r="AH202" i="7" s="1"/>
  <c r="AB218" i="7"/>
  <c r="AH218" i="7" s="1"/>
  <c r="AB234" i="7"/>
  <c r="AH234" i="7" s="1"/>
  <c r="AB250" i="7"/>
  <c r="AH250" i="7" s="1"/>
  <c r="AB266" i="7"/>
  <c r="AH266" i="7" s="1"/>
  <c r="AB282" i="7"/>
  <c r="AH282" i="7" s="1"/>
  <c r="AB298" i="7"/>
  <c r="AH298" i="7" s="1"/>
  <c r="AB314" i="7"/>
  <c r="AH314" i="7" s="1"/>
  <c r="AH12" i="7"/>
  <c r="AH20" i="7"/>
  <c r="AH28" i="7"/>
  <c r="AH21" i="7"/>
  <c r="AH33" i="7"/>
  <c r="AH49" i="7"/>
  <c r="AH65" i="7"/>
  <c r="AH85" i="7"/>
  <c r="AH97" i="7"/>
  <c r="AH113" i="7"/>
  <c r="AH129" i="7"/>
  <c r="AH149" i="7"/>
  <c r="AH161" i="7"/>
  <c r="AH181" i="7"/>
  <c r="AH193" i="7"/>
  <c r="AH213" i="7"/>
  <c r="AH225" i="7"/>
  <c r="AH245" i="7"/>
  <c r="AH257" i="7"/>
  <c r="AH277" i="7"/>
  <c r="AH289" i="7"/>
  <c r="AH309" i="7"/>
  <c r="AH321" i="7"/>
  <c r="H381" i="6"/>
  <c r="I381" i="6" s="1"/>
  <c r="G352" i="6"/>
  <c r="K121" i="6"/>
  <c r="J121" i="6"/>
  <c r="L121" i="6"/>
  <c r="P129" i="6"/>
  <c r="Q129" i="6" s="1"/>
  <c r="K129" i="6"/>
  <c r="J129" i="6"/>
  <c r="L129" i="6"/>
  <c r="K131" i="6"/>
  <c r="J131" i="6"/>
  <c r="L131" i="6"/>
  <c r="K133" i="6"/>
  <c r="J133" i="6"/>
  <c r="L133" i="6"/>
  <c r="M135" i="6"/>
  <c r="K135" i="6"/>
  <c r="J135" i="6"/>
  <c r="L135" i="6"/>
  <c r="M137" i="6"/>
  <c r="L137" i="6"/>
  <c r="M139" i="6"/>
  <c r="L139" i="6"/>
  <c r="K141" i="6"/>
  <c r="J141" i="6"/>
  <c r="L141" i="6"/>
  <c r="K143" i="6"/>
  <c r="J143" i="6"/>
  <c r="L143" i="6"/>
  <c r="M145" i="6"/>
  <c r="K145" i="6"/>
  <c r="J145" i="6"/>
  <c r="L145" i="6"/>
  <c r="K147" i="6"/>
  <c r="J147" i="6"/>
  <c r="L147" i="6"/>
  <c r="K149" i="6"/>
  <c r="J149" i="6"/>
  <c r="L149" i="6"/>
  <c r="P151" i="6"/>
  <c r="Q151" i="6" s="1"/>
  <c r="K151" i="6"/>
  <c r="J151" i="6"/>
  <c r="L151" i="6"/>
  <c r="L153" i="6"/>
  <c r="M155" i="6"/>
  <c r="L155" i="6"/>
  <c r="M157" i="6"/>
  <c r="K157" i="6"/>
  <c r="J157" i="6"/>
  <c r="L157" i="6"/>
  <c r="K159" i="6"/>
  <c r="J159" i="6"/>
  <c r="L159" i="6"/>
  <c r="K161" i="6"/>
  <c r="J161" i="6"/>
  <c r="L161" i="6"/>
  <c r="K163" i="6"/>
  <c r="J163" i="6"/>
  <c r="L163" i="6"/>
  <c r="K165" i="6"/>
  <c r="J165" i="6"/>
  <c r="L165" i="6"/>
  <c r="R167" i="6"/>
  <c r="K169" i="6"/>
  <c r="J169" i="6"/>
  <c r="L169" i="6"/>
  <c r="K171" i="6"/>
  <c r="J171" i="6"/>
  <c r="L171" i="6"/>
  <c r="K173" i="6"/>
  <c r="J173" i="6"/>
  <c r="L173" i="6"/>
  <c r="K175" i="6"/>
  <c r="J175" i="6"/>
  <c r="L175" i="6"/>
  <c r="M177" i="6"/>
  <c r="K177" i="6"/>
  <c r="J177" i="6"/>
  <c r="L177" i="6"/>
  <c r="M179" i="6"/>
  <c r="K179" i="6"/>
  <c r="J179" i="6"/>
  <c r="L179" i="6"/>
  <c r="P181" i="6"/>
  <c r="Q181" i="6" s="1"/>
  <c r="K181" i="6"/>
  <c r="J181" i="6"/>
  <c r="L181" i="6"/>
  <c r="R183" i="6"/>
  <c r="L185" i="6"/>
  <c r="K189" i="6"/>
  <c r="J189" i="6"/>
  <c r="L189" i="6"/>
  <c r="P191" i="6"/>
  <c r="Q191" i="6" s="1"/>
  <c r="K191" i="6"/>
  <c r="J191" i="6"/>
  <c r="L191" i="6"/>
  <c r="P193" i="6"/>
  <c r="Q193" i="6" s="1"/>
  <c r="K193" i="6"/>
  <c r="J193" i="6"/>
  <c r="L193" i="6"/>
  <c r="K195" i="6"/>
  <c r="J195" i="6"/>
  <c r="L195" i="6"/>
  <c r="R197" i="6"/>
  <c r="L199" i="6"/>
  <c r="K201" i="6"/>
  <c r="J201" i="6"/>
  <c r="L201" i="6"/>
  <c r="K203" i="6"/>
  <c r="J203" i="6"/>
  <c r="L203" i="6"/>
  <c r="P205" i="6"/>
  <c r="Q205" i="6" s="1"/>
  <c r="K205" i="6"/>
  <c r="J205" i="6"/>
  <c r="L205" i="6"/>
  <c r="P207" i="6"/>
  <c r="Q207" i="6" s="1"/>
  <c r="K207" i="6"/>
  <c r="J207" i="6"/>
  <c r="L207" i="6"/>
  <c r="K209" i="6"/>
  <c r="J209" i="6"/>
  <c r="L209" i="6"/>
  <c r="M211" i="6"/>
  <c r="K211" i="6"/>
  <c r="J211" i="6"/>
  <c r="L211" i="6"/>
  <c r="M215" i="6"/>
  <c r="K219" i="6"/>
  <c r="J219" i="6"/>
  <c r="L219" i="6"/>
  <c r="K221" i="6"/>
  <c r="J221" i="6"/>
  <c r="L221" i="6"/>
  <c r="K223" i="6"/>
  <c r="J223" i="6"/>
  <c r="L223" i="6"/>
  <c r="K225" i="6"/>
  <c r="J225" i="6"/>
  <c r="L225" i="6"/>
  <c r="M229" i="6"/>
  <c r="K229" i="6"/>
  <c r="J229" i="6"/>
  <c r="L229" i="6"/>
  <c r="K231" i="6"/>
  <c r="J231" i="6"/>
  <c r="L231" i="6"/>
  <c r="M233" i="6"/>
  <c r="K233" i="6"/>
  <c r="J233" i="6"/>
  <c r="L233" i="6"/>
  <c r="K235" i="6"/>
  <c r="J235" i="6"/>
  <c r="L235" i="6"/>
  <c r="P237" i="6"/>
  <c r="Q237" i="6" s="1"/>
  <c r="K237" i="6"/>
  <c r="J237" i="6"/>
  <c r="L237" i="6"/>
  <c r="P239" i="6"/>
  <c r="Q239" i="6" s="1"/>
  <c r="K239" i="6"/>
  <c r="J239" i="6"/>
  <c r="L239" i="6"/>
  <c r="K241" i="6"/>
  <c r="J241" i="6"/>
  <c r="L241" i="6"/>
  <c r="M245" i="6"/>
  <c r="K245" i="6"/>
  <c r="J245" i="6"/>
  <c r="L245" i="6"/>
  <c r="K247" i="6"/>
  <c r="J247" i="6"/>
  <c r="L247" i="6"/>
  <c r="K249" i="6"/>
  <c r="J249" i="6"/>
  <c r="L249" i="6"/>
  <c r="K251" i="6"/>
  <c r="J251" i="6"/>
  <c r="L251" i="6"/>
  <c r="P253" i="6"/>
  <c r="Q253" i="6" s="1"/>
  <c r="K253" i="6"/>
  <c r="J253" i="6"/>
  <c r="L253" i="6"/>
  <c r="P255" i="6"/>
  <c r="Q255" i="6" s="1"/>
  <c r="K255" i="6"/>
  <c r="J255" i="6"/>
  <c r="L255" i="6"/>
  <c r="L257" i="6"/>
  <c r="K261" i="6"/>
  <c r="J261" i="6"/>
  <c r="L261" i="6"/>
  <c r="P263" i="6"/>
  <c r="Q263" i="6" s="1"/>
  <c r="K263" i="6"/>
  <c r="L263" i="6"/>
  <c r="J263" i="6"/>
  <c r="P265" i="6"/>
  <c r="Q265" i="6" s="1"/>
  <c r="K265" i="6"/>
  <c r="L265" i="6"/>
  <c r="J265" i="6"/>
  <c r="K267" i="6"/>
  <c r="L267" i="6"/>
  <c r="J267" i="6"/>
  <c r="M269" i="6"/>
  <c r="K269" i="6"/>
  <c r="L269" i="6"/>
  <c r="J269" i="6"/>
  <c r="M271" i="6"/>
  <c r="K271" i="6"/>
  <c r="L271" i="6"/>
  <c r="J271" i="6"/>
  <c r="R275" i="6"/>
  <c r="L275" i="6" s="1"/>
  <c r="K279" i="6"/>
  <c r="L279" i="6"/>
  <c r="J279" i="6"/>
  <c r="M281" i="6"/>
  <c r="K281" i="6"/>
  <c r="L281" i="6"/>
  <c r="J281" i="6"/>
  <c r="K283" i="6"/>
  <c r="L283" i="6"/>
  <c r="J283" i="6"/>
  <c r="K285" i="6"/>
  <c r="L285" i="6"/>
  <c r="J285" i="6"/>
  <c r="R287" i="6"/>
  <c r="L289" i="6"/>
  <c r="K291" i="6"/>
  <c r="L291" i="6"/>
  <c r="J291" i="6"/>
  <c r="M293" i="6"/>
  <c r="K293" i="6"/>
  <c r="L293" i="6"/>
  <c r="J293" i="6"/>
  <c r="R295" i="6"/>
  <c r="J295" i="6" s="1"/>
  <c r="K297" i="6"/>
  <c r="L297" i="6"/>
  <c r="J297" i="6"/>
  <c r="P299" i="6"/>
  <c r="Q299" i="6" s="1"/>
  <c r="K299" i="6"/>
  <c r="L299" i="6"/>
  <c r="J299" i="6"/>
  <c r="P301" i="6"/>
  <c r="Q301" i="6" s="1"/>
  <c r="K301" i="6"/>
  <c r="L301" i="6"/>
  <c r="J301" i="6"/>
  <c r="K303" i="6"/>
  <c r="L303" i="6"/>
  <c r="J303" i="6"/>
  <c r="M309" i="6"/>
  <c r="K309" i="6"/>
  <c r="L309" i="6"/>
  <c r="J309" i="6"/>
  <c r="K311" i="6"/>
  <c r="L311" i="6"/>
  <c r="J311" i="6"/>
  <c r="P313" i="6"/>
  <c r="Q313" i="6" s="1"/>
  <c r="K313" i="6"/>
  <c r="L313" i="6"/>
  <c r="J313" i="6"/>
  <c r="K315" i="6"/>
  <c r="L315" i="6"/>
  <c r="J315" i="6"/>
  <c r="K317" i="6"/>
  <c r="L317" i="6"/>
  <c r="J317" i="6"/>
  <c r="P319" i="6"/>
  <c r="Q319" i="6" s="1"/>
  <c r="K319" i="6"/>
  <c r="L319" i="6"/>
  <c r="J319" i="6"/>
  <c r="M512" i="6"/>
  <c r="AK523" i="7"/>
  <c r="AA50" i="7"/>
  <c r="AG50" i="7" s="1"/>
  <c r="AA110" i="7"/>
  <c r="AG110" i="7" s="1"/>
  <c r="AA66" i="7"/>
  <c r="AG66" i="7" s="1"/>
  <c r="AA126" i="7"/>
  <c r="AG126" i="7" s="1"/>
  <c r="AA186" i="7"/>
  <c r="AG186" i="7" s="1"/>
  <c r="AA246" i="7"/>
  <c r="AG246" i="7" s="1"/>
  <c r="AA309" i="7"/>
  <c r="AG309" i="7" s="1"/>
  <c r="AA48" i="7"/>
  <c r="AG48" i="7" s="1"/>
  <c r="AA108" i="7"/>
  <c r="AG108" i="7" s="1"/>
  <c r="AA168" i="7"/>
  <c r="AG168" i="7" s="1"/>
  <c r="AA228" i="7"/>
  <c r="AG228" i="7" s="1"/>
  <c r="AA288" i="7"/>
  <c r="AG288" i="7" s="1"/>
  <c r="AA19" i="7"/>
  <c r="AA79" i="7"/>
  <c r="AG79" i="7" s="1"/>
  <c r="AA139" i="7"/>
  <c r="AG139" i="7" s="1"/>
  <c r="AA199" i="7"/>
  <c r="AG199" i="7" s="1"/>
  <c r="AG259" i="7"/>
  <c r="AA322" i="7"/>
  <c r="AG322" i="7" s="1"/>
  <c r="AB10" i="7"/>
  <c r="AH10" i="7" s="1"/>
  <c r="AB14" i="7"/>
  <c r="AH14" i="7" s="1"/>
  <c r="AB22" i="7"/>
  <c r="AH22" i="7" s="1"/>
  <c r="AB26" i="7"/>
  <c r="AH26" i="7" s="1"/>
  <c r="AB34" i="7"/>
  <c r="AH34" i="7" s="1"/>
  <c r="AB38" i="7"/>
  <c r="AH38" i="7" s="1"/>
  <c r="AB42" i="7"/>
  <c r="AH42" i="7" s="1"/>
  <c r="AB46" i="7"/>
  <c r="AH46" i="7" s="1"/>
  <c r="AB50" i="7"/>
  <c r="AH50" i="7" s="1"/>
  <c r="AB54" i="7"/>
  <c r="AH54" i="7" s="1"/>
  <c r="AB58" i="7"/>
  <c r="AH58" i="7" s="1"/>
  <c r="AB62" i="7"/>
  <c r="AH62" i="7" s="1"/>
  <c r="AB66" i="7"/>
  <c r="AH66" i="7" s="1"/>
  <c r="AG95" i="7"/>
  <c r="AG111" i="7"/>
  <c r="AG33" i="7"/>
  <c r="AG273" i="7"/>
  <c r="AG184" i="7"/>
  <c r="E83" i="5"/>
  <c r="BK11" i="3"/>
  <c r="P24" i="4"/>
  <c r="L6" i="6"/>
  <c r="K6" i="6"/>
  <c r="J6" i="6"/>
  <c r="K8" i="6"/>
  <c r="L8" i="6"/>
  <c r="J8" i="6"/>
  <c r="L10" i="6"/>
  <c r="K10" i="6"/>
  <c r="J10" i="6"/>
  <c r="K12" i="6"/>
  <c r="L12" i="6"/>
  <c r="J12" i="6"/>
  <c r="L14" i="6"/>
  <c r="K14" i="6"/>
  <c r="J14" i="6"/>
  <c r="K16" i="6"/>
  <c r="L16" i="6"/>
  <c r="J16" i="6"/>
  <c r="L18" i="6"/>
  <c r="K20" i="6"/>
  <c r="L20" i="6"/>
  <c r="J20" i="6"/>
  <c r="K24" i="6"/>
  <c r="J24" i="6"/>
  <c r="L24" i="6"/>
  <c r="L26" i="6"/>
  <c r="K26" i="6"/>
  <c r="J26" i="6"/>
  <c r="K28" i="6"/>
  <c r="J28" i="6"/>
  <c r="L28" i="6"/>
  <c r="L30" i="6"/>
  <c r="K30" i="6"/>
  <c r="J30" i="6"/>
  <c r="K36" i="6"/>
  <c r="J36" i="6"/>
  <c r="L36" i="6"/>
  <c r="L38" i="6"/>
  <c r="K38" i="6"/>
  <c r="J38" i="6"/>
  <c r="K40" i="6"/>
  <c r="J40" i="6"/>
  <c r="L40" i="6"/>
  <c r="M42" i="6"/>
  <c r="L42" i="6"/>
  <c r="K42" i="6"/>
  <c r="J42" i="6"/>
  <c r="K44" i="6"/>
  <c r="J44" i="6"/>
  <c r="L44" i="6"/>
  <c r="M46" i="6"/>
  <c r="L46" i="6"/>
  <c r="K46" i="6"/>
  <c r="J46" i="6"/>
  <c r="L48" i="6"/>
  <c r="M50" i="6"/>
  <c r="L50" i="6"/>
  <c r="K52" i="6"/>
  <c r="J52" i="6"/>
  <c r="L52" i="6"/>
  <c r="L54" i="6"/>
  <c r="K54" i="6"/>
  <c r="J54" i="6"/>
  <c r="K56" i="6"/>
  <c r="J56" i="6"/>
  <c r="L56" i="6"/>
  <c r="L58" i="6"/>
  <c r="K58" i="6"/>
  <c r="J58" i="6"/>
  <c r="K60" i="6"/>
  <c r="J60" i="6"/>
  <c r="L60" i="6"/>
  <c r="M62" i="6"/>
  <c r="L62" i="6"/>
  <c r="K64" i="6"/>
  <c r="J64" i="6"/>
  <c r="L64" i="6"/>
  <c r="L66" i="6"/>
  <c r="K66" i="6"/>
  <c r="J66" i="6"/>
  <c r="K68" i="6"/>
  <c r="J68" i="6"/>
  <c r="L68" i="6"/>
  <c r="L70" i="6"/>
  <c r="K70" i="6"/>
  <c r="J70" i="6"/>
  <c r="K72" i="6"/>
  <c r="J72" i="6"/>
  <c r="L72" i="6"/>
  <c r="L74" i="6"/>
  <c r="K74" i="6"/>
  <c r="J74" i="6"/>
  <c r="K76" i="6"/>
  <c r="J76" i="6"/>
  <c r="L76" i="6"/>
  <c r="M78" i="6"/>
  <c r="L78" i="6"/>
  <c r="K80" i="6"/>
  <c r="J80" i="6"/>
  <c r="L80" i="6"/>
  <c r="L82" i="6"/>
  <c r="K82" i="6"/>
  <c r="J82" i="6"/>
  <c r="K84" i="6"/>
  <c r="J84" i="6"/>
  <c r="L84" i="6"/>
  <c r="L86" i="6"/>
  <c r="K86" i="6"/>
  <c r="J86" i="6"/>
  <c r="K88" i="6"/>
  <c r="J88" i="6"/>
  <c r="L88" i="6"/>
  <c r="L90" i="6"/>
  <c r="K90" i="6"/>
  <c r="J90" i="6"/>
  <c r="L92" i="6"/>
  <c r="K96" i="6"/>
  <c r="J96" i="6"/>
  <c r="L96" i="6"/>
  <c r="L98" i="6"/>
  <c r="K98" i="6"/>
  <c r="J98" i="6"/>
  <c r="K100" i="6"/>
  <c r="J100" i="6"/>
  <c r="L100" i="6"/>
  <c r="L102" i="6"/>
  <c r="K102" i="6"/>
  <c r="J102" i="6"/>
  <c r="M104" i="6"/>
  <c r="K104" i="6"/>
  <c r="J104" i="6"/>
  <c r="L104" i="6"/>
  <c r="L106" i="6"/>
  <c r="K106" i="6"/>
  <c r="J106" i="6"/>
  <c r="L108" i="6"/>
  <c r="K112" i="6"/>
  <c r="J112" i="6"/>
  <c r="L112" i="6"/>
  <c r="L114" i="6"/>
  <c r="K114" i="6"/>
  <c r="J114" i="6"/>
  <c r="K116" i="6"/>
  <c r="J116" i="6"/>
  <c r="L116" i="6"/>
  <c r="L118" i="6"/>
  <c r="K118" i="6"/>
  <c r="J118" i="6"/>
  <c r="K120" i="6"/>
  <c r="J120" i="6"/>
  <c r="L120" i="6"/>
  <c r="J355" i="6"/>
  <c r="F355" i="6" s="1"/>
  <c r="M521" i="6"/>
  <c r="AG21" i="7"/>
  <c r="E84" i="5"/>
  <c r="E128" i="5"/>
  <c r="P22" i="4"/>
  <c r="N50" i="6"/>
  <c r="O50" i="6" s="1"/>
  <c r="T50" i="6" s="1"/>
  <c r="T92" i="6"/>
  <c r="J92" i="6" s="1"/>
  <c r="G452" i="6"/>
  <c r="G420" i="6"/>
  <c r="L122" i="6"/>
  <c r="L124" i="6"/>
  <c r="M126" i="6"/>
  <c r="L126" i="6"/>
  <c r="K126" i="6"/>
  <c r="J126" i="6"/>
  <c r="P128" i="6"/>
  <c r="Q128" i="6" s="1"/>
  <c r="K128" i="6"/>
  <c r="J128" i="6"/>
  <c r="L128" i="6"/>
  <c r="M130" i="6"/>
  <c r="L130" i="6"/>
  <c r="K130" i="6"/>
  <c r="J130" i="6"/>
  <c r="K132" i="6"/>
  <c r="J132" i="6"/>
  <c r="L132" i="6"/>
  <c r="P134" i="6"/>
  <c r="Q134" i="6" s="1"/>
  <c r="L134" i="6"/>
  <c r="K134" i="6"/>
  <c r="J134" i="6"/>
  <c r="M136" i="6"/>
  <c r="K136" i="6"/>
  <c r="J136" i="6"/>
  <c r="L136" i="6"/>
  <c r="L138" i="6"/>
  <c r="K140" i="6"/>
  <c r="J140" i="6"/>
  <c r="L140" i="6"/>
  <c r="R142" i="6"/>
  <c r="L142" i="6" s="1"/>
  <c r="P144" i="6"/>
  <c r="Q144" i="6" s="1"/>
  <c r="K144" i="6"/>
  <c r="J144" i="6"/>
  <c r="L144" i="6"/>
  <c r="L146" i="6"/>
  <c r="K146" i="6"/>
  <c r="J146" i="6"/>
  <c r="K148" i="6"/>
  <c r="J148" i="6"/>
  <c r="L148" i="6"/>
  <c r="L150" i="6"/>
  <c r="K150" i="6"/>
  <c r="J150" i="6"/>
  <c r="L154" i="6"/>
  <c r="K154" i="6"/>
  <c r="J154" i="6"/>
  <c r="K156" i="6"/>
  <c r="J156" i="6"/>
  <c r="L156" i="6"/>
  <c r="L158" i="6"/>
  <c r="K158" i="6"/>
  <c r="J158" i="6"/>
  <c r="K160" i="6"/>
  <c r="J160" i="6"/>
  <c r="L160" i="6"/>
  <c r="M162" i="6"/>
  <c r="L162" i="6"/>
  <c r="K162" i="6"/>
  <c r="J162" i="6"/>
  <c r="M164" i="6"/>
  <c r="K164" i="6"/>
  <c r="J164" i="6"/>
  <c r="L164" i="6"/>
  <c r="M166" i="6"/>
  <c r="L166" i="6"/>
  <c r="K166" i="6"/>
  <c r="J166" i="6"/>
  <c r="L174" i="6"/>
  <c r="K174" i="6"/>
  <c r="J174" i="6"/>
  <c r="K176" i="6"/>
  <c r="J176" i="6"/>
  <c r="L176" i="6"/>
  <c r="M178" i="6"/>
  <c r="L178" i="6"/>
  <c r="K178" i="6"/>
  <c r="J178" i="6"/>
  <c r="K180" i="6"/>
  <c r="J180" i="6"/>
  <c r="L180" i="6"/>
  <c r="M184" i="6"/>
  <c r="K184" i="6"/>
  <c r="J184" i="6"/>
  <c r="L184" i="6"/>
  <c r="L186" i="6"/>
  <c r="K186" i="6"/>
  <c r="J186" i="6"/>
  <c r="M188" i="6"/>
  <c r="K188" i="6"/>
  <c r="J188" i="6"/>
  <c r="L188" i="6"/>
  <c r="M190" i="6"/>
  <c r="L190" i="6"/>
  <c r="K190" i="6"/>
  <c r="J190" i="6"/>
  <c r="M192" i="6"/>
  <c r="K192" i="6"/>
  <c r="J192" i="6"/>
  <c r="L192" i="6"/>
  <c r="P194" i="6"/>
  <c r="Q194" i="6" s="1"/>
  <c r="L194" i="6"/>
  <c r="K194" i="6"/>
  <c r="J194" i="6"/>
  <c r="K196" i="6"/>
  <c r="J196" i="6"/>
  <c r="L196" i="6"/>
  <c r="M198" i="6"/>
  <c r="L198" i="6"/>
  <c r="L200" i="6"/>
  <c r="R202" i="6"/>
  <c r="L202" i="6" s="1"/>
  <c r="K204" i="6"/>
  <c r="J204" i="6"/>
  <c r="L204" i="6"/>
  <c r="M206" i="6"/>
  <c r="L206" i="6"/>
  <c r="K206" i="6"/>
  <c r="J206" i="6"/>
  <c r="K208" i="6"/>
  <c r="J208" i="6"/>
  <c r="L208" i="6"/>
  <c r="L210" i="6"/>
  <c r="K210" i="6"/>
  <c r="J210" i="6"/>
  <c r="L212" i="6"/>
  <c r="M214" i="6"/>
  <c r="L214" i="6"/>
  <c r="K214" i="6"/>
  <c r="J214" i="6"/>
  <c r="M216" i="6"/>
  <c r="K216" i="6"/>
  <c r="J216" i="6"/>
  <c r="L216" i="6"/>
  <c r="L218" i="6"/>
  <c r="K218" i="6"/>
  <c r="J218" i="6"/>
  <c r="M220" i="6"/>
  <c r="K220" i="6"/>
  <c r="J220" i="6"/>
  <c r="L220" i="6"/>
  <c r="P222" i="6"/>
  <c r="Q222" i="6" s="1"/>
  <c r="L222" i="6"/>
  <c r="K222" i="6"/>
  <c r="J222" i="6"/>
  <c r="K224" i="6"/>
  <c r="J224" i="6"/>
  <c r="L224" i="6"/>
  <c r="L226" i="6"/>
  <c r="K226" i="6"/>
  <c r="J226" i="6"/>
  <c r="L230" i="6"/>
  <c r="K232" i="6"/>
  <c r="J232" i="6"/>
  <c r="L232" i="6"/>
  <c r="L234" i="6"/>
  <c r="K234" i="6"/>
  <c r="J234" i="6"/>
  <c r="K236" i="6"/>
  <c r="J236" i="6"/>
  <c r="L236" i="6"/>
  <c r="M238" i="6"/>
  <c r="L238" i="6"/>
  <c r="K238" i="6"/>
  <c r="J238" i="6"/>
  <c r="K240" i="6"/>
  <c r="J240" i="6"/>
  <c r="L240" i="6"/>
  <c r="M242" i="6"/>
  <c r="L242" i="6"/>
  <c r="K244" i="6"/>
  <c r="J244" i="6"/>
  <c r="L244" i="6"/>
  <c r="L246" i="6"/>
  <c r="K246" i="6"/>
  <c r="J246" i="6"/>
  <c r="P248" i="6"/>
  <c r="Q248" i="6" s="1"/>
  <c r="K248" i="6"/>
  <c r="J248" i="6"/>
  <c r="L248" i="6"/>
  <c r="P250" i="6"/>
  <c r="Q250" i="6" s="1"/>
  <c r="L250" i="6"/>
  <c r="K250" i="6"/>
  <c r="J250" i="6"/>
  <c r="K252" i="6"/>
  <c r="J252" i="6"/>
  <c r="L252" i="6"/>
  <c r="L254" i="6"/>
  <c r="K254" i="6"/>
  <c r="J254" i="6"/>
  <c r="K256" i="6"/>
  <c r="J256" i="6"/>
  <c r="L256" i="6"/>
  <c r="M258" i="6"/>
  <c r="L258" i="6"/>
  <c r="K264" i="6"/>
  <c r="L264" i="6"/>
  <c r="J264" i="6"/>
  <c r="L266" i="6"/>
  <c r="K266" i="6"/>
  <c r="J266" i="6"/>
  <c r="K268" i="6"/>
  <c r="L268" i="6"/>
  <c r="J268" i="6"/>
  <c r="M270" i="6"/>
  <c r="L270" i="6"/>
  <c r="K270" i="6"/>
  <c r="J270" i="6"/>
  <c r="M272" i="6"/>
  <c r="K276" i="6"/>
  <c r="L276" i="6"/>
  <c r="J276" i="6"/>
  <c r="L278" i="6"/>
  <c r="K278" i="6"/>
  <c r="J278" i="6"/>
  <c r="K280" i="6"/>
  <c r="L280" i="6"/>
  <c r="J280" i="6"/>
  <c r="L282" i="6"/>
  <c r="K282" i="6"/>
  <c r="J282" i="6"/>
  <c r="K284" i="6"/>
  <c r="L284" i="6"/>
  <c r="J284" i="6"/>
  <c r="P286" i="6"/>
  <c r="Q286" i="6" s="1"/>
  <c r="L286" i="6"/>
  <c r="K286" i="6"/>
  <c r="J286" i="6"/>
  <c r="K288" i="6"/>
  <c r="L288" i="6"/>
  <c r="J288" i="6"/>
  <c r="R290" i="6"/>
  <c r="L290" i="6" s="1"/>
  <c r="M292" i="6"/>
  <c r="K292" i="6"/>
  <c r="L292" i="6"/>
  <c r="J292" i="6"/>
  <c r="M294" i="6"/>
  <c r="L294" i="6"/>
  <c r="K294" i="6"/>
  <c r="J294" i="6"/>
  <c r="P296" i="6"/>
  <c r="Q296" i="6" s="1"/>
  <c r="K296" i="6"/>
  <c r="L296" i="6"/>
  <c r="J296" i="6"/>
  <c r="L298" i="6"/>
  <c r="K298" i="6"/>
  <c r="J298" i="6"/>
  <c r="K300" i="6"/>
  <c r="L300" i="6"/>
  <c r="J300" i="6"/>
  <c r="L302" i="6"/>
  <c r="K302" i="6"/>
  <c r="J302" i="6"/>
  <c r="P304" i="6"/>
  <c r="Q304" i="6" s="1"/>
  <c r="K304" i="6"/>
  <c r="L304" i="6"/>
  <c r="J304" i="6"/>
  <c r="K312" i="6"/>
  <c r="L312" i="6"/>
  <c r="J312" i="6"/>
  <c r="P314" i="6"/>
  <c r="Q314" i="6" s="1"/>
  <c r="L314" i="6"/>
  <c r="K314" i="6"/>
  <c r="J314" i="6"/>
  <c r="K316" i="6"/>
  <c r="L316" i="6"/>
  <c r="J316" i="6"/>
  <c r="L318" i="6"/>
  <c r="K318" i="6"/>
  <c r="J318" i="6"/>
  <c r="G361" i="6"/>
  <c r="M518" i="6"/>
  <c r="M520" i="6"/>
  <c r="AG231" i="7"/>
  <c r="AG153" i="7"/>
  <c r="AG64" i="7"/>
  <c r="AG307" i="7"/>
  <c r="AB11" i="7"/>
  <c r="AH11" i="7" s="1"/>
  <c r="AB15" i="7"/>
  <c r="AH15" i="7" s="1"/>
  <c r="AB23" i="7"/>
  <c r="AH23" i="7" s="1"/>
  <c r="AB27" i="7"/>
  <c r="AH27" i="7" s="1"/>
  <c r="AB39" i="7"/>
  <c r="AH39" i="7" s="1"/>
  <c r="AB43" i="7"/>
  <c r="AH43" i="7" s="1"/>
  <c r="AB47" i="7"/>
  <c r="AH47" i="7" s="1"/>
  <c r="AB51" i="7"/>
  <c r="AH51" i="7" s="1"/>
  <c r="AB55" i="7"/>
  <c r="AH55" i="7" s="1"/>
  <c r="AB59" i="7"/>
  <c r="AH59" i="7" s="1"/>
  <c r="AB63" i="7"/>
  <c r="AH63" i="7" s="1"/>
  <c r="AB67" i="7"/>
  <c r="AH67" i="7" s="1"/>
  <c r="AB71" i="7"/>
  <c r="AH71" i="7" s="1"/>
  <c r="AB75" i="7"/>
  <c r="AH75" i="7" s="1"/>
  <c r="AB79" i="7"/>
  <c r="AH79" i="7" s="1"/>
  <c r="AB83" i="7"/>
  <c r="AH83" i="7" s="1"/>
  <c r="AB87" i="7"/>
  <c r="AH87" i="7" s="1"/>
  <c r="AB91" i="7"/>
  <c r="AH91" i="7" s="1"/>
  <c r="AB95" i="7"/>
  <c r="AH95" i="7" s="1"/>
  <c r="AB99" i="7"/>
  <c r="AH99" i="7" s="1"/>
  <c r="AB103" i="7"/>
  <c r="AH103" i="7" s="1"/>
  <c r="AB107" i="7"/>
  <c r="AH107" i="7" s="1"/>
  <c r="AB111" i="7"/>
  <c r="AH111" i="7" s="1"/>
  <c r="AB115" i="7"/>
  <c r="AH115" i="7" s="1"/>
  <c r="AB119" i="7"/>
  <c r="AH119" i="7" s="1"/>
  <c r="AB123" i="7"/>
  <c r="AH123" i="7" s="1"/>
  <c r="AB127" i="7"/>
  <c r="AH127" i="7" s="1"/>
  <c r="AB131" i="7"/>
  <c r="AH131" i="7" s="1"/>
  <c r="V36" i="7"/>
  <c r="AB36" i="7" s="1"/>
  <c r="V136" i="7"/>
  <c r="AB136" i="7" s="1"/>
  <c r="V140" i="7"/>
  <c r="AB140" i="7" s="1"/>
  <c r="V144" i="7"/>
  <c r="AB144" i="7" s="1"/>
  <c r="V148" i="7"/>
  <c r="V152" i="7"/>
  <c r="AB152" i="7" s="1"/>
  <c r="V156" i="7"/>
  <c r="AB156" i="7" s="1"/>
  <c r="V160" i="7"/>
  <c r="AB160" i="7" s="1"/>
  <c r="V164" i="7"/>
  <c r="V168" i="7"/>
  <c r="V172" i="7"/>
  <c r="AB172" i="7" s="1"/>
  <c r="V176" i="7"/>
  <c r="AB176" i="7" s="1"/>
  <c r="V180" i="7"/>
  <c r="V184" i="7"/>
  <c r="V188" i="7"/>
  <c r="V192" i="7"/>
  <c r="AB192" i="7" s="1"/>
  <c r="V196" i="7"/>
  <c r="AB196" i="7" s="1"/>
  <c r="V200" i="7"/>
  <c r="AB200" i="7" s="1"/>
  <c r="V204" i="7"/>
  <c r="AB204" i="7" s="1"/>
  <c r="V208" i="7"/>
  <c r="AB208" i="7" s="1"/>
  <c r="V212" i="7"/>
  <c r="V216" i="7"/>
  <c r="AB216" i="7" s="1"/>
  <c r="V220" i="7"/>
  <c r="AB220" i="7" s="1"/>
  <c r="V224" i="7"/>
  <c r="AB224" i="7" s="1"/>
  <c r="V228" i="7"/>
  <c r="V232" i="7"/>
  <c r="V236" i="7"/>
  <c r="AB236" i="7" s="1"/>
  <c r="V240" i="7"/>
  <c r="AB240" i="7" s="1"/>
  <c r="V244" i="7"/>
  <c r="V248" i="7"/>
  <c r="V252" i="7"/>
  <c r="V256" i="7"/>
  <c r="AB256" i="7" s="1"/>
  <c r="V260" i="7"/>
  <c r="AB260" i="7" s="1"/>
  <c r="V264" i="7"/>
  <c r="AB264" i="7" s="1"/>
  <c r="V268" i="7"/>
  <c r="AB268" i="7" s="1"/>
  <c r="V272" i="7"/>
  <c r="AB272" i="7" s="1"/>
  <c r="V276" i="7"/>
  <c r="V280" i="7"/>
  <c r="AB280" i="7" s="1"/>
  <c r="V284" i="7"/>
  <c r="AB284" i="7" s="1"/>
  <c r="V288" i="7"/>
  <c r="AB288" i="7" s="1"/>
  <c r="V292" i="7"/>
  <c r="V296" i="7"/>
  <c r="V300" i="7"/>
  <c r="AB300" i="7" s="1"/>
  <c r="V304" i="7"/>
  <c r="AB304" i="7" s="1"/>
  <c r="V308" i="7"/>
  <c r="V312" i="7"/>
  <c r="V316" i="7"/>
  <c r="V320" i="7"/>
  <c r="AB320" i="7" s="1"/>
  <c r="V324" i="7"/>
  <c r="AB324" i="7" s="1"/>
  <c r="V45" i="7"/>
  <c r="AB45" i="7" s="1"/>
  <c r="V61" i="7"/>
  <c r="V109" i="7"/>
  <c r="V125" i="7"/>
  <c r="AB125" i="7" s="1"/>
  <c r="V325" i="7"/>
  <c r="AB325" i="7" s="1"/>
  <c r="P18" i="4"/>
  <c r="N139" i="6"/>
  <c r="H348" i="6"/>
  <c r="I348" i="6" s="1"/>
  <c r="K7" i="6"/>
  <c r="L7" i="6"/>
  <c r="J7" i="6"/>
  <c r="L9" i="6"/>
  <c r="K9" i="6"/>
  <c r="J9" i="6"/>
  <c r="P11" i="6"/>
  <c r="Q11" i="6" s="1"/>
  <c r="K11" i="6"/>
  <c r="L11" i="6"/>
  <c r="J11" i="6"/>
  <c r="P13" i="6"/>
  <c r="Q13" i="6" s="1"/>
  <c r="L13" i="6"/>
  <c r="K13" i="6"/>
  <c r="J13" i="6"/>
  <c r="K15" i="6"/>
  <c r="L15" i="6"/>
  <c r="J15" i="6"/>
  <c r="R19" i="6"/>
  <c r="L19" i="6" s="1"/>
  <c r="K21" i="6"/>
  <c r="J21" i="6"/>
  <c r="L21" i="6"/>
  <c r="P23" i="6"/>
  <c r="Q23" i="6" s="1"/>
  <c r="K23" i="6"/>
  <c r="J23" i="6"/>
  <c r="L23" i="6"/>
  <c r="K25" i="6"/>
  <c r="J25" i="6"/>
  <c r="L25" i="6"/>
  <c r="M27" i="6"/>
  <c r="K27" i="6"/>
  <c r="J27" i="6"/>
  <c r="L27" i="6"/>
  <c r="P29" i="6"/>
  <c r="Q29" i="6" s="1"/>
  <c r="K29" i="6"/>
  <c r="J29" i="6"/>
  <c r="L29" i="6"/>
  <c r="K31" i="6"/>
  <c r="J31" i="6"/>
  <c r="L31" i="6"/>
  <c r="M35" i="6"/>
  <c r="K39" i="6"/>
  <c r="J39" i="6"/>
  <c r="L39" i="6"/>
  <c r="M41" i="6"/>
  <c r="K41" i="6"/>
  <c r="J41" i="6"/>
  <c r="L41" i="6"/>
  <c r="K43" i="6"/>
  <c r="J43" i="6"/>
  <c r="L43" i="6"/>
  <c r="K45" i="6"/>
  <c r="J45" i="6"/>
  <c r="L45" i="6"/>
  <c r="M49" i="6"/>
  <c r="K51" i="6"/>
  <c r="J51" i="6"/>
  <c r="L51" i="6"/>
  <c r="K53" i="6"/>
  <c r="J53" i="6"/>
  <c r="L53" i="6"/>
  <c r="P55" i="6"/>
  <c r="Q55" i="6" s="1"/>
  <c r="K55" i="6"/>
  <c r="J55" i="6"/>
  <c r="L55" i="6"/>
  <c r="P57" i="6"/>
  <c r="Q57" i="6" s="1"/>
  <c r="K57" i="6"/>
  <c r="J57" i="6"/>
  <c r="L57" i="6"/>
  <c r="K59" i="6"/>
  <c r="J59" i="6"/>
  <c r="L59" i="6"/>
  <c r="K61" i="6"/>
  <c r="J61" i="6"/>
  <c r="L61" i="6"/>
  <c r="M67" i="6"/>
  <c r="K69" i="6"/>
  <c r="J69" i="6"/>
  <c r="L69" i="6"/>
  <c r="K71" i="6"/>
  <c r="J71" i="6"/>
  <c r="L71" i="6"/>
  <c r="K73" i="6"/>
  <c r="J73" i="6"/>
  <c r="L73" i="6"/>
  <c r="M75" i="6"/>
  <c r="K75" i="6"/>
  <c r="J75" i="6"/>
  <c r="L75" i="6"/>
  <c r="K81" i="6"/>
  <c r="J81" i="6"/>
  <c r="L81" i="6"/>
  <c r="K83" i="6"/>
  <c r="J83" i="6"/>
  <c r="L83" i="6"/>
  <c r="K85" i="6"/>
  <c r="J85" i="6"/>
  <c r="L85" i="6"/>
  <c r="K87" i="6"/>
  <c r="J87" i="6"/>
  <c r="L87" i="6"/>
  <c r="K89" i="6"/>
  <c r="J89" i="6"/>
  <c r="L89" i="6"/>
  <c r="K91" i="6"/>
  <c r="J91" i="6"/>
  <c r="L91" i="6"/>
  <c r="M93" i="6"/>
  <c r="M99" i="6"/>
  <c r="K99" i="6"/>
  <c r="J99" i="6"/>
  <c r="L99" i="6"/>
  <c r="K101" i="6"/>
  <c r="J101" i="6"/>
  <c r="L101" i="6"/>
  <c r="K103" i="6"/>
  <c r="J103" i="6"/>
  <c r="L103" i="6"/>
  <c r="K105" i="6"/>
  <c r="J105" i="6"/>
  <c r="L105" i="6"/>
  <c r="M111" i="6"/>
  <c r="K111" i="6"/>
  <c r="J111" i="6"/>
  <c r="L111" i="6"/>
  <c r="M113" i="6"/>
  <c r="K113" i="6"/>
  <c r="J113" i="6"/>
  <c r="L113" i="6"/>
  <c r="M115" i="6"/>
  <c r="K115" i="6"/>
  <c r="J115" i="6"/>
  <c r="L115" i="6"/>
  <c r="K117" i="6"/>
  <c r="J117" i="6"/>
  <c r="L117" i="6"/>
  <c r="M119" i="6"/>
  <c r="K119" i="6"/>
  <c r="J119" i="6"/>
  <c r="L119" i="6"/>
  <c r="AA35" i="7"/>
  <c r="AG35" i="7" s="1"/>
  <c r="AA51" i="7"/>
  <c r="AG51" i="7" s="1"/>
  <c r="AA291" i="7"/>
  <c r="AG291" i="7" s="1"/>
  <c r="AA213" i="7"/>
  <c r="AG213" i="7" s="1"/>
  <c r="AA124" i="7"/>
  <c r="AG124" i="7" s="1"/>
  <c r="E50" i="5" a="1"/>
  <c r="E50" i="5" s="1"/>
  <c r="E85" i="5"/>
  <c r="E86" i="5"/>
  <c r="E98" i="5"/>
  <c r="E116" i="5"/>
  <c r="E124" i="5"/>
  <c r="E54" i="5" a="1"/>
  <c r="E54" i="5" s="1"/>
  <c r="E53" i="5" a="1"/>
  <c r="E53" i="5" s="1"/>
  <c r="E89" i="5"/>
  <c r="E102" i="5"/>
  <c r="E120" i="5"/>
  <c r="E131" i="5"/>
  <c r="C20" i="5" a="1"/>
  <c r="C20" i="5" s="1"/>
  <c r="C52" i="5" a="1"/>
  <c r="C52" i="5" s="1"/>
  <c r="C67" i="5"/>
  <c r="C79" i="5"/>
  <c r="C91" i="5"/>
  <c r="C103" i="5"/>
  <c r="C115" i="5"/>
  <c r="C127" i="5"/>
  <c r="C141" i="5"/>
  <c r="C144" i="5"/>
  <c r="C97" i="5"/>
  <c r="C98" i="5"/>
  <c r="C75" i="5"/>
  <c r="C53" i="5" a="1"/>
  <c r="C53" i="5" s="1"/>
  <c r="C68" i="5"/>
  <c r="C80" i="5"/>
  <c r="C92" i="5"/>
  <c r="C104" i="5"/>
  <c r="C116" i="5"/>
  <c r="C128" i="5"/>
  <c r="C142" i="5"/>
  <c r="C130" i="5"/>
  <c r="C74" i="5"/>
  <c r="C99" i="5"/>
  <c r="C140" i="5"/>
  <c r="C54" i="5" a="1"/>
  <c r="C54" i="5" s="1"/>
  <c r="C69" i="5"/>
  <c r="C81" i="5"/>
  <c r="C93" i="5"/>
  <c r="C105" i="5"/>
  <c r="C117" i="5"/>
  <c r="C129" i="5"/>
  <c r="C143" i="5"/>
  <c r="C118" i="5"/>
  <c r="C86" i="5"/>
  <c r="C137" i="5"/>
  <c r="C101" i="5"/>
  <c r="C55" i="5" a="1"/>
  <c r="C55" i="5" s="1"/>
  <c r="C70" i="5"/>
  <c r="C82" i="5"/>
  <c r="C94" i="5"/>
  <c r="C106" i="5"/>
  <c r="C111" i="5"/>
  <c r="C56" i="5" a="1"/>
  <c r="C56" i="5" s="1"/>
  <c r="C71" i="5"/>
  <c r="C83" i="5"/>
  <c r="C95" i="5"/>
  <c r="C107" i="5"/>
  <c r="C119" i="5"/>
  <c r="C131" i="5"/>
  <c r="C145" i="5"/>
  <c r="C60" i="5"/>
  <c r="C72" i="5"/>
  <c r="C84" i="5"/>
  <c r="C96" i="5"/>
  <c r="C108" i="5"/>
  <c r="C120" i="5"/>
  <c r="C132" i="5"/>
  <c r="C146" i="5"/>
  <c r="C61" i="5"/>
  <c r="C73" i="5"/>
  <c r="C85" i="5"/>
  <c r="C109" i="5"/>
  <c r="C121" i="5"/>
  <c r="C135" i="5"/>
  <c r="C147" i="5"/>
  <c r="C62" i="5"/>
  <c r="C110" i="5"/>
  <c r="C136" i="5"/>
  <c r="C148" i="5"/>
  <c r="C26" i="5" a="1"/>
  <c r="C26" i="5" s="1"/>
  <c r="C63" i="5"/>
  <c r="C123" i="5"/>
  <c r="C113" i="5"/>
  <c r="C102" i="5"/>
  <c r="C122" i="5"/>
  <c r="C87" i="5"/>
  <c r="C125" i="5"/>
  <c r="C114" i="5"/>
  <c r="C30" i="5" a="1"/>
  <c r="C30" i="5" s="1"/>
  <c r="C64" i="5"/>
  <c r="C76" i="5"/>
  <c r="C88" i="5"/>
  <c r="C100" i="5"/>
  <c r="C112" i="5"/>
  <c r="C124" i="5"/>
  <c r="C138" i="5"/>
  <c r="C31" i="5" a="1"/>
  <c r="C31" i="5" s="1"/>
  <c r="C50" i="5" a="1"/>
  <c r="C50" i="5" s="1"/>
  <c r="C65" i="5"/>
  <c r="C77" i="5"/>
  <c r="C89" i="5"/>
  <c r="C139" i="5"/>
  <c r="C126" i="5"/>
  <c r="C51" i="5" a="1"/>
  <c r="C51" i="5" s="1"/>
  <c r="C66" i="5"/>
  <c r="C78" i="5"/>
  <c r="C90" i="5"/>
  <c r="BK8" i="3"/>
  <c r="BK12" i="3"/>
  <c r="E91" i="5"/>
  <c r="E129" i="5"/>
  <c r="E61" i="5"/>
  <c r="E62" i="5"/>
  <c r="E93" i="5"/>
  <c r="E106" i="5"/>
  <c r="E123" i="5"/>
  <c r="Q10" i="4"/>
  <c r="Q18" i="4"/>
  <c r="R3" i="4"/>
  <c r="R13" i="4" s="1"/>
  <c r="E65" i="5"/>
  <c r="E66" i="5"/>
  <c r="E97" i="5"/>
  <c r="E109" i="5"/>
  <c r="E121" i="5"/>
  <c r="E56" i="5" a="1"/>
  <c r="E56" i="5" s="1"/>
  <c r="E55" i="5" a="1"/>
  <c r="E55" i="5" s="1"/>
  <c r="E104" i="5"/>
  <c r="Q19" i="4"/>
  <c r="E3" i="3"/>
  <c r="E67" i="5"/>
  <c r="E68" i="5"/>
  <c r="E99" i="5"/>
  <c r="E111" i="5"/>
  <c r="E132" i="5"/>
  <c r="F3" i="5"/>
  <c r="F142" i="5" s="1"/>
  <c r="E69" i="5"/>
  <c r="E70" i="5"/>
  <c r="E101" i="5"/>
  <c r="E113" i="5"/>
  <c r="E26" i="5" a="1"/>
  <c r="E26" i="5" s="1"/>
  <c r="E73" i="5"/>
  <c r="E74" i="5"/>
  <c r="E105" i="5"/>
  <c r="E117" i="5"/>
  <c r="E30" i="5" a="1"/>
  <c r="E30" i="5" s="1"/>
  <c r="E75" i="5"/>
  <c r="E76" i="5"/>
  <c r="E88" i="5"/>
  <c r="E119" i="5"/>
  <c r="E31" i="5" a="1"/>
  <c r="E31" i="5" s="1"/>
  <c r="E77" i="5"/>
  <c r="E78" i="5"/>
  <c r="E90" i="5"/>
  <c r="E108" i="5"/>
  <c r="E60" i="5"/>
  <c r="E81" i="5"/>
  <c r="E82" i="5"/>
  <c r="E94" i="5"/>
  <c r="E112" i="5"/>
  <c r="H56" i="6"/>
  <c r="I56" i="6" s="1"/>
  <c r="G84" i="6"/>
  <c r="H145" i="6"/>
  <c r="I145" i="6" s="1"/>
  <c r="H171" i="6"/>
  <c r="I171" i="6" s="1"/>
  <c r="H211" i="6"/>
  <c r="I211" i="6" s="1"/>
  <c r="G261" i="6"/>
  <c r="G54" i="6"/>
  <c r="G205" i="6"/>
  <c r="G118" i="6"/>
  <c r="H64" i="6"/>
  <c r="I64" i="6" s="1"/>
  <c r="G188" i="6"/>
  <c r="K490" i="6"/>
  <c r="L490" i="6" s="1"/>
  <c r="J482" i="6"/>
  <c r="G482" i="6" s="1"/>
  <c r="M462" i="6"/>
  <c r="M453" i="6"/>
  <c r="J370" i="6"/>
  <c r="J386" i="6"/>
  <c r="K339" i="6"/>
  <c r="L339" i="6" s="1"/>
  <c r="M326" i="6"/>
  <c r="H352" i="6"/>
  <c r="I352" i="6" s="1"/>
  <c r="J341" i="6"/>
  <c r="H341" i="6" s="1"/>
  <c r="I341" i="6" s="1"/>
  <c r="J382" i="6"/>
  <c r="M337" i="6"/>
  <c r="F337" i="6" s="1"/>
  <c r="K478" i="6"/>
  <c r="L478" i="6" s="1"/>
  <c r="K417" i="6"/>
  <c r="L417" i="6" s="1"/>
  <c r="F417" i="6" s="1"/>
  <c r="J392" i="6"/>
  <c r="G392" i="6" s="1"/>
  <c r="J433" i="6"/>
  <c r="G381" i="6"/>
  <c r="J490" i="6"/>
  <c r="J462" i="6"/>
  <c r="H462" i="6" s="1"/>
  <c r="I462" i="6" s="1"/>
  <c r="J445" i="6"/>
  <c r="J463" i="6"/>
  <c r="G463" i="6" s="1"/>
  <c r="J453" i="6"/>
  <c r="M373" i="6"/>
  <c r="G373" i="6" s="1"/>
  <c r="M370" i="6"/>
  <c r="M471" i="6"/>
  <c r="G471" i="6" s="1"/>
  <c r="K367" i="6"/>
  <c r="L367" i="6" s="1"/>
  <c r="M339" i="6"/>
  <c r="J333" i="6"/>
  <c r="H333" i="6" s="1"/>
  <c r="I333" i="6" s="1"/>
  <c r="K369" i="6"/>
  <c r="L369" i="6" s="1"/>
  <c r="J334" i="6"/>
  <c r="K404" i="6"/>
  <c r="L404" i="6" s="1"/>
  <c r="K443" i="6"/>
  <c r="L443" i="6" s="1"/>
  <c r="G443" i="6" s="1"/>
  <c r="G426" i="6"/>
  <c r="J478" i="6"/>
  <c r="J443" i="6"/>
  <c r="K328" i="6"/>
  <c r="L328" i="6" s="1"/>
  <c r="G328" i="6" s="1"/>
  <c r="M331" i="6"/>
  <c r="G331" i="6" s="1"/>
  <c r="M399" i="6"/>
  <c r="F399" i="6" s="1"/>
  <c r="K460" i="6"/>
  <c r="L460" i="6" s="1"/>
  <c r="H460" i="6" s="1"/>
  <c r="I460" i="6" s="1"/>
  <c r="J464" i="6"/>
  <c r="H464" i="6" s="1"/>
  <c r="I464" i="6" s="1"/>
  <c r="M378" i="6"/>
  <c r="M335" i="6"/>
  <c r="G335" i="6" s="1"/>
  <c r="J345" i="6"/>
  <c r="F332" i="6"/>
  <c r="F474" i="6"/>
  <c r="J353" i="6"/>
  <c r="M353" i="6"/>
  <c r="K376" i="6"/>
  <c r="L376" i="6" s="1"/>
  <c r="J376" i="6"/>
  <c r="K384" i="6"/>
  <c r="L384" i="6" s="1"/>
  <c r="M384" i="6"/>
  <c r="M408" i="6"/>
  <c r="J408" i="6"/>
  <c r="K457" i="6"/>
  <c r="L457" i="6" s="1"/>
  <c r="M457" i="6"/>
  <c r="M495" i="6"/>
  <c r="J495" i="6"/>
  <c r="F352" i="6"/>
  <c r="K499" i="6"/>
  <c r="L499" i="6" s="1"/>
  <c r="J491" i="6"/>
  <c r="H491" i="6" s="1"/>
  <c r="I491" i="6" s="1"/>
  <c r="K497" i="6"/>
  <c r="L497" i="6" s="1"/>
  <c r="J497" i="6"/>
  <c r="J485" i="6"/>
  <c r="F485" i="6" s="1"/>
  <c r="G456" i="6"/>
  <c r="M459" i="6"/>
  <c r="M390" i="6"/>
  <c r="M382" i="6"/>
  <c r="K386" i="6"/>
  <c r="L386" i="6" s="1"/>
  <c r="K343" i="6"/>
  <c r="L343" i="6" s="1"/>
  <c r="K368" i="6"/>
  <c r="L368" i="6" s="1"/>
  <c r="J349" i="6"/>
  <c r="K353" i="6"/>
  <c r="L353" i="6" s="1"/>
  <c r="F353" i="6" s="1"/>
  <c r="M345" i="6"/>
  <c r="F345" i="6" s="1"/>
  <c r="J325" i="6"/>
  <c r="F325" i="6" s="1"/>
  <c r="J402" i="6"/>
  <c r="K362" i="6"/>
  <c r="L362" i="6" s="1"/>
  <c r="K477" i="6"/>
  <c r="L477" i="6" s="1"/>
  <c r="H477" i="6" s="1"/>
  <c r="I477" i="6" s="1"/>
  <c r="K433" i="6"/>
  <c r="L433" i="6" s="1"/>
  <c r="J435" i="6"/>
  <c r="F435" i="6" s="1"/>
  <c r="J412" i="6"/>
  <c r="J400" i="6"/>
  <c r="J340" i="6"/>
  <c r="M340" i="6"/>
  <c r="K342" i="6"/>
  <c r="L342" i="6" s="1"/>
  <c r="M342" i="6"/>
  <c r="G348" i="6"/>
  <c r="K357" i="6"/>
  <c r="L357" i="6" s="1"/>
  <c r="G357" i="6" s="1"/>
  <c r="K375" i="6"/>
  <c r="L375" i="6" s="1"/>
  <c r="J375" i="6"/>
  <c r="M375" i="6"/>
  <c r="M424" i="6"/>
  <c r="J424" i="6"/>
  <c r="K424" i="6"/>
  <c r="L424" i="6" s="1"/>
  <c r="M438" i="6"/>
  <c r="F438" i="6" s="1"/>
  <c r="K461" i="6"/>
  <c r="L461" i="6" s="1"/>
  <c r="M461" i="6"/>
  <c r="F461" i="6" s="1"/>
  <c r="M476" i="6"/>
  <c r="K476" i="6"/>
  <c r="L476" i="6" s="1"/>
  <c r="K480" i="6"/>
  <c r="L480" i="6" s="1"/>
  <c r="H480" i="6" s="1"/>
  <c r="I480" i="6" s="1"/>
  <c r="K500" i="6"/>
  <c r="L500" i="6" s="1"/>
  <c r="H500" i="6" s="1"/>
  <c r="I500" i="6" s="1"/>
  <c r="J499" i="6"/>
  <c r="K493" i="6"/>
  <c r="L493" i="6" s="1"/>
  <c r="M493" i="6"/>
  <c r="J459" i="6"/>
  <c r="M388" i="6"/>
  <c r="M376" i="6"/>
  <c r="F381" i="6"/>
  <c r="J378" i="6"/>
  <c r="K351" i="6"/>
  <c r="L351" i="6" s="1"/>
  <c r="M343" i="6"/>
  <c r="M368" i="6"/>
  <c r="H368" i="6" s="1"/>
  <c r="I368" i="6" s="1"/>
  <c r="K402" i="6"/>
  <c r="L402" i="6" s="1"/>
  <c r="K408" i="6"/>
  <c r="L408" i="6" s="1"/>
  <c r="K397" i="6"/>
  <c r="L397" i="6" s="1"/>
  <c r="J388" i="6"/>
  <c r="J410" i="6"/>
  <c r="K379" i="6"/>
  <c r="L379" i="6" s="1"/>
  <c r="M379" i="6"/>
  <c r="K389" i="6"/>
  <c r="L389" i="6" s="1"/>
  <c r="M389" i="6"/>
  <c r="M398" i="6"/>
  <c r="J398" i="6"/>
  <c r="K398" i="6"/>
  <c r="L398" i="6" s="1"/>
  <c r="J403" i="6"/>
  <c r="G403" i="6" s="1"/>
  <c r="M413" i="6"/>
  <c r="J413" i="6"/>
  <c r="M415" i="6"/>
  <c r="K415" i="6"/>
  <c r="L415" i="6" s="1"/>
  <c r="G415" i="6" s="1"/>
  <c r="M419" i="6"/>
  <c r="J419" i="6"/>
  <c r="M440" i="6"/>
  <c r="G440" i="6" s="1"/>
  <c r="K446" i="6"/>
  <c r="L446" i="6" s="1"/>
  <c r="J446" i="6"/>
  <c r="K450" i="6"/>
  <c r="L450" i="6" s="1"/>
  <c r="J450" i="6"/>
  <c r="K454" i="6"/>
  <c r="L454" i="6" s="1"/>
  <c r="J454" i="6"/>
  <c r="M467" i="6"/>
  <c r="J467" i="6"/>
  <c r="F467" i="6" s="1"/>
  <c r="M473" i="6"/>
  <c r="K473" i="6"/>
  <c r="L473" i="6" s="1"/>
  <c r="J473" i="6"/>
  <c r="M492" i="6"/>
  <c r="J492" i="6"/>
  <c r="M494" i="6"/>
  <c r="K494" i="6"/>
  <c r="L494" i="6" s="1"/>
  <c r="K495" i="6"/>
  <c r="L495" i="6" s="1"/>
  <c r="J483" i="6"/>
  <c r="F483" i="6" s="1"/>
  <c r="K489" i="6"/>
  <c r="L489" i="6" s="1"/>
  <c r="M489" i="6"/>
  <c r="M464" i="6"/>
  <c r="G448" i="6"/>
  <c r="J457" i="6"/>
  <c r="F387" i="6"/>
  <c r="M351" i="6"/>
  <c r="J326" i="6"/>
  <c r="F326" i="6" s="1"/>
  <c r="M349" i="6"/>
  <c r="J404" i="6"/>
  <c r="K400" i="6"/>
  <c r="L400" i="6" s="1"/>
  <c r="J397" i="6"/>
  <c r="K330" i="6"/>
  <c r="L330" i="6" s="1"/>
  <c r="J330" i="6"/>
  <c r="J347" i="6"/>
  <c r="K347" i="6"/>
  <c r="L347" i="6" s="1"/>
  <c r="H347" i="6" s="1"/>
  <c r="J362" i="6"/>
  <c r="J395" i="6"/>
  <c r="K395" i="6"/>
  <c r="L395" i="6" s="1"/>
  <c r="F395" i="6" s="1"/>
  <c r="M479" i="6"/>
  <c r="J479" i="6"/>
  <c r="M483" i="6"/>
  <c r="M504" i="6"/>
  <c r="J504" i="6"/>
  <c r="G504" i="6" s="1"/>
  <c r="G354" i="6"/>
  <c r="R21" i="4"/>
  <c r="R24" i="4"/>
  <c r="Q24" i="4"/>
  <c r="D125" i="5"/>
  <c r="E20" i="5" a="1"/>
  <c r="E20" i="5" s="1"/>
  <c r="E52" i="5" a="1"/>
  <c r="E52" i="5" s="1"/>
  <c r="E63" i="5"/>
  <c r="E71" i="5"/>
  <c r="E79" i="5"/>
  <c r="E51" i="5" a="1"/>
  <c r="E51" i="5" s="1"/>
  <c r="E64" i="5"/>
  <c r="E72" i="5"/>
  <c r="E80" i="5"/>
  <c r="E87" i="5"/>
  <c r="E95" i="5"/>
  <c r="E103" i="5"/>
  <c r="E92" i="5"/>
  <c r="E100" i="5"/>
  <c r="E107" i="5"/>
  <c r="E115" i="5"/>
  <c r="E110" i="5"/>
  <c r="E118" i="5"/>
  <c r="E126" i="5"/>
  <c r="D92" i="5"/>
  <c r="D100" i="5"/>
  <c r="D107" i="5"/>
  <c r="D95" i="5"/>
  <c r="D103" i="5"/>
  <c r="D113" i="5"/>
  <c r="D112" i="5"/>
  <c r="P5" i="4"/>
  <c r="P7" i="4"/>
  <c r="P11" i="4"/>
  <c r="P15" i="4"/>
  <c r="P19" i="4"/>
  <c r="P23" i="4"/>
  <c r="F7" i="2"/>
  <c r="F8" i="2" s="1"/>
  <c r="F9" i="2" s="1"/>
  <c r="F10" i="2" s="1"/>
  <c r="F11" i="2" s="1"/>
  <c r="F12" i="2" s="1"/>
  <c r="B7" i="2"/>
  <c r="G291" i="6"/>
  <c r="H291" i="6"/>
  <c r="I291" i="6" s="1"/>
  <c r="M313" i="6"/>
  <c r="H313" i="6" s="1"/>
  <c r="I313" i="6" s="1"/>
  <c r="P311" i="6"/>
  <c r="Q311" i="6" s="1"/>
  <c r="M315" i="6"/>
  <c r="G315" i="6" s="1"/>
  <c r="P315" i="6"/>
  <c r="Q315" i="6" s="1"/>
  <c r="M317" i="6"/>
  <c r="H317" i="6" s="1"/>
  <c r="I317" i="6" s="1"/>
  <c r="P317" i="6"/>
  <c r="Q317" i="6" s="1"/>
  <c r="M321" i="6"/>
  <c r="R321" i="6"/>
  <c r="P321" i="6" s="1"/>
  <c r="Q321" i="6" s="1"/>
  <c r="M323" i="6"/>
  <c r="R323" i="6"/>
  <c r="M310" i="6"/>
  <c r="R310" i="6"/>
  <c r="L310" i="6" s="1"/>
  <c r="P312" i="6"/>
  <c r="Q312" i="6" s="1"/>
  <c r="P316" i="6"/>
  <c r="Q316" i="6" s="1"/>
  <c r="M318" i="6"/>
  <c r="H318" i="6" s="1"/>
  <c r="I318" i="6" s="1"/>
  <c r="P318" i="6"/>
  <c r="Q318" i="6" s="1"/>
  <c r="M320" i="6"/>
  <c r="R320" i="6"/>
  <c r="P320" i="6" s="1"/>
  <c r="Q320" i="6" s="1"/>
  <c r="R322" i="6"/>
  <c r="L322" i="6" s="1"/>
  <c r="P297" i="6"/>
  <c r="Q297" i="6" s="1"/>
  <c r="M303" i="6"/>
  <c r="P303" i="6"/>
  <c r="Q303" i="6" s="1"/>
  <c r="R305" i="6"/>
  <c r="P305" i="6" s="1"/>
  <c r="Q305" i="6" s="1"/>
  <c r="R307" i="6"/>
  <c r="L307" i="6" s="1"/>
  <c r="M296" i="6"/>
  <c r="G296" i="6" s="1"/>
  <c r="M298" i="6"/>
  <c r="F298" i="6" s="1"/>
  <c r="P298" i="6"/>
  <c r="Q298" i="6" s="1"/>
  <c r="M300" i="6"/>
  <c r="G300" i="6" s="1"/>
  <c r="P300" i="6"/>
  <c r="Q300" i="6" s="1"/>
  <c r="M302" i="6"/>
  <c r="H302" i="6" s="1"/>
  <c r="I302" i="6" s="1"/>
  <c r="P302" i="6"/>
  <c r="Q302" i="6" s="1"/>
  <c r="M306" i="6"/>
  <c r="R306" i="6"/>
  <c r="P306" i="6" s="1"/>
  <c r="Q306" i="6" s="1"/>
  <c r="R308" i="6"/>
  <c r="L308" i="6" s="1"/>
  <c r="H284" i="6"/>
  <c r="I284" i="6" s="1"/>
  <c r="G284" i="6"/>
  <c r="G288" i="6"/>
  <c r="H288" i="6"/>
  <c r="P287" i="6"/>
  <c r="Q287" i="6" s="1"/>
  <c r="T287" i="6"/>
  <c r="J287" i="6" s="1"/>
  <c r="H278" i="6"/>
  <c r="I278" i="6" s="1"/>
  <c r="M290" i="6"/>
  <c r="G279" i="6"/>
  <c r="H282" i="6"/>
  <c r="I282" i="6" s="1"/>
  <c r="N275" i="6"/>
  <c r="O275" i="6" s="1"/>
  <c r="T275" i="6" s="1"/>
  <c r="P275" i="6"/>
  <c r="Q275" i="6" s="1"/>
  <c r="H269" i="6"/>
  <c r="I269" i="6" s="1"/>
  <c r="H263" i="6"/>
  <c r="I263" i="6" s="1"/>
  <c r="H271" i="6"/>
  <c r="I271" i="6" s="1"/>
  <c r="M274" i="6"/>
  <c r="R272" i="6"/>
  <c r="P270" i="6"/>
  <c r="Q270" i="6" s="1"/>
  <c r="M266" i="6"/>
  <c r="G266" i="6" s="1"/>
  <c r="M264" i="6"/>
  <c r="G264" i="6" s="1"/>
  <c r="H265" i="6"/>
  <c r="I265" i="6" s="1"/>
  <c r="G269" i="6"/>
  <c r="G265" i="6"/>
  <c r="G263" i="6"/>
  <c r="G249" i="6"/>
  <c r="H249" i="6"/>
  <c r="I249" i="6" s="1"/>
  <c r="G256" i="6"/>
  <c r="G247" i="6"/>
  <c r="M252" i="6"/>
  <c r="H252" i="6" s="1"/>
  <c r="I252" i="6" s="1"/>
  <c r="G248" i="6"/>
  <c r="H255" i="6"/>
  <c r="I255" i="6" s="1"/>
  <c r="T258" i="6"/>
  <c r="J258" i="6" s="1"/>
  <c r="H250" i="6"/>
  <c r="I250" i="6" s="1"/>
  <c r="G240" i="6"/>
  <c r="H240" i="6"/>
  <c r="I240" i="6" s="1"/>
  <c r="H233" i="6"/>
  <c r="I233" i="6" s="1"/>
  <c r="P244" i="6"/>
  <c r="Q244" i="6" s="1"/>
  <c r="M243" i="6"/>
  <c r="M237" i="6"/>
  <c r="G237" i="6" s="1"/>
  <c r="M235" i="6"/>
  <c r="G235" i="6" s="1"/>
  <c r="G231" i="6"/>
  <c r="H231" i="6"/>
  <c r="I231" i="6" s="1"/>
  <c r="H245" i="6"/>
  <c r="I245" i="6" s="1"/>
  <c r="R243" i="6"/>
  <c r="P243" i="6" s="1"/>
  <c r="Q243" i="6" s="1"/>
  <c r="P235" i="6"/>
  <c r="Q235" i="6" s="1"/>
  <c r="G245" i="6"/>
  <c r="G218" i="6"/>
  <c r="H218" i="6"/>
  <c r="I218" i="6" s="1"/>
  <c r="G224" i="6"/>
  <c r="H224" i="6"/>
  <c r="I224" i="6" s="1"/>
  <c r="H225" i="6"/>
  <c r="I225" i="6" s="1"/>
  <c r="G220" i="6"/>
  <c r="H229" i="6"/>
  <c r="I229" i="6" s="1"/>
  <c r="H220" i="6"/>
  <c r="I220" i="6" s="1"/>
  <c r="G225" i="6"/>
  <c r="H201" i="6"/>
  <c r="I201" i="6" s="1"/>
  <c r="G201" i="6"/>
  <c r="H214" i="6"/>
  <c r="I214" i="6" s="1"/>
  <c r="G211" i="6"/>
  <c r="O199" i="6"/>
  <c r="G190" i="6"/>
  <c r="G191" i="6"/>
  <c r="P189" i="6"/>
  <c r="Q189" i="6" s="1"/>
  <c r="H193" i="6"/>
  <c r="I193" i="6" s="1"/>
  <c r="T198" i="6"/>
  <c r="J198" i="6" s="1"/>
  <c r="G189" i="6"/>
  <c r="H188" i="6"/>
  <c r="I188" i="6" s="1"/>
  <c r="H190" i="6"/>
  <c r="I190" i="6" s="1"/>
  <c r="H174" i="6"/>
  <c r="I174" i="6" s="1"/>
  <c r="G174" i="6"/>
  <c r="H176" i="6"/>
  <c r="I176" i="6" s="1"/>
  <c r="G176" i="6"/>
  <c r="H178" i="6"/>
  <c r="I178" i="6" s="1"/>
  <c r="G178" i="6"/>
  <c r="H179" i="6"/>
  <c r="I179" i="6" s="1"/>
  <c r="G179" i="6"/>
  <c r="T183" i="6"/>
  <c r="H184" i="6"/>
  <c r="I184" i="6" s="1"/>
  <c r="G156" i="6"/>
  <c r="H156" i="6"/>
  <c r="I156" i="6" s="1"/>
  <c r="H158" i="6"/>
  <c r="I158" i="6" s="1"/>
  <c r="G158" i="6"/>
  <c r="P167" i="6"/>
  <c r="Q167" i="6" s="1"/>
  <c r="T167" i="6"/>
  <c r="G162" i="6"/>
  <c r="H157" i="6"/>
  <c r="I157" i="6" s="1"/>
  <c r="H169" i="6"/>
  <c r="I169" i="6" s="1"/>
  <c r="H150" i="6"/>
  <c r="I150" i="6" s="1"/>
  <c r="G146" i="6"/>
  <c r="H154" i="6"/>
  <c r="I154" i="6" s="1"/>
  <c r="N155" i="6"/>
  <c r="O155" i="6" s="1"/>
  <c r="T155" i="6" s="1"/>
  <c r="G144" i="6"/>
  <c r="G151" i="6"/>
  <c r="M147" i="6"/>
  <c r="H147" i="6" s="1"/>
  <c r="I147" i="6" s="1"/>
  <c r="G154" i="6"/>
  <c r="H130" i="6"/>
  <c r="I130" i="6" s="1"/>
  <c r="H132" i="6"/>
  <c r="I132" i="6" s="1"/>
  <c r="G132" i="6"/>
  <c r="G126" i="6"/>
  <c r="G135" i="6"/>
  <c r="G130" i="6"/>
  <c r="H112" i="6"/>
  <c r="I112" i="6" s="1"/>
  <c r="G112" i="6"/>
  <c r="N124" i="6"/>
  <c r="G119" i="6"/>
  <c r="P119" i="6"/>
  <c r="Q119" i="6" s="1"/>
  <c r="H116" i="6"/>
  <c r="I116" i="6" s="1"/>
  <c r="M109" i="6"/>
  <c r="M107" i="6"/>
  <c r="T108" i="6"/>
  <c r="K108" i="6" s="1"/>
  <c r="R109" i="6"/>
  <c r="L109" i="6" s="1"/>
  <c r="R107" i="6"/>
  <c r="P99" i="6"/>
  <c r="Q99" i="6" s="1"/>
  <c r="G98" i="6"/>
  <c r="H90" i="6"/>
  <c r="R93" i="6"/>
  <c r="H87" i="6"/>
  <c r="I87" i="6" s="1"/>
  <c r="P87" i="6"/>
  <c r="Q87" i="6" s="1"/>
  <c r="G87" i="6"/>
  <c r="H66" i="6"/>
  <c r="I66" i="6" s="1"/>
  <c r="M73" i="6"/>
  <c r="G73" i="6" s="1"/>
  <c r="H75" i="6"/>
  <c r="I75" i="6" s="1"/>
  <c r="P75" i="6"/>
  <c r="Q75" i="6" s="1"/>
  <c r="P73" i="6"/>
  <c r="Q73" i="6" s="1"/>
  <c r="H74" i="6"/>
  <c r="I74" i="6" s="1"/>
  <c r="H59" i="6"/>
  <c r="I59" i="6" s="1"/>
  <c r="P59" i="6"/>
  <c r="Q59" i="6" s="1"/>
  <c r="G51" i="6"/>
  <c r="H60" i="6"/>
  <c r="I60" i="6" s="1"/>
  <c r="M61" i="6"/>
  <c r="H61" i="6" s="1"/>
  <c r="I61" i="6" s="1"/>
  <c r="M55" i="6"/>
  <c r="G55" i="6" s="1"/>
  <c r="P45" i="6"/>
  <c r="Q45" i="6" s="1"/>
  <c r="M39" i="6"/>
  <c r="H38" i="6"/>
  <c r="I38" i="6" s="1"/>
  <c r="G44" i="6"/>
  <c r="G45" i="6"/>
  <c r="G39" i="6"/>
  <c r="P39" i="6"/>
  <c r="Q39" i="6" s="1"/>
  <c r="G36" i="6"/>
  <c r="R49" i="6"/>
  <c r="L49" i="6" s="1"/>
  <c r="G30" i="6"/>
  <c r="M29" i="6"/>
  <c r="H29" i="6" s="1"/>
  <c r="I29" i="6" s="1"/>
  <c r="M25" i="6"/>
  <c r="G25" i="6" s="1"/>
  <c r="M21" i="6"/>
  <c r="G21" i="6" s="1"/>
  <c r="R35" i="6"/>
  <c r="L35" i="6" s="1"/>
  <c r="P25" i="6"/>
  <c r="Q25" i="6" s="1"/>
  <c r="G16" i="6"/>
  <c r="H16" i="6"/>
  <c r="I16" i="6" s="1"/>
  <c r="M13" i="6"/>
  <c r="H13" i="6" s="1"/>
  <c r="I13" i="6" s="1"/>
  <c r="H11" i="6"/>
  <c r="I11" i="6" s="1"/>
  <c r="M7" i="6"/>
  <c r="G7" i="6" s="1"/>
  <c r="H311" i="6"/>
  <c r="I311" i="6" s="1"/>
  <c r="G311" i="6"/>
  <c r="M316" i="6"/>
  <c r="G316" i="6" s="1"/>
  <c r="H294" i="6"/>
  <c r="I294" i="6" s="1"/>
  <c r="M305" i="6"/>
  <c r="M308" i="6"/>
  <c r="G294" i="6"/>
  <c r="F372" i="6"/>
  <c r="H332" i="6"/>
  <c r="I332" i="6" s="1"/>
  <c r="M501" i="6"/>
  <c r="H382" i="6"/>
  <c r="I382" i="6" s="1"/>
  <c r="J441" i="6"/>
  <c r="H441" i="6" s="1"/>
  <c r="I441" i="6" s="1"/>
  <c r="M314" i="6"/>
  <c r="H355" i="6"/>
  <c r="I355" i="6" s="1"/>
  <c r="K444" i="6"/>
  <c r="L444" i="6" s="1"/>
  <c r="M444" i="6"/>
  <c r="H387" i="6"/>
  <c r="I387" i="6" s="1"/>
  <c r="H452" i="6"/>
  <c r="I452" i="6" s="1"/>
  <c r="F392" i="6"/>
  <c r="J501" i="6"/>
  <c r="G332" i="6"/>
  <c r="G372" i="6"/>
  <c r="M297" i="6"/>
  <c r="J327" i="6"/>
  <c r="M327" i="6"/>
  <c r="J344" i="6"/>
  <c r="K344" i="6"/>
  <c r="L344" i="6" s="1"/>
  <c r="M344" i="6"/>
  <c r="K346" i="6"/>
  <c r="L346" i="6" s="1"/>
  <c r="M346" i="6"/>
  <c r="K380" i="6"/>
  <c r="L380" i="6" s="1"/>
  <c r="J380" i="6"/>
  <c r="K416" i="6"/>
  <c r="L416" i="6" s="1"/>
  <c r="M416" i="6"/>
  <c r="M418" i="6"/>
  <c r="J418" i="6"/>
  <c r="K418" i="6"/>
  <c r="L418" i="6" s="1"/>
  <c r="M425" i="6"/>
  <c r="K425" i="6"/>
  <c r="L425" i="6" s="1"/>
  <c r="M427" i="6"/>
  <c r="J427" i="6"/>
  <c r="K427" i="6"/>
  <c r="L427" i="6" s="1"/>
  <c r="M429" i="6"/>
  <c r="J429" i="6"/>
  <c r="M431" i="6"/>
  <c r="K431" i="6"/>
  <c r="L431" i="6" s="1"/>
  <c r="K458" i="6"/>
  <c r="L458" i="6" s="1"/>
  <c r="M458" i="6"/>
  <c r="M322" i="6"/>
  <c r="K324" i="6"/>
  <c r="L324" i="6" s="1"/>
  <c r="J324" i="6"/>
  <c r="K377" i="6"/>
  <c r="L377" i="6" s="1"/>
  <c r="J377" i="6"/>
  <c r="K447" i="6"/>
  <c r="L447" i="6" s="1"/>
  <c r="M447" i="6"/>
  <c r="M475" i="6"/>
  <c r="K475" i="6"/>
  <c r="L475" i="6" s="1"/>
  <c r="M484" i="6"/>
  <c r="K484" i="6"/>
  <c r="L484" i="6" s="1"/>
  <c r="G325" i="6"/>
  <c r="H293" i="6"/>
  <c r="I293" i="6" s="1"/>
  <c r="F456" i="6"/>
  <c r="F448" i="6"/>
  <c r="J447" i="6"/>
  <c r="M356" i="6"/>
  <c r="J356" i="6"/>
  <c r="K358" i="6"/>
  <c r="L358" i="6" s="1"/>
  <c r="M358" i="6"/>
  <c r="J360" i="6"/>
  <c r="M360" i="6"/>
  <c r="J364" i="6"/>
  <c r="K364" i="6"/>
  <c r="L364" i="6" s="1"/>
  <c r="M364" i="6"/>
  <c r="K366" i="6"/>
  <c r="L366" i="6" s="1"/>
  <c r="M366" i="6"/>
  <c r="K383" i="6"/>
  <c r="L383" i="6" s="1"/>
  <c r="J383" i="6"/>
  <c r="M383" i="6"/>
  <c r="K405" i="6"/>
  <c r="L405" i="6" s="1"/>
  <c r="M405" i="6"/>
  <c r="M436" i="6"/>
  <c r="J436" i="6"/>
  <c r="K436" i="6"/>
  <c r="L436" i="6" s="1"/>
  <c r="K466" i="6"/>
  <c r="L466" i="6" s="1"/>
  <c r="M466" i="6"/>
  <c r="J470" i="6"/>
  <c r="M470" i="6"/>
  <c r="J371" i="6"/>
  <c r="M367" i="6"/>
  <c r="H359" i="6"/>
  <c r="I359" i="6" s="1"/>
  <c r="J369" i="6"/>
  <c r="K434" i="6"/>
  <c r="L434" i="6" s="1"/>
  <c r="G434" i="6" s="1"/>
  <c r="K410" i="6"/>
  <c r="L410" i="6" s="1"/>
  <c r="J442" i="6"/>
  <c r="F442" i="6" s="1"/>
  <c r="J432" i="6"/>
  <c r="G432" i="6" s="1"/>
  <c r="M445" i="6"/>
  <c r="C507" i="7"/>
  <c r="H438" i="6"/>
  <c r="I438" i="6" s="1"/>
  <c r="H426" i="6"/>
  <c r="I426" i="6" s="1"/>
  <c r="F426" i="6"/>
  <c r="G80" i="6"/>
  <c r="G8" i="6"/>
  <c r="H8" i="6"/>
  <c r="I8" i="6" s="1"/>
  <c r="H223" i="6"/>
  <c r="I223" i="6" s="1"/>
  <c r="G223" i="6"/>
  <c r="P137" i="6"/>
  <c r="Q137" i="6" s="1"/>
  <c r="T137" i="6"/>
  <c r="K137" i="6" s="1"/>
  <c r="R17" i="6"/>
  <c r="P17" i="6" s="1"/>
  <c r="Q17" i="6" s="1"/>
  <c r="M17" i="6"/>
  <c r="R22" i="6"/>
  <c r="L22" i="6" s="1"/>
  <c r="M22" i="6"/>
  <c r="P27" i="6"/>
  <c r="Q27" i="6" s="1"/>
  <c r="M32" i="6"/>
  <c r="R32" i="6"/>
  <c r="P32" i="6" s="1"/>
  <c r="Q32" i="6" s="1"/>
  <c r="M34" i="6"/>
  <c r="R34" i="6"/>
  <c r="L34" i="6" s="1"/>
  <c r="R37" i="6"/>
  <c r="K37" i="6" s="1"/>
  <c r="M37" i="6"/>
  <c r="M40" i="6"/>
  <c r="R77" i="6"/>
  <c r="L77" i="6" s="1"/>
  <c r="M77" i="6"/>
  <c r="R79" i="6"/>
  <c r="L79" i="6" s="1"/>
  <c r="M79" i="6"/>
  <c r="M81" i="6"/>
  <c r="M86" i="6"/>
  <c r="M89" i="6"/>
  <c r="M94" i="6"/>
  <c r="R94" i="6"/>
  <c r="L94" i="6" s="1"/>
  <c r="R97" i="6"/>
  <c r="J97" i="6" s="1"/>
  <c r="M97" i="6"/>
  <c r="P100" i="6"/>
  <c r="Q100" i="6" s="1"/>
  <c r="G100" i="6"/>
  <c r="M103" i="6"/>
  <c r="P103" i="6"/>
  <c r="Q103" i="6" s="1"/>
  <c r="P105" i="6"/>
  <c r="Q105" i="6" s="1"/>
  <c r="M105" i="6"/>
  <c r="G105" i="6" s="1"/>
  <c r="M114" i="6"/>
  <c r="F114" i="6" s="1"/>
  <c r="P114" i="6"/>
  <c r="Q114" i="6" s="1"/>
  <c r="M170" i="6"/>
  <c r="R170" i="6"/>
  <c r="L170" i="6" s="1"/>
  <c r="R172" i="6"/>
  <c r="K172" i="6" s="1"/>
  <c r="M172" i="6"/>
  <c r="M186" i="6"/>
  <c r="M195" i="6"/>
  <c r="G195" i="6" s="1"/>
  <c r="M202" i="6"/>
  <c r="M209" i="6"/>
  <c r="P209" i="6"/>
  <c r="Q209" i="6" s="1"/>
  <c r="R227" i="6"/>
  <c r="M227" i="6"/>
  <c r="K374" i="6"/>
  <c r="L374" i="6" s="1"/>
  <c r="J374" i="6"/>
  <c r="M374" i="6"/>
  <c r="K385" i="6"/>
  <c r="L385" i="6" s="1"/>
  <c r="J385" i="6"/>
  <c r="M385" i="6"/>
  <c r="K390" i="6"/>
  <c r="L390" i="6" s="1"/>
  <c r="M409" i="6"/>
  <c r="K409" i="6"/>
  <c r="L409" i="6" s="1"/>
  <c r="M411" i="6"/>
  <c r="J411" i="6"/>
  <c r="K449" i="6"/>
  <c r="L449" i="6" s="1"/>
  <c r="M449" i="6"/>
  <c r="J449" i="6"/>
  <c r="K451" i="6"/>
  <c r="L451" i="6" s="1"/>
  <c r="M468" i="6"/>
  <c r="K468" i="6"/>
  <c r="L468" i="6" s="1"/>
  <c r="M486" i="6"/>
  <c r="K486" i="6"/>
  <c r="L486" i="6" s="1"/>
  <c r="M488" i="6"/>
  <c r="J488" i="6"/>
  <c r="K488" i="6"/>
  <c r="L488" i="6" s="1"/>
  <c r="K503" i="6"/>
  <c r="L503" i="6" s="1"/>
  <c r="M503" i="6"/>
  <c r="J503" i="6"/>
  <c r="K505" i="6"/>
  <c r="L505" i="6" s="1"/>
  <c r="J505" i="6"/>
  <c r="M505" i="6"/>
  <c r="AM523" i="7"/>
  <c r="AK507" i="7"/>
  <c r="D127" i="5"/>
  <c r="D132" i="5"/>
  <c r="D131" i="5"/>
  <c r="D121" i="5"/>
  <c r="D124" i="5"/>
  <c r="D126" i="5"/>
  <c r="D123" i="5"/>
  <c r="D130" i="5"/>
  <c r="H325" i="6"/>
  <c r="I325" i="6" s="1"/>
  <c r="F338" i="6"/>
  <c r="G338" i="6"/>
  <c r="H338" i="6"/>
  <c r="I338" i="6" s="1"/>
  <c r="H309" i="6"/>
  <c r="I309" i="6" s="1"/>
  <c r="G278" i="6"/>
  <c r="H232" i="6"/>
  <c r="I232" i="6" s="1"/>
  <c r="G232" i="6"/>
  <c r="P230" i="6"/>
  <c r="Q230" i="6" s="1"/>
  <c r="N230" i="6"/>
  <c r="P200" i="6"/>
  <c r="Q200" i="6" s="1"/>
  <c r="N200" i="6"/>
  <c r="P78" i="6"/>
  <c r="Q78" i="6" s="1"/>
  <c r="T78" i="6"/>
  <c r="K78" i="6" s="1"/>
  <c r="P18" i="6"/>
  <c r="T18" i="6"/>
  <c r="K18" i="6" s="1"/>
  <c r="G233" i="6"/>
  <c r="P143" i="6"/>
  <c r="Q143" i="6" s="1"/>
  <c r="P160" i="6"/>
  <c r="Q160" i="6" s="1"/>
  <c r="M160" i="6"/>
  <c r="P163" i="6"/>
  <c r="Q163" i="6" s="1"/>
  <c r="M163" i="6"/>
  <c r="G163" i="6" s="1"/>
  <c r="J363" i="6"/>
  <c r="M363" i="6"/>
  <c r="M365" i="6"/>
  <c r="K365" i="6"/>
  <c r="L365" i="6" s="1"/>
  <c r="J365" i="6"/>
  <c r="M406" i="6"/>
  <c r="J406" i="6"/>
  <c r="M428" i="6"/>
  <c r="J428" i="6"/>
  <c r="K428" i="6"/>
  <c r="L428" i="6" s="1"/>
  <c r="M430" i="6"/>
  <c r="K430" i="6"/>
  <c r="L430" i="6" s="1"/>
  <c r="M437" i="6"/>
  <c r="K437" i="6"/>
  <c r="L437" i="6" s="1"/>
  <c r="J437" i="6"/>
  <c r="K455" i="6"/>
  <c r="L455" i="6" s="1"/>
  <c r="J455" i="6"/>
  <c r="M472" i="6"/>
  <c r="K472" i="6"/>
  <c r="L472" i="6" s="1"/>
  <c r="M481" i="6"/>
  <c r="J481" i="6"/>
  <c r="K481" i="6"/>
  <c r="L481" i="6" s="1"/>
  <c r="M496" i="6"/>
  <c r="J496" i="6"/>
  <c r="K496" i="6"/>
  <c r="L496" i="6" s="1"/>
  <c r="M498" i="6"/>
  <c r="K498" i="6"/>
  <c r="L498" i="6" s="1"/>
  <c r="J498" i="6"/>
  <c r="E522" i="6"/>
  <c r="M513" i="6"/>
  <c r="AN514" i="7" s="1"/>
  <c r="AN523" i="7" s="1"/>
  <c r="D129" i="5"/>
  <c r="T197" i="6"/>
  <c r="H76" i="6"/>
  <c r="I76" i="6" s="1"/>
  <c r="G309" i="6"/>
  <c r="AM507" i="7"/>
  <c r="F348" i="6"/>
  <c r="G350" i="6"/>
  <c r="H350" i="6"/>
  <c r="I350" i="6" s="1"/>
  <c r="G417" i="6"/>
  <c r="H256" i="6"/>
  <c r="G244" i="6"/>
  <c r="H244" i="6"/>
  <c r="I244" i="6" s="1"/>
  <c r="G164" i="6"/>
  <c r="H162" i="6"/>
  <c r="I162" i="6" s="1"/>
  <c r="H146" i="6"/>
  <c r="I146" i="6" s="1"/>
  <c r="G140" i="6"/>
  <c r="H126" i="6"/>
  <c r="I126" i="6" s="1"/>
  <c r="H98" i="6"/>
  <c r="I98" i="6" s="1"/>
  <c r="H20" i="6"/>
  <c r="I20" i="6" s="1"/>
  <c r="G20" i="6"/>
  <c r="P289" i="6"/>
  <c r="Q289" i="6" s="1"/>
  <c r="N289" i="6"/>
  <c r="G271" i="6"/>
  <c r="P195" i="6"/>
  <c r="Q195" i="6" s="1"/>
  <c r="G181" i="6"/>
  <c r="G145" i="6"/>
  <c r="N19" i="6"/>
  <c r="P19" i="6"/>
  <c r="Q19" i="6" s="1"/>
  <c r="H448" i="6"/>
  <c r="I448" i="6" s="1"/>
  <c r="D128" i="5"/>
  <c r="G341" i="6"/>
  <c r="H336" i="6"/>
  <c r="I336" i="6" s="1"/>
  <c r="F336" i="6"/>
  <c r="G422" i="6"/>
  <c r="G250" i="6"/>
  <c r="G88" i="6"/>
  <c r="H88" i="6"/>
  <c r="I88" i="6" s="1"/>
  <c r="G64" i="6"/>
  <c r="M143" i="6"/>
  <c r="P89" i="6"/>
  <c r="Q89" i="6" s="1"/>
  <c r="M47" i="6"/>
  <c r="R47" i="6"/>
  <c r="M52" i="6"/>
  <c r="G52" i="6" s="1"/>
  <c r="M57" i="6"/>
  <c r="H57" i="6" s="1"/>
  <c r="I57" i="6" s="1"/>
  <c r="M71" i="6"/>
  <c r="G71" i="6" s="1"/>
  <c r="P71" i="6"/>
  <c r="Q71" i="6" s="1"/>
  <c r="M110" i="6"/>
  <c r="R110" i="6"/>
  <c r="L110" i="6" s="1"/>
  <c r="G115" i="6"/>
  <c r="P115" i="6"/>
  <c r="Q115" i="6" s="1"/>
  <c r="P117" i="6"/>
  <c r="Q117" i="6" s="1"/>
  <c r="M117" i="6"/>
  <c r="M120" i="6"/>
  <c r="P120" i="6"/>
  <c r="Q120" i="6" s="1"/>
  <c r="R123" i="6"/>
  <c r="R125" i="6"/>
  <c r="L125" i="6" s="1"/>
  <c r="H339" i="6"/>
  <c r="I339" i="6" s="1"/>
  <c r="F354" i="6"/>
  <c r="H354" i="6"/>
  <c r="I354" i="6" s="1"/>
  <c r="H420" i="6"/>
  <c r="I420" i="6" s="1"/>
  <c r="H192" i="6"/>
  <c r="I192" i="6" s="1"/>
  <c r="P48" i="6"/>
  <c r="T48" i="6"/>
  <c r="K48" i="6" s="1"/>
  <c r="H191" i="6"/>
  <c r="I191" i="6" s="1"/>
  <c r="BK4" i="3"/>
  <c r="P9" i="6"/>
  <c r="Q9" i="6" s="1"/>
  <c r="M9" i="6"/>
  <c r="M12" i="6"/>
  <c r="P12" i="6"/>
  <c r="Q12" i="6" s="1"/>
  <c r="P14" i="6"/>
  <c r="Q14" i="6" s="1"/>
  <c r="M19" i="6"/>
  <c r="M31" i="6"/>
  <c r="R65" i="6"/>
  <c r="L65" i="6" s="1"/>
  <c r="M65" i="6"/>
  <c r="M70" i="6"/>
  <c r="R187" i="6"/>
  <c r="K187" i="6" s="1"/>
  <c r="P203" i="6"/>
  <c r="Q203" i="6" s="1"/>
  <c r="P208" i="6"/>
  <c r="Q208" i="6" s="1"/>
  <c r="R215" i="6"/>
  <c r="L215" i="6" s="1"/>
  <c r="M217" i="6"/>
  <c r="R217" i="6"/>
  <c r="J217" i="6" s="1"/>
  <c r="M241" i="6"/>
  <c r="M295" i="6"/>
  <c r="M304" i="6"/>
  <c r="G304" i="6" s="1"/>
  <c r="M307" i="6"/>
  <c r="M401" i="6"/>
  <c r="J401" i="6"/>
  <c r="M414" i="6"/>
  <c r="K414" i="6"/>
  <c r="L414" i="6" s="1"/>
  <c r="M421" i="6"/>
  <c r="K421" i="6"/>
  <c r="L421" i="6" s="1"/>
  <c r="M423" i="6"/>
  <c r="J423" i="6"/>
  <c r="K423" i="6"/>
  <c r="L423" i="6" s="1"/>
  <c r="M439" i="6"/>
  <c r="J439" i="6"/>
  <c r="K465" i="6"/>
  <c r="L465" i="6" s="1"/>
  <c r="M465" i="6"/>
  <c r="M469" i="6"/>
  <c r="J469" i="6"/>
  <c r="K469" i="6"/>
  <c r="L469" i="6" s="1"/>
  <c r="M487" i="6"/>
  <c r="J487" i="6"/>
  <c r="M502" i="6"/>
  <c r="H502" i="6" s="1"/>
  <c r="I502" i="6" s="1"/>
  <c r="G192" i="6"/>
  <c r="G214" i="6"/>
  <c r="H456" i="6"/>
  <c r="I456" i="6" s="1"/>
  <c r="F452" i="6"/>
  <c r="F359" i="6"/>
  <c r="F335" i="6"/>
  <c r="J342" i="6"/>
  <c r="K334" i="6"/>
  <c r="L334" i="6" s="1"/>
  <c r="K412" i="6"/>
  <c r="L412" i="6" s="1"/>
  <c r="G474" i="6"/>
  <c r="R228" i="6"/>
  <c r="P228" i="6" s="1"/>
  <c r="Q228" i="6" s="1"/>
  <c r="M208" i="6"/>
  <c r="H208" i="6" s="1"/>
  <c r="I208" i="6" s="1"/>
  <c r="M194" i="6"/>
  <c r="M180" i="6"/>
  <c r="G150" i="6"/>
  <c r="M14" i="6"/>
  <c r="P279" i="6"/>
  <c r="Q279" i="6" s="1"/>
  <c r="H261" i="6"/>
  <c r="I261" i="6" s="1"/>
  <c r="P257" i="6"/>
  <c r="Q257" i="6" s="1"/>
  <c r="T257" i="6"/>
  <c r="K257" i="6" s="1"/>
  <c r="M203" i="6"/>
  <c r="G203" i="6" s="1"/>
  <c r="D13" i="3"/>
  <c r="H13" i="3"/>
  <c r="P13" i="3"/>
  <c r="T13" i="3"/>
  <c r="AF13" i="3"/>
  <c r="AJ13" i="3"/>
  <c r="AN13" i="3"/>
  <c r="AZ13" i="3"/>
  <c r="BD13" i="3"/>
  <c r="BK26" i="3"/>
  <c r="M6" i="6"/>
  <c r="E506" i="6"/>
  <c r="R33" i="6"/>
  <c r="P33" i="6" s="1"/>
  <c r="Q33" i="6" s="1"/>
  <c r="M33" i="6"/>
  <c r="M128" i="6"/>
  <c r="M131" i="6"/>
  <c r="P148" i="6"/>
  <c r="Q148" i="6" s="1"/>
  <c r="P166" i="6"/>
  <c r="Q166" i="6" s="1"/>
  <c r="P173" i="6"/>
  <c r="Q173" i="6" s="1"/>
  <c r="P177" i="6"/>
  <c r="Q177" i="6" s="1"/>
  <c r="R182" i="6"/>
  <c r="P182" i="6" s="1"/>
  <c r="Q182" i="6" s="1"/>
  <c r="M212" i="6"/>
  <c r="P219" i="6"/>
  <c r="Q219" i="6" s="1"/>
  <c r="M219" i="6"/>
  <c r="F219" i="6" s="1"/>
  <c r="M234" i="6"/>
  <c r="H234" i="6" s="1"/>
  <c r="I234" i="6" s="1"/>
  <c r="P234" i="6"/>
  <c r="Q234" i="6" s="1"/>
  <c r="P236" i="6"/>
  <c r="Q236" i="6" s="1"/>
  <c r="P238" i="6"/>
  <c r="Q238" i="6" s="1"/>
  <c r="H246" i="6"/>
  <c r="I246" i="6" s="1"/>
  <c r="M251" i="6"/>
  <c r="P254" i="6"/>
  <c r="Q254" i="6" s="1"/>
  <c r="M254" i="6"/>
  <c r="R259" i="6"/>
  <c r="L259" i="6" s="1"/>
  <c r="R262" i="6"/>
  <c r="L262" i="6" s="1"/>
  <c r="M267" i="6"/>
  <c r="H267" i="6" s="1"/>
  <c r="I267" i="6" s="1"/>
  <c r="R273" i="6"/>
  <c r="M283" i="6"/>
  <c r="M299" i="6"/>
  <c r="M301" i="6"/>
  <c r="M312" i="6"/>
  <c r="G319" i="6"/>
  <c r="M329" i="6"/>
  <c r="K329" i="6"/>
  <c r="L329" i="6" s="1"/>
  <c r="K393" i="6"/>
  <c r="L393" i="6" s="1"/>
  <c r="M393" i="6"/>
  <c r="G355" i="6"/>
  <c r="H151" i="6"/>
  <c r="I151" i="6" s="1"/>
  <c r="P15" i="6"/>
  <c r="Q15" i="6" s="1"/>
  <c r="M43" i="6"/>
  <c r="F43" i="6" s="1"/>
  <c r="R67" i="6"/>
  <c r="K67" i="6" s="1"/>
  <c r="G76" i="6"/>
  <c r="M83" i="6"/>
  <c r="P83" i="6"/>
  <c r="Q83" i="6" s="1"/>
  <c r="M85" i="6"/>
  <c r="P91" i="6"/>
  <c r="Q91" i="6" s="1"/>
  <c r="M149" i="6"/>
  <c r="F149" i="6" s="1"/>
  <c r="R152" i="6"/>
  <c r="L152" i="6" s="1"/>
  <c r="H206" i="6"/>
  <c r="I206" i="6" s="1"/>
  <c r="H106" i="6"/>
  <c r="I106" i="6" s="1"/>
  <c r="P41" i="6"/>
  <c r="Q41" i="6" s="1"/>
  <c r="P113" i="6"/>
  <c r="Q113" i="6" s="1"/>
  <c r="H24" i="10"/>
  <c r="BK151" i="5" s="1"/>
  <c r="E130" i="5"/>
  <c r="E125" i="5"/>
  <c r="E122" i="5"/>
  <c r="H373" i="6"/>
  <c r="I373" i="6" s="1"/>
  <c r="H361" i="6"/>
  <c r="I361" i="6" s="1"/>
  <c r="F361" i="6"/>
  <c r="G96" i="6"/>
  <c r="P10" i="6"/>
  <c r="M10" i="6"/>
  <c r="P26" i="6"/>
  <c r="Q26" i="6" s="1"/>
  <c r="R63" i="6"/>
  <c r="M63" i="6"/>
  <c r="M69" i="6"/>
  <c r="P69" i="6"/>
  <c r="Q69" i="6" s="1"/>
  <c r="R95" i="6"/>
  <c r="L95" i="6" s="1"/>
  <c r="M95" i="6"/>
  <c r="P101" i="6"/>
  <c r="Q101" i="6" s="1"/>
  <c r="M101" i="6"/>
  <c r="F101" i="6" s="1"/>
  <c r="R127" i="6"/>
  <c r="L127" i="6" s="1"/>
  <c r="M127" i="6"/>
  <c r="M133" i="6"/>
  <c r="F133" i="6" s="1"/>
  <c r="P133" i="6"/>
  <c r="Q133" i="6" s="1"/>
  <c r="P159" i="6"/>
  <c r="Q159" i="6" s="1"/>
  <c r="M159" i="6"/>
  <c r="M165" i="6"/>
  <c r="F165" i="6" s="1"/>
  <c r="P165" i="6"/>
  <c r="Q165" i="6" s="1"/>
  <c r="R168" i="6"/>
  <c r="P204" i="6"/>
  <c r="Q204" i="6" s="1"/>
  <c r="P210" i="6"/>
  <c r="Q210" i="6" s="1"/>
  <c r="R213" i="6"/>
  <c r="M221" i="6"/>
  <c r="M277" i="6"/>
  <c r="M280" i="6"/>
  <c r="M285" i="6"/>
  <c r="F285" i="6" s="1"/>
  <c r="P285" i="6"/>
  <c r="Q285" i="6" s="1"/>
  <c r="H102" i="6"/>
  <c r="I102" i="6" s="1"/>
  <c r="H474" i="6"/>
  <c r="H335" i="6"/>
  <c r="F422" i="6"/>
  <c r="AC506" i="6"/>
  <c r="M396" i="6"/>
  <c r="M394" i="6"/>
  <c r="H394" i="6" s="1"/>
  <c r="I394" i="6" s="1"/>
  <c r="G359" i="6"/>
  <c r="H422" i="6"/>
  <c r="I422" i="6" s="1"/>
  <c r="G106" i="6"/>
  <c r="R260" i="6"/>
  <c r="L260" i="6" s="1"/>
  <c r="M210" i="6"/>
  <c r="M204" i="6"/>
  <c r="P196" i="6"/>
  <c r="Q196" i="6" s="1"/>
  <c r="M168" i="6"/>
  <c r="M26" i="6"/>
  <c r="P221" i="6"/>
  <c r="Q221" i="6" s="1"/>
  <c r="T212" i="6"/>
  <c r="K212" i="6" s="1"/>
  <c r="F420" i="6"/>
  <c r="M391" i="6"/>
  <c r="K407" i="6"/>
  <c r="L407" i="6" s="1"/>
  <c r="J407" i="6"/>
  <c r="J391" i="6"/>
  <c r="R274" i="6"/>
  <c r="L274" i="6" s="1"/>
  <c r="H96" i="6"/>
  <c r="I96" i="6" s="1"/>
  <c r="M72" i="6"/>
  <c r="G68" i="6"/>
  <c r="R277" i="6"/>
  <c r="K277" i="6" s="1"/>
  <c r="T122" i="6"/>
  <c r="J122" i="6" s="1"/>
  <c r="G184" i="6"/>
  <c r="T138" i="6"/>
  <c r="K138" i="6" s="1"/>
  <c r="H189" i="6"/>
  <c r="I189" i="6" s="1"/>
  <c r="P280" i="6"/>
  <c r="Q280" i="6" s="1"/>
  <c r="M268" i="6"/>
  <c r="P136" i="6"/>
  <c r="Q136" i="6" s="1"/>
  <c r="P104" i="6"/>
  <c r="Q104" i="6" s="1"/>
  <c r="P72" i="6"/>
  <c r="Q72" i="6" s="1"/>
  <c r="P42" i="6"/>
  <c r="Q42" i="6" s="1"/>
  <c r="BK10" i="3"/>
  <c r="M53" i="6"/>
  <c r="L13" i="3"/>
  <c r="AB13" i="3"/>
  <c r="G175" i="6"/>
  <c r="P85" i="6"/>
  <c r="Q85" i="6" s="1"/>
  <c r="E143" i="5"/>
  <c r="E147" i="5"/>
  <c r="E137" i="5"/>
  <c r="D142" i="5"/>
  <c r="E146" i="5"/>
  <c r="F146" i="5"/>
  <c r="F137" i="5"/>
  <c r="F143" i="5"/>
  <c r="E139" i="5"/>
  <c r="E136" i="5"/>
  <c r="E145" i="5"/>
  <c r="D145" i="5"/>
  <c r="F145" i="5"/>
  <c r="F147" i="5"/>
  <c r="E138" i="5"/>
  <c r="E142" i="5"/>
  <c r="E141" i="5"/>
  <c r="E144" i="5"/>
  <c r="D138" i="5"/>
  <c r="E135" i="5"/>
  <c r="E140" i="5"/>
  <c r="E148" i="5"/>
  <c r="D135" i="5"/>
  <c r="D143" i="5"/>
  <c r="D140" i="5"/>
  <c r="D144" i="5"/>
  <c r="D147" i="5"/>
  <c r="D137" i="5"/>
  <c r="D141" i="5"/>
  <c r="D146" i="5"/>
  <c r="D139" i="5"/>
  <c r="D136" i="5"/>
  <c r="D148" i="5"/>
  <c r="G278" i="8"/>
  <c r="I32" i="4"/>
  <c r="I28" i="4"/>
  <c r="I31" i="4"/>
  <c r="H3144" i="9"/>
  <c r="AD5" i="2"/>
  <c r="I26" i="4"/>
  <c r="I27" i="4"/>
  <c r="I29" i="4"/>
  <c r="I30" i="4"/>
  <c r="I33" i="4"/>
  <c r="D32" i="5" l="1"/>
  <c r="D20" i="3" s="1"/>
  <c r="F328" i="6"/>
  <c r="H349" i="6"/>
  <c r="I349" i="6" s="1"/>
  <c r="H362" i="6"/>
  <c r="H392" i="6"/>
  <c r="F460" i="6"/>
  <c r="F347" i="6"/>
  <c r="G389" i="6"/>
  <c r="H461" i="6"/>
  <c r="I461" i="6" s="1"/>
  <c r="H443" i="6"/>
  <c r="I443" i="6" s="1"/>
  <c r="F382" i="6"/>
  <c r="G339" i="6"/>
  <c r="H395" i="6"/>
  <c r="I395" i="6" s="1"/>
  <c r="G382" i="6"/>
  <c r="H440" i="6"/>
  <c r="I440" i="6" s="1"/>
  <c r="F445" i="6"/>
  <c r="H415" i="6"/>
  <c r="I415" i="6" s="1"/>
  <c r="G460" i="6"/>
  <c r="H504" i="6"/>
  <c r="I504" i="6" s="1"/>
  <c r="F340" i="6"/>
  <c r="F333" i="6"/>
  <c r="AB330" i="7"/>
  <c r="AH330" i="7" s="1"/>
  <c r="AB329" i="7"/>
  <c r="AH329" i="7" s="1"/>
  <c r="H404" i="6"/>
  <c r="F398" i="6"/>
  <c r="H493" i="6"/>
  <c r="G368" i="6"/>
  <c r="H353" i="6"/>
  <c r="I353" i="6" s="1"/>
  <c r="H435" i="6"/>
  <c r="I435" i="6" s="1"/>
  <c r="G353" i="6"/>
  <c r="F368" i="6"/>
  <c r="F334" i="6"/>
  <c r="F464" i="6"/>
  <c r="G438" i="6"/>
  <c r="U348" i="6"/>
  <c r="AD348" i="6" s="1"/>
  <c r="F339" i="6"/>
  <c r="F500" i="6"/>
  <c r="G349" i="6"/>
  <c r="G457" i="6"/>
  <c r="G473" i="6"/>
  <c r="G351" i="6"/>
  <c r="H424" i="6"/>
  <c r="H345" i="6"/>
  <c r="I345" i="6" s="1"/>
  <c r="H343" i="6"/>
  <c r="I343" i="6" s="1"/>
  <c r="F376" i="6"/>
  <c r="G378" i="6"/>
  <c r="G478" i="6"/>
  <c r="F403" i="6"/>
  <c r="G337" i="6"/>
  <c r="G483" i="6"/>
  <c r="H403" i="6"/>
  <c r="I403" i="6" s="1"/>
  <c r="F412" i="6"/>
  <c r="F351" i="6"/>
  <c r="F477" i="6"/>
  <c r="F343" i="6"/>
  <c r="F457" i="6"/>
  <c r="G376" i="6"/>
  <c r="F341" i="6"/>
  <c r="H399" i="6"/>
  <c r="I399" i="6" s="1"/>
  <c r="G477" i="6"/>
  <c r="G367" i="6"/>
  <c r="F389" i="6"/>
  <c r="AI73" i="7"/>
  <c r="AI193" i="7"/>
  <c r="AI29" i="7"/>
  <c r="AI219" i="7"/>
  <c r="AC160" i="7"/>
  <c r="AI160" i="7" s="1"/>
  <c r="AI119" i="7"/>
  <c r="AI234" i="7"/>
  <c r="AI90" i="7"/>
  <c r="AC227" i="7"/>
  <c r="AI227" i="7" s="1"/>
  <c r="AI156" i="7"/>
  <c r="AI275" i="7"/>
  <c r="AI182" i="7"/>
  <c r="AI226" i="7"/>
  <c r="AC228" i="7"/>
  <c r="AI228" i="7" s="1"/>
  <c r="R25" i="4"/>
  <c r="AI80" i="7"/>
  <c r="AC87" i="7"/>
  <c r="AI87" i="7" s="1"/>
  <c r="AC16" i="7"/>
  <c r="AI16" i="7" s="1"/>
  <c r="AC153" i="7"/>
  <c r="AI153" i="7" s="1"/>
  <c r="AI115" i="7"/>
  <c r="AI270" i="7"/>
  <c r="AC60" i="7"/>
  <c r="AI60" i="7" s="1"/>
  <c r="AC118" i="7"/>
  <c r="AI118" i="7" s="1"/>
  <c r="AC260" i="7"/>
  <c r="AI260" i="7" s="1"/>
  <c r="AC46" i="7"/>
  <c r="AI46" i="7" s="1"/>
  <c r="AI85" i="7"/>
  <c r="AC137" i="7"/>
  <c r="AI137" i="7" s="1"/>
  <c r="AC161" i="7"/>
  <c r="AI161" i="7" s="1"/>
  <c r="AI20" i="7"/>
  <c r="AI238" i="7"/>
  <c r="AC51" i="7"/>
  <c r="AI51" i="7" s="1"/>
  <c r="AC147" i="7"/>
  <c r="AI147" i="7" s="1"/>
  <c r="AI92" i="7"/>
  <c r="AC194" i="7"/>
  <c r="AI194" i="7" s="1"/>
  <c r="AC286" i="7"/>
  <c r="AI286" i="7" s="1"/>
  <c r="AI110" i="7"/>
  <c r="AC186" i="7"/>
  <c r="AI186" i="7" s="1"/>
  <c r="AI39" i="7"/>
  <c r="AI72" i="7"/>
  <c r="AI104" i="7"/>
  <c r="AI280" i="7"/>
  <c r="AI239" i="7"/>
  <c r="AC283" i="7"/>
  <c r="AI283" i="7" s="1"/>
  <c r="AI45" i="7"/>
  <c r="AI78" i="7"/>
  <c r="AC47" i="7"/>
  <c r="AI47" i="7" s="1"/>
  <c r="AC122" i="7"/>
  <c r="AI122" i="7" s="1"/>
  <c r="AC210" i="7"/>
  <c r="AI210" i="7" s="1"/>
  <c r="AI13" i="7"/>
  <c r="AI25" i="7"/>
  <c r="AI77" i="7"/>
  <c r="AI177" i="7"/>
  <c r="AC246" i="7"/>
  <c r="AI246" i="7" s="1"/>
  <c r="AI33" i="7"/>
  <c r="AI49" i="7"/>
  <c r="AC180" i="7"/>
  <c r="AI180" i="7" s="1"/>
  <c r="AC192" i="7"/>
  <c r="AI192" i="7" s="1"/>
  <c r="AI174" i="7"/>
  <c r="AI271" i="7"/>
  <c r="AC17" i="7"/>
  <c r="AI17" i="7" s="1"/>
  <c r="AI41" i="7"/>
  <c r="AC84" i="7"/>
  <c r="AI84" i="7" s="1"/>
  <c r="AC181" i="7"/>
  <c r="AI181" i="7" s="1"/>
  <c r="AI132" i="7"/>
  <c r="AI289" i="7"/>
  <c r="AI256" i="7"/>
  <c r="AI61" i="7"/>
  <c r="AI221" i="7"/>
  <c r="AI116" i="7"/>
  <c r="AI165" i="7"/>
  <c r="AC183" i="7"/>
  <c r="AI183" i="7" s="1"/>
  <c r="AC149" i="7"/>
  <c r="AI149" i="7" s="1"/>
  <c r="AC204" i="7"/>
  <c r="AI204" i="7" s="1"/>
  <c r="AI81" i="7"/>
  <c r="AI11" i="7"/>
  <c r="AI71" i="7"/>
  <c r="AC240" i="7"/>
  <c r="AI240" i="7" s="1"/>
  <c r="AI223" i="7"/>
  <c r="AI251" i="7"/>
  <c r="AC24" i="7"/>
  <c r="AI24" i="7" s="1"/>
  <c r="AC94" i="7"/>
  <c r="AI94" i="7" s="1"/>
  <c r="AC175" i="7"/>
  <c r="AI175" i="7" s="1"/>
  <c r="AC126" i="7"/>
  <c r="AI126" i="7" s="1"/>
  <c r="AI214" i="7"/>
  <c r="AC265" i="7"/>
  <c r="AI265" i="7" s="1"/>
  <c r="AI79" i="7"/>
  <c r="AC66" i="7"/>
  <c r="AI66" i="7" s="1"/>
  <c r="AI100" i="7"/>
  <c r="AI229" i="7"/>
  <c r="AI273" i="7"/>
  <c r="AI59" i="7"/>
  <c r="AI185" i="7"/>
  <c r="AI44" i="7"/>
  <c r="AI139" i="7"/>
  <c r="AC231" i="7"/>
  <c r="AI231" i="7" s="1"/>
  <c r="AI107" i="7"/>
  <c r="AC56" i="7"/>
  <c r="AI56" i="7" s="1"/>
  <c r="AC88" i="7"/>
  <c r="AI88" i="7" s="1"/>
  <c r="AC136" i="7"/>
  <c r="AI136" i="7" s="1"/>
  <c r="AI224" i="7"/>
  <c r="AC268" i="7"/>
  <c r="AI268" i="7" s="1"/>
  <c r="AI191" i="7"/>
  <c r="AC152" i="7"/>
  <c r="AI152" i="7" s="1"/>
  <c r="AC212" i="7"/>
  <c r="AI212" i="7" s="1"/>
  <c r="AC135" i="7"/>
  <c r="AI135" i="7" s="1"/>
  <c r="AI274" i="7"/>
  <c r="AI76" i="7"/>
  <c r="AI99" i="7"/>
  <c r="AI120" i="7"/>
  <c r="AI272" i="7"/>
  <c r="H453" i="6"/>
  <c r="I453" i="6" s="1"/>
  <c r="F370" i="6"/>
  <c r="R5" i="4"/>
  <c r="H483" i="6"/>
  <c r="I483" i="6" s="1"/>
  <c r="F397" i="6"/>
  <c r="F453" i="6"/>
  <c r="G490" i="6"/>
  <c r="G390" i="6"/>
  <c r="H417" i="6"/>
  <c r="I417" i="6" s="1"/>
  <c r="F349" i="6"/>
  <c r="H351" i="6"/>
  <c r="I351" i="6" s="1"/>
  <c r="G499" i="6"/>
  <c r="G400" i="6"/>
  <c r="L323" i="6"/>
  <c r="P323" i="6"/>
  <c r="Q323" i="6" s="1"/>
  <c r="G362" i="6"/>
  <c r="F459" i="6"/>
  <c r="G495" i="6"/>
  <c r="F378" i="6"/>
  <c r="G330" i="6"/>
  <c r="H494" i="6"/>
  <c r="I494" i="6" s="1"/>
  <c r="F413" i="6"/>
  <c r="H398" i="6"/>
  <c r="I398" i="6" s="1"/>
  <c r="G379" i="6"/>
  <c r="G375" i="6"/>
  <c r="G343" i="6"/>
  <c r="H376" i="6"/>
  <c r="I376" i="6" s="1"/>
  <c r="H478" i="6"/>
  <c r="I478" i="6" s="1"/>
  <c r="H408" i="6"/>
  <c r="H379" i="6"/>
  <c r="I379" i="6" s="1"/>
  <c r="G494" i="6"/>
  <c r="H369" i="6"/>
  <c r="I369" i="6" s="1"/>
  <c r="H400" i="6"/>
  <c r="F331" i="6"/>
  <c r="F494" i="6"/>
  <c r="H495" i="6"/>
  <c r="G413" i="6"/>
  <c r="F478" i="6"/>
  <c r="U478" i="6" s="1"/>
  <c r="AD478" i="6" s="1"/>
  <c r="F499" i="6"/>
  <c r="R17" i="4"/>
  <c r="H489" i="6"/>
  <c r="I489" i="6" s="1"/>
  <c r="F408" i="6"/>
  <c r="J242" i="6"/>
  <c r="G242" i="6" s="1"/>
  <c r="F373" i="6"/>
  <c r="G29" i="6"/>
  <c r="F504" i="6"/>
  <c r="F479" i="6"/>
  <c r="H397" i="6"/>
  <c r="I397" i="6" s="1"/>
  <c r="H402" i="6"/>
  <c r="I402" i="6" s="1"/>
  <c r="F424" i="6"/>
  <c r="G386" i="6"/>
  <c r="H370" i="6"/>
  <c r="I370" i="6" s="1"/>
  <c r="G424" i="6"/>
  <c r="G370" i="6"/>
  <c r="F144" i="5"/>
  <c r="P20" i="4"/>
  <c r="F410" i="6"/>
  <c r="G491" i="6"/>
  <c r="F131" i="5"/>
  <c r="H372" i="6"/>
  <c r="I372" i="6" s="1"/>
  <c r="G317" i="6"/>
  <c r="N185" i="6"/>
  <c r="F123" i="5"/>
  <c r="H432" i="6"/>
  <c r="I432" i="6" s="1"/>
  <c r="H416" i="6"/>
  <c r="F120" i="5"/>
  <c r="F126" i="5"/>
  <c r="H360" i="6"/>
  <c r="I360" i="6" s="1"/>
  <c r="F356" i="6"/>
  <c r="F117" i="5"/>
  <c r="G402" i="6"/>
  <c r="H386" i="6"/>
  <c r="I386" i="6" s="1"/>
  <c r="F54" i="6"/>
  <c r="L295" i="6"/>
  <c r="T62" i="6"/>
  <c r="F430" i="6"/>
  <c r="H358" i="6"/>
  <c r="I358" i="6" s="1"/>
  <c r="G377" i="6"/>
  <c r="G347" i="6"/>
  <c r="G326" i="6"/>
  <c r="P153" i="6"/>
  <c r="Q153" i="6" s="1"/>
  <c r="T153" i="6"/>
  <c r="G414" i="6"/>
  <c r="G410" i="6"/>
  <c r="P49" i="6"/>
  <c r="Q49" i="6" s="1"/>
  <c r="F74" i="6"/>
  <c r="F329" i="6"/>
  <c r="F497" i="6"/>
  <c r="F471" i="6"/>
  <c r="F111" i="6"/>
  <c r="F87" i="6"/>
  <c r="F75" i="6"/>
  <c r="F84" i="6"/>
  <c r="G56" i="6"/>
  <c r="F46" i="6"/>
  <c r="F8" i="6"/>
  <c r="K295" i="6"/>
  <c r="F263" i="6"/>
  <c r="U263" i="6" s="1"/>
  <c r="F151" i="6"/>
  <c r="F129" i="6"/>
  <c r="AH205" i="7"/>
  <c r="P25" i="4"/>
  <c r="P6" i="4"/>
  <c r="P8" i="4"/>
  <c r="G363" i="6"/>
  <c r="F282" i="6"/>
  <c r="F278" i="6"/>
  <c r="F220" i="6"/>
  <c r="F218" i="6"/>
  <c r="F206" i="6"/>
  <c r="H463" i="6"/>
  <c r="I463" i="6" s="1"/>
  <c r="K202" i="6"/>
  <c r="F150" i="6"/>
  <c r="H334" i="6"/>
  <c r="I334" i="6" s="1"/>
  <c r="H235" i="6"/>
  <c r="I235" i="6" s="1"/>
  <c r="H410" i="6"/>
  <c r="T182" i="6"/>
  <c r="F414" i="6"/>
  <c r="G439" i="6"/>
  <c r="H264" i="6"/>
  <c r="I264" i="6" s="1"/>
  <c r="U448" i="6"/>
  <c r="AD448" i="6" s="1"/>
  <c r="G344" i="6"/>
  <c r="H331" i="6"/>
  <c r="I331" i="6" s="1"/>
  <c r="H378" i="6"/>
  <c r="I378" i="6" s="1"/>
  <c r="G399" i="6"/>
  <c r="F463" i="6"/>
  <c r="F42" i="6"/>
  <c r="F319" i="6"/>
  <c r="F201" i="6"/>
  <c r="F145" i="6"/>
  <c r="U145" i="6" s="1"/>
  <c r="F121" i="6"/>
  <c r="H482" i="6"/>
  <c r="I482" i="6" s="1"/>
  <c r="H490" i="6"/>
  <c r="I490" i="6" s="1"/>
  <c r="F23" i="6"/>
  <c r="F15" i="6"/>
  <c r="F238" i="6"/>
  <c r="F126" i="6"/>
  <c r="F100" i="6"/>
  <c r="H44" i="6"/>
  <c r="I44" i="6" s="1"/>
  <c r="F16" i="6"/>
  <c r="U16" i="6" s="1"/>
  <c r="F265" i="6"/>
  <c r="F261" i="6"/>
  <c r="F255" i="6"/>
  <c r="F249" i="6"/>
  <c r="F239" i="6"/>
  <c r="F233" i="6"/>
  <c r="F211" i="6"/>
  <c r="F181" i="6"/>
  <c r="G366" i="6"/>
  <c r="F482" i="6"/>
  <c r="F59" i="6"/>
  <c r="F41" i="6"/>
  <c r="F270" i="6"/>
  <c r="F250" i="6"/>
  <c r="F242" i="6"/>
  <c r="F178" i="6"/>
  <c r="F166" i="6"/>
  <c r="F156" i="6"/>
  <c r="J142" i="6"/>
  <c r="H142" i="6" s="1"/>
  <c r="I142" i="6" s="1"/>
  <c r="G74" i="6"/>
  <c r="H54" i="6"/>
  <c r="I54" i="6" s="1"/>
  <c r="G38" i="6"/>
  <c r="F291" i="6"/>
  <c r="F279" i="6"/>
  <c r="F269" i="6"/>
  <c r="F223" i="6"/>
  <c r="AB301" i="7"/>
  <c r="AH301" i="7" s="1"/>
  <c r="G147" i="6"/>
  <c r="C41" i="5" a="1"/>
  <c r="C41" i="5" s="1"/>
  <c r="G13" i="6"/>
  <c r="H73" i="6"/>
  <c r="I73" i="6" s="1"/>
  <c r="U359" i="6"/>
  <c r="AD359" i="6" s="1"/>
  <c r="G313" i="6"/>
  <c r="H315" i="6"/>
  <c r="I315" i="6" s="1"/>
  <c r="H363" i="6"/>
  <c r="I363" i="6" s="1"/>
  <c r="H266" i="6"/>
  <c r="I266" i="6" s="1"/>
  <c r="H377" i="6"/>
  <c r="I377" i="6" s="1"/>
  <c r="H418" i="6"/>
  <c r="I418" i="6" s="1"/>
  <c r="F380" i="6"/>
  <c r="H344" i="6"/>
  <c r="I344" i="6" s="1"/>
  <c r="G302" i="6"/>
  <c r="H21" i="6"/>
  <c r="I21" i="6" s="1"/>
  <c r="T305" i="6"/>
  <c r="G388" i="6"/>
  <c r="U381" i="6"/>
  <c r="AD381" i="6" s="1"/>
  <c r="H337" i="6"/>
  <c r="I337" i="6" s="1"/>
  <c r="F51" i="6"/>
  <c r="F45" i="6"/>
  <c r="F7" i="6"/>
  <c r="F302" i="6"/>
  <c r="F196" i="6"/>
  <c r="F174" i="6"/>
  <c r="U174" i="6" s="1"/>
  <c r="AL175" i="7" s="1"/>
  <c r="H140" i="6"/>
  <c r="I140" i="6" s="1"/>
  <c r="F134" i="6"/>
  <c r="K287" i="6"/>
  <c r="F283" i="6"/>
  <c r="F221" i="6"/>
  <c r="F209" i="6"/>
  <c r="F195" i="6"/>
  <c r="P183" i="6"/>
  <c r="Q183" i="6" s="1"/>
  <c r="L183" i="6"/>
  <c r="F159" i="6"/>
  <c r="F143" i="6"/>
  <c r="AB283" i="7"/>
  <c r="AH283" i="7" s="1"/>
  <c r="F357" i="6"/>
  <c r="G345" i="6"/>
  <c r="H497" i="6"/>
  <c r="I497" i="6" s="1"/>
  <c r="F103" i="6"/>
  <c r="F85" i="6"/>
  <c r="F254" i="6"/>
  <c r="F210" i="6"/>
  <c r="F194" i="6"/>
  <c r="F317" i="6"/>
  <c r="F315" i="6"/>
  <c r="F301" i="6"/>
  <c r="F299" i="6"/>
  <c r="F267" i="6"/>
  <c r="F253" i="6"/>
  <c r="F251" i="6"/>
  <c r="F241" i="6"/>
  <c r="F235" i="6"/>
  <c r="F173" i="6"/>
  <c r="J167" i="6"/>
  <c r="H161" i="6"/>
  <c r="I161" i="6" s="1"/>
  <c r="F161" i="6"/>
  <c r="F147" i="6"/>
  <c r="F131" i="6"/>
  <c r="AH173" i="7"/>
  <c r="AB251" i="7"/>
  <c r="AH251" i="7" s="1"/>
  <c r="H105" i="6"/>
  <c r="I105" i="6" s="1"/>
  <c r="H468" i="6"/>
  <c r="I468" i="6" s="1"/>
  <c r="F360" i="6"/>
  <c r="H356" i="6"/>
  <c r="I356" i="6" s="1"/>
  <c r="T306" i="6"/>
  <c r="F115" i="6"/>
  <c r="F29" i="6"/>
  <c r="F286" i="6"/>
  <c r="F224" i="6"/>
  <c r="J202" i="6"/>
  <c r="F158" i="6"/>
  <c r="F154" i="6"/>
  <c r="U154" i="6" s="1"/>
  <c r="F146" i="6"/>
  <c r="K142" i="6"/>
  <c r="G116" i="6"/>
  <c r="F104" i="6"/>
  <c r="G102" i="6"/>
  <c r="F90" i="6"/>
  <c r="F86" i="6"/>
  <c r="H68" i="6"/>
  <c r="I68" i="6" s="1"/>
  <c r="F60" i="6"/>
  <c r="F26" i="6"/>
  <c r="F309" i="6"/>
  <c r="F303" i="6"/>
  <c r="F297" i="6"/>
  <c r="P197" i="6"/>
  <c r="Q197" i="6" s="1"/>
  <c r="L197" i="6"/>
  <c r="F179" i="6"/>
  <c r="F177" i="6"/>
  <c r="H175" i="6"/>
  <c r="I175" i="6" s="1"/>
  <c r="G169" i="6"/>
  <c r="F163" i="6"/>
  <c r="F135" i="6"/>
  <c r="AB31" i="7"/>
  <c r="AH31" i="7" s="1"/>
  <c r="AB219" i="7"/>
  <c r="AH219" i="7" s="1"/>
  <c r="F434" i="6"/>
  <c r="H434" i="6"/>
  <c r="I434" i="6" s="1"/>
  <c r="F369" i="6"/>
  <c r="F346" i="6"/>
  <c r="G318" i="6"/>
  <c r="G464" i="6"/>
  <c r="F402" i="6"/>
  <c r="G459" i="6"/>
  <c r="F476" i="6"/>
  <c r="F119" i="6"/>
  <c r="F117" i="6"/>
  <c r="F99" i="6"/>
  <c r="F91" i="6"/>
  <c r="F83" i="6"/>
  <c r="F81" i="6"/>
  <c r="F69" i="6"/>
  <c r="F39" i="6"/>
  <c r="F31" i="6"/>
  <c r="F314" i="6"/>
  <c r="F294" i="6"/>
  <c r="F226" i="6"/>
  <c r="F222" i="6"/>
  <c r="F130" i="6"/>
  <c r="U130" i="6" s="1"/>
  <c r="F106" i="6"/>
  <c r="K92" i="6"/>
  <c r="H92" i="6" s="1"/>
  <c r="I92" i="6" s="1"/>
  <c r="F64" i="6"/>
  <c r="U64" i="6" s="1"/>
  <c r="F38" i="6"/>
  <c r="F28" i="6"/>
  <c r="F12" i="6"/>
  <c r="F311" i="6"/>
  <c r="H247" i="6"/>
  <c r="I247" i="6" s="1"/>
  <c r="F231" i="6"/>
  <c r="F229" i="6"/>
  <c r="F207" i="6"/>
  <c r="H205" i="6"/>
  <c r="I205" i="6" s="1"/>
  <c r="F193" i="6"/>
  <c r="F191" i="6"/>
  <c r="F189" i="6"/>
  <c r="F157" i="6"/>
  <c r="F141" i="6"/>
  <c r="AB167" i="7"/>
  <c r="AH167" i="7" s="1"/>
  <c r="AB187" i="7"/>
  <c r="AH187" i="7" s="1"/>
  <c r="F113" i="6"/>
  <c r="F105" i="6"/>
  <c r="F89" i="6"/>
  <c r="F57" i="6"/>
  <c r="F55" i="6"/>
  <c r="F53" i="6"/>
  <c r="F27" i="6"/>
  <c r="F11" i="6"/>
  <c r="F9" i="6"/>
  <c r="F318" i="6"/>
  <c r="F292" i="6"/>
  <c r="F266" i="6"/>
  <c r="F256" i="6"/>
  <c r="F246" i="6"/>
  <c r="F216" i="6"/>
  <c r="F214" i="6"/>
  <c r="F192" i="6"/>
  <c r="F190" i="6"/>
  <c r="F186" i="6"/>
  <c r="F164" i="6"/>
  <c r="F162" i="6"/>
  <c r="F98" i="6"/>
  <c r="G82" i="6"/>
  <c r="H80" i="6"/>
  <c r="I80" i="6" s="1"/>
  <c r="F70" i="6"/>
  <c r="G66" i="6"/>
  <c r="H30" i="6"/>
  <c r="I30" i="6" s="1"/>
  <c r="F20" i="6"/>
  <c r="U20" i="6" s="1"/>
  <c r="F313" i="6"/>
  <c r="F281" i="6"/>
  <c r="H279" i="6"/>
  <c r="I279" i="6" s="1"/>
  <c r="F271" i="6"/>
  <c r="F245" i="6"/>
  <c r="F225" i="6"/>
  <c r="F171" i="6"/>
  <c r="E3" i="4"/>
  <c r="C3" i="4"/>
  <c r="J3" i="4"/>
  <c r="AH299" i="7"/>
  <c r="AH235" i="7"/>
  <c r="AH171" i="7"/>
  <c r="AH269" i="7"/>
  <c r="Q25" i="4"/>
  <c r="Q21" i="4"/>
  <c r="Q15" i="4"/>
  <c r="Q7" i="4"/>
  <c r="Q12" i="4"/>
  <c r="Q6" i="4"/>
  <c r="Q23" i="4"/>
  <c r="Q5" i="4"/>
  <c r="Q16" i="4"/>
  <c r="Q20" i="4"/>
  <c r="Q13" i="4"/>
  <c r="Q8" i="4"/>
  <c r="Q11" i="4"/>
  <c r="Q9" i="4"/>
  <c r="Q17" i="4"/>
  <c r="Q4" i="4"/>
  <c r="Q22" i="4"/>
  <c r="Q14" i="4"/>
  <c r="E127" i="5"/>
  <c r="E114" i="5"/>
  <c r="E96" i="5"/>
  <c r="AB143" i="7"/>
  <c r="AH143" i="7" s="1"/>
  <c r="AH267" i="7"/>
  <c r="AH203" i="7"/>
  <c r="AH315" i="7"/>
  <c r="K97" i="6"/>
  <c r="F73" i="6"/>
  <c r="F71" i="6"/>
  <c r="F61" i="6"/>
  <c r="L47" i="6"/>
  <c r="F25" i="6"/>
  <c r="F21" i="6"/>
  <c r="F13" i="6"/>
  <c r="J310" i="6"/>
  <c r="K306" i="6"/>
  <c r="F304" i="6"/>
  <c r="F300" i="6"/>
  <c r="F280" i="6"/>
  <c r="J262" i="6"/>
  <c r="K258" i="6"/>
  <c r="H258" i="6" s="1"/>
  <c r="I258" i="6" s="1"/>
  <c r="F234" i="6"/>
  <c r="F208" i="6"/>
  <c r="F204" i="6"/>
  <c r="K198" i="6"/>
  <c r="F198" i="6" s="1"/>
  <c r="L182" i="6"/>
  <c r="L168" i="6"/>
  <c r="K122" i="6"/>
  <c r="G122" i="6" s="1"/>
  <c r="F112" i="6"/>
  <c r="J108" i="6"/>
  <c r="F108" i="6" s="1"/>
  <c r="F102" i="6"/>
  <c r="F92" i="6"/>
  <c r="J78" i="6"/>
  <c r="F72" i="6"/>
  <c r="F66" i="6"/>
  <c r="U66" i="6" s="1"/>
  <c r="F52" i="6"/>
  <c r="K50" i="6"/>
  <c r="F36" i="6"/>
  <c r="F30" i="6"/>
  <c r="J22" i="6"/>
  <c r="J18" i="6"/>
  <c r="F18" i="6" s="1"/>
  <c r="F10" i="6"/>
  <c r="AB109" i="7"/>
  <c r="AH109" i="7" s="1"/>
  <c r="AH320" i="7"/>
  <c r="AH304" i="7"/>
  <c r="AH288" i="7"/>
  <c r="AH272" i="7"/>
  <c r="AH256" i="7"/>
  <c r="AH240" i="7"/>
  <c r="AH224" i="7"/>
  <c r="AH208" i="7"/>
  <c r="AH192" i="7"/>
  <c r="AH176" i="7"/>
  <c r="AH160" i="7"/>
  <c r="AH144" i="7"/>
  <c r="G293" i="6"/>
  <c r="J277" i="6"/>
  <c r="J275" i="6"/>
  <c r="G229" i="6"/>
  <c r="K217" i="6"/>
  <c r="F169" i="6"/>
  <c r="K167" i="6"/>
  <c r="J127" i="6"/>
  <c r="L123" i="6"/>
  <c r="AB312" i="7"/>
  <c r="AH312" i="7" s="1"/>
  <c r="AB248" i="7"/>
  <c r="AH248" i="7" s="1"/>
  <c r="AB184" i="7"/>
  <c r="AH184" i="7" s="1"/>
  <c r="AB308" i="7"/>
  <c r="AH308" i="7" s="1"/>
  <c r="AB244" i="7"/>
  <c r="AH244" i="7" s="1"/>
  <c r="AB180" i="7"/>
  <c r="AH180" i="7" s="1"/>
  <c r="AH125" i="7"/>
  <c r="AH45" i="7"/>
  <c r="AB316" i="7"/>
  <c r="AH316" i="7" s="1"/>
  <c r="AB252" i="7"/>
  <c r="AH252" i="7" s="1"/>
  <c r="AB188" i="7"/>
  <c r="AH188" i="7" s="1"/>
  <c r="F493" i="6"/>
  <c r="G333" i="6"/>
  <c r="H384" i="6"/>
  <c r="I384" i="6" s="1"/>
  <c r="C25" i="5" a="1"/>
  <c r="C25" i="5" s="1"/>
  <c r="L67" i="6"/>
  <c r="L63" i="6"/>
  <c r="L37" i="6"/>
  <c r="L17" i="6"/>
  <c r="K310" i="6"/>
  <c r="F288" i="6"/>
  <c r="F284" i="6"/>
  <c r="K262" i="6"/>
  <c r="L228" i="6"/>
  <c r="F188" i="6"/>
  <c r="F184" i="6"/>
  <c r="J182" i="6"/>
  <c r="L172" i="6"/>
  <c r="H164" i="6"/>
  <c r="I164" i="6" s="1"/>
  <c r="F160" i="6"/>
  <c r="F144" i="6"/>
  <c r="G142" i="6"/>
  <c r="H118" i="6"/>
  <c r="I118" i="6" s="1"/>
  <c r="F116" i="6"/>
  <c r="F96" i="6"/>
  <c r="H82" i="6"/>
  <c r="I82" i="6" s="1"/>
  <c r="F80" i="6"/>
  <c r="F76" i="6"/>
  <c r="G58" i="6"/>
  <c r="H58" i="6"/>
  <c r="I58" i="6" s="1"/>
  <c r="F56" i="6"/>
  <c r="J48" i="6"/>
  <c r="F48" i="6" s="1"/>
  <c r="F44" i="6"/>
  <c r="U44" i="6" s="1"/>
  <c r="F40" i="6"/>
  <c r="H36" i="6"/>
  <c r="I36" i="6" s="1"/>
  <c r="F24" i="6"/>
  <c r="K22" i="6"/>
  <c r="F14" i="6"/>
  <c r="AB61" i="7"/>
  <c r="AH61" i="7" s="1"/>
  <c r="AH300" i="7"/>
  <c r="AH284" i="7"/>
  <c r="AH268" i="7"/>
  <c r="AH236" i="7"/>
  <c r="AH220" i="7"/>
  <c r="AH204" i="7"/>
  <c r="AH172" i="7"/>
  <c r="AH156" i="7"/>
  <c r="AH140" i="7"/>
  <c r="J305" i="6"/>
  <c r="L277" i="6"/>
  <c r="F237" i="6"/>
  <c r="F203" i="6"/>
  <c r="L187" i="6"/>
  <c r="K127" i="6"/>
  <c r="AB296" i="7"/>
  <c r="AH296" i="7" s="1"/>
  <c r="AB232" i="7"/>
  <c r="AH232" i="7" s="1"/>
  <c r="AB168" i="7"/>
  <c r="AH168" i="7" s="1"/>
  <c r="AB292" i="7"/>
  <c r="AH292" i="7" s="1"/>
  <c r="AB228" i="7"/>
  <c r="AH228" i="7" s="1"/>
  <c r="AB164" i="7"/>
  <c r="AH164" i="7" s="1"/>
  <c r="AH325" i="7"/>
  <c r="U339" i="6"/>
  <c r="AD339" i="6" s="1"/>
  <c r="G334" i="6"/>
  <c r="H71" i="6"/>
  <c r="I71" i="6" s="1"/>
  <c r="G444" i="6"/>
  <c r="H296" i="6"/>
  <c r="I296" i="6" s="1"/>
  <c r="H25" i="6"/>
  <c r="I25" i="6" s="1"/>
  <c r="G61" i="6"/>
  <c r="T243" i="6"/>
  <c r="K243" i="6" s="1"/>
  <c r="U265" i="6"/>
  <c r="U341" i="6"/>
  <c r="AD341" i="6" s="1"/>
  <c r="T63" i="6"/>
  <c r="J63" i="6" s="1"/>
  <c r="U420" i="6"/>
  <c r="AD420" i="6" s="1"/>
  <c r="F487" i="6"/>
  <c r="G114" i="6"/>
  <c r="N49" i="6"/>
  <c r="F447" i="6"/>
  <c r="G441" i="6"/>
  <c r="U269" i="6"/>
  <c r="H330" i="6"/>
  <c r="I330" i="6" s="1"/>
  <c r="F404" i="6"/>
  <c r="H328" i="6"/>
  <c r="I328" i="6" s="1"/>
  <c r="U352" i="6"/>
  <c r="AD352" i="6" s="1"/>
  <c r="F490" i="6"/>
  <c r="U490" i="6" s="1"/>
  <c r="AD490" i="6" s="1"/>
  <c r="L107" i="6"/>
  <c r="L97" i="6"/>
  <c r="L93" i="6"/>
  <c r="J67" i="6"/>
  <c r="J37" i="6"/>
  <c r="L33" i="6"/>
  <c r="O139" i="6"/>
  <c r="F316" i="6"/>
  <c r="F312" i="6"/>
  <c r="L306" i="6"/>
  <c r="L272" i="6"/>
  <c r="F264" i="6"/>
  <c r="F232" i="6"/>
  <c r="J212" i="6"/>
  <c r="F212" i="6" s="1"/>
  <c r="K182" i="6"/>
  <c r="F180" i="6"/>
  <c r="F176" i="6"/>
  <c r="J172" i="6"/>
  <c r="F148" i="6"/>
  <c r="F140" i="6"/>
  <c r="J138" i="6"/>
  <c r="F136" i="6"/>
  <c r="F120" i="6"/>
  <c r="AH280" i="7"/>
  <c r="AH264" i="7"/>
  <c r="AH216" i="7"/>
  <c r="AH200" i="7"/>
  <c r="AH152" i="7"/>
  <c r="AH136" i="7"/>
  <c r="L305" i="6"/>
  <c r="L287" i="6"/>
  <c r="F287" i="6" s="1"/>
  <c r="L273" i="6"/>
  <c r="J257" i="6"/>
  <c r="G255" i="6"/>
  <c r="L243" i="6"/>
  <c r="L227" i="6"/>
  <c r="L217" i="6"/>
  <c r="L213" i="6"/>
  <c r="J197" i="6"/>
  <c r="J187" i="6"/>
  <c r="J183" i="6"/>
  <c r="H181" i="6"/>
  <c r="I181" i="6" s="1"/>
  <c r="G171" i="6"/>
  <c r="L167" i="6"/>
  <c r="J155" i="6"/>
  <c r="J137" i="6"/>
  <c r="AB276" i="7"/>
  <c r="AH276" i="7" s="1"/>
  <c r="AB212" i="7"/>
  <c r="AH212" i="7" s="1"/>
  <c r="AB148" i="7"/>
  <c r="AH148" i="7" s="1"/>
  <c r="H436" i="6"/>
  <c r="H427" i="6"/>
  <c r="F327" i="6"/>
  <c r="U504" i="6"/>
  <c r="AD504" i="6" s="1"/>
  <c r="T199" i="6"/>
  <c r="J199" i="6" s="1"/>
  <c r="G252" i="6"/>
  <c r="T320" i="6"/>
  <c r="K320" i="6" s="1"/>
  <c r="H457" i="6"/>
  <c r="I457" i="6" s="1"/>
  <c r="F433" i="6"/>
  <c r="L320" i="6"/>
  <c r="J306" i="6"/>
  <c r="F296" i="6"/>
  <c r="N290" i="6"/>
  <c r="P290" i="6"/>
  <c r="Q290" i="6" s="1"/>
  <c r="G282" i="6"/>
  <c r="F276" i="6"/>
  <c r="F268" i="6"/>
  <c r="F252" i="6"/>
  <c r="F248" i="6"/>
  <c r="F244" i="6"/>
  <c r="U244" i="6" s="1"/>
  <c r="F240" i="6"/>
  <c r="F236" i="6"/>
  <c r="G206" i="6"/>
  <c r="F142" i="6"/>
  <c r="F132" i="6"/>
  <c r="F128" i="6"/>
  <c r="F118" i="6"/>
  <c r="G90" i="6"/>
  <c r="F88" i="6"/>
  <c r="U88" i="6" s="1"/>
  <c r="H84" i="6"/>
  <c r="F82" i="6"/>
  <c r="F68" i="6"/>
  <c r="G60" i="6"/>
  <c r="F58" i="6"/>
  <c r="J50" i="6"/>
  <c r="L32" i="6"/>
  <c r="F6" i="6"/>
  <c r="AH324" i="7"/>
  <c r="AH260" i="7"/>
  <c r="AH196" i="7"/>
  <c r="AH36" i="7"/>
  <c r="L321" i="6"/>
  <c r="K305" i="6"/>
  <c r="F293" i="6"/>
  <c r="K275" i="6"/>
  <c r="H253" i="6"/>
  <c r="I253" i="6" s="1"/>
  <c r="G253" i="6"/>
  <c r="F247" i="6"/>
  <c r="U247" i="6" s="1"/>
  <c r="F205" i="6"/>
  <c r="U205" i="6" s="1"/>
  <c r="K197" i="6"/>
  <c r="G193" i="6"/>
  <c r="K183" i="6"/>
  <c r="F175" i="6"/>
  <c r="U175" i="6" s="1"/>
  <c r="G161" i="6"/>
  <c r="K155" i="6"/>
  <c r="H135" i="6"/>
  <c r="I135" i="6" s="1"/>
  <c r="AG19" i="7"/>
  <c r="C49" i="5" s="1" a="1"/>
  <c r="C49" i="5" s="1"/>
  <c r="E32" i="5"/>
  <c r="E20" i="3" s="1"/>
  <c r="F121" i="5"/>
  <c r="F118" i="5"/>
  <c r="F92" i="5"/>
  <c r="F87" i="5"/>
  <c r="F67" i="5"/>
  <c r="F80" i="5"/>
  <c r="F53" i="5" a="1"/>
  <c r="F53" i="5" s="1"/>
  <c r="F125" i="5"/>
  <c r="F148" i="5"/>
  <c r="F116" i="5"/>
  <c r="F107" i="5"/>
  <c r="F109" i="5"/>
  <c r="F65" i="5"/>
  <c r="F78" i="5"/>
  <c r="F51" i="5" a="1"/>
  <c r="F51" i="5" s="1"/>
  <c r="F129" i="5"/>
  <c r="F105" i="5"/>
  <c r="F74" i="5"/>
  <c r="F82" i="5"/>
  <c r="F127" i="5"/>
  <c r="F141" i="5"/>
  <c r="F114" i="5"/>
  <c r="F108" i="5"/>
  <c r="F88" i="5"/>
  <c r="F63" i="5"/>
  <c r="F76" i="5"/>
  <c r="F130" i="5"/>
  <c r="F69" i="5"/>
  <c r="F139" i="5"/>
  <c r="F112" i="5"/>
  <c r="F85" i="5"/>
  <c r="F61" i="5"/>
  <c r="F49" i="5" a="1"/>
  <c r="F49" i="5" s="1"/>
  <c r="F122" i="5"/>
  <c r="F135" i="5"/>
  <c r="F110" i="5"/>
  <c r="F103" i="5"/>
  <c r="F83" i="5"/>
  <c r="F56" i="5" a="1"/>
  <c r="F56" i="5" s="1"/>
  <c r="F72" i="5"/>
  <c r="F30" i="5" a="1"/>
  <c r="F30" i="5" s="1"/>
  <c r="F124" i="5"/>
  <c r="F119" i="5"/>
  <c r="F106" i="5"/>
  <c r="F101" i="5"/>
  <c r="F81" i="5"/>
  <c r="F54" i="5" a="1"/>
  <c r="F54" i="5" s="1"/>
  <c r="F70" i="5"/>
  <c r="F20" i="5" a="1"/>
  <c r="F20" i="5" s="1"/>
  <c r="F102" i="5"/>
  <c r="F50" i="5" a="1"/>
  <c r="F50" i="5" s="1"/>
  <c r="F66" i="5"/>
  <c r="F111" i="5"/>
  <c r="F95" i="5"/>
  <c r="F90" i="5"/>
  <c r="F132" i="5"/>
  <c r="F115" i="5"/>
  <c r="F104" i="5"/>
  <c r="F99" i="5"/>
  <c r="F79" i="5"/>
  <c r="F52" i="5" a="1"/>
  <c r="F52" i="5" s="1"/>
  <c r="F68" i="5"/>
  <c r="F26" i="5" a="1"/>
  <c r="F26" i="5" s="1"/>
  <c r="F113" i="5"/>
  <c r="F97" i="5"/>
  <c r="G3" i="5"/>
  <c r="F75" i="5"/>
  <c r="F31" i="5" a="1"/>
  <c r="F31" i="5" s="1"/>
  <c r="F77" i="5"/>
  <c r="F100" i="5"/>
  <c r="F64" i="5"/>
  <c r="F89" i="5"/>
  <c r="F140" i="5"/>
  <c r="F98" i="5"/>
  <c r="F93" i="5"/>
  <c r="F73" i="5"/>
  <c r="F86" i="5"/>
  <c r="F62" i="5"/>
  <c r="S3" i="4"/>
  <c r="F136" i="5"/>
  <c r="F94" i="5"/>
  <c r="F55" i="5" a="1"/>
  <c r="F55" i="5" s="1"/>
  <c r="F128" i="5"/>
  <c r="F138" i="5"/>
  <c r="F96" i="5"/>
  <c r="F91" i="5"/>
  <c r="F71" i="5"/>
  <c r="F84" i="5"/>
  <c r="F60" i="5"/>
  <c r="F3" i="3"/>
  <c r="R18" i="4"/>
  <c r="R16" i="4"/>
  <c r="R14" i="4"/>
  <c r="R19" i="4"/>
  <c r="R15" i="4"/>
  <c r="R12" i="4"/>
  <c r="R11" i="4"/>
  <c r="R8" i="4"/>
  <c r="R23" i="4"/>
  <c r="R10" i="4"/>
  <c r="R7" i="4"/>
  <c r="R22" i="4"/>
  <c r="R6" i="4"/>
  <c r="R20" i="4"/>
  <c r="R4" i="4"/>
  <c r="R9" i="4"/>
  <c r="C133" i="5"/>
  <c r="C24" i="3" s="1"/>
  <c r="U313" i="6"/>
  <c r="AL314" i="7" s="1"/>
  <c r="U169" i="6"/>
  <c r="AD169" i="6" s="1"/>
  <c r="AN170" i="7" s="1"/>
  <c r="U291" i="6"/>
  <c r="AD291" i="6" s="1"/>
  <c r="AN292" i="7" s="1"/>
  <c r="U87" i="6"/>
  <c r="AL88" i="7" s="1"/>
  <c r="H99" i="6"/>
  <c r="I99" i="6" s="1"/>
  <c r="H207" i="6"/>
  <c r="I207" i="6" s="1"/>
  <c r="G312" i="6"/>
  <c r="U181" i="6"/>
  <c r="AL182" i="7" s="1"/>
  <c r="H163" i="6"/>
  <c r="I163" i="6" s="1"/>
  <c r="H316" i="6"/>
  <c r="I316" i="6" s="1"/>
  <c r="U223" i="6"/>
  <c r="AL224" i="7" s="1"/>
  <c r="H300" i="6"/>
  <c r="I300" i="6" s="1"/>
  <c r="G11" i="6"/>
  <c r="U11" i="6" s="1"/>
  <c r="G207" i="6"/>
  <c r="U317" i="6"/>
  <c r="AL318" i="7" s="1"/>
  <c r="U73" i="6"/>
  <c r="AD73" i="6" s="1"/>
  <c r="AN74" i="7" s="1"/>
  <c r="G267" i="6"/>
  <c r="U267" i="6" s="1"/>
  <c r="H55" i="6"/>
  <c r="I55" i="6" s="1"/>
  <c r="U147" i="6"/>
  <c r="AL148" i="7" s="1"/>
  <c r="U150" i="6"/>
  <c r="AD150" i="6" s="1"/>
  <c r="AN151" i="7" s="1"/>
  <c r="U311" i="6"/>
  <c r="AL312" i="7" s="1"/>
  <c r="U13" i="6"/>
  <c r="AD13" i="6" s="1"/>
  <c r="AN14" i="7" s="1"/>
  <c r="G167" i="6"/>
  <c r="U278" i="6"/>
  <c r="AL279" i="7" s="1"/>
  <c r="U68" i="6"/>
  <c r="AL69" i="7" s="1"/>
  <c r="U74" i="6"/>
  <c r="AL75" i="7" s="1"/>
  <c r="U156" i="6"/>
  <c r="AL157" i="7" s="1"/>
  <c r="U60" i="6"/>
  <c r="AD60" i="6" s="1"/>
  <c r="AN61" i="7" s="1"/>
  <c r="U220" i="6"/>
  <c r="AL221" i="7" s="1"/>
  <c r="U255" i="6"/>
  <c r="AL256" i="7" s="1"/>
  <c r="U284" i="6"/>
  <c r="AL285" i="7" s="1"/>
  <c r="I90" i="6"/>
  <c r="U90" i="6" s="1"/>
  <c r="I288" i="6"/>
  <c r="U288" i="6" s="1"/>
  <c r="I256" i="6"/>
  <c r="U256" i="6" s="1"/>
  <c r="U264" i="6"/>
  <c r="AL265" i="7" s="1"/>
  <c r="U36" i="6"/>
  <c r="AD36" i="6" s="1"/>
  <c r="AN37" i="7" s="1"/>
  <c r="U296" i="6"/>
  <c r="AL297" i="7" s="1"/>
  <c r="U162" i="6"/>
  <c r="AL163" i="7" s="1"/>
  <c r="U112" i="6"/>
  <c r="AL113" i="7" s="1"/>
  <c r="U218" i="6"/>
  <c r="AD218" i="6" s="1"/>
  <c r="AN219" i="7" s="1"/>
  <c r="U224" i="6"/>
  <c r="AD224" i="6" s="1"/>
  <c r="AN225" i="7" s="1"/>
  <c r="U245" i="6"/>
  <c r="AL246" i="7" s="1"/>
  <c r="AD174" i="6"/>
  <c r="AN175" i="7" s="1"/>
  <c r="F324" i="6"/>
  <c r="U333" i="6"/>
  <c r="AD333" i="6" s="1"/>
  <c r="G437" i="6"/>
  <c r="G406" i="6"/>
  <c r="G503" i="6"/>
  <c r="F468" i="6"/>
  <c r="F377" i="6"/>
  <c r="U377" i="6" s="1"/>
  <c r="AD377" i="6" s="1"/>
  <c r="H431" i="6"/>
  <c r="I431" i="6" s="1"/>
  <c r="G427" i="6"/>
  <c r="G493" i="6"/>
  <c r="U460" i="6"/>
  <c r="AD460" i="6" s="1"/>
  <c r="U331" i="6"/>
  <c r="AD331" i="6" s="1"/>
  <c r="U337" i="6"/>
  <c r="AD337" i="6" s="1"/>
  <c r="G479" i="6"/>
  <c r="F415" i="6"/>
  <c r="U415" i="6" s="1"/>
  <c r="AD415" i="6" s="1"/>
  <c r="F379" i="6"/>
  <c r="U379" i="6" s="1"/>
  <c r="AD379" i="6" s="1"/>
  <c r="F400" i="6"/>
  <c r="H499" i="6"/>
  <c r="I499" i="6" s="1"/>
  <c r="F495" i="6"/>
  <c r="G408" i="6"/>
  <c r="H471" i="6"/>
  <c r="I471" i="6" s="1"/>
  <c r="H346" i="6"/>
  <c r="I346" i="6" s="1"/>
  <c r="G356" i="6"/>
  <c r="U356" i="6" s="1"/>
  <c r="AD356" i="6" s="1"/>
  <c r="U350" i="6"/>
  <c r="AD350" i="6" s="1"/>
  <c r="G466" i="6"/>
  <c r="F364" i="6"/>
  <c r="G418" i="6"/>
  <c r="G327" i="6"/>
  <c r="U471" i="6"/>
  <c r="AD471" i="6" s="1"/>
  <c r="G461" i="6"/>
  <c r="U461" i="6" s="1"/>
  <c r="AD461" i="6" s="1"/>
  <c r="F362" i="6"/>
  <c r="F440" i="6"/>
  <c r="U440" i="6" s="1"/>
  <c r="AD440" i="6" s="1"/>
  <c r="F443" i="6"/>
  <c r="U443" i="6" s="1"/>
  <c r="AD443" i="6" s="1"/>
  <c r="G462" i="6"/>
  <c r="F462" i="6"/>
  <c r="G360" i="6"/>
  <c r="U360" i="6" s="1"/>
  <c r="AD360" i="6" s="1"/>
  <c r="G468" i="6"/>
  <c r="H367" i="6"/>
  <c r="I367" i="6" s="1"/>
  <c r="F367" i="6"/>
  <c r="G329" i="6"/>
  <c r="U452" i="6"/>
  <c r="AD452" i="6" s="1"/>
  <c r="F405" i="6"/>
  <c r="U332" i="6"/>
  <c r="AD332" i="6" s="1"/>
  <c r="H473" i="6"/>
  <c r="I473" i="6" s="1"/>
  <c r="F419" i="6"/>
  <c r="H413" i="6"/>
  <c r="I413" i="6" s="1"/>
  <c r="H389" i="6"/>
  <c r="I389" i="6" s="1"/>
  <c r="G404" i="6"/>
  <c r="G453" i="6"/>
  <c r="U453" i="6" s="1"/>
  <c r="AD453" i="6" s="1"/>
  <c r="H327" i="6"/>
  <c r="I327" i="6" s="1"/>
  <c r="U354" i="6"/>
  <c r="AD354" i="6" s="1"/>
  <c r="F505" i="6"/>
  <c r="F374" i="6"/>
  <c r="F501" i="6"/>
  <c r="F441" i="6"/>
  <c r="U441" i="6" s="1"/>
  <c r="AD441" i="6" s="1"/>
  <c r="F489" i="6"/>
  <c r="G489" i="6"/>
  <c r="H467" i="6"/>
  <c r="I467" i="6" s="1"/>
  <c r="G467" i="6"/>
  <c r="H479" i="6"/>
  <c r="I479" i="6" s="1"/>
  <c r="G395" i="6"/>
  <c r="U395" i="6" s="1"/>
  <c r="AD395" i="6" s="1"/>
  <c r="H485" i="6"/>
  <c r="I485" i="6" s="1"/>
  <c r="F473" i="6"/>
  <c r="H450" i="6"/>
  <c r="I450" i="6" s="1"/>
  <c r="F450" i="6"/>
  <c r="G450" i="6"/>
  <c r="G398" i="6"/>
  <c r="U398" i="6" s="1"/>
  <c r="AD398" i="6" s="1"/>
  <c r="G397" i="6"/>
  <c r="U397" i="6" s="1"/>
  <c r="AD397" i="6" s="1"/>
  <c r="F330" i="6"/>
  <c r="U330" i="6" s="1"/>
  <c r="F384" i="6"/>
  <c r="G476" i="6"/>
  <c r="G497" i="6"/>
  <c r="U497" i="6" s="1"/>
  <c r="AD497" i="6" s="1"/>
  <c r="F388" i="6"/>
  <c r="G485" i="6"/>
  <c r="U485" i="6" s="1"/>
  <c r="AD485" i="6" s="1"/>
  <c r="H326" i="6"/>
  <c r="I326" i="6" s="1"/>
  <c r="F491" i="6"/>
  <c r="U491" i="6" s="1"/>
  <c r="AD491" i="6" s="1"/>
  <c r="H357" i="6"/>
  <c r="I357" i="6" s="1"/>
  <c r="U463" i="6"/>
  <c r="AD463" i="6" s="1"/>
  <c r="F406" i="6"/>
  <c r="F344" i="6"/>
  <c r="U344" i="6" s="1"/>
  <c r="AD344" i="6" s="1"/>
  <c r="H442" i="6"/>
  <c r="I442" i="6" s="1"/>
  <c r="F418" i="6"/>
  <c r="U376" i="6"/>
  <c r="AD376" i="6" s="1"/>
  <c r="G502" i="6"/>
  <c r="F425" i="6"/>
  <c r="H459" i="6"/>
  <c r="I459" i="6" s="1"/>
  <c r="G492" i="6"/>
  <c r="H492" i="6"/>
  <c r="I492" i="6" s="1"/>
  <c r="F492" i="6"/>
  <c r="H388" i="6"/>
  <c r="I388" i="6" s="1"/>
  <c r="H375" i="6"/>
  <c r="I375" i="6" s="1"/>
  <c r="F375" i="6"/>
  <c r="G340" i="6"/>
  <c r="H340" i="6"/>
  <c r="I340" i="6" s="1"/>
  <c r="G433" i="6"/>
  <c r="H433" i="6"/>
  <c r="I433" i="6" s="1"/>
  <c r="G384" i="6"/>
  <c r="H419" i="6"/>
  <c r="I419" i="6" s="1"/>
  <c r="G442" i="6"/>
  <c r="H406" i="6"/>
  <c r="I406" i="6" s="1"/>
  <c r="U351" i="6"/>
  <c r="AD351" i="6" s="1"/>
  <c r="U355" i="6"/>
  <c r="AD355" i="6" s="1"/>
  <c r="G421" i="6"/>
  <c r="H401" i="6"/>
  <c r="I401" i="6" s="1"/>
  <c r="U464" i="6"/>
  <c r="AD464" i="6" s="1"/>
  <c r="U417" i="6"/>
  <c r="AD417" i="6" s="1"/>
  <c r="F444" i="6"/>
  <c r="G409" i="6"/>
  <c r="F470" i="6"/>
  <c r="F475" i="6"/>
  <c r="F431" i="6"/>
  <c r="U370" i="6"/>
  <c r="AD370" i="6" s="1"/>
  <c r="G500" i="6"/>
  <c r="U500" i="6" s="1"/>
  <c r="AD500" i="6" s="1"/>
  <c r="G454" i="6"/>
  <c r="H454" i="6"/>
  <c r="I454" i="6" s="1"/>
  <c r="F454" i="6"/>
  <c r="H446" i="6"/>
  <c r="I446" i="6" s="1"/>
  <c r="F446" i="6"/>
  <c r="G446" i="6"/>
  <c r="G419" i="6"/>
  <c r="F480" i="6"/>
  <c r="G480" i="6"/>
  <c r="H476" i="6"/>
  <c r="I476" i="6" s="1"/>
  <c r="F386" i="6"/>
  <c r="U386" i="6" s="1"/>
  <c r="AD386" i="6" s="1"/>
  <c r="G435" i="6"/>
  <c r="U435" i="6" s="1"/>
  <c r="AD435" i="6" s="1"/>
  <c r="U482" i="6"/>
  <c r="AD482" i="6" s="1"/>
  <c r="K4" i="2"/>
  <c r="A3" i="2"/>
  <c r="C7" i="2"/>
  <c r="AH7" i="2" s="1"/>
  <c r="B8" i="2"/>
  <c r="H292" i="6"/>
  <c r="I292" i="6" s="1"/>
  <c r="G292" i="6"/>
  <c r="N322" i="6"/>
  <c r="P322" i="6"/>
  <c r="Q322" i="6" s="1"/>
  <c r="N323" i="6"/>
  <c r="T321" i="6"/>
  <c r="J321" i="6" s="1"/>
  <c r="P308" i="6"/>
  <c r="Q308" i="6" s="1"/>
  <c r="N308" i="6"/>
  <c r="P307" i="6"/>
  <c r="Q307" i="6" s="1"/>
  <c r="N307" i="6"/>
  <c r="H276" i="6"/>
  <c r="I276" i="6" s="1"/>
  <c r="G286" i="6"/>
  <c r="H286" i="6"/>
  <c r="I286" i="6" s="1"/>
  <c r="G276" i="6"/>
  <c r="U279" i="6"/>
  <c r="AD279" i="6" s="1"/>
  <c r="AN280" i="7" s="1"/>
  <c r="H287" i="6"/>
  <c r="I287" i="6" s="1"/>
  <c r="U282" i="6"/>
  <c r="AD269" i="6"/>
  <c r="AN270" i="7" s="1"/>
  <c r="AL270" i="7"/>
  <c r="G270" i="6"/>
  <c r="U271" i="6"/>
  <c r="P272" i="6"/>
  <c r="Q272" i="6" s="1"/>
  <c r="T272" i="6"/>
  <c r="J272" i="6" s="1"/>
  <c r="H270" i="6"/>
  <c r="I270" i="6" s="1"/>
  <c r="U250" i="6"/>
  <c r="AD250" i="6" s="1"/>
  <c r="AN251" i="7" s="1"/>
  <c r="U252" i="6"/>
  <c r="H248" i="6"/>
  <c r="I248" i="6" s="1"/>
  <c r="U249" i="6"/>
  <c r="G258" i="6"/>
  <c r="H237" i="6"/>
  <c r="I237" i="6" s="1"/>
  <c r="U232" i="6"/>
  <c r="AD232" i="6" s="1"/>
  <c r="AN233" i="7" s="1"/>
  <c r="G239" i="6"/>
  <c r="U231" i="6"/>
  <c r="U240" i="6"/>
  <c r="H239" i="6"/>
  <c r="I239" i="6" s="1"/>
  <c r="U233" i="6"/>
  <c r="AL234" i="7" s="1"/>
  <c r="G217" i="6"/>
  <c r="H222" i="6"/>
  <c r="I222" i="6" s="1"/>
  <c r="G222" i="6"/>
  <c r="U225" i="6"/>
  <c r="T228" i="6"/>
  <c r="J228" i="6" s="1"/>
  <c r="U229" i="6"/>
  <c r="U211" i="6"/>
  <c r="U201" i="6"/>
  <c r="U214" i="6"/>
  <c r="AD214" i="6" s="1"/>
  <c r="AN215" i="7" s="1"/>
  <c r="U192" i="6"/>
  <c r="AL193" i="7" s="1"/>
  <c r="H198" i="6"/>
  <c r="I198" i="6" s="1"/>
  <c r="G198" i="6"/>
  <c r="U190" i="6"/>
  <c r="U193" i="6"/>
  <c r="U188" i="6"/>
  <c r="G172" i="6"/>
  <c r="H183" i="6"/>
  <c r="I183" i="6" s="1"/>
  <c r="U176" i="6"/>
  <c r="G183" i="6"/>
  <c r="U178" i="6"/>
  <c r="U179" i="6"/>
  <c r="U158" i="6"/>
  <c r="G157" i="6"/>
  <c r="H144" i="6"/>
  <c r="I144" i="6" s="1"/>
  <c r="U146" i="6"/>
  <c r="AL147" i="7" s="1"/>
  <c r="G134" i="6"/>
  <c r="H134" i="6"/>
  <c r="I134" i="6" s="1"/>
  <c r="U132" i="6"/>
  <c r="H129" i="6"/>
  <c r="I129" i="6" s="1"/>
  <c r="G129" i="6"/>
  <c r="H119" i="6"/>
  <c r="I119" i="6" s="1"/>
  <c r="G121" i="6"/>
  <c r="G120" i="6"/>
  <c r="H120" i="6"/>
  <c r="I120" i="6" s="1"/>
  <c r="U116" i="6"/>
  <c r="H121" i="6"/>
  <c r="I121" i="6" s="1"/>
  <c r="O124" i="6"/>
  <c r="T124" i="6" s="1"/>
  <c r="U105" i="6"/>
  <c r="AL106" i="7" s="1"/>
  <c r="H100" i="6"/>
  <c r="I100" i="6" s="1"/>
  <c r="H97" i="6"/>
  <c r="I97" i="6" s="1"/>
  <c r="U106" i="6"/>
  <c r="AL107" i="7" s="1"/>
  <c r="P107" i="6"/>
  <c r="Q107" i="6" s="1"/>
  <c r="T107" i="6"/>
  <c r="J107" i="6" s="1"/>
  <c r="H103" i="6"/>
  <c r="I103" i="6" s="1"/>
  <c r="G99" i="6"/>
  <c r="P109" i="6"/>
  <c r="Q109" i="6" s="1"/>
  <c r="N109" i="6"/>
  <c r="P93" i="6"/>
  <c r="Q93" i="6" s="1"/>
  <c r="T93" i="6"/>
  <c r="K93" i="6" s="1"/>
  <c r="U76" i="6"/>
  <c r="AD76" i="6" s="1"/>
  <c r="AN77" i="7" s="1"/>
  <c r="G75" i="6"/>
  <c r="U75" i="6" s="1"/>
  <c r="U80" i="6"/>
  <c r="AD80" i="6" s="1"/>
  <c r="AN81" i="7" s="1"/>
  <c r="U71" i="6"/>
  <c r="AL72" i="7" s="1"/>
  <c r="G59" i="6"/>
  <c r="U59" i="6" s="1"/>
  <c r="U61" i="6"/>
  <c r="H51" i="6"/>
  <c r="I51" i="6" s="1"/>
  <c r="AD44" i="6"/>
  <c r="AN45" i="7" s="1"/>
  <c r="AL45" i="7"/>
  <c r="U38" i="6"/>
  <c r="H45" i="6"/>
  <c r="I45" i="6" s="1"/>
  <c r="H39" i="6"/>
  <c r="I39" i="6" s="1"/>
  <c r="P35" i="6"/>
  <c r="Q35" i="6" s="1"/>
  <c r="N35" i="6"/>
  <c r="U21" i="6"/>
  <c r="H23" i="6"/>
  <c r="I23" i="6" s="1"/>
  <c r="U25" i="6"/>
  <c r="G23" i="6"/>
  <c r="H7" i="6"/>
  <c r="I7" i="6" s="1"/>
  <c r="H305" i="6"/>
  <c r="I305" i="6" s="1"/>
  <c r="U302" i="6"/>
  <c r="AD302" i="6" s="1"/>
  <c r="AN303" i="7" s="1"/>
  <c r="G297" i="6"/>
  <c r="U294" i="6"/>
  <c r="G303" i="6"/>
  <c r="H303" i="6"/>
  <c r="G298" i="6"/>
  <c r="H298" i="6"/>
  <c r="I298" i="6" s="1"/>
  <c r="H371" i="6"/>
  <c r="I371" i="6" s="1"/>
  <c r="F371" i="6"/>
  <c r="G371" i="6"/>
  <c r="F432" i="6"/>
  <c r="U432" i="6" s="1"/>
  <c r="AD432" i="6" s="1"/>
  <c r="G383" i="6"/>
  <c r="H383" i="6"/>
  <c r="I383" i="6" s="1"/>
  <c r="F383" i="6"/>
  <c r="H484" i="6"/>
  <c r="I484" i="6" s="1"/>
  <c r="F427" i="6"/>
  <c r="H380" i="6"/>
  <c r="I380" i="6" s="1"/>
  <c r="I493" i="6"/>
  <c r="H445" i="6"/>
  <c r="I445" i="6" s="1"/>
  <c r="H297" i="6"/>
  <c r="I297" i="6" s="1"/>
  <c r="U422" i="6"/>
  <c r="AD422" i="6" s="1"/>
  <c r="H423" i="6"/>
  <c r="I423" i="6" s="1"/>
  <c r="F428" i="6"/>
  <c r="F486" i="6"/>
  <c r="U318" i="6"/>
  <c r="H319" i="6"/>
  <c r="I319" i="6" s="1"/>
  <c r="F458" i="6"/>
  <c r="G458" i="6"/>
  <c r="H458" i="6"/>
  <c r="I458" i="6" s="1"/>
  <c r="F429" i="6"/>
  <c r="G429" i="6"/>
  <c r="H429" i="6"/>
  <c r="I429" i="6" s="1"/>
  <c r="H501" i="6"/>
  <c r="I501" i="6" s="1"/>
  <c r="H447" i="6"/>
  <c r="I447" i="6" s="1"/>
  <c r="F466" i="6"/>
  <c r="U434" i="6"/>
  <c r="AD434" i="6" s="1"/>
  <c r="H312" i="6"/>
  <c r="I312" i="6" s="1"/>
  <c r="H470" i="6"/>
  <c r="I470" i="6" s="1"/>
  <c r="G470" i="6"/>
  <c r="G436" i="6"/>
  <c r="F436" i="6"/>
  <c r="H405" i="6"/>
  <c r="I405" i="6" s="1"/>
  <c r="G405" i="6"/>
  <c r="H364" i="6"/>
  <c r="I364" i="6" s="1"/>
  <c r="G364" i="6"/>
  <c r="G358" i="6"/>
  <c r="F358" i="6"/>
  <c r="U293" i="6"/>
  <c r="F416" i="6"/>
  <c r="G416" i="6"/>
  <c r="G369" i="6"/>
  <c r="U369" i="6" s="1"/>
  <c r="AD369" i="6" s="1"/>
  <c r="G484" i="6"/>
  <c r="G324" i="6"/>
  <c r="G447" i="6"/>
  <c r="G501" i="6"/>
  <c r="H444" i="6"/>
  <c r="I444" i="6" s="1"/>
  <c r="U387" i="6"/>
  <c r="AD387" i="6" s="1"/>
  <c r="H324" i="6"/>
  <c r="I324" i="6" s="1"/>
  <c r="H439" i="6"/>
  <c r="I439" i="6" s="1"/>
  <c r="H472" i="6"/>
  <c r="I472" i="6" s="1"/>
  <c r="F363" i="6"/>
  <c r="U363" i="6" s="1"/>
  <c r="AD363" i="6" s="1"/>
  <c r="I404" i="6"/>
  <c r="F366" i="6"/>
  <c r="H366" i="6"/>
  <c r="I366" i="6" s="1"/>
  <c r="F484" i="6"/>
  <c r="H475" i="6"/>
  <c r="I475" i="6" s="1"/>
  <c r="G475" i="6"/>
  <c r="H425" i="6"/>
  <c r="I425" i="6" s="1"/>
  <c r="G380" i="6"/>
  <c r="G346" i="6"/>
  <c r="G425" i="6"/>
  <c r="G314" i="6"/>
  <c r="H314" i="6"/>
  <c r="I314" i="6" s="1"/>
  <c r="G431" i="6"/>
  <c r="U372" i="6"/>
  <c r="AD372" i="6" s="1"/>
  <c r="H466" i="6"/>
  <c r="I466" i="6" s="1"/>
  <c r="U402" i="6"/>
  <c r="AD402" i="6" s="1"/>
  <c r="G445" i="6"/>
  <c r="U483" i="6"/>
  <c r="AD483" i="6" s="1"/>
  <c r="BK27" i="3"/>
  <c r="C32" i="5"/>
  <c r="C20" i="3" s="1"/>
  <c r="H72" i="6"/>
  <c r="I72" i="6" s="1"/>
  <c r="H101" i="6"/>
  <c r="I101" i="6" s="1"/>
  <c r="U343" i="6"/>
  <c r="AD343" i="6" s="1"/>
  <c r="U399" i="6"/>
  <c r="AD399" i="6" s="1"/>
  <c r="G43" i="6"/>
  <c r="U151" i="6"/>
  <c r="H301" i="6"/>
  <c r="I301" i="6" s="1"/>
  <c r="G301" i="6"/>
  <c r="P273" i="6"/>
  <c r="Q273" i="6" s="1"/>
  <c r="T273" i="6"/>
  <c r="K273" i="6" s="1"/>
  <c r="H262" i="6"/>
  <c r="I262" i="6" s="1"/>
  <c r="G262" i="6"/>
  <c r="G254" i="6"/>
  <c r="H254" i="6"/>
  <c r="I254" i="6" s="1"/>
  <c r="H236" i="6"/>
  <c r="I236" i="6" s="1"/>
  <c r="G236" i="6"/>
  <c r="G219" i="6"/>
  <c r="H177" i="6"/>
  <c r="I177" i="6" s="1"/>
  <c r="G177" i="6"/>
  <c r="H6" i="6"/>
  <c r="H12" i="6"/>
  <c r="I12" i="6" s="1"/>
  <c r="G12" i="6"/>
  <c r="H70" i="6"/>
  <c r="I70" i="6" s="1"/>
  <c r="H194" i="6"/>
  <c r="I194" i="6" s="1"/>
  <c r="G194" i="6"/>
  <c r="H412" i="6"/>
  <c r="I412" i="6" s="1"/>
  <c r="G412" i="6"/>
  <c r="H203" i="6"/>
  <c r="I203" i="6" s="1"/>
  <c r="H304" i="6"/>
  <c r="I304" i="6" s="1"/>
  <c r="H281" i="6"/>
  <c r="I281" i="6" s="1"/>
  <c r="G281" i="6"/>
  <c r="G70" i="6"/>
  <c r="P65" i="6"/>
  <c r="Q65" i="6" s="1"/>
  <c r="N65" i="6"/>
  <c r="H9" i="6"/>
  <c r="I9" i="6" s="1"/>
  <c r="H43" i="6"/>
  <c r="I43" i="6" s="1"/>
  <c r="G498" i="6"/>
  <c r="F498" i="6"/>
  <c r="F496" i="6"/>
  <c r="G496" i="6"/>
  <c r="G160" i="6"/>
  <c r="G141" i="6"/>
  <c r="H141" i="6"/>
  <c r="I141" i="6" s="1"/>
  <c r="Q18" i="6"/>
  <c r="O230" i="6"/>
  <c r="T230" i="6" s="1"/>
  <c r="F488" i="6"/>
  <c r="G488" i="6"/>
  <c r="H488" i="6"/>
  <c r="I488" i="6" s="1"/>
  <c r="G451" i="6"/>
  <c r="F451" i="6"/>
  <c r="H451" i="6"/>
  <c r="I451" i="6" s="1"/>
  <c r="H411" i="6"/>
  <c r="I411" i="6" s="1"/>
  <c r="G411" i="6"/>
  <c r="F411" i="6"/>
  <c r="P94" i="6"/>
  <c r="Q94" i="6" s="1"/>
  <c r="N94" i="6"/>
  <c r="H89" i="6"/>
  <c r="I89" i="6" s="1"/>
  <c r="P79" i="6"/>
  <c r="Q79" i="6" s="1"/>
  <c r="N79" i="6"/>
  <c r="P77" i="6"/>
  <c r="Q77" i="6" s="1"/>
  <c r="T77" i="6"/>
  <c r="K77" i="6" s="1"/>
  <c r="H40" i="6"/>
  <c r="I40" i="6" s="1"/>
  <c r="H407" i="6"/>
  <c r="I407" i="6" s="1"/>
  <c r="G69" i="6"/>
  <c r="U349" i="6"/>
  <c r="AD349" i="6" s="1"/>
  <c r="U361" i="6"/>
  <c r="AD361" i="6" s="1"/>
  <c r="H113" i="6"/>
  <c r="I113" i="6" s="1"/>
  <c r="G113" i="6"/>
  <c r="G67" i="6"/>
  <c r="H67" i="6"/>
  <c r="I67" i="6" s="1"/>
  <c r="H283" i="6"/>
  <c r="I283" i="6" s="1"/>
  <c r="G283" i="6"/>
  <c r="G246" i="6"/>
  <c r="G166" i="6"/>
  <c r="H166" i="6"/>
  <c r="I166" i="6" s="1"/>
  <c r="H131" i="6"/>
  <c r="I131" i="6" s="1"/>
  <c r="G131" i="6"/>
  <c r="T33" i="6"/>
  <c r="J33" i="6" s="1"/>
  <c r="U261" i="6"/>
  <c r="F502" i="6"/>
  <c r="H469" i="6"/>
  <c r="I469" i="6" s="1"/>
  <c r="G465" i="6"/>
  <c r="F465" i="6"/>
  <c r="H465" i="6"/>
  <c r="I465" i="6" s="1"/>
  <c r="F423" i="6"/>
  <c r="G423" i="6"/>
  <c r="H414" i="6"/>
  <c r="I414" i="6" s="1"/>
  <c r="G9" i="6"/>
  <c r="Q48" i="6"/>
  <c r="H115" i="6"/>
  <c r="I115" i="6" s="1"/>
  <c r="P47" i="6"/>
  <c r="Q47" i="6" s="1"/>
  <c r="T47" i="6"/>
  <c r="K47" i="6" s="1"/>
  <c r="H27" i="6"/>
  <c r="I27" i="6" s="1"/>
  <c r="G27" i="6"/>
  <c r="O19" i="6"/>
  <c r="O289" i="6"/>
  <c r="T289" i="6" s="1"/>
  <c r="U206" i="6"/>
  <c r="G472" i="6"/>
  <c r="F455" i="6"/>
  <c r="G455" i="6"/>
  <c r="H455" i="6"/>
  <c r="I455" i="6" s="1"/>
  <c r="G365" i="6"/>
  <c r="H160" i="6"/>
  <c r="I160" i="6" s="1"/>
  <c r="G505" i="6"/>
  <c r="H505" i="6"/>
  <c r="I505" i="6" s="1"/>
  <c r="F503" i="6"/>
  <c r="F449" i="6"/>
  <c r="H449" i="6"/>
  <c r="I449" i="6" s="1"/>
  <c r="G449" i="6"/>
  <c r="F390" i="6"/>
  <c r="H390" i="6"/>
  <c r="I390" i="6" s="1"/>
  <c r="H202" i="6"/>
  <c r="I202" i="6" s="1"/>
  <c r="G202" i="6"/>
  <c r="H186" i="6"/>
  <c r="I186" i="6" s="1"/>
  <c r="G186" i="6"/>
  <c r="P170" i="6"/>
  <c r="Q170" i="6" s="1"/>
  <c r="N170" i="6"/>
  <c r="H114" i="6"/>
  <c r="I114" i="6" s="1"/>
  <c r="G86" i="6"/>
  <c r="H86" i="6"/>
  <c r="I86" i="6" s="1"/>
  <c r="M522" i="6"/>
  <c r="U325" i="6"/>
  <c r="U438" i="6"/>
  <c r="AD438" i="6" s="1"/>
  <c r="P152" i="6"/>
  <c r="Q152" i="6" s="1"/>
  <c r="T152" i="6"/>
  <c r="J152" i="6" s="1"/>
  <c r="H91" i="6"/>
  <c r="I91" i="6" s="1"/>
  <c r="G91" i="6"/>
  <c r="G15" i="6"/>
  <c r="H15" i="6"/>
  <c r="I15" i="6" s="1"/>
  <c r="H173" i="6"/>
  <c r="I173" i="6" s="1"/>
  <c r="G173" i="6"/>
  <c r="H148" i="6"/>
  <c r="I148" i="6" s="1"/>
  <c r="G148" i="6"/>
  <c r="H128" i="6"/>
  <c r="I128" i="6" s="1"/>
  <c r="G128" i="6"/>
  <c r="H28" i="6"/>
  <c r="I28" i="6" s="1"/>
  <c r="G28" i="6"/>
  <c r="G241" i="6"/>
  <c r="H241" i="6"/>
  <c r="I241" i="6" s="1"/>
  <c r="AD265" i="6"/>
  <c r="AN266" i="7" s="1"/>
  <c r="AL266" i="7"/>
  <c r="H24" i="6"/>
  <c r="I24" i="6" s="1"/>
  <c r="G24" i="6"/>
  <c r="H295" i="6"/>
  <c r="I295" i="6" s="1"/>
  <c r="G295" i="6"/>
  <c r="F469" i="6"/>
  <c r="G469" i="6"/>
  <c r="F439" i="6"/>
  <c r="G31" i="6"/>
  <c r="H31" i="6"/>
  <c r="I31" i="6" s="1"/>
  <c r="H14" i="6"/>
  <c r="I14" i="6" s="1"/>
  <c r="G14" i="6"/>
  <c r="U191" i="6"/>
  <c r="AL206" i="7"/>
  <c r="AD205" i="6"/>
  <c r="AN206" i="7" s="1"/>
  <c r="N125" i="6"/>
  <c r="P125" i="6"/>
  <c r="Q125" i="6" s="1"/>
  <c r="P123" i="6"/>
  <c r="Q123" i="6" s="1"/>
  <c r="T123" i="6"/>
  <c r="K123" i="6" s="1"/>
  <c r="G57" i="6"/>
  <c r="U29" i="6"/>
  <c r="G209" i="6"/>
  <c r="U126" i="6"/>
  <c r="G481" i="6"/>
  <c r="O200" i="6"/>
  <c r="T200" i="6" s="1"/>
  <c r="U309" i="6"/>
  <c r="U338" i="6"/>
  <c r="AD338" i="6" s="1"/>
  <c r="F385" i="6"/>
  <c r="G385" i="6"/>
  <c r="H385" i="6"/>
  <c r="I385" i="6" s="1"/>
  <c r="G374" i="6"/>
  <c r="H374" i="6"/>
  <c r="I374" i="6" s="1"/>
  <c r="P227" i="6"/>
  <c r="Q227" i="6" s="1"/>
  <c r="T227" i="6"/>
  <c r="J227" i="6" s="1"/>
  <c r="H209" i="6"/>
  <c r="I209" i="6" s="1"/>
  <c r="H195" i="6"/>
  <c r="I195" i="6" s="1"/>
  <c r="G103" i="6"/>
  <c r="H81" i="6"/>
  <c r="I81" i="6" s="1"/>
  <c r="G81" i="6"/>
  <c r="G40" i="6"/>
  <c r="P34" i="6"/>
  <c r="Q34" i="6" s="1"/>
  <c r="N34" i="6"/>
  <c r="G6" i="6"/>
  <c r="U456" i="6"/>
  <c r="AD456" i="6" s="1"/>
  <c r="H41" i="6"/>
  <c r="I41" i="6" s="1"/>
  <c r="G41" i="6"/>
  <c r="H149" i="6"/>
  <c r="I149" i="6" s="1"/>
  <c r="G149" i="6"/>
  <c r="H83" i="6"/>
  <c r="I83" i="6" s="1"/>
  <c r="G83" i="6"/>
  <c r="F393" i="6"/>
  <c r="H393" i="6"/>
  <c r="I393" i="6" s="1"/>
  <c r="G393" i="6"/>
  <c r="H299" i="6"/>
  <c r="I299" i="6" s="1"/>
  <c r="G299" i="6"/>
  <c r="P259" i="6"/>
  <c r="Q259" i="6" s="1"/>
  <c r="N259" i="6"/>
  <c r="G251" i="6"/>
  <c r="H251" i="6"/>
  <c r="I251" i="6" s="1"/>
  <c r="G238" i="6"/>
  <c r="H238" i="6"/>
  <c r="I238" i="6" s="1"/>
  <c r="G234" i="6"/>
  <c r="H212" i="6"/>
  <c r="I212" i="6" s="1"/>
  <c r="G212" i="6"/>
  <c r="H46" i="6"/>
  <c r="I46" i="6" s="1"/>
  <c r="G46" i="6"/>
  <c r="H180" i="6"/>
  <c r="I180" i="6" s="1"/>
  <c r="G180" i="6"/>
  <c r="I436" i="6"/>
  <c r="I392" i="6"/>
  <c r="U392" i="6" s="1"/>
  <c r="AD392" i="6" s="1"/>
  <c r="F342" i="6"/>
  <c r="G342" i="6"/>
  <c r="H342" i="6"/>
  <c r="I342" i="6" s="1"/>
  <c r="H487" i="6"/>
  <c r="I487" i="6" s="1"/>
  <c r="G487" i="6"/>
  <c r="F421" i="6"/>
  <c r="H421" i="6"/>
  <c r="I421" i="6" s="1"/>
  <c r="G401" i="6"/>
  <c r="F401" i="6"/>
  <c r="H226" i="6"/>
  <c r="I226" i="6" s="1"/>
  <c r="G226" i="6"/>
  <c r="N215" i="6"/>
  <c r="P215" i="6"/>
  <c r="Q215" i="6" s="1"/>
  <c r="G208" i="6"/>
  <c r="H187" i="6"/>
  <c r="I187" i="6" s="1"/>
  <c r="G187" i="6"/>
  <c r="P110" i="6"/>
  <c r="Q110" i="6" s="1"/>
  <c r="N110" i="6"/>
  <c r="H52" i="6"/>
  <c r="I52" i="6" s="1"/>
  <c r="H329" i="6"/>
  <c r="I329" i="6" s="1"/>
  <c r="U336" i="6"/>
  <c r="AD336" i="6" s="1"/>
  <c r="U457" i="6"/>
  <c r="AD457" i="6" s="1"/>
  <c r="G143" i="6"/>
  <c r="H143" i="6"/>
  <c r="I143" i="6" s="1"/>
  <c r="AL17" i="7"/>
  <c r="AD16" i="6"/>
  <c r="AN17" i="7" s="1"/>
  <c r="U164" i="6"/>
  <c r="I495" i="6"/>
  <c r="H498" i="6"/>
  <c r="I498" i="6" s="1"/>
  <c r="H496" i="6"/>
  <c r="I496" i="6" s="1"/>
  <c r="H481" i="6"/>
  <c r="I481" i="6" s="1"/>
  <c r="F481" i="6"/>
  <c r="F472" i="6"/>
  <c r="F437" i="6"/>
  <c r="H437" i="6"/>
  <c r="I437" i="6" s="1"/>
  <c r="H430" i="6"/>
  <c r="I430" i="6" s="1"/>
  <c r="G428" i="6"/>
  <c r="H428" i="6"/>
  <c r="I428" i="6" s="1"/>
  <c r="F365" i="6"/>
  <c r="H365" i="6"/>
  <c r="I365" i="6" s="1"/>
  <c r="G430" i="6"/>
  <c r="D133" i="5"/>
  <c r="D24" i="3" s="1"/>
  <c r="U315" i="6"/>
  <c r="H503" i="6"/>
  <c r="I503" i="6" s="1"/>
  <c r="H486" i="6"/>
  <c r="I486" i="6" s="1"/>
  <c r="G486" i="6"/>
  <c r="H409" i="6"/>
  <c r="I409" i="6" s="1"/>
  <c r="F409" i="6"/>
  <c r="H172" i="6"/>
  <c r="I172" i="6" s="1"/>
  <c r="G89" i="6"/>
  <c r="H37" i="6"/>
  <c r="I37" i="6" s="1"/>
  <c r="G37" i="6"/>
  <c r="T32" i="6"/>
  <c r="J32" i="6" s="1"/>
  <c r="H22" i="6"/>
  <c r="I22" i="6" s="1"/>
  <c r="G22" i="6"/>
  <c r="T17" i="6"/>
  <c r="K17" i="6" s="1"/>
  <c r="O49" i="6"/>
  <c r="T49" i="6" s="1"/>
  <c r="H219" i="6"/>
  <c r="I219" i="6" s="1"/>
  <c r="U8" i="6"/>
  <c r="U426" i="6"/>
  <c r="AD426" i="6" s="1"/>
  <c r="U494" i="6"/>
  <c r="AD494" i="6" s="1"/>
  <c r="U98" i="6"/>
  <c r="U266" i="6"/>
  <c r="G196" i="6"/>
  <c r="H196" i="6"/>
  <c r="I196" i="6" s="1"/>
  <c r="I400" i="6"/>
  <c r="G85" i="6"/>
  <c r="H85" i="6"/>
  <c r="I85" i="6" s="1"/>
  <c r="U189" i="6"/>
  <c r="I335" i="6"/>
  <c r="U335" i="6" s="1"/>
  <c r="AD335" i="6" s="1"/>
  <c r="BK13" i="3"/>
  <c r="G268" i="6"/>
  <c r="H268" i="6"/>
  <c r="I268" i="6" s="1"/>
  <c r="I408" i="6"/>
  <c r="I427" i="6"/>
  <c r="AL67" i="7"/>
  <c r="AD66" i="6"/>
  <c r="AN67" i="7" s="1"/>
  <c r="P213" i="6"/>
  <c r="Q213" i="6" s="1"/>
  <c r="T213" i="6"/>
  <c r="J213" i="6" s="1"/>
  <c r="H133" i="6"/>
  <c r="I133" i="6" s="1"/>
  <c r="G133" i="6"/>
  <c r="G53" i="6"/>
  <c r="H53" i="6"/>
  <c r="I53" i="6" s="1"/>
  <c r="G111" i="6"/>
  <c r="H111" i="6"/>
  <c r="I111" i="6" s="1"/>
  <c r="G285" i="6"/>
  <c r="H285" i="6"/>
  <c r="I285" i="6" s="1"/>
  <c r="G104" i="6"/>
  <c r="N274" i="6"/>
  <c r="P274" i="6"/>
  <c r="Q274" i="6" s="1"/>
  <c r="I410" i="6"/>
  <c r="U410" i="6" s="1"/>
  <c r="AD410" i="6" s="1"/>
  <c r="G101" i="6"/>
  <c r="G216" i="6"/>
  <c r="H216" i="6"/>
  <c r="I216" i="6" s="1"/>
  <c r="U184" i="6"/>
  <c r="I416" i="6"/>
  <c r="F396" i="6"/>
  <c r="G396" i="6"/>
  <c r="G221" i="6"/>
  <c r="H221" i="6"/>
  <c r="I221" i="6" s="1"/>
  <c r="G165" i="6"/>
  <c r="H165" i="6"/>
  <c r="I165" i="6" s="1"/>
  <c r="H69" i="6"/>
  <c r="I69" i="6" s="1"/>
  <c r="P63" i="6"/>
  <c r="Q63" i="6" s="1"/>
  <c r="R506" i="6"/>
  <c r="D25" i="5" a="1"/>
  <c r="D25" i="5" s="1"/>
  <c r="E25" i="5" a="1"/>
  <c r="E25" i="5" s="1"/>
  <c r="F25" i="5" a="1"/>
  <c r="F25" i="5" s="1"/>
  <c r="G25" i="5" a="1"/>
  <c r="G25" i="5" s="1"/>
  <c r="Q10" i="6"/>
  <c r="I424" i="6"/>
  <c r="U424" i="6" s="1"/>
  <c r="AD424" i="6" s="1"/>
  <c r="H396" i="6"/>
  <c r="I396" i="6" s="1"/>
  <c r="U382" i="6"/>
  <c r="AD382" i="6" s="1"/>
  <c r="E133" i="5"/>
  <c r="E24" i="3" s="1"/>
  <c r="H277" i="6"/>
  <c r="I277" i="6" s="1"/>
  <c r="G277" i="6"/>
  <c r="U102" i="6"/>
  <c r="G280" i="6"/>
  <c r="H280" i="6"/>
  <c r="I280" i="6" s="1"/>
  <c r="P95" i="6"/>
  <c r="Q95" i="6" s="1"/>
  <c r="N95" i="6"/>
  <c r="H26" i="6"/>
  <c r="I26" i="6" s="1"/>
  <c r="G26" i="6"/>
  <c r="I362" i="6"/>
  <c r="AD154" i="6"/>
  <c r="AN155" i="7" s="1"/>
  <c r="AL155" i="7"/>
  <c r="I347" i="6"/>
  <c r="U347" i="6" s="1"/>
  <c r="AD347" i="6" s="1"/>
  <c r="F407" i="6"/>
  <c r="G407" i="6"/>
  <c r="F394" i="6"/>
  <c r="G394" i="6"/>
  <c r="G204" i="6"/>
  <c r="H204" i="6"/>
  <c r="I204" i="6" s="1"/>
  <c r="P168" i="6"/>
  <c r="Q168" i="6" s="1"/>
  <c r="T168" i="6"/>
  <c r="J168" i="6" s="1"/>
  <c r="H159" i="6"/>
  <c r="I159" i="6" s="1"/>
  <c r="G159" i="6"/>
  <c r="H127" i="6"/>
  <c r="I127" i="6" s="1"/>
  <c r="G127" i="6"/>
  <c r="M506" i="6"/>
  <c r="D41" i="5" a="1"/>
  <c r="D41" i="5" s="1"/>
  <c r="E41" i="5" a="1"/>
  <c r="E41" i="5" s="1"/>
  <c r="F41" i="5" a="1"/>
  <c r="F41" i="5" s="1"/>
  <c r="G41" i="5" a="1"/>
  <c r="G41" i="5" s="1"/>
  <c r="U96" i="6"/>
  <c r="U334" i="6"/>
  <c r="AD334" i="6" s="1"/>
  <c r="AL21" i="7"/>
  <c r="AD20" i="6"/>
  <c r="AN21" i="7" s="1"/>
  <c r="G117" i="6"/>
  <c r="H117" i="6"/>
  <c r="I117" i="6" s="1"/>
  <c r="U235" i="6"/>
  <c r="H104" i="6"/>
  <c r="I104" i="6" s="1"/>
  <c r="G136" i="6"/>
  <c r="H136" i="6"/>
  <c r="I136" i="6" s="1"/>
  <c r="F391" i="6"/>
  <c r="H391" i="6"/>
  <c r="I391" i="6" s="1"/>
  <c r="G42" i="6"/>
  <c r="H42" i="6"/>
  <c r="I42" i="6" s="1"/>
  <c r="N260" i="6"/>
  <c r="P260" i="6"/>
  <c r="Q260" i="6" s="1"/>
  <c r="G391" i="6"/>
  <c r="I474" i="6"/>
  <c r="U474" i="6" s="1"/>
  <c r="AD474" i="6" s="1"/>
  <c r="G210" i="6"/>
  <c r="H210" i="6"/>
  <c r="I210" i="6" s="1"/>
  <c r="G72" i="6"/>
  <c r="U403" i="6"/>
  <c r="AD403" i="6" s="1"/>
  <c r="U345" i="6"/>
  <c r="AD345" i="6" s="1"/>
  <c r="U378" i="6"/>
  <c r="AD378" i="6" s="1"/>
  <c r="U477" i="6"/>
  <c r="AD477" i="6" s="1"/>
  <c r="U353" i="6"/>
  <c r="AD353" i="6" s="1"/>
  <c r="U368" i="6"/>
  <c r="AD368" i="6" s="1"/>
  <c r="U373" i="6"/>
  <c r="AD373" i="6" s="1"/>
  <c r="E149" i="5"/>
  <c r="E25" i="3" s="1"/>
  <c r="C149" i="5"/>
  <c r="C25" i="3" s="1"/>
  <c r="D149" i="5"/>
  <c r="D25" i="3" s="1"/>
  <c r="AD330" i="6" l="1"/>
  <c r="AN331" i="7" s="1"/>
  <c r="AL331" i="7"/>
  <c r="F48" i="5" a="1"/>
  <c r="F48" i="5" s="1"/>
  <c r="F57" i="5" s="1"/>
  <c r="F22" i="3" s="1"/>
  <c r="C48" i="5" a="1"/>
  <c r="C48" i="5" s="1"/>
  <c r="C57" i="5" s="1"/>
  <c r="C22" i="3" s="1"/>
  <c r="E48" i="5" a="1"/>
  <c r="E48" i="5" s="1"/>
  <c r="D48" i="5" a="1"/>
  <c r="D48" i="5" s="1"/>
  <c r="H242" i="6"/>
  <c r="I242" i="6" s="1"/>
  <c r="F149" i="5"/>
  <c r="F25" i="3" s="1"/>
  <c r="P34" i="4"/>
  <c r="U161" i="6"/>
  <c r="U171" i="6"/>
  <c r="AL172" i="7" s="1"/>
  <c r="U56" i="6"/>
  <c r="G92" i="6"/>
  <c r="U92" i="6" s="1"/>
  <c r="U140" i="6"/>
  <c r="U30" i="6"/>
  <c r="AD30" i="6" s="1"/>
  <c r="AN31" i="7" s="1"/>
  <c r="F295" i="6"/>
  <c r="U207" i="6"/>
  <c r="AD264" i="6"/>
  <c r="AN265" i="7" s="1"/>
  <c r="AD181" i="6"/>
  <c r="AN182" i="7" s="1"/>
  <c r="AD105" i="6"/>
  <c r="AN106" i="7" s="1"/>
  <c r="U442" i="6"/>
  <c r="AD442" i="6" s="1"/>
  <c r="Q34" i="4"/>
  <c r="AL264" i="7"/>
  <c r="AD263" i="6"/>
  <c r="AN264" i="7" s="1"/>
  <c r="U82" i="6"/>
  <c r="O185" i="6"/>
  <c r="T185" i="6" s="1"/>
  <c r="K185" i="6" s="1"/>
  <c r="U427" i="6"/>
  <c r="AD427" i="6" s="1"/>
  <c r="AL74" i="7"/>
  <c r="AD317" i="6"/>
  <c r="AN318" i="7" s="1"/>
  <c r="U462" i="6"/>
  <c r="AD462" i="6" s="1"/>
  <c r="F67" i="6"/>
  <c r="U203" i="6"/>
  <c r="AD255" i="6"/>
  <c r="AN256" i="7" s="1"/>
  <c r="F202" i="6"/>
  <c r="K62" i="6"/>
  <c r="J62" i="6"/>
  <c r="AD71" i="6"/>
  <c r="AN72" i="7" s="1"/>
  <c r="AL170" i="7"/>
  <c r="AL14" i="7"/>
  <c r="U362" i="6"/>
  <c r="AD362" i="6" s="1"/>
  <c r="U413" i="6"/>
  <c r="AD413" i="6" s="1"/>
  <c r="AD74" i="6"/>
  <c r="AN75" i="7" s="1"/>
  <c r="AL280" i="7"/>
  <c r="U468" i="6"/>
  <c r="AD468" i="6" s="1"/>
  <c r="J243" i="6"/>
  <c r="F243" i="6" s="1"/>
  <c r="C24" i="5" a="1"/>
  <c r="C24" i="5" s="1"/>
  <c r="H167" i="6"/>
  <c r="I167" i="6" s="1"/>
  <c r="J153" i="6"/>
  <c r="K153" i="6"/>
  <c r="U414" i="6"/>
  <c r="AD414" i="6" s="1"/>
  <c r="AL233" i="7"/>
  <c r="AL151" i="7"/>
  <c r="U99" i="6"/>
  <c r="AD192" i="6"/>
  <c r="AN193" i="7" s="1"/>
  <c r="AL146" i="7"/>
  <c r="AD145" i="6"/>
  <c r="AN146" i="7" s="1"/>
  <c r="U389" i="6"/>
  <c r="AD389" i="6" s="1"/>
  <c r="U358" i="6"/>
  <c r="AD358" i="6" s="1"/>
  <c r="AD112" i="6"/>
  <c r="AN113" i="7" s="1"/>
  <c r="U418" i="6"/>
  <c r="AD418" i="6" s="1"/>
  <c r="AD284" i="6"/>
  <c r="AN285" i="7" s="1"/>
  <c r="U472" i="6"/>
  <c r="AD472" i="6" s="1"/>
  <c r="U100" i="6"/>
  <c r="AD245" i="6"/>
  <c r="AN246" i="7" s="1"/>
  <c r="AD88" i="6"/>
  <c r="AN89" i="7" s="1"/>
  <c r="AL89" i="7"/>
  <c r="AL292" i="7"/>
  <c r="U406" i="6"/>
  <c r="AD406" i="6" s="1"/>
  <c r="U312" i="6"/>
  <c r="AD68" i="6"/>
  <c r="AN69" i="7" s="1"/>
  <c r="AL37" i="7"/>
  <c r="AD156" i="6"/>
  <c r="AN157" i="7" s="1"/>
  <c r="AD220" i="6"/>
  <c r="AN221" i="7" s="1"/>
  <c r="E49" i="5" a="1"/>
  <c r="E49" i="5" s="1"/>
  <c r="H217" i="6"/>
  <c r="I217" i="6" s="1"/>
  <c r="D49" i="5" a="1"/>
  <c r="D49" i="5" s="1"/>
  <c r="AL215" i="7"/>
  <c r="AD147" i="6"/>
  <c r="AN148" i="7" s="1"/>
  <c r="U239" i="6"/>
  <c r="U54" i="6"/>
  <c r="AL131" i="7"/>
  <c r="AD130" i="6"/>
  <c r="AN131" i="7" s="1"/>
  <c r="AL141" i="7"/>
  <c r="AD140" i="6"/>
  <c r="AN141" i="7" s="1"/>
  <c r="AD64" i="6"/>
  <c r="AN65" i="7" s="1"/>
  <c r="AL65" i="7"/>
  <c r="U400" i="6"/>
  <c r="AD400" i="6" s="1"/>
  <c r="AD233" i="6"/>
  <c r="AN234" i="7" s="1"/>
  <c r="AD162" i="6"/>
  <c r="AN163" i="7" s="1"/>
  <c r="AL251" i="7"/>
  <c r="U412" i="6"/>
  <c r="AD412" i="6" s="1"/>
  <c r="AD296" i="6"/>
  <c r="AN297" i="7" s="1"/>
  <c r="U316" i="6"/>
  <c r="U375" i="6"/>
  <c r="AD375" i="6" s="1"/>
  <c r="K124" i="6"/>
  <c r="U222" i="6"/>
  <c r="U58" i="6"/>
  <c r="U118" i="6"/>
  <c r="AL119" i="7" s="1"/>
  <c r="F167" i="6"/>
  <c r="U167" i="6" s="1"/>
  <c r="F97" i="6"/>
  <c r="C21" i="5" a="1"/>
  <c r="C21" i="5" s="1"/>
  <c r="F37" i="6"/>
  <c r="K199" i="6"/>
  <c r="F199" i="6" s="1"/>
  <c r="AD278" i="6"/>
  <c r="AN279" i="7" s="1"/>
  <c r="U502" i="6"/>
  <c r="AD502" i="6" s="1"/>
  <c r="U404" i="6"/>
  <c r="AD404" i="6" s="1"/>
  <c r="U499" i="6"/>
  <c r="AD499" i="6" s="1"/>
  <c r="U300" i="6"/>
  <c r="AD313" i="6"/>
  <c r="AN314" i="7" s="1"/>
  <c r="U459" i="6"/>
  <c r="AD459" i="6" s="1"/>
  <c r="U473" i="6"/>
  <c r="AD473" i="6" s="1"/>
  <c r="U467" i="6"/>
  <c r="AD467" i="6" s="1"/>
  <c r="U367" i="6"/>
  <c r="AD367" i="6" s="1"/>
  <c r="U327" i="6"/>
  <c r="U408" i="6"/>
  <c r="AD408" i="6" s="1"/>
  <c r="AD87" i="6"/>
  <c r="AN88" i="7" s="1"/>
  <c r="T139" i="6"/>
  <c r="K139" i="6" s="1"/>
  <c r="F262" i="6"/>
  <c r="K3" i="4"/>
  <c r="F3" i="4"/>
  <c r="AD244" i="6"/>
  <c r="AN245" i="7" s="1"/>
  <c r="AL245" i="7"/>
  <c r="AD247" i="6"/>
  <c r="AN248" i="7" s="1"/>
  <c r="AL248" i="7"/>
  <c r="AD171" i="6"/>
  <c r="AN172" i="7" s="1"/>
  <c r="AD175" i="6"/>
  <c r="AN176" i="7" s="1"/>
  <c r="AL176" i="7"/>
  <c r="U416" i="6"/>
  <c r="AD416" i="6" s="1"/>
  <c r="U421" i="6"/>
  <c r="AD421" i="6" s="1"/>
  <c r="O259" i="6"/>
  <c r="U439" i="6"/>
  <c r="AD439" i="6" s="1"/>
  <c r="T19" i="6"/>
  <c r="J19" i="6" s="1"/>
  <c r="AD223" i="6"/>
  <c r="AN224" i="7" s="1"/>
  <c r="O79" i="6"/>
  <c r="O94" i="6"/>
  <c r="T94" i="6" s="1"/>
  <c r="U254" i="6"/>
  <c r="AL81" i="7"/>
  <c r="AD311" i="6"/>
  <c r="AN312" i="7" s="1"/>
  <c r="O109" i="6"/>
  <c r="T109" i="6" s="1"/>
  <c r="AL225" i="7"/>
  <c r="AL219" i="7"/>
  <c r="AL61" i="7"/>
  <c r="U253" i="6"/>
  <c r="K228" i="6"/>
  <c r="G228" i="6" s="1"/>
  <c r="H306" i="6"/>
  <c r="I306" i="6" s="1"/>
  <c r="G306" i="6"/>
  <c r="F306" i="6"/>
  <c r="F187" i="6"/>
  <c r="J320" i="6"/>
  <c r="U328" i="6"/>
  <c r="J123" i="6"/>
  <c r="G305" i="6"/>
  <c r="F305" i="6"/>
  <c r="J124" i="6"/>
  <c r="K152" i="6"/>
  <c r="H152" i="6" s="1"/>
  <c r="I152" i="6" s="1"/>
  <c r="F172" i="6"/>
  <c r="J200" i="6"/>
  <c r="F127" i="6"/>
  <c r="K213" i="6"/>
  <c r="G213" i="6" s="1"/>
  <c r="K321" i="6"/>
  <c r="F321" i="6" s="1"/>
  <c r="F22" i="6"/>
  <c r="H108" i="6"/>
  <c r="I108" i="6" s="1"/>
  <c r="G108" i="6"/>
  <c r="K33" i="6"/>
  <c r="F33" i="6" s="1"/>
  <c r="K107" i="6"/>
  <c r="G107" i="6" s="1"/>
  <c r="K63" i="6"/>
  <c r="H63" i="6" s="1"/>
  <c r="I63" i="6" s="1"/>
  <c r="G287" i="6"/>
  <c r="G97" i="6"/>
  <c r="H122" i="6"/>
  <c r="I122" i="6" s="1"/>
  <c r="K272" i="6"/>
  <c r="G272" i="6" s="1"/>
  <c r="O260" i="6"/>
  <c r="U72" i="6"/>
  <c r="U495" i="6"/>
  <c r="AD495" i="6" s="1"/>
  <c r="O125" i="6"/>
  <c r="T125" i="6" s="1"/>
  <c r="I6" i="6"/>
  <c r="U431" i="6"/>
  <c r="AD431" i="6" s="1"/>
  <c r="U346" i="6"/>
  <c r="AD346" i="6" s="1"/>
  <c r="U493" i="6"/>
  <c r="AD493" i="6" s="1"/>
  <c r="O322" i="6"/>
  <c r="U419" i="6"/>
  <c r="AD419" i="6" s="1"/>
  <c r="F320" i="6"/>
  <c r="U135" i="6"/>
  <c r="H137" i="6"/>
  <c r="I137" i="6" s="1"/>
  <c r="F137" i="6"/>
  <c r="G137" i="6"/>
  <c r="H197" i="6"/>
  <c r="I197" i="6" s="1"/>
  <c r="G197" i="6"/>
  <c r="F197" i="6"/>
  <c r="G138" i="6"/>
  <c r="H138" i="6"/>
  <c r="I138" i="6" s="1"/>
  <c r="F138" i="6"/>
  <c r="K49" i="6"/>
  <c r="J49" i="6"/>
  <c r="J273" i="6"/>
  <c r="F182" i="6"/>
  <c r="H182" i="6"/>
  <c r="I182" i="6" s="1"/>
  <c r="G182" i="6"/>
  <c r="C40" i="5" a="1"/>
  <c r="C40" i="5" s="1"/>
  <c r="G275" i="6"/>
  <c r="F275" i="6"/>
  <c r="H275" i="6"/>
  <c r="I275" i="6" s="1"/>
  <c r="H78" i="6"/>
  <c r="I78" i="6" s="1"/>
  <c r="F78" i="6"/>
  <c r="G78" i="6"/>
  <c r="J77" i="6"/>
  <c r="K168" i="6"/>
  <c r="G168" i="6" s="1"/>
  <c r="F122" i="6"/>
  <c r="F258" i="6"/>
  <c r="J93" i="6"/>
  <c r="O110" i="6"/>
  <c r="O215" i="6"/>
  <c r="T215" i="6" s="1"/>
  <c r="O170" i="6"/>
  <c r="O323" i="6"/>
  <c r="G50" i="6"/>
  <c r="H50" i="6"/>
  <c r="I50" i="6" s="1"/>
  <c r="F50" i="6"/>
  <c r="U142" i="6"/>
  <c r="O290" i="6"/>
  <c r="T290" i="6" s="1"/>
  <c r="K32" i="6"/>
  <c r="G32" i="6" s="1"/>
  <c r="G48" i="6"/>
  <c r="H48" i="6"/>
  <c r="I48" i="6" s="1"/>
  <c r="K227" i="6"/>
  <c r="F227" i="6" s="1"/>
  <c r="F277" i="6"/>
  <c r="F310" i="6"/>
  <c r="H310" i="6"/>
  <c r="I310" i="6" s="1"/>
  <c r="G310" i="6"/>
  <c r="C23" i="5" a="1"/>
  <c r="C23" i="5" s="1"/>
  <c r="F217" i="6"/>
  <c r="K230" i="6"/>
  <c r="K289" i="6"/>
  <c r="O274" i="6"/>
  <c r="O34" i="6"/>
  <c r="U505" i="6"/>
  <c r="AD505" i="6" s="1"/>
  <c r="O65" i="6"/>
  <c r="T65" i="6" s="1"/>
  <c r="O35" i="6"/>
  <c r="O308" i="6"/>
  <c r="I84" i="6"/>
  <c r="U84" i="6" s="1"/>
  <c r="H155" i="6"/>
  <c r="I155" i="6" s="1"/>
  <c r="G155" i="6"/>
  <c r="F155" i="6"/>
  <c r="F183" i="6"/>
  <c r="H257" i="6"/>
  <c r="I257" i="6" s="1"/>
  <c r="F257" i="6"/>
  <c r="G257" i="6"/>
  <c r="J17" i="6"/>
  <c r="J289" i="6"/>
  <c r="J230" i="6"/>
  <c r="J47" i="6"/>
  <c r="G18" i="6"/>
  <c r="H18" i="6"/>
  <c r="I18" i="6" s="1"/>
  <c r="K200" i="6"/>
  <c r="U7" i="2"/>
  <c r="K7" i="2" s="1"/>
  <c r="Z7" i="2" s="1"/>
  <c r="A4" i="2"/>
  <c r="R34" i="4"/>
  <c r="S5" i="4"/>
  <c r="S22" i="4"/>
  <c r="S18" i="4"/>
  <c r="S14" i="4"/>
  <c r="S13" i="4"/>
  <c r="S7" i="4"/>
  <c r="S6" i="4"/>
  <c r="S24" i="4"/>
  <c r="S8" i="4"/>
  <c r="S15" i="4"/>
  <c r="S11" i="4"/>
  <c r="S20" i="4"/>
  <c r="S16" i="4"/>
  <c r="S4" i="4"/>
  <c r="S10" i="4"/>
  <c r="S17" i="4"/>
  <c r="S9" i="4"/>
  <c r="S21" i="4"/>
  <c r="S23" i="4"/>
  <c r="S19" i="4"/>
  <c r="S25" i="4"/>
  <c r="S12" i="4"/>
  <c r="G132" i="5"/>
  <c r="G20" i="5" a="1"/>
  <c r="G20" i="5" s="1"/>
  <c r="G130" i="5"/>
  <c r="G145" i="5"/>
  <c r="G116" i="5"/>
  <c r="G102" i="5"/>
  <c r="G77" i="5"/>
  <c r="G86" i="5"/>
  <c r="G62" i="5"/>
  <c r="G125" i="5"/>
  <c r="G143" i="5"/>
  <c r="G112" i="5"/>
  <c r="G100" i="5"/>
  <c r="G75" i="5"/>
  <c r="G84" i="5"/>
  <c r="G60" i="5"/>
  <c r="T3" i="4"/>
  <c r="G80" i="5"/>
  <c r="G51" i="5" a="1"/>
  <c r="G51" i="5" s="1"/>
  <c r="G64" i="5"/>
  <c r="G146" i="5"/>
  <c r="G110" i="5"/>
  <c r="G98" i="5"/>
  <c r="G73" i="5"/>
  <c r="G82" i="5"/>
  <c r="G56" i="5" a="1"/>
  <c r="G56" i="5" s="1"/>
  <c r="G3" i="3"/>
  <c r="G71" i="5"/>
  <c r="G79" i="5"/>
  <c r="G142" i="5"/>
  <c r="G103" i="5"/>
  <c r="G96" i="5"/>
  <c r="G54" i="5" a="1"/>
  <c r="G54" i="5" s="1"/>
  <c r="G137" i="5"/>
  <c r="G101" i="5"/>
  <c r="G94" i="5"/>
  <c r="G69" i="5"/>
  <c r="G78" i="5"/>
  <c r="G52" i="5" a="1"/>
  <c r="G52" i="5" s="1"/>
  <c r="G135" i="5"/>
  <c r="G99" i="5"/>
  <c r="G92" i="5"/>
  <c r="G67" i="5"/>
  <c r="G76" i="5"/>
  <c r="G50" i="5" a="1"/>
  <c r="G50" i="5" s="1"/>
  <c r="G113" i="5"/>
  <c r="G63" i="5"/>
  <c r="G111" i="5"/>
  <c r="G61" i="5"/>
  <c r="G115" i="5"/>
  <c r="G93" i="5"/>
  <c r="G90" i="5"/>
  <c r="G65" i="5"/>
  <c r="G74" i="5"/>
  <c r="G49" i="5" a="1"/>
  <c r="G49" i="5" s="1"/>
  <c r="G88" i="5"/>
  <c r="G48" i="5" a="1"/>
  <c r="G48" i="5" s="1"/>
  <c r="G85" i="5"/>
  <c r="G70" i="5"/>
  <c r="G91" i="5"/>
  <c r="G72" i="5"/>
  <c r="G89" i="5"/>
  <c r="G26" i="5" a="1"/>
  <c r="G26" i="5" s="1"/>
  <c r="G104" i="5"/>
  <c r="G140" i="5"/>
  <c r="G87" i="5"/>
  <c r="G83" i="5"/>
  <c r="G55" i="5" a="1"/>
  <c r="G55" i="5" s="1"/>
  <c r="G68" i="5"/>
  <c r="H3" i="5"/>
  <c r="G122" i="5"/>
  <c r="G30" i="5" a="1"/>
  <c r="G30" i="5" s="1"/>
  <c r="G138" i="5"/>
  <c r="G106" i="5"/>
  <c r="G81" i="5"/>
  <c r="G53" i="5" a="1"/>
  <c r="G53" i="5" s="1"/>
  <c r="G66" i="5"/>
  <c r="G31" i="5" a="1"/>
  <c r="G31" i="5" s="1"/>
  <c r="G120" i="5"/>
  <c r="G109" i="5"/>
  <c r="G105" i="5"/>
  <c r="G97" i="5"/>
  <c r="G107" i="5"/>
  <c r="G147" i="5"/>
  <c r="G119" i="5"/>
  <c r="G128" i="5"/>
  <c r="G144" i="5"/>
  <c r="G141" i="5"/>
  <c r="G127" i="5"/>
  <c r="G108" i="5"/>
  <c r="G126" i="5"/>
  <c r="G121" i="5"/>
  <c r="G123" i="5"/>
  <c r="G148" i="5"/>
  <c r="G136" i="5"/>
  <c r="G95" i="5"/>
  <c r="G118" i="5"/>
  <c r="G129" i="5"/>
  <c r="G131" i="5"/>
  <c r="G139" i="5"/>
  <c r="G114" i="5"/>
  <c r="G117" i="5"/>
  <c r="G124" i="5"/>
  <c r="F133" i="5"/>
  <c r="F24" i="3" s="1"/>
  <c r="F32" i="5"/>
  <c r="F20" i="3" s="1"/>
  <c r="AD288" i="6"/>
  <c r="AN289" i="7" s="1"/>
  <c r="AL289" i="7"/>
  <c r="AL91" i="7"/>
  <c r="AD90" i="6"/>
  <c r="AN91" i="7" s="1"/>
  <c r="U37" i="6"/>
  <c r="AL38" i="7" s="1"/>
  <c r="U45" i="6"/>
  <c r="AL46" i="7" s="1"/>
  <c r="U134" i="6"/>
  <c r="AL135" i="7" s="1"/>
  <c r="AD146" i="6"/>
  <c r="AN147" i="7" s="1"/>
  <c r="U27" i="6"/>
  <c r="U186" i="6"/>
  <c r="AL187" i="7" s="1"/>
  <c r="U83" i="6"/>
  <c r="AL84" i="7" s="1"/>
  <c r="U103" i="6"/>
  <c r="AL104" i="7" s="1"/>
  <c r="U55" i="6"/>
  <c r="U131" i="6"/>
  <c r="AD131" i="6" s="1"/>
  <c r="AN132" i="7" s="1"/>
  <c r="AL303" i="7"/>
  <c r="U163" i="6"/>
  <c r="AD256" i="6"/>
  <c r="AN257" i="7" s="1"/>
  <c r="AL257" i="7"/>
  <c r="AL317" i="7"/>
  <c r="AD316" i="6"/>
  <c r="AN317" i="7" s="1"/>
  <c r="AD106" i="6"/>
  <c r="AN107" i="7" s="1"/>
  <c r="U120" i="6"/>
  <c r="AD120" i="6" s="1"/>
  <c r="AN121" i="7" s="1"/>
  <c r="U304" i="6"/>
  <c r="AD304" i="6" s="1"/>
  <c r="AN305" i="7" s="1"/>
  <c r="I303" i="6"/>
  <c r="U303" i="6" s="1"/>
  <c r="U183" i="6"/>
  <c r="AL184" i="7" s="1"/>
  <c r="U212" i="6"/>
  <c r="AD212" i="6" s="1"/>
  <c r="AN213" i="7" s="1"/>
  <c r="U101" i="6"/>
  <c r="AD101" i="6" s="1"/>
  <c r="AN102" i="7" s="1"/>
  <c r="U305" i="6"/>
  <c r="AD305" i="6" s="1"/>
  <c r="AN306" i="7" s="1"/>
  <c r="U39" i="6"/>
  <c r="AL40" i="7" s="1"/>
  <c r="U286" i="6"/>
  <c r="AD286" i="6" s="1"/>
  <c r="AN287" i="7" s="1"/>
  <c r="AL77" i="7"/>
  <c r="AD325" i="6"/>
  <c r="AN326" i="7" s="1"/>
  <c r="AL326" i="7"/>
  <c r="U340" i="6"/>
  <c r="AD340" i="6" s="1"/>
  <c r="U450" i="6"/>
  <c r="AD450" i="6" s="1"/>
  <c r="T323" i="6"/>
  <c r="U487" i="6"/>
  <c r="AD487" i="6" s="1"/>
  <c r="U436" i="6"/>
  <c r="AD436" i="6" s="1"/>
  <c r="U366" i="6"/>
  <c r="AD366" i="6" s="1"/>
  <c r="U501" i="6"/>
  <c r="AD501" i="6" s="1"/>
  <c r="U364" i="6"/>
  <c r="AD364" i="6" s="1"/>
  <c r="U433" i="6"/>
  <c r="AD433" i="6" s="1"/>
  <c r="U489" i="6"/>
  <c r="AD489" i="6" s="1"/>
  <c r="U447" i="6"/>
  <c r="AD447" i="6" s="1"/>
  <c r="U374" i="6"/>
  <c r="AD374" i="6" s="1"/>
  <c r="U445" i="6"/>
  <c r="AD445" i="6" s="1"/>
  <c r="U388" i="6"/>
  <c r="AD388" i="6" s="1"/>
  <c r="U479" i="6"/>
  <c r="AD479" i="6" s="1"/>
  <c r="U437" i="6"/>
  <c r="AD437" i="6" s="1"/>
  <c r="U405" i="6"/>
  <c r="AD405" i="6" s="1"/>
  <c r="U470" i="6"/>
  <c r="AD470" i="6" s="1"/>
  <c r="U371" i="6"/>
  <c r="AD371" i="6" s="1"/>
  <c r="U446" i="6"/>
  <c r="AD446" i="6" s="1"/>
  <c r="U326" i="6"/>
  <c r="U480" i="6"/>
  <c r="AD480" i="6" s="1"/>
  <c r="U492" i="6"/>
  <c r="AD492" i="6" s="1"/>
  <c r="U476" i="6"/>
  <c r="AD476" i="6" s="1"/>
  <c r="U385" i="6"/>
  <c r="AD385" i="6" s="1"/>
  <c r="U425" i="6"/>
  <c r="AD425" i="6" s="1"/>
  <c r="U324" i="6"/>
  <c r="U458" i="6"/>
  <c r="AD458" i="6" s="1"/>
  <c r="U454" i="6"/>
  <c r="AD454" i="6" s="1"/>
  <c r="U384" i="6"/>
  <c r="AD384" i="6" s="1"/>
  <c r="U357" i="6"/>
  <c r="AD357" i="6" s="1"/>
  <c r="B9" i="2"/>
  <c r="C8" i="2"/>
  <c r="AH8" i="2" s="1"/>
  <c r="T8" i="2" s="1"/>
  <c r="U292" i="6"/>
  <c r="T322" i="6"/>
  <c r="K322" i="6" s="1"/>
  <c r="O307" i="6"/>
  <c r="T308" i="6"/>
  <c r="U287" i="6"/>
  <c r="AL283" i="7"/>
  <c r="AD282" i="6"/>
  <c r="AN283" i="7" s="1"/>
  <c r="U276" i="6"/>
  <c r="U262" i="6"/>
  <c r="AL263" i="7" s="1"/>
  <c r="U270" i="6"/>
  <c r="AD271" i="6"/>
  <c r="AN272" i="7" s="1"/>
  <c r="AL272" i="7"/>
  <c r="U248" i="6"/>
  <c r="AD252" i="6"/>
  <c r="AN253" i="7" s="1"/>
  <c r="AL253" i="7"/>
  <c r="U258" i="6"/>
  <c r="U251" i="6"/>
  <c r="AD251" i="6" s="1"/>
  <c r="AN252" i="7" s="1"/>
  <c r="AD249" i="6"/>
  <c r="AN250" i="7" s="1"/>
  <c r="AL250" i="7"/>
  <c r="U234" i="6"/>
  <c r="AD234" i="6" s="1"/>
  <c r="AN235" i="7" s="1"/>
  <c r="U237" i="6"/>
  <c r="U241" i="6"/>
  <c r="AL242" i="7" s="1"/>
  <c r="AD240" i="6"/>
  <c r="AN241" i="7" s="1"/>
  <c r="AL241" i="7"/>
  <c r="AL240" i="7"/>
  <c r="AD239" i="6"/>
  <c r="AN240" i="7" s="1"/>
  <c r="AD231" i="6"/>
  <c r="AN232" i="7" s="1"/>
  <c r="AL232" i="7"/>
  <c r="AL223" i="7"/>
  <c r="AD222" i="6"/>
  <c r="AN223" i="7" s="1"/>
  <c r="AL226" i="7"/>
  <c r="AD225" i="6"/>
  <c r="AN226" i="7" s="1"/>
  <c r="AD229" i="6"/>
  <c r="AN230" i="7" s="1"/>
  <c r="AL230" i="7"/>
  <c r="U208" i="6"/>
  <c r="AL209" i="7" s="1"/>
  <c r="AL202" i="7"/>
  <c r="AD201" i="6"/>
  <c r="AN202" i="7" s="1"/>
  <c r="AL212" i="7"/>
  <c r="AD211" i="6"/>
  <c r="AN212" i="7" s="1"/>
  <c r="AL189" i="7"/>
  <c r="AD188" i="6"/>
  <c r="AN189" i="7" s="1"/>
  <c r="U198" i="6"/>
  <c r="AL194" i="7"/>
  <c r="AD193" i="6"/>
  <c r="AN194" i="7" s="1"/>
  <c r="AD190" i="6"/>
  <c r="AN191" i="7" s="1"/>
  <c r="AL191" i="7"/>
  <c r="U177" i="6"/>
  <c r="AL178" i="7" s="1"/>
  <c r="AL180" i="7"/>
  <c r="AD179" i="6"/>
  <c r="AN180" i="7" s="1"/>
  <c r="AL177" i="7"/>
  <c r="AD176" i="6"/>
  <c r="AN177" i="7" s="1"/>
  <c r="U180" i="6"/>
  <c r="AL181" i="7" s="1"/>
  <c r="AL179" i="7"/>
  <c r="AD178" i="6"/>
  <c r="AN179" i="7" s="1"/>
  <c r="U173" i="6"/>
  <c r="AL174" i="7" s="1"/>
  <c r="U166" i="6"/>
  <c r="AD166" i="6" s="1"/>
  <c r="AN167" i="7" s="1"/>
  <c r="U157" i="6"/>
  <c r="AL159" i="7"/>
  <c r="AD158" i="6"/>
  <c r="AN159" i="7" s="1"/>
  <c r="U143" i="6"/>
  <c r="AL144" i="7" s="1"/>
  <c r="U148" i="6"/>
  <c r="AD148" i="6" s="1"/>
  <c r="AN149" i="7" s="1"/>
  <c r="U149" i="6"/>
  <c r="AL150" i="7" s="1"/>
  <c r="U144" i="6"/>
  <c r="U129" i="6"/>
  <c r="AL133" i="7"/>
  <c r="AD132" i="6"/>
  <c r="AN133" i="7" s="1"/>
  <c r="AL117" i="7"/>
  <c r="AD116" i="6"/>
  <c r="AN117" i="7" s="1"/>
  <c r="U121" i="6"/>
  <c r="U114" i="6"/>
  <c r="AD114" i="6" s="1"/>
  <c r="AN115" i="7" s="1"/>
  <c r="U113" i="6"/>
  <c r="AD113" i="6" s="1"/>
  <c r="AN114" i="7" s="1"/>
  <c r="U119" i="6"/>
  <c r="U97" i="6"/>
  <c r="U104" i="6"/>
  <c r="AD104" i="6" s="1"/>
  <c r="AN105" i="7" s="1"/>
  <c r="U81" i="6"/>
  <c r="AD81" i="6" s="1"/>
  <c r="AN82" i="7" s="1"/>
  <c r="U91" i="6"/>
  <c r="AD91" i="6" s="1"/>
  <c r="AN92" i="7" s="1"/>
  <c r="AD75" i="6"/>
  <c r="AN76" i="7" s="1"/>
  <c r="AL76" i="7"/>
  <c r="T79" i="6"/>
  <c r="K79" i="6" s="1"/>
  <c r="U51" i="6"/>
  <c r="AL62" i="7"/>
  <c r="AD61" i="6"/>
  <c r="AN62" i="7" s="1"/>
  <c r="U57" i="6"/>
  <c r="AD57" i="6" s="1"/>
  <c r="AN58" i="7" s="1"/>
  <c r="AD59" i="6"/>
  <c r="AN60" i="7" s="1"/>
  <c r="AL60" i="7"/>
  <c r="U40" i="6"/>
  <c r="AD40" i="6" s="1"/>
  <c r="AN41" i="7" s="1"/>
  <c r="U41" i="6"/>
  <c r="AL42" i="7" s="1"/>
  <c r="U46" i="6"/>
  <c r="AD46" i="6" s="1"/>
  <c r="AN47" i="7" s="1"/>
  <c r="AL39" i="7"/>
  <c r="AD38" i="6"/>
  <c r="AN39" i="7" s="1"/>
  <c r="U23" i="6"/>
  <c r="AD21" i="6"/>
  <c r="AN22" i="7" s="1"/>
  <c r="AL22" i="7"/>
  <c r="U31" i="6"/>
  <c r="AL32" i="7" s="1"/>
  <c r="AD25" i="6"/>
  <c r="AN26" i="7" s="1"/>
  <c r="AL26" i="7"/>
  <c r="T35" i="6"/>
  <c r="U12" i="6"/>
  <c r="AD12" i="6" s="1"/>
  <c r="AN13" i="7" s="1"/>
  <c r="AL12" i="7"/>
  <c r="AD11" i="6"/>
  <c r="AN12" i="7" s="1"/>
  <c r="U7" i="6"/>
  <c r="U314" i="6"/>
  <c r="AD314" i="6" s="1"/>
  <c r="AN315" i="7" s="1"/>
  <c r="U319" i="6"/>
  <c r="AD319" i="6" s="1"/>
  <c r="AN320" i="7" s="1"/>
  <c r="U298" i="6"/>
  <c r="AL299" i="7" s="1"/>
  <c r="AD309" i="6"/>
  <c r="AN310" i="7" s="1"/>
  <c r="AL310" i="7"/>
  <c r="AD312" i="6"/>
  <c r="AN313" i="7" s="1"/>
  <c r="AL313" i="7"/>
  <c r="AD318" i="6"/>
  <c r="AN319" i="7" s="1"/>
  <c r="AL319" i="7"/>
  <c r="AD315" i="6"/>
  <c r="AN316" i="7" s="1"/>
  <c r="AL316" i="7"/>
  <c r="AD300" i="6"/>
  <c r="AN301" i="7" s="1"/>
  <c r="AL301" i="7"/>
  <c r="AD294" i="6"/>
  <c r="AN295" i="7" s="1"/>
  <c r="AL295" i="7"/>
  <c r="AL294" i="7"/>
  <c r="AD293" i="6"/>
  <c r="AN294" i="7" s="1"/>
  <c r="U475" i="6"/>
  <c r="AD475" i="6" s="1"/>
  <c r="U430" i="6"/>
  <c r="AD430" i="6" s="1"/>
  <c r="U365" i="6"/>
  <c r="AD365" i="6" s="1"/>
  <c r="U299" i="6"/>
  <c r="U449" i="6"/>
  <c r="AD449" i="6" s="1"/>
  <c r="U380" i="6"/>
  <c r="AD380" i="6" s="1"/>
  <c r="U484" i="6"/>
  <c r="AD484" i="6" s="1"/>
  <c r="U444" i="6"/>
  <c r="AD444" i="6" s="1"/>
  <c r="U297" i="6"/>
  <c r="U342" i="6"/>
  <c r="AD342" i="6" s="1"/>
  <c r="U428" i="6"/>
  <c r="AD428" i="6" s="1"/>
  <c r="U466" i="6"/>
  <c r="AD466" i="6" s="1"/>
  <c r="U429" i="6"/>
  <c r="AD429" i="6" s="1"/>
  <c r="U383" i="6"/>
  <c r="AD383" i="6" s="1"/>
  <c r="AD100" i="6"/>
  <c r="AN101" i="7" s="1"/>
  <c r="AL101" i="7"/>
  <c r="AD207" i="6"/>
  <c r="AN208" i="7" s="1"/>
  <c r="AL208" i="7"/>
  <c r="AD126" i="6"/>
  <c r="AN127" i="7" s="1"/>
  <c r="AL127" i="7"/>
  <c r="AL192" i="7"/>
  <c r="AD191" i="6"/>
  <c r="AN192" i="7" s="1"/>
  <c r="U127" i="6"/>
  <c r="AD127" i="6" s="1"/>
  <c r="AN128" i="7" s="1"/>
  <c r="T274" i="6"/>
  <c r="K274" i="6" s="1"/>
  <c r="U268" i="6"/>
  <c r="AL269" i="7" s="1"/>
  <c r="U481" i="6"/>
  <c r="AD481" i="6" s="1"/>
  <c r="AL165" i="7"/>
  <c r="AD164" i="6"/>
  <c r="AN165" i="7" s="1"/>
  <c r="U187" i="6"/>
  <c r="U195" i="6"/>
  <c r="U128" i="6"/>
  <c r="AD261" i="6"/>
  <c r="AN262" i="7" s="1"/>
  <c r="AL262" i="7"/>
  <c r="U496" i="6"/>
  <c r="AD496" i="6" s="1"/>
  <c r="U219" i="6"/>
  <c r="U301" i="6"/>
  <c r="U22" i="6"/>
  <c r="U486" i="6"/>
  <c r="AD486" i="6" s="1"/>
  <c r="AD167" i="6"/>
  <c r="AN168" i="7" s="1"/>
  <c r="AL168" i="7"/>
  <c r="U295" i="6"/>
  <c r="U390" i="6"/>
  <c r="AD390" i="6" s="1"/>
  <c r="U503" i="6"/>
  <c r="AD503" i="6" s="1"/>
  <c r="U455" i="6"/>
  <c r="AD455" i="6" s="1"/>
  <c r="U423" i="6"/>
  <c r="AD423" i="6" s="1"/>
  <c r="U67" i="6"/>
  <c r="U89" i="6"/>
  <c r="U160" i="6"/>
  <c r="U498" i="6"/>
  <c r="AD498" i="6" s="1"/>
  <c r="U6" i="6"/>
  <c r="U391" i="6"/>
  <c r="AD391" i="6" s="1"/>
  <c r="U117" i="6"/>
  <c r="AD117" i="6" s="1"/>
  <c r="AN118" i="7" s="1"/>
  <c r="U69" i="6"/>
  <c r="AD69" i="6" s="1"/>
  <c r="AN70" i="7" s="1"/>
  <c r="AL267" i="7"/>
  <c r="AD266" i="6"/>
  <c r="AN267" i="7" s="1"/>
  <c r="AD8" i="6"/>
  <c r="AN9" i="7" s="1"/>
  <c r="AL9" i="7"/>
  <c r="U409" i="6"/>
  <c r="AD409" i="6" s="1"/>
  <c r="T110" i="6"/>
  <c r="U401" i="6"/>
  <c r="AD401" i="6" s="1"/>
  <c r="U238" i="6"/>
  <c r="U393" i="6"/>
  <c r="AD393" i="6" s="1"/>
  <c r="T34" i="6"/>
  <c r="U209" i="6"/>
  <c r="AD29" i="6"/>
  <c r="AN30" i="7" s="1"/>
  <c r="AL30" i="7"/>
  <c r="U14" i="6"/>
  <c r="U469" i="6"/>
  <c r="AD469" i="6" s="1"/>
  <c r="U24" i="6"/>
  <c r="U28" i="6"/>
  <c r="U202" i="6"/>
  <c r="AL207" i="7"/>
  <c r="AD206" i="6"/>
  <c r="AN207" i="7" s="1"/>
  <c r="U115" i="6"/>
  <c r="U246" i="6"/>
  <c r="U329" i="6"/>
  <c r="U411" i="6"/>
  <c r="AD411" i="6" s="1"/>
  <c r="U451" i="6"/>
  <c r="AD451" i="6" s="1"/>
  <c r="U488" i="6"/>
  <c r="AD488" i="6" s="1"/>
  <c r="U141" i="6"/>
  <c r="U194" i="6"/>
  <c r="U43" i="6"/>
  <c r="T260" i="6"/>
  <c r="AD98" i="6"/>
  <c r="AN99" i="7" s="1"/>
  <c r="AL99" i="7"/>
  <c r="U226" i="6"/>
  <c r="T259" i="6"/>
  <c r="AD254" i="6"/>
  <c r="AN255" i="7" s="1"/>
  <c r="AL255" i="7"/>
  <c r="U15" i="6"/>
  <c r="U86" i="6"/>
  <c r="T170" i="6"/>
  <c r="AD92" i="6"/>
  <c r="AN93" i="7" s="1"/>
  <c r="AL93" i="7"/>
  <c r="AL204" i="7"/>
  <c r="AD203" i="6"/>
  <c r="AN204" i="7" s="1"/>
  <c r="U465" i="6"/>
  <c r="AD465" i="6" s="1"/>
  <c r="U283" i="6"/>
  <c r="U172" i="6"/>
  <c r="U52" i="6"/>
  <c r="U9" i="6"/>
  <c r="U281" i="6"/>
  <c r="U70" i="6"/>
  <c r="U236" i="6"/>
  <c r="AD151" i="6"/>
  <c r="AN152" i="7" s="1"/>
  <c r="AL152" i="7"/>
  <c r="AL100" i="7"/>
  <c r="AD99" i="6"/>
  <c r="AN100" i="7" s="1"/>
  <c r="AD102" i="6"/>
  <c r="AN103" i="7" s="1"/>
  <c r="AL103" i="7"/>
  <c r="AD72" i="6"/>
  <c r="AN73" i="7" s="1"/>
  <c r="AL73" i="7"/>
  <c r="AD235" i="6"/>
  <c r="AN236" i="7" s="1"/>
  <c r="AL236" i="7"/>
  <c r="U26" i="6"/>
  <c r="U277" i="6"/>
  <c r="L506" i="6"/>
  <c r="E40" i="5" a="1"/>
  <c r="E40" i="5" s="1"/>
  <c r="F40" i="5" a="1"/>
  <c r="F40" i="5" s="1"/>
  <c r="D40" i="5" a="1"/>
  <c r="D40" i="5" s="1"/>
  <c r="G40" i="5" a="1"/>
  <c r="G40" i="5" s="1"/>
  <c r="H40" i="5" a="1"/>
  <c r="H40" i="5" s="1"/>
  <c r="E23" i="5" a="1"/>
  <c r="E23" i="5" s="1"/>
  <c r="U221" i="6"/>
  <c r="U396" i="6"/>
  <c r="AD396" i="6" s="1"/>
  <c r="U216" i="6"/>
  <c r="U285" i="6"/>
  <c r="H10" i="6"/>
  <c r="I10" i="6" s="1"/>
  <c r="AL190" i="7"/>
  <c r="AD189" i="6"/>
  <c r="AN190" i="7" s="1"/>
  <c r="G23" i="5" a="1"/>
  <c r="G23" i="5" s="1"/>
  <c r="D23" i="5" a="1"/>
  <c r="D23" i="5" s="1"/>
  <c r="U165" i="6"/>
  <c r="U53" i="6"/>
  <c r="U133" i="6"/>
  <c r="U85" i="6"/>
  <c r="U196" i="6"/>
  <c r="U42" i="6"/>
  <c r="F23" i="5" a="1"/>
  <c r="F23" i="5" s="1"/>
  <c r="U407" i="6"/>
  <c r="AD407" i="6" s="1"/>
  <c r="E21" i="5" a="1"/>
  <c r="E21" i="5" s="1"/>
  <c r="N506" i="6"/>
  <c r="D21" i="5" a="1"/>
  <c r="D21" i="5" s="1"/>
  <c r="O95" i="6"/>
  <c r="T95" i="6" s="1"/>
  <c r="G21" i="5" a="1"/>
  <c r="G21" i="5" s="1"/>
  <c r="F21" i="5" a="1"/>
  <c r="F21" i="5" s="1"/>
  <c r="H21" i="5" a="1"/>
  <c r="H21" i="5" s="1"/>
  <c r="H23" i="5" a="1"/>
  <c r="H23" i="5" s="1"/>
  <c r="U210" i="6"/>
  <c r="U136" i="6"/>
  <c r="AD96" i="6"/>
  <c r="AN97" i="7" s="1"/>
  <c r="AL97" i="7"/>
  <c r="U159" i="6"/>
  <c r="U204" i="6"/>
  <c r="U394" i="6"/>
  <c r="AD394" i="6" s="1"/>
  <c r="U280" i="6"/>
  <c r="P506" i="6"/>
  <c r="D24" i="5" a="1"/>
  <c r="D24" i="5" s="1"/>
  <c r="F24" i="5" a="1"/>
  <c r="F24" i="5" s="1"/>
  <c r="Q506" i="6"/>
  <c r="E24" i="5" a="1"/>
  <c r="E24" i="5" s="1"/>
  <c r="G24" i="5" a="1"/>
  <c r="G24" i="5" s="1"/>
  <c r="H24" i="5" a="1"/>
  <c r="H24" i="5" s="1"/>
  <c r="AD184" i="6"/>
  <c r="AN185" i="7" s="1"/>
  <c r="AL185" i="7"/>
  <c r="U111" i="6"/>
  <c r="G10" i="6"/>
  <c r="AD267" i="6"/>
  <c r="AN268" i="7" s="1"/>
  <c r="AL268" i="7"/>
  <c r="E57" i="5" l="1"/>
  <c r="E22" i="3" s="1"/>
  <c r="D57" i="5"/>
  <c r="D22" i="3" s="1"/>
  <c r="AD329" i="6"/>
  <c r="AN330" i="7" s="1"/>
  <c r="AL330" i="7"/>
  <c r="AD328" i="6"/>
  <c r="AN329" i="7" s="1"/>
  <c r="AL329" i="7"/>
  <c r="AD327" i="6"/>
  <c r="AN328" i="7" s="1"/>
  <c r="AL328" i="7"/>
  <c r="AD326" i="6"/>
  <c r="AN327" i="7" s="1"/>
  <c r="AL327" i="7"/>
  <c r="U242" i="6"/>
  <c r="H243" i="6"/>
  <c r="I243" i="6" s="1"/>
  <c r="AL31" i="7"/>
  <c r="AD118" i="6"/>
  <c r="AN119" i="7" s="1"/>
  <c r="AL57" i="7"/>
  <c r="AD56" i="6"/>
  <c r="AN57" i="7" s="1"/>
  <c r="AD161" i="6"/>
  <c r="AN162" i="7" s="1"/>
  <c r="AL162" i="7"/>
  <c r="U217" i="6"/>
  <c r="G243" i="6"/>
  <c r="AL306" i="7"/>
  <c r="AD45" i="6"/>
  <c r="AN46" i="7" s="1"/>
  <c r="AL287" i="7"/>
  <c r="AL121" i="7"/>
  <c r="AL167" i="7"/>
  <c r="AD143" i="6"/>
  <c r="AN144" i="7" s="1"/>
  <c r="H199" i="6"/>
  <c r="I199" i="6" s="1"/>
  <c r="U243" i="6"/>
  <c r="AL92" i="7"/>
  <c r="AD180" i="6"/>
  <c r="AN181" i="7" s="1"/>
  <c r="AL132" i="7"/>
  <c r="AL213" i="7"/>
  <c r="AL320" i="7"/>
  <c r="AD82" i="6"/>
  <c r="AN83" i="7" s="1"/>
  <c r="AL83" i="7"/>
  <c r="J185" i="6"/>
  <c r="H62" i="6"/>
  <c r="I62" i="6" s="1"/>
  <c r="G62" i="6"/>
  <c r="F62" i="6"/>
  <c r="AD268" i="6"/>
  <c r="AN269" i="7" s="1"/>
  <c r="AD241" i="6"/>
  <c r="AN242" i="7" s="1"/>
  <c r="AL114" i="7"/>
  <c r="H153" i="6"/>
  <c r="I153" i="6" s="1"/>
  <c r="G153" i="6"/>
  <c r="F153" i="6"/>
  <c r="AD208" i="6"/>
  <c r="AN209" i="7" s="1"/>
  <c r="AL128" i="7"/>
  <c r="AL102" i="7"/>
  <c r="K215" i="6"/>
  <c r="K19" i="6"/>
  <c r="G19" i="6" s="1"/>
  <c r="AL70" i="7"/>
  <c r="AD177" i="6"/>
  <c r="AN178" i="7" s="1"/>
  <c r="AL235" i="7"/>
  <c r="K65" i="6"/>
  <c r="G199" i="6"/>
  <c r="U199" i="6" s="1"/>
  <c r="AL55" i="7"/>
  <c r="AD54" i="6"/>
  <c r="AN55" i="7" s="1"/>
  <c r="AD262" i="6"/>
  <c r="AN263" i="7" s="1"/>
  <c r="AD149" i="6"/>
  <c r="AN150" i="7" s="1"/>
  <c r="AD103" i="6"/>
  <c r="AN104" i="7" s="1"/>
  <c r="AL149" i="7"/>
  <c r="U310" i="6"/>
  <c r="U48" i="6"/>
  <c r="AD48" i="6" s="1"/>
  <c r="AN49" i="7" s="1"/>
  <c r="U122" i="6"/>
  <c r="AD122" i="6" s="1"/>
  <c r="AN123" i="7" s="1"/>
  <c r="J308" i="6"/>
  <c r="J274" i="6"/>
  <c r="G274" i="6" s="1"/>
  <c r="F168" i="6"/>
  <c r="J259" i="6"/>
  <c r="H33" i="6"/>
  <c r="I33" i="6" s="1"/>
  <c r="H107" i="6"/>
  <c r="I107" i="6" s="1"/>
  <c r="G3" i="4"/>
  <c r="L3" i="4"/>
  <c r="AL82" i="7"/>
  <c r="AL58" i="7"/>
  <c r="AD37" i="6"/>
  <c r="AN38" i="7" s="1"/>
  <c r="AD173" i="6"/>
  <c r="AN174" i="7" s="1"/>
  <c r="AD134" i="6"/>
  <c r="AN135" i="7" s="1"/>
  <c r="J35" i="6"/>
  <c r="J290" i="6"/>
  <c r="H32" i="6"/>
  <c r="I32" i="6" s="1"/>
  <c r="H227" i="6"/>
  <c r="I227" i="6" s="1"/>
  <c r="AD41" i="6"/>
  <c r="AN42" i="7" s="1"/>
  <c r="AD83" i="6"/>
  <c r="AN84" i="7" s="1"/>
  <c r="J65" i="6"/>
  <c r="K170" i="6"/>
  <c r="K260" i="6"/>
  <c r="U108" i="6"/>
  <c r="U306" i="6"/>
  <c r="AL307" i="7" s="1"/>
  <c r="J94" i="6"/>
  <c r="F63" i="6"/>
  <c r="AD186" i="6"/>
  <c r="AN187" i="7" s="1"/>
  <c r="AL47" i="7"/>
  <c r="AL115" i="7"/>
  <c r="AD39" i="6"/>
  <c r="AN40" i="7" s="1"/>
  <c r="AD183" i="6"/>
  <c r="AN184" i="7" s="1"/>
  <c r="C22" i="5" a="1"/>
  <c r="C22" i="5" s="1"/>
  <c r="AD58" i="6"/>
  <c r="AN59" i="7" s="1"/>
  <c r="AL59" i="7"/>
  <c r="J139" i="6"/>
  <c r="H274" i="6"/>
  <c r="I274" i="6" s="1"/>
  <c r="AL118" i="7"/>
  <c r="AL105" i="7"/>
  <c r="AL13" i="7"/>
  <c r="AD31" i="6"/>
  <c r="AN32" i="7" s="1"/>
  <c r="AL305" i="7"/>
  <c r="T307" i="6"/>
  <c r="C45" i="5" s="1" a="1"/>
  <c r="C45" i="5" s="1"/>
  <c r="F47" i="6"/>
  <c r="G47" i="6"/>
  <c r="H47" i="6"/>
  <c r="I47" i="6" s="1"/>
  <c r="U155" i="6"/>
  <c r="K35" i="6"/>
  <c r="K34" i="6"/>
  <c r="AD142" i="6"/>
  <c r="AN143" i="7" s="1"/>
  <c r="AL143" i="7"/>
  <c r="J170" i="6"/>
  <c r="J215" i="6"/>
  <c r="U275" i="6"/>
  <c r="U197" i="6"/>
  <c r="U137" i="6"/>
  <c r="F32" i="6"/>
  <c r="J125" i="6"/>
  <c r="H200" i="6"/>
  <c r="I200" i="6" s="1"/>
  <c r="G200" i="6"/>
  <c r="F200" i="6"/>
  <c r="G320" i="6"/>
  <c r="H320" i="6"/>
  <c r="I320" i="6" s="1"/>
  <c r="AL254" i="7"/>
  <c r="AD253" i="6"/>
  <c r="AN254" i="7" s="1"/>
  <c r="J109" i="6"/>
  <c r="K259" i="6"/>
  <c r="H228" i="6"/>
  <c r="I228" i="6" s="1"/>
  <c r="G33" i="6"/>
  <c r="H168" i="6"/>
  <c r="I168" i="6" s="1"/>
  <c r="G321" i="6"/>
  <c r="F107" i="6"/>
  <c r="G63" i="6"/>
  <c r="H213" i="6"/>
  <c r="I213" i="6" s="1"/>
  <c r="G152" i="6"/>
  <c r="AL252" i="7"/>
  <c r="AL41" i="7"/>
  <c r="F230" i="6"/>
  <c r="G230" i="6"/>
  <c r="H230" i="6"/>
  <c r="I230" i="6" s="1"/>
  <c r="U257" i="6"/>
  <c r="J34" i="6"/>
  <c r="F228" i="6"/>
  <c r="K290" i="6"/>
  <c r="G290" i="6" s="1"/>
  <c r="U50" i="6"/>
  <c r="G93" i="6"/>
  <c r="F93" i="6"/>
  <c r="H93" i="6"/>
  <c r="I93" i="6" s="1"/>
  <c r="G77" i="6"/>
  <c r="F77" i="6"/>
  <c r="H77" i="6"/>
  <c r="I77" i="6" s="1"/>
  <c r="U78" i="6"/>
  <c r="U182" i="6"/>
  <c r="U138" i="6"/>
  <c r="K125" i="6"/>
  <c r="K95" i="6"/>
  <c r="F272" i="6"/>
  <c r="K109" i="6"/>
  <c r="J79" i="6"/>
  <c r="H321" i="6"/>
  <c r="I321" i="6" s="1"/>
  <c r="G227" i="6"/>
  <c r="F213" i="6"/>
  <c r="F152" i="6"/>
  <c r="U152" i="6" s="1"/>
  <c r="H289" i="6"/>
  <c r="I289" i="6" s="1"/>
  <c r="F289" i="6"/>
  <c r="G289" i="6"/>
  <c r="K308" i="6"/>
  <c r="F290" i="6"/>
  <c r="K323" i="6"/>
  <c r="U18" i="6"/>
  <c r="K110" i="6"/>
  <c r="F273" i="6"/>
  <c r="G273" i="6"/>
  <c r="H273" i="6"/>
  <c r="I273" i="6" s="1"/>
  <c r="AD135" i="6"/>
  <c r="AN136" i="7" s="1"/>
  <c r="AL136" i="7"/>
  <c r="J322" i="6"/>
  <c r="J95" i="6"/>
  <c r="AL109" i="7"/>
  <c r="AD108" i="6"/>
  <c r="AN109" i="7" s="1"/>
  <c r="F123" i="6"/>
  <c r="G123" i="6"/>
  <c r="H123" i="6"/>
  <c r="I123" i="6" s="1"/>
  <c r="H272" i="6"/>
  <c r="I272" i="6" s="1"/>
  <c r="F17" i="6"/>
  <c r="H17" i="6"/>
  <c r="I17" i="6" s="1"/>
  <c r="G17" i="6"/>
  <c r="AD84" i="6"/>
  <c r="AN85" i="7" s="1"/>
  <c r="AL85" i="7"/>
  <c r="J323" i="6"/>
  <c r="J110" i="6"/>
  <c r="F49" i="6"/>
  <c r="H49" i="6"/>
  <c r="I49" i="6" s="1"/>
  <c r="G49" i="6"/>
  <c r="J260" i="6"/>
  <c r="G124" i="6"/>
  <c r="H124" i="6"/>
  <c r="I124" i="6" s="1"/>
  <c r="F124" i="6"/>
  <c r="K94" i="6"/>
  <c r="S34" i="4"/>
  <c r="V8" i="2"/>
  <c r="Y8" i="2"/>
  <c r="G32" i="5"/>
  <c r="G20" i="3" s="1"/>
  <c r="H126" i="5"/>
  <c r="H31" i="5" a="1"/>
  <c r="H31" i="5" s="1"/>
  <c r="H130" i="5"/>
  <c r="H142" i="5"/>
  <c r="H111" i="5"/>
  <c r="H83" i="5"/>
  <c r="H89" i="5"/>
  <c r="H67" i="5"/>
  <c r="H78" i="5"/>
  <c r="H141" i="5"/>
  <c r="H69" i="5"/>
  <c r="H103" i="5"/>
  <c r="H132" i="5"/>
  <c r="H71" i="5"/>
  <c r="H105" i="5"/>
  <c r="H129" i="5"/>
  <c r="H64" i="5"/>
  <c r="H49" i="5" a="1"/>
  <c r="H49" i="5" s="1"/>
  <c r="H135" i="5"/>
  <c r="H128" i="5"/>
  <c r="H56" i="5" a="1"/>
  <c r="H56" i="5" s="1"/>
  <c r="H145" i="5"/>
  <c r="H147" i="5"/>
  <c r="H60" i="5"/>
  <c r="H92" i="5"/>
  <c r="H90" i="5"/>
  <c r="H54" i="5" a="1"/>
  <c r="H54" i="5" s="1"/>
  <c r="H55" i="5" a="1"/>
  <c r="H55" i="5" s="1"/>
  <c r="H3" i="3"/>
  <c r="H116" i="5"/>
  <c r="H26" i="5" a="1"/>
  <c r="H26" i="5" s="1"/>
  <c r="H106" i="5"/>
  <c r="H66" i="5"/>
  <c r="H118" i="5"/>
  <c r="H68" i="5"/>
  <c r="H120" i="5"/>
  <c r="H140" i="5"/>
  <c r="H76" i="5"/>
  <c r="H143" i="5"/>
  <c r="H99" i="5"/>
  <c r="H127" i="5"/>
  <c r="H82" i="5"/>
  <c r="H146" i="5"/>
  <c r="H52" i="5" a="1"/>
  <c r="H52" i="5" s="1"/>
  <c r="H139" i="5"/>
  <c r="H20" i="5" a="1"/>
  <c r="H20" i="5" s="1"/>
  <c r="H102" i="5"/>
  <c r="H50" i="5" a="1"/>
  <c r="H50" i="5" s="1"/>
  <c r="H100" i="5"/>
  <c r="H72" i="5"/>
  <c r="H75" i="5"/>
  <c r="H53" i="5" a="1"/>
  <c r="H53" i="5" s="1"/>
  <c r="H91" i="5"/>
  <c r="H74" i="5"/>
  <c r="H65" i="5"/>
  <c r="H144" i="5"/>
  <c r="H84" i="5"/>
  <c r="H101" i="5"/>
  <c r="H98" i="5"/>
  <c r="H119" i="5"/>
  <c r="H109" i="5"/>
  <c r="H80" i="5"/>
  <c r="H122" i="5"/>
  <c r="H115" i="5"/>
  <c r="H148" i="5"/>
  <c r="H93" i="5"/>
  <c r="H73" i="5"/>
  <c r="H107" i="5"/>
  <c r="H123" i="5"/>
  <c r="H87" i="5"/>
  <c r="H88" i="5"/>
  <c r="H121" i="5"/>
  <c r="H138" i="5"/>
  <c r="H124" i="5"/>
  <c r="H94" i="5"/>
  <c r="H113" i="5"/>
  <c r="H137" i="5"/>
  <c r="H81" i="5"/>
  <c r="H117" i="5"/>
  <c r="H96" i="5"/>
  <c r="I3" i="5"/>
  <c r="H104" i="5"/>
  <c r="H48" i="5" a="1"/>
  <c r="H48" i="5" s="1"/>
  <c r="H108" i="5"/>
  <c r="H79" i="5"/>
  <c r="U3" i="4"/>
  <c r="H112" i="5"/>
  <c r="H62" i="5"/>
  <c r="H114" i="5"/>
  <c r="H51" i="5" a="1"/>
  <c r="H51" i="5" s="1"/>
  <c r="H110" i="5"/>
  <c r="H77" i="5"/>
  <c r="H30" i="5" a="1"/>
  <c r="H30" i="5" s="1"/>
  <c r="H70" i="5"/>
  <c r="H136" i="5"/>
  <c r="H61" i="5"/>
  <c r="H95" i="5"/>
  <c r="H63" i="5"/>
  <c r="H97" i="5"/>
  <c r="H125" i="5"/>
  <c r="H86" i="5"/>
  <c r="H131" i="5"/>
  <c r="H85" i="5"/>
  <c r="H41" i="5" a="1"/>
  <c r="H41" i="5" s="1"/>
  <c r="H25" i="5" a="1"/>
  <c r="H25" i="5" s="1"/>
  <c r="G57" i="5"/>
  <c r="G22" i="3" s="1"/>
  <c r="T13" i="4"/>
  <c r="T21" i="4"/>
  <c r="T8" i="4"/>
  <c r="T16" i="4"/>
  <c r="T9" i="4"/>
  <c r="T15" i="4"/>
  <c r="T20" i="4"/>
  <c r="T17" i="4"/>
  <c r="T25" i="4"/>
  <c r="T6" i="4"/>
  <c r="T4" i="4"/>
  <c r="T7" i="4"/>
  <c r="T23" i="4"/>
  <c r="T11" i="4"/>
  <c r="T14" i="4"/>
  <c r="T18" i="4"/>
  <c r="T10" i="4"/>
  <c r="T19" i="4"/>
  <c r="T5" i="4"/>
  <c r="T12" i="4"/>
  <c r="T24" i="4"/>
  <c r="T22" i="4"/>
  <c r="G149" i="5"/>
  <c r="G25" i="3" s="1"/>
  <c r="G133" i="5"/>
  <c r="G24" i="3" s="1"/>
  <c r="AD303" i="6"/>
  <c r="AN304" i="7" s="1"/>
  <c r="AL304" i="7"/>
  <c r="AD163" i="6"/>
  <c r="AN164" i="7" s="1"/>
  <c r="AL164" i="7"/>
  <c r="AD55" i="6"/>
  <c r="AN56" i="7" s="1"/>
  <c r="AL56" i="7"/>
  <c r="AD27" i="6"/>
  <c r="AN28" i="7" s="1"/>
  <c r="AL28" i="7"/>
  <c r="AD324" i="6"/>
  <c r="AN325" i="7" s="1"/>
  <c r="AL325" i="7"/>
  <c r="C9" i="2"/>
  <c r="AH9" i="2" s="1"/>
  <c r="T9" i="2" s="1"/>
  <c r="B10" i="2"/>
  <c r="AD292" i="6"/>
  <c r="AN293" i="7" s="1"/>
  <c r="AL293" i="7"/>
  <c r="AL277" i="7"/>
  <c r="AD276" i="6"/>
  <c r="AN277" i="7" s="1"/>
  <c r="AD287" i="6"/>
  <c r="AN288" i="7" s="1"/>
  <c r="AL288" i="7"/>
  <c r="AL271" i="7"/>
  <c r="AD270" i="6"/>
  <c r="AN271" i="7" s="1"/>
  <c r="AD258" i="6"/>
  <c r="AN259" i="7" s="1"/>
  <c r="AL259" i="7"/>
  <c r="AD248" i="6"/>
  <c r="AN249" i="7" s="1"/>
  <c r="AL249" i="7"/>
  <c r="AD243" i="6"/>
  <c r="AN244" i="7" s="1"/>
  <c r="AL244" i="7"/>
  <c r="AD237" i="6"/>
  <c r="AN238" i="7" s="1"/>
  <c r="AL238" i="7"/>
  <c r="AD198" i="6"/>
  <c r="AN199" i="7" s="1"/>
  <c r="AL199" i="7"/>
  <c r="AL158" i="7"/>
  <c r="AD157" i="6"/>
  <c r="AN158" i="7" s="1"/>
  <c r="AD144" i="6"/>
  <c r="AN145" i="7" s="1"/>
  <c r="AL145" i="7"/>
  <c r="AL130" i="7"/>
  <c r="AD129" i="6"/>
  <c r="AN130" i="7" s="1"/>
  <c r="AL122" i="7"/>
  <c r="AD121" i="6"/>
  <c r="AN122" i="7" s="1"/>
  <c r="AL120" i="7"/>
  <c r="AD119" i="6"/>
  <c r="AN120" i="7" s="1"/>
  <c r="AD97" i="6"/>
  <c r="AN98" i="7" s="1"/>
  <c r="AL98" i="7"/>
  <c r="AL52" i="7"/>
  <c r="AD51" i="6"/>
  <c r="AN52" i="7" s="1"/>
  <c r="AD23" i="6"/>
  <c r="AN24" i="7" s="1"/>
  <c r="AL24" i="7"/>
  <c r="AD7" i="6"/>
  <c r="AN8" i="7" s="1"/>
  <c r="AL8" i="7"/>
  <c r="AL315" i="7"/>
  <c r="AD298" i="6"/>
  <c r="AN299" i="7" s="1"/>
  <c r="AD299" i="6"/>
  <c r="AN300" i="7" s="1"/>
  <c r="AL300" i="7"/>
  <c r="AD301" i="6"/>
  <c r="AN302" i="7" s="1"/>
  <c r="AL302" i="7"/>
  <c r="AD297" i="6"/>
  <c r="AN298" i="7" s="1"/>
  <c r="AL298" i="7"/>
  <c r="AD295" i="6"/>
  <c r="AN296" i="7" s="1"/>
  <c r="AL296" i="7"/>
  <c r="AL237" i="7"/>
  <c r="AD236" i="6"/>
  <c r="AN237" i="7" s="1"/>
  <c r="AD52" i="6"/>
  <c r="AN53" i="7" s="1"/>
  <c r="AL53" i="7"/>
  <c r="AD283" i="6"/>
  <c r="AN284" i="7" s="1"/>
  <c r="AL284" i="7"/>
  <c r="AD15" i="6"/>
  <c r="AN16" i="7" s="1"/>
  <c r="AL16" i="7"/>
  <c r="AD141" i="6"/>
  <c r="AN142" i="7" s="1"/>
  <c r="AL142" i="7"/>
  <c r="AL116" i="7"/>
  <c r="AD115" i="6"/>
  <c r="AN116" i="7" s="1"/>
  <c r="AL210" i="7"/>
  <c r="AD209" i="6"/>
  <c r="AN210" i="7" s="1"/>
  <c r="AL7" i="7"/>
  <c r="AD6" i="6"/>
  <c r="AN7" i="7" s="1"/>
  <c r="AL68" i="7"/>
  <c r="AD67" i="6"/>
  <c r="AN68" i="7" s="1"/>
  <c r="AD128" i="6"/>
  <c r="AN129" i="7" s="1"/>
  <c r="AL129" i="7"/>
  <c r="AD195" i="6"/>
  <c r="AN196" i="7" s="1"/>
  <c r="AL196" i="7"/>
  <c r="AD70" i="6"/>
  <c r="AN71" i="7" s="1"/>
  <c r="AL71" i="7"/>
  <c r="AL173" i="7"/>
  <c r="AD172" i="6"/>
  <c r="AN173" i="7" s="1"/>
  <c r="AD246" i="6"/>
  <c r="AN247" i="7" s="1"/>
  <c r="AL247" i="7"/>
  <c r="AL203" i="7"/>
  <c r="AD202" i="6"/>
  <c r="AN203" i="7" s="1"/>
  <c r="AL15" i="7"/>
  <c r="AD14" i="6"/>
  <c r="AN15" i="7" s="1"/>
  <c r="AD160" i="6"/>
  <c r="AN161" i="7" s="1"/>
  <c r="AL161" i="7"/>
  <c r="AD22" i="6"/>
  <c r="AN23" i="7" s="1"/>
  <c r="AL23" i="7"/>
  <c r="AD281" i="6"/>
  <c r="AN282" i="7" s="1"/>
  <c r="AL282" i="7"/>
  <c r="AL87" i="7"/>
  <c r="AD86" i="6"/>
  <c r="AN87" i="7" s="1"/>
  <c r="AD43" i="6"/>
  <c r="AN44" i="7" s="1"/>
  <c r="AL44" i="7"/>
  <c r="AD28" i="6"/>
  <c r="AN29" i="7" s="1"/>
  <c r="AL29" i="7"/>
  <c r="AD187" i="6"/>
  <c r="AN188" i="7" s="1"/>
  <c r="AL188" i="7"/>
  <c r="AD9" i="6"/>
  <c r="AN10" i="7" s="1"/>
  <c r="AL10" i="7"/>
  <c r="AL153" i="7"/>
  <c r="AD152" i="6"/>
  <c r="AN153" i="7" s="1"/>
  <c r="AD226" i="6"/>
  <c r="AN227" i="7" s="1"/>
  <c r="AL227" i="7"/>
  <c r="AL195" i="7"/>
  <c r="AD194" i="6"/>
  <c r="AN195" i="7" s="1"/>
  <c r="AL25" i="7"/>
  <c r="AD24" i="6"/>
  <c r="AN25" i="7" s="1"/>
  <c r="AD238" i="6"/>
  <c r="AN239" i="7" s="1"/>
  <c r="AL239" i="7"/>
  <c r="AD89" i="6"/>
  <c r="AN90" i="7" s="1"/>
  <c r="AL90" i="7"/>
  <c r="AD219" i="6"/>
  <c r="AN220" i="7" s="1"/>
  <c r="AL220" i="7"/>
  <c r="G45" i="5" a="1"/>
  <c r="G45" i="5" s="1"/>
  <c r="D45" i="5" a="1"/>
  <c r="D45" i="5" s="1"/>
  <c r="F45" i="5" a="1"/>
  <c r="F45" i="5" s="1"/>
  <c r="E45" i="5" a="1"/>
  <c r="E45" i="5" s="1"/>
  <c r="T506" i="6"/>
  <c r="H45" i="5" a="1"/>
  <c r="H45" i="5" s="1"/>
  <c r="AD210" i="6"/>
  <c r="AN211" i="7" s="1"/>
  <c r="AL211" i="7"/>
  <c r="AL281" i="7"/>
  <c r="AD280" i="6"/>
  <c r="AN281" i="7" s="1"/>
  <c r="AD159" i="6"/>
  <c r="AN160" i="7" s="1"/>
  <c r="AL160" i="7"/>
  <c r="AD136" i="6"/>
  <c r="AN137" i="7" s="1"/>
  <c r="AL137" i="7"/>
  <c r="E22" i="5" a="1"/>
  <c r="E22" i="5" s="1"/>
  <c r="E28" i="5" s="1"/>
  <c r="E19" i="3" s="1"/>
  <c r="O506" i="6"/>
  <c r="D22" i="5" a="1"/>
  <c r="D22" i="5" s="1"/>
  <c r="D28" i="5" s="1"/>
  <c r="D19" i="3" s="1"/>
  <c r="F22" i="5" a="1"/>
  <c r="F22" i="5" s="1"/>
  <c r="F28" i="5" s="1"/>
  <c r="F19" i="3" s="1"/>
  <c r="G22" i="5" a="1"/>
  <c r="G22" i="5" s="1"/>
  <c r="G28" i="5" s="1"/>
  <c r="G19" i="3" s="1"/>
  <c r="H22" i="5" a="1"/>
  <c r="H22" i="5" s="1"/>
  <c r="AD133" i="6"/>
  <c r="AN134" i="7" s="1"/>
  <c r="AL134" i="7"/>
  <c r="AL166" i="7"/>
  <c r="AD165" i="6"/>
  <c r="AN166" i="7" s="1"/>
  <c r="AD221" i="6"/>
  <c r="AN222" i="7" s="1"/>
  <c r="AL222" i="7"/>
  <c r="AD53" i="6"/>
  <c r="AN54" i="7" s="1"/>
  <c r="AL54" i="7"/>
  <c r="AD285" i="6"/>
  <c r="AN286" i="7" s="1"/>
  <c r="AL286" i="7"/>
  <c r="AD196" i="6"/>
  <c r="AN197" i="7" s="1"/>
  <c r="AL197" i="7"/>
  <c r="U10" i="6"/>
  <c r="AD216" i="6"/>
  <c r="AN217" i="7" s="1"/>
  <c r="AL217" i="7"/>
  <c r="AL278" i="7"/>
  <c r="AD277" i="6"/>
  <c r="AN278" i="7" s="1"/>
  <c r="AL112" i="7"/>
  <c r="AD111" i="6"/>
  <c r="AN112" i="7" s="1"/>
  <c r="AL205" i="7"/>
  <c r="AD204" i="6"/>
  <c r="AN205" i="7" s="1"/>
  <c r="AD42" i="6"/>
  <c r="AN43" i="7" s="1"/>
  <c r="AL43" i="7"/>
  <c r="AD85" i="6"/>
  <c r="AN86" i="7" s="1"/>
  <c r="AL86" i="7"/>
  <c r="AD26" i="6"/>
  <c r="AN27" i="7" s="1"/>
  <c r="AL27" i="7"/>
  <c r="AL243" i="7" l="1"/>
  <c r="AD242" i="6"/>
  <c r="AN243" i="7" s="1"/>
  <c r="U227" i="6"/>
  <c r="U33" i="6"/>
  <c r="G94" i="6"/>
  <c r="AL218" i="7"/>
  <c r="AD217" i="6"/>
  <c r="AN218" i="7" s="1"/>
  <c r="AL123" i="7"/>
  <c r="H19" i="6"/>
  <c r="I19" i="6" s="1"/>
  <c r="F274" i="6"/>
  <c r="U274" i="6" s="1"/>
  <c r="F65" i="6"/>
  <c r="F19" i="6"/>
  <c r="G259" i="6"/>
  <c r="U63" i="6"/>
  <c r="U107" i="6"/>
  <c r="AL108" i="7" s="1"/>
  <c r="H35" i="6"/>
  <c r="I35" i="6" s="1"/>
  <c r="AD306" i="6"/>
  <c r="AN307" i="7" s="1"/>
  <c r="G65" i="6"/>
  <c r="H308" i="6"/>
  <c r="I308" i="6" s="1"/>
  <c r="H65" i="6"/>
  <c r="I65" i="6" s="1"/>
  <c r="U153" i="6"/>
  <c r="AD153" i="6" s="1"/>
  <c r="AN154" i="7" s="1"/>
  <c r="U62" i="6"/>
  <c r="AL63" i="7" s="1"/>
  <c r="U32" i="6"/>
  <c r="AL33" i="7" s="1"/>
  <c r="H185" i="6"/>
  <c r="I185" i="6" s="1"/>
  <c r="G185" i="6"/>
  <c r="F185" i="6"/>
  <c r="U228" i="6"/>
  <c r="AL49" i="7"/>
  <c r="U124" i="6"/>
  <c r="AD124" i="6" s="1"/>
  <c r="AN125" i="7" s="1"/>
  <c r="H94" i="6"/>
  <c r="I94" i="6" s="1"/>
  <c r="AD310" i="6"/>
  <c r="AN311" i="7" s="1"/>
  <c r="AL311" i="7"/>
  <c r="F94" i="6"/>
  <c r="H290" i="6"/>
  <c r="I290" i="6" s="1"/>
  <c r="U272" i="6"/>
  <c r="U200" i="6"/>
  <c r="AL200" i="7"/>
  <c r="AD199" i="6"/>
  <c r="AN200" i="7" s="1"/>
  <c r="U321" i="6"/>
  <c r="AL322" i="7" s="1"/>
  <c r="H139" i="6"/>
  <c r="I139" i="6" s="1"/>
  <c r="F139" i="6"/>
  <c r="G139" i="6"/>
  <c r="H3" i="4"/>
  <c r="N3" i="4" s="1"/>
  <c r="M3" i="4"/>
  <c r="U123" i="6"/>
  <c r="U77" i="6"/>
  <c r="U230" i="6"/>
  <c r="U320" i="6"/>
  <c r="AL321" i="7" s="1"/>
  <c r="AL228" i="7"/>
  <c r="AD227" i="6"/>
  <c r="AN228" i="7" s="1"/>
  <c r="AL34" i="7"/>
  <c r="AD33" i="6"/>
  <c r="AN34" i="7" s="1"/>
  <c r="AL125" i="7"/>
  <c r="U49" i="6"/>
  <c r="F323" i="6"/>
  <c r="G323" i="6"/>
  <c r="H323" i="6"/>
  <c r="I323" i="6" s="1"/>
  <c r="G322" i="6"/>
  <c r="F322" i="6"/>
  <c r="H322" i="6"/>
  <c r="I322" i="6" s="1"/>
  <c r="F79" i="6"/>
  <c r="H79" i="6"/>
  <c r="I79" i="6" s="1"/>
  <c r="G79" i="6"/>
  <c r="AL79" i="7"/>
  <c r="AD78" i="6"/>
  <c r="AN79" i="7" s="1"/>
  <c r="AL138" i="7"/>
  <c r="AD137" i="6"/>
  <c r="AN138" i="7" s="1"/>
  <c r="F170" i="6"/>
  <c r="G170" i="6"/>
  <c r="H170" i="6"/>
  <c r="I170" i="6" s="1"/>
  <c r="G35" i="6"/>
  <c r="H259" i="6"/>
  <c r="I259" i="6" s="1"/>
  <c r="U17" i="6"/>
  <c r="U273" i="6"/>
  <c r="U213" i="6"/>
  <c r="K307" i="6"/>
  <c r="U93" i="6"/>
  <c r="AL198" i="7"/>
  <c r="AD197" i="6"/>
  <c r="AN198" i="7" s="1"/>
  <c r="U47" i="6"/>
  <c r="F35" i="6"/>
  <c r="F259" i="6"/>
  <c r="G308" i="6"/>
  <c r="F95" i="6"/>
  <c r="G95" i="6"/>
  <c r="H95" i="6"/>
  <c r="I95" i="6" s="1"/>
  <c r="U289" i="6"/>
  <c r="AD138" i="6"/>
  <c r="AN139" i="7" s="1"/>
  <c r="AL139" i="7"/>
  <c r="H34" i="6"/>
  <c r="F34" i="6"/>
  <c r="G34" i="6"/>
  <c r="G109" i="6"/>
  <c r="H109" i="6"/>
  <c r="I109" i="6" s="1"/>
  <c r="F109" i="6"/>
  <c r="F125" i="6"/>
  <c r="H125" i="6"/>
  <c r="I125" i="6" s="1"/>
  <c r="G125" i="6"/>
  <c r="AL276" i="7"/>
  <c r="AD275" i="6"/>
  <c r="AN276" i="7" s="1"/>
  <c r="AD155" i="6"/>
  <c r="AN156" i="7" s="1"/>
  <c r="AL156" i="7"/>
  <c r="J307" i="6"/>
  <c r="F38" i="5" s="1" a="1"/>
  <c r="F38" i="5" s="1"/>
  <c r="U168" i="6"/>
  <c r="F308" i="6"/>
  <c r="G260" i="6"/>
  <c r="H260" i="6"/>
  <c r="I260" i="6" s="1"/>
  <c r="F260" i="6"/>
  <c r="F110" i="6"/>
  <c r="G110" i="6"/>
  <c r="H110" i="6"/>
  <c r="I110" i="6" s="1"/>
  <c r="AD18" i="6"/>
  <c r="AN19" i="7" s="1"/>
  <c r="AL19" i="7"/>
  <c r="AD182" i="6"/>
  <c r="AN183" i="7" s="1"/>
  <c r="AL183" i="7"/>
  <c r="AD50" i="6"/>
  <c r="AN51" i="7" s="1"/>
  <c r="AL51" i="7"/>
  <c r="AD257" i="6"/>
  <c r="AN258" i="7" s="1"/>
  <c r="AL258" i="7"/>
  <c r="F215" i="6"/>
  <c r="G215" i="6"/>
  <c r="H215" i="6"/>
  <c r="I215" i="6" s="1"/>
  <c r="Y9" i="2"/>
  <c r="V9" i="2"/>
  <c r="X9" i="2" s="1"/>
  <c r="X8" i="2"/>
  <c r="AC8" i="2"/>
  <c r="AB8" i="2"/>
  <c r="D7" i="5" s="1"/>
  <c r="H28" i="5"/>
  <c r="H19" i="3" s="1"/>
  <c r="H32" i="5"/>
  <c r="H20" i="3" s="1"/>
  <c r="T34" i="4"/>
  <c r="H57" i="5"/>
  <c r="H22" i="3" s="1"/>
  <c r="I117" i="5"/>
  <c r="I73" i="5"/>
  <c r="I112" i="5"/>
  <c r="I51" i="5" a="1"/>
  <c r="I51" i="5" s="1"/>
  <c r="I145" i="5"/>
  <c r="I76" i="5"/>
  <c r="I131" i="5"/>
  <c r="I41" i="5" a="1"/>
  <c r="I41" i="5" s="1"/>
  <c r="I85" i="5"/>
  <c r="I109" i="5"/>
  <c r="I137" i="5"/>
  <c r="I79" i="5"/>
  <c r="I138" i="5"/>
  <c r="I68" i="5"/>
  <c r="I148" i="5"/>
  <c r="V3" i="4"/>
  <c r="I50" i="5" a="1"/>
  <c r="I50" i="5" s="1"/>
  <c r="I102" i="5"/>
  <c r="I125" i="5"/>
  <c r="I108" i="5"/>
  <c r="I65" i="5"/>
  <c r="I147" i="5"/>
  <c r="I94" i="5"/>
  <c r="I118" i="5"/>
  <c r="I78" i="5"/>
  <c r="I121" i="5"/>
  <c r="I97" i="5"/>
  <c r="J3" i="5"/>
  <c r="I92" i="5"/>
  <c r="I38" i="5" a="1"/>
  <c r="I38" i="5" s="1"/>
  <c r="I111" i="5"/>
  <c r="I67" i="5"/>
  <c r="I77" i="5"/>
  <c r="I93" i="5"/>
  <c r="I144" i="5"/>
  <c r="I82" i="5"/>
  <c r="I126" i="5"/>
  <c r="I95" i="5"/>
  <c r="I3" i="3"/>
  <c r="I96" i="5"/>
  <c r="I122" i="5"/>
  <c r="I60" i="5"/>
  <c r="I53" i="5" a="1"/>
  <c r="I53" i="5" s="1"/>
  <c r="I141" i="5"/>
  <c r="I72" i="5"/>
  <c r="I25" i="5" a="1"/>
  <c r="I25" i="5" s="1"/>
  <c r="I70" i="5"/>
  <c r="I54" i="5" a="1"/>
  <c r="I54" i="5" s="1"/>
  <c r="I115" i="5"/>
  <c r="I55" i="5" a="1"/>
  <c r="I55" i="5" s="1"/>
  <c r="I135" i="5"/>
  <c r="I90" i="5"/>
  <c r="I124" i="5"/>
  <c r="I132" i="5"/>
  <c r="I89" i="5"/>
  <c r="I129" i="5"/>
  <c r="I103" i="5"/>
  <c r="I26" i="5" a="1"/>
  <c r="I26" i="5" s="1"/>
  <c r="I104" i="5"/>
  <c r="I56" i="5" a="1"/>
  <c r="I56" i="5" s="1"/>
  <c r="I128" i="5"/>
  <c r="I62" i="5"/>
  <c r="I49" i="5" a="1"/>
  <c r="I49" i="5" s="1"/>
  <c r="I140" i="5"/>
  <c r="I61" i="5"/>
  <c r="I31" i="5" a="1"/>
  <c r="I31" i="5" s="1"/>
  <c r="I91" i="5"/>
  <c r="I98" i="5"/>
  <c r="I116" i="5"/>
  <c r="I48" i="5" a="1"/>
  <c r="I48" i="5" s="1"/>
  <c r="I107" i="5"/>
  <c r="I75" i="5"/>
  <c r="I113" i="5"/>
  <c r="I114" i="5"/>
  <c r="I127" i="5"/>
  <c r="I71" i="5"/>
  <c r="I63" i="5"/>
  <c r="I30" i="5" a="1"/>
  <c r="I30" i="5" s="1"/>
  <c r="I100" i="5"/>
  <c r="I143" i="5"/>
  <c r="I74" i="5"/>
  <c r="I123" i="5"/>
  <c r="I87" i="5"/>
  <c r="I88" i="5"/>
  <c r="I20" i="5" a="1"/>
  <c r="I20" i="5" s="1"/>
  <c r="I69" i="5"/>
  <c r="I106" i="5"/>
  <c r="I136" i="5"/>
  <c r="I66" i="5"/>
  <c r="I142" i="5"/>
  <c r="I80" i="5"/>
  <c r="I130" i="5"/>
  <c r="I99" i="5"/>
  <c r="I39" i="5" a="1"/>
  <c r="I39" i="5" s="1"/>
  <c r="I101" i="5"/>
  <c r="I110" i="5"/>
  <c r="I83" i="5"/>
  <c r="I52" i="5" a="1"/>
  <c r="I52" i="5" s="1"/>
  <c r="I119" i="5"/>
  <c r="I139" i="5"/>
  <c r="I81" i="5"/>
  <c r="I120" i="5"/>
  <c r="I64" i="5"/>
  <c r="I146" i="5"/>
  <c r="I84" i="5"/>
  <c r="I86" i="5"/>
  <c r="I105" i="5"/>
  <c r="I40" i="5" a="1"/>
  <c r="I40" i="5" s="1"/>
  <c r="I21" i="5" a="1"/>
  <c r="I21" i="5" s="1"/>
  <c r="I23" i="5" a="1"/>
  <c r="I23" i="5" s="1"/>
  <c r="I24" i="5" a="1"/>
  <c r="I24" i="5" s="1"/>
  <c r="H149" i="5"/>
  <c r="H25" i="3" s="1"/>
  <c r="I45" i="5" a="1"/>
  <c r="I45" i="5" s="1"/>
  <c r="I22" i="5" a="1"/>
  <c r="I22" i="5" s="1"/>
  <c r="U13" i="4"/>
  <c r="U12" i="4"/>
  <c r="U6" i="4"/>
  <c r="U25" i="4"/>
  <c r="U17" i="4"/>
  <c r="U11" i="4"/>
  <c r="U4" i="4"/>
  <c r="U8" i="4"/>
  <c r="U7" i="4"/>
  <c r="U16" i="4"/>
  <c r="U10" i="4"/>
  <c r="U20" i="4"/>
  <c r="U5" i="4"/>
  <c r="U23" i="4"/>
  <c r="U14" i="4"/>
  <c r="U22" i="4"/>
  <c r="U15" i="4"/>
  <c r="U21" i="4"/>
  <c r="U19" i="4"/>
  <c r="U9" i="4"/>
  <c r="U18" i="4"/>
  <c r="U24" i="4"/>
  <c r="H133" i="5"/>
  <c r="H24" i="3" s="1"/>
  <c r="B11" i="2"/>
  <c r="C10" i="2"/>
  <c r="AH10" i="2" s="1"/>
  <c r="T10" i="2" s="1"/>
  <c r="AL11" i="7"/>
  <c r="AD10" i="6"/>
  <c r="C28" i="5"/>
  <c r="C19" i="3" s="1"/>
  <c r="U19" i="6" l="1"/>
  <c r="U94" i="6"/>
  <c r="AD107" i="6"/>
  <c r="AN108" i="7" s="1"/>
  <c r="AL275" i="7"/>
  <c r="AD274" i="6"/>
  <c r="AN275" i="7" s="1"/>
  <c r="AD63" i="6"/>
  <c r="AN64" i="7" s="1"/>
  <c r="AL64" i="7"/>
  <c r="AD32" i="6"/>
  <c r="AN33" i="7" s="1"/>
  <c r="U35" i="6"/>
  <c r="AL36" i="7" s="1"/>
  <c r="AD321" i="6"/>
  <c r="AN322" i="7" s="1"/>
  <c r="U65" i="6"/>
  <c r="AD65" i="6" s="1"/>
  <c r="AN66" i="7" s="1"/>
  <c r="AD62" i="6"/>
  <c r="AN63" i="7" s="1"/>
  <c r="AD320" i="6"/>
  <c r="AN321" i="7" s="1"/>
  <c r="AL154" i="7"/>
  <c r="U185" i="6"/>
  <c r="AD185" i="6" s="1"/>
  <c r="AN186" i="7" s="1"/>
  <c r="U290" i="6"/>
  <c r="U308" i="6"/>
  <c r="AD308" i="6" s="1"/>
  <c r="AN309" i="7" s="1"/>
  <c r="U259" i="6"/>
  <c r="AD259" i="6" s="1"/>
  <c r="AN260" i="7" s="1"/>
  <c r="AL229" i="7"/>
  <c r="AD228" i="6"/>
  <c r="AN229" i="7" s="1"/>
  <c r="AL78" i="7"/>
  <c r="AD77" i="6"/>
  <c r="AN78" i="7" s="1"/>
  <c r="AD200" i="6"/>
  <c r="AN201" i="7" s="1"/>
  <c r="AL201" i="7"/>
  <c r="E38" i="5" a="1"/>
  <c r="E38" i="5" s="1"/>
  <c r="U322" i="6"/>
  <c r="AD322" i="6" s="1"/>
  <c r="AN323" i="7" s="1"/>
  <c r="AD123" i="6"/>
  <c r="AN124" i="7" s="1"/>
  <c r="AL124" i="7"/>
  <c r="AD272" i="6"/>
  <c r="AN273" i="7" s="1"/>
  <c r="AL273" i="7"/>
  <c r="U323" i="6"/>
  <c r="AL324" i="7" s="1"/>
  <c r="U139" i="6"/>
  <c r="U79" i="6"/>
  <c r="AD79" i="6" s="1"/>
  <c r="AN80" i="7" s="1"/>
  <c r="AD230" i="6"/>
  <c r="AN231" i="7" s="1"/>
  <c r="AL231" i="7"/>
  <c r="U110" i="6"/>
  <c r="AD47" i="6"/>
  <c r="AN48" i="7" s="1"/>
  <c r="AL48" i="7"/>
  <c r="D39" i="5" a="1"/>
  <c r="D39" i="5" s="1"/>
  <c r="K506" i="6"/>
  <c r="H39" i="5" a="1"/>
  <c r="H39" i="5" s="1"/>
  <c r="G39" i="5" a="1"/>
  <c r="G39" i="5" s="1"/>
  <c r="J506" i="6"/>
  <c r="AD49" i="6"/>
  <c r="AN50" i="7" s="1"/>
  <c r="AL50" i="7"/>
  <c r="C38" i="5" a="1"/>
  <c r="C38" i="5" s="1"/>
  <c r="G38" i="5" a="1"/>
  <c r="G38" i="5" s="1"/>
  <c r="U215" i="6"/>
  <c r="U260" i="6"/>
  <c r="AL169" i="7"/>
  <c r="AD168" i="6"/>
  <c r="AN169" i="7" s="1"/>
  <c r="U125" i="6"/>
  <c r="U95" i="6"/>
  <c r="AD213" i="6"/>
  <c r="AN214" i="7" s="1"/>
  <c r="AL214" i="7"/>
  <c r="U170" i="6"/>
  <c r="AL323" i="7"/>
  <c r="C39" i="5" a="1"/>
  <c r="C39" i="5" s="1"/>
  <c r="F307" i="6"/>
  <c r="G34" i="5" s="1" a="1"/>
  <c r="G34" i="5" s="1"/>
  <c r="H307" i="6"/>
  <c r="I307" i="6" s="1"/>
  <c r="G307" i="6"/>
  <c r="C35" i="5" s="1" a="1"/>
  <c r="C35" i="5" s="1"/>
  <c r="H38" i="5" a="1"/>
  <c r="H38" i="5" s="1"/>
  <c r="U109" i="6"/>
  <c r="AL290" i="7"/>
  <c r="AD289" i="6"/>
  <c r="AN290" i="7" s="1"/>
  <c r="D38" i="5" a="1"/>
  <c r="D38" i="5" s="1"/>
  <c r="AL274" i="7"/>
  <c r="AD273" i="6"/>
  <c r="AN274" i="7" s="1"/>
  <c r="F39" i="5" a="1"/>
  <c r="F39" i="5" s="1"/>
  <c r="I34" i="6"/>
  <c r="H36" i="5" a="1"/>
  <c r="H36" i="5" s="1"/>
  <c r="AL20" i="7"/>
  <c r="AD19" i="6"/>
  <c r="AN20" i="7" s="1"/>
  <c r="AD93" i="6"/>
  <c r="AN94" i="7" s="1"/>
  <c r="AL94" i="7"/>
  <c r="AD17" i="6"/>
  <c r="AN18" i="7" s="1"/>
  <c r="AL18" i="7"/>
  <c r="AD94" i="6"/>
  <c r="AN95" i="7" s="1"/>
  <c r="AL95" i="7"/>
  <c r="E39" i="5" a="1"/>
  <c r="E39" i="5" s="1"/>
  <c r="D14" i="5"/>
  <c r="D15" i="5" s="1"/>
  <c r="D7" i="3"/>
  <c r="D14" i="3" s="1"/>
  <c r="D15" i="3" s="1"/>
  <c r="V10" i="2"/>
  <c r="Y10" i="2"/>
  <c r="I32" i="5"/>
  <c r="I20" i="3" s="1"/>
  <c r="I57" i="5"/>
  <c r="I22" i="3" s="1"/>
  <c r="I28" i="5"/>
  <c r="I19" i="3" s="1"/>
  <c r="I133" i="5"/>
  <c r="I24" i="3" s="1"/>
  <c r="J111" i="5"/>
  <c r="J54" i="5" a="1"/>
  <c r="J54" i="5" s="1"/>
  <c r="J143" i="5"/>
  <c r="J79" i="5"/>
  <c r="W3" i="4"/>
  <c r="J92" i="5"/>
  <c r="J51" i="5" a="1"/>
  <c r="J51" i="5" s="1"/>
  <c r="J40" i="5" a="1"/>
  <c r="J40" i="5" s="1"/>
  <c r="J85" i="5"/>
  <c r="J136" i="5"/>
  <c r="J84" i="5"/>
  <c r="J39" i="5" a="1"/>
  <c r="J39" i="5" s="1"/>
  <c r="J3" i="3"/>
  <c r="J50" i="5" a="1"/>
  <c r="J50" i="5" s="1"/>
  <c r="J146" i="5"/>
  <c r="J132" i="5"/>
  <c r="J118" i="5"/>
  <c r="J99" i="5"/>
  <c r="J61" i="5"/>
  <c r="J68" i="5"/>
  <c r="J82" i="5"/>
  <c r="J114" i="5"/>
  <c r="J63" i="5"/>
  <c r="J106" i="5"/>
  <c r="J120" i="5"/>
  <c r="J141" i="5"/>
  <c r="J127" i="5"/>
  <c r="J103" i="5"/>
  <c r="J36" i="5" a="1"/>
  <c r="J36" i="5" s="1"/>
  <c r="J104" i="5"/>
  <c r="J126" i="5"/>
  <c r="J91" i="5"/>
  <c r="K3" i="5"/>
  <c r="J96" i="5"/>
  <c r="J55" i="5" a="1"/>
  <c r="J55" i="5" s="1"/>
  <c r="J113" i="5"/>
  <c r="J56" i="5" a="1"/>
  <c r="J56" i="5" s="1"/>
  <c r="J137" i="5"/>
  <c r="J64" i="5"/>
  <c r="J77" i="5"/>
  <c r="J144" i="5"/>
  <c r="J73" i="5"/>
  <c r="J128" i="5"/>
  <c r="J70" i="5"/>
  <c r="J62" i="5"/>
  <c r="J139" i="5"/>
  <c r="J125" i="5"/>
  <c r="J117" i="5"/>
  <c r="J38" i="5" a="1"/>
  <c r="J38" i="5" s="1"/>
  <c r="J130" i="5"/>
  <c r="J147" i="5"/>
  <c r="J60" i="5"/>
  <c r="J26" i="5" a="1"/>
  <c r="J26" i="5" s="1"/>
  <c r="J102" i="5"/>
  <c r="J25" i="5" a="1"/>
  <c r="J25" i="5" s="1"/>
  <c r="J87" i="5"/>
  <c r="J122" i="5"/>
  <c r="J121" i="5"/>
  <c r="J88" i="5"/>
  <c r="J21" i="5" a="1"/>
  <c r="J21" i="5" s="1"/>
  <c r="J105" i="5"/>
  <c r="J49" i="5" a="1"/>
  <c r="J49" i="5" s="1"/>
  <c r="J138" i="5"/>
  <c r="J86" i="5"/>
  <c r="J110" i="5"/>
  <c r="J24" i="5" a="1"/>
  <c r="J24" i="5" s="1"/>
  <c r="J80" i="5"/>
  <c r="J97" i="5"/>
  <c r="J78" i="5"/>
  <c r="J41" i="5" a="1"/>
  <c r="J41" i="5" s="1"/>
  <c r="J69" i="5"/>
  <c r="J65" i="5"/>
  <c r="J72" i="5"/>
  <c r="J101" i="5"/>
  <c r="J124" i="5"/>
  <c r="J53" i="5" a="1"/>
  <c r="J53" i="5" s="1"/>
  <c r="J98" i="5"/>
  <c r="J148" i="5"/>
  <c r="J83" i="5"/>
  <c r="J74" i="5"/>
  <c r="J145" i="5"/>
  <c r="J81" i="5"/>
  <c r="J129" i="5"/>
  <c r="J30" i="5" a="1"/>
  <c r="J30" i="5" s="1"/>
  <c r="J116" i="5"/>
  <c r="J95" i="5"/>
  <c r="J131" i="5"/>
  <c r="J20" i="5" a="1"/>
  <c r="J20" i="5" s="1"/>
  <c r="J108" i="5"/>
  <c r="J140" i="5"/>
  <c r="J31" i="5" a="1"/>
  <c r="J31" i="5" s="1"/>
  <c r="J119" i="5"/>
  <c r="J123" i="5"/>
  <c r="J34" i="5" a="1"/>
  <c r="J34" i="5" s="1"/>
  <c r="J100" i="5"/>
  <c r="J23" i="5" a="1"/>
  <c r="J23" i="5" s="1"/>
  <c r="J115" i="5"/>
  <c r="J109" i="5"/>
  <c r="J142" i="5"/>
  <c r="J75" i="5"/>
  <c r="J135" i="5"/>
  <c r="J67" i="5"/>
  <c r="J89" i="5"/>
  <c r="J90" i="5"/>
  <c r="J94" i="5"/>
  <c r="J76" i="5"/>
  <c r="J66" i="5"/>
  <c r="J71" i="5"/>
  <c r="J93" i="5"/>
  <c r="J52" i="5" a="1"/>
  <c r="J52" i="5" s="1"/>
  <c r="J107" i="5"/>
  <c r="J48" i="5" a="1"/>
  <c r="J48" i="5" s="1"/>
  <c r="J112" i="5"/>
  <c r="J22" i="5" a="1"/>
  <c r="J22" i="5" s="1"/>
  <c r="J35" i="5" a="1"/>
  <c r="J35" i="5" s="1"/>
  <c r="J45" i="5" a="1"/>
  <c r="J45" i="5" s="1"/>
  <c r="V9" i="4"/>
  <c r="V5" i="4"/>
  <c r="V15" i="4"/>
  <c r="V23" i="4"/>
  <c r="V22" i="4"/>
  <c r="V10" i="4"/>
  <c r="V8" i="4"/>
  <c r="V17" i="4"/>
  <c r="V25" i="4"/>
  <c r="V11" i="4"/>
  <c r="V7" i="4"/>
  <c r="V6" i="4"/>
  <c r="V20" i="4"/>
  <c r="V13" i="4"/>
  <c r="V12" i="4"/>
  <c r="V21" i="4"/>
  <c r="V4" i="4"/>
  <c r="V24" i="4"/>
  <c r="V16" i="4"/>
  <c r="V19" i="4"/>
  <c r="V18" i="4"/>
  <c r="V14" i="4"/>
  <c r="I149" i="5"/>
  <c r="I25" i="3" s="1"/>
  <c r="U34" i="4"/>
  <c r="B12" i="2"/>
  <c r="C11" i="2"/>
  <c r="AH11" i="2" s="1"/>
  <c r="T11" i="2" s="1"/>
  <c r="AN11" i="7"/>
  <c r="AD35" i="6" l="1"/>
  <c r="AN36" i="7" s="1"/>
  <c r="AL80" i="7"/>
  <c r="AD323" i="6"/>
  <c r="AN324" i="7" s="1"/>
  <c r="AL66" i="7"/>
  <c r="D34" i="5" a="1"/>
  <c r="D34" i="5" s="1"/>
  <c r="AL260" i="7"/>
  <c r="F36" i="5" a="1"/>
  <c r="F36" i="5" s="1"/>
  <c r="D36" i="5" a="1"/>
  <c r="D36" i="5" s="1"/>
  <c r="AL186" i="7"/>
  <c r="AL309" i="7"/>
  <c r="I36" i="5" a="1"/>
  <c r="I36" i="5" s="1"/>
  <c r="AL291" i="7"/>
  <c r="AD290" i="6"/>
  <c r="AN291" i="7" s="1"/>
  <c r="F34" i="5" a="1"/>
  <c r="F34" i="5" s="1"/>
  <c r="I34" i="5" a="1"/>
  <c r="I34" i="5" s="1"/>
  <c r="H506" i="6"/>
  <c r="G36" i="5" a="1"/>
  <c r="G36" i="5" s="1"/>
  <c r="F506" i="6"/>
  <c r="E36" i="5" a="1"/>
  <c r="E36" i="5" s="1"/>
  <c r="H34" i="5" a="1"/>
  <c r="H34" i="5" s="1"/>
  <c r="E34" i="5" a="1"/>
  <c r="E34" i="5" s="1"/>
  <c r="AL140" i="7"/>
  <c r="AD139" i="6"/>
  <c r="AN140" i="7" s="1"/>
  <c r="C37" i="5" a="1"/>
  <c r="C37" i="5" s="1"/>
  <c r="E37" i="5" a="1"/>
  <c r="E37" i="5" s="1"/>
  <c r="H37" i="5" a="1"/>
  <c r="H37" i="5" s="1"/>
  <c r="F37" i="5" a="1"/>
  <c r="F37" i="5" s="1"/>
  <c r="D37" i="5" a="1"/>
  <c r="D37" i="5" s="1"/>
  <c r="I506" i="6"/>
  <c r="G37" i="5" a="1"/>
  <c r="G37" i="5" s="1"/>
  <c r="I37" i="5" a="1"/>
  <c r="I37" i="5" s="1"/>
  <c r="J37" i="5" a="1"/>
  <c r="J37" i="5" s="1"/>
  <c r="J46" i="5" s="1"/>
  <c r="J21" i="3" s="1"/>
  <c r="U34" i="6"/>
  <c r="E35" i="5" a="1"/>
  <c r="E35" i="5" s="1"/>
  <c r="G35" i="5" a="1"/>
  <c r="G35" i="5" s="1"/>
  <c r="AL111" i="7"/>
  <c r="AD110" i="6"/>
  <c r="AN111" i="7" s="1"/>
  <c r="AD109" i="6"/>
  <c r="AN110" i="7" s="1"/>
  <c r="AL110" i="7"/>
  <c r="U307" i="6"/>
  <c r="AD170" i="6"/>
  <c r="AN171" i="7" s="1"/>
  <c r="AL171" i="7"/>
  <c r="I35" i="5" a="1"/>
  <c r="I35" i="5" s="1"/>
  <c r="G506" i="6"/>
  <c r="AD260" i="6"/>
  <c r="AN261" i="7" s="1"/>
  <c r="AL261" i="7"/>
  <c r="C34" i="5" a="1"/>
  <c r="C34" i="5" s="1"/>
  <c r="AL96" i="7"/>
  <c r="AD95" i="6"/>
  <c r="AN96" i="7" s="1"/>
  <c r="H35" i="5" a="1"/>
  <c r="H35" i="5" s="1"/>
  <c r="AD125" i="6"/>
  <c r="AN126" i="7" s="1"/>
  <c r="AL126" i="7"/>
  <c r="AL216" i="7"/>
  <c r="AD215" i="6"/>
  <c r="AN216" i="7" s="1"/>
  <c r="C36" i="5" a="1"/>
  <c r="C36" i="5" s="1"/>
  <c r="D35" i="5" a="1"/>
  <c r="D35" i="5" s="1"/>
  <c r="F35" i="5" a="1"/>
  <c r="F35" i="5" s="1"/>
  <c r="V11" i="2"/>
  <c r="X11" i="2" s="1"/>
  <c r="Y11" i="2"/>
  <c r="X10" i="2"/>
  <c r="K140" i="5"/>
  <c r="K82" i="5"/>
  <c r="K147" i="5"/>
  <c r="K95" i="5"/>
  <c r="K50" i="5" a="1"/>
  <c r="K50" i="5" s="1"/>
  <c r="K94" i="5"/>
  <c r="K143" i="5"/>
  <c r="K30" i="5" a="1"/>
  <c r="K30" i="5" s="1"/>
  <c r="K118" i="5"/>
  <c r="K74" i="5"/>
  <c r="K127" i="5"/>
  <c r="K87" i="5"/>
  <c r="K36" i="5" a="1"/>
  <c r="K36" i="5" s="1"/>
  <c r="K77" i="5"/>
  <c r="K88" i="5"/>
  <c r="K97" i="5"/>
  <c r="K119" i="5"/>
  <c r="K138" i="5"/>
  <c r="K101" i="5"/>
  <c r="K56" i="5" a="1"/>
  <c r="K56" i="5" s="1"/>
  <c r="K132" i="5"/>
  <c r="K92" i="5"/>
  <c r="K26" i="5" a="1"/>
  <c r="K26" i="5" s="1"/>
  <c r="K78" i="5"/>
  <c r="K51" i="5" a="1"/>
  <c r="K51" i="5" s="1"/>
  <c r="K85" i="5"/>
  <c r="K108" i="5"/>
  <c r="K79" i="5"/>
  <c r="K90" i="5"/>
  <c r="K55" i="5" a="1"/>
  <c r="K55" i="5" s="1"/>
  <c r="K141" i="5"/>
  <c r="K24" i="5" a="1"/>
  <c r="K24" i="5" s="1"/>
  <c r="L3" i="5"/>
  <c r="K52" i="5" a="1"/>
  <c r="K52" i="5" s="1"/>
  <c r="K63" i="5"/>
  <c r="K145" i="5"/>
  <c r="K81" i="5"/>
  <c r="K84" i="5"/>
  <c r="K144" i="5"/>
  <c r="K73" i="5"/>
  <c r="K136" i="5"/>
  <c r="K111" i="5"/>
  <c r="K114" i="5"/>
  <c r="K124" i="5"/>
  <c r="K93" i="5"/>
  <c r="K49" i="5" a="1"/>
  <c r="K49" i="5" s="1"/>
  <c r="K148" i="5"/>
  <c r="K83" i="5"/>
  <c r="K31" i="5" a="1"/>
  <c r="K31" i="5" s="1"/>
  <c r="K62" i="5"/>
  <c r="K72" i="5"/>
  <c r="K69" i="5"/>
  <c r="K91" i="5"/>
  <c r="K64" i="5"/>
  <c r="K100" i="5"/>
  <c r="K121" i="5"/>
  <c r="K106" i="5"/>
  <c r="K48" i="5" a="1"/>
  <c r="K48" i="5" s="1"/>
  <c r="K146" i="5"/>
  <c r="K75" i="5"/>
  <c r="K22" i="5" a="1"/>
  <c r="K22" i="5" s="1"/>
  <c r="K38" i="5" a="1"/>
  <c r="K38" i="5" s="1"/>
  <c r="K54" i="5" a="1"/>
  <c r="K54" i="5" s="1"/>
  <c r="K86" i="5"/>
  <c r="K96" i="5"/>
  <c r="K21" i="5" a="1"/>
  <c r="K21" i="5" s="1"/>
  <c r="K137" i="5"/>
  <c r="K67" i="5"/>
  <c r="K130" i="5"/>
  <c r="K126" i="5"/>
  <c r="K25" i="5" a="1"/>
  <c r="K25" i="5" s="1"/>
  <c r="K115" i="5"/>
  <c r="K20" i="5" a="1"/>
  <c r="K20" i="5" s="1"/>
  <c r="K107" i="5"/>
  <c r="K142" i="5"/>
  <c r="X3" i="4"/>
  <c r="K41" i="5" a="1"/>
  <c r="K41" i="5" s="1"/>
  <c r="K80" i="5"/>
  <c r="K120" i="5"/>
  <c r="K125" i="5"/>
  <c r="K39" i="5" a="1"/>
  <c r="K39" i="5" s="1"/>
  <c r="K61" i="5"/>
  <c r="K129" i="5"/>
  <c r="K98" i="5"/>
  <c r="K35" i="5" a="1"/>
  <c r="K35" i="5" s="1"/>
  <c r="K45" i="5" a="1"/>
  <c r="K45" i="5" s="1"/>
  <c r="K70" i="5"/>
  <c r="K117" i="5"/>
  <c r="K66" i="5"/>
  <c r="K123" i="5"/>
  <c r="K34" i="5" a="1"/>
  <c r="K34" i="5" s="1"/>
  <c r="K102" i="5"/>
  <c r="K23" i="5" a="1"/>
  <c r="K23" i="5" s="1"/>
  <c r="K76" i="5"/>
  <c r="K104" i="5"/>
  <c r="K71" i="5"/>
  <c r="K135" i="5"/>
  <c r="K65" i="5"/>
  <c r="K131" i="5"/>
  <c r="K112" i="5"/>
  <c r="K68" i="5"/>
  <c r="K105" i="5"/>
  <c r="K116" i="5"/>
  <c r="K139" i="5"/>
  <c r="K3" i="3"/>
  <c r="K40" i="5" a="1"/>
  <c r="K40" i="5" s="1"/>
  <c r="K110" i="5"/>
  <c r="K113" i="5"/>
  <c r="K53" i="5" a="1"/>
  <c r="K53" i="5" s="1"/>
  <c r="K128" i="5"/>
  <c r="K103" i="5"/>
  <c r="K60" i="5"/>
  <c r="K89" i="5"/>
  <c r="K99" i="5"/>
  <c r="K109" i="5"/>
  <c r="K122" i="5"/>
  <c r="K37" i="5" a="1"/>
  <c r="K37" i="5" s="1"/>
  <c r="J149" i="5"/>
  <c r="J25" i="3" s="1"/>
  <c r="W25" i="4"/>
  <c r="W13" i="4"/>
  <c r="W24" i="4"/>
  <c r="W16" i="4"/>
  <c r="W5" i="4"/>
  <c r="W19" i="4"/>
  <c r="W15" i="4"/>
  <c r="W11" i="4"/>
  <c r="W20" i="4"/>
  <c r="W12" i="4"/>
  <c r="W10" i="4"/>
  <c r="W4" i="4"/>
  <c r="W23" i="4"/>
  <c r="W8" i="4"/>
  <c r="W22" i="4"/>
  <c r="W7" i="4"/>
  <c r="W18" i="4"/>
  <c r="W6" i="4"/>
  <c r="W17" i="4"/>
  <c r="W21" i="4"/>
  <c r="W9" i="4"/>
  <c r="W14" i="4"/>
  <c r="J57" i="5"/>
  <c r="J22" i="3" s="1"/>
  <c r="J28" i="5"/>
  <c r="J133" i="5"/>
  <c r="J24" i="3" s="1"/>
  <c r="J32" i="5"/>
  <c r="J20" i="3" s="1"/>
  <c r="V34" i="4"/>
  <c r="B13" i="2"/>
  <c r="C12" i="2"/>
  <c r="AH12" i="2" s="1"/>
  <c r="T12" i="2" s="1"/>
  <c r="AB11" i="2"/>
  <c r="G7" i="5" s="1"/>
  <c r="C46" i="5" l="1"/>
  <c r="I46" i="5"/>
  <c r="I58" i="5" s="1"/>
  <c r="F46" i="5"/>
  <c r="F21" i="3" s="1"/>
  <c r="F23" i="3" s="1"/>
  <c r="F28" i="3" s="1"/>
  <c r="G46" i="5"/>
  <c r="G21" i="3" s="1"/>
  <c r="G23" i="3" s="1"/>
  <c r="G28" i="3" s="1"/>
  <c r="H46" i="5"/>
  <c r="H21" i="3" s="1"/>
  <c r="AL35" i="7"/>
  <c r="AD34" i="6"/>
  <c r="U506" i="6"/>
  <c r="E46" i="5"/>
  <c r="E21" i="3" s="1"/>
  <c r="E23" i="3" s="1"/>
  <c r="E28" i="3" s="1"/>
  <c r="AL308" i="7"/>
  <c r="AD307" i="6"/>
  <c r="AN308" i="7" s="1"/>
  <c r="D46" i="5"/>
  <c r="D21" i="3" s="1"/>
  <c r="D23" i="3" s="1"/>
  <c r="D28" i="3" s="1"/>
  <c r="W34" i="4"/>
  <c r="Y12" i="2"/>
  <c r="V12" i="2"/>
  <c r="AC11" i="2"/>
  <c r="K32" i="5"/>
  <c r="K20" i="3" s="1"/>
  <c r="K57" i="5"/>
  <c r="K22" i="3" s="1"/>
  <c r="J19" i="3"/>
  <c r="J23" i="3" s="1"/>
  <c r="J28" i="3" s="1"/>
  <c r="J58" i="5"/>
  <c r="J152" i="5" s="1"/>
  <c r="AE14" i="2" s="1"/>
  <c r="L141" i="5"/>
  <c r="L37" i="5" a="1"/>
  <c r="L37" i="5" s="1"/>
  <c r="L88" i="5"/>
  <c r="L115" i="5"/>
  <c r="L79" i="5"/>
  <c r="L129" i="5"/>
  <c r="L116" i="5"/>
  <c r="L45" i="5" a="1"/>
  <c r="L45" i="5" s="1"/>
  <c r="L86" i="5"/>
  <c r="L138" i="5"/>
  <c r="L53" i="5" a="1"/>
  <c r="L53" i="5" s="1"/>
  <c r="L98" i="5"/>
  <c r="L3" i="3"/>
  <c r="L109" i="5"/>
  <c r="L71" i="5"/>
  <c r="L143" i="5"/>
  <c r="L119" i="5"/>
  <c r="L35" i="5" a="1"/>
  <c r="L35" i="5" s="1"/>
  <c r="L80" i="5"/>
  <c r="L91" i="5"/>
  <c r="L51" i="5" a="1"/>
  <c r="L51" i="5" s="1"/>
  <c r="L114" i="5"/>
  <c r="L106" i="5"/>
  <c r="L30" i="5" a="1"/>
  <c r="L30" i="5" s="1"/>
  <c r="L52" i="5" a="1"/>
  <c r="L52" i="5" s="1"/>
  <c r="L95" i="5"/>
  <c r="L25" i="5" a="1"/>
  <c r="L25" i="5" s="1"/>
  <c r="L70" i="5"/>
  <c r="L31" i="5" a="1"/>
  <c r="L31" i="5" s="1"/>
  <c r="L50" i="5" a="1"/>
  <c r="L50" i="5" s="1"/>
  <c r="L135" i="5"/>
  <c r="L49" i="5" a="1"/>
  <c r="L49" i="5" s="1"/>
  <c r="L121" i="5"/>
  <c r="L102" i="5"/>
  <c r="L39" i="5" a="1"/>
  <c r="L39" i="5" s="1"/>
  <c r="L139" i="5"/>
  <c r="L96" i="5"/>
  <c r="Y3" i="4"/>
  <c r="L81" i="5"/>
  <c r="L100" i="5"/>
  <c r="L21" i="5" a="1"/>
  <c r="L21" i="5" s="1"/>
  <c r="L60" i="5"/>
  <c r="L94" i="5"/>
  <c r="L89" i="5"/>
  <c r="L69" i="5"/>
  <c r="L90" i="5"/>
  <c r="L85" i="5"/>
  <c r="L36" i="5" a="1"/>
  <c r="L36" i="5" s="1"/>
  <c r="L62" i="5"/>
  <c r="L126" i="5"/>
  <c r="L105" i="5"/>
  <c r="L130" i="5"/>
  <c r="L99" i="5"/>
  <c r="L122" i="5"/>
  <c r="L38" i="5" a="1"/>
  <c r="L38" i="5" s="1"/>
  <c r="L117" i="5"/>
  <c r="L124" i="5"/>
  <c r="L123" i="5"/>
  <c r="L83" i="5"/>
  <c r="L63" i="5"/>
  <c r="L131" i="5"/>
  <c r="L108" i="5"/>
  <c r="M3" i="5"/>
  <c r="L110" i="5"/>
  <c r="L78" i="5"/>
  <c r="L140" i="5"/>
  <c r="L55" i="5" a="1"/>
  <c r="L55" i="5" s="1"/>
  <c r="L84" i="5"/>
  <c r="L128" i="5"/>
  <c r="L75" i="5"/>
  <c r="L68" i="5"/>
  <c r="L144" i="5"/>
  <c r="L65" i="5"/>
  <c r="L48" i="5" a="1"/>
  <c r="L48" i="5" s="1"/>
  <c r="L104" i="5"/>
  <c r="L61" i="5"/>
  <c r="L107" i="5"/>
  <c r="L34" i="5" a="1"/>
  <c r="L34" i="5" s="1"/>
  <c r="L64" i="5"/>
  <c r="L146" i="5"/>
  <c r="L82" i="5"/>
  <c r="L22" i="5" a="1"/>
  <c r="L22" i="5" s="1"/>
  <c r="L101" i="5"/>
  <c r="L148" i="5"/>
  <c r="L41" i="5" a="1"/>
  <c r="L41" i="5" s="1"/>
  <c r="L72" i="5"/>
  <c r="L145" i="5"/>
  <c r="L74" i="5"/>
  <c r="L54" i="5" a="1"/>
  <c r="L54" i="5" s="1"/>
  <c r="L113" i="5"/>
  <c r="L120" i="5"/>
  <c r="L147" i="5"/>
  <c r="L125" i="5"/>
  <c r="L56" i="5" a="1"/>
  <c r="L56" i="5" s="1"/>
  <c r="L127" i="5"/>
  <c r="L24" i="5" a="1"/>
  <c r="L24" i="5" s="1"/>
  <c r="L77" i="5"/>
  <c r="L142" i="5"/>
  <c r="L92" i="5"/>
  <c r="L20" i="5" a="1"/>
  <c r="L20" i="5" s="1"/>
  <c r="L40" i="5" a="1"/>
  <c r="L40" i="5" s="1"/>
  <c r="L76" i="5"/>
  <c r="L111" i="5"/>
  <c r="L23" i="5" a="1"/>
  <c r="L23" i="5" s="1"/>
  <c r="L93" i="5"/>
  <c r="L118" i="5"/>
  <c r="L66" i="5"/>
  <c r="L97" i="5"/>
  <c r="L73" i="5"/>
  <c r="L132" i="5"/>
  <c r="L67" i="5"/>
  <c r="L136" i="5"/>
  <c r="L103" i="5"/>
  <c r="L112" i="5"/>
  <c r="L26" i="5" a="1"/>
  <c r="L26" i="5" s="1"/>
  <c r="L137" i="5"/>
  <c r="L87" i="5"/>
  <c r="K133" i="5"/>
  <c r="K24" i="3" s="1"/>
  <c r="X20" i="4"/>
  <c r="X6" i="4"/>
  <c r="X16" i="4"/>
  <c r="X18" i="4"/>
  <c r="X12" i="4"/>
  <c r="X10" i="4"/>
  <c r="X5" i="4"/>
  <c r="X17" i="4"/>
  <c r="X7" i="4"/>
  <c r="X9" i="4"/>
  <c r="X15" i="4"/>
  <c r="X11" i="4"/>
  <c r="X23" i="4"/>
  <c r="X22" i="4"/>
  <c r="X19" i="4"/>
  <c r="X14" i="4"/>
  <c r="X25" i="4"/>
  <c r="X24" i="4"/>
  <c r="X4" i="4"/>
  <c r="X21" i="4"/>
  <c r="X13" i="4"/>
  <c r="X8" i="4"/>
  <c r="K46" i="5"/>
  <c r="K21" i="3" s="1"/>
  <c r="K149" i="5"/>
  <c r="K25" i="3" s="1"/>
  <c r="K28" i="5"/>
  <c r="K19" i="3" s="1"/>
  <c r="C13" i="2"/>
  <c r="AH13" i="2" s="1"/>
  <c r="T13" i="2" s="1"/>
  <c r="B14" i="2"/>
  <c r="G7" i="3"/>
  <c r="G14" i="3" s="1"/>
  <c r="G15" i="3" s="1"/>
  <c r="G14" i="5"/>
  <c r="G15" i="5" s="1"/>
  <c r="F58" i="5" l="1"/>
  <c r="F152" i="5" s="1"/>
  <c r="AE10" i="2" s="1"/>
  <c r="AL507" i="7"/>
  <c r="E58" i="5"/>
  <c r="E152" i="5" s="1"/>
  <c r="AE9" i="2" s="1"/>
  <c r="G58" i="5"/>
  <c r="G152" i="5" s="1"/>
  <c r="AE11" i="2" s="1"/>
  <c r="D58" i="5"/>
  <c r="D152" i="5" s="1"/>
  <c r="AE8" i="2" s="1"/>
  <c r="H58" i="5"/>
  <c r="H152" i="5" s="1"/>
  <c r="AE12" i="2" s="1"/>
  <c r="I21" i="3"/>
  <c r="I23" i="3" s="1"/>
  <c r="I28" i="3" s="1"/>
  <c r="I152" i="5"/>
  <c r="AE13" i="2" s="1"/>
  <c r="H23" i="3"/>
  <c r="H28" i="3" s="1"/>
  <c r="AN35" i="7"/>
  <c r="AN507" i="7" s="1"/>
  <c r="C39" i="4" s="1"/>
  <c r="C40" i="4" s="1"/>
  <c r="AD506" i="6"/>
  <c r="C21" i="3"/>
  <c r="C58" i="5"/>
  <c r="C152" i="5" s="1"/>
  <c r="AE7" i="2" s="1"/>
  <c r="Y13" i="2"/>
  <c r="V13" i="2"/>
  <c r="X12" i="2"/>
  <c r="L149" i="5"/>
  <c r="L25" i="3" s="1"/>
  <c r="L46" i="5"/>
  <c r="L21" i="3" s="1"/>
  <c r="L133" i="5"/>
  <c r="L24" i="3" s="1"/>
  <c r="X34" i="4"/>
  <c r="L28" i="5"/>
  <c r="L19" i="3" s="1"/>
  <c r="M100" i="5"/>
  <c r="M52" i="5" a="1"/>
  <c r="M52" i="5" s="1"/>
  <c r="M118" i="5"/>
  <c r="M61" i="5"/>
  <c r="M113" i="5"/>
  <c r="M41" i="5" a="1"/>
  <c r="M41" i="5" s="1"/>
  <c r="M90" i="5"/>
  <c r="M22" i="5" a="1"/>
  <c r="M22" i="5" s="1"/>
  <c r="M76" i="5"/>
  <c r="M122" i="5"/>
  <c r="M31" i="5" a="1"/>
  <c r="M31" i="5" s="1"/>
  <c r="M101" i="5"/>
  <c r="M68" i="5"/>
  <c r="M53" i="5" a="1"/>
  <c r="M53" i="5" s="1"/>
  <c r="M110" i="5"/>
  <c r="M56" i="5" a="1"/>
  <c r="M56" i="5" s="1"/>
  <c r="M111" i="5"/>
  <c r="M147" i="5"/>
  <c r="M92" i="5"/>
  <c r="M40" i="5" a="1"/>
  <c r="M40" i="5" s="1"/>
  <c r="M108" i="5"/>
  <c r="M60" i="5"/>
  <c r="M104" i="5"/>
  <c r="M25" i="5" a="1"/>
  <c r="M25" i="5" s="1"/>
  <c r="M99" i="5"/>
  <c r="M127" i="5"/>
  <c r="M66" i="5"/>
  <c r="M125" i="5"/>
  <c r="M103" i="5"/>
  <c r="M45" i="5" a="1"/>
  <c r="M45" i="5" s="1"/>
  <c r="M117" i="5"/>
  <c r="M35" i="5" a="1"/>
  <c r="M35" i="5" s="1"/>
  <c r="M89" i="5"/>
  <c r="M126" i="5"/>
  <c r="M132" i="5"/>
  <c r="M123" i="5"/>
  <c r="M136" i="5"/>
  <c r="M82" i="5"/>
  <c r="M50" i="5" a="1"/>
  <c r="M50" i="5" s="1"/>
  <c r="M71" i="5"/>
  <c r="M48" i="5" a="1"/>
  <c r="M48" i="5" s="1"/>
  <c r="M94" i="5"/>
  <c r="M85" i="5"/>
  <c r="M34" i="5" a="1"/>
  <c r="M34" i="5" s="1"/>
  <c r="M106" i="5"/>
  <c r="M145" i="5"/>
  <c r="M75" i="5"/>
  <c r="M24" i="5" a="1"/>
  <c r="M24" i="5" s="1"/>
  <c r="M96" i="5"/>
  <c r="M65" i="5"/>
  <c r="M95" i="5"/>
  <c r="Z3" i="4"/>
  <c r="M78" i="5"/>
  <c r="M23" i="5" a="1"/>
  <c r="M23" i="5" s="1"/>
  <c r="M91" i="5"/>
  <c r="M26" i="5" a="1"/>
  <c r="M26" i="5" s="1"/>
  <c r="N3" i="5"/>
  <c r="M124" i="5"/>
  <c r="M39" i="5" a="1"/>
  <c r="M39" i="5" s="1"/>
  <c r="M97" i="5"/>
  <c r="M87" i="5"/>
  <c r="M105" i="5"/>
  <c r="M116" i="5"/>
  <c r="M142" i="5"/>
  <c r="M80" i="5"/>
  <c r="M146" i="5"/>
  <c r="M83" i="5"/>
  <c r="M141" i="5"/>
  <c r="M72" i="5"/>
  <c r="M3" i="3"/>
  <c r="M93" i="5"/>
  <c r="M121" i="5"/>
  <c r="M70" i="5"/>
  <c r="M148" i="5"/>
  <c r="M77" i="5"/>
  <c r="M119" i="5"/>
  <c r="M36" i="5" a="1"/>
  <c r="M36" i="5" s="1"/>
  <c r="M38" i="5" a="1"/>
  <c r="M38" i="5" s="1"/>
  <c r="M20" i="5" a="1"/>
  <c r="M20" i="5" s="1"/>
  <c r="M115" i="5"/>
  <c r="M120" i="5"/>
  <c r="M64" i="5"/>
  <c r="M130" i="5"/>
  <c r="M84" i="5"/>
  <c r="M131" i="5"/>
  <c r="M55" i="5" a="1"/>
  <c r="M55" i="5" s="1"/>
  <c r="M138" i="5"/>
  <c r="M67" i="5"/>
  <c r="M109" i="5"/>
  <c r="M37" i="5" a="1"/>
  <c r="M37" i="5" s="1"/>
  <c r="M112" i="5"/>
  <c r="M74" i="5"/>
  <c r="M114" i="5"/>
  <c r="M21" i="5" a="1"/>
  <c r="M21" i="5" s="1"/>
  <c r="M79" i="5"/>
  <c r="M140" i="5"/>
  <c r="M69" i="5"/>
  <c r="M51" i="5" a="1"/>
  <c r="M51" i="5" s="1"/>
  <c r="M129" i="5"/>
  <c r="M144" i="5"/>
  <c r="M81" i="5"/>
  <c r="M54" i="5" a="1"/>
  <c r="M54" i="5" s="1"/>
  <c r="M98" i="5"/>
  <c r="M137" i="5"/>
  <c r="M128" i="5"/>
  <c r="M62" i="5"/>
  <c r="M135" i="5"/>
  <c r="M88" i="5"/>
  <c r="M107" i="5"/>
  <c r="M63" i="5"/>
  <c r="M143" i="5"/>
  <c r="M73" i="5"/>
  <c r="M139" i="5"/>
  <c r="M49" i="5" a="1"/>
  <c r="M49" i="5" s="1"/>
  <c r="M102" i="5"/>
  <c r="M30" i="5" a="1"/>
  <c r="M30" i="5" s="1"/>
  <c r="M86" i="5"/>
  <c r="L57" i="5"/>
  <c r="L22" i="3" s="1"/>
  <c r="Y18" i="4"/>
  <c r="Y16" i="4"/>
  <c r="Y10" i="4"/>
  <c r="Y11" i="4"/>
  <c r="Y21" i="4"/>
  <c r="Y22" i="4"/>
  <c r="Y17" i="4"/>
  <c r="Y25" i="4"/>
  <c r="Y24" i="4"/>
  <c r="Y12" i="4"/>
  <c r="Y8" i="4"/>
  <c r="Y5" i="4"/>
  <c r="Y9" i="4"/>
  <c r="Y7" i="4"/>
  <c r="Y20" i="4"/>
  <c r="Y19" i="4"/>
  <c r="Y6" i="4"/>
  <c r="Y15" i="4"/>
  <c r="Y14" i="4"/>
  <c r="Y13" i="4"/>
  <c r="Y4" i="4"/>
  <c r="Y23" i="4"/>
  <c r="K58" i="5"/>
  <c r="K152" i="5" s="1"/>
  <c r="AE15" i="2" s="1"/>
  <c r="L32" i="5"/>
  <c r="L20" i="3" s="1"/>
  <c r="K23" i="3"/>
  <c r="K28" i="3" s="1"/>
  <c r="B15" i="2"/>
  <c r="C14" i="2"/>
  <c r="AH14" i="2" s="1"/>
  <c r="T14" i="2" s="1"/>
  <c r="C23" i="3" l="1"/>
  <c r="C28" i="3" s="1"/>
  <c r="Y34" i="4"/>
  <c r="V14" i="2"/>
  <c r="Y14" i="2"/>
  <c r="X13" i="2"/>
  <c r="M32" i="5"/>
  <c r="M20" i="3" s="1"/>
  <c r="M57" i="5"/>
  <c r="M22" i="3" s="1"/>
  <c r="Z16" i="4"/>
  <c r="Z10" i="4"/>
  <c r="Z23" i="4"/>
  <c r="Z5" i="4"/>
  <c r="Z12" i="4"/>
  <c r="Z19" i="4"/>
  <c r="Z20" i="4"/>
  <c r="Z14" i="4"/>
  <c r="Z9" i="4"/>
  <c r="Z4" i="4"/>
  <c r="Z17" i="4"/>
  <c r="Z8" i="4"/>
  <c r="Z15" i="4"/>
  <c r="Z11" i="4"/>
  <c r="Z24" i="4"/>
  <c r="Z7" i="4"/>
  <c r="Z25" i="4"/>
  <c r="Z22" i="4"/>
  <c r="Z13" i="4"/>
  <c r="Z18" i="4"/>
  <c r="Z6" i="4"/>
  <c r="Z21" i="4"/>
  <c r="L58" i="5"/>
  <c r="L152" i="5" s="1"/>
  <c r="AE16" i="2" s="1"/>
  <c r="M149" i="5"/>
  <c r="M25" i="3" s="1"/>
  <c r="L23" i="3"/>
  <c r="L28" i="3" s="1"/>
  <c r="M133" i="5"/>
  <c r="M24" i="3" s="1"/>
  <c r="N107" i="5"/>
  <c r="N51" i="5" a="1"/>
  <c r="N51" i="5" s="1"/>
  <c r="N120" i="5"/>
  <c r="N45" i="5" a="1"/>
  <c r="N45" i="5" s="1"/>
  <c r="N94" i="5"/>
  <c r="N20" i="5" a="1"/>
  <c r="N20" i="5" s="1"/>
  <c r="N83" i="5"/>
  <c r="N125" i="5"/>
  <c r="N69" i="5"/>
  <c r="N126" i="5"/>
  <c r="N101" i="5"/>
  <c r="N39" i="5" a="1"/>
  <c r="N39" i="5" s="1"/>
  <c r="N110" i="5"/>
  <c r="N40" i="5" a="1"/>
  <c r="N40" i="5" s="1"/>
  <c r="N103" i="5"/>
  <c r="N31" i="5" a="1"/>
  <c r="N31" i="5" s="1"/>
  <c r="N71" i="5"/>
  <c r="N124" i="5"/>
  <c r="N56" i="5" a="1"/>
  <c r="N56" i="5" s="1"/>
  <c r="N61" i="5"/>
  <c r="N78" i="5"/>
  <c r="AA3" i="4"/>
  <c r="N123" i="5"/>
  <c r="N93" i="5"/>
  <c r="N38" i="5" a="1"/>
  <c r="N38" i="5" s="1"/>
  <c r="N96" i="5"/>
  <c r="N22" i="5" a="1"/>
  <c r="N22" i="5" s="1"/>
  <c r="N91" i="5"/>
  <c r="N121" i="5"/>
  <c r="N145" i="5"/>
  <c r="N84" i="5"/>
  <c r="N131" i="5"/>
  <c r="N109" i="5"/>
  <c r="N23" i="5" a="1"/>
  <c r="N23" i="5" s="1"/>
  <c r="N105" i="5"/>
  <c r="N34" i="5" a="1"/>
  <c r="N34" i="5" s="1"/>
  <c r="N85" i="5"/>
  <c r="N122" i="5"/>
  <c r="N88" i="5"/>
  <c r="N139" i="5"/>
  <c r="N74" i="5"/>
  <c r="N148" i="5"/>
  <c r="N81" i="5"/>
  <c r="N3" i="3"/>
  <c r="N75" i="5"/>
  <c r="N146" i="5"/>
  <c r="N76" i="5"/>
  <c r="N64" i="5"/>
  <c r="N66" i="5"/>
  <c r="N128" i="5"/>
  <c r="N50" i="5" a="1"/>
  <c r="N50" i="5" s="1"/>
  <c r="N140" i="5"/>
  <c r="N53" i="5" a="1"/>
  <c r="N53" i="5" s="1"/>
  <c r="N112" i="5"/>
  <c r="N30" i="5" a="1"/>
  <c r="N30" i="5" s="1"/>
  <c r="O3" i="5"/>
  <c r="N143" i="5"/>
  <c r="N82" i="5"/>
  <c r="N26" i="5" a="1"/>
  <c r="N26" i="5" s="1"/>
  <c r="N95" i="5"/>
  <c r="N115" i="5"/>
  <c r="N144" i="5"/>
  <c r="N73" i="5"/>
  <c r="N25" i="5" a="1"/>
  <c r="N25" i="5" s="1"/>
  <c r="N90" i="5"/>
  <c r="N63" i="5"/>
  <c r="N136" i="5"/>
  <c r="N48" i="5" a="1"/>
  <c r="N48" i="5" s="1"/>
  <c r="N77" i="5"/>
  <c r="N129" i="5"/>
  <c r="N49" i="5" a="1"/>
  <c r="N49" i="5" s="1"/>
  <c r="N80" i="5"/>
  <c r="N37" i="5" a="1"/>
  <c r="N37" i="5" s="1"/>
  <c r="N100" i="5"/>
  <c r="N52" i="5" a="1"/>
  <c r="N52" i="5" s="1"/>
  <c r="N119" i="5"/>
  <c r="N68" i="5"/>
  <c r="N130" i="5"/>
  <c r="N117" i="5"/>
  <c r="N135" i="5"/>
  <c r="N65" i="5"/>
  <c r="N113" i="5"/>
  <c r="N67" i="5"/>
  <c r="N24" i="5" a="1"/>
  <c r="N24" i="5" s="1"/>
  <c r="N54" i="5" a="1"/>
  <c r="N54" i="5" s="1"/>
  <c r="N127" i="5"/>
  <c r="N141" i="5"/>
  <c r="N114" i="5"/>
  <c r="N138" i="5"/>
  <c r="N132" i="5"/>
  <c r="N108" i="5"/>
  <c r="N116" i="5"/>
  <c r="N142" i="5"/>
  <c r="N55" i="5" a="1"/>
  <c r="N55" i="5" s="1"/>
  <c r="N92" i="5"/>
  <c r="N35" i="5" a="1"/>
  <c r="N35" i="5" s="1"/>
  <c r="N97" i="5"/>
  <c r="N106" i="5"/>
  <c r="N70" i="5"/>
  <c r="N137" i="5"/>
  <c r="N72" i="5"/>
  <c r="N118" i="5"/>
  <c r="N41" i="5" a="1"/>
  <c r="N41" i="5" s="1"/>
  <c r="N99" i="5"/>
  <c r="N21" i="5" a="1"/>
  <c r="N21" i="5" s="1"/>
  <c r="N87" i="5"/>
  <c r="N98" i="5"/>
  <c r="N62" i="5"/>
  <c r="N111" i="5"/>
  <c r="N104" i="5"/>
  <c r="N147" i="5"/>
  <c r="N79" i="5"/>
  <c r="N86" i="5"/>
  <c r="N60" i="5"/>
  <c r="N36" i="5" a="1"/>
  <c r="N36" i="5" s="1"/>
  <c r="N89" i="5"/>
  <c r="N102" i="5"/>
  <c r="M46" i="5"/>
  <c r="M21" i="3" s="1"/>
  <c r="M28" i="5"/>
  <c r="M19" i="3" s="1"/>
  <c r="B16" i="2"/>
  <c r="C15" i="2"/>
  <c r="AH15" i="2" s="1"/>
  <c r="T15" i="2" s="1"/>
  <c r="M58" i="5" l="1"/>
  <c r="M152" i="5" s="1"/>
  <c r="AE17" i="2" s="1"/>
  <c r="V15" i="2"/>
  <c r="Y15" i="2"/>
  <c r="X14" i="2"/>
  <c r="AC14" i="2"/>
  <c r="X15" i="2"/>
  <c r="AB14" i="2"/>
  <c r="J7" i="5" s="1"/>
  <c r="J14" i="5" s="1"/>
  <c r="J15" i="5" s="1"/>
  <c r="N32" i="5"/>
  <c r="N20" i="3" s="1"/>
  <c r="N149" i="5"/>
  <c r="N25" i="3" s="1"/>
  <c r="N57" i="5"/>
  <c r="N22" i="3" s="1"/>
  <c r="O146" i="5"/>
  <c r="O75" i="5"/>
  <c r="O22" i="5" a="1"/>
  <c r="O22" i="5" s="1"/>
  <c r="O81" i="5"/>
  <c r="O125" i="5"/>
  <c r="O53" i="5" a="1"/>
  <c r="O53" i="5" s="1"/>
  <c r="O141" i="5"/>
  <c r="O78" i="5"/>
  <c r="O109" i="5"/>
  <c r="O52" i="5" a="1"/>
  <c r="O52" i="5" s="1"/>
  <c r="O84" i="5"/>
  <c r="O113" i="5"/>
  <c r="O34" i="5" a="1"/>
  <c r="O34" i="5" s="1"/>
  <c r="O37" i="5" a="1"/>
  <c r="O37" i="5" s="1"/>
  <c r="O106" i="5"/>
  <c r="O112" i="5"/>
  <c r="O117" i="5"/>
  <c r="P3" i="5"/>
  <c r="O96" i="5"/>
  <c r="O137" i="5"/>
  <c r="O67" i="5"/>
  <c r="O126" i="5"/>
  <c r="O71" i="5"/>
  <c r="O143" i="5"/>
  <c r="O80" i="5"/>
  <c r="O135" i="5"/>
  <c r="O66" i="5"/>
  <c r="O118" i="5"/>
  <c r="O48" i="5" a="1"/>
  <c r="O48" i="5" s="1"/>
  <c r="O115" i="5"/>
  <c r="O55" i="5" a="1"/>
  <c r="O55" i="5" s="1"/>
  <c r="O123" i="5"/>
  <c r="O61" i="5"/>
  <c r="O139" i="5"/>
  <c r="O70" i="5"/>
  <c r="O54" i="5" a="1"/>
  <c r="O54" i="5" s="1"/>
  <c r="O108" i="5"/>
  <c r="O23" i="5" a="1"/>
  <c r="O23" i="5" s="1"/>
  <c r="O107" i="5"/>
  <c r="O145" i="5"/>
  <c r="O82" i="5"/>
  <c r="O56" i="5" a="1"/>
  <c r="O56" i="5" s="1"/>
  <c r="O136" i="5"/>
  <c r="O38" i="5" a="1"/>
  <c r="O38" i="5" s="1"/>
  <c r="O97" i="5"/>
  <c r="O142" i="5"/>
  <c r="O72" i="5"/>
  <c r="O68" i="5"/>
  <c r="O62" i="5"/>
  <c r="O41" i="5" a="1"/>
  <c r="O41" i="5" s="1"/>
  <c r="O99" i="5"/>
  <c r="O69" i="5"/>
  <c r="O111" i="5"/>
  <c r="O120" i="5"/>
  <c r="O76" i="5"/>
  <c r="O138" i="5"/>
  <c r="O40" i="5" a="1"/>
  <c r="O40" i="5" s="1"/>
  <c r="O110" i="5"/>
  <c r="O20" i="5" a="1"/>
  <c r="O20" i="5" s="1"/>
  <c r="O114" i="5"/>
  <c r="O131" i="5"/>
  <c r="O103" i="5"/>
  <c r="O60" i="5"/>
  <c r="O140" i="5"/>
  <c r="O49" i="5" a="1"/>
  <c r="O49" i="5" s="1"/>
  <c r="O101" i="5"/>
  <c r="O21" i="5" a="1"/>
  <c r="O21" i="5" s="1"/>
  <c r="O89" i="5"/>
  <c r="O24" i="5" a="1"/>
  <c r="O24" i="5" s="1"/>
  <c r="O85" i="5"/>
  <c r="O124" i="5"/>
  <c r="O87" i="5"/>
  <c r="O35" i="5" a="1"/>
  <c r="O35" i="5" s="1"/>
  <c r="O102" i="5"/>
  <c r="O121" i="5"/>
  <c r="O147" i="5"/>
  <c r="O77" i="5"/>
  <c r="O127" i="5"/>
  <c r="AB3" i="4"/>
  <c r="O79" i="5"/>
  <c r="O65" i="5"/>
  <c r="O148" i="5"/>
  <c r="O83" i="5"/>
  <c r="O51" i="5" a="1"/>
  <c r="O51" i="5" s="1"/>
  <c r="O119" i="5"/>
  <c r="O95" i="5"/>
  <c r="O50" i="5" a="1"/>
  <c r="O50" i="5" s="1"/>
  <c r="O116" i="5"/>
  <c r="O45" i="5" a="1"/>
  <c r="O45" i="5" s="1"/>
  <c r="O91" i="5"/>
  <c r="O30" i="5" a="1"/>
  <c r="O30" i="5" s="1"/>
  <c r="O98" i="5"/>
  <c r="O122" i="5"/>
  <c r="O73" i="5"/>
  <c r="O36" i="5" a="1"/>
  <c r="O36" i="5" s="1"/>
  <c r="O105" i="5"/>
  <c r="O3" i="3"/>
  <c r="O88" i="5"/>
  <c r="O63" i="5"/>
  <c r="O129" i="5"/>
  <c r="O92" i="5"/>
  <c r="O130" i="5"/>
  <c r="O128" i="5"/>
  <c r="O132" i="5"/>
  <c r="O100" i="5"/>
  <c r="O39" i="5" a="1"/>
  <c r="O39" i="5" s="1"/>
  <c r="O93" i="5"/>
  <c r="O25" i="5" a="1"/>
  <c r="O25" i="5" s="1"/>
  <c r="O90" i="5"/>
  <c r="O86" i="5"/>
  <c r="O26" i="5" a="1"/>
  <c r="O26" i="5" s="1"/>
  <c r="O104" i="5"/>
  <c r="O144" i="5"/>
  <c r="O74" i="5"/>
  <c r="O31" i="5" a="1"/>
  <c r="O31" i="5" s="1"/>
  <c r="O94" i="5"/>
  <c r="O64" i="5"/>
  <c r="Z34" i="4"/>
  <c r="N133" i="5"/>
  <c r="N24" i="3" s="1"/>
  <c r="N28" i="5"/>
  <c r="N19" i="3" s="1"/>
  <c r="N46" i="5"/>
  <c r="N21" i="3" s="1"/>
  <c r="M23" i="3"/>
  <c r="M28" i="3" s="1"/>
  <c r="AA21" i="4"/>
  <c r="AA22" i="4"/>
  <c r="AA15" i="4"/>
  <c r="AA16" i="4"/>
  <c r="AA25" i="4"/>
  <c r="AA11" i="4"/>
  <c r="AA24" i="4"/>
  <c r="AA5" i="4"/>
  <c r="AA20" i="4"/>
  <c r="AA14" i="4"/>
  <c r="AA18" i="4"/>
  <c r="AA10" i="4"/>
  <c r="AA9" i="4"/>
  <c r="AA23" i="4"/>
  <c r="AA17" i="4"/>
  <c r="AA6" i="4"/>
  <c r="AA4" i="4"/>
  <c r="AA19" i="4"/>
  <c r="AA13" i="4"/>
  <c r="AA12" i="4"/>
  <c r="AA8" i="4"/>
  <c r="AA7" i="4"/>
  <c r="C16" i="2"/>
  <c r="AH16" i="2" s="1"/>
  <c r="T16" i="2" s="1"/>
  <c r="B17" i="2"/>
  <c r="J7" i="3"/>
  <c r="J14" i="3" s="1"/>
  <c r="J15" i="3" s="1"/>
  <c r="AA34" i="4" l="1"/>
  <c r="V16" i="2"/>
  <c r="X16" i="2" s="1"/>
  <c r="Y16" i="2"/>
  <c r="O32" i="5"/>
  <c r="O20" i="3" s="1"/>
  <c r="AB8" i="4"/>
  <c r="AB5" i="4"/>
  <c r="AB19" i="4"/>
  <c r="AB21" i="4"/>
  <c r="AB25" i="4"/>
  <c r="AB11" i="4"/>
  <c r="AB15" i="4"/>
  <c r="AB22" i="4"/>
  <c r="AB14" i="4"/>
  <c r="AB6" i="4"/>
  <c r="AB20" i="4"/>
  <c r="AB24" i="4"/>
  <c r="AB17" i="4"/>
  <c r="AB7" i="4"/>
  <c r="AB13" i="4"/>
  <c r="AB23" i="4"/>
  <c r="AB9" i="4"/>
  <c r="AB18" i="4"/>
  <c r="AB10" i="4"/>
  <c r="AB12" i="4"/>
  <c r="AB16" i="4"/>
  <c r="AB4" i="4"/>
  <c r="P119" i="5"/>
  <c r="P83" i="5"/>
  <c r="P145" i="5"/>
  <c r="P74" i="5"/>
  <c r="P24" i="5" a="1"/>
  <c r="P24" i="5" s="1"/>
  <c r="P91" i="5"/>
  <c r="P51" i="5" a="1"/>
  <c r="P51" i="5" s="1"/>
  <c r="P141" i="5"/>
  <c r="P52" i="5" a="1"/>
  <c r="P52" i="5" s="1"/>
  <c r="P75" i="5"/>
  <c r="P136" i="5"/>
  <c r="P66" i="5"/>
  <c r="P39" i="5" a="1"/>
  <c r="P39" i="5" s="1"/>
  <c r="P135" i="5"/>
  <c r="P85" i="5"/>
  <c r="P67" i="5"/>
  <c r="P56" i="5" a="1"/>
  <c r="P56" i="5" s="1"/>
  <c r="P128" i="5"/>
  <c r="P38" i="5" a="1"/>
  <c r="P38" i="5" s="1"/>
  <c r="P113" i="5"/>
  <c r="P123" i="5"/>
  <c r="P55" i="5" a="1"/>
  <c r="P55" i="5" s="1"/>
  <c r="P139" i="5"/>
  <c r="P87" i="5"/>
  <c r="Q3" i="5"/>
  <c r="P105" i="5"/>
  <c r="P45" i="5" a="1"/>
  <c r="P45" i="5" s="1"/>
  <c r="P117" i="5"/>
  <c r="P144" i="5"/>
  <c r="P78" i="5"/>
  <c r="P63" i="5"/>
  <c r="P111" i="5"/>
  <c r="AC3" i="4"/>
  <c r="P102" i="5"/>
  <c r="P124" i="5"/>
  <c r="P114" i="5"/>
  <c r="P77" i="5"/>
  <c r="P95" i="5"/>
  <c r="P110" i="5"/>
  <c r="P106" i="5"/>
  <c r="P61" i="5"/>
  <c r="P142" i="5"/>
  <c r="P76" i="5"/>
  <c r="P89" i="5"/>
  <c r="P40" i="5" a="1"/>
  <c r="P40" i="5" s="1"/>
  <c r="P115" i="5"/>
  <c r="P50" i="5" a="1"/>
  <c r="P50" i="5" s="1"/>
  <c r="P82" i="5"/>
  <c r="P103" i="5"/>
  <c r="P94" i="5"/>
  <c r="P146" i="5"/>
  <c r="P80" i="5"/>
  <c r="P41" i="5" a="1"/>
  <c r="P41" i="5" s="1"/>
  <c r="P137" i="5"/>
  <c r="P130" i="5"/>
  <c r="P138" i="5"/>
  <c r="P3" i="3"/>
  <c r="P96" i="5"/>
  <c r="P143" i="5"/>
  <c r="P25" i="5" a="1"/>
  <c r="P25" i="5" s="1"/>
  <c r="P99" i="5"/>
  <c r="P132" i="5"/>
  <c r="P69" i="5"/>
  <c r="P127" i="5"/>
  <c r="P22" i="5" a="1"/>
  <c r="P22" i="5" s="1"/>
  <c r="P97" i="5"/>
  <c r="P81" i="5"/>
  <c r="P30" i="5" a="1"/>
  <c r="P30" i="5" s="1"/>
  <c r="P104" i="5"/>
  <c r="P20" i="5" a="1"/>
  <c r="P20" i="5" s="1"/>
  <c r="P122" i="5"/>
  <c r="P98" i="5"/>
  <c r="P49" i="5" a="1"/>
  <c r="P49" i="5" s="1"/>
  <c r="P109" i="5"/>
  <c r="P73" i="5"/>
  <c r="P148" i="5"/>
  <c r="P72" i="5"/>
  <c r="P23" i="5" a="1"/>
  <c r="P23" i="5" s="1"/>
  <c r="P108" i="5"/>
  <c r="P48" i="5" a="1"/>
  <c r="P48" i="5" s="1"/>
  <c r="P120" i="5"/>
  <c r="P147" i="5"/>
  <c r="P100" i="5"/>
  <c r="P34" i="5" a="1"/>
  <c r="P34" i="5" s="1"/>
  <c r="P129" i="5"/>
  <c r="P90" i="5"/>
  <c r="P35" i="5" a="1"/>
  <c r="P35" i="5" s="1"/>
  <c r="P101" i="5"/>
  <c r="P65" i="5"/>
  <c r="P64" i="5"/>
  <c r="P37" i="5" a="1"/>
  <c r="P37" i="5" s="1"/>
  <c r="P86" i="5"/>
  <c r="P68" i="5"/>
  <c r="P125" i="5"/>
  <c r="P84" i="5"/>
  <c r="P31" i="5" a="1"/>
  <c r="P31" i="5" s="1"/>
  <c r="P93" i="5"/>
  <c r="P53" i="5" a="1"/>
  <c r="P53" i="5" s="1"/>
  <c r="P112" i="5"/>
  <c r="P54" i="5" a="1"/>
  <c r="P54" i="5" s="1"/>
  <c r="P121" i="5"/>
  <c r="P92" i="5"/>
  <c r="P36" i="5" a="1"/>
  <c r="P36" i="5" s="1"/>
  <c r="P79" i="5"/>
  <c r="P131" i="5"/>
  <c r="P62" i="5"/>
  <c r="P118" i="5"/>
  <c r="P116" i="5"/>
  <c r="P60" i="5"/>
  <c r="P126" i="5"/>
  <c r="P88" i="5"/>
  <c r="P26" i="5" a="1"/>
  <c r="P26" i="5" s="1"/>
  <c r="P107" i="5"/>
  <c r="P71" i="5"/>
  <c r="P140" i="5"/>
  <c r="P70" i="5"/>
  <c r="P21" i="5" a="1"/>
  <c r="P21" i="5" s="1"/>
  <c r="O57" i="5"/>
  <c r="O22" i="3" s="1"/>
  <c r="O133" i="5"/>
  <c r="O24" i="3" s="1"/>
  <c r="O149" i="5"/>
  <c r="O25" i="3" s="1"/>
  <c r="N58" i="5"/>
  <c r="N152" i="5" s="1"/>
  <c r="AE18" i="2" s="1"/>
  <c r="O46" i="5"/>
  <c r="O21" i="3" s="1"/>
  <c r="N23" i="3"/>
  <c r="N28" i="3" s="1"/>
  <c r="O28" i="5"/>
  <c r="O19" i="3" s="1"/>
  <c r="C17" i="2"/>
  <c r="AH17" i="2" s="1"/>
  <c r="T17" i="2" s="1"/>
  <c r="B18" i="2"/>
  <c r="Q41" i="5" l="1" a="1"/>
  <c r="Q41" i="5" s="1"/>
  <c r="Q39" i="5" a="1"/>
  <c r="Q39" i="5" s="1"/>
  <c r="V17" i="2"/>
  <c r="Y17" i="2"/>
  <c r="O23" i="3"/>
  <c r="P46" i="5"/>
  <c r="P21" i="3" s="1"/>
  <c r="P133" i="5"/>
  <c r="P24" i="3" s="1"/>
  <c r="Q100" i="5"/>
  <c r="Q52" i="5" a="1"/>
  <c r="Q52" i="5" s="1"/>
  <c r="Q110" i="5"/>
  <c r="Q85" i="5"/>
  <c r="Q121" i="5"/>
  <c r="Q99" i="5"/>
  <c r="Q34" i="5" a="1"/>
  <c r="Q34" i="5" s="1"/>
  <c r="Q117" i="5"/>
  <c r="Q73" i="5"/>
  <c r="Q92" i="5"/>
  <c r="Q40" i="5" a="1"/>
  <c r="Q40" i="5" s="1"/>
  <c r="Q135" i="5"/>
  <c r="Q77" i="5"/>
  <c r="Q132" i="5"/>
  <c r="Q91" i="5"/>
  <c r="Q24" i="5" a="1"/>
  <c r="Q24" i="5" s="1"/>
  <c r="Q109" i="5"/>
  <c r="Q65" i="5"/>
  <c r="Q131" i="5"/>
  <c r="Q103" i="5"/>
  <c r="Q45" i="5" a="1"/>
  <c r="Q45" i="5" s="1"/>
  <c r="Q113" i="5"/>
  <c r="Q69" i="5"/>
  <c r="Q26" i="5" a="1"/>
  <c r="Q26" i="5" s="1"/>
  <c r="Q102" i="5"/>
  <c r="Q54" i="5" a="1"/>
  <c r="Q54" i="5" s="1"/>
  <c r="Q128" i="5"/>
  <c r="Q95" i="5"/>
  <c r="Q145" i="5"/>
  <c r="Q76" i="5"/>
  <c r="Q49" i="5" a="1"/>
  <c r="Q49" i="5" s="1"/>
  <c r="Q146" i="5"/>
  <c r="Q84" i="5"/>
  <c r="Q61" i="5"/>
  <c r="Q25" i="5" a="1"/>
  <c r="Q25" i="5" s="1"/>
  <c r="Q106" i="5"/>
  <c r="Q3" i="3"/>
  <c r="Q94" i="5"/>
  <c r="Q125" i="5"/>
  <c r="Q87" i="5"/>
  <c r="Q23" i="5" a="1"/>
  <c r="Q23" i="5" s="1"/>
  <c r="Q98" i="5"/>
  <c r="Q50" i="5" a="1"/>
  <c r="Q50" i="5" s="1"/>
  <c r="Q138" i="5"/>
  <c r="Q68" i="5"/>
  <c r="Q129" i="5"/>
  <c r="Q105" i="5"/>
  <c r="Q48" i="5" a="1"/>
  <c r="Q48" i="5" s="1"/>
  <c r="Q20" i="5" a="1"/>
  <c r="Q20" i="5" s="1"/>
  <c r="Q90" i="5"/>
  <c r="Q116" i="5"/>
  <c r="Q97" i="5"/>
  <c r="Q137" i="5"/>
  <c r="Q79" i="5"/>
  <c r="Q148" i="5"/>
  <c r="R3" i="5"/>
  <c r="Q104" i="5"/>
  <c r="Q60" i="5"/>
  <c r="Q36" i="5" a="1"/>
  <c r="Q36" i="5" s="1"/>
  <c r="Q139" i="5"/>
  <c r="Q81" i="5"/>
  <c r="Q142" i="5"/>
  <c r="Q80" i="5"/>
  <c r="Q38" i="5" a="1"/>
  <c r="Q38" i="5" s="1"/>
  <c r="Q55" i="5" a="1"/>
  <c r="Q55" i="5" s="1"/>
  <c r="Q126" i="5"/>
  <c r="Q31" i="5" a="1"/>
  <c r="Q31" i="5" s="1"/>
  <c r="Q141" i="5"/>
  <c r="Q72" i="5"/>
  <c r="Q122" i="5"/>
  <c r="Q101" i="5"/>
  <c r="Q37" i="5" a="1"/>
  <c r="Q37" i="5" s="1"/>
  <c r="Q108" i="5"/>
  <c r="Q83" i="5"/>
  <c r="Q123" i="5"/>
  <c r="Q89" i="5"/>
  <c r="Q21" i="5" a="1"/>
  <c r="Q21" i="5" s="1"/>
  <c r="Q120" i="5"/>
  <c r="Q64" i="5"/>
  <c r="Q130" i="5"/>
  <c r="Q93" i="5"/>
  <c r="Q30" i="5" a="1"/>
  <c r="Q30" i="5" s="1"/>
  <c r="Q119" i="5"/>
  <c r="Q75" i="5"/>
  <c r="Q144" i="5"/>
  <c r="Q82" i="5"/>
  <c r="Q78" i="5"/>
  <c r="Q22" i="5" a="1"/>
  <c r="Q22" i="5" s="1"/>
  <c r="Q56" i="5" a="1"/>
  <c r="Q56" i="5" s="1"/>
  <c r="Q136" i="5"/>
  <c r="Q66" i="5"/>
  <c r="Q112" i="5"/>
  <c r="Q51" i="5" a="1"/>
  <c r="Q51" i="5" s="1"/>
  <c r="Q127" i="5"/>
  <c r="Q86" i="5"/>
  <c r="Q35" i="5" a="1"/>
  <c r="Q35" i="5" s="1"/>
  <c r="Q111" i="5"/>
  <c r="Q67" i="5"/>
  <c r="Q143" i="5"/>
  <c r="Q74" i="5"/>
  <c r="AD3" i="4"/>
  <c r="Q53" i="5" a="1"/>
  <c r="Q53" i="5" s="1"/>
  <c r="Q115" i="5"/>
  <c r="Q71" i="5"/>
  <c r="Q140" i="5"/>
  <c r="Q70" i="5"/>
  <c r="Q147" i="5"/>
  <c r="Q96" i="5"/>
  <c r="Q114" i="5"/>
  <c r="Q107" i="5"/>
  <c r="Q63" i="5"/>
  <c r="Q118" i="5"/>
  <c r="Q62" i="5"/>
  <c r="Q124" i="5"/>
  <c r="Q88" i="5"/>
  <c r="AB34" i="4"/>
  <c r="P28" i="5"/>
  <c r="P19" i="3" s="1"/>
  <c r="AC13" i="4"/>
  <c r="AC4" i="4"/>
  <c r="AC23" i="4"/>
  <c r="AC19" i="4"/>
  <c r="AC25" i="4"/>
  <c r="AC24" i="4"/>
  <c r="AC21" i="4"/>
  <c r="AC15" i="4"/>
  <c r="AC8" i="4"/>
  <c r="AC17" i="4"/>
  <c r="AC6" i="4"/>
  <c r="AC12" i="4"/>
  <c r="AC11" i="4"/>
  <c r="AC22" i="4"/>
  <c r="AC14" i="4"/>
  <c r="AC9" i="4"/>
  <c r="AC5" i="4"/>
  <c r="AC10" i="4"/>
  <c r="AC7" i="4"/>
  <c r="AC18" i="4"/>
  <c r="AC20" i="4"/>
  <c r="AC16" i="4"/>
  <c r="P57" i="5"/>
  <c r="P22" i="3" s="1"/>
  <c r="P32" i="5"/>
  <c r="P20" i="3" s="1"/>
  <c r="O58" i="5"/>
  <c r="O152" i="5" s="1"/>
  <c r="AE19" i="2" s="1"/>
  <c r="O28" i="3"/>
  <c r="P149" i="5"/>
  <c r="P25" i="3" s="1"/>
  <c r="C18" i="2"/>
  <c r="AH18" i="2" s="1"/>
  <c r="T18" i="2" s="1"/>
  <c r="B19" i="2"/>
  <c r="AC17" i="2"/>
  <c r="R41" i="5" l="1" a="1"/>
  <c r="R41" i="5" s="1"/>
  <c r="R39" i="5" a="1"/>
  <c r="R39" i="5" s="1"/>
  <c r="Y18" i="2"/>
  <c r="V18" i="2"/>
  <c r="X17" i="2"/>
  <c r="AB17" i="2"/>
  <c r="M7" i="5" s="1"/>
  <c r="Q32" i="5"/>
  <c r="Q20" i="3" s="1"/>
  <c r="P58" i="5"/>
  <c r="P152" i="5" s="1"/>
  <c r="AE20" i="2" s="1"/>
  <c r="Q133" i="5"/>
  <c r="Q24" i="3" s="1"/>
  <c r="P23" i="3"/>
  <c r="P28" i="3" s="1"/>
  <c r="R145" i="5"/>
  <c r="R77" i="5"/>
  <c r="R122" i="5"/>
  <c r="R130" i="5"/>
  <c r="R87" i="5"/>
  <c r="R22" i="5" a="1"/>
  <c r="R22" i="5" s="1"/>
  <c r="R108" i="5"/>
  <c r="R70" i="5"/>
  <c r="R139" i="5"/>
  <c r="R69" i="5"/>
  <c r="R3" i="3"/>
  <c r="R105" i="5"/>
  <c r="R45" i="5" a="1"/>
  <c r="R45" i="5" s="1"/>
  <c r="R81" i="5"/>
  <c r="R62" i="5"/>
  <c r="R117" i="5"/>
  <c r="R129" i="5"/>
  <c r="R38" i="5" a="1"/>
  <c r="R38" i="5" s="1"/>
  <c r="R23" i="5" a="1"/>
  <c r="R23" i="5" s="1"/>
  <c r="R63" i="5"/>
  <c r="R37" i="5" a="1"/>
  <c r="R37" i="5" s="1"/>
  <c r="R138" i="5"/>
  <c r="R86" i="5"/>
  <c r="R95" i="5"/>
  <c r="R131" i="5"/>
  <c r="S3" i="5"/>
  <c r="R100" i="5"/>
  <c r="R61" i="5"/>
  <c r="R97" i="5"/>
  <c r="R21" i="5" a="1"/>
  <c r="R21" i="5" s="1"/>
  <c r="R92" i="5"/>
  <c r="R89" i="5"/>
  <c r="R144" i="5"/>
  <c r="R141" i="5"/>
  <c r="R73" i="5"/>
  <c r="R51" i="5" a="1"/>
  <c r="R51" i="5" s="1"/>
  <c r="R142" i="5"/>
  <c r="R50" i="5" a="1"/>
  <c r="R50" i="5" s="1"/>
  <c r="R128" i="5"/>
  <c r="R135" i="5"/>
  <c r="R65" i="5"/>
  <c r="R125" i="5"/>
  <c r="R101" i="5"/>
  <c r="R49" i="5" a="1"/>
  <c r="R49" i="5" s="1"/>
  <c r="R136" i="5"/>
  <c r="R84" i="5"/>
  <c r="R123" i="5"/>
  <c r="R83" i="5"/>
  <c r="R26" i="5" a="1"/>
  <c r="R26" i="5" s="1"/>
  <c r="R93" i="5"/>
  <c r="R76" i="5"/>
  <c r="R25" i="5" a="1"/>
  <c r="R25" i="5" s="1"/>
  <c r="R140" i="5"/>
  <c r="R132" i="5"/>
  <c r="R20" i="5" a="1"/>
  <c r="R20" i="5" s="1"/>
  <c r="R106" i="5"/>
  <c r="R137" i="5"/>
  <c r="R67" i="5"/>
  <c r="R110" i="5"/>
  <c r="R48" i="5" a="1"/>
  <c r="R48" i="5" s="1"/>
  <c r="R88" i="5"/>
  <c r="R102" i="5"/>
  <c r="R119" i="5"/>
  <c r="R82" i="5"/>
  <c r="R66" i="5"/>
  <c r="R55" i="5" a="1"/>
  <c r="R55" i="5" s="1"/>
  <c r="R113" i="5"/>
  <c r="R54" i="5" a="1"/>
  <c r="R54" i="5" s="1"/>
  <c r="R124" i="5"/>
  <c r="R30" i="5" a="1"/>
  <c r="R30" i="5" s="1"/>
  <c r="R114" i="5"/>
  <c r="R143" i="5"/>
  <c r="R75" i="5"/>
  <c r="R90" i="5"/>
  <c r="R107" i="5"/>
  <c r="R68" i="5"/>
  <c r="R71" i="5"/>
  <c r="R64" i="5"/>
  <c r="R99" i="5"/>
  <c r="R121" i="5"/>
  <c r="R78" i="5"/>
  <c r="R127" i="5"/>
  <c r="R85" i="5"/>
  <c r="R118" i="5"/>
  <c r="R80" i="5"/>
  <c r="R148" i="5"/>
  <c r="R79" i="5"/>
  <c r="R34" i="5" a="1"/>
  <c r="R34" i="5" s="1"/>
  <c r="R98" i="5"/>
  <c r="R60" i="5"/>
  <c r="R115" i="5"/>
  <c r="R56" i="5" a="1"/>
  <c r="R56" i="5" s="1"/>
  <c r="R72" i="5"/>
  <c r="R146" i="5"/>
  <c r="AE3" i="4"/>
  <c r="R109" i="5"/>
  <c r="R40" i="5" a="1"/>
  <c r="R40" i="5" s="1"/>
  <c r="R120" i="5"/>
  <c r="R35" i="5" a="1"/>
  <c r="R35" i="5" s="1"/>
  <c r="R104" i="5"/>
  <c r="R31" i="5" a="1"/>
  <c r="R31" i="5" s="1"/>
  <c r="R96" i="5"/>
  <c r="R94" i="5"/>
  <c r="R53" i="5" a="1"/>
  <c r="R53" i="5" s="1"/>
  <c r="R111" i="5"/>
  <c r="R52" i="5" a="1"/>
  <c r="R52" i="5" s="1"/>
  <c r="R126" i="5"/>
  <c r="R91" i="5"/>
  <c r="R24" i="5" a="1"/>
  <c r="R24" i="5" s="1"/>
  <c r="R112" i="5"/>
  <c r="R74" i="5"/>
  <c r="R147" i="5"/>
  <c r="R103" i="5"/>
  <c r="R36" i="5" a="1"/>
  <c r="R36" i="5" s="1"/>
  <c r="R116" i="5"/>
  <c r="Q46" i="5"/>
  <c r="Q21" i="3" s="1"/>
  <c r="AD21" i="4"/>
  <c r="AD15" i="4"/>
  <c r="AD17" i="4"/>
  <c r="AD11" i="4"/>
  <c r="AD7" i="4"/>
  <c r="AD13" i="4"/>
  <c r="AD9" i="4"/>
  <c r="AD18" i="4"/>
  <c r="AD25" i="4"/>
  <c r="AD5" i="4"/>
  <c r="AD16" i="4"/>
  <c r="AD24" i="4"/>
  <c r="AD20" i="4"/>
  <c r="AD8" i="4"/>
  <c r="AD14" i="4"/>
  <c r="AD22" i="4"/>
  <c r="AD12" i="4"/>
  <c r="AD4" i="4"/>
  <c r="AD10" i="4"/>
  <c r="AD23" i="4"/>
  <c r="AD6" i="4"/>
  <c r="AD19" i="4"/>
  <c r="Q28" i="5"/>
  <c r="Q19" i="3" s="1"/>
  <c r="AC34" i="4"/>
  <c r="Q57" i="5"/>
  <c r="Q22" i="3" s="1"/>
  <c r="Q149" i="5"/>
  <c r="Q25" i="3" s="1"/>
  <c r="C19" i="2"/>
  <c r="AH19" i="2" s="1"/>
  <c r="T19" i="2" s="1"/>
  <c r="B20" i="2"/>
  <c r="S41" i="5" l="1" a="1"/>
  <c r="S41" i="5" s="1"/>
  <c r="S39" i="5" a="1"/>
  <c r="S39" i="5" s="1"/>
  <c r="Y19" i="2"/>
  <c r="V19" i="2"/>
  <c r="M7" i="3"/>
  <c r="M14" i="3" s="1"/>
  <c r="M14" i="5"/>
  <c r="M15" i="5" s="1"/>
  <c r="X18" i="2"/>
  <c r="Q23" i="3"/>
  <c r="Q28" i="3" s="1"/>
  <c r="Q58" i="5"/>
  <c r="Q152" i="5" s="1"/>
  <c r="AE21" i="2" s="1"/>
  <c r="R28" i="5"/>
  <c r="R19" i="3" s="1"/>
  <c r="R133" i="5"/>
  <c r="R24" i="3" s="1"/>
  <c r="R46" i="5"/>
  <c r="R21" i="3" s="1"/>
  <c r="R149" i="5"/>
  <c r="R25" i="3" s="1"/>
  <c r="AD34" i="4"/>
  <c r="S91" i="5"/>
  <c r="S40" i="5" a="1"/>
  <c r="S40" i="5" s="1"/>
  <c r="S148" i="5"/>
  <c r="S83" i="5"/>
  <c r="S30" i="5" a="1"/>
  <c r="S30" i="5" s="1"/>
  <c r="S101" i="5"/>
  <c r="S56" i="5" a="1"/>
  <c r="S56" i="5" s="1"/>
  <c r="S37" i="5" a="1"/>
  <c r="S37" i="5" s="1"/>
  <c r="S25" i="5" a="1"/>
  <c r="S25" i="5" s="1"/>
  <c r="S123" i="5"/>
  <c r="S45" i="5" a="1"/>
  <c r="S45" i="5" s="1"/>
  <c r="S146" i="5"/>
  <c r="S75" i="5"/>
  <c r="AF3" i="4"/>
  <c r="S93" i="5"/>
  <c r="S141" i="5"/>
  <c r="S121" i="5"/>
  <c r="S106" i="5"/>
  <c r="S98" i="5"/>
  <c r="S35" i="5" a="1"/>
  <c r="S35" i="5" s="1"/>
  <c r="S94" i="5"/>
  <c r="S66" i="5"/>
  <c r="S104" i="5"/>
  <c r="S49" i="5" a="1"/>
  <c r="S49" i="5" s="1"/>
  <c r="S117" i="5"/>
  <c r="S26" i="5" a="1"/>
  <c r="S26" i="5" s="1"/>
  <c r="S137" i="5"/>
  <c r="S67" i="5"/>
  <c r="S136" i="5"/>
  <c r="S55" i="5" a="1"/>
  <c r="S55" i="5" s="1"/>
  <c r="S129" i="5"/>
  <c r="S131" i="5"/>
  <c r="S96" i="5"/>
  <c r="S48" i="5" a="1"/>
  <c r="S48" i="5" s="1"/>
  <c r="S105" i="5"/>
  <c r="S31" i="5" a="1"/>
  <c r="S31" i="5" s="1"/>
  <c r="S115" i="5"/>
  <c r="S128" i="5"/>
  <c r="S88" i="5"/>
  <c r="S89" i="5"/>
  <c r="S143" i="5"/>
  <c r="S79" i="5"/>
  <c r="S22" i="5" a="1"/>
  <c r="S22" i="5" s="1"/>
  <c r="S107" i="5"/>
  <c r="S84" i="5"/>
  <c r="S126" i="5"/>
  <c r="S90" i="5"/>
  <c r="S34" i="5" a="1"/>
  <c r="S34" i="5" s="1"/>
  <c r="S61" i="5"/>
  <c r="S77" i="5"/>
  <c r="S125" i="5"/>
  <c r="S76" i="5"/>
  <c r="S145" i="5"/>
  <c r="S81" i="5"/>
  <c r="S78" i="5"/>
  <c r="S63" i="5"/>
  <c r="S112" i="5"/>
  <c r="S68" i="5"/>
  <c r="S85" i="5"/>
  <c r="S124" i="5"/>
  <c r="S86" i="5"/>
  <c r="S142" i="5"/>
  <c r="S71" i="5"/>
  <c r="S120" i="5"/>
  <c r="S24" i="5" a="1"/>
  <c r="S24" i="5" s="1"/>
  <c r="S62" i="5"/>
  <c r="S119" i="5"/>
  <c r="S122" i="5"/>
  <c r="S3" i="3"/>
  <c r="S21" i="5" a="1"/>
  <c r="S21" i="5" s="1"/>
  <c r="S38" i="5" a="1"/>
  <c r="S38" i="5" s="1"/>
  <c r="S87" i="5"/>
  <c r="S100" i="5"/>
  <c r="S144" i="5"/>
  <c r="S73" i="5"/>
  <c r="S116" i="5"/>
  <c r="S118" i="5"/>
  <c r="S111" i="5"/>
  <c r="S51" i="5" a="1"/>
  <c r="S51" i="5" s="1"/>
  <c r="S132" i="5"/>
  <c r="S103" i="5"/>
  <c r="S60" i="5"/>
  <c r="S135" i="5"/>
  <c r="S65" i="5"/>
  <c r="S139" i="5"/>
  <c r="S109" i="5"/>
  <c r="S20" i="5" a="1"/>
  <c r="S20" i="5" s="1"/>
  <c r="S72" i="5"/>
  <c r="S36" i="5" a="1"/>
  <c r="S36" i="5" s="1"/>
  <c r="S140" i="5"/>
  <c r="S102" i="5"/>
  <c r="S108" i="5"/>
  <c r="S23" i="5" a="1"/>
  <c r="S23" i="5" s="1"/>
  <c r="S74" i="5"/>
  <c r="T3" i="5"/>
  <c r="S110" i="5"/>
  <c r="S138" i="5"/>
  <c r="S80" i="5"/>
  <c r="S147" i="5"/>
  <c r="S95" i="5"/>
  <c r="S50" i="5" a="1"/>
  <c r="S50" i="5" s="1"/>
  <c r="S113" i="5"/>
  <c r="S53" i="5" a="1"/>
  <c r="S53" i="5" s="1"/>
  <c r="S114" i="5"/>
  <c r="S97" i="5"/>
  <c r="S127" i="5"/>
  <c r="S82" i="5"/>
  <c r="S64" i="5"/>
  <c r="S69" i="5"/>
  <c r="S70" i="5"/>
  <c r="S99" i="5"/>
  <c r="S54" i="5" a="1"/>
  <c r="S54" i="5" s="1"/>
  <c r="S130" i="5"/>
  <c r="S92" i="5"/>
  <c r="S52" i="5" a="1"/>
  <c r="S52" i="5" s="1"/>
  <c r="R57" i="5"/>
  <c r="R22" i="3" s="1"/>
  <c r="AE21" i="4"/>
  <c r="AE18" i="4"/>
  <c r="AE17" i="4"/>
  <c r="AE10" i="4"/>
  <c r="AE14" i="4"/>
  <c r="AE13" i="4"/>
  <c r="AE6" i="4"/>
  <c r="AE9" i="4"/>
  <c r="AE5" i="4"/>
  <c r="AE12" i="4"/>
  <c r="AE25" i="4"/>
  <c r="AE8" i="4"/>
  <c r="AE24" i="4"/>
  <c r="AE4" i="4"/>
  <c r="AE20" i="4"/>
  <c r="AE23" i="4"/>
  <c r="AE7" i="4"/>
  <c r="AE11" i="4"/>
  <c r="AE19" i="4"/>
  <c r="AE16" i="4"/>
  <c r="AE15" i="4"/>
  <c r="AE22" i="4"/>
  <c r="R32" i="5"/>
  <c r="R20" i="3" s="1"/>
  <c r="B21" i="2"/>
  <c r="C20" i="2"/>
  <c r="AH20" i="2" s="1"/>
  <c r="T20" i="2" s="1"/>
  <c r="M15" i="3" l="1"/>
  <c r="T39" i="5" a="1"/>
  <c r="T39" i="5" s="1"/>
  <c r="T41" i="5" a="1"/>
  <c r="T41" i="5" s="1"/>
  <c r="Y20" i="2"/>
  <c r="V20" i="2"/>
  <c r="X19" i="2"/>
  <c r="S32" i="5"/>
  <c r="S20" i="3" s="1"/>
  <c r="S28" i="5"/>
  <c r="S19" i="3" s="1"/>
  <c r="AF21" i="4"/>
  <c r="AF17" i="4"/>
  <c r="AF20" i="4"/>
  <c r="AF16" i="4"/>
  <c r="AF10" i="4"/>
  <c r="AF13" i="4"/>
  <c r="AF9" i="4"/>
  <c r="AF22" i="4"/>
  <c r="AF14" i="4"/>
  <c r="AF6" i="4"/>
  <c r="AF25" i="4"/>
  <c r="AF12" i="4"/>
  <c r="AF4" i="4"/>
  <c r="AF15" i="4"/>
  <c r="AF11" i="4"/>
  <c r="AF24" i="4"/>
  <c r="AF8" i="4"/>
  <c r="AF19" i="4"/>
  <c r="AF5" i="4"/>
  <c r="AF18" i="4"/>
  <c r="AF23" i="4"/>
  <c r="AF7" i="4"/>
  <c r="S46" i="5"/>
  <c r="S21" i="3" s="1"/>
  <c r="T139" i="5"/>
  <c r="T50" i="5" a="1"/>
  <c r="T50" i="5" s="1"/>
  <c r="T128" i="5"/>
  <c r="T87" i="5"/>
  <c r="T25" i="5" a="1"/>
  <c r="T25" i="5" s="1"/>
  <c r="T101" i="5"/>
  <c r="T67" i="5"/>
  <c r="T89" i="5"/>
  <c r="T120" i="5"/>
  <c r="T81" i="5"/>
  <c r="T24" i="5" a="1"/>
  <c r="T24" i="5" s="1"/>
  <c r="T93" i="5"/>
  <c r="T109" i="5"/>
  <c r="T73" i="5"/>
  <c r="T140" i="5"/>
  <c r="T72" i="5"/>
  <c r="AG3" i="4"/>
  <c r="T106" i="5"/>
  <c r="T64" i="5"/>
  <c r="T98" i="5"/>
  <c r="T74" i="5"/>
  <c r="T117" i="5"/>
  <c r="T144" i="5"/>
  <c r="T80" i="5"/>
  <c r="T55" i="5" a="1"/>
  <c r="T55" i="5" s="1"/>
  <c r="T51" i="5" a="1"/>
  <c r="T51" i="5" s="1"/>
  <c r="T105" i="5"/>
  <c r="T45" i="5" a="1"/>
  <c r="T45" i="5" s="1"/>
  <c r="T30" i="5" a="1"/>
  <c r="T30" i="5" s="1"/>
  <c r="T94" i="5"/>
  <c r="T118" i="5"/>
  <c r="T125" i="5"/>
  <c r="T66" i="5"/>
  <c r="T61" i="5"/>
  <c r="T146" i="5"/>
  <c r="T79" i="5"/>
  <c r="T48" i="5" a="1"/>
  <c r="T48" i="5" s="1"/>
  <c r="T145" i="5"/>
  <c r="T52" i="5" a="1"/>
  <c r="T52" i="5" s="1"/>
  <c r="T137" i="5"/>
  <c r="T49" i="5" a="1"/>
  <c r="T49" i="5" s="1"/>
  <c r="T56" i="5" a="1"/>
  <c r="T56" i="5" s="1"/>
  <c r="T83" i="5"/>
  <c r="T31" i="5" a="1"/>
  <c r="T31" i="5" s="1"/>
  <c r="T126" i="5"/>
  <c r="T108" i="5"/>
  <c r="T21" i="5" a="1"/>
  <c r="T21" i="5" s="1"/>
  <c r="T107" i="5"/>
  <c r="T3" i="3"/>
  <c r="T63" i="5"/>
  <c r="T99" i="5"/>
  <c r="T65" i="5"/>
  <c r="T38" i="5" a="1"/>
  <c r="T38" i="5" s="1"/>
  <c r="T122" i="5"/>
  <c r="T97" i="5"/>
  <c r="T116" i="5"/>
  <c r="T91" i="5"/>
  <c r="T53" i="5" a="1"/>
  <c r="T53" i="5" s="1"/>
  <c r="T143" i="5"/>
  <c r="T54" i="5" a="1"/>
  <c r="T54" i="5" s="1"/>
  <c r="T130" i="5"/>
  <c r="T90" i="5"/>
  <c r="U3" i="5"/>
  <c r="T141" i="5"/>
  <c r="T71" i="5"/>
  <c r="T127" i="5"/>
  <c r="T96" i="5"/>
  <c r="T77" i="5"/>
  <c r="T23" i="5" a="1"/>
  <c r="T23" i="5" s="1"/>
  <c r="T102" i="5"/>
  <c r="T88" i="5"/>
  <c r="T69" i="5"/>
  <c r="T138" i="5"/>
  <c r="T70" i="5"/>
  <c r="T62" i="5"/>
  <c r="T147" i="5"/>
  <c r="T104" i="5"/>
  <c r="T37" i="5" a="1"/>
  <c r="T37" i="5" s="1"/>
  <c r="T135" i="5"/>
  <c r="T85" i="5"/>
  <c r="T132" i="5"/>
  <c r="T86" i="5"/>
  <c r="T22" i="5" a="1"/>
  <c r="T22" i="5" s="1"/>
  <c r="T115" i="5"/>
  <c r="T35" i="5" a="1"/>
  <c r="T35" i="5" s="1"/>
  <c r="T36" i="5" a="1"/>
  <c r="T36" i="5" s="1"/>
  <c r="T113" i="5"/>
  <c r="T142" i="5"/>
  <c r="T78" i="5"/>
  <c r="T84" i="5"/>
  <c r="T112" i="5"/>
  <c r="T100" i="5"/>
  <c r="T75" i="5"/>
  <c r="T129" i="5"/>
  <c r="T34" i="5" a="1"/>
  <c r="T34" i="5" s="1"/>
  <c r="T103" i="5"/>
  <c r="T121" i="5"/>
  <c r="T20" i="5" a="1"/>
  <c r="T20" i="5" s="1"/>
  <c r="T95" i="5"/>
  <c r="T26" i="5" a="1"/>
  <c r="T26" i="5" s="1"/>
  <c r="T111" i="5"/>
  <c r="T148" i="5"/>
  <c r="T76" i="5"/>
  <c r="T110" i="5"/>
  <c r="T136" i="5"/>
  <c r="T68" i="5"/>
  <c r="T123" i="5"/>
  <c r="T40" i="5" a="1"/>
  <c r="T40" i="5" s="1"/>
  <c r="T119" i="5"/>
  <c r="T131" i="5"/>
  <c r="T114" i="5"/>
  <c r="T60" i="5"/>
  <c r="T124" i="5"/>
  <c r="T92" i="5"/>
  <c r="T82" i="5"/>
  <c r="S149" i="5"/>
  <c r="S25" i="3" s="1"/>
  <c r="AE34" i="4"/>
  <c r="S133" i="5"/>
  <c r="S24" i="3" s="1"/>
  <c r="S57" i="5"/>
  <c r="S22" i="3" s="1"/>
  <c r="R58" i="5"/>
  <c r="R152" i="5" s="1"/>
  <c r="AE22" i="2" s="1"/>
  <c r="R23" i="3"/>
  <c r="R28" i="3" s="1"/>
  <c r="B22" i="2"/>
  <c r="C21" i="2"/>
  <c r="AH21" i="2" s="1"/>
  <c r="T21" i="2" s="1"/>
  <c r="U39" i="5" l="1" a="1"/>
  <c r="U39" i="5" s="1"/>
  <c r="U41" i="5" a="1"/>
  <c r="U41" i="5" s="1"/>
  <c r="X20" i="2"/>
  <c r="V21" i="2"/>
  <c r="Y21" i="2"/>
  <c r="M7" i="2"/>
  <c r="AA7" i="2" s="1"/>
  <c r="L7" i="2" s="1"/>
  <c r="T32" i="5"/>
  <c r="T20" i="3" s="1"/>
  <c r="AG11" i="4"/>
  <c r="AG8" i="4"/>
  <c r="AG4" i="4"/>
  <c r="AG14" i="4"/>
  <c r="AG16" i="4"/>
  <c r="AG15" i="4"/>
  <c r="AG18" i="4"/>
  <c r="AG25" i="4"/>
  <c r="AG6" i="4"/>
  <c r="AG9" i="4"/>
  <c r="AG24" i="4"/>
  <c r="AG12" i="4"/>
  <c r="AG19" i="4"/>
  <c r="AG7" i="4"/>
  <c r="AG10" i="4"/>
  <c r="AG22" i="4"/>
  <c r="AG21" i="4"/>
  <c r="AG13" i="4"/>
  <c r="AG17" i="4"/>
  <c r="AG5" i="4"/>
  <c r="AG23" i="4"/>
  <c r="AG20" i="4"/>
  <c r="T133" i="5"/>
  <c r="T24" i="3" s="1"/>
  <c r="U147" i="5"/>
  <c r="U96" i="5"/>
  <c r="U139" i="5"/>
  <c r="U83" i="5"/>
  <c r="U70" i="5"/>
  <c r="U45" i="5" a="1"/>
  <c r="U45" i="5" s="1"/>
  <c r="U64" i="5"/>
  <c r="U34" i="5" a="1"/>
  <c r="U34" i="5" s="1"/>
  <c r="U106" i="5"/>
  <c r="U101" i="5"/>
  <c r="U94" i="5"/>
  <c r="U93" i="5"/>
  <c r="U121" i="5"/>
  <c r="U92" i="5"/>
  <c r="U125" i="5"/>
  <c r="U88" i="5"/>
  <c r="U117" i="5"/>
  <c r="U75" i="5"/>
  <c r="U60" i="5"/>
  <c r="U135" i="5"/>
  <c r="U25" i="5" a="1"/>
  <c r="U25" i="5" s="1"/>
  <c r="U51" i="5" a="1"/>
  <c r="U51" i="5" s="1"/>
  <c r="U113" i="5"/>
  <c r="U24" i="5" a="1"/>
  <c r="U24" i="5" s="1"/>
  <c r="U122" i="5"/>
  <c r="U99" i="5"/>
  <c r="U67" i="5"/>
  <c r="U23" i="5" a="1"/>
  <c r="U23" i="5" s="1"/>
  <c r="U77" i="5"/>
  <c r="U98" i="5"/>
  <c r="U91" i="5"/>
  <c r="U56" i="5" a="1"/>
  <c r="U56" i="5" s="1"/>
  <c r="U71" i="5"/>
  <c r="U20" i="5" a="1"/>
  <c r="U20" i="5" s="1"/>
  <c r="U65" i="5"/>
  <c r="U61" i="5"/>
  <c r="U123" i="5"/>
  <c r="U142" i="5"/>
  <c r="U49" i="5" a="1"/>
  <c r="U49" i="5" s="1"/>
  <c r="U78" i="5"/>
  <c r="U141" i="5"/>
  <c r="U38" i="5" a="1"/>
  <c r="U38" i="5" s="1"/>
  <c r="U72" i="5"/>
  <c r="U119" i="5"/>
  <c r="U22" i="5" a="1"/>
  <c r="U22" i="5" s="1"/>
  <c r="U103" i="5"/>
  <c r="U109" i="5"/>
  <c r="U81" i="5"/>
  <c r="U26" i="5" a="1"/>
  <c r="U26" i="5" s="1"/>
  <c r="U102" i="5"/>
  <c r="U3" i="3"/>
  <c r="U146" i="5"/>
  <c r="U84" i="5"/>
  <c r="U145" i="5"/>
  <c r="U105" i="5"/>
  <c r="U138" i="5"/>
  <c r="U127" i="5"/>
  <c r="U97" i="5"/>
  <c r="U120" i="5"/>
  <c r="U48" i="5" a="1"/>
  <c r="U48" i="5" s="1"/>
  <c r="U68" i="5"/>
  <c r="U112" i="5"/>
  <c r="U37" i="5" a="1"/>
  <c r="U37" i="5" s="1"/>
  <c r="U62" i="5"/>
  <c r="U124" i="5"/>
  <c r="U137" i="5"/>
  <c r="U31" i="5" a="1"/>
  <c r="U31" i="5" s="1"/>
  <c r="U53" i="5" a="1"/>
  <c r="U53" i="5" s="1"/>
  <c r="U115" i="5"/>
  <c r="U30" i="5" a="1"/>
  <c r="U30" i="5" s="1"/>
  <c r="U85" i="5"/>
  <c r="U108" i="5"/>
  <c r="U107" i="5"/>
  <c r="U35" i="5" a="1"/>
  <c r="U35" i="5" s="1"/>
  <c r="U73" i="5"/>
  <c r="U143" i="5"/>
  <c r="U74" i="5"/>
  <c r="U69" i="5"/>
  <c r="U116" i="5"/>
  <c r="U89" i="5"/>
  <c r="U21" i="5" a="1"/>
  <c r="U21" i="5" s="1"/>
  <c r="U79" i="5"/>
  <c r="U144" i="5"/>
  <c r="U82" i="5"/>
  <c r="U100" i="5"/>
  <c r="V3" i="5"/>
  <c r="U63" i="5"/>
  <c r="U129" i="5"/>
  <c r="U111" i="5"/>
  <c r="U136" i="5"/>
  <c r="U66" i="5"/>
  <c r="U95" i="5"/>
  <c r="AH3" i="4"/>
  <c r="U54" i="5" a="1"/>
  <c r="U54" i="5" s="1"/>
  <c r="U87" i="5"/>
  <c r="U131" i="5"/>
  <c r="U50" i="5" a="1"/>
  <c r="U50" i="5" s="1"/>
  <c r="U126" i="5"/>
  <c r="U104" i="5"/>
  <c r="U114" i="5"/>
  <c r="U55" i="5" a="1"/>
  <c r="U55" i="5" s="1"/>
  <c r="U80" i="5"/>
  <c r="U148" i="5"/>
  <c r="U40" i="5" a="1"/>
  <c r="U40" i="5" s="1"/>
  <c r="U76" i="5"/>
  <c r="U140" i="5"/>
  <c r="U36" i="5" a="1"/>
  <c r="U36" i="5" s="1"/>
  <c r="U118" i="5"/>
  <c r="U110" i="5"/>
  <c r="U132" i="5"/>
  <c r="U90" i="5"/>
  <c r="U128" i="5"/>
  <c r="U52" i="5" a="1"/>
  <c r="U52" i="5" s="1"/>
  <c r="U86" i="5"/>
  <c r="U130" i="5"/>
  <c r="T28" i="5"/>
  <c r="T19" i="3" s="1"/>
  <c r="AF34" i="4"/>
  <c r="T57" i="5"/>
  <c r="T22" i="3" s="1"/>
  <c r="S58" i="5"/>
  <c r="S152" i="5" s="1"/>
  <c r="AE23" i="2" s="1"/>
  <c r="T149" i="5"/>
  <c r="T25" i="3" s="1"/>
  <c r="S23" i="3"/>
  <c r="S28" i="3" s="1"/>
  <c r="T46" i="5"/>
  <c r="T21" i="3" s="1"/>
  <c r="C22" i="2"/>
  <c r="AH22" i="2" s="1"/>
  <c r="T22" i="2" s="1"/>
  <c r="B23" i="2"/>
  <c r="V39" i="5" l="1" a="1"/>
  <c r="V39" i="5" s="1"/>
  <c r="V41" i="5" a="1"/>
  <c r="V41" i="5" s="1"/>
  <c r="V22" i="2"/>
  <c r="Y22" i="2"/>
  <c r="X21" i="2"/>
  <c r="U32" i="5"/>
  <c r="U20" i="3" s="1"/>
  <c r="U57" i="5"/>
  <c r="U22" i="3" s="1"/>
  <c r="T58" i="5"/>
  <c r="T152" i="5" s="1"/>
  <c r="AE24" i="2" s="1"/>
  <c r="AH14" i="4"/>
  <c r="AH10" i="4"/>
  <c r="AH23" i="4"/>
  <c r="AH25" i="4"/>
  <c r="AH6" i="4"/>
  <c r="AH19" i="4"/>
  <c r="AH24" i="4"/>
  <c r="AH21" i="4"/>
  <c r="AH15" i="4"/>
  <c r="AH17" i="4"/>
  <c r="AH11" i="4"/>
  <c r="AH8" i="4"/>
  <c r="AH13" i="4"/>
  <c r="AH7" i="4"/>
  <c r="AH5" i="4"/>
  <c r="AH20" i="4"/>
  <c r="AH9" i="4"/>
  <c r="AH16" i="4"/>
  <c r="AH18" i="4"/>
  <c r="AH4" i="4"/>
  <c r="AH22" i="4"/>
  <c r="AH12" i="4"/>
  <c r="U28" i="5"/>
  <c r="U19" i="3" s="1"/>
  <c r="T23" i="3"/>
  <c r="T28" i="3" s="1"/>
  <c r="U149" i="5"/>
  <c r="U25" i="3" s="1"/>
  <c r="U46" i="5"/>
  <c r="U21" i="3" s="1"/>
  <c r="U133" i="5"/>
  <c r="U24" i="3" s="1"/>
  <c r="AG34" i="4"/>
  <c r="V24" i="5" a="1"/>
  <c r="V24" i="5" s="1"/>
  <c r="V35" i="5" a="1"/>
  <c r="V35" i="5" s="1"/>
  <c r="V115" i="5"/>
  <c r="W3" i="5"/>
  <c r="V106" i="5"/>
  <c r="V50" i="5" a="1"/>
  <c r="V50" i="5" s="1"/>
  <c r="V83" i="5"/>
  <c r="V120" i="5"/>
  <c r="V82" i="5"/>
  <c r="V141" i="5"/>
  <c r="V75" i="5"/>
  <c r="V21" i="5" a="1"/>
  <c r="V21" i="5" s="1"/>
  <c r="V98" i="5"/>
  <c r="V62" i="5"/>
  <c r="V117" i="5"/>
  <c r="V63" i="5"/>
  <c r="V112" i="5"/>
  <c r="V74" i="5"/>
  <c r="V147" i="5"/>
  <c r="V109" i="5"/>
  <c r="V51" i="5" a="1"/>
  <c r="V51" i="5" s="1"/>
  <c r="V144" i="5"/>
  <c r="V60" i="5"/>
  <c r="V125" i="5"/>
  <c r="V64" i="5"/>
  <c r="V48" i="5" a="1"/>
  <c r="V48" i="5" s="1"/>
  <c r="V101" i="5"/>
  <c r="V93" i="5"/>
  <c r="V36" i="5" a="1"/>
  <c r="V36" i="5" s="1"/>
  <c r="V138" i="5"/>
  <c r="V86" i="5"/>
  <c r="V89" i="5"/>
  <c r="V70" i="5"/>
  <c r="V135" i="5"/>
  <c r="V67" i="5"/>
  <c r="V52" i="5" a="1"/>
  <c r="V52" i="5" s="1"/>
  <c r="V96" i="5"/>
  <c r="V23" i="5" a="1"/>
  <c r="V23" i="5" s="1"/>
  <c r="V100" i="5"/>
  <c r="V40" i="5" a="1"/>
  <c r="V40" i="5" s="1"/>
  <c r="V102" i="5"/>
  <c r="V66" i="5"/>
  <c r="V113" i="5"/>
  <c r="V56" i="5" a="1"/>
  <c r="V56" i="5" s="1"/>
  <c r="V121" i="5"/>
  <c r="V103" i="5"/>
  <c r="V49" i="5" a="1"/>
  <c r="V49" i="5" s="1"/>
  <c r="V136" i="5"/>
  <c r="V84" i="5"/>
  <c r="V108" i="5"/>
  <c r="V45" i="5" a="1"/>
  <c r="V45" i="5" s="1"/>
  <c r="V118" i="5"/>
  <c r="V87" i="5"/>
  <c r="V99" i="5"/>
  <c r="V148" i="5"/>
  <c r="V81" i="5"/>
  <c r="V91" i="5"/>
  <c r="V142" i="5"/>
  <c r="V73" i="5"/>
  <c r="V22" i="5" a="1"/>
  <c r="V22" i="5" s="1"/>
  <c r="V116" i="5"/>
  <c r="V94" i="5"/>
  <c r="V55" i="5" a="1"/>
  <c r="V55" i="5" s="1"/>
  <c r="V140" i="5"/>
  <c r="V90" i="5"/>
  <c r="V129" i="5"/>
  <c r="V95" i="5"/>
  <c r="V30" i="5" a="1"/>
  <c r="V30" i="5" s="1"/>
  <c r="V114" i="5"/>
  <c r="V76" i="5"/>
  <c r="V80" i="5"/>
  <c r="V20" i="5" a="1"/>
  <c r="V20" i="5" s="1"/>
  <c r="V104" i="5"/>
  <c r="V128" i="5"/>
  <c r="V72" i="5"/>
  <c r="V37" i="5" a="1"/>
  <c r="V37" i="5" s="1"/>
  <c r="V111" i="5"/>
  <c r="V97" i="5"/>
  <c r="V88" i="5"/>
  <c r="V78" i="5"/>
  <c r="V132" i="5"/>
  <c r="V68" i="5"/>
  <c r="V38" i="5" a="1"/>
  <c r="V38" i="5" s="1"/>
  <c r="V110" i="5"/>
  <c r="AI3" i="4"/>
  <c r="V107" i="5"/>
  <c r="V71" i="5"/>
  <c r="V34" i="5" a="1"/>
  <c r="V34" i="5" s="1"/>
  <c r="V25" i="5" a="1"/>
  <c r="V25" i="5" s="1"/>
  <c r="V105" i="5"/>
  <c r="V137" i="5"/>
  <c r="V69" i="5"/>
  <c r="V61" i="5"/>
  <c r="V145" i="5"/>
  <c r="V79" i="5"/>
  <c r="V54" i="5" a="1"/>
  <c r="V54" i="5" s="1"/>
  <c r="V123" i="5"/>
  <c r="V131" i="5"/>
  <c r="V31" i="5" a="1"/>
  <c r="V31" i="5" s="1"/>
  <c r="V146" i="5"/>
  <c r="V124" i="5"/>
  <c r="V122" i="5"/>
  <c r="V85" i="5"/>
  <c r="V26" i="5" a="1"/>
  <c r="V26" i="5" s="1"/>
  <c r="V92" i="5"/>
  <c r="V53" i="5" a="1"/>
  <c r="V53" i="5" s="1"/>
  <c r="V119" i="5"/>
  <c r="V65" i="5"/>
  <c r="V126" i="5"/>
  <c r="V143" i="5"/>
  <c r="V77" i="5"/>
  <c r="V130" i="5"/>
  <c r="V127" i="5"/>
  <c r="V139" i="5"/>
  <c r="V3" i="3"/>
  <c r="C23" i="2"/>
  <c r="AH23" i="2" s="1"/>
  <c r="B24" i="2"/>
  <c r="W41" i="5" l="1" a="1"/>
  <c r="W41" i="5" s="1"/>
  <c r="W39" i="5" a="1"/>
  <c r="W39" i="5" s="1"/>
  <c r="AH34" i="4"/>
  <c r="T23" i="2"/>
  <c r="X22" i="2"/>
  <c r="V46" i="5"/>
  <c r="V21" i="3" s="1"/>
  <c r="W128" i="5"/>
  <c r="W102" i="5"/>
  <c r="W37" i="5" a="1"/>
  <c r="W37" i="5" s="1"/>
  <c r="W120" i="5"/>
  <c r="W76" i="5"/>
  <c r="W145" i="5"/>
  <c r="W81" i="5"/>
  <c r="W24" i="5" a="1"/>
  <c r="W24" i="5" s="1"/>
  <c r="W99" i="5"/>
  <c r="W54" i="5" a="1"/>
  <c r="W54" i="5" s="1"/>
  <c r="W125" i="5"/>
  <c r="W21" i="5" a="1"/>
  <c r="W21" i="5" s="1"/>
  <c r="W112" i="5"/>
  <c r="W144" i="5"/>
  <c r="W73" i="5"/>
  <c r="W40" i="5" a="1"/>
  <c r="W40" i="5" s="1"/>
  <c r="W104" i="5"/>
  <c r="W141" i="5"/>
  <c r="W77" i="5"/>
  <c r="W50" i="5" a="1"/>
  <c r="W50" i="5" s="1"/>
  <c r="W113" i="5"/>
  <c r="W26" i="5" a="1"/>
  <c r="W26" i="5" s="1"/>
  <c r="W105" i="5"/>
  <c r="W137" i="5"/>
  <c r="W67" i="5"/>
  <c r="W106" i="5"/>
  <c r="W147" i="5"/>
  <c r="W38" i="5" a="1"/>
  <c r="W38" i="5" s="1"/>
  <c r="W107" i="5"/>
  <c r="W94" i="5"/>
  <c r="W68" i="5"/>
  <c r="W3" i="3"/>
  <c r="W91" i="5"/>
  <c r="W131" i="5"/>
  <c r="W85" i="5"/>
  <c r="W25" i="5" a="1"/>
  <c r="W25" i="5" s="1"/>
  <c r="W103" i="5"/>
  <c r="W135" i="5"/>
  <c r="W65" i="5"/>
  <c r="W53" i="5" a="1"/>
  <c r="W53" i="5" s="1"/>
  <c r="W123" i="5"/>
  <c r="W31" i="5" a="1"/>
  <c r="W31" i="5" s="1"/>
  <c r="W114" i="5"/>
  <c r="W146" i="5"/>
  <c r="W75" i="5"/>
  <c r="W49" i="5" a="1"/>
  <c r="W49" i="5" s="1"/>
  <c r="W51" i="5" a="1"/>
  <c r="W51" i="5" s="1"/>
  <c r="W89" i="5"/>
  <c r="W60" i="5"/>
  <c r="W126" i="5"/>
  <c r="W45" i="5" a="1"/>
  <c r="W45" i="5" s="1"/>
  <c r="W87" i="5"/>
  <c r="W88" i="5"/>
  <c r="W20" i="5" a="1"/>
  <c r="W20" i="5" s="1"/>
  <c r="W95" i="5"/>
  <c r="W96" i="5"/>
  <c r="W139" i="5"/>
  <c r="W69" i="5"/>
  <c r="W36" i="5" a="1"/>
  <c r="W36" i="5" s="1"/>
  <c r="W140" i="5"/>
  <c r="W82" i="5"/>
  <c r="W122" i="5"/>
  <c r="W132" i="5"/>
  <c r="W117" i="5"/>
  <c r="W61" i="5"/>
  <c r="W130" i="5"/>
  <c r="W100" i="5"/>
  <c r="W23" i="5" a="1"/>
  <c r="W23" i="5" s="1"/>
  <c r="W118" i="5"/>
  <c r="W74" i="5"/>
  <c r="W143" i="5"/>
  <c r="W79" i="5"/>
  <c r="W22" i="5" a="1"/>
  <c r="W22" i="5" s="1"/>
  <c r="W109" i="5"/>
  <c r="W127" i="5"/>
  <c r="W92" i="5"/>
  <c r="W66" i="5"/>
  <c r="W62" i="5"/>
  <c r="W124" i="5"/>
  <c r="W48" i="5" a="1"/>
  <c r="W48" i="5" s="1"/>
  <c r="W138" i="5"/>
  <c r="W80" i="5"/>
  <c r="W34" i="5" a="1"/>
  <c r="W34" i="5" s="1"/>
  <c r="W108" i="5"/>
  <c r="W86" i="5"/>
  <c r="X3" i="5"/>
  <c r="W110" i="5"/>
  <c r="W142" i="5"/>
  <c r="W71" i="5"/>
  <c r="W84" i="5"/>
  <c r="W136" i="5"/>
  <c r="W78" i="5"/>
  <c r="W148" i="5"/>
  <c r="W83" i="5"/>
  <c r="W30" i="5" a="1"/>
  <c r="W30" i="5" s="1"/>
  <c r="W101" i="5"/>
  <c r="W56" i="5" a="1"/>
  <c r="W56" i="5" s="1"/>
  <c r="W119" i="5"/>
  <c r="W63" i="5"/>
  <c r="W70" i="5"/>
  <c r="AJ3" i="4"/>
  <c r="W93" i="5"/>
  <c r="W111" i="5"/>
  <c r="W72" i="5"/>
  <c r="W129" i="5"/>
  <c r="W90" i="5"/>
  <c r="W97" i="5"/>
  <c r="W52" i="5" a="1"/>
  <c r="W52" i="5" s="1"/>
  <c r="W115" i="5"/>
  <c r="W55" i="5" a="1"/>
  <c r="W55" i="5" s="1"/>
  <c r="W121" i="5"/>
  <c r="W98" i="5"/>
  <c r="W35" i="5" a="1"/>
  <c r="W35" i="5" s="1"/>
  <c r="W116" i="5"/>
  <c r="W64" i="5"/>
  <c r="V57" i="5"/>
  <c r="V22" i="3" s="1"/>
  <c r="AI17" i="4"/>
  <c r="AI11" i="4"/>
  <c r="AI13" i="4"/>
  <c r="AI25" i="4"/>
  <c r="AI5" i="4"/>
  <c r="AI23" i="4"/>
  <c r="AI21" i="4"/>
  <c r="AI7" i="4"/>
  <c r="AI20" i="4"/>
  <c r="AI14" i="4"/>
  <c r="AI15" i="4"/>
  <c r="AI9" i="4"/>
  <c r="AI24" i="4"/>
  <c r="AI16" i="4"/>
  <c r="AI22" i="4"/>
  <c r="AI12" i="4"/>
  <c r="AI6" i="4"/>
  <c r="AI4" i="4"/>
  <c r="AI18" i="4"/>
  <c r="AI8" i="4"/>
  <c r="AI10" i="4"/>
  <c r="AI19" i="4"/>
  <c r="V28" i="5"/>
  <c r="V19" i="3" s="1"/>
  <c r="V133" i="5"/>
  <c r="V24" i="3" s="1"/>
  <c r="V149" i="5"/>
  <c r="V25" i="3" s="1"/>
  <c r="V32" i="5"/>
  <c r="V20" i="3" s="1"/>
  <c r="U58" i="5"/>
  <c r="U152" i="5" s="1"/>
  <c r="AE25" i="2" s="1"/>
  <c r="U23" i="3"/>
  <c r="U28" i="3" s="1"/>
  <c r="C24" i="2"/>
  <c r="AH24" i="2" s="1"/>
  <c r="T24" i="2" s="1"/>
  <c r="B25" i="2"/>
  <c r="AC20" i="2"/>
  <c r="AB20" i="2" s="1"/>
  <c r="P7" i="5" s="1"/>
  <c r="X41" i="5" l="1" a="1"/>
  <c r="X41" i="5" s="1"/>
  <c r="X39" i="5" a="1"/>
  <c r="X39" i="5" s="1"/>
  <c r="Y23" i="2"/>
  <c r="V23" i="2"/>
  <c r="V24" i="2"/>
  <c r="Y24" i="2"/>
  <c r="W32" i="5"/>
  <c r="W20" i="3" s="1"/>
  <c r="W46" i="5"/>
  <c r="W21" i="3" s="1"/>
  <c r="V58" i="5"/>
  <c r="V152" i="5" s="1"/>
  <c r="AE26" i="2" s="1"/>
  <c r="AB23" i="2" s="1"/>
  <c r="S7" i="5" s="1"/>
  <c r="W57" i="5"/>
  <c r="W22" i="3" s="1"/>
  <c r="V23" i="3"/>
  <c r="V28" i="3" s="1"/>
  <c r="W28" i="5"/>
  <c r="W19" i="3" s="1"/>
  <c r="AJ19" i="4"/>
  <c r="AJ15" i="4"/>
  <c r="AJ17" i="4"/>
  <c r="AJ13" i="4"/>
  <c r="AJ21" i="4"/>
  <c r="AJ11" i="4"/>
  <c r="AJ9" i="4"/>
  <c r="AJ22" i="4"/>
  <c r="AJ25" i="4"/>
  <c r="AJ18" i="4"/>
  <c r="AJ4" i="4"/>
  <c r="AJ24" i="4"/>
  <c r="AJ16" i="4"/>
  <c r="AJ10" i="4"/>
  <c r="AJ6" i="4"/>
  <c r="AJ8" i="4"/>
  <c r="AJ5" i="4"/>
  <c r="AJ20" i="4"/>
  <c r="AJ12" i="4"/>
  <c r="AJ23" i="4"/>
  <c r="AJ14" i="4"/>
  <c r="AJ7" i="4"/>
  <c r="X95" i="5"/>
  <c r="X55" i="5" a="1"/>
  <c r="X55" i="5" s="1"/>
  <c r="X139" i="5"/>
  <c r="X52" i="5" a="1"/>
  <c r="X52" i="5" s="1"/>
  <c r="X131" i="5"/>
  <c r="X96" i="5"/>
  <c r="X35" i="5" a="1"/>
  <c r="X35" i="5" s="1"/>
  <c r="X113" i="5"/>
  <c r="X77" i="5"/>
  <c r="X108" i="5"/>
  <c r="X45" i="5" a="1"/>
  <c r="X45" i="5" s="1"/>
  <c r="X117" i="5"/>
  <c r="X81" i="5"/>
  <c r="X88" i="5"/>
  <c r="X69" i="5"/>
  <c r="X124" i="5"/>
  <c r="X38" i="5" a="1"/>
  <c r="X38" i="5" s="1"/>
  <c r="X109" i="5"/>
  <c r="X146" i="5"/>
  <c r="X84" i="5"/>
  <c r="X61" i="5"/>
  <c r="X123" i="5"/>
  <c r="Y3" i="5"/>
  <c r="X101" i="5"/>
  <c r="X3" i="3"/>
  <c r="X48" i="5" a="1"/>
  <c r="X48" i="5" s="1"/>
  <c r="X130" i="5"/>
  <c r="X31" i="5" a="1"/>
  <c r="X31" i="5" s="1"/>
  <c r="X105" i="5"/>
  <c r="X100" i="5"/>
  <c r="X73" i="5"/>
  <c r="X30" i="5" a="1"/>
  <c r="X30" i="5" s="1"/>
  <c r="X97" i="5"/>
  <c r="X92" i="5"/>
  <c r="X141" i="5"/>
  <c r="X76" i="5"/>
  <c r="X65" i="5"/>
  <c r="X125" i="5"/>
  <c r="X89" i="5"/>
  <c r="X22" i="5" a="1"/>
  <c r="X22" i="5" s="1"/>
  <c r="X93" i="5"/>
  <c r="X53" i="5" a="1"/>
  <c r="X53" i="5" s="1"/>
  <c r="X136" i="5"/>
  <c r="X68" i="5"/>
  <c r="X122" i="5"/>
  <c r="X102" i="5"/>
  <c r="X40" i="5" a="1"/>
  <c r="X40" i="5" s="1"/>
  <c r="X142" i="5"/>
  <c r="X80" i="5"/>
  <c r="X37" i="5" a="1"/>
  <c r="X37" i="5" s="1"/>
  <c r="X114" i="5"/>
  <c r="X60" i="5"/>
  <c r="X94" i="5"/>
  <c r="X126" i="5"/>
  <c r="X36" i="5" a="1"/>
  <c r="X36" i="5" s="1"/>
  <c r="X137" i="5"/>
  <c r="X87" i="5"/>
  <c r="X23" i="5" a="1"/>
  <c r="X23" i="5" s="1"/>
  <c r="X106" i="5"/>
  <c r="X121" i="5"/>
  <c r="X26" i="5" a="1"/>
  <c r="X26" i="5" s="1"/>
  <c r="X140" i="5"/>
  <c r="X72" i="5"/>
  <c r="X98" i="5"/>
  <c r="X118" i="5"/>
  <c r="X64" i="5"/>
  <c r="X129" i="5"/>
  <c r="X90" i="5"/>
  <c r="X34" i="5" a="1"/>
  <c r="X34" i="5" s="1"/>
  <c r="X115" i="5"/>
  <c r="X79" i="5"/>
  <c r="X144" i="5"/>
  <c r="X82" i="5"/>
  <c r="X24" i="5" a="1"/>
  <c r="X24" i="5" s="1"/>
  <c r="X21" i="5" a="1"/>
  <c r="X21" i="5" s="1"/>
  <c r="X99" i="5"/>
  <c r="X120" i="5"/>
  <c r="X111" i="5"/>
  <c r="X138" i="5"/>
  <c r="X70" i="5"/>
  <c r="X56" i="5" a="1"/>
  <c r="X56" i="5" s="1"/>
  <c r="X62" i="5"/>
  <c r="X49" i="5" a="1"/>
  <c r="X49" i="5" s="1"/>
  <c r="X135" i="5"/>
  <c r="X85" i="5"/>
  <c r="X25" i="5" a="1"/>
  <c r="X25" i="5" s="1"/>
  <c r="X145" i="5"/>
  <c r="X54" i="5" a="1"/>
  <c r="X54" i="5" s="1"/>
  <c r="X127" i="5"/>
  <c r="X86" i="5"/>
  <c r="X20" i="5" a="1"/>
  <c r="X20" i="5" s="1"/>
  <c r="X107" i="5"/>
  <c r="X71" i="5"/>
  <c r="X143" i="5"/>
  <c r="X74" i="5"/>
  <c r="AK3" i="4"/>
  <c r="X119" i="5"/>
  <c r="X83" i="5"/>
  <c r="X148" i="5"/>
  <c r="X78" i="5"/>
  <c r="X63" i="5"/>
  <c r="X66" i="5"/>
  <c r="X147" i="5"/>
  <c r="X91" i="5"/>
  <c r="X67" i="5"/>
  <c r="X104" i="5"/>
  <c r="X110" i="5"/>
  <c r="X75" i="5"/>
  <c r="X51" i="5" a="1"/>
  <c r="X51" i="5" s="1"/>
  <c r="X112" i="5"/>
  <c r="X128" i="5"/>
  <c r="X50" i="5" a="1"/>
  <c r="X50" i="5" s="1"/>
  <c r="X132" i="5"/>
  <c r="X103" i="5"/>
  <c r="X116" i="5"/>
  <c r="W149" i="5"/>
  <c r="W25" i="3" s="1"/>
  <c r="W133" i="5"/>
  <c r="W24" i="3" s="1"/>
  <c r="AI34" i="4"/>
  <c r="B26" i="2"/>
  <c r="C25" i="2"/>
  <c r="AH25" i="2" s="1"/>
  <c r="T25" i="2" s="1"/>
  <c r="P14" i="5"/>
  <c r="P15" i="5" s="1"/>
  <c r="P7" i="3"/>
  <c r="Y41" i="5" l="1" a="1"/>
  <c r="Y41" i="5" s="1"/>
  <c r="Y39" i="5" a="1"/>
  <c r="Y39" i="5" s="1"/>
  <c r="V25" i="2"/>
  <c r="Y25" i="2"/>
  <c r="X24" i="2"/>
  <c r="X23" i="2"/>
  <c r="AC23" i="2"/>
  <c r="X32" i="5"/>
  <c r="X20" i="3" s="1"/>
  <c r="S14" i="5"/>
  <c r="S15" i="5" s="1"/>
  <c r="S7" i="3"/>
  <c r="S14" i="3" s="1"/>
  <c r="X28" i="5"/>
  <c r="X19" i="3" s="1"/>
  <c r="X133" i="5"/>
  <c r="X24" i="3" s="1"/>
  <c r="X57" i="5"/>
  <c r="X22" i="3" s="1"/>
  <c r="AJ34" i="4"/>
  <c r="W58" i="5"/>
  <c r="W152" i="5" s="1"/>
  <c r="AE27" i="2" s="1"/>
  <c r="W23" i="3"/>
  <c r="W28" i="3" s="1"/>
  <c r="AK20" i="4"/>
  <c r="AK13" i="4"/>
  <c r="AK16" i="4"/>
  <c r="AK5" i="4"/>
  <c r="AK8" i="4"/>
  <c r="AK17" i="4"/>
  <c r="AK15" i="4"/>
  <c r="AK7" i="4"/>
  <c r="AK25" i="4"/>
  <c r="AK24" i="4"/>
  <c r="AK9" i="4"/>
  <c r="AK12" i="4"/>
  <c r="AK21" i="4"/>
  <c r="AK4" i="4"/>
  <c r="AK6" i="4"/>
  <c r="AK23" i="4"/>
  <c r="AK11" i="4"/>
  <c r="AK19" i="4"/>
  <c r="AK14" i="4"/>
  <c r="AK10" i="4"/>
  <c r="AK22" i="4"/>
  <c r="AK18" i="4"/>
  <c r="X149" i="5"/>
  <c r="X25" i="3" s="1"/>
  <c r="Y106" i="5"/>
  <c r="Y63" i="5"/>
  <c r="Y138" i="5"/>
  <c r="Y68" i="5"/>
  <c r="Y131" i="5"/>
  <c r="Y105" i="5"/>
  <c r="Y48" i="5" a="1"/>
  <c r="Y48" i="5" s="1"/>
  <c r="Y137" i="5"/>
  <c r="Y81" i="5"/>
  <c r="Y67" i="5"/>
  <c r="Y98" i="5"/>
  <c r="Y52" i="5" a="1"/>
  <c r="Y52" i="5" s="1"/>
  <c r="Y116" i="5"/>
  <c r="Y60" i="5"/>
  <c r="Y128" i="5"/>
  <c r="Y97" i="5"/>
  <c r="Y31" i="5" a="1"/>
  <c r="Y31" i="5" s="1"/>
  <c r="Y115" i="5"/>
  <c r="Y73" i="5"/>
  <c r="Y38" i="5" a="1"/>
  <c r="Y38" i="5" s="1"/>
  <c r="Y108" i="5"/>
  <c r="Y125" i="5"/>
  <c r="Y21" i="5" a="1"/>
  <c r="Y21" i="5" s="1"/>
  <c r="Y107" i="5"/>
  <c r="Y144" i="5"/>
  <c r="Y82" i="5"/>
  <c r="Y86" i="5"/>
  <c r="Y136" i="5"/>
  <c r="Y66" i="5"/>
  <c r="Y103" i="5"/>
  <c r="Y118" i="5"/>
  <c r="Y99" i="5"/>
  <c r="Y20" i="5" a="1"/>
  <c r="Y20" i="5" s="1"/>
  <c r="Y147" i="5"/>
  <c r="Y90" i="5"/>
  <c r="Y85" i="5"/>
  <c r="Y89" i="5"/>
  <c r="Y65" i="5"/>
  <c r="Y124" i="5"/>
  <c r="Y101" i="5"/>
  <c r="Y37" i="5" a="1"/>
  <c r="Y37" i="5" s="1"/>
  <c r="Y119" i="5"/>
  <c r="Y22" i="5" a="1"/>
  <c r="Y22" i="5" s="1"/>
  <c r="Y100" i="5"/>
  <c r="Y77" i="5"/>
  <c r="Y54" i="5" a="1"/>
  <c r="Y54" i="5" s="1"/>
  <c r="Y35" i="5" a="1"/>
  <c r="Y35" i="5" s="1"/>
  <c r="Y104" i="5"/>
  <c r="Y122" i="5"/>
  <c r="Y110" i="5"/>
  <c r="Y141" i="5"/>
  <c r="Y72" i="5"/>
  <c r="Y121" i="5"/>
  <c r="Y93" i="5"/>
  <c r="Y30" i="5" a="1"/>
  <c r="Y30" i="5" s="1"/>
  <c r="Y111" i="5"/>
  <c r="Y69" i="5"/>
  <c r="Y143" i="5"/>
  <c r="Y74" i="5"/>
  <c r="AL3" i="4"/>
  <c r="Y92" i="5"/>
  <c r="Y40" i="5" a="1"/>
  <c r="Y40" i="5" s="1"/>
  <c r="Y132" i="5"/>
  <c r="Y61" i="5"/>
  <c r="Y45" i="5" a="1"/>
  <c r="Y45" i="5" s="1"/>
  <c r="Y75" i="5"/>
  <c r="Y51" i="5" a="1"/>
  <c r="Y51" i="5" s="1"/>
  <c r="Y123" i="5"/>
  <c r="Y126" i="5"/>
  <c r="Y91" i="5"/>
  <c r="Y148" i="5"/>
  <c r="Y78" i="5"/>
  <c r="Z3" i="5"/>
  <c r="Y96" i="5"/>
  <c r="Y50" i="5" a="1"/>
  <c r="Y50" i="5" s="1"/>
  <c r="Y114" i="5"/>
  <c r="Y55" i="5" a="1"/>
  <c r="Y55" i="5" s="1"/>
  <c r="Y130" i="5"/>
  <c r="Y95" i="5"/>
  <c r="Y25" i="5" a="1"/>
  <c r="Y25" i="5" s="1"/>
  <c r="Y129" i="5"/>
  <c r="Y88" i="5"/>
  <c r="Y127" i="5"/>
  <c r="Y23" i="5" a="1"/>
  <c r="Y23" i="5" s="1"/>
  <c r="Y62" i="5"/>
  <c r="Y142" i="5"/>
  <c r="Y80" i="5"/>
  <c r="Y140" i="5"/>
  <c r="Y70" i="5"/>
  <c r="Y36" i="5" a="1"/>
  <c r="Y36" i="5" s="1"/>
  <c r="Y139" i="5"/>
  <c r="Y83" i="5"/>
  <c r="Y87" i="5"/>
  <c r="Y34" i="5" a="1"/>
  <c r="Y34" i="5" s="1"/>
  <c r="Y117" i="5"/>
  <c r="Y24" i="5" a="1"/>
  <c r="Y24" i="5" s="1"/>
  <c r="Y109" i="5"/>
  <c r="Y135" i="5"/>
  <c r="Y79" i="5"/>
  <c r="Y146" i="5"/>
  <c r="Y84" i="5"/>
  <c r="Y26" i="5" a="1"/>
  <c r="Y26" i="5" s="1"/>
  <c r="Y102" i="5"/>
  <c r="Y56" i="5" a="1"/>
  <c r="Y56" i="5" s="1"/>
  <c r="Y120" i="5"/>
  <c r="Y64" i="5"/>
  <c r="Y71" i="5"/>
  <c r="Y3" i="3"/>
  <c r="Y94" i="5"/>
  <c r="Y53" i="5" a="1"/>
  <c r="Y53" i="5" s="1"/>
  <c r="Y113" i="5"/>
  <c r="Y145" i="5"/>
  <c r="Y76" i="5"/>
  <c r="Y49" i="5" a="1"/>
  <c r="Y49" i="5" s="1"/>
  <c r="Y112" i="5"/>
  <c r="X46" i="5"/>
  <c r="X21" i="3" s="1"/>
  <c r="B27" i="2"/>
  <c r="C26" i="2"/>
  <c r="AH26" i="2" s="1"/>
  <c r="T26" i="2" s="1"/>
  <c r="P14" i="3"/>
  <c r="P15" i="3" s="1"/>
  <c r="S15" i="3"/>
  <c r="Z41" i="5" l="1" a="1"/>
  <c r="Z41" i="5" s="1"/>
  <c r="Z39" i="5" a="1"/>
  <c r="Z39" i="5" s="1"/>
  <c r="Y149" i="5"/>
  <c r="Y25" i="3" s="1"/>
  <c r="AK34" i="4"/>
  <c r="V26" i="2"/>
  <c r="Y26" i="2"/>
  <c r="X25" i="2"/>
  <c r="Y32" i="5"/>
  <c r="Y20" i="3" s="1"/>
  <c r="Y133" i="5"/>
  <c r="Y24" i="3" s="1"/>
  <c r="Z144" i="5"/>
  <c r="Z73" i="5"/>
  <c r="Z3" i="3"/>
  <c r="Z105" i="5"/>
  <c r="Z45" i="5" a="1"/>
  <c r="Z45" i="5" s="1"/>
  <c r="Z140" i="5"/>
  <c r="Z50" i="5" a="1"/>
  <c r="Z50" i="5" s="1"/>
  <c r="Z121" i="5"/>
  <c r="Z107" i="5"/>
  <c r="Z20" i="5" a="1"/>
  <c r="Z20" i="5" s="1"/>
  <c r="Z65" i="5"/>
  <c r="Z80" i="5"/>
  <c r="Z34" i="5" a="1"/>
  <c r="Z34" i="5" s="1"/>
  <c r="Z36" i="5" a="1"/>
  <c r="Z36" i="5" s="1"/>
  <c r="Z116" i="5"/>
  <c r="Z91" i="5"/>
  <c r="Z119" i="5"/>
  <c r="Z129" i="5"/>
  <c r="Z97" i="5"/>
  <c r="Z38" i="5" a="1"/>
  <c r="Z38" i="5" s="1"/>
  <c r="Z118" i="5"/>
  <c r="Z148" i="5"/>
  <c r="Z83" i="5"/>
  <c r="Z111" i="5"/>
  <c r="Z54" i="5" a="1"/>
  <c r="Z54" i="5" s="1"/>
  <c r="Z128" i="5"/>
  <c r="Z89" i="5"/>
  <c r="Z23" i="5" a="1"/>
  <c r="Z23" i="5" s="1"/>
  <c r="Z110" i="5"/>
  <c r="Z72" i="5"/>
  <c r="Z142" i="5"/>
  <c r="Z75" i="5"/>
  <c r="Z60" i="5"/>
  <c r="Z95" i="5"/>
  <c r="Z126" i="5"/>
  <c r="Z66" i="5"/>
  <c r="AM3" i="4"/>
  <c r="Z84" i="5"/>
  <c r="Z26" i="5" a="1"/>
  <c r="Z26" i="5" s="1"/>
  <c r="Z104" i="5"/>
  <c r="Z135" i="5"/>
  <c r="Z67" i="5"/>
  <c r="Z100" i="5"/>
  <c r="Z78" i="5"/>
  <c r="Z51" i="5" a="1"/>
  <c r="Z51" i="5" s="1"/>
  <c r="Z69" i="5"/>
  <c r="Z136" i="5"/>
  <c r="Z132" i="5"/>
  <c r="Z90" i="5"/>
  <c r="Z64" i="5"/>
  <c r="Z122" i="5"/>
  <c r="Z21" i="5" a="1"/>
  <c r="Z21" i="5" s="1"/>
  <c r="Z94" i="5"/>
  <c r="Z35" i="5" a="1"/>
  <c r="Z35" i="5" s="1"/>
  <c r="Z106" i="5"/>
  <c r="Z114" i="5"/>
  <c r="Z76" i="5"/>
  <c r="Z143" i="5"/>
  <c r="Z79" i="5"/>
  <c r="Z25" i="5" a="1"/>
  <c r="Z25" i="5" s="1"/>
  <c r="Z96" i="5"/>
  <c r="Z53" i="5" a="1"/>
  <c r="Z53" i="5" s="1"/>
  <c r="Z113" i="5"/>
  <c r="Z56" i="5" a="1"/>
  <c r="Z56" i="5" s="1"/>
  <c r="Z108" i="5"/>
  <c r="Z68" i="5"/>
  <c r="Z139" i="5"/>
  <c r="Z71" i="5"/>
  <c r="Z147" i="5"/>
  <c r="Z103" i="5"/>
  <c r="Z37" i="5" a="1"/>
  <c r="Z37" i="5" s="1"/>
  <c r="Z138" i="5"/>
  <c r="Z86" i="5"/>
  <c r="Z117" i="5"/>
  <c r="Z74" i="5"/>
  <c r="Z123" i="5"/>
  <c r="Z63" i="5"/>
  <c r="Z24" i="5" a="1"/>
  <c r="Z24" i="5" s="1"/>
  <c r="Z112" i="5"/>
  <c r="Z88" i="5"/>
  <c r="Z125" i="5"/>
  <c r="Z92" i="5"/>
  <c r="Z48" i="5" a="1"/>
  <c r="Z48" i="5" s="1"/>
  <c r="Z146" i="5"/>
  <c r="Z52" i="5" a="1"/>
  <c r="Z52" i="5" s="1"/>
  <c r="Z130" i="5"/>
  <c r="Z87" i="5"/>
  <c r="Z22" i="5" a="1"/>
  <c r="Z22" i="5" s="1"/>
  <c r="Z109" i="5"/>
  <c r="Z70" i="5"/>
  <c r="Z99" i="5"/>
  <c r="Z82" i="5"/>
  <c r="Z85" i="5"/>
  <c r="AA3" i="5"/>
  <c r="Z102" i="5"/>
  <c r="Z127" i="5"/>
  <c r="Z40" i="5" a="1"/>
  <c r="Z40" i="5" s="1"/>
  <c r="Z120" i="5"/>
  <c r="Z131" i="5"/>
  <c r="Z62" i="5"/>
  <c r="Z141" i="5"/>
  <c r="Z77" i="5"/>
  <c r="Z137" i="5"/>
  <c r="Z101" i="5"/>
  <c r="Z49" i="5" a="1"/>
  <c r="Z49" i="5" s="1"/>
  <c r="Z145" i="5"/>
  <c r="Z81" i="5"/>
  <c r="Z31" i="5" a="1"/>
  <c r="Z31" i="5" s="1"/>
  <c r="Z98" i="5"/>
  <c r="Z55" i="5" a="1"/>
  <c r="Z55" i="5" s="1"/>
  <c r="Z115" i="5"/>
  <c r="Z61" i="5"/>
  <c r="Z124" i="5"/>
  <c r="Z93" i="5"/>
  <c r="Z30" i="5" a="1"/>
  <c r="Z30" i="5" s="1"/>
  <c r="AL7" i="4"/>
  <c r="AL16" i="4"/>
  <c r="AL22" i="4"/>
  <c r="AL8" i="4"/>
  <c r="AL4" i="4"/>
  <c r="AL12" i="4"/>
  <c r="AL14" i="4"/>
  <c r="AL9" i="4"/>
  <c r="AL18" i="4"/>
  <c r="AL19" i="4"/>
  <c r="AL6" i="4"/>
  <c r="AL10" i="4"/>
  <c r="AL25" i="4"/>
  <c r="AL21" i="4"/>
  <c r="AL5" i="4"/>
  <c r="AL24" i="4"/>
  <c r="AL17" i="4"/>
  <c r="AL23" i="4"/>
  <c r="AL13" i="4"/>
  <c r="AL15" i="4"/>
  <c r="AL11" i="4"/>
  <c r="AL20" i="4"/>
  <c r="Y46" i="5"/>
  <c r="Y21" i="3" s="1"/>
  <c r="Y28" i="5"/>
  <c r="Y19" i="3" s="1"/>
  <c r="X58" i="5"/>
  <c r="X152" i="5" s="1"/>
  <c r="AE28" i="2" s="1"/>
  <c r="Y57" i="5"/>
  <c r="Y22" i="3" s="1"/>
  <c r="X23" i="3"/>
  <c r="X28" i="3" s="1"/>
  <c r="B28" i="2"/>
  <c r="C27" i="2"/>
  <c r="AH27" i="2" s="1"/>
  <c r="T27" i="2" s="1"/>
  <c r="AA41" i="5" l="1" a="1"/>
  <c r="AA41" i="5" s="1"/>
  <c r="AA39" i="5" a="1"/>
  <c r="AA39" i="5" s="1"/>
  <c r="V27" i="2"/>
  <c r="Y27" i="2"/>
  <c r="X26" i="2"/>
  <c r="AC26" i="2"/>
  <c r="Z57" i="5"/>
  <c r="Z22" i="3" s="1"/>
  <c r="AB3" i="5"/>
  <c r="AA110" i="5"/>
  <c r="AA125" i="5"/>
  <c r="AA37" i="5" a="1"/>
  <c r="AA37" i="5" s="1"/>
  <c r="AA122" i="5"/>
  <c r="AA146" i="5"/>
  <c r="AA77" i="5"/>
  <c r="AN3" i="4"/>
  <c r="AA93" i="5"/>
  <c r="AA49" i="5" a="1"/>
  <c r="AA49" i="5" s="1"/>
  <c r="AA111" i="5"/>
  <c r="AA53" i="5" a="1"/>
  <c r="AA53" i="5" s="1"/>
  <c r="AA130" i="5"/>
  <c r="AA86" i="5"/>
  <c r="AA62" i="5"/>
  <c r="AA117" i="5"/>
  <c r="AA76" i="5"/>
  <c r="AA52" i="5" a="1"/>
  <c r="AA52" i="5" s="1"/>
  <c r="AA127" i="5"/>
  <c r="AA88" i="5"/>
  <c r="AA56" i="5" a="1"/>
  <c r="AA56" i="5" s="1"/>
  <c r="AA119" i="5"/>
  <c r="AA63" i="5"/>
  <c r="AA137" i="5"/>
  <c r="AA69" i="5"/>
  <c r="AA121" i="5"/>
  <c r="AA106" i="5"/>
  <c r="AA48" i="5" a="1"/>
  <c r="AA48" i="5" s="1"/>
  <c r="AA138" i="5"/>
  <c r="AA80" i="5"/>
  <c r="AA141" i="5"/>
  <c r="AA79" i="5"/>
  <c r="AA21" i="5" a="1"/>
  <c r="AA21" i="5" s="1"/>
  <c r="AA35" i="5" a="1"/>
  <c r="AA35" i="5" s="1"/>
  <c r="AA116" i="5"/>
  <c r="AA72" i="5"/>
  <c r="AA40" i="5" a="1"/>
  <c r="AA40" i="5" s="1"/>
  <c r="AA136" i="5"/>
  <c r="AA31" i="5" a="1"/>
  <c r="AA31" i="5" s="1"/>
  <c r="AA97" i="5"/>
  <c r="AA94" i="5"/>
  <c r="AA115" i="5"/>
  <c r="AA61" i="5"/>
  <c r="AA129" i="5"/>
  <c r="AA98" i="5"/>
  <c r="AA139" i="5"/>
  <c r="AA71" i="5"/>
  <c r="AA51" i="5" a="1"/>
  <c r="AA51" i="5" s="1"/>
  <c r="AA83" i="5"/>
  <c r="AA25" i="5" a="1"/>
  <c r="AA25" i="5" s="1"/>
  <c r="AA147" i="5"/>
  <c r="AA95" i="5"/>
  <c r="AA55" i="5" a="1"/>
  <c r="AA55" i="5" s="1"/>
  <c r="AA131" i="5"/>
  <c r="AA107" i="5"/>
  <c r="AA84" i="5"/>
  <c r="AA126" i="5"/>
  <c r="AA90" i="5"/>
  <c r="AA34" i="5" a="1"/>
  <c r="AA34" i="5" s="1"/>
  <c r="AA108" i="5"/>
  <c r="AA64" i="5"/>
  <c r="AA120" i="5"/>
  <c r="AA145" i="5"/>
  <c r="AA24" i="5" a="1"/>
  <c r="AA24" i="5" s="1"/>
  <c r="AA99" i="5"/>
  <c r="AA112" i="5"/>
  <c r="AA3" i="3"/>
  <c r="AA91" i="5"/>
  <c r="AA45" i="5" a="1"/>
  <c r="AA45" i="5" s="1"/>
  <c r="AA114" i="5"/>
  <c r="AA96" i="5"/>
  <c r="AA54" i="5" a="1"/>
  <c r="AA54" i="5" s="1"/>
  <c r="AA109" i="5"/>
  <c r="AA68" i="5"/>
  <c r="AA104" i="5"/>
  <c r="AA36" i="5" a="1"/>
  <c r="AA36" i="5" s="1"/>
  <c r="AA140" i="5"/>
  <c r="AA82" i="5"/>
  <c r="AA85" i="5"/>
  <c r="AA144" i="5"/>
  <c r="AA75" i="5"/>
  <c r="AA50" i="5" a="1"/>
  <c r="AA50" i="5" s="1"/>
  <c r="AA113" i="5"/>
  <c r="AA38" i="5" a="1"/>
  <c r="AA38" i="5" s="1"/>
  <c r="AA128" i="5"/>
  <c r="AA103" i="5"/>
  <c r="AA60" i="5"/>
  <c r="AA135" i="5"/>
  <c r="AA67" i="5"/>
  <c r="AA123" i="5"/>
  <c r="AA78" i="5"/>
  <c r="AA26" i="5" a="1"/>
  <c r="AA26" i="5" s="1"/>
  <c r="AA105" i="5"/>
  <c r="AA87" i="5"/>
  <c r="AA20" i="5" a="1"/>
  <c r="AA20" i="5" s="1"/>
  <c r="AA148" i="5"/>
  <c r="AA30" i="5" a="1"/>
  <c r="AA30" i="5" s="1"/>
  <c r="AA101" i="5"/>
  <c r="AA124" i="5"/>
  <c r="AA100" i="5"/>
  <c r="AA23" i="5" a="1"/>
  <c r="AA23" i="5" s="1"/>
  <c r="AA118" i="5"/>
  <c r="AA74" i="5"/>
  <c r="AA143" i="5"/>
  <c r="AA81" i="5"/>
  <c r="AA22" i="5" a="1"/>
  <c r="AA22" i="5" s="1"/>
  <c r="AA89" i="5"/>
  <c r="AA70" i="5"/>
  <c r="AA132" i="5"/>
  <c r="AA92" i="5"/>
  <c r="AA66" i="5"/>
  <c r="AA142" i="5"/>
  <c r="AA73" i="5"/>
  <c r="AA102" i="5"/>
  <c r="AA65" i="5"/>
  <c r="Z28" i="5"/>
  <c r="Z19" i="3" s="1"/>
  <c r="Z133" i="5"/>
  <c r="Z24" i="3" s="1"/>
  <c r="Y58" i="5"/>
  <c r="Y152" i="5" s="1"/>
  <c r="AE29" i="2" s="1"/>
  <c r="AB26" i="2" s="1"/>
  <c r="V7" i="5" s="1"/>
  <c r="Z32" i="5"/>
  <c r="Z20" i="3" s="1"/>
  <c r="Y23" i="3"/>
  <c r="Y28" i="3" s="1"/>
  <c r="Z149" i="5"/>
  <c r="Z25" i="3" s="1"/>
  <c r="AM21" i="4"/>
  <c r="AM13" i="4"/>
  <c r="AM7" i="4"/>
  <c r="AM16" i="4"/>
  <c r="AM9" i="4"/>
  <c r="AM5" i="4"/>
  <c r="AM22" i="4"/>
  <c r="AM8" i="4"/>
  <c r="AM4" i="4"/>
  <c r="AM15" i="4"/>
  <c r="AM20" i="4"/>
  <c r="AM25" i="4"/>
  <c r="AM12" i="4"/>
  <c r="AM18" i="4"/>
  <c r="AM14" i="4"/>
  <c r="AM23" i="4"/>
  <c r="AM17" i="4"/>
  <c r="AM24" i="4"/>
  <c r="AM10" i="4"/>
  <c r="AM11" i="4"/>
  <c r="AM6" i="4"/>
  <c r="AM19" i="4"/>
  <c r="Z46" i="5"/>
  <c r="Z21" i="3" s="1"/>
  <c r="AL34" i="4"/>
  <c r="C28" i="2"/>
  <c r="AH28" i="2" s="1"/>
  <c r="T28" i="2" s="1"/>
  <c r="B29" i="2"/>
  <c r="AB41" i="5" l="1" a="1"/>
  <c r="AB41" i="5" s="1"/>
  <c r="AB39" i="5" a="1"/>
  <c r="AB39" i="5" s="1"/>
  <c r="V28" i="2"/>
  <c r="Y28" i="2"/>
  <c r="X27" i="2"/>
  <c r="Z58" i="5"/>
  <c r="Z152" i="5" s="1"/>
  <c r="AE30" i="2" s="1"/>
  <c r="Z23" i="3"/>
  <c r="Z28" i="3" s="1"/>
  <c r="AA32" i="5"/>
  <c r="AA20" i="3" s="1"/>
  <c r="V14" i="5"/>
  <c r="V15" i="5" s="1"/>
  <c r="V7" i="3"/>
  <c r="V14" i="3" s="1"/>
  <c r="V15" i="3" s="1"/>
  <c r="AA28" i="5"/>
  <c r="AA19" i="3" s="1"/>
  <c r="AA46" i="5"/>
  <c r="AA21" i="3" s="1"/>
  <c r="AN16" i="4"/>
  <c r="AN14" i="4"/>
  <c r="AN5" i="4"/>
  <c r="AN10" i="4"/>
  <c r="AN11" i="4"/>
  <c r="AN9" i="4"/>
  <c r="AN25" i="4"/>
  <c r="AN6" i="4"/>
  <c r="AN23" i="4"/>
  <c r="AN17" i="4"/>
  <c r="AN19" i="4"/>
  <c r="AN20" i="4"/>
  <c r="AN22" i="4"/>
  <c r="AN18" i="4"/>
  <c r="AN24" i="4"/>
  <c r="AN21" i="4"/>
  <c r="AN7" i="4"/>
  <c r="AN13" i="4"/>
  <c r="AN15" i="4"/>
  <c r="AN4" i="4"/>
  <c r="AN12" i="4"/>
  <c r="AN8" i="4"/>
  <c r="AA149" i="5"/>
  <c r="AA25" i="3" s="1"/>
  <c r="AA57" i="5"/>
  <c r="AA22" i="3" s="1"/>
  <c r="AA133" i="5"/>
  <c r="AA24" i="3" s="1"/>
  <c r="AB107" i="5"/>
  <c r="AB48" i="5" a="1"/>
  <c r="AB48" i="5" s="1"/>
  <c r="AB141" i="5"/>
  <c r="AB50" i="5" a="1"/>
  <c r="AB50" i="5" s="1"/>
  <c r="AB129" i="5"/>
  <c r="AB88" i="5"/>
  <c r="AB34" i="5" a="1"/>
  <c r="AB34" i="5" s="1"/>
  <c r="AB108" i="5"/>
  <c r="AB122" i="5"/>
  <c r="AB123" i="5"/>
  <c r="AB124" i="5"/>
  <c r="AB67" i="5"/>
  <c r="AB74" i="5"/>
  <c r="AB126" i="5"/>
  <c r="AB132" i="5"/>
  <c r="AB138" i="5"/>
  <c r="AB66" i="5"/>
  <c r="AB144" i="5"/>
  <c r="AB78" i="5"/>
  <c r="AB24" i="5" a="1"/>
  <c r="AB24" i="5" s="1"/>
  <c r="AB95" i="5"/>
  <c r="AB55" i="5" a="1"/>
  <c r="AB55" i="5" s="1"/>
  <c r="AB116" i="5"/>
  <c r="AB56" i="5" a="1"/>
  <c r="AB56" i="5" s="1"/>
  <c r="AB136" i="5"/>
  <c r="AB121" i="5"/>
  <c r="AB72" i="5"/>
  <c r="AO3" i="4"/>
  <c r="AB106" i="5"/>
  <c r="AB110" i="5"/>
  <c r="AB3" i="3"/>
  <c r="AB128" i="5"/>
  <c r="AB71" i="5"/>
  <c r="AB113" i="5"/>
  <c r="AB77" i="5"/>
  <c r="AB142" i="5"/>
  <c r="AB76" i="5"/>
  <c r="AB69" i="5"/>
  <c r="AB51" i="5" a="1"/>
  <c r="AB51" i="5" s="1"/>
  <c r="AB145" i="5"/>
  <c r="AB70" i="5"/>
  <c r="AB45" i="5" a="1"/>
  <c r="AB45" i="5" s="1"/>
  <c r="AB139" i="5"/>
  <c r="AB86" i="5"/>
  <c r="AB146" i="5"/>
  <c r="AB79" i="5"/>
  <c r="AB52" i="5" a="1"/>
  <c r="AB52" i="5" s="1"/>
  <c r="AB130" i="5"/>
  <c r="AB90" i="5"/>
  <c r="AB73" i="5"/>
  <c r="AB91" i="5"/>
  <c r="AB65" i="5"/>
  <c r="AB105" i="5"/>
  <c r="AB147" i="5"/>
  <c r="AB104" i="5"/>
  <c r="AB118" i="5"/>
  <c r="AB127" i="5"/>
  <c r="AB83" i="5"/>
  <c r="AB26" i="5" a="1"/>
  <c r="AB26" i="5" s="1"/>
  <c r="AB111" i="5"/>
  <c r="AB89" i="5"/>
  <c r="AB120" i="5"/>
  <c r="AB62" i="5"/>
  <c r="AB125" i="5"/>
  <c r="AB98" i="5"/>
  <c r="AB38" i="5" a="1"/>
  <c r="AB38" i="5" s="1"/>
  <c r="AB117" i="5"/>
  <c r="AB81" i="5"/>
  <c r="AB94" i="5"/>
  <c r="AB137" i="5"/>
  <c r="AB49" i="5" a="1"/>
  <c r="AB49" i="5" s="1"/>
  <c r="AB64" i="5"/>
  <c r="AB22" i="5" a="1"/>
  <c r="AB22" i="5" s="1"/>
  <c r="AB101" i="5"/>
  <c r="AB30" i="5" a="1"/>
  <c r="AB30" i="5" s="1"/>
  <c r="AB112" i="5"/>
  <c r="AC3" i="5"/>
  <c r="AB109" i="5"/>
  <c r="AB84" i="5"/>
  <c r="AB23" i="5" a="1"/>
  <c r="AB23" i="5" s="1"/>
  <c r="AB93" i="5"/>
  <c r="AB140" i="5"/>
  <c r="AB68" i="5"/>
  <c r="AB97" i="5"/>
  <c r="AB96" i="5"/>
  <c r="AB40" i="5" a="1"/>
  <c r="AB40" i="5" s="1"/>
  <c r="AB119" i="5"/>
  <c r="AB92" i="5"/>
  <c r="AB25" i="5" a="1"/>
  <c r="AB25" i="5" s="1"/>
  <c r="AB103" i="5"/>
  <c r="AB135" i="5"/>
  <c r="AB85" i="5"/>
  <c r="AB80" i="5"/>
  <c r="AB53" i="5" a="1"/>
  <c r="AB53" i="5" s="1"/>
  <c r="AB35" i="5" a="1"/>
  <c r="AB35" i="5" s="1"/>
  <c r="AB87" i="5"/>
  <c r="AB37" i="5" a="1"/>
  <c r="AB37" i="5" s="1"/>
  <c r="AB114" i="5"/>
  <c r="AB61" i="5"/>
  <c r="AB36" i="5" a="1"/>
  <c r="AB36" i="5" s="1"/>
  <c r="AB99" i="5"/>
  <c r="AB131" i="5"/>
  <c r="AB75" i="5"/>
  <c r="AB31" i="5" a="1"/>
  <c r="AB31" i="5" s="1"/>
  <c r="AB102" i="5"/>
  <c r="AB60" i="5"/>
  <c r="AB82" i="5"/>
  <c r="AB115" i="5"/>
  <c r="AB100" i="5"/>
  <c r="AB20" i="5" a="1"/>
  <c r="AB20" i="5" s="1"/>
  <c r="AB54" i="5" a="1"/>
  <c r="AB54" i="5" s="1"/>
  <c r="AB143" i="5"/>
  <c r="AB148" i="5"/>
  <c r="AB21" i="5" a="1"/>
  <c r="AB21" i="5" s="1"/>
  <c r="AB63" i="5"/>
  <c r="AM34" i="4"/>
  <c r="B30" i="2"/>
  <c r="C29" i="2"/>
  <c r="AH29" i="2" s="1"/>
  <c r="T29" i="2" s="1"/>
  <c r="AC41" i="5" l="1" a="1"/>
  <c r="AC41" i="5" s="1"/>
  <c r="AC39" i="5" a="1"/>
  <c r="AC39" i="5" s="1"/>
  <c r="AN34" i="4"/>
  <c r="Y29" i="2"/>
  <c r="V29" i="2"/>
  <c r="X28" i="2"/>
  <c r="AB32" i="5"/>
  <c r="AB20" i="3" s="1"/>
  <c r="AB57" i="5"/>
  <c r="AB22" i="3" s="1"/>
  <c r="AB28" i="5"/>
  <c r="AB19" i="3" s="1"/>
  <c r="AB133" i="5"/>
  <c r="AB24" i="3" s="1"/>
  <c r="AA58" i="5"/>
  <c r="AA152" i="5" s="1"/>
  <c r="AE31" i="2" s="1"/>
  <c r="AB149" i="5"/>
  <c r="AB25" i="3" s="1"/>
  <c r="AB46" i="5"/>
  <c r="AB21" i="3" s="1"/>
  <c r="AA23" i="3"/>
  <c r="AA28" i="3" s="1"/>
  <c r="AC56" i="5" a="1"/>
  <c r="AC56" i="5" s="1"/>
  <c r="AC120" i="5"/>
  <c r="AC53" i="5" a="1"/>
  <c r="AC53" i="5" s="1"/>
  <c r="AC113" i="5"/>
  <c r="AD3" i="5"/>
  <c r="AC3" i="3"/>
  <c r="AC94" i="5"/>
  <c r="AC86" i="5"/>
  <c r="AC70" i="5"/>
  <c r="AC108" i="5"/>
  <c r="AC85" i="5"/>
  <c r="AC126" i="5"/>
  <c r="AC91" i="5"/>
  <c r="AC21" i="5" a="1"/>
  <c r="AC21" i="5" s="1"/>
  <c r="AC107" i="5"/>
  <c r="AC65" i="5"/>
  <c r="AC71" i="5"/>
  <c r="AC51" i="5" a="1"/>
  <c r="AC51" i="5" s="1"/>
  <c r="AC141" i="5"/>
  <c r="AC72" i="5"/>
  <c r="AC26" i="5" a="1"/>
  <c r="AC26" i="5" s="1"/>
  <c r="AC102" i="5"/>
  <c r="AC145" i="5"/>
  <c r="AC76" i="5"/>
  <c r="AC38" i="5" a="1"/>
  <c r="AC38" i="5" s="1"/>
  <c r="AC119" i="5"/>
  <c r="AC77" i="5"/>
  <c r="AC144" i="5"/>
  <c r="AC82" i="5"/>
  <c r="AC22" i="5" a="1"/>
  <c r="AC22" i="5" s="1"/>
  <c r="AC100" i="5"/>
  <c r="AC54" i="5" a="1"/>
  <c r="AC54" i="5" s="1"/>
  <c r="AC37" i="5" a="1"/>
  <c r="AC37" i="5" s="1"/>
  <c r="AC52" i="5" a="1"/>
  <c r="AC52" i="5" s="1"/>
  <c r="AC61" i="5"/>
  <c r="AC121" i="5"/>
  <c r="AC45" i="5" a="1"/>
  <c r="AC45" i="5" s="1"/>
  <c r="AC106" i="5"/>
  <c r="AC148" i="5"/>
  <c r="AC88" i="5"/>
  <c r="AC89" i="5"/>
  <c r="AC24" i="5" a="1"/>
  <c r="AC24" i="5" s="1"/>
  <c r="AC109" i="5"/>
  <c r="AC30" i="5" a="1"/>
  <c r="AC30" i="5" s="1"/>
  <c r="AC78" i="5"/>
  <c r="AC64" i="5"/>
  <c r="AC49" i="5" a="1"/>
  <c r="AC49" i="5" s="1"/>
  <c r="AC112" i="5"/>
  <c r="AC138" i="5"/>
  <c r="AC130" i="5"/>
  <c r="AC116" i="5"/>
  <c r="AC73" i="5"/>
  <c r="AC111" i="5"/>
  <c r="AC69" i="5"/>
  <c r="AC143" i="5"/>
  <c r="AC74" i="5"/>
  <c r="AP3" i="4"/>
  <c r="AC92" i="5"/>
  <c r="AC40" i="5" a="1"/>
  <c r="AC40" i="5" s="1"/>
  <c r="AC118" i="5"/>
  <c r="AC35" i="5" a="1"/>
  <c r="AC35" i="5" s="1"/>
  <c r="AC104" i="5"/>
  <c r="AC136" i="5"/>
  <c r="AC66" i="5"/>
  <c r="AC105" i="5"/>
  <c r="AC131" i="5"/>
  <c r="AC36" i="5" a="1"/>
  <c r="AC36" i="5" s="1"/>
  <c r="AC139" i="5"/>
  <c r="AC128" i="5"/>
  <c r="AC23" i="5" a="1"/>
  <c r="AC23" i="5" s="1"/>
  <c r="AC62" i="5"/>
  <c r="AC93" i="5"/>
  <c r="AC124" i="5"/>
  <c r="AC123" i="5"/>
  <c r="AC110" i="5"/>
  <c r="AC81" i="5"/>
  <c r="AC127" i="5"/>
  <c r="AC97" i="5"/>
  <c r="AC140" i="5"/>
  <c r="AC79" i="5"/>
  <c r="AC68" i="5"/>
  <c r="AC60" i="5"/>
  <c r="AC147" i="5"/>
  <c r="AC96" i="5"/>
  <c r="AC50" i="5" a="1"/>
  <c r="AC50" i="5" s="1"/>
  <c r="AC114" i="5"/>
  <c r="AC55" i="5" a="1"/>
  <c r="AC55" i="5" s="1"/>
  <c r="AC129" i="5"/>
  <c r="AC25" i="5" a="1"/>
  <c r="AC25" i="5" s="1"/>
  <c r="AC95" i="5"/>
  <c r="AC125" i="5"/>
  <c r="AC83" i="5"/>
  <c r="AC135" i="5"/>
  <c r="AC67" i="5"/>
  <c r="AC146" i="5"/>
  <c r="AC84" i="5"/>
  <c r="AC98" i="5"/>
  <c r="AC31" i="5" a="1"/>
  <c r="AC31" i="5" s="1"/>
  <c r="AC115" i="5"/>
  <c r="AC122" i="5"/>
  <c r="AC101" i="5"/>
  <c r="AC34" i="5" a="1"/>
  <c r="AC34" i="5" s="1"/>
  <c r="AC117" i="5"/>
  <c r="AC75" i="5"/>
  <c r="AC142" i="5"/>
  <c r="AC80" i="5"/>
  <c r="AC20" i="5" a="1"/>
  <c r="AC20" i="5" s="1"/>
  <c r="AC63" i="5"/>
  <c r="AC90" i="5"/>
  <c r="AC132" i="5"/>
  <c r="AC48" i="5" a="1"/>
  <c r="AC48" i="5" s="1"/>
  <c r="AC137" i="5"/>
  <c r="AC103" i="5"/>
  <c r="AC87" i="5"/>
  <c r="AC99" i="5"/>
  <c r="AO25" i="4"/>
  <c r="AO18" i="4"/>
  <c r="AO9" i="4"/>
  <c r="AO24" i="4"/>
  <c r="AO14" i="4"/>
  <c r="AO21" i="4"/>
  <c r="AO17" i="4"/>
  <c r="AO5" i="4"/>
  <c r="AO8" i="4"/>
  <c r="AO23" i="4"/>
  <c r="AO12" i="4"/>
  <c r="AO19" i="4"/>
  <c r="AO10" i="4"/>
  <c r="AO15" i="4"/>
  <c r="AO7" i="4"/>
  <c r="AO20" i="4"/>
  <c r="AO16" i="4"/>
  <c r="AO6" i="4"/>
  <c r="AO11" i="4"/>
  <c r="AO13" i="4"/>
  <c r="AO22" i="4"/>
  <c r="AO4" i="4"/>
  <c r="C30" i="2"/>
  <c r="AH30" i="2" s="1"/>
  <c r="T30" i="2" s="1"/>
  <c r="B31" i="2"/>
  <c r="AD41" i="5" l="1" a="1"/>
  <c r="AD41" i="5" s="1"/>
  <c r="AD39" i="5" a="1"/>
  <c r="AD39" i="5" s="1"/>
  <c r="V30" i="2"/>
  <c r="Y30" i="2"/>
  <c r="X29" i="2"/>
  <c r="AC29" i="2"/>
  <c r="AB58" i="5"/>
  <c r="AB152" i="5" s="1"/>
  <c r="AE32" i="2" s="1"/>
  <c r="AB29" i="2" s="1"/>
  <c r="Y7" i="5" s="1"/>
  <c r="AC57" i="5"/>
  <c r="AC22" i="3" s="1"/>
  <c r="AC46" i="5"/>
  <c r="AC21" i="3" s="1"/>
  <c r="AC28" i="5"/>
  <c r="AC19" i="3" s="1"/>
  <c r="AC133" i="5"/>
  <c r="AC24" i="3" s="1"/>
  <c r="AC149" i="5"/>
  <c r="AC25" i="3" s="1"/>
  <c r="AP16" i="4"/>
  <c r="AP6" i="4"/>
  <c r="AP8" i="4"/>
  <c r="AP20" i="4"/>
  <c r="AP4" i="4"/>
  <c r="AP19" i="4"/>
  <c r="AP9" i="4"/>
  <c r="AP22" i="4"/>
  <c r="AP15" i="4"/>
  <c r="AP11" i="4"/>
  <c r="AP25" i="4"/>
  <c r="AP7" i="4"/>
  <c r="AP18" i="4"/>
  <c r="AP10" i="4"/>
  <c r="AP21" i="4"/>
  <c r="AP17" i="4"/>
  <c r="AP13" i="4"/>
  <c r="AP24" i="4"/>
  <c r="AP12" i="4"/>
  <c r="AP23" i="4"/>
  <c r="AP14" i="4"/>
  <c r="AP5" i="4"/>
  <c r="AC32" i="5"/>
  <c r="AC20" i="3" s="1"/>
  <c r="AB23" i="3"/>
  <c r="AB28" i="3" s="1"/>
  <c r="AD148" i="5"/>
  <c r="AD83" i="5"/>
  <c r="AD34" i="5" a="1"/>
  <c r="AD34" i="5" s="1"/>
  <c r="AD104" i="5"/>
  <c r="AD77" i="5"/>
  <c r="AD142" i="5"/>
  <c r="AD40" i="5" a="1"/>
  <c r="AD40" i="5" s="1"/>
  <c r="AD71" i="5"/>
  <c r="AD120" i="5"/>
  <c r="AD36" i="5" a="1"/>
  <c r="AD36" i="5" s="1"/>
  <c r="AD144" i="5"/>
  <c r="AD75" i="5"/>
  <c r="AQ3" i="4"/>
  <c r="AD96" i="5"/>
  <c r="AD135" i="5"/>
  <c r="AD67" i="5"/>
  <c r="AD147" i="5"/>
  <c r="AD108" i="5"/>
  <c r="AD52" i="5" a="1"/>
  <c r="AD52" i="5" s="1"/>
  <c r="AD94" i="5"/>
  <c r="AE3" i="5"/>
  <c r="AD84" i="5"/>
  <c r="AD105" i="5"/>
  <c r="AD25" i="5" a="1"/>
  <c r="AD25" i="5" s="1"/>
  <c r="AD113" i="5"/>
  <c r="AD56" i="5" a="1"/>
  <c r="AD56" i="5" s="1"/>
  <c r="AD121" i="5"/>
  <c r="AD126" i="5"/>
  <c r="AD80" i="5"/>
  <c r="AD3" i="3"/>
  <c r="AD74" i="5"/>
  <c r="AD95" i="5"/>
  <c r="AD51" i="5" a="1"/>
  <c r="AD51" i="5" s="1"/>
  <c r="AD119" i="5"/>
  <c r="AD26" i="5" a="1"/>
  <c r="AD26" i="5" s="1"/>
  <c r="AD50" i="5" a="1"/>
  <c r="AD50" i="5" s="1"/>
  <c r="AD92" i="5"/>
  <c r="AD49" i="5" a="1"/>
  <c r="AD49" i="5" s="1"/>
  <c r="AD111" i="5"/>
  <c r="AD72" i="5"/>
  <c r="AD66" i="5"/>
  <c r="AD109" i="5"/>
  <c r="AD45" i="5" a="1"/>
  <c r="AD45" i="5" s="1"/>
  <c r="AD99" i="5"/>
  <c r="AD139" i="5"/>
  <c r="AD53" i="5" a="1"/>
  <c r="AD53" i="5" s="1"/>
  <c r="AD81" i="5"/>
  <c r="AD138" i="5"/>
  <c r="AD88" i="5"/>
  <c r="AD129" i="5"/>
  <c r="AD122" i="5"/>
  <c r="AD68" i="5"/>
  <c r="AD89" i="5"/>
  <c r="AD125" i="5"/>
  <c r="AD64" i="5"/>
  <c r="AD90" i="5"/>
  <c r="AD48" i="5" a="1"/>
  <c r="AD48" i="5" s="1"/>
  <c r="AD79" i="5"/>
  <c r="AD70" i="5"/>
  <c r="AD140" i="5"/>
  <c r="AD38" i="5" a="1"/>
  <c r="AD38" i="5" s="1"/>
  <c r="AD69" i="5"/>
  <c r="AD110" i="5"/>
  <c r="AD130" i="5"/>
  <c r="AD101" i="5"/>
  <c r="AD103" i="5"/>
  <c r="AD87" i="5"/>
  <c r="AD86" i="5"/>
  <c r="AD102" i="5"/>
  <c r="AD116" i="5"/>
  <c r="AD78" i="5"/>
  <c r="AD132" i="5"/>
  <c r="AD141" i="5"/>
  <c r="AD55" i="5" a="1"/>
  <c r="AD55" i="5" s="1"/>
  <c r="AD85" i="5"/>
  <c r="AD137" i="5"/>
  <c r="AD37" i="5" a="1"/>
  <c r="AD37" i="5" s="1"/>
  <c r="AD73" i="5"/>
  <c r="AD98" i="5"/>
  <c r="AD62" i="5"/>
  <c r="AD146" i="5"/>
  <c r="AD118" i="5"/>
  <c r="AD24" i="5" a="1"/>
  <c r="AD24" i="5" s="1"/>
  <c r="AD63" i="5"/>
  <c r="AD21" i="5" a="1"/>
  <c r="AD21" i="5" s="1"/>
  <c r="AD76" i="5"/>
  <c r="AD143" i="5"/>
  <c r="AD60" i="5"/>
  <c r="AD20" i="5" a="1"/>
  <c r="AD20" i="5" s="1"/>
  <c r="AD114" i="5"/>
  <c r="AD106" i="5"/>
  <c r="AD145" i="5"/>
  <c r="AD115" i="5"/>
  <c r="AD22" i="5" a="1"/>
  <c r="AD22" i="5" s="1"/>
  <c r="AD54" i="5" a="1"/>
  <c r="AD54" i="5" s="1"/>
  <c r="AD128" i="5"/>
  <c r="AD100" i="5"/>
  <c r="AD97" i="5"/>
  <c r="AD123" i="5"/>
  <c r="AD124" i="5"/>
  <c r="AD65" i="5"/>
  <c r="AD107" i="5"/>
  <c r="AD31" i="5" a="1"/>
  <c r="AD31" i="5" s="1"/>
  <c r="AD82" i="5"/>
  <c r="AD35" i="5" a="1"/>
  <c r="AD35" i="5" s="1"/>
  <c r="AD112" i="5"/>
  <c r="AD131" i="5"/>
  <c r="AD23" i="5" a="1"/>
  <c r="AD23" i="5" s="1"/>
  <c r="AD61" i="5"/>
  <c r="AD127" i="5"/>
  <c r="AD93" i="5"/>
  <c r="AD30" i="5" a="1"/>
  <c r="AD30" i="5" s="1"/>
  <c r="AD136" i="5"/>
  <c r="AD91" i="5"/>
  <c r="AD117" i="5"/>
  <c r="AO34" i="4"/>
  <c r="C31" i="2"/>
  <c r="AH31" i="2" s="1"/>
  <c r="T31" i="2" s="1"/>
  <c r="B32" i="2"/>
  <c r="AE41" i="5" l="1" a="1"/>
  <c r="AE41" i="5" s="1"/>
  <c r="AE39" i="5" a="1"/>
  <c r="AE39" i="5" s="1"/>
  <c r="Y31" i="2"/>
  <c r="V31" i="2"/>
  <c r="X30" i="2"/>
  <c r="AD32" i="5"/>
  <c r="AD20" i="3" s="1"/>
  <c r="AD46" i="5"/>
  <c r="AD21" i="3" s="1"/>
  <c r="AD28" i="5"/>
  <c r="AD19" i="3" s="1"/>
  <c r="AD133" i="5"/>
  <c r="AD24" i="3" s="1"/>
  <c r="AP34" i="4"/>
  <c r="AQ21" i="4"/>
  <c r="AQ15" i="4"/>
  <c r="AQ7" i="4"/>
  <c r="AQ13" i="4"/>
  <c r="AQ9" i="4"/>
  <c r="AQ5" i="4"/>
  <c r="AQ24" i="4"/>
  <c r="AQ16" i="4"/>
  <c r="AQ6" i="4"/>
  <c r="AQ11" i="4"/>
  <c r="AQ22" i="4"/>
  <c r="AQ12" i="4"/>
  <c r="AQ23" i="4"/>
  <c r="AQ17" i="4"/>
  <c r="AQ20" i="4"/>
  <c r="AQ18" i="4"/>
  <c r="AQ8" i="4"/>
  <c r="AQ14" i="4"/>
  <c r="AQ4" i="4"/>
  <c r="AQ10" i="4"/>
  <c r="AQ19" i="4"/>
  <c r="AQ25" i="4"/>
  <c r="AD149" i="5"/>
  <c r="AD25" i="3" s="1"/>
  <c r="Y14" i="5"/>
  <c r="Y15" i="5" s="1"/>
  <c r="Y7" i="3"/>
  <c r="Y14" i="3" s="1"/>
  <c r="Y15" i="3" s="1"/>
  <c r="AD57" i="5"/>
  <c r="AD22" i="3" s="1"/>
  <c r="AE117" i="5"/>
  <c r="AE123" i="5"/>
  <c r="AE92" i="5"/>
  <c r="AE66" i="5"/>
  <c r="AE147" i="5"/>
  <c r="AE93" i="5"/>
  <c r="AE143" i="5"/>
  <c r="AE22" i="5" a="1"/>
  <c r="AE22" i="5" s="1"/>
  <c r="AR3" i="4"/>
  <c r="AE101" i="5"/>
  <c r="AE48" i="5" a="1"/>
  <c r="AE48" i="5" s="1"/>
  <c r="AE138" i="5"/>
  <c r="AE80" i="5"/>
  <c r="AE70" i="5"/>
  <c r="AE49" i="5" a="1"/>
  <c r="AE49" i="5" s="1"/>
  <c r="AE111" i="5"/>
  <c r="AE65" i="5"/>
  <c r="AE97" i="5"/>
  <c r="AE61" i="5"/>
  <c r="AE89" i="5"/>
  <c r="AE38" i="5" a="1"/>
  <c r="AE38" i="5" s="1"/>
  <c r="AE107" i="5"/>
  <c r="AE84" i="5"/>
  <c r="AE125" i="5"/>
  <c r="AE98" i="5"/>
  <c r="AE35" i="5" a="1"/>
  <c r="AE35" i="5" s="1"/>
  <c r="AE116" i="5"/>
  <c r="AE72" i="5"/>
  <c r="AE76" i="5"/>
  <c r="AE90" i="5"/>
  <c r="AE64" i="5"/>
  <c r="AE40" i="5" a="1"/>
  <c r="AE40" i="5" s="1"/>
  <c r="AE50" i="5" a="1"/>
  <c r="AE50" i="5" s="1"/>
  <c r="AE135" i="5"/>
  <c r="AE67" i="5"/>
  <c r="AE126" i="5"/>
  <c r="AE96" i="5"/>
  <c r="AE100" i="5"/>
  <c r="AE136" i="5"/>
  <c r="AE78" i="5"/>
  <c r="AE142" i="5"/>
  <c r="AE73" i="5"/>
  <c r="AE62" i="5"/>
  <c r="AE52" i="5" a="1"/>
  <c r="AE52" i="5" s="1"/>
  <c r="AE115" i="5"/>
  <c r="AE124" i="5"/>
  <c r="AE102" i="5"/>
  <c r="AE37" i="5" a="1"/>
  <c r="AE37" i="5" s="1"/>
  <c r="AE120" i="5"/>
  <c r="AE131" i="5"/>
  <c r="AE34" i="5" a="1"/>
  <c r="AE34" i="5" s="1"/>
  <c r="AE108" i="5"/>
  <c r="AE54" i="5" a="1"/>
  <c r="AE54" i="5" s="1"/>
  <c r="AE144" i="5"/>
  <c r="AE75" i="5"/>
  <c r="AE20" i="5" a="1"/>
  <c r="AE20" i="5" s="1"/>
  <c r="AE95" i="5"/>
  <c r="AE74" i="5"/>
  <c r="AE30" i="5" a="1"/>
  <c r="AE30" i="5" s="1"/>
  <c r="AE110" i="5"/>
  <c r="AE56" i="5" a="1"/>
  <c r="AE56" i="5" s="1"/>
  <c r="AE119" i="5"/>
  <c r="AE121" i="5"/>
  <c r="AE94" i="5"/>
  <c r="AE21" i="5" a="1"/>
  <c r="AE21" i="5" s="1"/>
  <c r="AE112" i="5"/>
  <c r="AE68" i="5"/>
  <c r="AE145" i="5"/>
  <c r="AE83" i="5"/>
  <c r="AE24" i="5" a="1"/>
  <c r="AE24" i="5" s="1"/>
  <c r="AE99" i="5"/>
  <c r="AE3" i="3"/>
  <c r="AE91" i="5"/>
  <c r="AE104" i="5"/>
  <c r="AE139" i="5"/>
  <c r="AE71" i="5"/>
  <c r="AE36" i="5" a="1"/>
  <c r="AE36" i="5" s="1"/>
  <c r="AE113" i="5"/>
  <c r="AE26" i="5" a="1"/>
  <c r="AE26" i="5" s="1"/>
  <c r="AE63" i="5"/>
  <c r="AE88" i="5"/>
  <c r="AE51" i="5" a="1"/>
  <c r="AE51" i="5" s="1"/>
  <c r="AE129" i="5"/>
  <c r="AE81" i="5"/>
  <c r="AE146" i="5"/>
  <c r="AE77" i="5"/>
  <c r="AE137" i="5"/>
  <c r="AE69" i="5"/>
  <c r="AE106" i="5"/>
  <c r="AE132" i="5"/>
  <c r="AE86" i="5"/>
  <c r="AE25" i="5" a="1"/>
  <c r="AE25" i="5" s="1"/>
  <c r="AE103" i="5"/>
  <c r="AE60" i="5"/>
  <c r="AE141" i="5"/>
  <c r="AE79" i="5"/>
  <c r="AE45" i="5" a="1"/>
  <c r="AE45" i="5" s="1"/>
  <c r="AE31" i="5" a="1"/>
  <c r="AE31" i="5" s="1"/>
  <c r="AE128" i="5"/>
  <c r="AE122" i="5"/>
  <c r="AE87" i="5"/>
  <c r="AE23" i="5" a="1"/>
  <c r="AE23" i="5" s="1"/>
  <c r="AE140" i="5"/>
  <c r="AE127" i="5"/>
  <c r="AE109" i="5"/>
  <c r="AE148" i="5"/>
  <c r="AE85" i="5"/>
  <c r="AE105" i="5"/>
  <c r="AE55" i="5" a="1"/>
  <c r="AE55" i="5" s="1"/>
  <c r="AE130" i="5"/>
  <c r="AE82" i="5"/>
  <c r="AF3" i="5"/>
  <c r="AE118" i="5"/>
  <c r="AE114" i="5"/>
  <c r="AE53" i="5" a="1"/>
  <c r="AE53" i="5" s="1"/>
  <c r="AC58" i="5"/>
  <c r="AC152" i="5" s="1"/>
  <c r="AE33" i="2" s="1"/>
  <c r="AC23" i="3"/>
  <c r="AC28" i="3" s="1"/>
  <c r="C32" i="2"/>
  <c r="AH32" i="2" s="1"/>
  <c r="T32" i="2" s="1"/>
  <c r="B33" i="2"/>
  <c r="AF41" i="5" l="1" a="1"/>
  <c r="AF41" i="5" s="1"/>
  <c r="AF39" i="5" a="1"/>
  <c r="AF39" i="5" s="1"/>
  <c r="Y32" i="2"/>
  <c r="V32" i="2"/>
  <c r="X31" i="2"/>
  <c r="AQ34" i="4"/>
  <c r="AF103" i="5"/>
  <c r="AF65" i="5"/>
  <c r="AF120" i="5"/>
  <c r="AF64" i="5"/>
  <c r="AF124" i="5"/>
  <c r="AF102" i="5"/>
  <c r="AF40" i="5" a="1"/>
  <c r="AF40" i="5" s="1"/>
  <c r="AF135" i="5"/>
  <c r="AF83" i="5"/>
  <c r="AF94" i="5"/>
  <c r="AF75" i="5"/>
  <c r="AF86" i="5"/>
  <c r="AF95" i="5"/>
  <c r="AF53" i="5" a="1"/>
  <c r="AF53" i="5" s="1"/>
  <c r="AF112" i="5"/>
  <c r="AF54" i="5" a="1"/>
  <c r="AF54" i="5" s="1"/>
  <c r="AF123" i="5"/>
  <c r="AF26" i="5" a="1"/>
  <c r="AF26" i="5" s="1"/>
  <c r="AF113" i="5"/>
  <c r="AF128" i="5"/>
  <c r="AF98" i="5"/>
  <c r="AF36" i="5" a="1"/>
  <c r="AF36" i="5" s="1"/>
  <c r="AF117" i="5"/>
  <c r="AF79" i="5"/>
  <c r="AF144" i="5"/>
  <c r="AF78" i="5"/>
  <c r="AF24" i="5" a="1"/>
  <c r="AF24" i="5" s="1"/>
  <c r="AF97" i="5"/>
  <c r="AF55" i="5" a="1"/>
  <c r="AF55" i="5" s="1"/>
  <c r="AF61" i="5"/>
  <c r="AF3" i="3"/>
  <c r="AF91" i="5"/>
  <c r="AF67" i="5"/>
  <c r="AF131" i="5"/>
  <c r="AF90" i="5"/>
  <c r="AF34" i="5" a="1"/>
  <c r="AF34" i="5" s="1"/>
  <c r="AF109" i="5"/>
  <c r="AF71" i="5"/>
  <c r="AF140" i="5"/>
  <c r="AF70" i="5"/>
  <c r="AS3" i="4"/>
  <c r="AF108" i="5"/>
  <c r="AF45" i="5" a="1"/>
  <c r="AF45" i="5" s="1"/>
  <c r="AF127" i="5"/>
  <c r="AF82" i="5"/>
  <c r="AF63" i="5"/>
  <c r="AF62" i="5"/>
  <c r="AF126" i="5"/>
  <c r="AF38" i="5" a="1"/>
  <c r="AF38" i="5" s="1"/>
  <c r="AF35" i="5" a="1"/>
  <c r="AF35" i="5" s="1"/>
  <c r="AF115" i="5"/>
  <c r="AF23" i="5" a="1"/>
  <c r="AF23" i="5" s="1"/>
  <c r="AF88" i="5"/>
  <c r="AF20" i="5" a="1"/>
  <c r="AF20" i="5" s="1"/>
  <c r="AF101" i="5"/>
  <c r="AF118" i="5"/>
  <c r="AF100" i="5"/>
  <c r="AF81" i="5"/>
  <c r="AF148" i="5"/>
  <c r="AF74" i="5"/>
  <c r="AF21" i="5" a="1"/>
  <c r="AF21" i="5" s="1"/>
  <c r="AF93" i="5"/>
  <c r="AF51" i="5" a="1"/>
  <c r="AF51" i="5" s="1"/>
  <c r="AF110" i="5"/>
  <c r="AF52" i="5" a="1"/>
  <c r="AF52" i="5" s="1"/>
  <c r="AF129" i="5"/>
  <c r="AF92" i="5"/>
  <c r="AG3" i="5"/>
  <c r="AF114" i="5"/>
  <c r="AF96" i="5"/>
  <c r="AF142" i="5"/>
  <c r="AF76" i="5"/>
  <c r="AF125" i="5"/>
  <c r="AF31" i="5" a="1"/>
  <c r="AF31" i="5" s="1"/>
  <c r="AF107" i="5"/>
  <c r="AF138" i="5"/>
  <c r="AF119" i="5"/>
  <c r="AF116" i="5"/>
  <c r="AF111" i="5"/>
  <c r="AF106" i="5"/>
  <c r="AF25" i="5" a="1"/>
  <c r="AF25" i="5" s="1"/>
  <c r="AF105" i="5"/>
  <c r="AF136" i="5"/>
  <c r="AF66" i="5"/>
  <c r="AF122" i="5"/>
  <c r="AF104" i="5"/>
  <c r="AF49" i="5" a="1"/>
  <c r="AF49" i="5" s="1"/>
  <c r="AF137" i="5"/>
  <c r="AF85" i="5"/>
  <c r="AF132" i="5"/>
  <c r="AF84" i="5"/>
  <c r="AF22" i="5" a="1"/>
  <c r="AF22" i="5" s="1"/>
  <c r="AF56" i="5" a="1"/>
  <c r="AF56" i="5" s="1"/>
  <c r="AF121" i="5"/>
  <c r="AF77" i="5"/>
  <c r="AF143" i="5"/>
  <c r="AF87" i="5"/>
  <c r="AF69" i="5"/>
  <c r="AF30" i="5" a="1"/>
  <c r="AF30" i="5" s="1"/>
  <c r="AF99" i="5"/>
  <c r="AF145" i="5"/>
  <c r="AF72" i="5"/>
  <c r="AF68" i="5"/>
  <c r="AF146" i="5"/>
  <c r="AF80" i="5"/>
  <c r="AF73" i="5"/>
  <c r="AF60" i="5"/>
  <c r="AF48" i="5" a="1"/>
  <c r="AF48" i="5" s="1"/>
  <c r="AF141" i="5"/>
  <c r="AF50" i="5" a="1"/>
  <c r="AF50" i="5" s="1"/>
  <c r="AF130" i="5"/>
  <c r="AF147" i="5"/>
  <c r="AF37" i="5" a="1"/>
  <c r="AF37" i="5" s="1"/>
  <c r="AF139" i="5"/>
  <c r="AF89" i="5"/>
  <c r="AE46" i="5"/>
  <c r="AE21" i="3" s="1"/>
  <c r="AE32" i="5"/>
  <c r="AE20" i="3" s="1"/>
  <c r="AE57" i="5"/>
  <c r="AE22" i="3" s="1"/>
  <c r="AE133" i="5"/>
  <c r="AE24" i="3" s="1"/>
  <c r="AE149" i="5"/>
  <c r="AE25" i="3" s="1"/>
  <c r="AR18" i="4"/>
  <c r="AR20" i="4"/>
  <c r="AR14" i="4"/>
  <c r="AR24" i="4"/>
  <c r="AR12" i="4"/>
  <c r="AR6" i="4"/>
  <c r="AR8" i="4"/>
  <c r="AR21" i="4"/>
  <c r="AR5" i="4"/>
  <c r="AR15" i="4"/>
  <c r="AR17" i="4"/>
  <c r="AR4" i="4"/>
  <c r="AR7" i="4"/>
  <c r="AR23" i="4"/>
  <c r="AR13" i="4"/>
  <c r="AR11" i="4"/>
  <c r="AR19" i="4"/>
  <c r="AR9" i="4"/>
  <c r="AR22" i="4"/>
  <c r="AR25" i="4"/>
  <c r="AR10" i="4"/>
  <c r="AR16" i="4"/>
  <c r="AE28" i="5"/>
  <c r="AE19" i="3" s="1"/>
  <c r="AD58" i="5"/>
  <c r="AD152" i="5" s="1"/>
  <c r="AE34" i="2" s="1"/>
  <c r="AD23" i="3"/>
  <c r="AD28" i="3" s="1"/>
  <c r="B34" i="2"/>
  <c r="C33" i="2"/>
  <c r="AH33" i="2" s="1"/>
  <c r="T33" i="2" s="1"/>
  <c r="AG41" i="5" l="1" a="1"/>
  <c r="AG41" i="5" s="1"/>
  <c r="AG39" i="5" a="1"/>
  <c r="AG39" i="5" s="1"/>
  <c r="Y33" i="2"/>
  <c r="V33" i="2"/>
  <c r="X32" i="2"/>
  <c r="AC32" i="2"/>
  <c r="AF32" i="5"/>
  <c r="AF20" i="3" s="1"/>
  <c r="AF133" i="5"/>
  <c r="AF24" i="3" s="1"/>
  <c r="AG100" i="5"/>
  <c r="AG54" i="5" a="1"/>
  <c r="AG54" i="5" s="1"/>
  <c r="AG110" i="5"/>
  <c r="AG51" i="5" a="1"/>
  <c r="AG51" i="5" s="1"/>
  <c r="AG121" i="5"/>
  <c r="AG101" i="5"/>
  <c r="AG34" i="5" a="1"/>
  <c r="AG34" i="5" s="1"/>
  <c r="AG117" i="5"/>
  <c r="AG75" i="5"/>
  <c r="AG146" i="5"/>
  <c r="AG84" i="5"/>
  <c r="AG130" i="5"/>
  <c r="AG77" i="5"/>
  <c r="AG112" i="5"/>
  <c r="AG69" i="5"/>
  <c r="AG137" i="5"/>
  <c r="AG81" i="5"/>
  <c r="AG140" i="5"/>
  <c r="AG70" i="5"/>
  <c r="AG124" i="5"/>
  <c r="AG92" i="5"/>
  <c r="AG40" i="5" a="1"/>
  <c r="AG40" i="5" s="1"/>
  <c r="AG135" i="5"/>
  <c r="AG79" i="5"/>
  <c r="AG132" i="5"/>
  <c r="AG93" i="5"/>
  <c r="AG24" i="5" a="1"/>
  <c r="AG24" i="5" s="1"/>
  <c r="AG109" i="5"/>
  <c r="AG67" i="5"/>
  <c r="AG105" i="5"/>
  <c r="AG71" i="5"/>
  <c r="AG56" i="5" a="1"/>
  <c r="AG56" i="5" s="1"/>
  <c r="AG87" i="5"/>
  <c r="AT3" i="4"/>
  <c r="AG73" i="5"/>
  <c r="AG118" i="5"/>
  <c r="AG131" i="5"/>
  <c r="AG45" i="5" a="1"/>
  <c r="AG45" i="5" s="1"/>
  <c r="AG113" i="5"/>
  <c r="AG26" i="5" a="1"/>
  <c r="AG26" i="5" s="1"/>
  <c r="AG102" i="5"/>
  <c r="AG120" i="5"/>
  <c r="AG144" i="5"/>
  <c r="AG82" i="5"/>
  <c r="AG148" i="5"/>
  <c r="AH3" i="5"/>
  <c r="AG104" i="5"/>
  <c r="AG55" i="5" a="1"/>
  <c r="AG55" i="5" s="1"/>
  <c r="AG128" i="5"/>
  <c r="AG97" i="5"/>
  <c r="AG25" i="5" a="1"/>
  <c r="AG25" i="5" s="1"/>
  <c r="AG106" i="5"/>
  <c r="AG63" i="5"/>
  <c r="AG145" i="5"/>
  <c r="AG76" i="5"/>
  <c r="AG3" i="3"/>
  <c r="AG94" i="5"/>
  <c r="AG49" i="5" a="1"/>
  <c r="AG49" i="5" s="1"/>
  <c r="AG20" i="5" a="1"/>
  <c r="AG20" i="5" s="1"/>
  <c r="AG90" i="5"/>
  <c r="AG126" i="5"/>
  <c r="AG122" i="5"/>
  <c r="AG123" i="5"/>
  <c r="AG61" i="5"/>
  <c r="AG147" i="5"/>
  <c r="AG96" i="5"/>
  <c r="AG88" i="5"/>
  <c r="AG125" i="5"/>
  <c r="AG89" i="5"/>
  <c r="AG23" i="5" a="1"/>
  <c r="AG23" i="5" s="1"/>
  <c r="AG98" i="5"/>
  <c r="AG52" i="5" a="1"/>
  <c r="AG52" i="5" s="1"/>
  <c r="AG138" i="5"/>
  <c r="AG68" i="5"/>
  <c r="AG129" i="5"/>
  <c r="AG86" i="5"/>
  <c r="AG48" i="5" a="1"/>
  <c r="AG48" i="5" s="1"/>
  <c r="AG142" i="5"/>
  <c r="AG80" i="5"/>
  <c r="AG38" i="5" a="1"/>
  <c r="AG38" i="5" s="1"/>
  <c r="AG60" i="5"/>
  <c r="AG99" i="5"/>
  <c r="AG141" i="5"/>
  <c r="AG72" i="5"/>
  <c r="AG103" i="5"/>
  <c r="AG85" i="5"/>
  <c r="AG21" i="5" a="1"/>
  <c r="AG21" i="5" s="1"/>
  <c r="AG30" i="5" a="1"/>
  <c r="AG30" i="5" s="1"/>
  <c r="AG119" i="5"/>
  <c r="AG53" i="5" a="1"/>
  <c r="AG53" i="5" s="1"/>
  <c r="AG127" i="5"/>
  <c r="AG111" i="5"/>
  <c r="AG136" i="5"/>
  <c r="AG66" i="5"/>
  <c r="AG107" i="5"/>
  <c r="AG36" i="5" a="1"/>
  <c r="AG36" i="5" s="1"/>
  <c r="AG139" i="5"/>
  <c r="AG83" i="5"/>
  <c r="AG116" i="5"/>
  <c r="AG31" i="5" a="1"/>
  <c r="AG31" i="5" s="1"/>
  <c r="AG37" i="5" a="1"/>
  <c r="AG37" i="5" s="1"/>
  <c r="AG108" i="5"/>
  <c r="AG91" i="5"/>
  <c r="AG65" i="5"/>
  <c r="AG95" i="5"/>
  <c r="AG64" i="5"/>
  <c r="AG22" i="5" a="1"/>
  <c r="AG22" i="5" s="1"/>
  <c r="AG35" i="5" a="1"/>
  <c r="AG35" i="5" s="1"/>
  <c r="AG143" i="5"/>
  <c r="AG74" i="5"/>
  <c r="AG78" i="5"/>
  <c r="AG50" i="5" a="1"/>
  <c r="AG50" i="5" s="1"/>
  <c r="AG114" i="5"/>
  <c r="AG115" i="5"/>
  <c r="AG62" i="5"/>
  <c r="AF149" i="5"/>
  <c r="AF25" i="3" s="1"/>
  <c r="AF28" i="5"/>
  <c r="AF19" i="3" s="1"/>
  <c r="AS10" i="4"/>
  <c r="AS13" i="4"/>
  <c r="AS22" i="4"/>
  <c r="AS4" i="4"/>
  <c r="AS25" i="4"/>
  <c r="AS23" i="4"/>
  <c r="AS18" i="4"/>
  <c r="AS14" i="4"/>
  <c r="AS9" i="4"/>
  <c r="AS24" i="4"/>
  <c r="AS19" i="4"/>
  <c r="AS17" i="4"/>
  <c r="AS8" i="4"/>
  <c r="AS11" i="4"/>
  <c r="AS21" i="4"/>
  <c r="AS15" i="4"/>
  <c r="AS7" i="4"/>
  <c r="AS20" i="4"/>
  <c r="AS12" i="4"/>
  <c r="AS5" i="4"/>
  <c r="AS16" i="4"/>
  <c r="AS6" i="4"/>
  <c r="AE58" i="5"/>
  <c r="AE152" i="5" s="1"/>
  <c r="AE35" i="2" s="1"/>
  <c r="AB32" i="2" s="1"/>
  <c r="AB7" i="5" s="1"/>
  <c r="AE23" i="3"/>
  <c r="AE28" i="3" s="1"/>
  <c r="AR34" i="4"/>
  <c r="AF57" i="5"/>
  <c r="AF22" i="3" s="1"/>
  <c r="AF46" i="5"/>
  <c r="AF21" i="3" s="1"/>
  <c r="B35" i="2"/>
  <c r="C34" i="2"/>
  <c r="AH34" i="2" s="1"/>
  <c r="T34" i="2" s="1"/>
  <c r="AH41" i="5" l="1" a="1"/>
  <c r="AH41" i="5" s="1"/>
  <c r="AH39" i="5" a="1"/>
  <c r="AH39" i="5" s="1"/>
  <c r="X33" i="2"/>
  <c r="Y34" i="2"/>
  <c r="V34" i="2"/>
  <c r="AF23" i="3"/>
  <c r="AF28" i="3" s="1"/>
  <c r="AG133" i="5"/>
  <c r="AG24" i="3" s="1"/>
  <c r="AG28" i="5"/>
  <c r="AG19" i="3" s="1"/>
  <c r="AG149" i="5"/>
  <c r="AG25" i="3" s="1"/>
  <c r="AF58" i="5"/>
  <c r="AF152" i="5" s="1"/>
  <c r="AE36" i="2" s="1"/>
  <c r="AH108" i="5"/>
  <c r="AH70" i="5"/>
  <c r="AH139" i="5"/>
  <c r="AH71" i="5"/>
  <c r="AH3" i="3"/>
  <c r="AH109" i="5"/>
  <c r="AH127" i="5"/>
  <c r="AH100" i="5"/>
  <c r="AH62" i="5"/>
  <c r="AH117" i="5"/>
  <c r="AH99" i="5"/>
  <c r="AH20" i="5" a="1"/>
  <c r="AH20" i="5" s="1"/>
  <c r="AH106" i="5"/>
  <c r="AH147" i="5"/>
  <c r="AH92" i="5"/>
  <c r="AH51" i="5" a="1"/>
  <c r="AH51" i="5" s="1"/>
  <c r="AH142" i="5"/>
  <c r="AH52" i="5" a="1"/>
  <c r="AH52" i="5" s="1"/>
  <c r="AH126" i="5"/>
  <c r="AH91" i="5"/>
  <c r="AH23" i="5" a="1"/>
  <c r="AH23" i="5" s="1"/>
  <c r="AH102" i="5"/>
  <c r="AH64" i="5"/>
  <c r="AH137" i="5"/>
  <c r="AH129" i="5"/>
  <c r="AH122" i="5"/>
  <c r="AH103" i="5"/>
  <c r="AH49" i="5" a="1"/>
  <c r="AH49" i="5" s="1"/>
  <c r="AH136" i="5"/>
  <c r="AH84" i="5"/>
  <c r="AH123" i="5"/>
  <c r="AH85" i="5"/>
  <c r="AH26" i="5" a="1"/>
  <c r="AH26" i="5" s="1"/>
  <c r="AH94" i="5"/>
  <c r="AH53" i="5" a="1"/>
  <c r="AH53" i="5" s="1"/>
  <c r="AH95" i="5"/>
  <c r="AH76" i="5"/>
  <c r="AH143" i="5"/>
  <c r="AH77" i="5"/>
  <c r="AH37" i="5" a="1"/>
  <c r="AH37" i="5" s="1"/>
  <c r="AH130" i="5"/>
  <c r="AH30" i="5" a="1"/>
  <c r="AH30" i="5" s="1"/>
  <c r="AH114" i="5"/>
  <c r="AH25" i="5" a="1"/>
  <c r="AH25" i="5" s="1"/>
  <c r="AH105" i="5"/>
  <c r="AH87" i="5"/>
  <c r="AH148" i="5"/>
  <c r="AH81" i="5"/>
  <c r="AH34" i="5" a="1"/>
  <c r="AH34" i="5" s="1"/>
  <c r="AH98" i="5"/>
  <c r="AH60" i="5"/>
  <c r="AH115" i="5"/>
  <c r="AH61" i="5"/>
  <c r="AH128" i="5"/>
  <c r="AH89" i="5"/>
  <c r="AH22" i="5" a="1"/>
  <c r="AH22" i="5" s="1"/>
  <c r="AI3" i="5"/>
  <c r="AH101" i="5"/>
  <c r="AH82" i="5"/>
  <c r="AH111" i="5"/>
  <c r="AH54" i="5" a="1"/>
  <c r="AH54" i="5" s="1"/>
  <c r="AH124" i="5"/>
  <c r="AH24" i="5" a="1"/>
  <c r="AH24" i="5" s="1"/>
  <c r="AH112" i="5"/>
  <c r="AH74" i="5"/>
  <c r="AH78" i="5"/>
  <c r="AH55" i="5" a="1"/>
  <c r="AH55" i="5" s="1"/>
  <c r="AH140" i="5"/>
  <c r="AH88" i="5"/>
  <c r="AH63" i="5"/>
  <c r="AH36" i="5" a="1"/>
  <c r="AH36" i="5" s="1"/>
  <c r="AH146" i="5"/>
  <c r="AH73" i="5"/>
  <c r="AU3" i="4"/>
  <c r="AH90" i="5"/>
  <c r="AH48" i="5" a="1"/>
  <c r="AH48" i="5" s="1"/>
  <c r="AH144" i="5"/>
  <c r="AH50" i="5" a="1"/>
  <c r="AH50" i="5" s="1"/>
  <c r="AH131" i="5"/>
  <c r="AH83" i="5"/>
  <c r="AH141" i="5"/>
  <c r="AH75" i="5"/>
  <c r="AH93" i="5"/>
  <c r="AH135" i="5"/>
  <c r="AH67" i="5"/>
  <c r="AH107" i="5"/>
  <c r="AH56" i="5" a="1"/>
  <c r="AH56" i="5" s="1"/>
  <c r="AH80" i="5"/>
  <c r="AH119" i="5"/>
  <c r="AH65" i="5"/>
  <c r="AH125" i="5"/>
  <c r="AH40" i="5" a="1"/>
  <c r="AH40" i="5" s="1"/>
  <c r="AH120" i="5"/>
  <c r="AH21" i="5" a="1"/>
  <c r="AH21" i="5" s="1"/>
  <c r="AH86" i="5"/>
  <c r="AH66" i="5"/>
  <c r="AH116" i="5"/>
  <c r="AH45" i="5" a="1"/>
  <c r="AH45" i="5" s="1"/>
  <c r="AH118" i="5"/>
  <c r="AH38" i="5" a="1"/>
  <c r="AH38" i="5" s="1"/>
  <c r="AH110" i="5"/>
  <c r="AH132" i="5"/>
  <c r="AH68" i="5"/>
  <c r="AH97" i="5"/>
  <c r="AH138" i="5"/>
  <c r="AH121" i="5"/>
  <c r="AH113" i="5"/>
  <c r="AH31" i="5" a="1"/>
  <c r="AH31" i="5" s="1"/>
  <c r="AH96" i="5"/>
  <c r="AH72" i="5"/>
  <c r="AH69" i="5"/>
  <c r="AH35" i="5" a="1"/>
  <c r="AH35" i="5" s="1"/>
  <c r="AH104" i="5"/>
  <c r="AH145" i="5"/>
  <c r="AH79" i="5"/>
  <c r="AT15" i="4"/>
  <c r="AT5" i="4"/>
  <c r="AT11" i="4"/>
  <c r="AT20" i="4"/>
  <c r="AT7" i="4"/>
  <c r="AT22" i="4"/>
  <c r="AT25" i="4"/>
  <c r="AT18" i="4"/>
  <c r="AT16" i="4"/>
  <c r="AT10" i="4"/>
  <c r="AT4" i="4"/>
  <c r="AT19" i="4"/>
  <c r="AT12" i="4"/>
  <c r="AT6" i="4"/>
  <c r="AT17" i="4"/>
  <c r="AT13" i="4"/>
  <c r="AT9" i="4"/>
  <c r="AT8" i="4"/>
  <c r="AT21" i="4"/>
  <c r="AT24" i="4"/>
  <c r="AT23" i="4"/>
  <c r="AT14" i="4"/>
  <c r="AG46" i="5"/>
  <c r="AG21" i="3" s="1"/>
  <c r="AB14" i="5"/>
  <c r="AB15" i="5" s="1"/>
  <c r="AB7" i="3"/>
  <c r="AB14" i="3" s="1"/>
  <c r="AB15" i="3" s="1"/>
  <c r="AG57" i="5"/>
  <c r="AG22" i="3" s="1"/>
  <c r="AG32" i="5"/>
  <c r="AG20" i="3" s="1"/>
  <c r="AS34" i="4"/>
  <c r="B36" i="2"/>
  <c r="C35" i="2"/>
  <c r="AH35" i="2" s="1"/>
  <c r="T35" i="2" s="1"/>
  <c r="AI41" i="5" l="1" a="1"/>
  <c r="AI41" i="5" s="1"/>
  <c r="AI39" i="5" a="1"/>
  <c r="AI39" i="5" s="1"/>
  <c r="Y35" i="2"/>
  <c r="V35" i="2"/>
  <c r="X34" i="2"/>
  <c r="AT34" i="4"/>
  <c r="AH32" i="5"/>
  <c r="AH20" i="3" s="1"/>
  <c r="AH57" i="5"/>
  <c r="AH22" i="3" s="1"/>
  <c r="AH133" i="5"/>
  <c r="AH24" i="3" s="1"/>
  <c r="AU12" i="4"/>
  <c r="AU6" i="4"/>
  <c r="AU8" i="4"/>
  <c r="AU4" i="4"/>
  <c r="AU7" i="4"/>
  <c r="AU23" i="4"/>
  <c r="AU17" i="4"/>
  <c r="AU14" i="4"/>
  <c r="AU18" i="4"/>
  <c r="AU19" i="4"/>
  <c r="AU25" i="4"/>
  <c r="AU21" i="4"/>
  <c r="AU11" i="4"/>
  <c r="AU15" i="4"/>
  <c r="AU24" i="4"/>
  <c r="AU13" i="4"/>
  <c r="AU5" i="4"/>
  <c r="AU9" i="4"/>
  <c r="AU22" i="4"/>
  <c r="AU20" i="4"/>
  <c r="AU16" i="4"/>
  <c r="AU10" i="4"/>
  <c r="AH46" i="5"/>
  <c r="AH21" i="3" s="1"/>
  <c r="AH149" i="5"/>
  <c r="AH25" i="3" s="1"/>
  <c r="AH28" i="5"/>
  <c r="AH19" i="3" s="1"/>
  <c r="AG58" i="5"/>
  <c r="AG152" i="5" s="1"/>
  <c r="AE37" i="2" s="1"/>
  <c r="AI143" i="5"/>
  <c r="AI81" i="5"/>
  <c r="AI22" i="5" a="1"/>
  <c r="AI22" i="5" s="1"/>
  <c r="AI89" i="5"/>
  <c r="AI38" i="5" a="1"/>
  <c r="AI38" i="5" s="1"/>
  <c r="AI115" i="5"/>
  <c r="AI61" i="5"/>
  <c r="AI129" i="5"/>
  <c r="AI98" i="5"/>
  <c r="AI23" i="5" a="1"/>
  <c r="AI23" i="5" s="1"/>
  <c r="AI142" i="5"/>
  <c r="AI73" i="5"/>
  <c r="AI125" i="5"/>
  <c r="AI102" i="5"/>
  <c r="AI37" i="5" a="1"/>
  <c r="AI37" i="5" s="1"/>
  <c r="AI107" i="5"/>
  <c r="AI84" i="5"/>
  <c r="AI90" i="5"/>
  <c r="AI34" i="5" a="1"/>
  <c r="AI34" i="5" s="1"/>
  <c r="AI24" i="5" a="1"/>
  <c r="AI24" i="5" s="1"/>
  <c r="AI25" i="5" a="1"/>
  <c r="AI25" i="5" s="1"/>
  <c r="AI112" i="5"/>
  <c r="AI87" i="5"/>
  <c r="AI109" i="5"/>
  <c r="AI123" i="5"/>
  <c r="AI148" i="5"/>
  <c r="AI85" i="5"/>
  <c r="AI131" i="5"/>
  <c r="AI105" i="5"/>
  <c r="AI126" i="5"/>
  <c r="AI76" i="5"/>
  <c r="AI53" i="5" a="1"/>
  <c r="AI53" i="5" s="1"/>
  <c r="AI130" i="5"/>
  <c r="AI144" i="5"/>
  <c r="AI75" i="5"/>
  <c r="AI100" i="5"/>
  <c r="AI119" i="5"/>
  <c r="AI65" i="5"/>
  <c r="AI122" i="5"/>
  <c r="AI94" i="5"/>
  <c r="AI21" i="5" a="1"/>
  <c r="AI21" i="5" s="1"/>
  <c r="AI120" i="5"/>
  <c r="AI145" i="5"/>
  <c r="AI83" i="5"/>
  <c r="AI111" i="5"/>
  <c r="AI86" i="5"/>
  <c r="AI3" i="3"/>
  <c r="AI35" i="5" a="1"/>
  <c r="AI35" i="5" s="1"/>
  <c r="AI118" i="5"/>
  <c r="AI70" i="5"/>
  <c r="AV3" i="4"/>
  <c r="AI93" i="5"/>
  <c r="AI138" i="5"/>
  <c r="AI80" i="5"/>
  <c r="AI141" i="5"/>
  <c r="AI79" i="5"/>
  <c r="AI20" i="5" a="1"/>
  <c r="AI20" i="5" s="1"/>
  <c r="AI103" i="5"/>
  <c r="AI60" i="5"/>
  <c r="AI135" i="5"/>
  <c r="AI67" i="5"/>
  <c r="AI116" i="5"/>
  <c r="AI72" i="5"/>
  <c r="AI139" i="5"/>
  <c r="AI71" i="5"/>
  <c r="AI147" i="5"/>
  <c r="AI95" i="5"/>
  <c r="AI55" i="5" a="1"/>
  <c r="AI55" i="5" s="1"/>
  <c r="AI117" i="5"/>
  <c r="AI127" i="5"/>
  <c r="AI74" i="5"/>
  <c r="AI50" i="5" a="1"/>
  <c r="AI50" i="5" s="1"/>
  <c r="AI113" i="5"/>
  <c r="AI108" i="5"/>
  <c r="AI64" i="5"/>
  <c r="AI63" i="5"/>
  <c r="AI54" i="5" a="1"/>
  <c r="AI54" i="5" s="1"/>
  <c r="AI51" i="5" a="1"/>
  <c r="AI51" i="5" s="1"/>
  <c r="AI124" i="5"/>
  <c r="AI36" i="5" a="1"/>
  <c r="AI36" i="5" s="1"/>
  <c r="AI140" i="5"/>
  <c r="AI82" i="5"/>
  <c r="AI104" i="5"/>
  <c r="AI56" i="5" a="1"/>
  <c r="AI56" i="5" s="1"/>
  <c r="AI26" i="5" a="1"/>
  <c r="AI26" i="5" s="1"/>
  <c r="AI62" i="5"/>
  <c r="AI99" i="5"/>
  <c r="AI146" i="5"/>
  <c r="AI77" i="5"/>
  <c r="AI91" i="5"/>
  <c r="AI40" i="5" a="1"/>
  <c r="AI40" i="5" s="1"/>
  <c r="AI136" i="5"/>
  <c r="AI78" i="5"/>
  <c r="AI132" i="5"/>
  <c r="AI92" i="5"/>
  <c r="AJ3" i="5"/>
  <c r="AI110" i="5"/>
  <c r="AI66" i="5"/>
  <c r="AI45" i="5" a="1"/>
  <c r="AI45" i="5" s="1"/>
  <c r="AI114" i="5"/>
  <c r="AI30" i="5" a="1"/>
  <c r="AI30" i="5" s="1"/>
  <c r="AI101" i="5"/>
  <c r="AI96" i="5"/>
  <c r="AI49" i="5" a="1"/>
  <c r="AI49" i="5" s="1"/>
  <c r="AI128" i="5"/>
  <c r="AI88" i="5"/>
  <c r="AI31" i="5" a="1"/>
  <c r="AI31" i="5" s="1"/>
  <c r="AI97" i="5"/>
  <c r="AI52" i="5" a="1"/>
  <c r="AI52" i="5" s="1"/>
  <c r="AI137" i="5"/>
  <c r="AI69" i="5"/>
  <c r="AI121" i="5"/>
  <c r="AI106" i="5"/>
  <c r="AI48" i="5" a="1"/>
  <c r="AI48" i="5" s="1"/>
  <c r="AI68" i="5"/>
  <c r="AG23" i="3"/>
  <c r="AG28" i="3" s="1"/>
  <c r="C36" i="2"/>
  <c r="AH36" i="2" s="1"/>
  <c r="T36" i="2" s="1"/>
  <c r="B37" i="2"/>
  <c r="AJ41" i="5" l="1" a="1"/>
  <c r="AJ41" i="5" s="1"/>
  <c r="AJ39" i="5" a="1"/>
  <c r="AJ39" i="5" s="1"/>
  <c r="V36" i="2"/>
  <c r="Y36" i="2"/>
  <c r="X35" i="2"/>
  <c r="AC35" i="2"/>
  <c r="AH58" i="5"/>
  <c r="AH152" i="5" s="1"/>
  <c r="AE38" i="2" s="1"/>
  <c r="AH23" i="3"/>
  <c r="AH28" i="3" s="1"/>
  <c r="AV22" i="4"/>
  <c r="AV18" i="4"/>
  <c r="AV20" i="4"/>
  <c r="AV14" i="4"/>
  <c r="AV9" i="4"/>
  <c r="AV16" i="4"/>
  <c r="AV10" i="4"/>
  <c r="AV24" i="4"/>
  <c r="AV8" i="4"/>
  <c r="AV21" i="4"/>
  <c r="AV25" i="4"/>
  <c r="AV12" i="4"/>
  <c r="AV6" i="4"/>
  <c r="AV5" i="4"/>
  <c r="AV17" i="4"/>
  <c r="AV15" i="4"/>
  <c r="AV4" i="4"/>
  <c r="AV23" i="4"/>
  <c r="AV13" i="4"/>
  <c r="AV11" i="4"/>
  <c r="AV7" i="4"/>
  <c r="AV19" i="4"/>
  <c r="AJ37" i="5" a="1"/>
  <c r="AJ37" i="5" s="1"/>
  <c r="AJ139" i="5"/>
  <c r="AJ86" i="5"/>
  <c r="AJ87" i="5"/>
  <c r="AJ67" i="5"/>
  <c r="AJ119" i="5"/>
  <c r="AJ60" i="5"/>
  <c r="AJ127" i="5"/>
  <c r="AJ96" i="5"/>
  <c r="AJ36" i="5" a="1"/>
  <c r="AJ36" i="5" s="1"/>
  <c r="AJ117" i="5"/>
  <c r="AJ79" i="5"/>
  <c r="AJ144" i="5"/>
  <c r="AJ78" i="5"/>
  <c r="AJ24" i="5" a="1"/>
  <c r="AJ24" i="5" s="1"/>
  <c r="AJ95" i="5"/>
  <c r="AJ55" i="5" a="1"/>
  <c r="AJ55" i="5" s="1"/>
  <c r="AJ88" i="5"/>
  <c r="AJ71" i="5"/>
  <c r="AW3" i="4"/>
  <c r="AJ106" i="5"/>
  <c r="AJ45" i="5" a="1"/>
  <c r="AJ45" i="5" s="1"/>
  <c r="AJ61" i="5"/>
  <c r="AJ141" i="5"/>
  <c r="AJ72" i="5"/>
  <c r="AJ126" i="5"/>
  <c r="AJ34" i="5" a="1"/>
  <c r="AJ34" i="5" s="1"/>
  <c r="AJ109" i="5"/>
  <c r="AJ140" i="5"/>
  <c r="AJ70" i="5"/>
  <c r="AJ116" i="5"/>
  <c r="AJ132" i="5"/>
  <c r="AJ82" i="5"/>
  <c r="AJ20" i="5" a="1"/>
  <c r="AJ20" i="5" s="1"/>
  <c r="AJ99" i="5"/>
  <c r="AJ63" i="5"/>
  <c r="AJ118" i="5"/>
  <c r="AJ62" i="5"/>
  <c r="AJ125" i="5"/>
  <c r="AJ98" i="5"/>
  <c r="AJ38" i="5" a="1"/>
  <c r="AJ38" i="5" s="1"/>
  <c r="AJ136" i="5"/>
  <c r="AJ66" i="5"/>
  <c r="AJ102" i="5"/>
  <c r="AJ84" i="5"/>
  <c r="AJ114" i="5"/>
  <c r="AJ94" i="5"/>
  <c r="AJ142" i="5"/>
  <c r="AJ76" i="5"/>
  <c r="AJ146" i="5"/>
  <c r="AJ80" i="5"/>
  <c r="AJ73" i="5"/>
  <c r="AJ48" i="5" a="1"/>
  <c r="AJ48" i="5" s="1"/>
  <c r="AJ143" i="5"/>
  <c r="AJ148" i="5"/>
  <c r="AJ74" i="5"/>
  <c r="AJ21" i="5" a="1"/>
  <c r="AJ21" i="5" s="1"/>
  <c r="AJ91" i="5"/>
  <c r="AJ51" i="5" a="1"/>
  <c r="AJ51" i="5" s="1"/>
  <c r="AJ110" i="5"/>
  <c r="AJ52" i="5" a="1"/>
  <c r="AJ52" i="5" s="1"/>
  <c r="AJ130" i="5"/>
  <c r="AJ90" i="5"/>
  <c r="AJ35" i="5" a="1"/>
  <c r="AJ35" i="5" s="1"/>
  <c r="AJ121" i="5"/>
  <c r="AJ128" i="5"/>
  <c r="AJ22" i="5" a="1"/>
  <c r="AJ22" i="5" s="1"/>
  <c r="AJ56" i="5" a="1"/>
  <c r="AJ56" i="5" s="1"/>
  <c r="AJ122" i="5"/>
  <c r="AJ77" i="5"/>
  <c r="AJ69" i="5"/>
  <c r="AJ50" i="5" a="1"/>
  <c r="AJ50" i="5" s="1"/>
  <c r="AJ49" i="5" a="1"/>
  <c r="AJ49" i="5" s="1"/>
  <c r="AJ137" i="5"/>
  <c r="AJ85" i="5"/>
  <c r="AJ26" i="5" a="1"/>
  <c r="AJ26" i="5" s="1"/>
  <c r="AJ115" i="5"/>
  <c r="AJ23" i="5" a="1"/>
  <c r="AJ23" i="5" s="1"/>
  <c r="AJ138" i="5"/>
  <c r="AJ68" i="5"/>
  <c r="AJ111" i="5"/>
  <c r="AJ3" i="3"/>
  <c r="AJ107" i="5"/>
  <c r="AJ145" i="5"/>
  <c r="AJ89" i="5"/>
  <c r="AJ131" i="5"/>
  <c r="AJ108" i="5"/>
  <c r="AJ31" i="5" a="1"/>
  <c r="AJ31" i="5" s="1"/>
  <c r="AJ105" i="5"/>
  <c r="AJ101" i="5"/>
  <c r="AJ65" i="5"/>
  <c r="AJ120" i="5"/>
  <c r="AJ64" i="5"/>
  <c r="AJ123" i="5"/>
  <c r="AJ100" i="5"/>
  <c r="AJ40" i="5" a="1"/>
  <c r="AJ40" i="5" s="1"/>
  <c r="AJ135" i="5"/>
  <c r="AJ83" i="5"/>
  <c r="AJ53" i="5" a="1"/>
  <c r="AJ53" i="5" s="1"/>
  <c r="AJ112" i="5"/>
  <c r="AJ92" i="5"/>
  <c r="AJ75" i="5"/>
  <c r="AJ147" i="5"/>
  <c r="AJ104" i="5"/>
  <c r="AJ129" i="5"/>
  <c r="AJ25" i="5" a="1"/>
  <c r="AJ25" i="5" s="1"/>
  <c r="AJ103" i="5"/>
  <c r="AJ81" i="5"/>
  <c r="AJ93" i="5"/>
  <c r="AJ54" i="5" a="1"/>
  <c r="AJ54" i="5" s="1"/>
  <c r="AJ124" i="5"/>
  <c r="AK3" i="5"/>
  <c r="AJ113" i="5"/>
  <c r="AJ30" i="5" a="1"/>
  <c r="AJ30" i="5" s="1"/>
  <c r="AJ97" i="5"/>
  <c r="AI149" i="5"/>
  <c r="AI25" i="3" s="1"/>
  <c r="AI133" i="5"/>
  <c r="AI24" i="3" s="1"/>
  <c r="AU34" i="4"/>
  <c r="AI28" i="5"/>
  <c r="AI19" i="3" s="1"/>
  <c r="AB35" i="2"/>
  <c r="AE7" i="5" s="1"/>
  <c r="AI46" i="5"/>
  <c r="AI21" i="3" s="1"/>
  <c r="AI57" i="5"/>
  <c r="AI22" i="3" s="1"/>
  <c r="AI32" i="5"/>
  <c r="AI20" i="3" s="1"/>
  <c r="B38" i="2"/>
  <c r="C37" i="2"/>
  <c r="AH37" i="2" s="1"/>
  <c r="T37" i="2" s="1"/>
  <c r="AK41" i="5" l="1" a="1"/>
  <c r="AK41" i="5" s="1"/>
  <c r="AK39" i="5" a="1"/>
  <c r="AK39" i="5" s="1"/>
  <c r="X36" i="2"/>
  <c r="Y37" i="2"/>
  <c r="V37" i="2"/>
  <c r="AI58" i="5"/>
  <c r="AI152" i="5" s="1"/>
  <c r="AE39" i="2" s="1"/>
  <c r="AJ32" i="5"/>
  <c r="AJ20" i="3" s="1"/>
  <c r="AE14" i="5"/>
  <c r="AE15" i="5" s="1"/>
  <c r="AE7" i="3"/>
  <c r="AE14" i="3" s="1"/>
  <c r="AE15" i="3" s="1"/>
  <c r="AJ149" i="5"/>
  <c r="AJ25" i="3" s="1"/>
  <c r="AJ28" i="5"/>
  <c r="AJ19" i="3" s="1"/>
  <c r="AI23" i="3"/>
  <c r="AI28" i="3" s="1"/>
  <c r="AW22" i="4"/>
  <c r="AW11" i="4"/>
  <c r="AW18" i="4"/>
  <c r="AW4" i="4"/>
  <c r="AW7" i="4"/>
  <c r="AW14" i="4"/>
  <c r="AW6" i="4"/>
  <c r="AW8" i="4"/>
  <c r="AW10" i="4"/>
  <c r="AW25" i="4"/>
  <c r="AW21" i="4"/>
  <c r="AW24" i="4"/>
  <c r="AW13" i="4"/>
  <c r="AW15" i="4"/>
  <c r="AW17" i="4"/>
  <c r="AW23" i="4"/>
  <c r="AW9" i="4"/>
  <c r="AW19" i="4"/>
  <c r="AW5" i="4"/>
  <c r="AW20" i="4"/>
  <c r="AW12" i="4"/>
  <c r="AW16" i="4"/>
  <c r="AJ133" i="5"/>
  <c r="AJ24" i="3" s="1"/>
  <c r="AV34" i="4"/>
  <c r="AJ57" i="5"/>
  <c r="AJ22" i="3" s="1"/>
  <c r="AK128" i="5"/>
  <c r="AK89" i="5"/>
  <c r="AK21" i="5" a="1"/>
  <c r="AK21" i="5" s="1"/>
  <c r="AK98" i="5"/>
  <c r="AK52" i="5" a="1"/>
  <c r="AK52" i="5" s="1"/>
  <c r="AK138" i="5"/>
  <c r="AK68" i="5"/>
  <c r="AK130" i="5"/>
  <c r="AK86" i="5"/>
  <c r="AK48" i="5" a="1"/>
  <c r="AK48" i="5" s="1"/>
  <c r="AK142" i="5"/>
  <c r="AK80" i="5"/>
  <c r="AK20" i="5" a="1"/>
  <c r="AK20" i="5" s="1"/>
  <c r="AK90" i="5"/>
  <c r="AK38" i="5" a="1"/>
  <c r="AK38" i="5" s="1"/>
  <c r="AK116" i="5"/>
  <c r="AK60" i="5"/>
  <c r="AK127" i="5"/>
  <c r="AK34" i="5" a="1"/>
  <c r="AK34" i="5" s="1"/>
  <c r="AK141" i="5"/>
  <c r="AK72" i="5"/>
  <c r="AK123" i="5"/>
  <c r="AK103" i="5"/>
  <c r="AK37" i="5" a="1"/>
  <c r="AK37" i="5" s="1"/>
  <c r="AK108" i="5"/>
  <c r="AK85" i="5"/>
  <c r="AK24" i="5" a="1"/>
  <c r="AK24" i="5" s="1"/>
  <c r="AK64" i="5"/>
  <c r="AK25" i="5" a="1"/>
  <c r="AK25" i="5" s="1"/>
  <c r="AK119" i="5"/>
  <c r="AK22" i="5" a="1"/>
  <c r="AK22" i="5" s="1"/>
  <c r="AK40" i="5" a="1"/>
  <c r="AK40" i="5" s="1"/>
  <c r="AK135" i="5"/>
  <c r="AK79" i="5"/>
  <c r="AK67" i="5"/>
  <c r="AK146" i="5"/>
  <c r="AK84" i="5"/>
  <c r="AK76" i="5"/>
  <c r="AK99" i="5"/>
  <c r="AK91" i="5"/>
  <c r="AK131" i="5"/>
  <c r="AK77" i="5"/>
  <c r="AK132" i="5"/>
  <c r="AK129" i="5"/>
  <c r="AK126" i="5"/>
  <c r="AK120" i="5"/>
  <c r="AK95" i="5"/>
  <c r="AK144" i="5"/>
  <c r="AK82" i="5"/>
  <c r="AK30" i="5" a="1"/>
  <c r="AK30" i="5" s="1"/>
  <c r="AK109" i="5"/>
  <c r="AK45" i="5" a="1"/>
  <c r="AK45" i="5" s="1"/>
  <c r="AK113" i="5"/>
  <c r="AK145" i="5"/>
  <c r="AK3" i="3"/>
  <c r="AK94" i="5"/>
  <c r="AK105" i="5"/>
  <c r="AK97" i="5"/>
  <c r="AK112" i="5"/>
  <c r="AK53" i="5" a="1"/>
  <c r="AK53" i="5" s="1"/>
  <c r="AK124" i="5"/>
  <c r="AK87" i="5"/>
  <c r="AK23" i="5" a="1"/>
  <c r="AK23" i="5" s="1"/>
  <c r="AK111" i="5"/>
  <c r="AK69" i="5"/>
  <c r="AK143" i="5"/>
  <c r="AK74" i="5"/>
  <c r="AX3" i="4"/>
  <c r="AK137" i="5"/>
  <c r="AK81" i="5"/>
  <c r="AL3" i="5"/>
  <c r="AK104" i="5"/>
  <c r="AK136" i="5"/>
  <c r="AK66" i="5"/>
  <c r="AK50" i="5" a="1"/>
  <c r="AK50" i="5" s="1"/>
  <c r="AK114" i="5"/>
  <c r="AK62" i="5"/>
  <c r="AK88" i="5"/>
  <c r="AK31" i="5" a="1"/>
  <c r="AK31" i="5" s="1"/>
  <c r="AK106" i="5"/>
  <c r="AK148" i="5"/>
  <c r="AK78" i="5"/>
  <c r="AK61" i="5"/>
  <c r="AK115" i="5"/>
  <c r="AK73" i="5"/>
  <c r="AK140" i="5"/>
  <c r="AK70" i="5"/>
  <c r="AK147" i="5"/>
  <c r="AK96" i="5"/>
  <c r="AK118" i="5"/>
  <c r="AK125" i="5"/>
  <c r="AK92" i="5"/>
  <c r="AK93" i="5"/>
  <c r="AK26" i="5" a="1"/>
  <c r="AK26" i="5" s="1"/>
  <c r="AK102" i="5"/>
  <c r="AK63" i="5"/>
  <c r="AK55" i="5" a="1"/>
  <c r="AK55" i="5" s="1"/>
  <c r="AK107" i="5"/>
  <c r="AK65" i="5"/>
  <c r="AK36" i="5" a="1"/>
  <c r="AK36" i="5" s="1"/>
  <c r="AK139" i="5"/>
  <c r="AK83" i="5"/>
  <c r="AK56" i="5" a="1"/>
  <c r="AK56" i="5" s="1"/>
  <c r="AK100" i="5"/>
  <c r="AK54" i="5" a="1"/>
  <c r="AK54" i="5" s="1"/>
  <c r="AK110" i="5"/>
  <c r="AK51" i="5" a="1"/>
  <c r="AK51" i="5" s="1"/>
  <c r="AK122" i="5"/>
  <c r="AK101" i="5"/>
  <c r="AK35" i="5" a="1"/>
  <c r="AK35" i="5" s="1"/>
  <c r="AK117" i="5"/>
  <c r="AK75" i="5"/>
  <c r="AK49" i="5" a="1"/>
  <c r="AK49" i="5" s="1"/>
  <c r="AK121" i="5"/>
  <c r="AK71" i="5"/>
  <c r="AJ46" i="5"/>
  <c r="AJ21" i="3" s="1"/>
  <c r="C38" i="2"/>
  <c r="AH38" i="2" s="1"/>
  <c r="T38" i="2" s="1"/>
  <c r="B39" i="2"/>
  <c r="AL41" i="5" l="1" a="1"/>
  <c r="AL41" i="5" s="1"/>
  <c r="AL39" i="5" a="1"/>
  <c r="AL39" i="5" s="1"/>
  <c r="X37" i="2"/>
  <c r="Y38" i="2"/>
  <c r="V38" i="2"/>
  <c r="AK32" i="5"/>
  <c r="AK20" i="3" s="1"/>
  <c r="AK28" i="5"/>
  <c r="AK19" i="3" s="1"/>
  <c r="AL3" i="3"/>
  <c r="AL107" i="5"/>
  <c r="AL141" i="5"/>
  <c r="AL79" i="5"/>
  <c r="AL21" i="5" a="1"/>
  <c r="AL21" i="5" s="1"/>
  <c r="AL90" i="5"/>
  <c r="AL117" i="5"/>
  <c r="AL67" i="5"/>
  <c r="AL121" i="5"/>
  <c r="AL101" i="5"/>
  <c r="AL38" i="5" a="1"/>
  <c r="AL38" i="5" s="1"/>
  <c r="AL61" i="5"/>
  <c r="AL144" i="5"/>
  <c r="AL56" i="5" a="1"/>
  <c r="AL56" i="5" s="1"/>
  <c r="AL129" i="5"/>
  <c r="AL24" i="5" a="1"/>
  <c r="AL24" i="5" s="1"/>
  <c r="AL62" i="5"/>
  <c r="AL108" i="5"/>
  <c r="AL49" i="5" a="1"/>
  <c r="AL49" i="5" s="1"/>
  <c r="AL99" i="5"/>
  <c r="AY3" i="4"/>
  <c r="AL135" i="5"/>
  <c r="AL71" i="5"/>
  <c r="AL126" i="5"/>
  <c r="AL105" i="5"/>
  <c r="AL93" i="5"/>
  <c r="AL83" i="5"/>
  <c r="AL113" i="5"/>
  <c r="AL63" i="5"/>
  <c r="AL125" i="5"/>
  <c r="AL97" i="5"/>
  <c r="AL136" i="5"/>
  <c r="AL84" i="5"/>
  <c r="AL130" i="5"/>
  <c r="AL88" i="5"/>
  <c r="AL26" i="5" a="1"/>
  <c r="AL26" i="5" s="1"/>
  <c r="AL22" i="5" a="1"/>
  <c r="AL22" i="5" s="1"/>
  <c r="AL140" i="5"/>
  <c r="AL52" i="5" a="1"/>
  <c r="AL52" i="5" s="1"/>
  <c r="AL122" i="5"/>
  <c r="AL89" i="5"/>
  <c r="AL76" i="5"/>
  <c r="AL25" i="5" a="1"/>
  <c r="AL25" i="5" s="1"/>
  <c r="AL100" i="5"/>
  <c r="AL119" i="5"/>
  <c r="AL92" i="5"/>
  <c r="AL82" i="5"/>
  <c r="AL66" i="5"/>
  <c r="AL114" i="5"/>
  <c r="AL143" i="5"/>
  <c r="AL81" i="5"/>
  <c r="AL110" i="5"/>
  <c r="AL60" i="5"/>
  <c r="AL115" i="5"/>
  <c r="AL20" i="5" a="1"/>
  <c r="AL20" i="5" s="1"/>
  <c r="AL102" i="5"/>
  <c r="AL55" i="5" a="1"/>
  <c r="AL55" i="5" s="1"/>
  <c r="AL70" i="5"/>
  <c r="AL118" i="5"/>
  <c r="AL80" i="5"/>
  <c r="AL148" i="5"/>
  <c r="AL85" i="5"/>
  <c r="AL104" i="5"/>
  <c r="AL68" i="5"/>
  <c r="AL137" i="5"/>
  <c r="AL73" i="5"/>
  <c r="AL50" i="5" a="1"/>
  <c r="AL50" i="5" s="1"/>
  <c r="AL72" i="5"/>
  <c r="AL96" i="5"/>
  <c r="AL65" i="5"/>
  <c r="AL64" i="5"/>
  <c r="AL109" i="5"/>
  <c r="AL53" i="5" a="1"/>
  <c r="AL53" i="5" s="1"/>
  <c r="AL111" i="5"/>
  <c r="AL78" i="5"/>
  <c r="AL147" i="5"/>
  <c r="AL37" i="5" a="1"/>
  <c r="AL37" i="5" s="1"/>
  <c r="AL138" i="5"/>
  <c r="AL127" i="5"/>
  <c r="AL36" i="5" a="1"/>
  <c r="AL36" i="5" s="1"/>
  <c r="AL116" i="5"/>
  <c r="AM3" i="5"/>
  <c r="AL139" i="5"/>
  <c r="AL75" i="5"/>
  <c r="AL142" i="5"/>
  <c r="AL77" i="5"/>
  <c r="AL51" i="5" a="1"/>
  <c r="AL51" i="5" s="1"/>
  <c r="AL69" i="5"/>
  <c r="AL40" i="5" a="1"/>
  <c r="AL40" i="5" s="1"/>
  <c r="AL120" i="5"/>
  <c r="AL74" i="5"/>
  <c r="AL87" i="5"/>
  <c r="AL98" i="5"/>
  <c r="AL48" i="5" a="1"/>
  <c r="AL48" i="5" s="1"/>
  <c r="AL146" i="5"/>
  <c r="AL54" i="5" a="1"/>
  <c r="AL54" i="5" s="1"/>
  <c r="AL34" i="5" a="1"/>
  <c r="AL34" i="5" s="1"/>
  <c r="AL103" i="5"/>
  <c r="AL30" i="5" a="1"/>
  <c r="AL30" i="5" s="1"/>
  <c r="AL112" i="5"/>
  <c r="AL124" i="5"/>
  <c r="AL132" i="5"/>
  <c r="AL128" i="5"/>
  <c r="AL95" i="5"/>
  <c r="AL123" i="5"/>
  <c r="AL145" i="5"/>
  <c r="AL31" i="5" a="1"/>
  <c r="AL31" i="5" s="1"/>
  <c r="AL94" i="5"/>
  <c r="AL86" i="5"/>
  <c r="AL131" i="5"/>
  <c r="AL91" i="5"/>
  <c r="AL23" i="5" a="1"/>
  <c r="AL23" i="5" s="1"/>
  <c r="AL106" i="5"/>
  <c r="AL45" i="5" a="1"/>
  <c r="AL45" i="5" s="1"/>
  <c r="AL35" i="5" a="1"/>
  <c r="AL35" i="5" s="1"/>
  <c r="AK57" i="5"/>
  <c r="AK22" i="3" s="1"/>
  <c r="AK149" i="5"/>
  <c r="AK25" i="3" s="1"/>
  <c r="AJ58" i="5"/>
  <c r="AJ152" i="5" s="1"/>
  <c r="AE40" i="2" s="1"/>
  <c r="AX4" i="4"/>
  <c r="AX17" i="4"/>
  <c r="AX23" i="4"/>
  <c r="AX20" i="4"/>
  <c r="AX16" i="4"/>
  <c r="AX6" i="4"/>
  <c r="AX13" i="4"/>
  <c r="AX19" i="4"/>
  <c r="AX9" i="4"/>
  <c r="AX15" i="4"/>
  <c r="AX12" i="4"/>
  <c r="AX5" i="4"/>
  <c r="AX18" i="4"/>
  <c r="AX21" i="4"/>
  <c r="AX11" i="4"/>
  <c r="AX14" i="4"/>
  <c r="AX10" i="4"/>
  <c r="AX7" i="4"/>
  <c r="AX25" i="4"/>
  <c r="AX22" i="4"/>
  <c r="AX24" i="4"/>
  <c r="AX8" i="4"/>
  <c r="AJ23" i="3"/>
  <c r="AJ28" i="3" s="1"/>
  <c r="AK46" i="5"/>
  <c r="AK21" i="3" s="1"/>
  <c r="AK133" i="5"/>
  <c r="AK24" i="3" s="1"/>
  <c r="AW34" i="4"/>
  <c r="B40" i="2"/>
  <c r="C39" i="2"/>
  <c r="AH39" i="2" s="1"/>
  <c r="T39" i="2" s="1"/>
  <c r="AM41" i="5" l="1" a="1"/>
  <c r="AM41" i="5" s="1"/>
  <c r="AM39" i="5" a="1"/>
  <c r="AM39" i="5" s="1"/>
  <c r="Y39" i="2"/>
  <c r="V39" i="2"/>
  <c r="X38" i="2"/>
  <c r="AC38" i="2"/>
  <c r="AY6" i="4"/>
  <c r="AY25" i="4"/>
  <c r="AY13" i="4"/>
  <c r="AY21" i="4"/>
  <c r="AY17" i="4"/>
  <c r="AY24" i="4"/>
  <c r="AY20" i="4"/>
  <c r="AY16" i="4"/>
  <c r="AY9" i="4"/>
  <c r="AY8" i="4"/>
  <c r="AY12" i="4"/>
  <c r="AY5" i="4"/>
  <c r="AY23" i="4"/>
  <c r="AY22" i="4"/>
  <c r="AY15" i="4"/>
  <c r="AY4" i="4"/>
  <c r="AY7" i="4"/>
  <c r="AY18" i="4"/>
  <c r="AY19" i="4"/>
  <c r="AY14" i="4"/>
  <c r="AY11" i="4"/>
  <c r="AY10" i="4"/>
  <c r="AL28" i="5"/>
  <c r="AL19" i="3" s="1"/>
  <c r="AL133" i="5"/>
  <c r="AL24" i="3" s="1"/>
  <c r="AL32" i="5"/>
  <c r="AL20" i="3" s="1"/>
  <c r="AL46" i="5"/>
  <c r="AL21" i="3" s="1"/>
  <c r="AK58" i="5"/>
  <c r="AK152" i="5" s="1"/>
  <c r="AE41" i="2" s="1"/>
  <c r="AB38" i="2" s="1"/>
  <c r="AH7" i="5" s="1"/>
  <c r="AK23" i="3"/>
  <c r="AK28" i="3" s="1"/>
  <c r="AX34" i="4"/>
  <c r="AL57" i="5"/>
  <c r="AL22" i="3" s="1"/>
  <c r="AM105" i="5"/>
  <c r="AM129" i="5"/>
  <c r="AM90" i="5"/>
  <c r="AM34" i="5" a="1"/>
  <c r="AM34" i="5" s="1"/>
  <c r="AM108" i="5"/>
  <c r="AM64" i="5"/>
  <c r="AM60" i="5"/>
  <c r="AM37" i="5" a="1"/>
  <c r="AM37" i="5" s="1"/>
  <c r="AM131" i="5"/>
  <c r="AM89" i="5"/>
  <c r="AM40" i="5" a="1"/>
  <c r="AM40" i="5" s="1"/>
  <c r="AN3" i="5"/>
  <c r="AM123" i="5"/>
  <c r="AM135" i="5"/>
  <c r="AM67" i="5"/>
  <c r="AM100" i="5"/>
  <c r="AM118" i="5"/>
  <c r="AM77" i="5"/>
  <c r="AM97" i="5"/>
  <c r="AM145" i="5"/>
  <c r="AM83" i="5"/>
  <c r="AM24" i="5" a="1"/>
  <c r="AM24" i="5" s="1"/>
  <c r="AM99" i="5"/>
  <c r="AM54" i="5" a="1"/>
  <c r="AM54" i="5" s="1"/>
  <c r="AM36" i="5" a="1"/>
  <c r="AM36" i="5" s="1"/>
  <c r="AM25" i="5" a="1"/>
  <c r="AM25" i="5" s="1"/>
  <c r="AM137" i="5"/>
  <c r="AM144" i="5"/>
  <c r="AM75" i="5"/>
  <c r="AM112" i="5"/>
  <c r="AM102" i="5"/>
  <c r="AM104" i="5"/>
  <c r="AM141" i="5"/>
  <c r="AM79" i="5"/>
  <c r="AM22" i="5" a="1"/>
  <c r="AM22" i="5" s="1"/>
  <c r="AM107" i="5"/>
  <c r="AM3" i="3"/>
  <c r="AM91" i="5"/>
  <c r="AM122" i="5"/>
  <c r="AM74" i="5"/>
  <c r="AM124" i="5"/>
  <c r="AM45" i="5" a="1"/>
  <c r="AM45" i="5" s="1"/>
  <c r="AZ3" i="4"/>
  <c r="AM146" i="5"/>
  <c r="AM121" i="5"/>
  <c r="AM94" i="5"/>
  <c r="AM113" i="5"/>
  <c r="AM55" i="5" a="1"/>
  <c r="AM55" i="5" s="1"/>
  <c r="AM130" i="5"/>
  <c r="AM96" i="5"/>
  <c r="AM26" i="5" a="1"/>
  <c r="AM26" i="5" s="1"/>
  <c r="AM126" i="5"/>
  <c r="AM120" i="5"/>
  <c r="AM69" i="5"/>
  <c r="AM86" i="5"/>
  <c r="AM127" i="5"/>
  <c r="AM88" i="5"/>
  <c r="AM78" i="5"/>
  <c r="AM143" i="5"/>
  <c r="AM81" i="5"/>
  <c r="AM132" i="5"/>
  <c r="AM140" i="5"/>
  <c r="AM82" i="5"/>
  <c r="AM31" i="5" a="1"/>
  <c r="AM31" i="5" s="1"/>
  <c r="AM148" i="5"/>
  <c r="AM87" i="5"/>
  <c r="AM62" i="5"/>
  <c r="AM101" i="5"/>
  <c r="AM68" i="5"/>
  <c r="AM49" i="5" a="1"/>
  <c r="AM49" i="5" s="1"/>
  <c r="AM111" i="5"/>
  <c r="AM63" i="5"/>
  <c r="AM85" i="5"/>
  <c r="AM139" i="5"/>
  <c r="AM71" i="5"/>
  <c r="AM110" i="5"/>
  <c r="AM66" i="5"/>
  <c r="AM142" i="5"/>
  <c r="AM73" i="5"/>
  <c r="AM115" i="5"/>
  <c r="AM95" i="5"/>
  <c r="AM84" i="5"/>
  <c r="AM38" i="5" a="1"/>
  <c r="AM38" i="5" s="1"/>
  <c r="AM65" i="5"/>
  <c r="AM147" i="5"/>
  <c r="AM93" i="5"/>
  <c r="AM51" i="5" a="1"/>
  <c r="AM51" i="5" s="1"/>
  <c r="AM50" i="5" a="1"/>
  <c r="AM50" i="5" s="1"/>
  <c r="AM20" i="5" a="1"/>
  <c r="AM20" i="5" s="1"/>
  <c r="AM56" i="5" a="1"/>
  <c r="AM56" i="5" s="1"/>
  <c r="AM119" i="5"/>
  <c r="AM21" i="5" a="1"/>
  <c r="AM21" i="5" s="1"/>
  <c r="AM136" i="5"/>
  <c r="AM128" i="5"/>
  <c r="AM106" i="5"/>
  <c r="AM48" i="5" a="1"/>
  <c r="AM48" i="5" s="1"/>
  <c r="AM138" i="5"/>
  <c r="AM80" i="5"/>
  <c r="AM61" i="5"/>
  <c r="AM70" i="5"/>
  <c r="AM35" i="5" a="1"/>
  <c r="AM35" i="5" s="1"/>
  <c r="AM109" i="5"/>
  <c r="AM53" i="5" a="1"/>
  <c r="AM53" i="5" s="1"/>
  <c r="AM92" i="5"/>
  <c r="AM114" i="5"/>
  <c r="AM125" i="5"/>
  <c r="AM98" i="5"/>
  <c r="AM23" i="5" a="1"/>
  <c r="AM23" i="5" s="1"/>
  <c r="AM116" i="5"/>
  <c r="AM72" i="5"/>
  <c r="AM76" i="5"/>
  <c r="AM52" i="5" a="1"/>
  <c r="AM52" i="5" s="1"/>
  <c r="AM30" i="5" a="1"/>
  <c r="AM30" i="5" s="1"/>
  <c r="AM117" i="5"/>
  <c r="AM103" i="5"/>
  <c r="AL149" i="5"/>
  <c r="AL25" i="3" s="1"/>
  <c r="C40" i="2"/>
  <c r="AH40" i="2" s="1"/>
  <c r="T40" i="2" s="1"/>
  <c r="B41" i="2"/>
  <c r="AN41" i="5" l="1" a="1"/>
  <c r="AN41" i="5" s="1"/>
  <c r="AN39" i="5" a="1"/>
  <c r="AN39" i="5" s="1"/>
  <c r="V40" i="2"/>
  <c r="Y40" i="2"/>
  <c r="X39" i="2"/>
  <c r="AM32" i="5"/>
  <c r="AM20" i="3" s="1"/>
  <c r="AM46" i="5"/>
  <c r="AM21" i="3" s="1"/>
  <c r="AL58" i="5"/>
  <c r="AL152" i="5" s="1"/>
  <c r="AE42" i="2" s="1"/>
  <c r="AL23" i="3"/>
  <c r="AL28" i="3" s="1"/>
  <c r="AM149" i="5"/>
  <c r="AM25" i="3" s="1"/>
  <c r="AM57" i="5"/>
  <c r="AM22" i="3" s="1"/>
  <c r="AN132" i="5"/>
  <c r="AN98" i="5"/>
  <c r="AN36" i="5" a="1"/>
  <c r="AN36" i="5" s="1"/>
  <c r="AN109" i="5"/>
  <c r="AN71" i="5"/>
  <c r="AN112" i="5"/>
  <c r="AN56" i="5" a="1"/>
  <c r="AN56" i="5" s="1"/>
  <c r="AN131" i="5"/>
  <c r="AN86" i="5"/>
  <c r="AN20" i="5" a="1"/>
  <c r="AN20" i="5" s="1"/>
  <c r="AN137" i="5"/>
  <c r="AN142" i="5"/>
  <c r="AN80" i="5"/>
  <c r="AN127" i="5"/>
  <c r="AN89" i="5"/>
  <c r="AN30" i="5" a="1"/>
  <c r="AN30" i="5" s="1"/>
  <c r="AN93" i="5"/>
  <c r="AN77" i="5"/>
  <c r="AN140" i="5"/>
  <c r="AN72" i="5"/>
  <c r="AN123" i="5"/>
  <c r="AN121" i="5"/>
  <c r="AN22" i="5" a="1"/>
  <c r="AN22" i="5" s="1"/>
  <c r="AN97" i="5"/>
  <c r="AN103" i="5"/>
  <c r="AN144" i="5"/>
  <c r="AN82" i="5"/>
  <c r="BA3" i="4"/>
  <c r="AN38" i="5" a="1"/>
  <c r="AN38" i="5" s="1"/>
  <c r="AN79" i="5"/>
  <c r="AN122" i="5"/>
  <c r="AN90" i="5"/>
  <c r="AN31" i="5" a="1"/>
  <c r="AN31" i="5" s="1"/>
  <c r="AN101" i="5"/>
  <c r="AN63" i="5"/>
  <c r="AN85" i="5"/>
  <c r="AN23" i="5" a="1"/>
  <c r="AN23" i="5" s="1"/>
  <c r="AN37" i="5" a="1"/>
  <c r="AN37" i="5" s="1"/>
  <c r="AN107" i="5"/>
  <c r="AN64" i="5"/>
  <c r="AN111" i="5"/>
  <c r="AN136" i="5"/>
  <c r="AN68" i="5"/>
  <c r="AN55" i="5" a="1"/>
  <c r="AN55" i="5" s="1"/>
  <c r="AN65" i="5"/>
  <c r="AN129" i="5"/>
  <c r="AN120" i="5"/>
  <c r="AN51" i="5" a="1"/>
  <c r="AN51" i="5" s="1"/>
  <c r="AN115" i="5"/>
  <c r="AN78" i="5"/>
  <c r="AN69" i="5"/>
  <c r="AN148" i="5"/>
  <c r="AN21" i="5" a="1"/>
  <c r="AN21" i="5" s="1"/>
  <c r="AN104" i="5"/>
  <c r="AN118" i="5"/>
  <c r="AN147" i="5"/>
  <c r="AN92" i="5"/>
  <c r="AN138" i="5"/>
  <c r="AN70" i="5"/>
  <c r="AN128" i="5"/>
  <c r="AN96" i="5"/>
  <c r="AN26" i="5" a="1"/>
  <c r="AN26" i="5" s="1"/>
  <c r="AN99" i="5"/>
  <c r="AN61" i="5"/>
  <c r="AN110" i="5"/>
  <c r="AN54" i="5" a="1"/>
  <c r="AN54" i="5" s="1"/>
  <c r="AN62" i="5"/>
  <c r="AN88" i="5"/>
  <c r="AN49" i="5" a="1"/>
  <c r="AN49" i="5" s="1"/>
  <c r="AN135" i="5"/>
  <c r="AN83" i="5"/>
  <c r="AN24" i="5" a="1"/>
  <c r="AN24" i="5" s="1"/>
  <c r="AN102" i="5"/>
  <c r="AN75" i="5"/>
  <c r="AN124" i="5"/>
  <c r="AN81" i="5"/>
  <c r="AO3" i="5"/>
  <c r="AN105" i="5"/>
  <c r="AN114" i="5"/>
  <c r="AN74" i="5"/>
  <c r="AN45" i="5" a="1"/>
  <c r="AN45" i="5" s="1"/>
  <c r="AN117" i="5"/>
  <c r="AN116" i="5"/>
  <c r="AN130" i="5"/>
  <c r="AN25" i="5" a="1"/>
  <c r="AN25" i="5" s="1"/>
  <c r="AN91" i="5"/>
  <c r="AN145" i="5"/>
  <c r="AN52" i="5" a="1"/>
  <c r="AN52" i="5" s="1"/>
  <c r="AN146" i="5"/>
  <c r="AN84" i="5"/>
  <c r="AN40" i="5" a="1"/>
  <c r="AN40" i="5" s="1"/>
  <c r="AN113" i="5"/>
  <c r="AN119" i="5"/>
  <c r="AN3" i="3"/>
  <c r="AN94" i="5"/>
  <c r="AN67" i="5"/>
  <c r="AN73" i="5"/>
  <c r="AN87" i="5"/>
  <c r="AN60" i="5"/>
  <c r="AN53" i="5" a="1"/>
  <c r="AN53" i="5" s="1"/>
  <c r="AN139" i="5"/>
  <c r="AN50" i="5" a="1"/>
  <c r="AN50" i="5" s="1"/>
  <c r="AN143" i="5"/>
  <c r="AN100" i="5"/>
  <c r="AN34" i="5" a="1"/>
  <c r="AN34" i="5" s="1"/>
  <c r="AN141" i="5"/>
  <c r="AN76" i="5"/>
  <c r="AN48" i="5" a="1"/>
  <c r="AN48" i="5" s="1"/>
  <c r="AN106" i="5"/>
  <c r="AN125" i="5"/>
  <c r="AN35" i="5" a="1"/>
  <c r="AN35" i="5" s="1"/>
  <c r="AN108" i="5"/>
  <c r="AN126" i="5"/>
  <c r="AN95" i="5"/>
  <c r="AN66" i="5"/>
  <c r="AH7" i="3"/>
  <c r="AH14" i="3" s="1"/>
  <c r="AH15" i="3" s="1"/>
  <c r="AH14" i="5"/>
  <c r="AH15" i="5" s="1"/>
  <c r="AY34" i="4"/>
  <c r="AZ13" i="4"/>
  <c r="AZ14" i="4"/>
  <c r="AZ9" i="4"/>
  <c r="AZ12" i="4"/>
  <c r="AZ8" i="4"/>
  <c r="AZ4" i="4"/>
  <c r="AZ23" i="4"/>
  <c r="AZ20" i="4"/>
  <c r="AZ5" i="4"/>
  <c r="AZ17" i="4"/>
  <c r="AZ15" i="4"/>
  <c r="AZ10" i="4"/>
  <c r="AZ11" i="4"/>
  <c r="AZ25" i="4"/>
  <c r="AZ7" i="4"/>
  <c r="AZ24" i="4"/>
  <c r="AZ21" i="4"/>
  <c r="AZ18" i="4"/>
  <c r="AZ22" i="4"/>
  <c r="AZ16" i="4"/>
  <c r="AZ19" i="4"/>
  <c r="AZ6" i="4"/>
  <c r="AM133" i="5"/>
  <c r="AM24" i="3" s="1"/>
  <c r="AM28" i="5"/>
  <c r="AM19" i="3" s="1"/>
  <c r="C41" i="2"/>
  <c r="AH41" i="2" s="1"/>
  <c r="T41" i="2" s="1"/>
  <c r="B42" i="2"/>
  <c r="AO41" i="5" l="1" a="1"/>
  <c r="AO41" i="5" s="1"/>
  <c r="AO39" i="5" a="1"/>
  <c r="AO39" i="5" s="1"/>
  <c r="AM23" i="3"/>
  <c r="V41" i="2"/>
  <c r="Y41" i="2"/>
  <c r="X40" i="2"/>
  <c r="AM58" i="5"/>
  <c r="AM152" i="5" s="1"/>
  <c r="AE43" i="2" s="1"/>
  <c r="AO144" i="5"/>
  <c r="AO82" i="5"/>
  <c r="AO22" i="5" a="1"/>
  <c r="AO22" i="5" s="1"/>
  <c r="AO100" i="5"/>
  <c r="AO56" i="5" a="1"/>
  <c r="AO56" i="5" s="1"/>
  <c r="AO110" i="5"/>
  <c r="AO51" i="5" a="1"/>
  <c r="AO51" i="5" s="1"/>
  <c r="AO121" i="5"/>
  <c r="AO101" i="5"/>
  <c r="AO35" i="5" a="1"/>
  <c r="AO35" i="5" s="1"/>
  <c r="AO143" i="5"/>
  <c r="AO74" i="5"/>
  <c r="BB3" i="4"/>
  <c r="AO92" i="5"/>
  <c r="AO40" i="5" a="1"/>
  <c r="AO40" i="5" s="1"/>
  <c r="AO135" i="5"/>
  <c r="AO81" i="5"/>
  <c r="AO132" i="5"/>
  <c r="AO93" i="5"/>
  <c r="AO30" i="5" a="1"/>
  <c r="AO30" i="5" s="1"/>
  <c r="AO136" i="5"/>
  <c r="AO66" i="5"/>
  <c r="AO131" i="5"/>
  <c r="AO45" i="5" a="1"/>
  <c r="AO45" i="5" s="1"/>
  <c r="AO113" i="5"/>
  <c r="AO146" i="5"/>
  <c r="AO84" i="5"/>
  <c r="AO86" i="5"/>
  <c r="AO70" i="5"/>
  <c r="AO91" i="5"/>
  <c r="AO73" i="5"/>
  <c r="AO24" i="5" a="1"/>
  <c r="AO24" i="5" s="1"/>
  <c r="AO107" i="5"/>
  <c r="AO105" i="5"/>
  <c r="AO26" i="5" a="1"/>
  <c r="AO26" i="5" s="1"/>
  <c r="AO87" i="5"/>
  <c r="AO114" i="5"/>
  <c r="AO55" i="5" a="1"/>
  <c r="AO55" i="5" s="1"/>
  <c r="AO128" i="5"/>
  <c r="AO97" i="5"/>
  <c r="AO31" i="5" a="1"/>
  <c r="AO31" i="5" s="1"/>
  <c r="AO106" i="5"/>
  <c r="AO65" i="5"/>
  <c r="AO145" i="5"/>
  <c r="AO76" i="5"/>
  <c r="AO3" i="3"/>
  <c r="AO50" i="5" a="1"/>
  <c r="AO50" i="5" s="1"/>
  <c r="AO112" i="5"/>
  <c r="AO111" i="5"/>
  <c r="AO139" i="5"/>
  <c r="AO85" i="5"/>
  <c r="AO125" i="5"/>
  <c r="AO89" i="5"/>
  <c r="AO21" i="5" a="1"/>
  <c r="AO21" i="5" s="1"/>
  <c r="AO98" i="5"/>
  <c r="AO54" i="5" a="1"/>
  <c r="AO54" i="5" s="1"/>
  <c r="AO138" i="5"/>
  <c r="AO68" i="5"/>
  <c r="AO141" i="5"/>
  <c r="AO72" i="5"/>
  <c r="AO103" i="5"/>
  <c r="AO102" i="5"/>
  <c r="AO120" i="5"/>
  <c r="AO130" i="5"/>
  <c r="AO25" i="5" a="1"/>
  <c r="AO25" i="5" s="1"/>
  <c r="AO119" i="5"/>
  <c r="AO148" i="5"/>
  <c r="AO78" i="5"/>
  <c r="AO140" i="5"/>
  <c r="AO147" i="5"/>
  <c r="AO96" i="5"/>
  <c r="AO118" i="5"/>
  <c r="AO117" i="5"/>
  <c r="AO77" i="5"/>
  <c r="AO142" i="5"/>
  <c r="AO80" i="5"/>
  <c r="AO20" i="5" a="1"/>
  <c r="AO20" i="5" s="1"/>
  <c r="AO90" i="5"/>
  <c r="AO38" i="5" a="1"/>
  <c r="AO38" i="5" s="1"/>
  <c r="AO116" i="5"/>
  <c r="AO60" i="5"/>
  <c r="AO122" i="5"/>
  <c r="AO49" i="5" a="1"/>
  <c r="AO49" i="5" s="1"/>
  <c r="AO48" i="5" a="1"/>
  <c r="AO48" i="5" s="1"/>
  <c r="AO137" i="5"/>
  <c r="AO83" i="5"/>
  <c r="AO99" i="5"/>
  <c r="AO52" i="5" a="1"/>
  <c r="AO52" i="5" s="1"/>
  <c r="AO62" i="5"/>
  <c r="AO109" i="5"/>
  <c r="AO69" i="5"/>
  <c r="AO37" i="5" a="1"/>
  <c r="AO37" i="5" s="1"/>
  <c r="AO108" i="5"/>
  <c r="AO61" i="5"/>
  <c r="AO64" i="5"/>
  <c r="AO95" i="5"/>
  <c r="AO67" i="5"/>
  <c r="AO79" i="5"/>
  <c r="AO94" i="5"/>
  <c r="AO53" i="5" a="1"/>
  <c r="AO53" i="5" s="1"/>
  <c r="AO127" i="5"/>
  <c r="AP3" i="5"/>
  <c r="AO104" i="5"/>
  <c r="AO75" i="5"/>
  <c r="AO124" i="5"/>
  <c r="AO23" i="5" a="1"/>
  <c r="AO23" i="5" s="1"/>
  <c r="AO71" i="5"/>
  <c r="AO129" i="5"/>
  <c r="AO63" i="5"/>
  <c r="AO34" i="5" a="1"/>
  <c r="AO34" i="5" s="1"/>
  <c r="AO115" i="5"/>
  <c r="AO123" i="5"/>
  <c r="AO88" i="5"/>
  <c r="AO126" i="5"/>
  <c r="AO36" i="5" a="1"/>
  <c r="AO36" i="5" s="1"/>
  <c r="AZ34" i="4"/>
  <c r="BA17" i="4"/>
  <c r="BA7" i="4"/>
  <c r="BA11" i="4"/>
  <c r="BA12" i="4"/>
  <c r="BA14" i="4"/>
  <c r="BA23" i="4"/>
  <c r="BA15" i="4"/>
  <c r="BA4" i="4"/>
  <c r="BA8" i="4"/>
  <c r="BA18" i="4"/>
  <c r="BA25" i="4"/>
  <c r="BA20" i="4"/>
  <c r="BA9" i="4"/>
  <c r="BA5" i="4"/>
  <c r="BA24" i="4"/>
  <c r="BA16" i="4"/>
  <c r="BA22" i="4"/>
  <c r="BA10" i="4"/>
  <c r="BA6" i="4"/>
  <c r="BA13" i="4"/>
  <c r="BA19" i="4"/>
  <c r="BA21" i="4"/>
  <c r="AN32" i="5"/>
  <c r="AN20" i="3" s="1"/>
  <c r="AN133" i="5"/>
  <c r="AN24" i="3" s="1"/>
  <c r="AN57" i="5"/>
  <c r="AN22" i="3" s="1"/>
  <c r="AM28" i="3"/>
  <c r="AN149" i="5"/>
  <c r="AN25" i="3" s="1"/>
  <c r="AN28" i="5"/>
  <c r="AN19" i="3" s="1"/>
  <c r="AN46" i="5"/>
  <c r="AN21" i="3" s="1"/>
  <c r="B43" i="2"/>
  <c r="C42" i="2"/>
  <c r="AH42" i="2" s="1"/>
  <c r="T42" i="2" s="1"/>
  <c r="AP41" i="5" l="1" a="1"/>
  <c r="AP41" i="5" s="1"/>
  <c r="AP39" i="5" a="1"/>
  <c r="AP39" i="5" s="1"/>
  <c r="AC41" i="2"/>
  <c r="X41" i="2"/>
  <c r="V42" i="2"/>
  <c r="Y42" i="2"/>
  <c r="AO57" i="5"/>
  <c r="AO22" i="3" s="1"/>
  <c r="AN58" i="5"/>
  <c r="AN152" i="5" s="1"/>
  <c r="AE44" i="2" s="1"/>
  <c r="AB41" i="2" s="1"/>
  <c r="AO133" i="5"/>
  <c r="AO24" i="3" s="1"/>
  <c r="AN23" i="3"/>
  <c r="AN28" i="3" s="1"/>
  <c r="AO32" i="5"/>
  <c r="AO20" i="3" s="1"/>
  <c r="AP98" i="5"/>
  <c r="AP55" i="5" a="1"/>
  <c r="AP55" i="5" s="1"/>
  <c r="AP115" i="5"/>
  <c r="AP61" i="5"/>
  <c r="AP124" i="5"/>
  <c r="AP90" i="5"/>
  <c r="AP48" i="5" a="1"/>
  <c r="AP48" i="5" s="1"/>
  <c r="AP140" i="5"/>
  <c r="AP50" i="5" a="1"/>
  <c r="AP50" i="5" s="1"/>
  <c r="AP121" i="5"/>
  <c r="AP87" i="5"/>
  <c r="AP20" i="5" a="1"/>
  <c r="AP20" i="5" s="1"/>
  <c r="AP108" i="5"/>
  <c r="AP68" i="5"/>
  <c r="AP60" i="5"/>
  <c r="AP72" i="5"/>
  <c r="BC3" i="4"/>
  <c r="AP92" i="5"/>
  <c r="AP81" i="5"/>
  <c r="AP95" i="5"/>
  <c r="AP129" i="5"/>
  <c r="AP99" i="5"/>
  <c r="AP38" i="5" a="1"/>
  <c r="AP38" i="5" s="1"/>
  <c r="AP118" i="5"/>
  <c r="AP80" i="5"/>
  <c r="AP148" i="5"/>
  <c r="AP83" i="5"/>
  <c r="AP34" i="5" a="1"/>
  <c r="AP34" i="5" s="1"/>
  <c r="AP100" i="5"/>
  <c r="AP128" i="5"/>
  <c r="AP91" i="5"/>
  <c r="AP23" i="5" a="1"/>
  <c r="AP23" i="5" s="1"/>
  <c r="AP110" i="5"/>
  <c r="AP142" i="5"/>
  <c r="AP75" i="5"/>
  <c r="AP49" i="5" a="1"/>
  <c r="AP49" i="5" s="1"/>
  <c r="AP36" i="5" a="1"/>
  <c r="AP36" i="5" s="1"/>
  <c r="AP116" i="5"/>
  <c r="AP3" i="3"/>
  <c r="AP131" i="5"/>
  <c r="AP88" i="5"/>
  <c r="AP26" i="5" a="1"/>
  <c r="AP26" i="5" s="1"/>
  <c r="AP104" i="5"/>
  <c r="AP64" i="5"/>
  <c r="AP135" i="5"/>
  <c r="AP67" i="5"/>
  <c r="AP127" i="5"/>
  <c r="AP101" i="5"/>
  <c r="AP40" i="5" a="1"/>
  <c r="AP40" i="5" s="1"/>
  <c r="AP143" i="5"/>
  <c r="AP79" i="5"/>
  <c r="AP25" i="5" a="1"/>
  <c r="AP25" i="5" s="1"/>
  <c r="AP96" i="5"/>
  <c r="AP56" i="5" a="1"/>
  <c r="AP56" i="5" s="1"/>
  <c r="AP126" i="5"/>
  <c r="AP93" i="5"/>
  <c r="AP123" i="5"/>
  <c r="AP35" i="5" a="1"/>
  <c r="AP35" i="5" s="1"/>
  <c r="AP117" i="5"/>
  <c r="AP122" i="5"/>
  <c r="AP53" i="5" a="1"/>
  <c r="AP53" i="5" s="1"/>
  <c r="AP113" i="5"/>
  <c r="AP24" i="5" a="1"/>
  <c r="AP24" i="5" s="1"/>
  <c r="AP45" i="5" a="1"/>
  <c r="AP45" i="5" s="1"/>
  <c r="AP138" i="5"/>
  <c r="AP86" i="5"/>
  <c r="AP63" i="5"/>
  <c r="AP145" i="5"/>
  <c r="AP31" i="5" a="1"/>
  <c r="AP31" i="5" s="1"/>
  <c r="AP76" i="5"/>
  <c r="AP139" i="5"/>
  <c r="AP71" i="5"/>
  <c r="AP147" i="5"/>
  <c r="AP105" i="5"/>
  <c r="AP107" i="5"/>
  <c r="AP97" i="5"/>
  <c r="AP144" i="5"/>
  <c r="AP73" i="5"/>
  <c r="AP78" i="5"/>
  <c r="AP136" i="5"/>
  <c r="AP30" i="5" a="1"/>
  <c r="AP30" i="5" s="1"/>
  <c r="AP114" i="5"/>
  <c r="AP146" i="5"/>
  <c r="AP52" i="5" a="1"/>
  <c r="AP52" i="5" s="1"/>
  <c r="AP130" i="5"/>
  <c r="AP89" i="5"/>
  <c r="AP22" i="5" a="1"/>
  <c r="AP22" i="5" s="1"/>
  <c r="AP109" i="5"/>
  <c r="AP70" i="5"/>
  <c r="AP37" i="5" a="1"/>
  <c r="AP37" i="5" s="1"/>
  <c r="AP84" i="5"/>
  <c r="AP120" i="5"/>
  <c r="AP82" i="5"/>
  <c r="AP132" i="5"/>
  <c r="AP85" i="5"/>
  <c r="AQ3" i="5"/>
  <c r="AP102" i="5"/>
  <c r="AP62" i="5"/>
  <c r="AP119" i="5"/>
  <c r="AP65" i="5"/>
  <c r="AP112" i="5"/>
  <c r="AP74" i="5"/>
  <c r="AP141" i="5"/>
  <c r="AP77" i="5"/>
  <c r="AP21" i="5" a="1"/>
  <c r="AP21" i="5" s="1"/>
  <c r="AP94" i="5"/>
  <c r="AP51" i="5" a="1"/>
  <c r="AP51" i="5" s="1"/>
  <c r="AP111" i="5"/>
  <c r="AP54" i="5" a="1"/>
  <c r="AP54" i="5" s="1"/>
  <c r="AP103" i="5"/>
  <c r="AP137" i="5"/>
  <c r="AP69" i="5"/>
  <c r="AP106" i="5"/>
  <c r="AP66" i="5"/>
  <c r="AP125" i="5"/>
  <c r="AO28" i="5"/>
  <c r="AO19" i="3" s="1"/>
  <c r="AO46" i="5"/>
  <c r="AO21" i="3" s="1"/>
  <c r="BA34" i="4"/>
  <c r="AO149" i="5"/>
  <c r="AO25" i="3" s="1"/>
  <c r="BB15" i="4"/>
  <c r="BB17" i="4"/>
  <c r="BB11" i="4"/>
  <c r="BB7" i="4"/>
  <c r="BB22" i="4"/>
  <c r="BB13" i="4"/>
  <c r="BB9" i="4"/>
  <c r="BB8" i="4"/>
  <c r="BB21" i="4"/>
  <c r="BB5" i="4"/>
  <c r="BB18" i="4"/>
  <c r="BB14" i="4"/>
  <c r="BB16" i="4"/>
  <c r="BB6" i="4"/>
  <c r="BB19" i="4"/>
  <c r="BB20" i="4"/>
  <c r="BB10" i="4"/>
  <c r="BB12" i="4"/>
  <c r="BB25" i="4"/>
  <c r="BB24" i="4"/>
  <c r="BB4" i="4"/>
  <c r="BB23" i="4"/>
  <c r="C43" i="2"/>
  <c r="AH43" i="2" s="1"/>
  <c r="T43" i="2" s="1"/>
  <c r="B44" i="2"/>
  <c r="AQ41" i="5" l="1" a="1"/>
  <c r="AQ41" i="5" s="1"/>
  <c r="AQ39" i="5" a="1"/>
  <c r="AQ39" i="5" s="1"/>
  <c r="X42" i="2"/>
  <c r="Y43" i="2"/>
  <c r="V43" i="2"/>
  <c r="AP32" i="5"/>
  <c r="AP20" i="3" s="1"/>
  <c r="AP57" i="5"/>
  <c r="AP22" i="3" s="1"/>
  <c r="BC19" i="4"/>
  <c r="BC15" i="4"/>
  <c r="BC5" i="4"/>
  <c r="BC18" i="4"/>
  <c r="BC11" i="4"/>
  <c r="BC22" i="4"/>
  <c r="BC24" i="4"/>
  <c r="BC14" i="4"/>
  <c r="BC7" i="4"/>
  <c r="BC25" i="4"/>
  <c r="BC16" i="4"/>
  <c r="BC10" i="4"/>
  <c r="BC12" i="4"/>
  <c r="BC6" i="4"/>
  <c r="BC8" i="4"/>
  <c r="BC21" i="4"/>
  <c r="BC23" i="4"/>
  <c r="BC9" i="4"/>
  <c r="BC20" i="4"/>
  <c r="BC17" i="4"/>
  <c r="BC4" i="4"/>
  <c r="BC13" i="4"/>
  <c r="AP46" i="5"/>
  <c r="AP21" i="3" s="1"/>
  <c r="AP133" i="5"/>
  <c r="AP24" i="3" s="1"/>
  <c r="AQ45" i="5" a="1"/>
  <c r="AQ45" i="5" s="1"/>
  <c r="AQ114" i="5"/>
  <c r="AQ78" i="5"/>
  <c r="AQ25" i="5" a="1"/>
  <c r="AQ25" i="5" s="1"/>
  <c r="AQ112" i="5"/>
  <c r="AQ113" i="5"/>
  <c r="AQ55" i="5" a="1"/>
  <c r="AQ55" i="5" s="1"/>
  <c r="AQ131" i="5"/>
  <c r="AQ96" i="5"/>
  <c r="AQ26" i="5" a="1"/>
  <c r="AQ26" i="5" s="1"/>
  <c r="AQ105" i="5"/>
  <c r="AQ64" i="5"/>
  <c r="AQ146" i="5"/>
  <c r="AQ77" i="5"/>
  <c r="BD3" i="4"/>
  <c r="AQ143" i="5"/>
  <c r="AQ81" i="5"/>
  <c r="AQ61" i="5"/>
  <c r="AQ60" i="5"/>
  <c r="AQ122" i="5"/>
  <c r="AQ50" i="5" a="1"/>
  <c r="AQ50" i="5" s="1"/>
  <c r="AQ111" i="5"/>
  <c r="AQ140" i="5"/>
  <c r="AQ84" i="5"/>
  <c r="AQ128" i="5"/>
  <c r="AQ88" i="5"/>
  <c r="AQ31" i="5" a="1"/>
  <c r="AQ31" i="5" s="1"/>
  <c r="AQ97" i="5"/>
  <c r="AQ54" i="5" a="1"/>
  <c r="AQ54" i="5" s="1"/>
  <c r="AQ137" i="5"/>
  <c r="AQ69" i="5"/>
  <c r="AQ22" i="5" a="1"/>
  <c r="AQ22" i="5" s="1"/>
  <c r="AQ89" i="5"/>
  <c r="AQ142" i="5"/>
  <c r="AQ73" i="5"/>
  <c r="AQ37" i="5" a="1"/>
  <c r="AQ37" i="5" s="1"/>
  <c r="AQ107" i="5"/>
  <c r="AQ119" i="5"/>
  <c r="AQ118" i="5"/>
  <c r="AQ76" i="5"/>
  <c r="AQ38" i="5" a="1"/>
  <c r="AQ38" i="5" s="1"/>
  <c r="AQ115" i="5"/>
  <c r="AQ68" i="5"/>
  <c r="AQ102" i="5"/>
  <c r="AQ101" i="5"/>
  <c r="AQ65" i="5"/>
  <c r="AQ110" i="5"/>
  <c r="AQ125" i="5"/>
  <c r="AQ49" i="5" a="1"/>
  <c r="AQ49" i="5" s="1"/>
  <c r="AQ121" i="5"/>
  <c r="AQ106" i="5"/>
  <c r="AQ48" i="5" a="1"/>
  <c r="AQ48" i="5" s="1"/>
  <c r="AQ138" i="5"/>
  <c r="AQ82" i="5"/>
  <c r="AQ141" i="5"/>
  <c r="AQ79" i="5"/>
  <c r="AQ20" i="5" a="1"/>
  <c r="AQ20" i="5" s="1"/>
  <c r="AQ103" i="5"/>
  <c r="AQ62" i="5"/>
  <c r="AQ145" i="5"/>
  <c r="AQ83" i="5"/>
  <c r="AQ100" i="5"/>
  <c r="AQ144" i="5"/>
  <c r="AQ75" i="5"/>
  <c r="AR3" i="5"/>
  <c r="AQ129" i="5"/>
  <c r="AQ98" i="5"/>
  <c r="AQ23" i="5" a="1"/>
  <c r="AQ23" i="5" s="1"/>
  <c r="AQ116" i="5"/>
  <c r="AQ74" i="5"/>
  <c r="AQ139" i="5"/>
  <c r="AQ71" i="5"/>
  <c r="AQ147" i="5"/>
  <c r="AQ95" i="5"/>
  <c r="AQ52" i="5" a="1"/>
  <c r="AQ52" i="5" s="1"/>
  <c r="AQ126" i="5"/>
  <c r="AQ90" i="5"/>
  <c r="AQ66" i="5"/>
  <c r="AQ63" i="5"/>
  <c r="AQ87" i="5"/>
  <c r="AQ56" i="5" a="1"/>
  <c r="AQ56" i="5" s="1"/>
  <c r="AQ109" i="5"/>
  <c r="AQ35" i="5" a="1"/>
  <c r="AQ35" i="5" s="1"/>
  <c r="AQ40" i="5" a="1"/>
  <c r="AQ40" i="5" s="1"/>
  <c r="AQ136" i="5"/>
  <c r="AQ80" i="5"/>
  <c r="AQ123" i="5"/>
  <c r="AQ148" i="5"/>
  <c r="AQ85" i="5"/>
  <c r="AQ86" i="5"/>
  <c r="AQ34" i="5" a="1"/>
  <c r="AQ34" i="5" s="1"/>
  <c r="AQ108" i="5"/>
  <c r="AQ117" i="5"/>
  <c r="AQ127" i="5"/>
  <c r="AQ36" i="5" a="1"/>
  <c r="AQ36" i="5" s="1"/>
  <c r="AQ51" i="5" a="1"/>
  <c r="AQ51" i="5" s="1"/>
  <c r="AQ124" i="5"/>
  <c r="AQ3" i="3"/>
  <c r="AQ91" i="5"/>
  <c r="AQ92" i="5"/>
  <c r="AQ135" i="5"/>
  <c r="AQ67" i="5"/>
  <c r="AQ72" i="5"/>
  <c r="AQ30" i="5" a="1"/>
  <c r="AQ30" i="5" s="1"/>
  <c r="AQ94" i="5"/>
  <c r="AQ93" i="5"/>
  <c r="AQ24" i="5" a="1"/>
  <c r="AQ24" i="5" s="1"/>
  <c r="AQ99" i="5"/>
  <c r="AQ130" i="5"/>
  <c r="AQ104" i="5"/>
  <c r="AQ21" i="5" a="1"/>
  <c r="AQ21" i="5" s="1"/>
  <c r="AQ120" i="5"/>
  <c r="AQ53" i="5" a="1"/>
  <c r="AQ53" i="5" s="1"/>
  <c r="AQ132" i="5"/>
  <c r="AQ70" i="5"/>
  <c r="AP28" i="5"/>
  <c r="AP19" i="3" s="1"/>
  <c r="AO58" i="5"/>
  <c r="AO152" i="5" s="1"/>
  <c r="AE45" i="2" s="1"/>
  <c r="BB34" i="4"/>
  <c r="AP149" i="5"/>
  <c r="AP25" i="3" s="1"/>
  <c r="AK7" i="5"/>
  <c r="AO23" i="3"/>
  <c r="AO28" i="3" s="1"/>
  <c r="C44" i="2"/>
  <c r="AH44" i="2" s="1"/>
  <c r="T44" i="2" s="1"/>
  <c r="B45" i="2"/>
  <c r="AR41" i="5" l="1" a="1"/>
  <c r="AR41" i="5" s="1"/>
  <c r="AR39" i="5" a="1"/>
  <c r="AR39" i="5" s="1"/>
  <c r="AQ149" i="5"/>
  <c r="AQ25" i="3" s="1"/>
  <c r="AP58" i="5"/>
  <c r="AP152" i="5" s="1"/>
  <c r="AE46" i="2" s="1"/>
  <c r="BC34" i="4"/>
  <c r="X43" i="2"/>
  <c r="V44" i="2"/>
  <c r="Y44" i="2"/>
  <c r="AP23" i="3"/>
  <c r="AP28" i="3" s="1"/>
  <c r="AQ32" i="5"/>
  <c r="AQ20" i="3" s="1"/>
  <c r="AQ28" i="5"/>
  <c r="AQ19" i="3" s="1"/>
  <c r="AQ46" i="5"/>
  <c r="AQ21" i="3" s="1"/>
  <c r="AQ133" i="5"/>
  <c r="AQ24" i="3" s="1"/>
  <c r="AR23" i="5" a="1"/>
  <c r="AR23" i="5" s="1"/>
  <c r="AS3" i="5"/>
  <c r="AR113" i="5"/>
  <c r="AR3" i="3"/>
  <c r="AR107" i="5"/>
  <c r="AR104" i="5"/>
  <c r="AR119" i="5"/>
  <c r="AR81" i="5"/>
  <c r="AR132" i="5"/>
  <c r="AR86" i="5"/>
  <c r="AR31" i="5" a="1"/>
  <c r="AR31" i="5" s="1"/>
  <c r="AR105" i="5"/>
  <c r="AR69" i="5"/>
  <c r="AR140" i="5"/>
  <c r="AR70" i="5"/>
  <c r="AR30" i="5" a="1"/>
  <c r="AR30" i="5" s="1"/>
  <c r="AR97" i="5"/>
  <c r="AR45" i="5" a="1"/>
  <c r="AR45" i="5" s="1"/>
  <c r="AR114" i="5"/>
  <c r="AR40" i="5" a="1"/>
  <c r="AR40" i="5" s="1"/>
  <c r="AR135" i="5"/>
  <c r="AR83" i="5"/>
  <c r="AR49" i="5" a="1"/>
  <c r="AR49" i="5" s="1"/>
  <c r="AR110" i="5"/>
  <c r="AR53" i="5" a="1"/>
  <c r="AR53" i="5" s="1"/>
  <c r="AR136" i="5"/>
  <c r="AR66" i="5"/>
  <c r="AR92" i="5"/>
  <c r="AR125" i="5"/>
  <c r="AR96" i="5"/>
  <c r="AR36" i="5" a="1"/>
  <c r="AR36" i="5" s="1"/>
  <c r="AR139" i="5"/>
  <c r="AR87" i="5"/>
  <c r="AR126" i="5"/>
  <c r="AR108" i="5"/>
  <c r="AR25" i="5" a="1"/>
  <c r="AR25" i="5" s="1"/>
  <c r="AR103" i="5"/>
  <c r="AR67" i="5"/>
  <c r="AR144" i="5"/>
  <c r="AR80" i="5"/>
  <c r="AR55" i="5" a="1"/>
  <c r="AR55" i="5" s="1"/>
  <c r="AR71" i="5"/>
  <c r="AR48" i="5" a="1"/>
  <c r="AR48" i="5" s="1"/>
  <c r="AR123" i="5"/>
  <c r="AR147" i="5"/>
  <c r="AR91" i="5"/>
  <c r="AR51" i="5" a="1"/>
  <c r="AR51" i="5" s="1"/>
  <c r="AR112" i="5"/>
  <c r="AR90" i="5"/>
  <c r="AR116" i="5"/>
  <c r="AR127" i="5"/>
  <c r="AR131" i="5"/>
  <c r="AR141" i="5"/>
  <c r="AR50" i="5" a="1"/>
  <c r="AR50" i="5" s="1"/>
  <c r="AR94" i="5"/>
  <c r="AR77" i="5"/>
  <c r="AR73" i="5"/>
  <c r="AR118" i="5"/>
  <c r="AR143" i="5"/>
  <c r="AR74" i="5"/>
  <c r="AR93" i="5"/>
  <c r="AR121" i="5"/>
  <c r="AR75" i="5"/>
  <c r="AR130" i="5"/>
  <c r="AR88" i="5"/>
  <c r="AR34" i="5" a="1"/>
  <c r="AR34" i="5" s="1"/>
  <c r="AR117" i="5"/>
  <c r="AR79" i="5"/>
  <c r="AR24" i="5" a="1"/>
  <c r="AR24" i="5" s="1"/>
  <c r="AR95" i="5"/>
  <c r="AR145" i="5"/>
  <c r="AR72" i="5"/>
  <c r="AR38" i="5" a="1"/>
  <c r="AR38" i="5" s="1"/>
  <c r="AR35" i="5" a="1"/>
  <c r="AR35" i="5" s="1"/>
  <c r="AR142" i="5"/>
  <c r="AR78" i="5"/>
  <c r="AR146" i="5"/>
  <c r="AR82" i="5"/>
  <c r="AR100" i="5"/>
  <c r="AR129" i="5"/>
  <c r="AR84" i="5"/>
  <c r="AR20" i="5" a="1"/>
  <c r="AR20" i="5" s="1"/>
  <c r="AR109" i="5"/>
  <c r="BE3" i="4"/>
  <c r="AR106" i="5"/>
  <c r="AR148" i="5"/>
  <c r="AR76" i="5"/>
  <c r="AR63" i="5"/>
  <c r="AR120" i="5"/>
  <c r="AR98" i="5"/>
  <c r="AR102" i="5"/>
  <c r="AR89" i="5"/>
  <c r="AR26" i="5" a="1"/>
  <c r="AR26" i="5" s="1"/>
  <c r="AR115" i="5"/>
  <c r="AR61" i="5"/>
  <c r="AR101" i="5"/>
  <c r="AR52" i="5" a="1"/>
  <c r="AR52" i="5" s="1"/>
  <c r="AR21" i="5" a="1"/>
  <c r="AR21" i="5" s="1"/>
  <c r="AR99" i="5"/>
  <c r="AR64" i="5"/>
  <c r="AR22" i="5" a="1"/>
  <c r="AR22" i="5" s="1"/>
  <c r="AR56" i="5" a="1"/>
  <c r="AR56" i="5" s="1"/>
  <c r="AR122" i="5"/>
  <c r="AR138" i="5"/>
  <c r="AR68" i="5"/>
  <c r="AR54" i="5" a="1"/>
  <c r="AR54" i="5" s="1"/>
  <c r="AR124" i="5"/>
  <c r="AR60" i="5"/>
  <c r="AR37" i="5" a="1"/>
  <c r="AR37" i="5" s="1"/>
  <c r="AR137" i="5"/>
  <c r="AR85" i="5"/>
  <c r="AR128" i="5"/>
  <c r="AR111" i="5"/>
  <c r="AR62" i="5"/>
  <c r="AR65" i="5"/>
  <c r="AQ57" i="5"/>
  <c r="AQ22" i="3" s="1"/>
  <c r="BD22" i="4"/>
  <c r="BD16" i="4"/>
  <c r="BD12" i="4"/>
  <c r="BD18" i="4"/>
  <c r="BD20" i="4"/>
  <c r="BD8" i="4"/>
  <c r="BD4" i="4"/>
  <c r="BD17" i="4"/>
  <c r="BD11" i="4"/>
  <c r="BD10" i="4"/>
  <c r="BD24" i="4"/>
  <c r="BD23" i="4"/>
  <c r="BD13" i="4"/>
  <c r="BD19" i="4"/>
  <c r="BD9" i="4"/>
  <c r="BD15" i="4"/>
  <c r="BD7" i="4"/>
  <c r="BD14" i="4"/>
  <c r="BD25" i="4"/>
  <c r="BD5" i="4"/>
  <c r="BD6" i="4"/>
  <c r="BD21" i="4"/>
  <c r="AK7" i="3"/>
  <c r="AK14" i="3" s="1"/>
  <c r="AK15" i="3" s="1"/>
  <c r="AK14" i="5"/>
  <c r="AK15" i="5" s="1"/>
  <c r="B46" i="2"/>
  <c r="C45" i="2"/>
  <c r="AH45" i="2" s="1"/>
  <c r="T45" i="2" s="1"/>
  <c r="AS41" i="5" l="1" a="1"/>
  <c r="AS41" i="5" s="1"/>
  <c r="AS39" i="5" a="1"/>
  <c r="AS39" i="5" s="1"/>
  <c r="V45" i="2"/>
  <c r="Y45" i="2"/>
  <c r="AC44" i="2"/>
  <c r="X44" i="2"/>
  <c r="AR46" i="5"/>
  <c r="AR21" i="3" s="1"/>
  <c r="AR32" i="5"/>
  <c r="AR20" i="3" s="1"/>
  <c r="BD34" i="4"/>
  <c r="AS137" i="5"/>
  <c r="AS83" i="5"/>
  <c r="AS148" i="5"/>
  <c r="AS78" i="5"/>
  <c r="AT3" i="5"/>
  <c r="AS96" i="5"/>
  <c r="AS52" i="5" a="1"/>
  <c r="AS52" i="5" s="1"/>
  <c r="AS136" i="5"/>
  <c r="AS66" i="5"/>
  <c r="AS115" i="5"/>
  <c r="AS75" i="5"/>
  <c r="AS140" i="5"/>
  <c r="AS70" i="5"/>
  <c r="AS123" i="5"/>
  <c r="AS88" i="5"/>
  <c r="AS55" i="5" a="1"/>
  <c r="AS55" i="5" s="1"/>
  <c r="AS100" i="5"/>
  <c r="AS93" i="5"/>
  <c r="AS40" i="5" a="1"/>
  <c r="AS40" i="5" s="1"/>
  <c r="AS135" i="5"/>
  <c r="AS81" i="5"/>
  <c r="AS69" i="5"/>
  <c r="AS71" i="5"/>
  <c r="AS23" i="5" a="1"/>
  <c r="AS23" i="5" s="1"/>
  <c r="AS104" i="5"/>
  <c r="AS36" i="5" a="1"/>
  <c r="AS36" i="5" s="1"/>
  <c r="AS114" i="5"/>
  <c r="AS30" i="5" a="1"/>
  <c r="AS30" i="5" s="1"/>
  <c r="AS117" i="5"/>
  <c r="AS92" i="5"/>
  <c r="AS45" i="5" a="1"/>
  <c r="AS45" i="5" s="1"/>
  <c r="AS113" i="5"/>
  <c r="AS3" i="3"/>
  <c r="AS102" i="5"/>
  <c r="AS24" i="5" a="1"/>
  <c r="AS24" i="5" s="1"/>
  <c r="AS25" i="5" a="1"/>
  <c r="AS25" i="5" s="1"/>
  <c r="AS111" i="5"/>
  <c r="AS74" i="5"/>
  <c r="AS107" i="5"/>
  <c r="AS67" i="5"/>
  <c r="AS118" i="5"/>
  <c r="AS62" i="5"/>
  <c r="AS131" i="5"/>
  <c r="AS101" i="5"/>
  <c r="AS35" i="5" a="1"/>
  <c r="AS35" i="5" s="1"/>
  <c r="AS139" i="5"/>
  <c r="AS85" i="5"/>
  <c r="AS56" i="5" a="1"/>
  <c r="AS56" i="5" s="1"/>
  <c r="AS110" i="5"/>
  <c r="AS77" i="5"/>
  <c r="AS146" i="5"/>
  <c r="AS84" i="5"/>
  <c r="AS105" i="5"/>
  <c r="AS73" i="5"/>
  <c r="AS61" i="5"/>
  <c r="AS91" i="5"/>
  <c r="AS120" i="5"/>
  <c r="AS144" i="5"/>
  <c r="AS82" i="5"/>
  <c r="AS63" i="5"/>
  <c r="AS51" i="5" a="1"/>
  <c r="AS51" i="5" s="1"/>
  <c r="AS124" i="5"/>
  <c r="AS26" i="5" a="1"/>
  <c r="AS26" i="5" s="1"/>
  <c r="AS109" i="5"/>
  <c r="AS130" i="5"/>
  <c r="AS145" i="5"/>
  <c r="AS76" i="5"/>
  <c r="AS95" i="5"/>
  <c r="AS87" i="5"/>
  <c r="AS22" i="5" a="1"/>
  <c r="AS22" i="5" s="1"/>
  <c r="AS127" i="5"/>
  <c r="AS97" i="5"/>
  <c r="AS31" i="5" a="1"/>
  <c r="AS31" i="5" s="1"/>
  <c r="AS106" i="5"/>
  <c r="AS65" i="5"/>
  <c r="AS138" i="5"/>
  <c r="AS68" i="5"/>
  <c r="AS147" i="5"/>
  <c r="AS94" i="5"/>
  <c r="AS50" i="5" a="1"/>
  <c r="AS50" i="5" s="1"/>
  <c r="AS99" i="5"/>
  <c r="AS121" i="5"/>
  <c r="AS79" i="5"/>
  <c r="AS126" i="5"/>
  <c r="AS89" i="5"/>
  <c r="AS21" i="5" a="1"/>
  <c r="AS21" i="5" s="1"/>
  <c r="AS98" i="5"/>
  <c r="AS54" i="5" a="1"/>
  <c r="AS54" i="5" s="1"/>
  <c r="AS116" i="5"/>
  <c r="AS60" i="5"/>
  <c r="AS125" i="5"/>
  <c r="AS86" i="5"/>
  <c r="AS48" i="5" a="1"/>
  <c r="AS48" i="5" s="1"/>
  <c r="AS142" i="5"/>
  <c r="AS80" i="5"/>
  <c r="AS20" i="5" a="1"/>
  <c r="AS20" i="5" s="1"/>
  <c r="AS90" i="5"/>
  <c r="AS38" i="5" a="1"/>
  <c r="AS38" i="5" s="1"/>
  <c r="AS108" i="5"/>
  <c r="AS49" i="5" a="1"/>
  <c r="AS49" i="5" s="1"/>
  <c r="AS122" i="5"/>
  <c r="AS34" i="5" a="1"/>
  <c r="AS34" i="5" s="1"/>
  <c r="AS141" i="5"/>
  <c r="AS72" i="5"/>
  <c r="AS103" i="5"/>
  <c r="AS132" i="5"/>
  <c r="AS37" i="5" a="1"/>
  <c r="AS37" i="5" s="1"/>
  <c r="AS119" i="5"/>
  <c r="AS129" i="5"/>
  <c r="AS112" i="5"/>
  <c r="AS143" i="5"/>
  <c r="BF3" i="4"/>
  <c r="AS64" i="5"/>
  <c r="AS53" i="5" a="1"/>
  <c r="AS53" i="5" s="1"/>
  <c r="AS128" i="5"/>
  <c r="AR133" i="5"/>
  <c r="AR24" i="3" s="1"/>
  <c r="BE23" i="4"/>
  <c r="BE19" i="4"/>
  <c r="BE17" i="4"/>
  <c r="BE25" i="4"/>
  <c r="BE12" i="4"/>
  <c r="BE10" i="4"/>
  <c r="BE21" i="4"/>
  <c r="BE15" i="4"/>
  <c r="BE8" i="4"/>
  <c r="BE13" i="4"/>
  <c r="BE24" i="4"/>
  <c r="BE22" i="4"/>
  <c r="BE5" i="4"/>
  <c r="BE11" i="4"/>
  <c r="BE4" i="4"/>
  <c r="BE9" i="4"/>
  <c r="BE18" i="4"/>
  <c r="BE6" i="4"/>
  <c r="BE20" i="4"/>
  <c r="BE14" i="4"/>
  <c r="BE16" i="4"/>
  <c r="BE7" i="4"/>
  <c r="AR28" i="5"/>
  <c r="AR19" i="3" s="1"/>
  <c r="AR149" i="5"/>
  <c r="AR25" i="3" s="1"/>
  <c r="AQ58" i="5"/>
  <c r="AQ152" i="5" s="1"/>
  <c r="AE47" i="2" s="1"/>
  <c r="AB44" i="2" s="1"/>
  <c r="AR57" i="5"/>
  <c r="AR22" i="3" s="1"/>
  <c r="AQ23" i="3"/>
  <c r="AQ28" i="3" s="1"/>
  <c r="B47" i="2"/>
  <c r="C46" i="2"/>
  <c r="AH46" i="2" s="1"/>
  <c r="T46" i="2" s="1"/>
  <c r="AT41" i="5" l="1" a="1"/>
  <c r="AT41" i="5" s="1"/>
  <c r="AT39" i="5" a="1"/>
  <c r="AT39" i="5" s="1"/>
  <c r="Y46" i="2"/>
  <c r="V46" i="2"/>
  <c r="X45" i="2"/>
  <c r="AS46" i="5"/>
  <c r="AS21" i="3" s="1"/>
  <c r="AS57" i="5"/>
  <c r="AS22" i="3" s="1"/>
  <c r="AR58" i="5"/>
  <c r="AR152" i="5" s="1"/>
  <c r="AE48" i="2" s="1"/>
  <c r="AS149" i="5"/>
  <c r="AS25" i="3" s="1"/>
  <c r="AN7" i="5"/>
  <c r="AR23" i="3"/>
  <c r="AR28" i="3" s="1"/>
  <c r="AS133" i="5"/>
  <c r="AS24" i="3" s="1"/>
  <c r="AT105" i="5"/>
  <c r="AT45" i="5" a="1"/>
  <c r="AT45" i="5" s="1"/>
  <c r="AT113" i="5"/>
  <c r="AT54" i="5" a="1"/>
  <c r="AT54" i="5" s="1"/>
  <c r="AT125" i="5"/>
  <c r="AT93" i="5"/>
  <c r="AT30" i="5" a="1"/>
  <c r="AT30" i="5" s="1"/>
  <c r="AT112" i="5"/>
  <c r="AT74" i="5"/>
  <c r="AT20" i="5" a="1"/>
  <c r="AT20" i="5" s="1"/>
  <c r="AT102" i="5"/>
  <c r="AT129" i="5"/>
  <c r="AT89" i="5"/>
  <c r="AT23" i="5" a="1"/>
  <c r="AT23" i="5" s="1"/>
  <c r="AT116" i="5"/>
  <c r="AT31" i="5" a="1"/>
  <c r="AT31" i="5" s="1"/>
  <c r="AT94" i="5"/>
  <c r="AT132" i="5"/>
  <c r="AU3" i="5"/>
  <c r="AT106" i="5"/>
  <c r="AT70" i="5"/>
  <c r="AT48" i="5" a="1"/>
  <c r="AT48" i="5" s="1"/>
  <c r="AT62" i="5"/>
  <c r="AT38" i="5" a="1"/>
  <c r="AT38" i="5" s="1"/>
  <c r="AT137" i="5"/>
  <c r="AT67" i="5"/>
  <c r="AT115" i="5"/>
  <c r="AT85" i="5"/>
  <c r="AT121" i="5"/>
  <c r="AT97" i="5"/>
  <c r="AT36" i="5" a="1"/>
  <c r="AT36" i="5" s="1"/>
  <c r="AT138" i="5"/>
  <c r="AT88" i="5"/>
  <c r="AT122" i="5"/>
  <c r="AT109" i="5"/>
  <c r="AT66" i="5"/>
  <c r="AT145" i="5"/>
  <c r="AT79" i="5"/>
  <c r="AT83" i="5"/>
  <c r="AT146" i="5"/>
  <c r="AT71" i="5"/>
  <c r="AT119" i="5"/>
  <c r="AT147" i="5"/>
  <c r="AT90" i="5"/>
  <c r="AT56" i="5" a="1"/>
  <c r="AT56" i="5" s="1"/>
  <c r="AT123" i="5"/>
  <c r="AT78" i="5"/>
  <c r="AT55" i="5" a="1"/>
  <c r="AT55" i="5" s="1"/>
  <c r="AT3" i="3"/>
  <c r="AT108" i="5"/>
  <c r="AT21" i="5" a="1"/>
  <c r="AT21" i="5" s="1"/>
  <c r="AT98" i="5"/>
  <c r="AT91" i="5"/>
  <c r="AT37" i="5" a="1"/>
  <c r="AT37" i="5" s="1"/>
  <c r="AT136" i="5"/>
  <c r="AT84" i="5"/>
  <c r="AT141" i="5"/>
  <c r="AT75" i="5"/>
  <c r="AT51" i="5" a="1"/>
  <c r="AT51" i="5" s="1"/>
  <c r="AT111" i="5"/>
  <c r="AT124" i="5"/>
  <c r="AT140" i="5"/>
  <c r="AT86" i="5"/>
  <c r="AT131" i="5"/>
  <c r="AT95" i="5"/>
  <c r="AT35" i="5" a="1"/>
  <c r="AT35" i="5" s="1"/>
  <c r="AT114" i="5"/>
  <c r="AT76" i="5"/>
  <c r="AT143" i="5"/>
  <c r="AT77" i="5"/>
  <c r="AT25" i="5" a="1"/>
  <c r="AT25" i="5" s="1"/>
  <c r="AT148" i="5"/>
  <c r="AT81" i="5"/>
  <c r="AT117" i="5"/>
  <c r="AT100" i="5"/>
  <c r="BG3" i="4"/>
  <c r="AT107" i="5"/>
  <c r="AT99" i="5"/>
  <c r="AT24" i="5" a="1"/>
  <c r="AT24" i="5" s="1"/>
  <c r="AT118" i="5"/>
  <c r="AT80" i="5"/>
  <c r="AT130" i="5"/>
  <c r="AT87" i="5"/>
  <c r="AT22" i="5" a="1"/>
  <c r="AT22" i="5" s="1"/>
  <c r="AT104" i="5"/>
  <c r="AT68" i="5"/>
  <c r="AT139" i="5"/>
  <c r="AT69" i="5"/>
  <c r="AT72" i="5"/>
  <c r="AT60" i="5"/>
  <c r="AT61" i="5"/>
  <c r="AT144" i="5"/>
  <c r="AT73" i="5"/>
  <c r="AT49" i="5" a="1"/>
  <c r="AT49" i="5" s="1"/>
  <c r="AT142" i="5"/>
  <c r="AT50" i="5" a="1"/>
  <c r="AT50" i="5" s="1"/>
  <c r="AT63" i="5"/>
  <c r="AT52" i="5" a="1"/>
  <c r="AT52" i="5" s="1"/>
  <c r="AT127" i="5"/>
  <c r="AT103" i="5"/>
  <c r="AT26" i="5" a="1"/>
  <c r="AT26" i="5" s="1"/>
  <c r="AT110" i="5"/>
  <c r="AT34" i="5" a="1"/>
  <c r="AT34" i="5" s="1"/>
  <c r="AT96" i="5"/>
  <c r="AT64" i="5"/>
  <c r="AT128" i="5"/>
  <c r="AT92" i="5"/>
  <c r="AT53" i="5" a="1"/>
  <c r="AT53" i="5" s="1"/>
  <c r="AT135" i="5"/>
  <c r="AT65" i="5"/>
  <c r="AT126" i="5"/>
  <c r="AT101" i="5"/>
  <c r="AT40" i="5" a="1"/>
  <c r="AT40" i="5" s="1"/>
  <c r="AT120" i="5"/>
  <c r="AT82" i="5"/>
  <c r="BF16" i="4"/>
  <c r="BF10" i="4"/>
  <c r="BF8" i="4"/>
  <c r="BF21" i="4"/>
  <c r="BF17" i="4"/>
  <c r="BF23" i="4"/>
  <c r="BF12" i="4"/>
  <c r="BF6" i="4"/>
  <c r="BF4" i="4"/>
  <c r="BF13" i="4"/>
  <c r="BF25" i="4"/>
  <c r="BF19" i="4"/>
  <c r="BF9" i="4"/>
  <c r="BF5" i="4"/>
  <c r="BF11" i="4"/>
  <c r="BF7" i="4"/>
  <c r="BF18" i="4"/>
  <c r="BF22" i="4"/>
  <c r="BF24" i="4"/>
  <c r="BF20" i="4"/>
  <c r="BF14" i="4"/>
  <c r="BF15" i="4"/>
  <c r="AS32" i="5"/>
  <c r="AS20" i="3" s="1"/>
  <c r="AS28" i="5"/>
  <c r="AS19" i="3" s="1"/>
  <c r="BE34" i="4"/>
  <c r="C47" i="2"/>
  <c r="AH47" i="2" s="1"/>
  <c r="T47" i="2" s="1"/>
  <c r="B48" i="2"/>
  <c r="AU41" i="5" l="1" a="1"/>
  <c r="AU41" i="5" s="1"/>
  <c r="AU39" i="5" a="1"/>
  <c r="AU39" i="5" s="1"/>
  <c r="AT149" i="5"/>
  <c r="AT25" i="3" s="1"/>
  <c r="V47" i="2"/>
  <c r="Y47" i="2"/>
  <c r="X46" i="2"/>
  <c r="BF34" i="4"/>
  <c r="BG14" i="4"/>
  <c r="BG4" i="4"/>
  <c r="BG6" i="4"/>
  <c r="BG21" i="4"/>
  <c r="BG25" i="4"/>
  <c r="BG23" i="4"/>
  <c r="BG13" i="4"/>
  <c r="BG10" i="4"/>
  <c r="BG12" i="4"/>
  <c r="BG17" i="4"/>
  <c r="BG24" i="4"/>
  <c r="BG19" i="4"/>
  <c r="BG9" i="4"/>
  <c r="BG15" i="4"/>
  <c r="BG5" i="4"/>
  <c r="BG16" i="4"/>
  <c r="BG22" i="4"/>
  <c r="BG8" i="4"/>
  <c r="BG11" i="4"/>
  <c r="BG20" i="4"/>
  <c r="BG7" i="4"/>
  <c r="BG18" i="4"/>
  <c r="AT57" i="5"/>
  <c r="AT22" i="3" s="1"/>
  <c r="AT28" i="5"/>
  <c r="AT19" i="3" s="1"/>
  <c r="AN14" i="5"/>
  <c r="AN15" i="5" s="1"/>
  <c r="AN7" i="3"/>
  <c r="AN14" i="3" s="1"/>
  <c r="AN15" i="3" s="1"/>
  <c r="AS58" i="5"/>
  <c r="AS152" i="5" s="1"/>
  <c r="AE49" i="2" s="1"/>
  <c r="AS23" i="3"/>
  <c r="AS28" i="3" s="1"/>
  <c r="AT46" i="5"/>
  <c r="AT21" i="3" s="1"/>
  <c r="AU143" i="5"/>
  <c r="AU81" i="5"/>
  <c r="AU22" i="5" a="1"/>
  <c r="AU22" i="5" s="1"/>
  <c r="AU89" i="5"/>
  <c r="AU38" i="5" a="1"/>
  <c r="AU38" i="5" s="1"/>
  <c r="AU107" i="5"/>
  <c r="AU49" i="5" a="1"/>
  <c r="AU49" i="5" s="1"/>
  <c r="AU125" i="5"/>
  <c r="AU98" i="5"/>
  <c r="AU23" i="5" a="1"/>
  <c r="AU23" i="5" s="1"/>
  <c r="AU142" i="5"/>
  <c r="AU73" i="5"/>
  <c r="AU124" i="5"/>
  <c r="AU37" i="5" a="1"/>
  <c r="AU37" i="5" s="1"/>
  <c r="AU120" i="5"/>
  <c r="AU129" i="5"/>
  <c r="AU90" i="5"/>
  <c r="AU70" i="5"/>
  <c r="AU24" i="5" a="1"/>
  <c r="AU24" i="5" s="1"/>
  <c r="AU53" i="5" a="1"/>
  <c r="AU53" i="5" s="1"/>
  <c r="AU132" i="5"/>
  <c r="AU62" i="5"/>
  <c r="AU3" i="3"/>
  <c r="AU141" i="5"/>
  <c r="AU79" i="5"/>
  <c r="AU52" i="5" a="1"/>
  <c r="AU52" i="5" s="1"/>
  <c r="AU135" i="5"/>
  <c r="AU67" i="5"/>
  <c r="AU74" i="5"/>
  <c r="AU126" i="5"/>
  <c r="AU55" i="5" a="1"/>
  <c r="AU55" i="5" s="1"/>
  <c r="AU128" i="5"/>
  <c r="AU102" i="5"/>
  <c r="AU78" i="5"/>
  <c r="AU34" i="5" a="1"/>
  <c r="AU34" i="5" s="1"/>
  <c r="AU139" i="5"/>
  <c r="AU71" i="5"/>
  <c r="AU36" i="5" a="1"/>
  <c r="AU36" i="5" s="1"/>
  <c r="AU113" i="5"/>
  <c r="AU119" i="5"/>
  <c r="AU65" i="5"/>
  <c r="AU121" i="5"/>
  <c r="AU94" i="5"/>
  <c r="AU21" i="5" a="1"/>
  <c r="AU21" i="5" s="1"/>
  <c r="AU112" i="5"/>
  <c r="AU145" i="5"/>
  <c r="AU83" i="5"/>
  <c r="AU111" i="5"/>
  <c r="AU25" i="5" a="1"/>
  <c r="AU25" i="5" s="1"/>
  <c r="AU103" i="5"/>
  <c r="AU144" i="5"/>
  <c r="AU75" i="5"/>
  <c r="AU138" i="5"/>
  <c r="AU82" i="5"/>
  <c r="AU20" i="5" a="1"/>
  <c r="AU20" i="5" s="1"/>
  <c r="AU95" i="5"/>
  <c r="AU54" i="5" a="1"/>
  <c r="AU54" i="5" s="1"/>
  <c r="AU115" i="5"/>
  <c r="AU106" i="5"/>
  <c r="AU86" i="5"/>
  <c r="AU116" i="5"/>
  <c r="AU87" i="5"/>
  <c r="AU127" i="5"/>
  <c r="AU108" i="5"/>
  <c r="AU66" i="5"/>
  <c r="AU117" i="5"/>
  <c r="AU63" i="5"/>
  <c r="AU123" i="5"/>
  <c r="AU100" i="5"/>
  <c r="AU35" i="5" a="1"/>
  <c r="AU35" i="5" s="1"/>
  <c r="AU140" i="5"/>
  <c r="AU84" i="5"/>
  <c r="AU99" i="5"/>
  <c r="AU56" i="5" a="1"/>
  <c r="AU56" i="5" s="1"/>
  <c r="AU109" i="5"/>
  <c r="AU51" i="5" a="1"/>
  <c r="AU51" i="5" s="1"/>
  <c r="AU131" i="5"/>
  <c r="AU92" i="5"/>
  <c r="AV3" i="5"/>
  <c r="AU118" i="5"/>
  <c r="AU76" i="5"/>
  <c r="AU122" i="5"/>
  <c r="AU104" i="5"/>
  <c r="AU45" i="5" a="1"/>
  <c r="AU45" i="5" s="1"/>
  <c r="AU114" i="5"/>
  <c r="AU146" i="5"/>
  <c r="AU77" i="5"/>
  <c r="AU60" i="5"/>
  <c r="AU96" i="5"/>
  <c r="AU26" i="5" a="1"/>
  <c r="AU26" i="5" s="1"/>
  <c r="AU105" i="5"/>
  <c r="AU137" i="5"/>
  <c r="AU69" i="5"/>
  <c r="AU50" i="5" a="1"/>
  <c r="AU50" i="5" s="1"/>
  <c r="AU61" i="5"/>
  <c r="AU91" i="5"/>
  <c r="AU40" i="5" a="1"/>
  <c r="AU40" i="5" s="1"/>
  <c r="AU136" i="5"/>
  <c r="AU80" i="5"/>
  <c r="AU148" i="5"/>
  <c r="AU85" i="5"/>
  <c r="AU30" i="5" a="1"/>
  <c r="AU30" i="5" s="1"/>
  <c r="AU110" i="5"/>
  <c r="AU68" i="5"/>
  <c r="AU72" i="5"/>
  <c r="BH3" i="4"/>
  <c r="AU101" i="5"/>
  <c r="AU31" i="5" a="1"/>
  <c r="AU31" i="5" s="1"/>
  <c r="AU97" i="5"/>
  <c r="AU48" i="5" a="1"/>
  <c r="AU48" i="5" s="1"/>
  <c r="AU130" i="5"/>
  <c r="AU64" i="5"/>
  <c r="AU147" i="5"/>
  <c r="AU93" i="5"/>
  <c r="AU88" i="5"/>
  <c r="AT32" i="5"/>
  <c r="AT20" i="3" s="1"/>
  <c r="AT133" i="5"/>
  <c r="AT24" i="3" s="1"/>
  <c r="B49" i="2"/>
  <c r="C48" i="2"/>
  <c r="AH48" i="2" s="1"/>
  <c r="T48" i="2" s="1"/>
  <c r="AV41" i="5" l="1" a="1"/>
  <c r="AV41" i="5" s="1"/>
  <c r="AV39" i="5" a="1"/>
  <c r="AV39" i="5" s="1"/>
  <c r="Y48" i="2"/>
  <c r="V48" i="2"/>
  <c r="AC47" i="2"/>
  <c r="X47" i="2"/>
  <c r="AU32" i="5"/>
  <c r="AU20" i="3" s="1"/>
  <c r="AU57" i="5"/>
  <c r="AU22" i="3" s="1"/>
  <c r="AT58" i="5"/>
  <c r="AT152" i="5" s="1"/>
  <c r="AE50" i="2" s="1"/>
  <c r="AB47" i="2" s="1"/>
  <c r="AU46" i="5"/>
  <c r="AU21" i="3" s="1"/>
  <c r="BH8" i="4"/>
  <c r="BH19" i="4"/>
  <c r="BH4" i="4"/>
  <c r="BH17" i="4"/>
  <c r="BH13" i="4"/>
  <c r="BH25" i="4"/>
  <c r="BH7" i="4"/>
  <c r="BH18" i="4"/>
  <c r="BH22" i="4"/>
  <c r="BH24" i="4"/>
  <c r="BH15" i="4"/>
  <c r="BH5" i="4"/>
  <c r="BH11" i="4"/>
  <c r="BH20" i="4"/>
  <c r="BH14" i="4"/>
  <c r="BH21" i="4"/>
  <c r="BH16" i="4"/>
  <c r="BH10" i="4"/>
  <c r="BH12" i="4"/>
  <c r="BH6" i="4"/>
  <c r="BH23" i="4"/>
  <c r="BH9" i="4"/>
  <c r="AV71" i="5"/>
  <c r="AV147" i="5"/>
  <c r="AV51" i="5" a="1"/>
  <c r="AV51" i="5" s="1"/>
  <c r="AV110" i="5"/>
  <c r="AV37" i="5" a="1"/>
  <c r="AV37" i="5" s="1"/>
  <c r="AV137" i="5"/>
  <c r="AV85" i="5"/>
  <c r="AV69" i="5"/>
  <c r="AV148" i="5"/>
  <c r="AV72" i="5"/>
  <c r="AV83" i="5"/>
  <c r="AV140" i="5"/>
  <c r="AV74" i="5"/>
  <c r="AV21" i="5" a="1"/>
  <c r="AV21" i="5" s="1"/>
  <c r="AV101" i="5"/>
  <c r="AV63" i="5"/>
  <c r="AV118" i="5"/>
  <c r="AV62" i="5"/>
  <c r="AV124" i="5"/>
  <c r="AV100" i="5"/>
  <c r="AV92" i="5"/>
  <c r="AV56" i="5" a="1"/>
  <c r="AV56" i="5" s="1"/>
  <c r="AV128" i="5"/>
  <c r="AV84" i="5"/>
  <c r="AV60" i="5"/>
  <c r="AV49" i="5" a="1"/>
  <c r="AV49" i="5" s="1"/>
  <c r="AV141" i="5"/>
  <c r="AV50" i="5" a="1"/>
  <c r="AV50" i="5" s="1"/>
  <c r="AV122" i="5"/>
  <c r="AV114" i="5"/>
  <c r="AV132" i="5"/>
  <c r="AV73" i="5"/>
  <c r="AV102" i="5"/>
  <c r="AV146" i="5"/>
  <c r="AV80" i="5"/>
  <c r="AV53" i="5" a="1"/>
  <c r="AV53" i="5" s="1"/>
  <c r="AV120" i="5"/>
  <c r="AV143" i="5"/>
  <c r="AV87" i="5"/>
  <c r="AV131" i="5"/>
  <c r="AV96" i="5"/>
  <c r="AV26" i="5" a="1"/>
  <c r="AV26" i="5" s="1"/>
  <c r="AV115" i="5"/>
  <c r="AV77" i="5"/>
  <c r="AV142" i="5"/>
  <c r="AV76" i="5"/>
  <c r="AV23" i="5" a="1"/>
  <c r="AV23" i="5" s="1"/>
  <c r="AV119" i="5"/>
  <c r="AV81" i="5"/>
  <c r="AV130" i="5"/>
  <c r="AV88" i="5"/>
  <c r="AV111" i="5"/>
  <c r="AV24" i="5" a="1"/>
  <c r="AV24" i="5" s="1"/>
  <c r="AV99" i="5"/>
  <c r="AV95" i="5"/>
  <c r="AV103" i="5"/>
  <c r="AV40" i="5" a="1"/>
  <c r="AV40" i="5" s="1"/>
  <c r="AV135" i="5"/>
  <c r="AV106" i="5"/>
  <c r="AV45" i="5" a="1"/>
  <c r="AV45" i="5" s="1"/>
  <c r="AV112" i="5"/>
  <c r="AV54" i="5" a="1"/>
  <c r="AV54" i="5" s="1"/>
  <c r="AV121" i="5"/>
  <c r="AV94" i="5"/>
  <c r="AW3" i="5"/>
  <c r="AV113" i="5"/>
  <c r="AV75" i="5"/>
  <c r="AV79" i="5"/>
  <c r="AV55" i="5" a="1"/>
  <c r="AV55" i="5" s="1"/>
  <c r="AV30" i="5" a="1"/>
  <c r="AV30" i="5" s="1"/>
  <c r="AV109" i="5"/>
  <c r="BI3" i="4"/>
  <c r="AV108" i="5"/>
  <c r="AV93" i="5"/>
  <c r="AV34" i="5" a="1"/>
  <c r="AV34" i="5" s="1"/>
  <c r="AV61" i="5"/>
  <c r="AV65" i="5"/>
  <c r="AV126" i="5"/>
  <c r="AV98" i="5"/>
  <c r="AV36" i="5" a="1"/>
  <c r="AV36" i="5" s="1"/>
  <c r="AV139" i="5"/>
  <c r="AV89" i="5"/>
  <c r="AV127" i="5"/>
  <c r="AV86" i="5"/>
  <c r="AV22" i="5" a="1"/>
  <c r="AV22" i="5" s="1"/>
  <c r="AV105" i="5"/>
  <c r="AV67" i="5"/>
  <c r="AV129" i="5"/>
  <c r="AV31" i="5" a="1"/>
  <c r="AV31" i="5" s="1"/>
  <c r="AV117" i="5"/>
  <c r="AV144" i="5"/>
  <c r="AV35" i="5" a="1"/>
  <c r="AV35" i="5" s="1"/>
  <c r="AV97" i="5"/>
  <c r="AV125" i="5"/>
  <c r="AV145" i="5"/>
  <c r="AV70" i="5"/>
  <c r="AV48" i="5" a="1"/>
  <c r="AV48" i="5" s="1"/>
  <c r="AV38" i="5" a="1"/>
  <c r="AV38" i="5" s="1"/>
  <c r="AV52" i="5" a="1"/>
  <c r="AV52" i="5" s="1"/>
  <c r="AV123" i="5"/>
  <c r="AV104" i="5"/>
  <c r="AV20" i="5" a="1"/>
  <c r="AV20" i="5" s="1"/>
  <c r="AV25" i="5" a="1"/>
  <c r="AV25" i="5" s="1"/>
  <c r="AV107" i="5"/>
  <c r="AV138" i="5"/>
  <c r="AV68" i="5"/>
  <c r="AV116" i="5"/>
  <c r="AV3" i="3"/>
  <c r="AV91" i="5"/>
  <c r="AV64" i="5"/>
  <c r="AV90" i="5"/>
  <c r="AV78" i="5"/>
  <c r="AV82" i="5"/>
  <c r="AV136" i="5"/>
  <c r="AV66" i="5"/>
  <c r="AU28" i="5"/>
  <c r="AU19" i="3" s="1"/>
  <c r="AU23" i="3" s="1"/>
  <c r="BG34" i="4"/>
  <c r="AU133" i="5"/>
  <c r="AU24" i="3" s="1"/>
  <c r="AU149" i="5"/>
  <c r="AU25" i="3" s="1"/>
  <c r="AT23" i="3"/>
  <c r="AT28" i="3" s="1"/>
  <c r="B50" i="2"/>
  <c r="C49" i="2"/>
  <c r="AH49" i="2" s="1"/>
  <c r="T49" i="2" s="1"/>
  <c r="AW41" i="5" l="1" a="1"/>
  <c r="AW41" i="5" s="1"/>
  <c r="AW39" i="5" a="1"/>
  <c r="AW39" i="5" s="1"/>
  <c r="AU58" i="5"/>
  <c r="AU152" i="5" s="1"/>
  <c r="AE51" i="2" s="1"/>
  <c r="Y49" i="2"/>
  <c r="V49" i="2"/>
  <c r="X48" i="2"/>
  <c r="AV32" i="5"/>
  <c r="AV20" i="3" s="1"/>
  <c r="AV149" i="5"/>
  <c r="AV25" i="3" s="1"/>
  <c r="AU28" i="3"/>
  <c r="AV28" i="5"/>
  <c r="AV19" i="3" s="1"/>
  <c r="AW126" i="5"/>
  <c r="AW99" i="5"/>
  <c r="AW34" i="5" a="1"/>
  <c r="AW34" i="5" s="1"/>
  <c r="AW115" i="5"/>
  <c r="AW75" i="5"/>
  <c r="AW141" i="5"/>
  <c r="AW70" i="5"/>
  <c r="AW147" i="5"/>
  <c r="AW96" i="5"/>
  <c r="AW52" i="5" a="1"/>
  <c r="AW52" i="5" s="1"/>
  <c r="AW123" i="5"/>
  <c r="AW91" i="5"/>
  <c r="AW24" i="5" a="1"/>
  <c r="AW24" i="5" s="1"/>
  <c r="AW107" i="5"/>
  <c r="AW67" i="5"/>
  <c r="AW118" i="5"/>
  <c r="AW124" i="5"/>
  <c r="AW36" i="5" a="1"/>
  <c r="AW36" i="5" s="1"/>
  <c r="AW144" i="5"/>
  <c r="AW82" i="5"/>
  <c r="AW51" i="5" a="1"/>
  <c r="AW51" i="5" s="1"/>
  <c r="AW121" i="5"/>
  <c r="AW35" i="5" a="1"/>
  <c r="AW35" i="5" s="1"/>
  <c r="AW132" i="5"/>
  <c r="AW30" i="5" a="1"/>
  <c r="AW30" i="5" s="1"/>
  <c r="AW20" i="5" a="1"/>
  <c r="AW20" i="5" s="1"/>
  <c r="AW90" i="5"/>
  <c r="AW60" i="5"/>
  <c r="AW62" i="5"/>
  <c r="AW88" i="5"/>
  <c r="AW22" i="5" a="1"/>
  <c r="AW22" i="5" s="1"/>
  <c r="AW100" i="5"/>
  <c r="AW101" i="5"/>
  <c r="AW145" i="5"/>
  <c r="AW74" i="5"/>
  <c r="AW40" i="5" a="1"/>
  <c r="AW40" i="5" s="1"/>
  <c r="AW135" i="5"/>
  <c r="AW81" i="5"/>
  <c r="AW117" i="5"/>
  <c r="AW140" i="5"/>
  <c r="AW78" i="5"/>
  <c r="AW56" i="5" a="1"/>
  <c r="AW56" i="5" s="1"/>
  <c r="AW110" i="5"/>
  <c r="AW63" i="5"/>
  <c r="BJ3" i="4"/>
  <c r="AW92" i="5"/>
  <c r="AW93" i="5"/>
  <c r="AW142" i="5"/>
  <c r="AW80" i="5"/>
  <c r="AW136" i="5"/>
  <c r="AW66" i="5"/>
  <c r="AW131" i="5"/>
  <c r="AW105" i="5"/>
  <c r="AW45" i="5" a="1"/>
  <c r="AW45" i="5" s="1"/>
  <c r="AW113" i="5"/>
  <c r="AW73" i="5"/>
  <c r="AW146" i="5"/>
  <c r="AW84" i="5"/>
  <c r="AW26" i="5" a="1"/>
  <c r="AW26" i="5" s="1"/>
  <c r="AW114" i="5"/>
  <c r="AW55" i="5" a="1"/>
  <c r="AW55" i="5" s="1"/>
  <c r="AW128" i="5"/>
  <c r="AW31" i="5" a="1"/>
  <c r="AW31" i="5" s="1"/>
  <c r="AW106" i="5"/>
  <c r="AW65" i="5"/>
  <c r="AW21" i="5" a="1"/>
  <c r="AW21" i="5" s="1"/>
  <c r="AW98" i="5"/>
  <c r="AW38" i="5" a="1"/>
  <c r="AW38" i="5" s="1"/>
  <c r="AW116" i="5"/>
  <c r="AW48" i="5" a="1"/>
  <c r="AW48" i="5" s="1"/>
  <c r="AW137" i="5"/>
  <c r="AW83" i="5"/>
  <c r="AW97" i="5"/>
  <c r="AW148" i="5"/>
  <c r="AW76" i="5"/>
  <c r="AW3" i="3"/>
  <c r="AW89" i="5"/>
  <c r="AW139" i="5"/>
  <c r="AW85" i="5"/>
  <c r="AW125" i="5"/>
  <c r="AW54" i="5" a="1"/>
  <c r="AW54" i="5" s="1"/>
  <c r="AW138" i="5"/>
  <c r="AW68" i="5"/>
  <c r="AW77" i="5"/>
  <c r="AW86" i="5"/>
  <c r="AW109" i="5"/>
  <c r="AW69" i="5"/>
  <c r="AW143" i="5"/>
  <c r="AW72" i="5"/>
  <c r="AW122" i="5"/>
  <c r="AW103" i="5"/>
  <c r="AW37" i="5" a="1"/>
  <c r="AW37" i="5" s="1"/>
  <c r="AW108" i="5"/>
  <c r="AW49" i="5" a="1"/>
  <c r="AW49" i="5" s="1"/>
  <c r="AW94" i="5"/>
  <c r="AW53" i="5" a="1"/>
  <c r="AW53" i="5" s="1"/>
  <c r="AW127" i="5"/>
  <c r="AW23" i="5" a="1"/>
  <c r="AW23" i="5" s="1"/>
  <c r="AW71" i="5"/>
  <c r="AX3" i="5"/>
  <c r="AW104" i="5"/>
  <c r="AW102" i="5"/>
  <c r="AW61" i="5"/>
  <c r="AW120" i="5"/>
  <c r="AW64" i="5"/>
  <c r="AW130" i="5"/>
  <c r="AW95" i="5"/>
  <c r="AW25" i="5" a="1"/>
  <c r="AW25" i="5" s="1"/>
  <c r="AW119" i="5"/>
  <c r="AW79" i="5"/>
  <c r="AW87" i="5"/>
  <c r="AW50" i="5" a="1"/>
  <c r="AW50" i="5" s="1"/>
  <c r="AW112" i="5"/>
  <c r="AW111" i="5"/>
  <c r="AW129" i="5"/>
  <c r="BH34" i="4"/>
  <c r="AV46" i="5"/>
  <c r="AV21" i="3" s="1"/>
  <c r="AV57" i="5"/>
  <c r="AV22" i="3" s="1"/>
  <c r="AV133" i="5"/>
  <c r="AV24" i="3" s="1"/>
  <c r="AQ7" i="5"/>
  <c r="BI21" i="4"/>
  <c r="BI15" i="4"/>
  <c r="BI17" i="4"/>
  <c r="BI8" i="4"/>
  <c r="BI22" i="4"/>
  <c r="BI12" i="4"/>
  <c r="BI13" i="4"/>
  <c r="BI25" i="4"/>
  <c r="BI5" i="4"/>
  <c r="BI24" i="4"/>
  <c r="BI9" i="4"/>
  <c r="BI10" i="4"/>
  <c r="BI20" i="4"/>
  <c r="BI16" i="4"/>
  <c r="BI18" i="4"/>
  <c r="BI4" i="4"/>
  <c r="BI11" i="4"/>
  <c r="BI14" i="4"/>
  <c r="BI7" i="4"/>
  <c r="BI19" i="4"/>
  <c r="BI6" i="4"/>
  <c r="BI23" i="4"/>
  <c r="B51" i="2"/>
  <c r="C50" i="2"/>
  <c r="AH50" i="2" s="1"/>
  <c r="T50" i="2" s="1"/>
  <c r="AX41" i="5" l="1" a="1"/>
  <c r="AX41" i="5" s="1"/>
  <c r="AX39" i="5" a="1"/>
  <c r="AX39" i="5" s="1"/>
  <c r="Y50" i="2"/>
  <c r="V50" i="2"/>
  <c r="X49" i="2"/>
  <c r="AX120" i="5"/>
  <c r="AX82" i="5"/>
  <c r="AX131" i="5"/>
  <c r="AX85" i="5"/>
  <c r="AY3" i="5"/>
  <c r="AX100" i="5"/>
  <c r="AX62" i="5"/>
  <c r="AX119" i="5"/>
  <c r="AX65" i="5"/>
  <c r="AX51" i="5" a="1"/>
  <c r="AX51" i="5" s="1"/>
  <c r="AX111" i="5"/>
  <c r="AX137" i="5"/>
  <c r="AX69" i="5"/>
  <c r="AX96" i="5"/>
  <c r="AX95" i="5"/>
  <c r="AX68" i="5"/>
  <c r="AX148" i="5"/>
  <c r="AX83" i="5"/>
  <c r="AX75" i="5"/>
  <c r="AX40" i="5" a="1"/>
  <c r="AX40" i="5" s="1"/>
  <c r="AX118" i="5"/>
  <c r="AX124" i="5"/>
  <c r="AX48" i="5" a="1"/>
  <c r="AX48" i="5" s="1"/>
  <c r="AX144" i="5"/>
  <c r="AX50" i="5" a="1"/>
  <c r="AX50" i="5" s="1"/>
  <c r="AX121" i="5"/>
  <c r="AX60" i="5"/>
  <c r="AX49" i="5" a="1"/>
  <c r="AX49" i="5" s="1"/>
  <c r="AX34" i="5" a="1"/>
  <c r="AX34" i="5" s="1"/>
  <c r="AX98" i="5"/>
  <c r="AX129" i="5"/>
  <c r="AX99" i="5"/>
  <c r="AX80" i="5"/>
  <c r="AX132" i="5"/>
  <c r="AX86" i="5"/>
  <c r="AX26" i="5" a="1"/>
  <c r="AX26" i="5" s="1"/>
  <c r="AX102" i="5"/>
  <c r="AX64" i="5"/>
  <c r="AX135" i="5"/>
  <c r="AX67" i="5"/>
  <c r="AX127" i="5"/>
  <c r="AX101" i="5"/>
  <c r="AX35" i="5" a="1"/>
  <c r="AX35" i="5" s="1"/>
  <c r="AX72" i="5"/>
  <c r="AX143" i="5"/>
  <c r="AX79" i="5"/>
  <c r="AX25" i="5" a="1"/>
  <c r="AX25" i="5" s="1"/>
  <c r="AX94" i="5"/>
  <c r="AX53" i="5" a="1"/>
  <c r="AX53" i="5" s="1"/>
  <c r="AX113" i="5"/>
  <c r="AX56" i="5" a="1"/>
  <c r="AX56" i="5" s="1"/>
  <c r="AX126" i="5"/>
  <c r="AX93" i="5"/>
  <c r="AX30" i="5" a="1"/>
  <c r="AX30" i="5" s="1"/>
  <c r="AX125" i="5"/>
  <c r="AX55" i="5" a="1"/>
  <c r="AX55" i="5" s="1"/>
  <c r="AX115" i="5"/>
  <c r="AX76" i="5"/>
  <c r="AX22" i="5" a="1"/>
  <c r="AX22" i="5" s="1"/>
  <c r="AX106" i="5"/>
  <c r="AX128" i="5"/>
  <c r="AX139" i="5"/>
  <c r="AX71" i="5"/>
  <c r="AX147" i="5"/>
  <c r="AX105" i="5"/>
  <c r="AX45" i="5" a="1"/>
  <c r="AX45" i="5" s="1"/>
  <c r="AX138" i="5"/>
  <c r="AX88" i="5"/>
  <c r="AX123" i="5"/>
  <c r="AX107" i="5"/>
  <c r="AX20" i="5" a="1"/>
  <c r="AX20" i="5" s="1"/>
  <c r="AX89" i="5"/>
  <c r="AX140" i="5"/>
  <c r="AX73" i="5"/>
  <c r="AX54" i="5" a="1"/>
  <c r="AX54" i="5" s="1"/>
  <c r="AX103" i="5"/>
  <c r="AX61" i="5"/>
  <c r="AX109" i="5"/>
  <c r="AX146" i="5"/>
  <c r="BK3" i="4"/>
  <c r="AX90" i="5"/>
  <c r="AX117" i="5"/>
  <c r="AX63" i="5"/>
  <c r="AX122" i="5"/>
  <c r="AX97" i="5"/>
  <c r="AX38" i="5" a="1"/>
  <c r="AX38" i="5" s="1"/>
  <c r="AX116" i="5"/>
  <c r="AX78" i="5"/>
  <c r="AX145" i="5"/>
  <c r="AX81" i="5"/>
  <c r="AX31" i="5" a="1"/>
  <c r="AX31" i="5" s="1"/>
  <c r="AX142" i="5"/>
  <c r="AX52" i="5" a="1"/>
  <c r="AX52" i="5" s="1"/>
  <c r="AX130" i="5"/>
  <c r="AX23" i="5" a="1"/>
  <c r="AX23" i="5" s="1"/>
  <c r="AX108" i="5"/>
  <c r="AX70" i="5"/>
  <c r="AX3" i="3"/>
  <c r="AX112" i="5"/>
  <c r="AX74" i="5"/>
  <c r="AX141" i="5"/>
  <c r="AX77" i="5"/>
  <c r="AX21" i="5" a="1"/>
  <c r="AX21" i="5" s="1"/>
  <c r="AX92" i="5"/>
  <c r="AX104" i="5"/>
  <c r="AX37" i="5" a="1"/>
  <c r="AX37" i="5" s="1"/>
  <c r="AX136" i="5"/>
  <c r="AX84" i="5"/>
  <c r="AX24" i="5" a="1"/>
  <c r="AX24" i="5" s="1"/>
  <c r="AX110" i="5"/>
  <c r="AX66" i="5"/>
  <c r="AX36" i="5" a="1"/>
  <c r="AX36" i="5" s="1"/>
  <c r="AX114" i="5"/>
  <c r="AX87" i="5"/>
  <c r="AX91" i="5"/>
  <c r="AW133" i="5"/>
  <c r="AW24" i="3" s="1"/>
  <c r="AW46" i="5"/>
  <c r="AW21" i="3" s="1"/>
  <c r="AW28" i="5"/>
  <c r="AW19" i="3" s="1"/>
  <c r="BI34" i="4"/>
  <c r="AQ7" i="3"/>
  <c r="AQ14" i="3" s="1"/>
  <c r="AQ15" i="3" s="1"/>
  <c r="AQ14" i="5"/>
  <c r="AQ15" i="5" s="1"/>
  <c r="AW149" i="5"/>
  <c r="AW25" i="3" s="1"/>
  <c r="AW32" i="5"/>
  <c r="AW20" i="3" s="1"/>
  <c r="AV58" i="5"/>
  <c r="AV152" i="5" s="1"/>
  <c r="AE52" i="2" s="1"/>
  <c r="AV23" i="3"/>
  <c r="AV28" i="3" s="1"/>
  <c r="AW57" i="5"/>
  <c r="AW22" i="3" s="1"/>
  <c r="BJ23" i="4"/>
  <c r="BJ11" i="4"/>
  <c r="BJ18" i="4"/>
  <c r="BJ5" i="4"/>
  <c r="BJ20" i="4"/>
  <c r="BJ14" i="4"/>
  <c r="BJ16" i="4"/>
  <c r="BJ10" i="4"/>
  <c r="BJ25" i="4"/>
  <c r="BJ12" i="4"/>
  <c r="BJ6" i="4"/>
  <c r="BJ19" i="4"/>
  <c r="BJ15" i="4"/>
  <c r="BJ17" i="4"/>
  <c r="BJ13" i="4"/>
  <c r="BJ22" i="4"/>
  <c r="BJ24" i="4"/>
  <c r="BJ8" i="4"/>
  <c r="BJ4" i="4"/>
  <c r="BJ7" i="4"/>
  <c r="BJ9" i="4"/>
  <c r="BJ21" i="4"/>
  <c r="B52" i="2"/>
  <c r="C51" i="2"/>
  <c r="AH51" i="2" s="1"/>
  <c r="T51" i="2" s="1"/>
  <c r="AY41" i="5" l="1" a="1"/>
  <c r="AY41" i="5" s="1"/>
  <c r="AY39" i="5" a="1"/>
  <c r="AY39" i="5" s="1"/>
  <c r="BK39" i="5" s="1"/>
  <c r="Y51" i="2"/>
  <c r="V51" i="2"/>
  <c r="AC50" i="2"/>
  <c r="X50" i="2"/>
  <c r="AW58" i="5"/>
  <c r="AW152" i="5" s="1"/>
  <c r="AE53" i="2" s="1"/>
  <c r="AB50" i="2" s="1"/>
  <c r="AX28" i="5"/>
  <c r="AX19" i="3" s="1"/>
  <c r="AX57" i="5"/>
  <c r="AX22" i="3" s="1"/>
  <c r="AW23" i="3"/>
  <c r="AW28" i="3" s="1"/>
  <c r="BK4" i="4"/>
  <c r="BK17" i="4"/>
  <c r="BK23" i="4"/>
  <c r="BK13" i="4"/>
  <c r="BK19" i="4"/>
  <c r="BK9" i="4"/>
  <c r="BK25" i="4"/>
  <c r="BK15" i="4"/>
  <c r="BK5" i="4"/>
  <c r="BK7" i="4"/>
  <c r="BK11" i="4"/>
  <c r="BK24" i="4"/>
  <c r="BK22" i="4"/>
  <c r="BK18" i="4"/>
  <c r="BK10" i="4"/>
  <c r="BK8" i="4"/>
  <c r="BK20" i="4"/>
  <c r="BK14" i="4"/>
  <c r="BK21" i="4"/>
  <c r="BK16" i="4"/>
  <c r="BK12" i="4"/>
  <c r="BK6" i="4"/>
  <c r="AX32" i="5"/>
  <c r="AX20" i="3" s="1"/>
  <c r="BJ34" i="4"/>
  <c r="AX46" i="5"/>
  <c r="AX21" i="3" s="1"/>
  <c r="AY148" i="5"/>
  <c r="AY85" i="5"/>
  <c r="AY30" i="5" a="1"/>
  <c r="AY30" i="5" s="1"/>
  <c r="AY101" i="5"/>
  <c r="AY60" i="5"/>
  <c r="AY135" i="5"/>
  <c r="AY65" i="5"/>
  <c r="AY127" i="5"/>
  <c r="AY56" i="5" a="1"/>
  <c r="AY56" i="5" s="1"/>
  <c r="AY119" i="5"/>
  <c r="AY146" i="5"/>
  <c r="AY77" i="5"/>
  <c r="BL3" i="4"/>
  <c r="AY93" i="5"/>
  <c r="AY50" i="5" a="1"/>
  <c r="AY50" i="5" s="1"/>
  <c r="AY113" i="5"/>
  <c r="AY53" i="5" a="1"/>
  <c r="AY53" i="5" s="1"/>
  <c r="AY124" i="5"/>
  <c r="AY94" i="5"/>
  <c r="AY21" i="5" a="1"/>
  <c r="AY21" i="5" s="1"/>
  <c r="AY139" i="5"/>
  <c r="AY69" i="5"/>
  <c r="AY106" i="5"/>
  <c r="AY48" i="5" a="1"/>
  <c r="AY48" i="5" s="1"/>
  <c r="AY138" i="5"/>
  <c r="AY82" i="5"/>
  <c r="AY86" i="5"/>
  <c r="AY63" i="5"/>
  <c r="AY123" i="5"/>
  <c r="AY132" i="5"/>
  <c r="AY25" i="5" a="1"/>
  <c r="AY25" i="5" s="1"/>
  <c r="AY117" i="5"/>
  <c r="AY61" i="5"/>
  <c r="AY131" i="5"/>
  <c r="AY98" i="5"/>
  <c r="AY23" i="5" a="1"/>
  <c r="AY23" i="5" s="1"/>
  <c r="AY116" i="5"/>
  <c r="AY74" i="5"/>
  <c r="AY141" i="5"/>
  <c r="AY79" i="5"/>
  <c r="AY20" i="5" a="1"/>
  <c r="AY20" i="5" s="1"/>
  <c r="AY109" i="5"/>
  <c r="AY49" i="5" a="1"/>
  <c r="AY49" i="5" s="1"/>
  <c r="AY128" i="5"/>
  <c r="AY34" i="5" a="1"/>
  <c r="AY34" i="5" s="1"/>
  <c r="AY108" i="5"/>
  <c r="AY140" i="5"/>
  <c r="AY71" i="5"/>
  <c r="AY144" i="5"/>
  <c r="AY75" i="5"/>
  <c r="AY90" i="5"/>
  <c r="AY66" i="5"/>
  <c r="AY78" i="5"/>
  <c r="AY51" i="5" a="1"/>
  <c r="AY51" i="5" s="1"/>
  <c r="AY112" i="5"/>
  <c r="AY103" i="5"/>
  <c r="AY62" i="5"/>
  <c r="AY137" i="5"/>
  <c r="AY67" i="5"/>
  <c r="AY125" i="5"/>
  <c r="AY104" i="5"/>
  <c r="AY45" i="5" a="1"/>
  <c r="AY45" i="5" s="1"/>
  <c r="AY136" i="5"/>
  <c r="AY80" i="5"/>
  <c r="AY36" i="5" a="1"/>
  <c r="AY36" i="5" s="1"/>
  <c r="AY107" i="5"/>
  <c r="AY130" i="5"/>
  <c r="AY64" i="5"/>
  <c r="AY76" i="5"/>
  <c r="AY54" i="5" a="1"/>
  <c r="AY54" i="5" s="1"/>
  <c r="AY126" i="5"/>
  <c r="AY142" i="5"/>
  <c r="AY73" i="5"/>
  <c r="AY145" i="5"/>
  <c r="AY83" i="5"/>
  <c r="AY3" i="3"/>
  <c r="AY91" i="5"/>
  <c r="AY95" i="5"/>
  <c r="AY52" i="5" a="1"/>
  <c r="AY52" i="5" s="1"/>
  <c r="AY115" i="5"/>
  <c r="AY55" i="5" a="1"/>
  <c r="AY55" i="5" s="1"/>
  <c r="AY122" i="5"/>
  <c r="AY96" i="5"/>
  <c r="AY26" i="5" a="1"/>
  <c r="AY26" i="5" s="1"/>
  <c r="AY114" i="5"/>
  <c r="AY72" i="5"/>
  <c r="AY121" i="5"/>
  <c r="AY84" i="5"/>
  <c r="AY31" i="5" a="1"/>
  <c r="AY31" i="5" s="1"/>
  <c r="AY105" i="5"/>
  <c r="AY143" i="5"/>
  <c r="AY81" i="5"/>
  <c r="AZ3" i="5"/>
  <c r="AY110" i="5"/>
  <c r="AY147" i="5"/>
  <c r="AY89" i="5"/>
  <c r="AY70" i="5"/>
  <c r="AY87" i="5"/>
  <c r="AY88" i="5"/>
  <c r="AY22" i="5" a="1"/>
  <c r="AY22" i="5" s="1"/>
  <c r="AY97" i="5"/>
  <c r="AY92" i="5"/>
  <c r="AY37" i="5" a="1"/>
  <c r="AY37" i="5" s="1"/>
  <c r="AY120" i="5"/>
  <c r="AY129" i="5"/>
  <c r="AY100" i="5"/>
  <c r="AY35" i="5" a="1"/>
  <c r="AY35" i="5" s="1"/>
  <c r="AY118" i="5"/>
  <c r="AY68" i="5"/>
  <c r="AY24" i="5" a="1"/>
  <c r="AY24" i="5" s="1"/>
  <c r="AY99" i="5"/>
  <c r="AY38" i="5" a="1"/>
  <c r="AY38" i="5" s="1"/>
  <c r="AY102" i="5"/>
  <c r="AY40" i="5" a="1"/>
  <c r="AY40" i="5" s="1"/>
  <c r="AY111" i="5"/>
  <c r="AX149" i="5"/>
  <c r="AX25" i="3" s="1"/>
  <c r="AX133" i="5"/>
  <c r="AX24" i="3" s="1"/>
  <c r="C52" i="2"/>
  <c r="AH52" i="2" s="1"/>
  <c r="T52" i="2" s="1"/>
  <c r="B53" i="2"/>
  <c r="V52" i="2" l="1"/>
  <c r="Y52" i="2"/>
  <c r="X51" i="2"/>
  <c r="AY32" i="5"/>
  <c r="AY20" i="3" s="1"/>
  <c r="BL6" i="4"/>
  <c r="BL19" i="4"/>
  <c r="BL21" i="4"/>
  <c r="BL15" i="4"/>
  <c r="BL17" i="4"/>
  <c r="BL11" i="4"/>
  <c r="BL13" i="4"/>
  <c r="BL7" i="4"/>
  <c r="BL9" i="4"/>
  <c r="BL18" i="4"/>
  <c r="BL12" i="4"/>
  <c r="BL8" i="4"/>
  <c r="BL5" i="4"/>
  <c r="BL25" i="4"/>
  <c r="BL20" i="4"/>
  <c r="BL10" i="4"/>
  <c r="BL24" i="4"/>
  <c r="BL16" i="4"/>
  <c r="BL22" i="4"/>
  <c r="BL23" i="4"/>
  <c r="BL14" i="4"/>
  <c r="BL4" i="4"/>
  <c r="AY57" i="5"/>
  <c r="AY22" i="3" s="1"/>
  <c r="BK34" i="4"/>
  <c r="AZ100" i="5"/>
  <c r="AZ20" i="5" a="1"/>
  <c r="AZ20" i="5" s="1"/>
  <c r="AZ99" i="5"/>
  <c r="AZ130" i="5"/>
  <c r="AZ92" i="5"/>
  <c r="AZ26" i="5" a="1"/>
  <c r="AZ26" i="5" s="1"/>
  <c r="AZ135" i="5"/>
  <c r="AZ83" i="5"/>
  <c r="AZ140" i="5"/>
  <c r="AZ76" i="5"/>
  <c r="AZ21" i="5" a="1"/>
  <c r="AZ21" i="5" s="1"/>
  <c r="AZ91" i="5"/>
  <c r="AZ51" i="5" a="1"/>
  <c r="AZ51" i="5" s="1"/>
  <c r="AZ129" i="5"/>
  <c r="AZ108" i="5"/>
  <c r="AZ25" i="5" a="1"/>
  <c r="AZ25" i="5" s="1"/>
  <c r="AZ113" i="5"/>
  <c r="AZ136" i="5"/>
  <c r="AZ68" i="5"/>
  <c r="AZ123" i="5"/>
  <c r="AZ37" i="5" a="1"/>
  <c r="AZ37" i="5" s="1"/>
  <c r="AZ35" i="5" a="1"/>
  <c r="AZ35" i="5" s="1"/>
  <c r="AZ143" i="5"/>
  <c r="AZ52" i="5" a="1"/>
  <c r="AZ52" i="5" s="1"/>
  <c r="AZ128" i="5"/>
  <c r="AZ75" i="5"/>
  <c r="AZ102" i="5"/>
  <c r="AZ144" i="5"/>
  <c r="AZ80" i="5"/>
  <c r="AZ24" i="5" a="1"/>
  <c r="AZ24" i="5" s="1"/>
  <c r="AZ103" i="5"/>
  <c r="AZ67" i="5"/>
  <c r="AZ114" i="5"/>
  <c r="AZ60" i="5"/>
  <c r="AZ124" i="5"/>
  <c r="AZ94" i="5"/>
  <c r="AZ36" i="5" a="1"/>
  <c r="AZ36" i="5" s="1"/>
  <c r="AZ141" i="5"/>
  <c r="AZ72" i="5"/>
  <c r="BM3" i="4"/>
  <c r="AZ95" i="5"/>
  <c r="AZ55" i="5" a="1"/>
  <c r="AZ55" i="5" s="1"/>
  <c r="AZ145" i="5"/>
  <c r="AZ50" i="5" a="1"/>
  <c r="AZ50" i="5" s="1"/>
  <c r="AZ126" i="5"/>
  <c r="AZ86" i="5"/>
  <c r="AZ31" i="5" a="1"/>
  <c r="AZ31" i="5" s="1"/>
  <c r="AZ54" i="5" a="1"/>
  <c r="AZ54" i="5" s="1"/>
  <c r="AZ127" i="5"/>
  <c r="AZ73" i="5"/>
  <c r="AZ148" i="5"/>
  <c r="AZ74" i="5"/>
  <c r="AZ77" i="5"/>
  <c r="AZ87" i="5"/>
  <c r="AZ69" i="5"/>
  <c r="AZ45" i="5" a="1"/>
  <c r="AZ45" i="5" s="1"/>
  <c r="AZ139" i="5"/>
  <c r="AZ89" i="5"/>
  <c r="AZ138" i="5"/>
  <c r="AZ70" i="5"/>
  <c r="AZ38" i="5" a="1"/>
  <c r="AZ38" i="5" s="1"/>
  <c r="AZ117" i="5"/>
  <c r="AZ49" i="5" a="1"/>
  <c r="AZ49" i="5" s="1"/>
  <c r="AZ116" i="5"/>
  <c r="AZ125" i="5"/>
  <c r="AZ98" i="5"/>
  <c r="AZ22" i="5" a="1"/>
  <c r="AZ22" i="5" s="1"/>
  <c r="AZ53" i="5" a="1"/>
  <c r="AZ53" i="5" s="1"/>
  <c r="AZ112" i="5"/>
  <c r="AZ142" i="5"/>
  <c r="AZ78" i="5"/>
  <c r="AZ97" i="5"/>
  <c r="AZ79" i="5"/>
  <c r="AZ34" i="5" a="1"/>
  <c r="AZ34" i="5" s="1"/>
  <c r="AZ109" i="5"/>
  <c r="AZ118" i="5"/>
  <c r="AZ64" i="5"/>
  <c r="AZ147" i="5"/>
  <c r="AZ106" i="5"/>
  <c r="AZ48" i="5" a="1"/>
  <c r="AZ48" i="5" s="1"/>
  <c r="AZ119" i="5"/>
  <c r="AZ81" i="5"/>
  <c r="AZ146" i="5"/>
  <c r="AZ82" i="5"/>
  <c r="AZ30" i="5" a="1"/>
  <c r="AZ30" i="5" s="1"/>
  <c r="AZ110" i="5"/>
  <c r="AZ40" i="5" a="1"/>
  <c r="AZ40" i="5" s="1"/>
  <c r="AZ111" i="5"/>
  <c r="AZ3" i="3"/>
  <c r="AZ65" i="5"/>
  <c r="AZ88" i="5"/>
  <c r="AZ66" i="5"/>
  <c r="AZ93" i="5"/>
  <c r="AZ105" i="5"/>
  <c r="AZ23" i="5" a="1"/>
  <c r="AZ23" i="5" s="1"/>
  <c r="AZ104" i="5"/>
  <c r="AZ61" i="5"/>
  <c r="AZ137" i="5"/>
  <c r="AZ85" i="5"/>
  <c r="AZ131" i="5"/>
  <c r="AZ90" i="5"/>
  <c r="BA3" i="5"/>
  <c r="AZ101" i="5"/>
  <c r="AZ120" i="5"/>
  <c r="AZ132" i="5"/>
  <c r="AZ56" i="5" a="1"/>
  <c r="AZ56" i="5" s="1"/>
  <c r="AZ121" i="5"/>
  <c r="AZ96" i="5"/>
  <c r="AZ107" i="5"/>
  <c r="AZ71" i="5"/>
  <c r="AZ63" i="5"/>
  <c r="AZ115" i="5"/>
  <c r="AZ122" i="5"/>
  <c r="AZ84" i="5"/>
  <c r="AZ62" i="5"/>
  <c r="AY46" i="5"/>
  <c r="AY21" i="3" s="1"/>
  <c r="AX58" i="5"/>
  <c r="AX152" i="5" s="1"/>
  <c r="AE54" i="2" s="1"/>
  <c r="AX23" i="3"/>
  <c r="AX28" i="3" s="1"/>
  <c r="AT7" i="5"/>
  <c r="AY149" i="5"/>
  <c r="AY25" i="3" s="1"/>
  <c r="AY28" i="5"/>
  <c r="AY19" i="3" s="1"/>
  <c r="AY133" i="5"/>
  <c r="AY24" i="3" s="1"/>
  <c r="C53" i="2"/>
  <c r="AH53" i="2" s="1"/>
  <c r="T53" i="2" s="1"/>
  <c r="B54" i="2"/>
  <c r="Y53" i="2" l="1"/>
  <c r="V53" i="2"/>
  <c r="X52" i="2"/>
  <c r="AY58" i="5"/>
  <c r="AY152" i="5" s="1"/>
  <c r="AE55" i="2" s="1"/>
  <c r="AZ32" i="5"/>
  <c r="AZ20" i="3" s="1"/>
  <c r="AT7" i="3"/>
  <c r="AT14" i="3" s="1"/>
  <c r="AT15" i="3" s="1"/>
  <c r="AT14" i="5"/>
  <c r="AT15" i="5" s="1"/>
  <c r="AZ133" i="5"/>
  <c r="AZ24" i="3" s="1"/>
  <c r="BL34" i="4"/>
  <c r="AZ57" i="5"/>
  <c r="AZ22" i="3" s="1"/>
  <c r="AZ149" i="5"/>
  <c r="AZ25" i="3" s="1"/>
  <c r="BA121" i="5"/>
  <c r="BA114" i="5"/>
  <c r="BA109" i="5"/>
  <c r="BA69" i="5"/>
  <c r="BA143" i="5"/>
  <c r="BA72" i="5"/>
  <c r="BA123" i="5"/>
  <c r="BA103" i="5"/>
  <c r="BA37" i="5" a="1"/>
  <c r="BA37" i="5" s="1"/>
  <c r="BA108" i="5"/>
  <c r="BA49" i="5" a="1"/>
  <c r="BA49" i="5" s="1"/>
  <c r="BA120" i="5"/>
  <c r="BA131" i="5"/>
  <c r="BA25" i="5" a="1"/>
  <c r="BA25" i="5" s="1"/>
  <c r="BA119" i="5"/>
  <c r="BA71" i="5"/>
  <c r="BA67" i="5"/>
  <c r="BA88" i="5"/>
  <c r="BN3" i="4"/>
  <c r="BA92" i="5"/>
  <c r="BA73" i="5"/>
  <c r="BA55" i="5" a="1"/>
  <c r="BA55" i="5" s="1"/>
  <c r="BA129" i="5"/>
  <c r="BA76" i="5"/>
  <c r="BA89" i="5"/>
  <c r="BA117" i="5"/>
  <c r="BA102" i="5"/>
  <c r="BA61" i="5"/>
  <c r="BA64" i="5"/>
  <c r="BA95" i="5"/>
  <c r="BA79" i="5"/>
  <c r="BA94" i="5"/>
  <c r="BA50" i="5" a="1"/>
  <c r="BA50" i="5" s="1"/>
  <c r="BA112" i="5"/>
  <c r="BA53" i="5" a="1"/>
  <c r="BA53" i="5" s="1"/>
  <c r="BA124" i="5"/>
  <c r="BA87" i="5"/>
  <c r="BA23" i="5" a="1"/>
  <c r="BA23" i="5" s="1"/>
  <c r="BA111" i="5"/>
  <c r="BA118" i="5"/>
  <c r="BA36" i="5" a="1"/>
  <c r="BA36" i="5" s="1"/>
  <c r="BA101" i="5"/>
  <c r="BA40" i="5" a="1"/>
  <c r="BA40" i="5" s="1"/>
  <c r="BA135" i="5"/>
  <c r="BA81" i="5"/>
  <c r="BA105" i="5"/>
  <c r="BA31" i="5" a="1"/>
  <c r="BA31" i="5" s="1"/>
  <c r="BA106" i="5"/>
  <c r="BA139" i="5"/>
  <c r="BA85" i="5"/>
  <c r="BA54" i="5" a="1"/>
  <c r="BA54" i="5" s="1"/>
  <c r="BA138" i="5"/>
  <c r="BA68" i="5"/>
  <c r="BA20" i="5" a="1"/>
  <c r="BA20" i="5" s="1"/>
  <c r="BA90" i="5"/>
  <c r="BA24" i="5" a="1"/>
  <c r="BA24" i="5" s="1"/>
  <c r="BA107" i="5"/>
  <c r="BA35" i="5" a="1"/>
  <c r="BA35" i="5" s="1"/>
  <c r="BA3" i="3"/>
  <c r="BA130" i="5"/>
  <c r="BA86" i="5"/>
  <c r="BA48" i="5" a="1"/>
  <c r="BA48" i="5" s="1"/>
  <c r="BA137" i="5"/>
  <c r="BA83" i="5"/>
  <c r="BA140" i="5"/>
  <c r="BA78" i="5"/>
  <c r="BB3" i="5"/>
  <c r="BA104" i="5"/>
  <c r="BA63" i="5"/>
  <c r="BA127" i="5"/>
  <c r="BA34" i="5" a="1"/>
  <c r="BA34" i="5" s="1"/>
  <c r="BA115" i="5"/>
  <c r="BA141" i="5"/>
  <c r="BA70" i="5"/>
  <c r="BA147" i="5"/>
  <c r="BA52" i="5" a="1"/>
  <c r="BA52" i="5" s="1"/>
  <c r="BA91" i="5"/>
  <c r="BA62" i="5"/>
  <c r="BA145" i="5"/>
  <c r="BA74" i="5"/>
  <c r="BA30" i="5" a="1"/>
  <c r="BA30" i="5" s="1"/>
  <c r="BA21" i="5" a="1"/>
  <c r="BA21" i="5" s="1"/>
  <c r="BA98" i="5"/>
  <c r="BA77" i="5"/>
  <c r="BA60" i="5"/>
  <c r="BA99" i="5"/>
  <c r="BA75" i="5"/>
  <c r="BA96" i="5"/>
  <c r="BA132" i="5"/>
  <c r="BA136" i="5"/>
  <c r="BA66" i="5"/>
  <c r="BA146" i="5"/>
  <c r="BA84" i="5"/>
  <c r="BA65" i="5"/>
  <c r="BA38" i="5" a="1"/>
  <c r="BA38" i="5" s="1"/>
  <c r="BA116" i="5"/>
  <c r="BA126" i="5"/>
  <c r="BA125" i="5"/>
  <c r="BA93" i="5"/>
  <c r="BA45" i="5" a="1"/>
  <c r="BA45" i="5" s="1"/>
  <c r="BA113" i="5"/>
  <c r="BA97" i="5"/>
  <c r="BA128" i="5"/>
  <c r="BA142" i="5"/>
  <c r="BA80" i="5"/>
  <c r="BA144" i="5"/>
  <c r="BA82" i="5"/>
  <c r="BA22" i="5" a="1"/>
  <c r="BA22" i="5" s="1"/>
  <c r="BA100" i="5"/>
  <c r="BA56" i="5" a="1"/>
  <c r="BA56" i="5" s="1"/>
  <c r="BA110" i="5"/>
  <c r="BA51" i="5" a="1"/>
  <c r="BA51" i="5" s="1"/>
  <c r="BA122" i="5"/>
  <c r="BA26" i="5" a="1"/>
  <c r="BA26" i="5" s="1"/>
  <c r="BA148" i="5"/>
  <c r="BM9" i="4"/>
  <c r="BM13" i="4"/>
  <c r="BM5" i="4"/>
  <c r="BM19" i="4"/>
  <c r="BM8" i="4"/>
  <c r="BM20" i="4"/>
  <c r="BM21" i="4"/>
  <c r="BM23" i="4"/>
  <c r="BM10" i="4"/>
  <c r="BM15" i="4"/>
  <c r="BM16" i="4"/>
  <c r="BM22" i="4"/>
  <c r="BM11" i="4"/>
  <c r="BM18" i="4"/>
  <c r="BM4" i="4"/>
  <c r="BM7" i="4"/>
  <c r="BM12" i="4"/>
  <c r="BM14" i="4"/>
  <c r="BM6" i="4"/>
  <c r="BM25" i="4"/>
  <c r="BM24" i="4"/>
  <c r="BM17" i="4"/>
  <c r="AZ46" i="5"/>
  <c r="AZ21" i="3" s="1"/>
  <c r="AZ28" i="5"/>
  <c r="AZ19" i="3" s="1"/>
  <c r="AY23" i="3"/>
  <c r="AY28" i="3" s="1"/>
  <c r="C54" i="2"/>
  <c r="AH54" i="2" s="1"/>
  <c r="T54" i="2" s="1"/>
  <c r="B55" i="2"/>
  <c r="Y54" i="2" l="1"/>
  <c r="V54" i="2"/>
  <c r="AC53" i="2"/>
  <c r="X53" i="2"/>
  <c r="BA133" i="5"/>
  <c r="BA24" i="3" s="1"/>
  <c r="BM34" i="4"/>
  <c r="BA32" i="5"/>
  <c r="BA20" i="3" s="1"/>
  <c r="AZ58" i="5"/>
  <c r="AZ152" i="5" s="1"/>
  <c r="AE56" i="2" s="1"/>
  <c r="AB53" i="2" s="1"/>
  <c r="BA149" i="5"/>
  <c r="BA25" i="3" s="1"/>
  <c r="AZ23" i="3"/>
  <c r="AZ28" i="3" s="1"/>
  <c r="BB138" i="5"/>
  <c r="BB50" i="5" a="1"/>
  <c r="BB50" i="5" s="1"/>
  <c r="BB131" i="5"/>
  <c r="BB95" i="5"/>
  <c r="BB30" i="5" a="1"/>
  <c r="BB30" i="5" s="1"/>
  <c r="BB112" i="5"/>
  <c r="BB74" i="5"/>
  <c r="BB137" i="5"/>
  <c r="BB71" i="5"/>
  <c r="BB116" i="5"/>
  <c r="BB132" i="5"/>
  <c r="BB115" i="5"/>
  <c r="BB70" i="5"/>
  <c r="BB64" i="5"/>
  <c r="BB78" i="5"/>
  <c r="BB66" i="5"/>
  <c r="BB83" i="5"/>
  <c r="BB98" i="5"/>
  <c r="BB62" i="5"/>
  <c r="BB142" i="5"/>
  <c r="BB75" i="5"/>
  <c r="BB3" i="3"/>
  <c r="BB107" i="5"/>
  <c r="BB48" i="5" a="1"/>
  <c r="BB48" i="5" s="1"/>
  <c r="BB118" i="5"/>
  <c r="BB80" i="5"/>
  <c r="BB90" i="5"/>
  <c r="BB51" i="5" a="1"/>
  <c r="BB51" i="5" s="1"/>
  <c r="BB67" i="5"/>
  <c r="BB126" i="5"/>
  <c r="BB40" i="5" a="1"/>
  <c r="BB40" i="5" s="1"/>
  <c r="BB110" i="5"/>
  <c r="BB105" i="5"/>
  <c r="BB56" i="5" a="1"/>
  <c r="BB56" i="5" s="1"/>
  <c r="BB125" i="5"/>
  <c r="BB119" i="5"/>
  <c r="BB101" i="5"/>
  <c r="BB72" i="5"/>
  <c r="BB37" i="5" a="1"/>
  <c r="BB37" i="5" s="1"/>
  <c r="BB111" i="5"/>
  <c r="BB121" i="5"/>
  <c r="BB93" i="5"/>
  <c r="BB129" i="5"/>
  <c r="BB97" i="5"/>
  <c r="BB36" i="5" a="1"/>
  <c r="BB36" i="5" s="1"/>
  <c r="BB136" i="5"/>
  <c r="BB84" i="5"/>
  <c r="BB122" i="5"/>
  <c r="BB130" i="5"/>
  <c r="BB89" i="5"/>
  <c r="BB22" i="5" a="1"/>
  <c r="BB22" i="5" s="1"/>
  <c r="BB114" i="5"/>
  <c r="BB76" i="5"/>
  <c r="BB143" i="5"/>
  <c r="BB81" i="5"/>
  <c r="BB25" i="5" a="1"/>
  <c r="BB25" i="5" s="1"/>
  <c r="BB108" i="5"/>
  <c r="BB45" i="5" a="1"/>
  <c r="BB45" i="5" s="1"/>
  <c r="BB148" i="5"/>
  <c r="BB85" i="5"/>
  <c r="BB34" i="5" a="1"/>
  <c r="BB34" i="5" s="1"/>
  <c r="BB104" i="5"/>
  <c r="BB68" i="5"/>
  <c r="BB139" i="5"/>
  <c r="BB73" i="5"/>
  <c r="BB128" i="5"/>
  <c r="BB99" i="5"/>
  <c r="BB38" i="5" a="1"/>
  <c r="BB38" i="5" s="1"/>
  <c r="BB140" i="5"/>
  <c r="BB77" i="5"/>
  <c r="BO3" i="4"/>
  <c r="BB96" i="5"/>
  <c r="BB60" i="5"/>
  <c r="BB117" i="5"/>
  <c r="BB127" i="5"/>
  <c r="BB91" i="5"/>
  <c r="BB23" i="5" a="1"/>
  <c r="BB23" i="5" s="1"/>
  <c r="BB135" i="5"/>
  <c r="BB69" i="5"/>
  <c r="BB147" i="5"/>
  <c r="BB109" i="5"/>
  <c r="BB49" i="5" a="1"/>
  <c r="BB49" i="5" s="1"/>
  <c r="BB144" i="5"/>
  <c r="BB54" i="5" a="1"/>
  <c r="BB54" i="5" s="1"/>
  <c r="BB124" i="5"/>
  <c r="BC3" i="5"/>
  <c r="BB61" i="5"/>
  <c r="BB103" i="5"/>
  <c r="BB82" i="5"/>
  <c r="BB87" i="5"/>
  <c r="BB55" i="5" a="1"/>
  <c r="BB55" i="5" s="1"/>
  <c r="BB146" i="5"/>
  <c r="BB52" i="5" a="1"/>
  <c r="BB52" i="5" s="1"/>
  <c r="BB53" i="5" a="1"/>
  <c r="BB53" i="5" s="1"/>
  <c r="BB65" i="5"/>
  <c r="BB113" i="5"/>
  <c r="BB123" i="5"/>
  <c r="BB21" i="5" a="1"/>
  <c r="BB21" i="5" s="1"/>
  <c r="BB106" i="5"/>
  <c r="BB86" i="5"/>
  <c r="BB88" i="5"/>
  <c r="BB35" i="5" a="1"/>
  <c r="BB35" i="5" s="1"/>
  <c r="BB120" i="5"/>
  <c r="BB20" i="5" a="1"/>
  <c r="BB20" i="5" s="1"/>
  <c r="BB102" i="5"/>
  <c r="BB145" i="5"/>
  <c r="BB31" i="5" a="1"/>
  <c r="BB31" i="5" s="1"/>
  <c r="BB94" i="5"/>
  <c r="BB26" i="5" a="1"/>
  <c r="BB26" i="5" s="1"/>
  <c r="BB92" i="5"/>
  <c r="BB141" i="5"/>
  <c r="BB79" i="5"/>
  <c r="BB63" i="5"/>
  <c r="BB24" i="5" a="1"/>
  <c r="BB24" i="5" s="1"/>
  <c r="BB100" i="5"/>
  <c r="BN6" i="4"/>
  <c r="BN20" i="4"/>
  <c r="BN23" i="4"/>
  <c r="BN13" i="4"/>
  <c r="BN19" i="4"/>
  <c r="BN5" i="4"/>
  <c r="BN9" i="4"/>
  <c r="BN15" i="4"/>
  <c r="BN25" i="4"/>
  <c r="BN24" i="4"/>
  <c r="BN7" i="4"/>
  <c r="BN16" i="4"/>
  <c r="BN22" i="4"/>
  <c r="BN12" i="4"/>
  <c r="BN18" i="4"/>
  <c r="BN8" i="4"/>
  <c r="BN14" i="4"/>
  <c r="BN21" i="4"/>
  <c r="BN17" i="4"/>
  <c r="BN11" i="4"/>
  <c r="BN4" i="4"/>
  <c r="BN10" i="4"/>
  <c r="BA28" i="5"/>
  <c r="BA19" i="3" s="1"/>
  <c r="BA41" i="5"/>
  <c r="BK41" i="5" s="1"/>
  <c r="BA57" i="5"/>
  <c r="BA22" i="3" s="1"/>
  <c r="B56" i="2"/>
  <c r="C55" i="2"/>
  <c r="AH55" i="2" s="1"/>
  <c r="T55" i="2" s="1"/>
  <c r="V55" i="2" l="1"/>
  <c r="Y55" i="2"/>
  <c r="X54" i="2"/>
  <c r="BB46" i="5"/>
  <c r="BB21" i="3" s="1"/>
  <c r="BN34" i="4"/>
  <c r="BC145" i="5"/>
  <c r="BC83" i="5"/>
  <c r="BC56" i="5" a="1"/>
  <c r="BC56" i="5" s="1"/>
  <c r="BC119" i="5"/>
  <c r="BC112" i="5"/>
  <c r="BC70" i="5"/>
  <c r="BC144" i="5"/>
  <c r="BC75" i="5"/>
  <c r="BC3" i="3"/>
  <c r="BC91" i="5"/>
  <c r="BC40" i="5" a="1"/>
  <c r="BC40" i="5" s="1"/>
  <c r="BC111" i="5"/>
  <c r="BC51" i="5" a="1"/>
  <c r="BC51" i="5" s="1"/>
  <c r="BC103" i="5"/>
  <c r="BC137" i="5"/>
  <c r="BC67" i="5"/>
  <c r="BC104" i="5"/>
  <c r="BC45" i="5" a="1"/>
  <c r="BC45" i="5" s="1"/>
  <c r="BC136" i="5"/>
  <c r="BC80" i="5"/>
  <c r="BC95" i="5"/>
  <c r="BC52" i="5" a="1"/>
  <c r="BC52" i="5" s="1"/>
  <c r="BC115" i="5"/>
  <c r="BC55" i="5" a="1"/>
  <c r="BC55" i="5" s="1"/>
  <c r="BC123" i="5"/>
  <c r="BC96" i="5"/>
  <c r="BC26" i="5" a="1"/>
  <c r="BC26" i="5" s="1"/>
  <c r="BC114" i="5"/>
  <c r="BC20" i="5" a="1"/>
  <c r="BC20" i="5" s="1"/>
  <c r="BC62" i="5"/>
  <c r="BC126" i="5"/>
  <c r="BC74" i="5"/>
  <c r="BC122" i="5"/>
  <c r="BC87" i="5"/>
  <c r="BC36" i="5" a="1"/>
  <c r="BC36" i="5" s="1"/>
  <c r="BC107" i="5"/>
  <c r="BC84" i="5"/>
  <c r="BC131" i="5"/>
  <c r="BC88" i="5"/>
  <c r="BC31" i="5" a="1"/>
  <c r="BC31" i="5" s="1"/>
  <c r="BC105" i="5"/>
  <c r="BC64" i="5"/>
  <c r="BC130" i="5"/>
  <c r="BC100" i="5"/>
  <c r="BC35" i="5" a="1"/>
  <c r="BC35" i="5" s="1"/>
  <c r="BC118" i="5"/>
  <c r="BC76" i="5"/>
  <c r="BC143" i="5"/>
  <c r="BC81" i="5"/>
  <c r="BC22" i="5" a="1"/>
  <c r="BC22" i="5" s="1"/>
  <c r="BC97" i="5"/>
  <c r="BC54" i="5" a="1"/>
  <c r="BC54" i="5" s="1"/>
  <c r="BC128" i="5"/>
  <c r="BC37" i="5" a="1"/>
  <c r="BC37" i="5" s="1"/>
  <c r="BC139" i="5"/>
  <c r="BC124" i="5"/>
  <c r="BC132" i="5"/>
  <c r="BC127" i="5"/>
  <c r="BC92" i="5"/>
  <c r="BD3" i="5"/>
  <c r="BC110" i="5"/>
  <c r="BC68" i="5"/>
  <c r="BC142" i="5"/>
  <c r="BC73" i="5"/>
  <c r="BC147" i="5"/>
  <c r="BC89" i="5"/>
  <c r="BC38" i="5" a="1"/>
  <c r="BC38" i="5" s="1"/>
  <c r="BC135" i="5"/>
  <c r="BC65" i="5"/>
  <c r="BP3" i="4"/>
  <c r="BC93" i="5"/>
  <c r="BC50" i="5" a="1"/>
  <c r="BC50" i="5" s="1"/>
  <c r="BC113" i="5"/>
  <c r="BC94" i="5"/>
  <c r="BC106" i="5"/>
  <c r="BC48" i="5" a="1"/>
  <c r="BC48" i="5" s="1"/>
  <c r="BC138" i="5"/>
  <c r="BC82" i="5"/>
  <c r="BC117" i="5"/>
  <c r="BC61" i="5"/>
  <c r="BC148" i="5"/>
  <c r="BC85" i="5"/>
  <c r="BC30" i="5" a="1"/>
  <c r="BC30" i="5" s="1"/>
  <c r="BC101" i="5"/>
  <c r="BC60" i="5"/>
  <c r="BC102" i="5"/>
  <c r="BC25" i="5" a="1"/>
  <c r="BC25" i="5" s="1"/>
  <c r="BC23" i="5" a="1"/>
  <c r="BC23" i="5" s="1"/>
  <c r="BC116" i="5"/>
  <c r="BC146" i="5"/>
  <c r="BC77" i="5"/>
  <c r="BC53" i="5" a="1"/>
  <c r="BC53" i="5" s="1"/>
  <c r="BC125" i="5"/>
  <c r="BC21" i="5" a="1"/>
  <c r="BC21" i="5" s="1"/>
  <c r="BC69" i="5"/>
  <c r="BC86" i="5"/>
  <c r="BC121" i="5"/>
  <c r="BC98" i="5"/>
  <c r="BC109" i="5"/>
  <c r="BC49" i="5" a="1"/>
  <c r="BC49" i="5" s="1"/>
  <c r="BC129" i="5"/>
  <c r="BC90" i="5"/>
  <c r="BC34" i="5" a="1"/>
  <c r="BC34" i="5" s="1"/>
  <c r="BC108" i="5"/>
  <c r="BC66" i="5"/>
  <c r="BC140" i="5"/>
  <c r="BC71" i="5"/>
  <c r="BC120" i="5"/>
  <c r="BC78" i="5"/>
  <c r="BC24" i="5" a="1"/>
  <c r="BC24" i="5" s="1"/>
  <c r="BC99" i="5"/>
  <c r="BC63" i="5"/>
  <c r="BC72" i="5"/>
  <c r="BC141" i="5"/>
  <c r="BC79" i="5"/>
  <c r="BB133" i="5"/>
  <c r="BB24" i="3" s="1"/>
  <c r="BB57" i="5"/>
  <c r="BB22" i="3" s="1"/>
  <c r="BO21" i="4"/>
  <c r="BO9" i="4"/>
  <c r="BO17" i="4"/>
  <c r="BO13" i="4"/>
  <c r="BO5" i="4"/>
  <c r="BO10" i="4"/>
  <c r="BO23" i="4"/>
  <c r="BO19" i="4"/>
  <c r="BO15" i="4"/>
  <c r="BO25" i="4"/>
  <c r="BO11" i="4"/>
  <c r="BO20" i="4"/>
  <c r="BO22" i="4"/>
  <c r="BO4" i="4"/>
  <c r="BO24" i="4"/>
  <c r="BO7" i="4"/>
  <c r="BO16" i="4"/>
  <c r="BO12" i="4"/>
  <c r="BO8" i="4"/>
  <c r="BO14" i="4"/>
  <c r="BO18" i="4"/>
  <c r="BO6" i="4"/>
  <c r="AW7" i="5"/>
  <c r="BB28" i="5"/>
  <c r="BB19" i="3" s="1"/>
  <c r="BA46" i="5"/>
  <c r="BA21" i="3" s="1"/>
  <c r="BA23" i="3" s="1"/>
  <c r="BA28" i="3" s="1"/>
  <c r="BB149" i="5"/>
  <c r="BB25" i="3" s="1"/>
  <c r="BB32" i="5"/>
  <c r="BB20" i="3" s="1"/>
  <c r="B57" i="2"/>
  <c r="C56" i="2"/>
  <c r="AH56" i="2" s="1"/>
  <c r="T56" i="2" s="1"/>
  <c r="BC149" i="5" l="1"/>
  <c r="BC25" i="3" s="1"/>
  <c r="BC133" i="5"/>
  <c r="BC24" i="3" s="1"/>
  <c r="BO34" i="4"/>
  <c r="AB55" i="2"/>
  <c r="AC55" i="2"/>
  <c r="X55" i="2"/>
  <c r="Y56" i="2"/>
  <c r="V56" i="2"/>
  <c r="BC32" i="5"/>
  <c r="BC20" i="3" s="1"/>
  <c r="BB23" i="3"/>
  <c r="BB28" i="3" s="1"/>
  <c r="BC46" i="5"/>
  <c r="BC21" i="3" s="1"/>
  <c r="BC57" i="5"/>
  <c r="BC22" i="3" s="1"/>
  <c r="BA58" i="5"/>
  <c r="BA152" i="5" s="1"/>
  <c r="AE57" i="2" s="1"/>
  <c r="BB58" i="5"/>
  <c r="BB152" i="5" s="1"/>
  <c r="AE58" i="2" s="1"/>
  <c r="AW7" i="3"/>
  <c r="AW14" i="3" s="1"/>
  <c r="AW15" i="3" s="1"/>
  <c r="AW14" i="5"/>
  <c r="AW15" i="5" s="1"/>
  <c r="BP6" i="4"/>
  <c r="BP19" i="4"/>
  <c r="BP21" i="4"/>
  <c r="BP15" i="4"/>
  <c r="BP9" i="4"/>
  <c r="BP5" i="4"/>
  <c r="BP8" i="4"/>
  <c r="BP14" i="4"/>
  <c r="BP17" i="4"/>
  <c r="BP20" i="4"/>
  <c r="BP16" i="4"/>
  <c r="BP22" i="4"/>
  <c r="BP25" i="4"/>
  <c r="BP10" i="4"/>
  <c r="BP7" i="4"/>
  <c r="BP24" i="4"/>
  <c r="BP13" i="4"/>
  <c r="BP12" i="4"/>
  <c r="BP18" i="4"/>
  <c r="BP4" i="4"/>
  <c r="BP23" i="4"/>
  <c r="BP11" i="4"/>
  <c r="BD144" i="5"/>
  <c r="BD82" i="5"/>
  <c r="BD24" i="5" a="1"/>
  <c r="BD24" i="5" s="1"/>
  <c r="BD105" i="5"/>
  <c r="BD67" i="5"/>
  <c r="BD116" i="5"/>
  <c r="BD62" i="5"/>
  <c r="BD123" i="5"/>
  <c r="BD96" i="5"/>
  <c r="BD36" i="5" a="1"/>
  <c r="BD36" i="5" s="1"/>
  <c r="BD141" i="5"/>
  <c r="BD74" i="5"/>
  <c r="BQ3" i="4"/>
  <c r="BD97" i="5"/>
  <c r="BD55" i="5" a="1"/>
  <c r="BD55" i="5" s="1"/>
  <c r="BD145" i="5"/>
  <c r="BD52" i="5" a="1"/>
  <c r="BD52" i="5" s="1"/>
  <c r="BD127" i="5"/>
  <c r="BD88" i="5"/>
  <c r="BD31" i="5" a="1"/>
  <c r="BD31" i="5" s="1"/>
  <c r="BD146" i="5"/>
  <c r="BD84" i="5"/>
  <c r="BD40" i="5" a="1"/>
  <c r="BD40" i="5" s="1"/>
  <c r="BD73" i="5"/>
  <c r="BD111" i="5"/>
  <c r="BD112" i="5"/>
  <c r="BD56" i="5" a="1"/>
  <c r="BD56" i="5" s="1"/>
  <c r="BD128" i="5"/>
  <c r="BD100" i="5"/>
  <c r="BD137" i="5"/>
  <c r="BD85" i="5"/>
  <c r="BD131" i="5"/>
  <c r="BD92" i="5"/>
  <c r="BE3" i="5"/>
  <c r="BD103" i="5"/>
  <c r="BD65" i="5"/>
  <c r="BD136" i="5"/>
  <c r="BD68" i="5"/>
  <c r="BD63" i="5"/>
  <c r="BD26" i="5" a="1"/>
  <c r="BD26" i="5" s="1"/>
  <c r="BD135" i="5"/>
  <c r="BD83" i="5"/>
  <c r="BD130" i="5"/>
  <c r="BD70" i="5"/>
  <c r="BD66" i="5"/>
  <c r="BD76" i="5"/>
  <c r="BD115" i="5"/>
  <c r="BD77" i="5"/>
  <c r="BD125" i="5"/>
  <c r="BD87" i="5"/>
  <c r="BD22" i="5" a="1"/>
  <c r="BD22" i="5" s="1"/>
  <c r="BD95" i="5"/>
  <c r="BD53" i="5" a="1"/>
  <c r="BD53" i="5" s="1"/>
  <c r="BD114" i="5"/>
  <c r="BD60" i="5"/>
  <c r="BD107" i="5"/>
  <c r="BD69" i="5"/>
  <c r="BD23" i="5" a="1"/>
  <c r="BD23" i="5" s="1"/>
  <c r="BD106" i="5"/>
  <c r="BD61" i="5"/>
  <c r="BD98" i="5"/>
  <c r="BD79" i="5"/>
  <c r="BD64" i="5"/>
  <c r="BD34" i="5" a="1"/>
  <c r="BD34" i="5" s="1"/>
  <c r="BD109" i="5"/>
  <c r="BD94" i="5"/>
  <c r="BD51" i="5" a="1"/>
  <c r="BD51" i="5" s="1"/>
  <c r="BD86" i="5"/>
  <c r="BD138" i="5"/>
  <c r="BD124" i="5"/>
  <c r="BD120" i="5"/>
  <c r="BD30" i="5" a="1"/>
  <c r="BD30" i="5" s="1"/>
  <c r="BD142" i="5"/>
  <c r="BD80" i="5"/>
  <c r="BD45" i="5" a="1"/>
  <c r="BD45" i="5" s="1"/>
  <c r="BD139" i="5"/>
  <c r="BD50" i="5" a="1"/>
  <c r="BD50" i="5" s="1"/>
  <c r="BD122" i="5"/>
  <c r="BD49" i="5" a="1"/>
  <c r="BD49" i="5" s="1"/>
  <c r="BD118" i="5"/>
  <c r="BD90" i="5"/>
  <c r="BD102" i="5"/>
  <c r="BD35" i="5" a="1"/>
  <c r="BD35" i="5" s="1"/>
  <c r="BD110" i="5"/>
  <c r="BD20" i="5" a="1"/>
  <c r="BD20" i="5" s="1"/>
  <c r="BD101" i="5"/>
  <c r="BD37" i="5" a="1"/>
  <c r="BD37" i="5" s="1"/>
  <c r="BD81" i="5"/>
  <c r="BD99" i="5"/>
  <c r="BD143" i="5"/>
  <c r="BD72" i="5"/>
  <c r="BD38" i="5" a="1"/>
  <c r="BD38" i="5" s="1"/>
  <c r="BD117" i="5"/>
  <c r="BD71" i="5"/>
  <c r="BD21" i="5" a="1"/>
  <c r="BD21" i="5" s="1"/>
  <c r="BD93" i="5"/>
  <c r="BD148" i="5"/>
  <c r="BD3" i="3"/>
  <c r="BD91" i="5"/>
  <c r="BD121" i="5"/>
  <c r="BD126" i="5"/>
  <c r="BD54" i="5" a="1"/>
  <c r="BD54" i="5" s="1"/>
  <c r="BD132" i="5"/>
  <c r="BD140" i="5"/>
  <c r="BD78" i="5"/>
  <c r="BD25" i="5" a="1"/>
  <c r="BD25" i="5" s="1"/>
  <c r="BD113" i="5"/>
  <c r="BD104" i="5"/>
  <c r="BD108" i="5"/>
  <c r="BD89" i="5"/>
  <c r="BD129" i="5"/>
  <c r="BD75" i="5"/>
  <c r="BD147" i="5"/>
  <c r="BD48" i="5" a="1"/>
  <c r="BD48" i="5" s="1"/>
  <c r="BD119" i="5"/>
  <c r="BC28" i="5"/>
  <c r="BC19" i="3" s="1"/>
  <c r="B58" i="2"/>
  <c r="C57" i="2"/>
  <c r="AH57" i="2" s="1"/>
  <c r="T57" i="2" s="1"/>
  <c r="BC23" i="3" l="1"/>
  <c r="BC28" i="3" s="1"/>
  <c r="AC56" i="2"/>
  <c r="X56" i="2"/>
  <c r="Y57" i="2"/>
  <c r="V57" i="2"/>
  <c r="BD32" i="5"/>
  <c r="BD20" i="3" s="1"/>
  <c r="BD57" i="5"/>
  <c r="BD22" i="3" s="1"/>
  <c r="BD28" i="5"/>
  <c r="BD19" i="3" s="1"/>
  <c r="BP34" i="4"/>
  <c r="BC58" i="5"/>
  <c r="BC152" i="5" s="1"/>
  <c r="AE59" i="2" s="1"/>
  <c r="AB56" i="2" s="1"/>
  <c r="BD133" i="5"/>
  <c r="BD24" i="3" s="1"/>
  <c r="BD149" i="5"/>
  <c r="BD25" i="3" s="1"/>
  <c r="BD46" i="5"/>
  <c r="BD21" i="3" s="1"/>
  <c r="BE114" i="5"/>
  <c r="BE55" i="5" a="1"/>
  <c r="BE55" i="5" s="1"/>
  <c r="BE128" i="5"/>
  <c r="BE97" i="5"/>
  <c r="BE31" i="5" a="1"/>
  <c r="BE31" i="5" s="1"/>
  <c r="BE138" i="5"/>
  <c r="BE68" i="5"/>
  <c r="BE140" i="5"/>
  <c r="BE37" i="5" a="1"/>
  <c r="BE37" i="5" s="1"/>
  <c r="BE23" i="5" a="1"/>
  <c r="BE23" i="5" s="1"/>
  <c r="BE139" i="5"/>
  <c r="BE85" i="5"/>
  <c r="BE125" i="5"/>
  <c r="BE89" i="5"/>
  <c r="BE21" i="5" a="1"/>
  <c r="BE21" i="5" s="1"/>
  <c r="BE116" i="5"/>
  <c r="BE60" i="5"/>
  <c r="BE119" i="5"/>
  <c r="BE95" i="5"/>
  <c r="BE34" i="5" a="1"/>
  <c r="BE34" i="5" s="1"/>
  <c r="BE115" i="5"/>
  <c r="BE36" i="5" a="1"/>
  <c r="BE36" i="5" s="1"/>
  <c r="BE141" i="5"/>
  <c r="BE110" i="5"/>
  <c r="BE135" i="5"/>
  <c r="BE118" i="5"/>
  <c r="BE109" i="5"/>
  <c r="BE122" i="5"/>
  <c r="BE52" i="5" a="1"/>
  <c r="BE52" i="5" s="1"/>
  <c r="BF3" i="5"/>
  <c r="BE25" i="5" a="1"/>
  <c r="BE25" i="5" s="1"/>
  <c r="BE117" i="5"/>
  <c r="BE77" i="5"/>
  <c r="BE142" i="5"/>
  <c r="BE80" i="5"/>
  <c r="BE20" i="5" a="1"/>
  <c r="BE20" i="5" s="1"/>
  <c r="BE108" i="5"/>
  <c r="BE49" i="5" a="1"/>
  <c r="BE49" i="5" s="1"/>
  <c r="BE90" i="5"/>
  <c r="BE106" i="5"/>
  <c r="BE69" i="5"/>
  <c r="BE79" i="5"/>
  <c r="BE99" i="5"/>
  <c r="BE54" i="5" a="1"/>
  <c r="BE54" i="5" s="1"/>
  <c r="BE143" i="5"/>
  <c r="BE72" i="5"/>
  <c r="BE78" i="5"/>
  <c r="BE75" i="5"/>
  <c r="BE102" i="5"/>
  <c r="BE61" i="5"/>
  <c r="BE120" i="5"/>
  <c r="BE64" i="5"/>
  <c r="BE130" i="5"/>
  <c r="BE111" i="5"/>
  <c r="BE71" i="5"/>
  <c r="BE81" i="5"/>
  <c r="BE62" i="5"/>
  <c r="BE94" i="5"/>
  <c r="BE53" i="5" a="1"/>
  <c r="BE53" i="5" s="1"/>
  <c r="BE127" i="5"/>
  <c r="BE104" i="5"/>
  <c r="BE38" i="5" a="1"/>
  <c r="BE38" i="5" s="1"/>
  <c r="BE65" i="5"/>
  <c r="BE48" i="5" a="1"/>
  <c r="BE48" i="5" s="1"/>
  <c r="BE137" i="5"/>
  <c r="BE83" i="5"/>
  <c r="BE105" i="5"/>
  <c r="BE50" i="5" a="1"/>
  <c r="BE50" i="5" s="1"/>
  <c r="BE112" i="5"/>
  <c r="BE63" i="5"/>
  <c r="BE86" i="5"/>
  <c r="BE124" i="5"/>
  <c r="BE129" i="5"/>
  <c r="BE147" i="5"/>
  <c r="BE96" i="5"/>
  <c r="BE88" i="5"/>
  <c r="BE126" i="5"/>
  <c r="BE3" i="3"/>
  <c r="BE73" i="5"/>
  <c r="BE123" i="5"/>
  <c r="BE91" i="5"/>
  <c r="BE24" i="5" a="1"/>
  <c r="BE24" i="5" s="1"/>
  <c r="BE107" i="5"/>
  <c r="BE67" i="5"/>
  <c r="BE121" i="5"/>
  <c r="BE101" i="5"/>
  <c r="BE35" i="5" a="1"/>
  <c r="BE35" i="5" s="1"/>
  <c r="BE113" i="5"/>
  <c r="BE98" i="5"/>
  <c r="BE136" i="5"/>
  <c r="BE66" i="5"/>
  <c r="BE131" i="5"/>
  <c r="BE144" i="5"/>
  <c r="BE82" i="5"/>
  <c r="BE22" i="5" a="1"/>
  <c r="BE22" i="5" s="1"/>
  <c r="BE100" i="5"/>
  <c r="BE56" i="5" a="1"/>
  <c r="BE56" i="5" s="1"/>
  <c r="BE132" i="5"/>
  <c r="BE93" i="5"/>
  <c r="BE30" i="5" a="1"/>
  <c r="BE30" i="5" s="1"/>
  <c r="BE103" i="5"/>
  <c r="BE87" i="5"/>
  <c r="BE145" i="5"/>
  <c r="BE74" i="5"/>
  <c r="BR3" i="4"/>
  <c r="BE92" i="5"/>
  <c r="BE40" i="5" a="1"/>
  <c r="BE40" i="5" s="1"/>
  <c r="BE146" i="5"/>
  <c r="BE84" i="5"/>
  <c r="BE51" i="5" a="1"/>
  <c r="BE51" i="5" s="1"/>
  <c r="BE26" i="5" a="1"/>
  <c r="BE26" i="5" s="1"/>
  <c r="BE70" i="5"/>
  <c r="BE45" i="5" a="1"/>
  <c r="BE45" i="5" s="1"/>
  <c r="BE148" i="5"/>
  <c r="BE76" i="5"/>
  <c r="BQ7" i="4"/>
  <c r="BQ12" i="4"/>
  <c r="BQ10" i="4"/>
  <c r="BQ16" i="4"/>
  <c r="BQ25" i="4"/>
  <c r="BQ4" i="4"/>
  <c r="BQ21" i="4"/>
  <c r="BQ11" i="4"/>
  <c r="BQ17" i="4"/>
  <c r="BQ24" i="4"/>
  <c r="BQ13" i="4"/>
  <c r="BQ6" i="4"/>
  <c r="BQ8" i="4"/>
  <c r="BQ20" i="4"/>
  <c r="BQ5" i="4"/>
  <c r="BQ23" i="4"/>
  <c r="BQ14" i="4"/>
  <c r="BQ22" i="4"/>
  <c r="BQ19" i="4"/>
  <c r="BQ18" i="4"/>
  <c r="BQ15" i="4"/>
  <c r="BQ9" i="4"/>
  <c r="B59" i="2"/>
  <c r="C58" i="2"/>
  <c r="AH58" i="2" s="1"/>
  <c r="T58" i="2" s="1"/>
  <c r="H12" i="2"/>
  <c r="Y58" i="2" l="1"/>
  <c r="V58" i="2"/>
  <c r="AC57" i="2"/>
  <c r="X57" i="2"/>
  <c r="BE32" i="5"/>
  <c r="BE20" i="3" s="1"/>
  <c r="BE57" i="5"/>
  <c r="BE22" i="3" s="1"/>
  <c r="BQ34" i="4"/>
  <c r="BE149" i="5"/>
  <c r="BE25" i="3" s="1"/>
  <c r="BE28" i="5"/>
  <c r="BE19" i="3" s="1"/>
  <c r="BR11" i="4"/>
  <c r="BR9" i="4"/>
  <c r="BR6" i="4"/>
  <c r="BR17" i="4"/>
  <c r="BR13" i="4"/>
  <c r="BR7" i="4"/>
  <c r="BR18" i="4"/>
  <c r="BR24" i="4"/>
  <c r="BR15" i="4"/>
  <c r="BR25" i="4"/>
  <c r="BR10" i="4"/>
  <c r="BR12" i="4"/>
  <c r="BR4" i="4"/>
  <c r="BR14" i="4"/>
  <c r="BR8" i="4"/>
  <c r="BR22" i="4"/>
  <c r="BR20" i="4"/>
  <c r="BR16" i="4"/>
  <c r="BR21" i="4"/>
  <c r="BR5" i="4"/>
  <c r="BR19" i="4"/>
  <c r="BR23" i="4"/>
  <c r="BE46" i="5"/>
  <c r="BE21" i="3" s="1"/>
  <c r="BF106" i="5"/>
  <c r="BF66" i="5"/>
  <c r="BF137" i="5"/>
  <c r="BF144" i="5"/>
  <c r="BF73" i="5"/>
  <c r="BF3" i="3"/>
  <c r="BF125" i="5"/>
  <c r="BF124" i="5"/>
  <c r="BF65" i="5"/>
  <c r="BF98" i="5"/>
  <c r="BF55" i="5" a="1"/>
  <c r="BF55" i="5" s="1"/>
  <c r="BF115" i="5"/>
  <c r="BF77" i="5"/>
  <c r="BF90" i="5"/>
  <c r="BF48" i="5" a="1"/>
  <c r="BF48" i="5" s="1"/>
  <c r="BF140" i="5"/>
  <c r="BF111" i="5"/>
  <c r="BF54" i="5" a="1"/>
  <c r="BF54" i="5" s="1"/>
  <c r="BF138" i="5"/>
  <c r="BF116" i="5"/>
  <c r="BF109" i="5"/>
  <c r="BF95" i="5"/>
  <c r="BF129" i="5"/>
  <c r="BF99" i="5"/>
  <c r="BF40" i="5" a="1"/>
  <c r="BF40" i="5" s="1"/>
  <c r="BF118" i="5"/>
  <c r="BF136" i="5"/>
  <c r="BF84" i="5"/>
  <c r="BF94" i="5"/>
  <c r="BF103" i="5"/>
  <c r="BF97" i="5"/>
  <c r="BF83" i="5"/>
  <c r="BF87" i="5"/>
  <c r="BF67" i="5"/>
  <c r="BF26" i="5" a="1"/>
  <c r="BF26" i="5" s="1"/>
  <c r="BF104" i="5"/>
  <c r="BF69" i="5"/>
  <c r="BF128" i="5"/>
  <c r="BF91" i="5"/>
  <c r="BF24" i="5" a="1"/>
  <c r="BF24" i="5" s="1"/>
  <c r="BF110" i="5"/>
  <c r="BF114" i="5"/>
  <c r="BF76" i="5"/>
  <c r="BF89" i="5"/>
  <c r="BF68" i="5"/>
  <c r="BF86" i="5"/>
  <c r="BF143" i="5"/>
  <c r="BF79" i="5"/>
  <c r="BF25" i="5" a="1"/>
  <c r="BF25" i="5" s="1"/>
  <c r="BF96" i="5"/>
  <c r="BF100" i="5"/>
  <c r="BF60" i="5"/>
  <c r="BF61" i="5"/>
  <c r="BF139" i="5"/>
  <c r="BF71" i="5"/>
  <c r="BF147" i="5"/>
  <c r="BF105" i="5"/>
  <c r="BF92" i="5"/>
  <c r="BF49" i="5" a="1"/>
  <c r="BF49" i="5" s="1"/>
  <c r="BF80" i="5"/>
  <c r="BF78" i="5"/>
  <c r="BF72" i="5"/>
  <c r="BF51" i="5" a="1"/>
  <c r="BF51" i="5" s="1"/>
  <c r="BF127" i="5"/>
  <c r="BF35" i="5" a="1"/>
  <c r="BF35" i="5" s="1"/>
  <c r="BF64" i="5"/>
  <c r="BF62" i="5"/>
  <c r="BF119" i="5"/>
  <c r="BF85" i="5"/>
  <c r="BF75" i="5"/>
  <c r="BF117" i="5"/>
  <c r="BF63" i="5"/>
  <c r="BF122" i="5"/>
  <c r="BF101" i="5"/>
  <c r="BF53" i="5" a="1"/>
  <c r="BF53" i="5" s="1"/>
  <c r="BF36" i="5" a="1"/>
  <c r="BF36" i="5" s="1"/>
  <c r="BF108" i="5"/>
  <c r="BF56" i="5" a="1"/>
  <c r="BF56" i="5" s="1"/>
  <c r="BF50" i="5" a="1"/>
  <c r="BF50" i="5" s="1"/>
  <c r="BF70" i="5"/>
  <c r="BF146" i="5"/>
  <c r="BF52" i="5" a="1"/>
  <c r="BF52" i="5" s="1"/>
  <c r="BF130" i="5"/>
  <c r="BF126" i="5"/>
  <c r="BF93" i="5"/>
  <c r="BF30" i="5" a="1"/>
  <c r="BF30" i="5" s="1"/>
  <c r="BF45" i="5" a="1"/>
  <c r="BF45" i="5" s="1"/>
  <c r="BF37" i="5" a="1"/>
  <c r="BF37" i="5" s="1"/>
  <c r="BF38" i="5" a="1"/>
  <c r="BF38" i="5" s="1"/>
  <c r="BF34" i="5" a="1"/>
  <c r="BF34" i="5" s="1"/>
  <c r="BF107" i="5"/>
  <c r="BF74" i="5"/>
  <c r="BF141" i="5"/>
  <c r="BF145" i="5"/>
  <c r="BF81" i="5"/>
  <c r="BF102" i="5"/>
  <c r="BF120" i="5"/>
  <c r="BF82" i="5"/>
  <c r="BF132" i="5"/>
  <c r="BF123" i="5"/>
  <c r="BF20" i="5" a="1"/>
  <c r="BF20" i="5" s="1"/>
  <c r="BF23" i="5" a="1"/>
  <c r="BF23" i="5" s="1"/>
  <c r="BF22" i="5" a="1"/>
  <c r="BF22" i="5" s="1"/>
  <c r="BG3" i="5"/>
  <c r="BF142" i="5"/>
  <c r="BF131" i="5"/>
  <c r="BF112" i="5"/>
  <c r="BF31" i="5" a="1"/>
  <c r="BF31" i="5" s="1"/>
  <c r="BF21" i="5" a="1"/>
  <c r="BF21" i="5" s="1"/>
  <c r="BS3" i="4"/>
  <c r="BF121" i="5"/>
  <c r="BF113" i="5"/>
  <c r="BF148" i="5"/>
  <c r="BF135" i="5"/>
  <c r="BF88" i="5"/>
  <c r="BD58" i="5"/>
  <c r="BD152" i="5" s="1"/>
  <c r="AE60" i="2" s="1"/>
  <c r="AB57" i="2" s="1"/>
  <c r="BE133" i="5"/>
  <c r="BE24" i="3" s="1"/>
  <c r="BD23" i="3"/>
  <c r="BD28" i="3" s="1"/>
  <c r="B60" i="2"/>
  <c r="C59" i="2"/>
  <c r="AH59" i="2" s="1"/>
  <c r="T59" i="2" s="1"/>
  <c r="Y59" i="2" l="1"/>
  <c r="V59" i="2"/>
  <c r="X59" i="2" s="1"/>
  <c r="AC58" i="2"/>
  <c r="AB58" i="2"/>
  <c r="X58" i="2"/>
  <c r="BF149" i="5"/>
  <c r="BF25" i="3" s="1"/>
  <c r="BF46" i="5"/>
  <c r="BF21" i="3" s="1"/>
  <c r="BG121" i="5"/>
  <c r="BG129" i="5"/>
  <c r="BG35" i="5" a="1"/>
  <c r="BG35" i="5" s="1"/>
  <c r="BG3" i="3"/>
  <c r="BG91" i="5"/>
  <c r="BG126" i="5"/>
  <c r="BG90" i="5"/>
  <c r="BG34" i="5" a="1"/>
  <c r="BG34" i="5" s="1"/>
  <c r="BG108" i="5"/>
  <c r="BG66" i="5"/>
  <c r="BG119" i="5"/>
  <c r="BG63" i="5"/>
  <c r="BG127" i="5"/>
  <c r="BG87" i="5"/>
  <c r="BG36" i="5" a="1"/>
  <c r="BG36" i="5" s="1"/>
  <c r="BG145" i="5"/>
  <c r="BG83" i="5"/>
  <c r="BG24" i="5" a="1"/>
  <c r="BG24" i="5" s="1"/>
  <c r="BG99" i="5"/>
  <c r="BG132" i="5"/>
  <c r="BG30" i="5" a="1"/>
  <c r="BG30" i="5" s="1"/>
  <c r="BG56" i="5" a="1"/>
  <c r="BG56" i="5" s="1"/>
  <c r="BG111" i="5"/>
  <c r="BG144" i="5"/>
  <c r="BG75" i="5"/>
  <c r="BG45" i="5" a="1"/>
  <c r="BG45" i="5" s="1"/>
  <c r="BG114" i="5"/>
  <c r="BG137" i="5"/>
  <c r="BG67" i="5"/>
  <c r="BG123" i="5"/>
  <c r="BG148" i="5"/>
  <c r="BG85" i="5"/>
  <c r="BG115" i="5"/>
  <c r="BG55" i="5" a="1"/>
  <c r="BG55" i="5" s="1"/>
  <c r="BG131" i="5"/>
  <c r="BG96" i="5"/>
  <c r="BG26" i="5" a="1"/>
  <c r="BG26" i="5" s="1"/>
  <c r="BG105" i="5"/>
  <c r="BG64" i="5"/>
  <c r="BG146" i="5"/>
  <c r="BG77" i="5"/>
  <c r="BT3" i="4"/>
  <c r="BG84" i="5"/>
  <c r="BG31" i="5" a="1"/>
  <c r="BG31" i="5" s="1"/>
  <c r="BG97" i="5"/>
  <c r="BG54" i="5" a="1"/>
  <c r="BG54" i="5" s="1"/>
  <c r="BG139" i="5"/>
  <c r="BG69" i="5"/>
  <c r="BG73" i="5"/>
  <c r="BG49" i="5" a="1"/>
  <c r="BG49" i="5" s="1"/>
  <c r="BG93" i="5"/>
  <c r="BG130" i="5"/>
  <c r="BG106" i="5"/>
  <c r="BG62" i="5"/>
  <c r="BG74" i="5"/>
  <c r="BG40" i="5" a="1"/>
  <c r="BG40" i="5" s="1"/>
  <c r="BG136" i="5"/>
  <c r="BG80" i="5"/>
  <c r="BG107" i="5"/>
  <c r="BG128" i="5"/>
  <c r="BG88" i="5"/>
  <c r="BG61" i="5"/>
  <c r="BG102" i="5"/>
  <c r="BG135" i="5"/>
  <c r="BG65" i="5"/>
  <c r="BG53" i="5" a="1"/>
  <c r="BG53" i="5" s="1"/>
  <c r="BG86" i="5"/>
  <c r="BG141" i="5"/>
  <c r="BG79" i="5"/>
  <c r="BG23" i="5" a="1"/>
  <c r="BG23" i="5" s="1"/>
  <c r="BG116" i="5"/>
  <c r="BG100" i="5"/>
  <c r="BG72" i="5"/>
  <c r="BG118" i="5"/>
  <c r="BG76" i="5"/>
  <c r="BG143" i="5"/>
  <c r="BG81" i="5"/>
  <c r="BG22" i="5" a="1"/>
  <c r="BG22" i="5" s="1"/>
  <c r="BG89" i="5"/>
  <c r="BG38" i="5" a="1"/>
  <c r="BG38" i="5" s="1"/>
  <c r="BG117" i="5"/>
  <c r="BG110" i="5"/>
  <c r="BG142" i="5"/>
  <c r="BG125" i="5"/>
  <c r="BG37" i="5" a="1"/>
  <c r="BG37" i="5" s="1"/>
  <c r="BG101" i="5"/>
  <c r="BG122" i="5"/>
  <c r="BG21" i="5" a="1"/>
  <c r="BG21" i="5" s="1"/>
  <c r="BG120" i="5"/>
  <c r="BG50" i="5" a="1"/>
  <c r="BG50" i="5" s="1"/>
  <c r="BG113" i="5"/>
  <c r="BG70" i="5"/>
  <c r="BG48" i="5" a="1"/>
  <c r="BG48" i="5" s="1"/>
  <c r="BG138" i="5"/>
  <c r="BG82" i="5"/>
  <c r="BG98" i="5"/>
  <c r="BG147" i="5"/>
  <c r="BG95" i="5"/>
  <c r="BG92" i="5"/>
  <c r="BG68" i="5"/>
  <c r="BG109" i="5"/>
  <c r="BG60" i="5"/>
  <c r="BG94" i="5"/>
  <c r="BG52" i="5" a="1"/>
  <c r="BG52" i="5" s="1"/>
  <c r="BG51" i="5" a="1"/>
  <c r="BG51" i="5" s="1"/>
  <c r="BG124" i="5"/>
  <c r="BG78" i="5"/>
  <c r="BG25" i="5" a="1"/>
  <c r="BG25" i="5" s="1"/>
  <c r="BG112" i="5"/>
  <c r="BG20" i="5" a="1"/>
  <c r="BG20" i="5" s="1"/>
  <c r="BG103" i="5"/>
  <c r="BG140" i="5"/>
  <c r="BG71" i="5"/>
  <c r="BH3" i="5"/>
  <c r="BG104" i="5"/>
  <c r="BF28" i="5"/>
  <c r="BF19" i="3" s="1"/>
  <c r="BF133" i="5"/>
  <c r="BF24" i="3" s="1"/>
  <c r="BF57" i="5"/>
  <c r="BF22" i="3" s="1"/>
  <c r="BS20" i="4"/>
  <c r="BS16" i="4"/>
  <c r="BS22" i="4"/>
  <c r="BS12" i="4"/>
  <c r="BS18" i="4"/>
  <c r="BS8" i="4"/>
  <c r="BS14" i="4"/>
  <c r="BS4" i="4"/>
  <c r="BS25" i="4"/>
  <c r="BS10" i="4"/>
  <c r="BS23" i="4"/>
  <c r="BS11" i="4"/>
  <c r="BS7" i="4"/>
  <c r="BS24" i="4"/>
  <c r="BS6" i="4"/>
  <c r="BS19" i="4"/>
  <c r="BS21" i="4"/>
  <c r="BS15" i="4"/>
  <c r="BS17" i="4"/>
  <c r="BS13" i="4"/>
  <c r="BS9" i="4"/>
  <c r="BS5" i="4"/>
  <c r="BF32" i="5"/>
  <c r="BF20" i="3" s="1"/>
  <c r="BR34" i="4"/>
  <c r="BE58" i="5"/>
  <c r="BE152" i="5" s="1"/>
  <c r="AE61" i="2" s="1"/>
  <c r="BE23" i="3"/>
  <c r="BE28" i="3" s="1"/>
  <c r="B61" i="2"/>
  <c r="C60" i="2"/>
  <c r="AH60" i="2" s="1"/>
  <c r="T60" i="2" s="1"/>
  <c r="Y60" i="2" l="1"/>
  <c r="V60" i="2"/>
  <c r="BF58" i="5"/>
  <c r="BF152" i="5" s="1"/>
  <c r="AE62" i="2" s="1"/>
  <c r="AB59" i="2" s="1"/>
  <c r="BG57" i="5"/>
  <c r="BG22" i="3" s="1"/>
  <c r="BG32" i="5"/>
  <c r="BG20" i="3" s="1"/>
  <c r="BF23" i="3"/>
  <c r="BF28" i="3" s="1"/>
  <c r="BG46" i="5"/>
  <c r="BG21" i="3" s="1"/>
  <c r="BS34" i="4"/>
  <c r="BH119" i="5"/>
  <c r="BH81" i="5"/>
  <c r="BH132" i="5"/>
  <c r="BH86" i="5"/>
  <c r="BH31" i="5" a="1"/>
  <c r="BH31" i="5" s="1"/>
  <c r="BH105" i="5"/>
  <c r="BH69" i="5"/>
  <c r="BH145" i="5"/>
  <c r="BH70" i="5"/>
  <c r="BH101" i="5"/>
  <c r="BH65" i="5"/>
  <c r="BH49" i="5" a="1"/>
  <c r="BH49" i="5" s="1"/>
  <c r="BH110" i="5"/>
  <c r="BH93" i="5"/>
  <c r="BH66" i="5"/>
  <c r="BH111" i="5"/>
  <c r="BH73" i="5"/>
  <c r="BH146" i="5"/>
  <c r="BH82" i="5"/>
  <c r="BH30" i="5" a="1"/>
  <c r="BH30" i="5" s="1"/>
  <c r="BH97" i="5"/>
  <c r="BH61" i="5"/>
  <c r="BH118" i="5"/>
  <c r="BH62" i="5"/>
  <c r="BH52" i="5" a="1"/>
  <c r="BH52" i="5" s="1"/>
  <c r="BH53" i="5" a="1"/>
  <c r="BH53" i="5" s="1"/>
  <c r="BH136" i="5"/>
  <c r="BH121" i="5"/>
  <c r="BH148" i="5"/>
  <c r="BH74" i="5"/>
  <c r="BH3" i="3"/>
  <c r="BH107" i="5"/>
  <c r="BH100" i="5"/>
  <c r="BH104" i="5"/>
  <c r="BH45" i="5" a="1"/>
  <c r="BH45" i="5" s="1"/>
  <c r="BH114" i="5"/>
  <c r="BH56" i="5" a="1"/>
  <c r="BH56" i="5" s="1"/>
  <c r="BH122" i="5"/>
  <c r="BH92" i="5"/>
  <c r="BH26" i="5" a="1"/>
  <c r="BH26" i="5" s="1"/>
  <c r="BH113" i="5"/>
  <c r="BH75" i="5"/>
  <c r="BH141" i="5"/>
  <c r="BH50" i="5" a="1"/>
  <c r="BH50" i="5" s="1"/>
  <c r="BH129" i="5"/>
  <c r="BH125" i="5"/>
  <c r="BH96" i="5"/>
  <c r="BH38" i="5" a="1"/>
  <c r="BH38" i="5" s="1"/>
  <c r="BH139" i="5"/>
  <c r="BH87" i="5"/>
  <c r="BH128" i="5"/>
  <c r="BH108" i="5"/>
  <c r="BH25" i="5" a="1"/>
  <c r="BH25" i="5" s="1"/>
  <c r="BH103" i="5"/>
  <c r="BH67" i="5"/>
  <c r="BH88" i="5"/>
  <c r="BH79" i="5"/>
  <c r="BH144" i="5"/>
  <c r="BH80" i="5"/>
  <c r="BH55" i="5" a="1"/>
  <c r="BH55" i="5" s="1"/>
  <c r="BH138" i="5"/>
  <c r="BH68" i="5"/>
  <c r="BH51" i="5" a="1"/>
  <c r="BH51" i="5" s="1"/>
  <c r="BH112" i="5"/>
  <c r="BH36" i="5" a="1"/>
  <c r="BH36" i="5" s="1"/>
  <c r="BH115" i="5"/>
  <c r="BH130" i="5"/>
  <c r="BH34" i="5" a="1"/>
  <c r="BH34" i="5" s="1"/>
  <c r="BH117" i="5"/>
  <c r="BH24" i="5" a="1"/>
  <c r="BH24" i="5" s="1"/>
  <c r="BH95" i="5"/>
  <c r="BH147" i="5"/>
  <c r="BH91" i="5"/>
  <c r="BH102" i="5"/>
  <c r="BH142" i="5"/>
  <c r="BH78" i="5"/>
  <c r="BH126" i="5"/>
  <c r="BH84" i="5"/>
  <c r="BH20" i="5" a="1"/>
  <c r="BH20" i="5" s="1"/>
  <c r="BH109" i="5"/>
  <c r="BH71" i="5"/>
  <c r="BH143" i="5"/>
  <c r="BH72" i="5"/>
  <c r="BU3" i="4"/>
  <c r="BH106" i="5"/>
  <c r="BH48" i="5" a="1"/>
  <c r="BH48" i="5" s="1"/>
  <c r="BH140" i="5"/>
  <c r="BH76" i="5"/>
  <c r="BH63" i="5"/>
  <c r="BH120" i="5"/>
  <c r="BH98" i="5"/>
  <c r="BH40" i="5" a="1"/>
  <c r="BH40" i="5" s="1"/>
  <c r="BH54" i="5" a="1"/>
  <c r="BH54" i="5" s="1"/>
  <c r="BH124" i="5"/>
  <c r="BH60" i="5"/>
  <c r="BH127" i="5"/>
  <c r="BH131" i="5"/>
  <c r="BH77" i="5"/>
  <c r="BH21" i="5" a="1"/>
  <c r="BH21" i="5" s="1"/>
  <c r="BH99" i="5"/>
  <c r="BH64" i="5"/>
  <c r="BH123" i="5"/>
  <c r="BH90" i="5"/>
  <c r="BH116" i="5"/>
  <c r="BH37" i="5" a="1"/>
  <c r="BH37" i="5" s="1"/>
  <c r="BH137" i="5"/>
  <c r="BH85" i="5"/>
  <c r="BH89" i="5"/>
  <c r="BH94" i="5"/>
  <c r="BH23" i="5" a="1"/>
  <c r="BH23" i="5" s="1"/>
  <c r="BH35" i="5" a="1"/>
  <c r="BH35" i="5" s="1"/>
  <c r="BH135" i="5"/>
  <c r="BH83" i="5"/>
  <c r="BI3" i="5"/>
  <c r="BH22" i="5" a="1"/>
  <c r="BH22" i="5" s="1"/>
  <c r="BG133" i="5"/>
  <c r="BG24" i="3" s="1"/>
  <c r="BT19" i="4"/>
  <c r="BT9" i="4"/>
  <c r="BT15" i="4"/>
  <c r="BT5" i="4"/>
  <c r="BT25" i="4"/>
  <c r="BT11" i="4"/>
  <c r="BT7" i="4"/>
  <c r="BT24" i="4"/>
  <c r="BT22" i="4"/>
  <c r="BT18" i="4"/>
  <c r="BT8" i="4"/>
  <c r="BT20" i="4"/>
  <c r="BT14" i="4"/>
  <c r="BT21" i="4"/>
  <c r="BT17" i="4"/>
  <c r="BT23" i="4"/>
  <c r="BT16" i="4"/>
  <c r="BT10" i="4"/>
  <c r="BT12" i="4"/>
  <c r="BT13" i="4"/>
  <c r="BT6" i="4"/>
  <c r="BT4" i="4"/>
  <c r="BG149" i="5"/>
  <c r="BG25" i="3" s="1"/>
  <c r="BG28" i="5"/>
  <c r="BG19" i="3" s="1"/>
  <c r="BG23" i="3" s="1"/>
  <c r="B62" i="2"/>
  <c r="C61" i="2"/>
  <c r="AH61" i="2" s="1"/>
  <c r="T61" i="2" s="1"/>
  <c r="BG58" i="5" l="1"/>
  <c r="BG152" i="5" s="1"/>
  <c r="AE63" i="2" s="1"/>
  <c r="AB60" i="2" s="1"/>
  <c r="Y61" i="2"/>
  <c r="AC59" i="2" s="1"/>
  <c r="V61" i="2"/>
  <c r="AC60" i="2"/>
  <c r="X60" i="2"/>
  <c r="BI126" i="5"/>
  <c r="BI93" i="5"/>
  <c r="BI30" i="5" a="1"/>
  <c r="BI30" i="5" s="1"/>
  <c r="BI111" i="5"/>
  <c r="BI103" i="5"/>
  <c r="BI148" i="5"/>
  <c r="BI76" i="5"/>
  <c r="BI3" i="3"/>
  <c r="BI94" i="5"/>
  <c r="BI50" i="5" a="1"/>
  <c r="BI50" i="5" s="1"/>
  <c r="BI112" i="5"/>
  <c r="BI53" i="5" a="1"/>
  <c r="BI53" i="5" s="1"/>
  <c r="BI122" i="5"/>
  <c r="BI95" i="5"/>
  <c r="BI25" i="5" a="1"/>
  <c r="BI25" i="5" s="1"/>
  <c r="BI138" i="5"/>
  <c r="BI68" i="5"/>
  <c r="BI121" i="5"/>
  <c r="BI86" i="5"/>
  <c r="BI132" i="5"/>
  <c r="BI87" i="5"/>
  <c r="BI75" i="5"/>
  <c r="BI48" i="5" a="1"/>
  <c r="BI48" i="5" s="1"/>
  <c r="BI139" i="5"/>
  <c r="BI83" i="5"/>
  <c r="BI23" i="5" a="1"/>
  <c r="BI23" i="5" s="1"/>
  <c r="BI108" i="5"/>
  <c r="BI49" i="5" a="1"/>
  <c r="BI49" i="5" s="1"/>
  <c r="BI128" i="5"/>
  <c r="BI91" i="5"/>
  <c r="BI24" i="5" a="1"/>
  <c r="BI24" i="5" s="1"/>
  <c r="BI109" i="5"/>
  <c r="BI67" i="5"/>
  <c r="BI141" i="5"/>
  <c r="BI70" i="5"/>
  <c r="BI135" i="5"/>
  <c r="BI79" i="5"/>
  <c r="BI144" i="5"/>
  <c r="BI82" i="5"/>
  <c r="BI56" i="5" a="1"/>
  <c r="BI56" i="5" s="1"/>
  <c r="BI118" i="5"/>
  <c r="BI74" i="5"/>
  <c r="BI51" i="5" a="1"/>
  <c r="BI51" i="5" s="1"/>
  <c r="BI64" i="5"/>
  <c r="BI60" i="5"/>
  <c r="BJ3" i="5"/>
  <c r="BI22" i="5" a="1"/>
  <c r="BI22" i="5" s="1"/>
  <c r="BI100" i="5"/>
  <c r="BI62" i="5"/>
  <c r="BI145" i="5"/>
  <c r="BV3" i="4"/>
  <c r="BI92" i="5"/>
  <c r="BI129" i="5"/>
  <c r="BI113" i="5"/>
  <c r="BI71" i="5"/>
  <c r="BI40" i="5" a="1"/>
  <c r="BI40" i="5" s="1"/>
  <c r="BI110" i="5"/>
  <c r="BI104" i="5"/>
  <c r="BI63" i="5"/>
  <c r="BI136" i="5"/>
  <c r="BI66" i="5"/>
  <c r="BI123" i="5"/>
  <c r="BI105" i="5"/>
  <c r="BI45" i="5" a="1"/>
  <c r="BI45" i="5" s="1"/>
  <c r="BI137" i="5"/>
  <c r="BI81" i="5"/>
  <c r="BI89" i="5"/>
  <c r="BI101" i="5"/>
  <c r="BI77" i="5"/>
  <c r="BI54" i="5" a="1"/>
  <c r="BI54" i="5" s="1"/>
  <c r="BI69" i="5"/>
  <c r="BI38" i="5" a="1"/>
  <c r="BI38" i="5" s="1"/>
  <c r="BI120" i="5"/>
  <c r="BI37" i="5" a="1"/>
  <c r="BI37" i="5" s="1"/>
  <c r="BI140" i="5"/>
  <c r="BI78" i="5"/>
  <c r="BI96" i="5"/>
  <c r="BI52" i="5" a="1"/>
  <c r="BI52" i="5" s="1"/>
  <c r="BI114" i="5"/>
  <c r="BI55" i="5" a="1"/>
  <c r="BI55" i="5" s="1"/>
  <c r="BI131" i="5"/>
  <c r="BI97" i="5"/>
  <c r="BI31" i="5" a="1"/>
  <c r="BI31" i="5" s="1"/>
  <c r="BI115" i="5"/>
  <c r="BI73" i="5"/>
  <c r="BI130" i="5"/>
  <c r="BI88" i="5"/>
  <c r="BI36" i="5" a="1"/>
  <c r="BI36" i="5" s="1"/>
  <c r="BI106" i="5"/>
  <c r="BI85" i="5"/>
  <c r="BI21" i="5" a="1"/>
  <c r="BI21" i="5" s="1"/>
  <c r="BI107" i="5"/>
  <c r="BI65" i="5"/>
  <c r="BI35" i="5" a="1"/>
  <c r="BI35" i="5" s="1"/>
  <c r="BI119" i="5"/>
  <c r="BI20" i="5" a="1"/>
  <c r="BI20" i="5" s="1"/>
  <c r="BI98" i="5"/>
  <c r="BI147" i="5"/>
  <c r="BI90" i="5"/>
  <c r="BI61" i="5"/>
  <c r="BI125" i="5"/>
  <c r="BI34" i="5" a="1"/>
  <c r="BI34" i="5" s="1"/>
  <c r="BI117" i="5"/>
  <c r="BI124" i="5"/>
  <c r="BI127" i="5"/>
  <c r="BI142" i="5"/>
  <c r="BI80" i="5"/>
  <c r="BI143" i="5"/>
  <c r="BI72" i="5"/>
  <c r="BI26" i="5" a="1"/>
  <c r="BI26" i="5" s="1"/>
  <c r="BI102" i="5"/>
  <c r="BI116" i="5"/>
  <c r="BI146" i="5"/>
  <c r="BI84" i="5"/>
  <c r="BI99" i="5"/>
  <c r="BH149" i="5"/>
  <c r="BH25" i="3" s="1"/>
  <c r="BH57" i="5"/>
  <c r="BH22" i="3" s="1"/>
  <c r="BT34" i="4"/>
  <c r="BU10" i="4"/>
  <c r="BU25" i="4"/>
  <c r="BU14" i="4"/>
  <c r="BU7" i="4"/>
  <c r="BU24" i="4"/>
  <c r="BU6" i="4"/>
  <c r="BU21" i="4"/>
  <c r="BU17" i="4"/>
  <c r="BU23" i="4"/>
  <c r="BU11" i="4"/>
  <c r="BU12" i="4"/>
  <c r="BU4" i="4"/>
  <c r="BU19" i="4"/>
  <c r="BU5" i="4"/>
  <c r="BU20" i="4"/>
  <c r="BU13" i="4"/>
  <c r="BU22" i="4"/>
  <c r="BU18" i="4"/>
  <c r="BU15" i="4"/>
  <c r="BU9" i="4"/>
  <c r="BU16" i="4"/>
  <c r="BU8" i="4"/>
  <c r="BH133" i="5"/>
  <c r="BH24" i="3" s="1"/>
  <c r="BG28" i="3"/>
  <c r="BH46" i="5"/>
  <c r="BH21" i="3" s="1"/>
  <c r="BH32" i="5"/>
  <c r="BH20" i="3" s="1"/>
  <c r="BH28" i="5"/>
  <c r="BH19" i="3" s="1"/>
  <c r="B63" i="2"/>
  <c r="C62" i="2"/>
  <c r="AH62" i="2" s="1"/>
  <c r="T62" i="2" s="1"/>
  <c r="Y62" i="2" l="1"/>
  <c r="V62" i="2"/>
  <c r="AC61" i="2"/>
  <c r="AB61" i="2"/>
  <c r="X61" i="2"/>
  <c r="BI57" i="5"/>
  <c r="BI22" i="3" s="1"/>
  <c r="BU34" i="4"/>
  <c r="BJ121" i="5"/>
  <c r="BK121" i="5" s="1"/>
  <c r="BJ99" i="5"/>
  <c r="BK99" i="5" s="1"/>
  <c r="BJ35" i="5" a="1"/>
  <c r="BJ35" i="5" s="1"/>
  <c r="BK35" i="5" s="1"/>
  <c r="BJ118" i="5"/>
  <c r="BK118" i="5" s="1"/>
  <c r="BJ80" i="5"/>
  <c r="BK80" i="5" s="1"/>
  <c r="BJ148" i="5"/>
  <c r="BK148" i="5" s="1"/>
  <c r="BJ81" i="5"/>
  <c r="BK81" i="5" s="1"/>
  <c r="BW3" i="4"/>
  <c r="BJ106" i="5"/>
  <c r="BK106" i="5" s="1"/>
  <c r="BJ49" i="5" a="1"/>
  <c r="BJ49" i="5" s="1"/>
  <c r="BK49" i="5" s="1"/>
  <c r="BJ129" i="5"/>
  <c r="BK129" i="5" s="1"/>
  <c r="BJ91" i="5"/>
  <c r="BK91" i="5" s="1"/>
  <c r="BJ30" i="5" a="1"/>
  <c r="BJ30" i="5" s="1"/>
  <c r="BJ110" i="5"/>
  <c r="BK110" i="5" s="1"/>
  <c r="BJ72" i="5"/>
  <c r="BK72" i="5" s="1"/>
  <c r="BJ144" i="5"/>
  <c r="BK144" i="5" s="1"/>
  <c r="BJ73" i="5"/>
  <c r="BK73" i="5" s="1"/>
  <c r="BJ128" i="5"/>
  <c r="BK128" i="5" s="1"/>
  <c r="BJ37" i="5" a="1"/>
  <c r="BJ37" i="5" s="1"/>
  <c r="BK37" i="5" s="1"/>
  <c r="BJ85" i="5"/>
  <c r="BK85" i="5" s="1"/>
  <c r="BJ36" i="5" a="1"/>
  <c r="BJ36" i="5" s="1"/>
  <c r="BK36" i="5" s="1"/>
  <c r="BJ53" i="5" a="1"/>
  <c r="BJ53" i="5" s="1"/>
  <c r="BK53" i="5" s="1"/>
  <c r="BJ113" i="5"/>
  <c r="BK113" i="5" s="1"/>
  <c r="BJ31" i="5" a="1"/>
  <c r="BJ31" i="5" s="1"/>
  <c r="BK31" i="5" s="1"/>
  <c r="BJ101" i="5"/>
  <c r="BK101" i="5" s="1"/>
  <c r="BJ130" i="5"/>
  <c r="BK130" i="5" s="1"/>
  <c r="BJ54" i="5" a="1"/>
  <c r="BJ54" i="5" s="1"/>
  <c r="BK54" i="5" s="1"/>
  <c r="BJ124" i="5"/>
  <c r="BK124" i="5" s="1"/>
  <c r="BJ147" i="5"/>
  <c r="BK147" i="5" s="1"/>
  <c r="BJ45" i="5" a="1"/>
  <c r="BJ45" i="5" s="1"/>
  <c r="BK45" i="5" s="1"/>
  <c r="BJ138" i="5"/>
  <c r="BK138" i="5" s="1"/>
  <c r="BJ88" i="5"/>
  <c r="BK88" i="5" s="1"/>
  <c r="BJ117" i="5"/>
  <c r="BK117" i="5" s="1"/>
  <c r="BJ61" i="5"/>
  <c r="BK61" i="5" s="1"/>
  <c r="BJ123" i="5"/>
  <c r="BK123" i="5" s="1"/>
  <c r="BJ97" i="5"/>
  <c r="BK97" i="5" s="1"/>
  <c r="BJ40" i="5" a="1"/>
  <c r="BJ40" i="5" s="1"/>
  <c r="BK40" i="5" s="1"/>
  <c r="BJ116" i="5"/>
  <c r="BK116" i="5" s="1"/>
  <c r="BJ78" i="5"/>
  <c r="BK78" i="5" s="1"/>
  <c r="BJ146" i="5"/>
  <c r="BK146" i="5" s="1"/>
  <c r="BJ71" i="5"/>
  <c r="BK71" i="5" s="1"/>
  <c r="BJ3" i="3"/>
  <c r="BJ140" i="5"/>
  <c r="BK140" i="5" s="1"/>
  <c r="BJ50" i="5" a="1"/>
  <c r="BJ50" i="5" s="1"/>
  <c r="BK50" i="5" s="1"/>
  <c r="BJ131" i="5"/>
  <c r="BK131" i="5" s="1"/>
  <c r="BJ89" i="5"/>
  <c r="BK89" i="5" s="1"/>
  <c r="BJ24" i="5" a="1"/>
  <c r="BJ24" i="5" s="1"/>
  <c r="BK24" i="5" s="1"/>
  <c r="BJ104" i="5"/>
  <c r="BK104" i="5" s="1"/>
  <c r="BJ70" i="5"/>
  <c r="BK70" i="5" s="1"/>
  <c r="BJ119" i="5"/>
  <c r="BK119" i="5" s="1"/>
  <c r="BJ56" i="5" a="1"/>
  <c r="BJ56" i="5" s="1"/>
  <c r="BK56" i="5" s="1"/>
  <c r="BJ125" i="5"/>
  <c r="BK125" i="5" s="1"/>
  <c r="BJ68" i="5"/>
  <c r="BK68" i="5" s="1"/>
  <c r="BJ48" i="5" a="1"/>
  <c r="BJ48" i="5" s="1"/>
  <c r="BK48" i="5" s="1"/>
  <c r="BJ142" i="5"/>
  <c r="BK142" i="5" s="1"/>
  <c r="BJ86" i="5"/>
  <c r="BK86" i="5" s="1"/>
  <c r="BJ65" i="5"/>
  <c r="BK65" i="5" s="1"/>
  <c r="BJ20" i="5" a="1"/>
  <c r="BJ20" i="5" s="1"/>
  <c r="BK20" i="5" s="1"/>
  <c r="BJ145" i="5"/>
  <c r="BK145" i="5" s="1"/>
  <c r="BJ79" i="5"/>
  <c r="BK79" i="5" s="1"/>
  <c r="BJ63" i="5"/>
  <c r="BK63" i="5" s="1"/>
  <c r="BJ92" i="5"/>
  <c r="BK92" i="5" s="1"/>
  <c r="BJ60" i="5"/>
  <c r="BJ64" i="5"/>
  <c r="BK64" i="5" s="1"/>
  <c r="BJ143" i="5"/>
  <c r="BK143" i="5" s="1"/>
  <c r="BJ77" i="5"/>
  <c r="BK77" i="5" s="1"/>
  <c r="BJ120" i="5"/>
  <c r="BK120" i="5" s="1"/>
  <c r="BJ82" i="5"/>
  <c r="BK82" i="5" s="1"/>
  <c r="BJ132" i="5"/>
  <c r="BK132" i="5" s="1"/>
  <c r="BJ83" i="5"/>
  <c r="BK83" i="5" s="1"/>
  <c r="BJ22" i="5" a="1"/>
  <c r="BJ22" i="5" s="1"/>
  <c r="BK22" i="5" s="1"/>
  <c r="BJ96" i="5"/>
  <c r="BK96" i="5" s="1"/>
  <c r="BJ62" i="5"/>
  <c r="BK62" i="5" s="1"/>
  <c r="BJ111" i="5"/>
  <c r="BK111" i="5" s="1"/>
  <c r="BJ52" i="5" a="1"/>
  <c r="BJ52" i="5" s="1"/>
  <c r="BK52" i="5" s="1"/>
  <c r="BJ112" i="5"/>
  <c r="BK112" i="5" s="1"/>
  <c r="BJ74" i="5"/>
  <c r="BK74" i="5" s="1"/>
  <c r="BJ141" i="5"/>
  <c r="BK141" i="5" s="1"/>
  <c r="BJ75" i="5"/>
  <c r="BK75" i="5" s="1"/>
  <c r="BJ51" i="5" a="1"/>
  <c r="BJ51" i="5" s="1"/>
  <c r="BK51" i="5" s="1"/>
  <c r="BJ136" i="5"/>
  <c r="BK136" i="5" s="1"/>
  <c r="BJ84" i="5"/>
  <c r="BK84" i="5" s="1"/>
  <c r="BJ100" i="5"/>
  <c r="BK100" i="5" s="1"/>
  <c r="BJ67" i="5"/>
  <c r="BK67" i="5" s="1"/>
  <c r="BJ103" i="5"/>
  <c r="BK103" i="5" s="1"/>
  <c r="BJ76" i="5"/>
  <c r="BK76" i="5" s="1"/>
  <c r="BJ55" i="5" a="1"/>
  <c r="BJ55" i="5" s="1"/>
  <c r="BK55" i="5" s="1"/>
  <c r="BJ115" i="5"/>
  <c r="BK115" i="5" s="1"/>
  <c r="BJ23" i="5" a="1"/>
  <c r="BJ23" i="5" s="1"/>
  <c r="BK23" i="5" s="1"/>
  <c r="BJ102" i="5"/>
  <c r="BK102" i="5" s="1"/>
  <c r="BJ122" i="5"/>
  <c r="BK122" i="5" s="1"/>
  <c r="BJ127" i="5"/>
  <c r="BK127" i="5" s="1"/>
  <c r="BJ109" i="5"/>
  <c r="BK109" i="5" s="1"/>
  <c r="BJ139" i="5"/>
  <c r="BK139" i="5" s="1"/>
  <c r="BJ69" i="5"/>
  <c r="BK69" i="5" s="1"/>
  <c r="BJ21" i="5" a="1"/>
  <c r="BJ21" i="5" s="1"/>
  <c r="BK21" i="5" s="1"/>
  <c r="BJ107" i="5"/>
  <c r="BK107" i="5" s="1"/>
  <c r="BJ66" i="5"/>
  <c r="BK66" i="5" s="1"/>
  <c r="BJ137" i="5"/>
  <c r="BK137" i="5" s="1"/>
  <c r="BJ126" i="5"/>
  <c r="BK126" i="5" s="1"/>
  <c r="BJ38" i="5" a="1"/>
  <c r="BJ38" i="5" s="1"/>
  <c r="BK38" i="5" s="1"/>
  <c r="BJ114" i="5"/>
  <c r="BK114" i="5" s="1"/>
  <c r="BJ95" i="5"/>
  <c r="BK95" i="5" s="1"/>
  <c r="BJ108" i="5"/>
  <c r="BK108" i="5" s="1"/>
  <c r="BJ87" i="5"/>
  <c r="BK87" i="5" s="1"/>
  <c r="BJ34" i="5" a="1"/>
  <c r="BJ34" i="5" s="1"/>
  <c r="BJ94" i="5"/>
  <c r="BK94" i="5" s="1"/>
  <c r="BJ26" i="5" a="1"/>
  <c r="BJ26" i="5" s="1"/>
  <c r="BK26" i="5" s="1"/>
  <c r="BJ98" i="5"/>
  <c r="BK98" i="5" s="1"/>
  <c r="BJ135" i="5"/>
  <c r="BK135" i="5" s="1"/>
  <c r="BJ93" i="5"/>
  <c r="BK93" i="5" s="1"/>
  <c r="BJ25" i="5" a="1"/>
  <c r="BJ25" i="5" s="1"/>
  <c r="BK25" i="5" s="1"/>
  <c r="BJ90" i="5"/>
  <c r="BK90" i="5" s="1"/>
  <c r="BJ105" i="5"/>
  <c r="BK105" i="5" s="1"/>
  <c r="BI133" i="5"/>
  <c r="BI24" i="3" s="1"/>
  <c r="BI46" i="5"/>
  <c r="BI21" i="3" s="1"/>
  <c r="BV14" i="4"/>
  <c r="BV4" i="4"/>
  <c r="BV10" i="4"/>
  <c r="BV6" i="4"/>
  <c r="BV15" i="4"/>
  <c r="BV17" i="4"/>
  <c r="BV11" i="4"/>
  <c r="BV13" i="4"/>
  <c r="BV7" i="4"/>
  <c r="BV9" i="4"/>
  <c r="BV8" i="4"/>
  <c r="BV21" i="4"/>
  <c r="BV12" i="4"/>
  <c r="BV24" i="4"/>
  <c r="BV5" i="4"/>
  <c r="BV23" i="4"/>
  <c r="BV19" i="4"/>
  <c r="BV20" i="4"/>
  <c r="BV16" i="4"/>
  <c r="BV22" i="4"/>
  <c r="BV25" i="4"/>
  <c r="BV18" i="4"/>
  <c r="F18" i="4"/>
  <c r="D5" i="4"/>
  <c r="H33" i="4"/>
  <c r="G25" i="4"/>
  <c r="G22" i="4"/>
  <c r="F17" i="4"/>
  <c r="G8" i="4"/>
  <c r="F15" i="4"/>
  <c r="G14" i="4"/>
  <c r="F20" i="4"/>
  <c r="G5" i="4"/>
  <c r="E28" i="4"/>
  <c r="E22" i="4"/>
  <c r="H32" i="4"/>
  <c r="G15" i="4"/>
  <c r="F6" i="4"/>
  <c r="F22" i="4"/>
  <c r="G6" i="4"/>
  <c r="G18" i="4"/>
  <c r="G16" i="4"/>
  <c r="G10" i="4"/>
  <c r="G29" i="4"/>
  <c r="F31" i="4"/>
  <c r="E11" i="4"/>
  <c r="G32" i="4"/>
  <c r="F11" i="4"/>
  <c r="G27" i="4"/>
  <c r="D22" i="4"/>
  <c r="D21" i="4"/>
  <c r="E31" i="4"/>
  <c r="D4" i="4"/>
  <c r="D9" i="4"/>
  <c r="F5" i="4"/>
  <c r="E29" i="4"/>
  <c r="D33" i="4"/>
  <c r="E8" i="4"/>
  <c r="E30" i="4"/>
  <c r="E27" i="4"/>
  <c r="D19" i="4"/>
  <c r="E33" i="4"/>
  <c r="G7" i="4"/>
  <c r="D29" i="4"/>
  <c r="H27" i="4"/>
  <c r="G13" i="4"/>
  <c r="F7" i="4"/>
  <c r="D6" i="4"/>
  <c r="G24" i="4"/>
  <c r="F30" i="4"/>
  <c r="D25" i="4"/>
  <c r="H31" i="4"/>
  <c r="H30" i="4"/>
  <c r="D26" i="4"/>
  <c r="D32" i="4"/>
  <c r="D16" i="4"/>
  <c r="D7" i="4"/>
  <c r="D11" i="4"/>
  <c r="E21" i="4"/>
  <c r="G11" i="4"/>
  <c r="F28" i="4"/>
  <c r="F4" i="4"/>
  <c r="F13" i="4"/>
  <c r="F19" i="4"/>
  <c r="G28" i="4"/>
  <c r="G26" i="4"/>
  <c r="G20" i="4"/>
  <c r="G4" i="4"/>
  <c r="G19" i="4"/>
  <c r="F23" i="4"/>
  <c r="G9" i="4"/>
  <c r="G21" i="4"/>
  <c r="G17" i="4"/>
  <c r="F32" i="4"/>
  <c r="F29" i="4"/>
  <c r="F10" i="4"/>
  <c r="D12" i="4"/>
  <c r="F8" i="4"/>
  <c r="D24" i="4"/>
  <c r="E26" i="4"/>
  <c r="D27" i="4"/>
  <c r="D23" i="4"/>
  <c r="F33" i="4"/>
  <c r="G12" i="4"/>
  <c r="F25" i="4"/>
  <c r="G33" i="4"/>
  <c r="H26" i="4"/>
  <c r="G30" i="4"/>
  <c r="F21" i="4"/>
  <c r="D30" i="4"/>
  <c r="D13" i="4"/>
  <c r="D17" i="4"/>
  <c r="D31" i="4"/>
  <c r="D28" i="4"/>
  <c r="D8" i="4"/>
  <c r="F26" i="4"/>
  <c r="H28" i="4"/>
  <c r="E24" i="4"/>
  <c r="D18" i="4"/>
  <c r="D20" i="4"/>
  <c r="D15" i="4"/>
  <c r="E32" i="4"/>
  <c r="D14" i="4"/>
  <c r="D10" i="4"/>
  <c r="F14" i="4"/>
  <c r="E9" i="4"/>
  <c r="E25" i="4"/>
  <c r="H29" i="4"/>
  <c r="F16" i="4"/>
  <c r="F24" i="4"/>
  <c r="F9" i="4"/>
  <c r="G23" i="4"/>
  <c r="G31" i="4"/>
  <c r="F27" i="4"/>
  <c r="F12" i="4"/>
  <c r="BI32" i="5"/>
  <c r="BI20" i="3" s="1"/>
  <c r="BK30" i="5"/>
  <c r="BK32" i="5" s="1"/>
  <c r="BH58" i="5"/>
  <c r="BH152" i="5" s="1"/>
  <c r="AE64" i="2" s="1"/>
  <c r="BH23" i="3"/>
  <c r="BH28" i="3" s="1"/>
  <c r="BI28" i="5"/>
  <c r="BI19" i="3" s="1"/>
  <c r="BI149" i="5"/>
  <c r="BI25" i="3" s="1"/>
  <c r="BK60" i="5"/>
  <c r="C63" i="2"/>
  <c r="AH63" i="2" s="1"/>
  <c r="T63" i="2" s="1"/>
  <c r="B64" i="2"/>
  <c r="BK149" i="5" l="1"/>
  <c r="BI58" i="5"/>
  <c r="BI152" i="5" s="1"/>
  <c r="AE65" i="2" s="1"/>
  <c r="BJ46" i="5"/>
  <c r="BJ21" i="3" s="1"/>
  <c r="BK21" i="3" s="1"/>
  <c r="AC62" i="2"/>
  <c r="X62" i="2"/>
  <c r="Y63" i="2"/>
  <c r="V63" i="2"/>
  <c r="BK57" i="5"/>
  <c r="BJ32" i="5"/>
  <c r="BJ20" i="3" s="1"/>
  <c r="BK20" i="3" s="1"/>
  <c r="G34" i="4"/>
  <c r="AB62" i="2"/>
  <c r="BJ28" i="5"/>
  <c r="BJ19" i="3" s="1"/>
  <c r="BK19" i="3" s="1"/>
  <c r="F34" i="4"/>
  <c r="BV34" i="4"/>
  <c r="BK133" i="5"/>
  <c r="BK34" i="5"/>
  <c r="BW6" i="4"/>
  <c r="BW12" i="4"/>
  <c r="BW14" i="4"/>
  <c r="BW24" i="4"/>
  <c r="I24" i="4" s="1"/>
  <c r="BW25" i="4"/>
  <c r="I25" i="4" s="1"/>
  <c r="BW4" i="4"/>
  <c r="H4" i="4" s="1"/>
  <c r="BW23" i="4"/>
  <c r="BW19" i="4"/>
  <c r="I19" i="4" s="1"/>
  <c r="BW15" i="4"/>
  <c r="BW20" i="4"/>
  <c r="I20" i="4" s="1"/>
  <c r="BW22" i="4"/>
  <c r="I22" i="4" s="1"/>
  <c r="BW18" i="4"/>
  <c r="I18" i="4" s="1"/>
  <c r="BW10" i="4"/>
  <c r="BW21" i="4"/>
  <c r="BW11" i="4"/>
  <c r="BW16" i="4"/>
  <c r="BW17" i="4"/>
  <c r="BW7" i="4"/>
  <c r="BW9" i="4"/>
  <c r="BW5" i="4"/>
  <c r="BW13" i="4"/>
  <c r="BW8" i="4"/>
  <c r="E12" i="4"/>
  <c r="E5" i="4"/>
  <c r="E13" i="4"/>
  <c r="E17" i="4"/>
  <c r="E15" i="4"/>
  <c r="E14" i="4"/>
  <c r="E7" i="4"/>
  <c r="E20" i="4"/>
  <c r="E19" i="4"/>
  <c r="E16" i="4"/>
  <c r="E18" i="4"/>
  <c r="E4" i="4"/>
  <c r="E10" i="4"/>
  <c r="E6" i="4"/>
  <c r="E23" i="4"/>
  <c r="BK28" i="5"/>
  <c r="D34" i="4"/>
  <c r="BI23" i="3"/>
  <c r="BJ57" i="5"/>
  <c r="BJ22" i="3" s="1"/>
  <c r="BK22" i="3" s="1"/>
  <c r="BJ133" i="5"/>
  <c r="BJ24" i="3" s="1"/>
  <c r="BK24" i="3" s="1"/>
  <c r="BJ149" i="5"/>
  <c r="BJ25" i="3" s="1"/>
  <c r="BK25" i="3" s="1"/>
  <c r="B65" i="2"/>
  <c r="C64" i="2"/>
  <c r="AH64" i="2" s="1"/>
  <c r="T64" i="2" s="1"/>
  <c r="G12" i="2"/>
  <c r="I13" i="4" l="1"/>
  <c r="H13" i="4"/>
  <c r="I17" i="4"/>
  <c r="H17" i="4"/>
  <c r="I10" i="4"/>
  <c r="H10" i="4"/>
  <c r="I15" i="4"/>
  <c r="H15" i="4"/>
  <c r="I6" i="4"/>
  <c r="H6" i="4"/>
  <c r="H25" i="4"/>
  <c r="I5" i="4"/>
  <c r="H5" i="4"/>
  <c r="I16" i="4"/>
  <c r="H16" i="4"/>
  <c r="H18" i="4"/>
  <c r="I8" i="4"/>
  <c r="H8" i="4"/>
  <c r="I9" i="4"/>
  <c r="H9" i="4"/>
  <c r="I11" i="4"/>
  <c r="H11" i="4"/>
  <c r="I23" i="4"/>
  <c r="H23" i="4"/>
  <c r="I14" i="4"/>
  <c r="H14" i="4"/>
  <c r="H24" i="4"/>
  <c r="H22" i="4"/>
  <c r="I7" i="4"/>
  <c r="H7" i="4"/>
  <c r="I21" i="4"/>
  <c r="H21" i="4"/>
  <c r="I12" i="4"/>
  <c r="H12" i="4"/>
  <c r="H20" i="4"/>
  <c r="H19" i="4"/>
  <c r="E34" i="4"/>
  <c r="V64" i="2"/>
  <c r="Y64" i="2"/>
  <c r="AC63" i="2"/>
  <c r="X63" i="2"/>
  <c r="AB63" i="2"/>
  <c r="BK46" i="5"/>
  <c r="BK58" i="5" s="1"/>
  <c r="BK152" i="5" s="1"/>
  <c r="BW34" i="4"/>
  <c r="BI28" i="3"/>
  <c r="I4" i="4"/>
  <c r="BJ58" i="5"/>
  <c r="BJ152" i="5" s="1"/>
  <c r="AE66" i="2" s="1"/>
  <c r="BJ23" i="3"/>
  <c r="BK23" i="3" s="1"/>
  <c r="B66" i="2"/>
  <c r="C65" i="2"/>
  <c r="AH65" i="2" s="1"/>
  <c r="T65" i="2" s="1"/>
  <c r="I34" i="4" l="1"/>
  <c r="H34" i="4"/>
  <c r="BF7" i="5"/>
  <c r="BF7" i="3" s="1"/>
  <c r="BF14" i="3" s="1"/>
  <c r="AY7" i="5"/>
  <c r="H8" i="2"/>
  <c r="BG7" i="5"/>
  <c r="BG7" i="3" s="1"/>
  <c r="BG14" i="3" s="1"/>
  <c r="BG15" i="3" s="1"/>
  <c r="I8" i="2"/>
  <c r="BJ7" i="5"/>
  <c r="BJ7" i="3" s="1"/>
  <c r="H11" i="2"/>
  <c r="I9" i="2"/>
  <c r="I11" i="2"/>
  <c r="I7" i="2"/>
  <c r="BD7" i="5"/>
  <c r="BD7" i="3" s="1"/>
  <c r="BD14" i="3" s="1"/>
  <c r="BD15" i="3" s="1"/>
  <c r="BC7" i="5"/>
  <c r="BC14" i="5" s="1"/>
  <c r="BC15" i="5" s="1"/>
  <c r="I10" i="2"/>
  <c r="BE7" i="5"/>
  <c r="BE14" i="5" s="1"/>
  <c r="BE15" i="5" s="1"/>
  <c r="V65" i="2"/>
  <c r="AB65" i="2" s="1"/>
  <c r="Y65" i="2"/>
  <c r="AB64" i="2"/>
  <c r="AC64" i="2"/>
  <c r="X64" i="2"/>
  <c r="D40" i="4"/>
  <c r="C45" i="4" s="1"/>
  <c r="BK28" i="3"/>
  <c r="D39" i="4"/>
  <c r="C44" i="4" s="1"/>
  <c r="BJ28" i="3"/>
  <c r="I12" i="2"/>
  <c r="AE5" i="2"/>
  <c r="O25" i="4"/>
  <c r="M16" i="4"/>
  <c r="K7" i="4"/>
  <c r="N29" i="4"/>
  <c r="J21" i="4"/>
  <c r="M30" i="4"/>
  <c r="N27" i="4"/>
  <c r="K11" i="4"/>
  <c r="L19" i="4"/>
  <c r="L21" i="4"/>
  <c r="M22" i="4"/>
  <c r="J25" i="4"/>
  <c r="J29" i="4"/>
  <c r="M31" i="4"/>
  <c r="L8" i="4"/>
  <c r="K16" i="4"/>
  <c r="K13" i="4"/>
  <c r="M5" i="4"/>
  <c r="N18" i="4"/>
  <c r="N4" i="4"/>
  <c r="O10" i="4"/>
  <c r="M12" i="4"/>
  <c r="L33" i="4"/>
  <c r="M18" i="4"/>
  <c r="L31" i="4"/>
  <c r="O14" i="4"/>
  <c r="J30" i="4"/>
  <c r="K15" i="4"/>
  <c r="N25" i="4"/>
  <c r="K4" i="4"/>
  <c r="K8" i="4"/>
  <c r="K31" i="4"/>
  <c r="O16" i="4"/>
  <c r="J6" i="4"/>
  <c r="M8" i="4"/>
  <c r="K6" i="4"/>
  <c r="M23" i="4"/>
  <c r="J22" i="4"/>
  <c r="O26" i="4"/>
  <c r="J11" i="4"/>
  <c r="J31" i="4"/>
  <c r="K28" i="4"/>
  <c r="N31" i="4"/>
  <c r="M27" i="4"/>
  <c r="J8" i="4"/>
  <c r="K33" i="4"/>
  <c r="L32" i="4"/>
  <c r="J18" i="4"/>
  <c r="M4" i="4"/>
  <c r="L22" i="4"/>
  <c r="L15" i="4"/>
  <c r="O20" i="4"/>
  <c r="N26" i="4"/>
  <c r="K17" i="4"/>
  <c r="K14" i="4"/>
  <c r="L7" i="4"/>
  <c r="J16" i="4"/>
  <c r="N7" i="4"/>
  <c r="J20" i="4"/>
  <c r="M19" i="4"/>
  <c r="L4" i="4"/>
  <c r="N17" i="4"/>
  <c r="L18" i="4"/>
  <c r="L29" i="4"/>
  <c r="J9" i="4"/>
  <c r="N5" i="4"/>
  <c r="O32" i="4"/>
  <c r="O8" i="4"/>
  <c r="J32" i="4"/>
  <c r="J28" i="4"/>
  <c r="L28" i="4"/>
  <c r="L16" i="4"/>
  <c r="K19" i="4"/>
  <c r="M17" i="4"/>
  <c r="N16" i="4"/>
  <c r="O13" i="4"/>
  <c r="M20" i="4"/>
  <c r="M33" i="4"/>
  <c r="N24" i="4"/>
  <c r="O21" i="4"/>
  <c r="L24" i="4"/>
  <c r="M7" i="4"/>
  <c r="O29" i="4"/>
  <c r="K20" i="4"/>
  <c r="N15" i="4"/>
  <c r="O30" i="4"/>
  <c r="O28" i="4"/>
  <c r="O24" i="4"/>
  <c r="M28" i="4"/>
  <c r="K25" i="4"/>
  <c r="J13" i="4"/>
  <c r="O7" i="4"/>
  <c r="O27" i="4"/>
  <c r="L17" i="4"/>
  <c r="J12" i="4"/>
  <c r="K23" i="4"/>
  <c r="J17" i="4"/>
  <c r="M11" i="4"/>
  <c r="N21" i="4"/>
  <c r="M32" i="4"/>
  <c r="K27" i="4"/>
  <c r="J5" i="4"/>
  <c r="J26" i="4"/>
  <c r="L20" i="4"/>
  <c r="N10" i="4"/>
  <c r="L25" i="4"/>
  <c r="M14" i="4"/>
  <c r="J15" i="4"/>
  <c r="K12" i="4"/>
  <c r="M10" i="4"/>
  <c r="K5" i="4"/>
  <c r="N22" i="4"/>
  <c r="O33" i="4"/>
  <c r="N33" i="4"/>
  <c r="N13" i="4"/>
  <c r="K9" i="4"/>
  <c r="L9" i="4"/>
  <c r="N28" i="4"/>
  <c r="O19" i="4"/>
  <c r="L30" i="4"/>
  <c r="L12" i="4"/>
  <c r="J27" i="4"/>
  <c r="K18" i="4"/>
  <c r="N14" i="4"/>
  <c r="K29" i="4"/>
  <c r="N32" i="4"/>
  <c r="O4" i="4"/>
  <c r="O12" i="4"/>
  <c r="J10" i="4"/>
  <c r="K21" i="4"/>
  <c r="M29" i="4"/>
  <c r="O18" i="4"/>
  <c r="O31" i="4"/>
  <c r="L13" i="4"/>
  <c r="M26" i="4"/>
  <c r="O9" i="4"/>
  <c r="K30" i="4"/>
  <c r="N11" i="4"/>
  <c r="M13" i="4"/>
  <c r="N12" i="4"/>
  <c r="L10" i="4"/>
  <c r="J14" i="4"/>
  <c r="N30" i="4"/>
  <c r="M9" i="4"/>
  <c r="N8" i="4"/>
  <c r="O5" i="4"/>
  <c r="O17" i="4"/>
  <c r="J4" i="4"/>
  <c r="J7" i="4"/>
  <c r="J33" i="4"/>
  <c r="L27" i="4"/>
  <c r="K32" i="4"/>
  <c r="N23" i="4"/>
  <c r="N9" i="4"/>
  <c r="M15" i="4"/>
  <c r="O22" i="4"/>
  <c r="N20" i="4"/>
  <c r="L11" i="4"/>
  <c r="L6" i="4"/>
  <c r="O23" i="4"/>
  <c r="O11" i="4"/>
  <c r="K22" i="4"/>
  <c r="N19" i="4"/>
  <c r="K10" i="4"/>
  <c r="O6" i="4"/>
  <c r="M21" i="4"/>
  <c r="J24" i="4"/>
  <c r="J23" i="4"/>
  <c r="J19" i="4"/>
  <c r="K26" i="4"/>
  <c r="K24" i="4"/>
  <c r="L26" i="4"/>
  <c r="N6" i="4"/>
  <c r="M25" i="4"/>
  <c r="L23" i="4"/>
  <c r="O15" i="4"/>
  <c r="L14" i="4"/>
  <c r="O34" i="4"/>
  <c r="M6" i="4"/>
  <c r="L5" i="4"/>
  <c r="M24" i="4"/>
  <c r="BL94" i="5"/>
  <c r="BL131" i="5"/>
  <c r="BL91" i="5"/>
  <c r="BL43" i="5"/>
  <c r="BL42" i="5"/>
  <c r="BL44" i="5"/>
  <c r="BL88" i="5"/>
  <c r="BL49" i="5"/>
  <c r="BL117" i="5"/>
  <c r="BL85" i="5"/>
  <c r="BL53" i="5"/>
  <c r="BL143" i="5"/>
  <c r="BL26" i="5"/>
  <c r="BL93" i="5"/>
  <c r="BL48" i="5"/>
  <c r="BL92" i="5"/>
  <c r="BL13" i="5"/>
  <c r="BL39" i="5"/>
  <c r="BL34" i="5"/>
  <c r="BL120" i="5"/>
  <c r="BL90" i="5"/>
  <c r="BL152" i="5"/>
  <c r="BL55" i="5"/>
  <c r="BL113" i="5"/>
  <c r="BL70" i="5"/>
  <c r="BL127" i="5"/>
  <c r="BL130" i="5"/>
  <c r="BL125" i="5"/>
  <c r="BL150" i="5"/>
  <c r="BL146" i="5"/>
  <c r="BL64" i="5"/>
  <c r="BL141" i="5"/>
  <c r="BL78" i="5"/>
  <c r="BL27" i="5"/>
  <c r="BL142" i="5"/>
  <c r="BL21" i="5"/>
  <c r="BL67" i="5"/>
  <c r="BL37" i="5"/>
  <c r="BL102" i="5"/>
  <c r="BL23" i="5"/>
  <c r="BL151" i="5"/>
  <c r="BL147" i="5"/>
  <c r="BL32" i="5"/>
  <c r="BL22" i="5"/>
  <c r="BL109" i="5"/>
  <c r="BL69" i="5"/>
  <c r="BL137" i="5"/>
  <c r="BL65" i="5"/>
  <c r="BL68" i="5"/>
  <c r="BL79" i="5"/>
  <c r="BL114" i="5"/>
  <c r="BL95" i="5"/>
  <c r="BL145" i="5"/>
  <c r="BL108" i="5"/>
  <c r="BL110" i="5"/>
  <c r="BL73" i="5"/>
  <c r="BL84" i="5"/>
  <c r="BL89" i="5"/>
  <c r="BL148" i="5"/>
  <c r="BL111" i="5"/>
  <c r="BL122" i="5"/>
  <c r="BL30" i="5"/>
  <c r="BL129" i="5"/>
  <c r="BL72" i="5"/>
  <c r="BL136" i="5"/>
  <c r="BL99" i="5"/>
  <c r="BL38" i="5"/>
  <c r="BL61" i="5"/>
  <c r="BL54" i="5"/>
  <c r="BL104" i="5"/>
  <c r="BL66" i="5"/>
  <c r="BL140" i="5"/>
  <c r="BL105" i="5"/>
  <c r="BL118" i="5"/>
  <c r="BL81" i="5"/>
  <c r="BL98" i="5"/>
  <c r="BL128" i="5"/>
  <c r="BL116" i="5"/>
  <c r="BL123" i="5"/>
  <c r="BL86" i="5"/>
  <c r="BL124" i="5"/>
  <c r="BL100" i="5"/>
  <c r="BL35" i="5"/>
  <c r="BL25" i="5"/>
  <c r="BL50" i="5"/>
  <c r="BL106" i="5"/>
  <c r="BL31" i="5"/>
  <c r="BL20" i="5"/>
  <c r="BL28" i="5"/>
  <c r="BL83" i="5"/>
  <c r="BL40" i="5"/>
  <c r="BL139" i="5"/>
  <c r="BL60" i="5"/>
  <c r="BL107" i="5"/>
  <c r="BL46" i="5"/>
  <c r="BL77" i="5"/>
  <c r="BL63" i="5"/>
  <c r="BL103" i="5"/>
  <c r="BL82" i="5"/>
  <c r="BL149" i="5"/>
  <c r="BL135" i="5"/>
  <c r="BL126" i="5"/>
  <c r="BL80" i="5"/>
  <c r="BL144" i="5"/>
  <c r="BL62" i="5"/>
  <c r="BL132" i="5"/>
  <c r="BL133" i="5"/>
  <c r="BL24" i="5"/>
  <c r="BL45" i="5"/>
  <c r="BL121" i="5"/>
  <c r="BL101" i="5"/>
  <c r="BL52" i="5"/>
  <c r="BL115" i="5"/>
  <c r="BL56" i="5"/>
  <c r="BL51" i="5"/>
  <c r="BL36" i="5"/>
  <c r="BL74" i="5"/>
  <c r="BL75" i="5"/>
  <c r="BL41" i="5"/>
  <c r="BL57" i="5"/>
  <c r="BL58" i="5"/>
  <c r="BL112" i="5"/>
  <c r="BL76" i="5"/>
  <c r="BL138" i="5"/>
  <c r="BL87" i="5"/>
  <c r="BL97" i="5"/>
  <c r="BL71" i="5"/>
  <c r="BL119" i="5"/>
  <c r="BL96" i="5"/>
  <c r="BB7" i="5"/>
  <c r="C66" i="2"/>
  <c r="AH66" i="2" s="1"/>
  <c r="AZ7" i="5"/>
  <c r="BA7" i="5"/>
  <c r="H10" i="2"/>
  <c r="H7" i="2"/>
  <c r="BI7" i="5"/>
  <c r="H9" i="2"/>
  <c r="BH7" i="5"/>
  <c r="BF14" i="5" l="1"/>
  <c r="BF15" i="5" s="1"/>
  <c r="AY14" i="5"/>
  <c r="AY15" i="5" s="1"/>
  <c r="AY7" i="3"/>
  <c r="AY14" i="3" s="1"/>
  <c r="AY15" i="3" s="1"/>
  <c r="BG14" i="5"/>
  <c r="BG15" i="5" s="1"/>
  <c r="BE7" i="3"/>
  <c r="BE14" i="3" s="1"/>
  <c r="BE15" i="3" s="1"/>
  <c r="BD14" i="5"/>
  <c r="BD15" i="5" s="1"/>
  <c r="BJ14" i="5"/>
  <c r="BJ15" i="5" s="1"/>
  <c r="BC7" i="3"/>
  <c r="BC14" i="3" s="1"/>
  <c r="BC15" i="3" s="1"/>
  <c r="J34" i="4"/>
  <c r="AC65" i="2"/>
  <c r="X65" i="2"/>
  <c r="T66" i="2"/>
  <c r="U8" i="2"/>
  <c r="BF15" i="3"/>
  <c r="L34" i="4"/>
  <c r="M34" i="4"/>
  <c r="N34" i="4"/>
  <c r="BL22" i="3"/>
  <c r="BL19" i="3"/>
  <c r="BL23" i="3"/>
  <c r="BL28" i="3"/>
  <c r="BL20" i="3"/>
  <c r="BL24" i="3"/>
  <c r="BL21" i="3"/>
  <c r="BL25" i="3"/>
  <c r="BL26" i="3"/>
  <c r="BL27" i="3"/>
  <c r="K34" i="4"/>
  <c r="BA7" i="3"/>
  <c r="BA14" i="3" s="1"/>
  <c r="BA15" i="3" s="1"/>
  <c r="BA14" i="5"/>
  <c r="BA15" i="5" s="1"/>
  <c r="BI7" i="3"/>
  <c r="BI14" i="3" s="1"/>
  <c r="BI15" i="3" s="1"/>
  <c r="BI14" i="5"/>
  <c r="BI15" i="5" s="1"/>
  <c r="AZ14" i="5"/>
  <c r="AZ15" i="5" s="1"/>
  <c r="AZ7" i="3"/>
  <c r="AZ14" i="3" s="1"/>
  <c r="AZ15" i="3" s="1"/>
  <c r="BH14" i="5"/>
  <c r="BH15" i="5" s="1"/>
  <c r="BH7" i="3"/>
  <c r="BH14" i="3" s="1"/>
  <c r="BH15" i="3" s="1"/>
  <c r="BJ14" i="3"/>
  <c r="BJ15" i="3" s="1"/>
  <c r="BB14" i="5"/>
  <c r="BB15" i="5" s="1"/>
  <c r="BB7" i="3"/>
  <c r="BB14" i="3" s="1"/>
  <c r="BB15" i="3" s="1"/>
  <c r="AC52" i="2" l="1"/>
  <c r="K8" i="2"/>
  <c r="U9" i="2"/>
  <c r="Y66" i="2"/>
  <c r="V66" i="2"/>
  <c r="AB52" i="2" l="1"/>
  <c r="AV7" i="5" s="1"/>
  <c r="AC54" i="2"/>
  <c r="AC10" i="2"/>
  <c r="AB10" i="2" s="1"/>
  <c r="F7" i="5" s="1"/>
  <c r="AC13" i="2"/>
  <c r="AB13" i="2" s="1"/>
  <c r="I7" i="5" s="1"/>
  <c r="AC16" i="2"/>
  <c r="AB16" i="2" s="1"/>
  <c r="L7" i="5" s="1"/>
  <c r="AC19" i="2"/>
  <c r="AB19" i="2" s="1"/>
  <c r="O7" i="5" s="1"/>
  <c r="AC22" i="2"/>
  <c r="AB22" i="2" s="1"/>
  <c r="R7" i="5" s="1"/>
  <c r="AC25" i="2"/>
  <c r="AB25" i="2" s="1"/>
  <c r="U7" i="5" s="1"/>
  <c r="AC28" i="2"/>
  <c r="AB28" i="2" s="1"/>
  <c r="X7" i="5" s="1"/>
  <c r="AC31" i="2"/>
  <c r="AB31" i="2" s="1"/>
  <c r="AA7" i="5" s="1"/>
  <c r="AC34" i="2"/>
  <c r="AB34" i="2" s="1"/>
  <c r="AD7" i="5" s="1"/>
  <c r="AC37" i="2"/>
  <c r="AB37" i="2" s="1"/>
  <c r="AG7" i="5" s="1"/>
  <c r="AC40" i="2"/>
  <c r="AB40" i="2" s="1"/>
  <c r="AJ7" i="5" s="1"/>
  <c r="AC43" i="2"/>
  <c r="AB43" i="2" s="1"/>
  <c r="AM7" i="5" s="1"/>
  <c r="AC46" i="2"/>
  <c r="AB46" i="2" s="1"/>
  <c r="AP7" i="5" s="1"/>
  <c r="AC49" i="2"/>
  <c r="AB49" i="2" s="1"/>
  <c r="AS7" i="5" s="1"/>
  <c r="AC66" i="2"/>
  <c r="AB66" i="2" s="1"/>
  <c r="X66" i="2"/>
  <c r="AB54" i="2"/>
  <c r="AC24" i="2"/>
  <c r="AB24" i="2" s="1"/>
  <c r="AC7" i="2"/>
  <c r="AC18" i="2"/>
  <c r="AB18" i="2" s="1"/>
  <c r="AC15" i="2"/>
  <c r="AB15" i="2" s="1"/>
  <c r="AC12" i="2"/>
  <c r="AB12" i="2" s="1"/>
  <c r="AC9" i="2"/>
  <c r="AB9" i="2" s="1"/>
  <c r="AC21" i="2"/>
  <c r="AB21" i="2" s="1"/>
  <c r="AC27" i="2"/>
  <c r="AB27" i="2" s="1"/>
  <c r="AC30" i="2"/>
  <c r="AB30" i="2" s="1"/>
  <c r="AC33" i="2"/>
  <c r="AB33" i="2" s="1"/>
  <c r="AC36" i="2"/>
  <c r="AB36" i="2" s="1"/>
  <c r="AC39" i="2"/>
  <c r="AB39" i="2" s="1"/>
  <c r="AC42" i="2"/>
  <c r="AB42" i="2" s="1"/>
  <c r="AC45" i="2"/>
  <c r="AB45" i="2" s="1"/>
  <c r="AC48" i="2"/>
  <c r="AB48" i="2" s="1"/>
  <c r="AC51" i="2"/>
  <c r="AB51" i="2" s="1"/>
  <c r="K9" i="2"/>
  <c r="U10" i="2"/>
  <c r="Z8" i="2"/>
  <c r="M8" i="2"/>
  <c r="AA8" i="2" s="1"/>
  <c r="AS14" i="5" l="1"/>
  <c r="AS15" i="5" s="1"/>
  <c r="AS7" i="3"/>
  <c r="AS14" i="3" s="1"/>
  <c r="AS15" i="3" s="1"/>
  <c r="AG14" i="5"/>
  <c r="AG15" i="5" s="1"/>
  <c r="AG7" i="3"/>
  <c r="AG14" i="3" s="1"/>
  <c r="AG15" i="3" s="1"/>
  <c r="U7" i="3"/>
  <c r="U14" i="3" s="1"/>
  <c r="U15" i="3" s="1"/>
  <c r="U14" i="5"/>
  <c r="U15" i="5" s="1"/>
  <c r="I14" i="5"/>
  <c r="I15" i="5" s="1"/>
  <c r="I7" i="3"/>
  <c r="I14" i="3" s="1"/>
  <c r="I15" i="3" s="1"/>
  <c r="AP7" i="3"/>
  <c r="AP14" i="3" s="1"/>
  <c r="AP15" i="3" s="1"/>
  <c r="AP14" i="5"/>
  <c r="AP15" i="5" s="1"/>
  <c r="AD14" i="5"/>
  <c r="AD15" i="5" s="1"/>
  <c r="AD7" i="3"/>
  <c r="AD14" i="3" s="1"/>
  <c r="AD15" i="3" s="1"/>
  <c r="R14" i="5"/>
  <c r="R15" i="5" s="1"/>
  <c r="R7" i="3"/>
  <c r="R14" i="3" s="1"/>
  <c r="R15" i="3" s="1"/>
  <c r="F7" i="3"/>
  <c r="F14" i="3" s="1"/>
  <c r="F15" i="3" s="1"/>
  <c r="F14" i="5"/>
  <c r="F15" i="5" s="1"/>
  <c r="AM14" i="5"/>
  <c r="AM15" i="5" s="1"/>
  <c r="AM7" i="3"/>
  <c r="AM14" i="3" s="1"/>
  <c r="AM15" i="3" s="1"/>
  <c r="AA14" i="5"/>
  <c r="AA15" i="5" s="1"/>
  <c r="AA7" i="3"/>
  <c r="AA14" i="3" s="1"/>
  <c r="AA15" i="3" s="1"/>
  <c r="O7" i="3"/>
  <c r="O14" i="3" s="1"/>
  <c r="O15" i="3" s="1"/>
  <c r="O14" i="5"/>
  <c r="O15" i="5" s="1"/>
  <c r="AJ14" i="5"/>
  <c r="AJ15" i="5" s="1"/>
  <c r="AJ7" i="3"/>
  <c r="AJ14" i="3" s="1"/>
  <c r="AJ15" i="3" s="1"/>
  <c r="X7" i="3"/>
  <c r="X14" i="3" s="1"/>
  <c r="X15" i="3" s="1"/>
  <c r="X14" i="5"/>
  <c r="X15" i="5" s="1"/>
  <c r="L7" i="3"/>
  <c r="L14" i="5"/>
  <c r="L15" i="5" s="1"/>
  <c r="AV7" i="3"/>
  <c r="AV14" i="3" s="1"/>
  <c r="AV15" i="3" s="1"/>
  <c r="AV14" i="5"/>
  <c r="AV15" i="5" s="1"/>
  <c r="L8" i="2"/>
  <c r="W7" i="5"/>
  <c r="P14" i="2"/>
  <c r="P12" i="2"/>
  <c r="Q7" i="5"/>
  <c r="G9" i="2"/>
  <c r="K10" i="2"/>
  <c r="U11" i="2"/>
  <c r="E7" i="5"/>
  <c r="P8" i="2"/>
  <c r="G8" i="2"/>
  <c r="P9" i="2"/>
  <c r="H7" i="5"/>
  <c r="K7" i="5"/>
  <c r="P10" i="2"/>
  <c r="N7" i="5"/>
  <c r="P11" i="2"/>
  <c r="M9" i="2"/>
  <c r="AA9" i="2" s="1"/>
  <c r="Z9" i="2"/>
  <c r="AC5" i="2"/>
  <c r="AB7" i="2"/>
  <c r="T7" i="5"/>
  <c r="P13" i="2"/>
  <c r="AU7" i="5"/>
  <c r="P22" i="2"/>
  <c r="AI7" i="5"/>
  <c r="P18" i="2"/>
  <c r="AO7" i="5"/>
  <c r="P20" i="2"/>
  <c r="G11" i="2"/>
  <c r="AX7" i="5"/>
  <c r="P23" i="2"/>
  <c r="P28" i="2"/>
  <c r="P30" i="2"/>
  <c r="P29" i="2"/>
  <c r="P32" i="2"/>
  <c r="P31" i="2"/>
  <c r="P34" i="2"/>
  <c r="P36" i="2"/>
  <c r="P33" i="2"/>
  <c r="P38" i="2"/>
  <c r="P35" i="2"/>
  <c r="P37" i="2"/>
  <c r="P24" i="2"/>
  <c r="P26" i="2"/>
  <c r="P27" i="2"/>
  <c r="P25" i="2"/>
  <c r="P21" i="2"/>
  <c r="AR7" i="5"/>
  <c r="AL7" i="5"/>
  <c r="P19" i="2"/>
  <c r="AF7" i="5"/>
  <c r="P17" i="2"/>
  <c r="AC7" i="5"/>
  <c r="P16" i="2"/>
  <c r="G10" i="2"/>
  <c r="Z7" i="5"/>
  <c r="P15" i="2"/>
  <c r="L14" i="3" l="1"/>
  <c r="L15" i="3" s="1"/>
  <c r="L9" i="2"/>
  <c r="O15" i="2"/>
  <c r="R15" i="2"/>
  <c r="Q15" i="2"/>
  <c r="O28" i="2"/>
  <c r="R28" i="2"/>
  <c r="Q28" i="2"/>
  <c r="AR7" i="3"/>
  <c r="AR14" i="3" s="1"/>
  <c r="AR15" i="3" s="1"/>
  <c r="AR14" i="5"/>
  <c r="AR15" i="5" s="1"/>
  <c r="O31" i="2"/>
  <c r="R31" i="2"/>
  <c r="Q31" i="2"/>
  <c r="O22" i="2"/>
  <c r="R22" i="2"/>
  <c r="Q22" i="2"/>
  <c r="H7" i="3"/>
  <c r="H14" i="3" s="1"/>
  <c r="H15" i="3" s="1"/>
  <c r="H14" i="5"/>
  <c r="H15" i="5" s="1"/>
  <c r="Q37" i="2"/>
  <c r="O37" i="2"/>
  <c r="R37" i="2"/>
  <c r="R21" i="2"/>
  <c r="Q21" i="2"/>
  <c r="O21" i="2"/>
  <c r="O32" i="2"/>
  <c r="Q32" i="2"/>
  <c r="R32" i="2"/>
  <c r="AU7" i="3"/>
  <c r="AU14" i="3" s="1"/>
  <c r="AU15" i="3" s="1"/>
  <c r="AU14" i="5"/>
  <c r="AU15" i="5" s="1"/>
  <c r="R9" i="2"/>
  <c r="Q9" i="2"/>
  <c r="O9" i="2"/>
  <c r="R25" i="2"/>
  <c r="O25" i="2"/>
  <c r="Q25" i="2"/>
  <c r="O29" i="2"/>
  <c r="Q29" i="2"/>
  <c r="R29" i="2"/>
  <c r="O13" i="2"/>
  <c r="Q13" i="2"/>
  <c r="R13" i="2"/>
  <c r="Q30" i="2"/>
  <c r="O30" i="2"/>
  <c r="R30" i="2"/>
  <c r="T7" i="3"/>
  <c r="T14" i="3" s="1"/>
  <c r="T15" i="3" s="1"/>
  <c r="T14" i="5"/>
  <c r="T15" i="5" s="1"/>
  <c r="O8" i="2"/>
  <c r="R8" i="2"/>
  <c r="Q8" i="2"/>
  <c r="C7" i="5"/>
  <c r="G7" i="2"/>
  <c r="P7" i="2"/>
  <c r="AB5" i="2"/>
  <c r="AC4" i="2" s="1"/>
  <c r="E14" i="5"/>
  <c r="E15" i="5" s="1"/>
  <c r="E7" i="3"/>
  <c r="E14" i="3" s="1"/>
  <c r="E15" i="3" s="1"/>
  <c r="O27" i="2"/>
  <c r="R27" i="2"/>
  <c r="Q27" i="2"/>
  <c r="R16" i="2"/>
  <c r="Q16" i="2"/>
  <c r="O16" i="2"/>
  <c r="Q24" i="2"/>
  <c r="O24" i="2"/>
  <c r="R24" i="2"/>
  <c r="R23" i="2"/>
  <c r="Q23" i="2"/>
  <c r="O23" i="2"/>
  <c r="U12" i="2"/>
  <c r="K11" i="2"/>
  <c r="Z10" i="2"/>
  <c r="M10" i="2"/>
  <c r="AA10" i="2" s="1"/>
  <c r="AC14" i="5"/>
  <c r="AC15" i="5" s="1"/>
  <c r="AC7" i="3"/>
  <c r="AC14" i="3" s="1"/>
  <c r="AC15" i="3" s="1"/>
  <c r="Z14" i="5"/>
  <c r="Z15" i="5" s="1"/>
  <c r="Z7" i="3"/>
  <c r="Z14" i="3" s="1"/>
  <c r="Z15" i="3" s="1"/>
  <c r="AX7" i="3"/>
  <c r="AX14" i="3" s="1"/>
  <c r="AX15" i="3" s="1"/>
  <c r="AX14" i="5"/>
  <c r="AX15" i="5" s="1"/>
  <c r="Q20" i="2"/>
  <c r="R20" i="2"/>
  <c r="O20" i="2"/>
  <c r="R11" i="2"/>
  <c r="O11" i="2"/>
  <c r="Q11" i="2"/>
  <c r="Q7" i="3"/>
  <c r="Q14" i="3" s="1"/>
  <c r="Q15" i="3" s="1"/>
  <c r="Q14" i="5"/>
  <c r="Q15" i="5" s="1"/>
  <c r="AF7" i="3"/>
  <c r="AF14" i="3" s="1"/>
  <c r="AF15" i="3" s="1"/>
  <c r="AF14" i="5"/>
  <c r="AF15" i="5" s="1"/>
  <c r="N14" i="5"/>
  <c r="N15" i="5" s="1"/>
  <c r="N7" i="3"/>
  <c r="N14" i="3" s="1"/>
  <c r="N15" i="3" s="1"/>
  <c r="R12" i="2"/>
  <c r="O12" i="2"/>
  <c r="Q12" i="2"/>
  <c r="Q26" i="2"/>
  <c r="R26" i="2"/>
  <c r="O26" i="2"/>
  <c r="O35" i="2"/>
  <c r="Q35" i="2"/>
  <c r="R35" i="2"/>
  <c r="Q17" i="2"/>
  <c r="O17" i="2"/>
  <c r="R17" i="2"/>
  <c r="Q33" i="2"/>
  <c r="O33" i="2"/>
  <c r="R33" i="2"/>
  <c r="O18" i="2"/>
  <c r="R18" i="2"/>
  <c r="Q18" i="2"/>
  <c r="R14" i="2"/>
  <c r="Q14" i="2"/>
  <c r="O14" i="2"/>
  <c r="O38" i="2"/>
  <c r="R38" i="2"/>
  <c r="Q38" i="2"/>
  <c r="AO7" i="3"/>
  <c r="AO14" i="3" s="1"/>
  <c r="AO15" i="3" s="1"/>
  <c r="AO14" i="5"/>
  <c r="AO15" i="5" s="1"/>
  <c r="Q19" i="2"/>
  <c r="O19" i="2"/>
  <c r="R19" i="2"/>
  <c r="O36" i="2"/>
  <c r="Q36" i="2"/>
  <c r="R36" i="2"/>
  <c r="R10" i="2"/>
  <c r="Q10" i="2"/>
  <c r="O10" i="2"/>
  <c r="AL14" i="5"/>
  <c r="AL15" i="5" s="1"/>
  <c r="AL7" i="3"/>
  <c r="AL14" i="3" s="1"/>
  <c r="AL15" i="3" s="1"/>
  <c r="Q34" i="2"/>
  <c r="O34" i="2"/>
  <c r="R34" i="2"/>
  <c r="AI14" i="5"/>
  <c r="AI15" i="5" s="1"/>
  <c r="AI7" i="3"/>
  <c r="AI14" i="3" s="1"/>
  <c r="AI15" i="3" s="1"/>
  <c r="K14" i="5"/>
  <c r="K15" i="5" s="1"/>
  <c r="K7" i="3"/>
  <c r="K14" i="3" s="1"/>
  <c r="K15" i="3" s="1"/>
  <c r="W14" i="5"/>
  <c r="W15" i="5" s="1"/>
  <c r="W7" i="3"/>
  <c r="W14" i="3" s="1"/>
  <c r="W15" i="3" s="1"/>
  <c r="L10" i="2" l="1"/>
  <c r="C7" i="3"/>
  <c r="BK7" i="5"/>
  <c r="C14" i="5"/>
  <c r="M11" i="2"/>
  <c r="AA11" i="2" s="1"/>
  <c r="Z11" i="2"/>
  <c r="U13" i="2"/>
  <c r="K12" i="2"/>
  <c r="O7" i="2"/>
  <c r="Q7" i="2"/>
  <c r="R7" i="2"/>
  <c r="L11" i="2" l="1"/>
  <c r="U14" i="2"/>
  <c r="K13" i="2"/>
  <c r="Z12" i="2"/>
  <c r="M12" i="2"/>
  <c r="AA12" i="2" s="1"/>
  <c r="C15" i="5"/>
  <c r="BK15" i="5" s="1"/>
  <c r="BK14" i="5"/>
  <c r="C14" i="3"/>
  <c r="BK7" i="3"/>
  <c r="L12" i="2" l="1"/>
  <c r="C15" i="3"/>
  <c r="BK15" i="3" s="1"/>
  <c r="BK14" i="3"/>
  <c r="BL12" i="5"/>
  <c r="BL11" i="5"/>
  <c r="BL4" i="5"/>
  <c r="BL15" i="5"/>
  <c r="BL10" i="5"/>
  <c r="BL7" i="5"/>
  <c r="BL14" i="5"/>
  <c r="BL8" i="5"/>
  <c r="Z13" i="2"/>
  <c r="M13" i="2"/>
  <c r="AA13" i="2" s="1"/>
  <c r="U15" i="2"/>
  <c r="K14" i="2"/>
  <c r="L13" i="2" l="1"/>
  <c r="M14" i="2"/>
  <c r="AA14" i="2" s="1"/>
  <c r="Z14" i="2"/>
  <c r="K15" i="2"/>
  <c r="U16" i="2"/>
  <c r="BL4" i="3"/>
  <c r="BL10" i="3"/>
  <c r="BL15" i="3"/>
  <c r="BL7" i="3"/>
  <c r="BL14" i="3"/>
  <c r="BL13" i="3"/>
  <c r="BL8" i="3"/>
  <c r="BL11" i="3"/>
  <c r="BL12" i="3"/>
  <c r="L14" i="2" l="1"/>
  <c r="U17" i="2"/>
  <c r="K16" i="2"/>
  <c r="M15" i="2"/>
  <c r="AA15" i="2" s="1"/>
  <c r="Z15" i="2"/>
  <c r="L15" i="2" l="1"/>
  <c r="Z16" i="2"/>
  <c r="M16" i="2"/>
  <c r="AA16" i="2" s="1"/>
  <c r="U18" i="2"/>
  <c r="K17" i="2"/>
  <c r="L16" i="2" l="1"/>
  <c r="K18" i="2"/>
  <c r="U19" i="2"/>
  <c r="Z17" i="2"/>
  <c r="M17" i="2"/>
  <c r="AA17" i="2" s="1"/>
  <c r="L17" i="2" l="1"/>
  <c r="U20" i="2"/>
  <c r="K19" i="2"/>
  <c r="Z18" i="2"/>
  <c r="M18" i="2"/>
  <c r="AA18" i="2" s="1"/>
  <c r="L18" i="2" l="1"/>
  <c r="Z19" i="2"/>
  <c r="M19" i="2"/>
  <c r="AA19" i="2" s="1"/>
  <c r="U21" i="2"/>
  <c r="K20" i="2"/>
  <c r="L19" i="2" l="1"/>
  <c r="Z20" i="2"/>
  <c r="M20" i="2"/>
  <c r="AA20" i="2" s="1"/>
  <c r="U22" i="2"/>
  <c r="K21" i="2"/>
  <c r="L20" i="2" l="1"/>
  <c r="Z21" i="2"/>
  <c r="M21" i="2"/>
  <c r="AA21" i="2" s="1"/>
  <c r="K22" i="2"/>
  <c r="U23" i="2"/>
  <c r="L21" i="2" l="1"/>
  <c r="K23" i="2"/>
  <c r="U24" i="2"/>
  <c r="Z22" i="2"/>
  <c r="M22" i="2"/>
  <c r="AA22" i="2" s="1"/>
  <c r="L22" i="2" l="1"/>
  <c r="K24" i="2"/>
  <c r="U25" i="2"/>
  <c r="Z23" i="2"/>
  <c r="M23" i="2"/>
  <c r="AA23" i="2" s="1"/>
  <c r="L23" i="2" l="1"/>
  <c r="U26" i="2"/>
  <c r="K25" i="2"/>
  <c r="Z24" i="2"/>
  <c r="M24" i="2"/>
  <c r="AA24" i="2" s="1"/>
  <c r="L24" i="2"/>
  <c r="Z25" i="2" l="1"/>
  <c r="M25" i="2"/>
  <c r="AA25" i="2" s="1"/>
  <c r="L25" i="2"/>
  <c r="U27" i="2"/>
  <c r="K26" i="2"/>
  <c r="Z26" i="2" l="1"/>
  <c r="M26" i="2"/>
  <c r="AA26" i="2" s="1"/>
  <c r="L26" i="2"/>
  <c r="U28" i="2"/>
  <c r="K27" i="2"/>
  <c r="Z27" i="2" l="1"/>
  <c r="M27" i="2"/>
  <c r="AA27" i="2" s="1"/>
  <c r="L27" i="2"/>
  <c r="K28" i="2"/>
  <c r="U29" i="2"/>
  <c r="K29" i="2" l="1"/>
  <c r="U30" i="2"/>
  <c r="Z28" i="2"/>
  <c r="M28" i="2"/>
  <c r="AA28" i="2" s="1"/>
  <c r="L28" i="2"/>
  <c r="K30" i="2" l="1"/>
  <c r="U31" i="2"/>
  <c r="M29" i="2"/>
  <c r="AA29" i="2" s="1"/>
  <c r="Z29" i="2"/>
  <c r="L29" i="2"/>
  <c r="K31" i="2" l="1"/>
  <c r="U32" i="2"/>
  <c r="L30" i="2"/>
  <c r="M30" i="2"/>
  <c r="AA30" i="2" s="1"/>
  <c r="Z30" i="2"/>
  <c r="U33" i="2" l="1"/>
  <c r="K32" i="2"/>
  <c r="M31" i="2"/>
  <c r="AA31" i="2" s="1"/>
  <c r="Z31" i="2"/>
  <c r="L31" i="2"/>
  <c r="M32" i="2" l="1"/>
  <c r="AA32" i="2" s="1"/>
  <c r="Z32" i="2"/>
  <c r="L32" i="2"/>
  <c r="K33" i="2"/>
  <c r="U34" i="2"/>
  <c r="K34" i="2" l="1"/>
  <c r="U35" i="2"/>
  <c r="L33" i="2"/>
  <c r="M33" i="2"/>
  <c r="AA33" i="2" s="1"/>
  <c r="Z33" i="2"/>
  <c r="U36" i="2" l="1"/>
  <c r="K35" i="2"/>
  <c r="M34" i="2"/>
  <c r="AA34" i="2" s="1"/>
  <c r="L34" i="2"/>
  <c r="Z34" i="2"/>
  <c r="Z35" i="2" l="1"/>
  <c r="M35" i="2"/>
  <c r="AA35" i="2" s="1"/>
  <c r="L35" i="2"/>
  <c r="K36" i="2"/>
  <c r="U37" i="2"/>
  <c r="U38" i="2" l="1"/>
  <c r="K37" i="2"/>
  <c r="Z36" i="2"/>
  <c r="M36" i="2"/>
  <c r="AA36" i="2" s="1"/>
  <c r="L36" i="2"/>
  <c r="M37" i="2" l="1"/>
  <c r="AA37" i="2" s="1"/>
  <c r="L37" i="2"/>
  <c r="Z37" i="2"/>
  <c r="U39" i="2"/>
  <c r="K38" i="2"/>
  <c r="M38" i="2" l="1"/>
  <c r="AA38" i="2" s="1"/>
  <c r="L38" i="2"/>
  <c r="Z38" i="2"/>
  <c r="U40" i="2"/>
  <c r="U41" i="2" s="1"/>
  <c r="U42" i="2" s="1"/>
  <c r="U43" i="2" s="1"/>
  <c r="U44" i="2" s="1"/>
  <c r="U45" i="2" s="1"/>
  <c r="U46" i="2" s="1"/>
  <c r="U47" i="2" s="1"/>
  <c r="U48" i="2" s="1"/>
  <c r="U49" i="2" s="1"/>
  <c r="U50" i="2" s="1"/>
  <c r="U51" i="2" s="1"/>
  <c r="U52" i="2" s="1"/>
  <c r="U53" i="2" s="1"/>
  <c r="U54" i="2" s="1"/>
  <c r="U55" i="2" s="1"/>
  <c r="U56" i="2" s="1"/>
  <c r="U57" i="2" s="1"/>
  <c r="U58" i="2" s="1"/>
  <c r="U59" i="2" s="1"/>
  <c r="U60" i="2" s="1"/>
  <c r="U61" i="2" s="1"/>
  <c r="U62" i="2" s="1"/>
  <c r="U63" i="2" s="1"/>
  <c r="U64" i="2" s="1"/>
  <c r="U65" i="2" s="1"/>
  <c r="U66" i="2" s="1"/>
  <c r="K39" i="2"/>
  <c r="Z39" i="2" l="1"/>
  <c r="L39" i="2"/>
  <c r="M39" i="2"/>
  <c r="AA39" i="2" s="1"/>
</calcChain>
</file>

<file path=xl/sharedStrings.xml><?xml version="1.0" encoding="utf-8"?>
<sst xmlns="http://schemas.openxmlformats.org/spreadsheetml/2006/main" count="11758" uniqueCount="742">
  <si>
    <t>Período Proposto</t>
  </si>
  <si>
    <t>a</t>
  </si>
  <si>
    <t>Versão 8 do Modelo de Memória de Cálculo - Setembro de 2023</t>
  </si>
  <si>
    <t>*Seguir diretrizes do Manual de uso da marca do Governo de MG.</t>
  </si>
  <si>
    <t>Selecionar Termo Aditivo ou Em Branco</t>
  </si>
  <si>
    <t>1º Termo Aditivo</t>
  </si>
  <si>
    <t>2º Termo Aditivo</t>
  </si>
  <si>
    <t>3º Termo Aditivo</t>
  </si>
  <si>
    <t>4º Termo Aditivo</t>
  </si>
  <si>
    <t>5º Termo Aditivo</t>
  </si>
  <si>
    <t>6º Termo Aditivo</t>
  </si>
  <si>
    <t>7º Termo Aditivo</t>
  </si>
  <si>
    <t>8º Termo Aditivo</t>
  </si>
  <si>
    <t>9º Termo Aditivo</t>
  </si>
  <si>
    <t>10º Termo Aditivo</t>
  </si>
  <si>
    <t>11º Termo Aditivo</t>
  </si>
  <si>
    <t>12º Termo Aditivo</t>
  </si>
  <si>
    <t>13º Termo Aditivo</t>
  </si>
  <si>
    <t>14º Termo Aditivo</t>
  </si>
  <si>
    <t>15º Termo Aditivo</t>
  </si>
  <si>
    <t>16º Termo Aditivo</t>
  </si>
  <si>
    <t>17º Termo Aditivo</t>
  </si>
  <si>
    <t>18º Termo Aditivo</t>
  </si>
  <si>
    <t>19º Termo Aditivo</t>
  </si>
  <si>
    <t>20º Termo Aditivo</t>
  </si>
  <si>
    <t>Não</t>
  </si>
  <si>
    <t>Entradas</t>
  </si>
  <si>
    <t>Definição dos Períodos Avaliatórios</t>
  </si>
  <si>
    <t>Orçamento Anual</t>
  </si>
  <si>
    <t>Cronograma de Avaliações</t>
  </si>
  <si>
    <t>Cronograma de Desembolsos</t>
  </si>
  <si>
    <t>Nº</t>
  </si>
  <si>
    <t>Mêses</t>
  </si>
  <si>
    <t>Núm. do Período Automático</t>
  </si>
  <si>
    <t>Núm. do Período Corrigido (Preencher se necessário)</t>
  </si>
  <si>
    <t>Ano</t>
  </si>
  <si>
    <t>Repasses</t>
  </si>
  <si>
    <t>Receitas Arrecadadas</t>
  </si>
  <si>
    <t>Gastos</t>
  </si>
  <si>
    <t>AVALIAÇÃO</t>
  </si>
  <si>
    <t>PERÍODO AVALIADO</t>
  </si>
  <si>
    <t xml:space="preserve">MÊS </t>
  </si>
  <si>
    <t>PARCELAS</t>
  </si>
  <si>
    <t>VALOR (R$)</t>
  </si>
  <si>
    <t>MÊS</t>
  </si>
  <si>
    <t>CONDIÇÕES</t>
  </si>
  <si>
    <t>Mês de CA</t>
  </si>
  <si>
    <t>Mês de Repasse</t>
  </si>
  <si>
    <t>Repasses Anteriores</t>
  </si>
  <si>
    <t>Cont Repasse</t>
  </si>
  <si>
    <t>Nº Repasse</t>
  </si>
  <si>
    <t>PA Ini</t>
  </si>
  <si>
    <t>PA FIM</t>
  </si>
  <si>
    <t>Repasse</t>
  </si>
  <si>
    <t>Outras Receitas (Agrupado p/ Repasse)</t>
  </si>
  <si>
    <t>Soma Outras Receitas</t>
  </si>
  <si>
    <t>Saldo Remancesnte</t>
  </si>
  <si>
    <t>Nº PA selecionado</t>
  </si>
  <si>
    <t>Sim</t>
  </si>
  <si>
    <t>Tabela 1 - Previsão Sintética de Receitas e Gastos Mensais em Regime de Competência</t>
  </si>
  <si>
    <t>Total</t>
  </si>
  <si>
    <t>% do Total</t>
  </si>
  <si>
    <t>SR</t>
  </si>
  <si>
    <t>Saldo Remanescente</t>
  </si>
  <si>
    <t>Entrada de Recursos</t>
  </si>
  <si>
    <t>1.1</t>
  </si>
  <si>
    <t>1.2</t>
  </si>
  <si>
    <t>Rendimentos Fin.</t>
  </si>
  <si>
    <t>1.3</t>
  </si>
  <si>
    <t>1.3.1</t>
  </si>
  <si>
    <t>Receitas Arrecadadas Previstas</t>
  </si>
  <si>
    <t>1.3.2</t>
  </si>
  <si>
    <t>Rendimentos Fin. c/ Destinação Específica</t>
  </si>
  <si>
    <t>1.3.3</t>
  </si>
  <si>
    <t>Outras Receitas</t>
  </si>
  <si>
    <t>Subtotal Receitas:</t>
  </si>
  <si>
    <t>(E) Total de Entradas:</t>
  </si>
  <si>
    <t>S. Rem. (SR) + Ent. (E)</t>
  </si>
  <si>
    <t>Saída de Recursos</t>
  </si>
  <si>
    <t>2.1</t>
  </si>
  <si>
    <t>Gastos com Pessoal</t>
  </si>
  <si>
    <t>2.1.1</t>
  </si>
  <si>
    <t>Salários</t>
  </si>
  <si>
    <t>2.1.2</t>
  </si>
  <si>
    <t>Estagiários</t>
  </si>
  <si>
    <t>2.1.3</t>
  </si>
  <si>
    <t>Encargos</t>
  </si>
  <si>
    <t>2.1.4</t>
  </si>
  <si>
    <t>Benefícios</t>
  </si>
  <si>
    <t>Subtotal Pessoal:</t>
  </si>
  <si>
    <t>2.2</t>
  </si>
  <si>
    <t>Gastos Gerais</t>
  </si>
  <si>
    <t>2.3</t>
  </si>
  <si>
    <t>Aquisição de Bens Permanentes</t>
  </si>
  <si>
    <t>2.4</t>
  </si>
  <si>
    <t>Transferência para Reserva de Recursos</t>
  </si>
  <si>
    <t>2.5</t>
  </si>
  <si>
    <t>Custos de Desmobilização</t>
  </si>
  <si>
    <t>(S) Total de Saídas:</t>
  </si>
  <si>
    <t>Tabela 2 - Previsão de Gastos Gerais das Atividades</t>
  </si>
  <si>
    <t>Atividades</t>
  </si>
  <si>
    <t>Área Meio</t>
  </si>
  <si>
    <t>Casa de Semiliberdade Caminheiros de Jesus</t>
  </si>
  <si>
    <t>Casa de Semiliberdade Betânia</t>
  </si>
  <si>
    <t>Casa de Semiliberdade Muriaé</t>
  </si>
  <si>
    <t>Casa de Semiliberdade Governador Valadares</t>
  </si>
  <si>
    <t>Casa de Semiliberdade Ipatinga</t>
  </si>
  <si>
    <t>Casa de Semiliberdade Teófilo Otoni</t>
  </si>
  <si>
    <t>Casa de Semiliberdade Santa Amélia</t>
  </si>
  <si>
    <t>Casa de Semiliberdade Ipiranga</t>
  </si>
  <si>
    <t>Casa de Semiliberdade Letícia</t>
  </si>
  <si>
    <t>Casa de Semiliberdade São Luís</t>
  </si>
  <si>
    <t>Casa de Semiliberdade Venda Nova</t>
  </si>
  <si>
    <t>Casa de Semiliberdade Contagem</t>
  </si>
  <si>
    <t>Casa de Semiliberdade Ribeirão das Neves</t>
  </si>
  <si>
    <t>Casa de Semiliberdade Sete Lagoas</t>
  </si>
  <si>
    <t>Casa de Semiliberdade Feminina Uberlândia</t>
  </si>
  <si>
    <t>Casa de Semiliberdade Uberlândia</t>
  </si>
  <si>
    <t>Casa de Semiliberdade Patrocínio</t>
  </si>
  <si>
    <t>Casa de Semiliberdade Uberaba</t>
  </si>
  <si>
    <t>Casa de Semiliberdade Patos de Minas</t>
  </si>
  <si>
    <t>Destinação dos Gastos com Pessoal</t>
  </si>
  <si>
    <t>Destinação</t>
  </si>
  <si>
    <t>%</t>
  </si>
  <si>
    <t>Valor</t>
  </si>
  <si>
    <t>Área Fim</t>
  </si>
  <si>
    <t>Destinação dos Gastos Gerais e de Pessoal</t>
  </si>
  <si>
    <t>Tabela 3 - Previsão Analítica de Receitas e Gastos Mensais em Regime de Competência</t>
  </si>
  <si>
    <t>Subtotal Receitas</t>
  </si>
  <si>
    <t>(E) Total de Entradas</t>
  </si>
  <si>
    <t>Saldo Rem. (SR) + Entradas (E)</t>
  </si>
  <si>
    <t>Salários e Remunerações</t>
  </si>
  <si>
    <t>2.1.1.1</t>
  </si>
  <si>
    <t>2.1.1.2</t>
  </si>
  <si>
    <t>Adicional Noturno</t>
  </si>
  <si>
    <t>2.1.1.3</t>
  </si>
  <si>
    <t>DSR Adicional Noturno</t>
  </si>
  <si>
    <t>2.1.1.4</t>
  </si>
  <si>
    <t>Horas Extras</t>
  </si>
  <si>
    <t>2.1.1.5</t>
  </si>
  <si>
    <t>DSR Horas Extras</t>
  </si>
  <si>
    <t>2.1.1.6</t>
  </si>
  <si>
    <t>Adicional Periculosidade</t>
  </si>
  <si>
    <t>2.1.1.7</t>
  </si>
  <si>
    <t>Gratificação de função</t>
  </si>
  <si>
    <t>2.1.1.8</t>
  </si>
  <si>
    <t>Outros Gastos com Pessoal</t>
  </si>
  <si>
    <t>Subtotal Salários :</t>
  </si>
  <si>
    <t>2.1.2.1</t>
  </si>
  <si>
    <t>Bolsas Estágio</t>
  </si>
  <si>
    <t>2.1.2.2</t>
  </si>
  <si>
    <t>Auxílio Transporte</t>
  </si>
  <si>
    <t>Subtotal Estagiários:</t>
  </si>
  <si>
    <t>2.1.3.1</t>
  </si>
  <si>
    <t>INSS Patronal</t>
  </si>
  <si>
    <t>2.1.3.2</t>
  </si>
  <si>
    <t>PIS</t>
  </si>
  <si>
    <t>2.1.3.3</t>
  </si>
  <si>
    <t>FGTS</t>
  </si>
  <si>
    <t>2.1.3.4</t>
  </si>
  <si>
    <t>FGTS Multa Rescisória</t>
  </si>
  <si>
    <t>2.1.3.5</t>
  </si>
  <si>
    <t>13º Salário</t>
  </si>
  <si>
    <t>2.1.3.6</t>
  </si>
  <si>
    <t>Férias</t>
  </si>
  <si>
    <t>2.1.3.7</t>
  </si>
  <si>
    <t>1/3 de Férias</t>
  </si>
  <si>
    <t>2.1.3.8</t>
  </si>
  <si>
    <t>Rescisão de Trabalho</t>
  </si>
  <si>
    <t>2.1.3.9</t>
  </si>
  <si>
    <t>Medicina e Segurança do Trabalho</t>
  </si>
  <si>
    <t>2.1.3.10</t>
  </si>
  <si>
    <t>Custas com Justiça do Trabalho</t>
  </si>
  <si>
    <t>2.1.3.11</t>
  </si>
  <si>
    <t>Despesas Sindicais</t>
  </si>
  <si>
    <t>2.1.3.12</t>
  </si>
  <si>
    <t>Outros Encargos Trabalhistas</t>
  </si>
  <si>
    <t>Subtotal Encargos Trabalhistas:</t>
  </si>
  <si>
    <t>2.1.4.1</t>
  </si>
  <si>
    <t>Vale Transporte</t>
  </si>
  <si>
    <t>2.1.4.2</t>
  </si>
  <si>
    <t>Vale Alimentação</t>
  </si>
  <si>
    <t>2.1.4.3</t>
  </si>
  <si>
    <t>Plano de Saúde</t>
  </si>
  <si>
    <t>2.1.4.4</t>
  </si>
  <si>
    <t>Seguro de Vida</t>
  </si>
  <si>
    <t>2.1.4.5</t>
  </si>
  <si>
    <t>Plano Odontológico</t>
  </si>
  <si>
    <t>2.1.4.6</t>
  </si>
  <si>
    <t>Cesta Básica</t>
  </si>
  <si>
    <t>2.1.4.7</t>
  </si>
  <si>
    <t>Bem Estar Social</t>
  </si>
  <si>
    <t>2.1.4.8</t>
  </si>
  <si>
    <t>Cessão de Imagem</t>
  </si>
  <si>
    <t>2.1.4.9</t>
  </si>
  <si>
    <t>Outros Benefícios</t>
  </si>
  <si>
    <t>Subtotal Benefícios:</t>
  </si>
  <si>
    <t>2.2.1</t>
  </si>
  <si>
    <t>Aluguel</t>
  </si>
  <si>
    <t>2.2.2</t>
  </si>
  <si>
    <t>Condomínio</t>
  </si>
  <si>
    <t>2.2.3</t>
  </si>
  <si>
    <t>IPTU</t>
  </si>
  <si>
    <t>2.2.4</t>
  </si>
  <si>
    <t>Seguros de Imóveis</t>
  </si>
  <si>
    <t>2.2.5</t>
  </si>
  <si>
    <t>Energia Elétrica</t>
  </si>
  <si>
    <t>2.2.6</t>
  </si>
  <si>
    <t>Água e Esgoto</t>
  </si>
  <si>
    <t>2.2.7</t>
  </si>
  <si>
    <t>Telefone Fixo</t>
  </si>
  <si>
    <t>2.2.8</t>
  </si>
  <si>
    <t>Telefone Móvel</t>
  </si>
  <si>
    <t>2.2.9</t>
  </si>
  <si>
    <t>Internet</t>
  </si>
  <si>
    <t>2.2.10</t>
  </si>
  <si>
    <t>Serviços de Internet (Web Design, Hospedagem de Site, outros)</t>
  </si>
  <si>
    <t>2.2.11</t>
  </si>
  <si>
    <t>Assessoria Contábil</t>
  </si>
  <si>
    <t>2.2.12</t>
  </si>
  <si>
    <t>Assessoria Jurídica</t>
  </si>
  <si>
    <t>2.2.13</t>
  </si>
  <si>
    <t>Auditoria Externa</t>
  </si>
  <si>
    <t>2.2.14</t>
  </si>
  <si>
    <t>Consultoria</t>
  </si>
  <si>
    <t>2.2.15</t>
  </si>
  <si>
    <t>Publicidade, Comunicação e Marketing</t>
  </si>
  <si>
    <t>2.2.16</t>
  </si>
  <si>
    <t>Serviços de Registro/Produção Audiovisual</t>
  </si>
  <si>
    <t>2.2.17</t>
  </si>
  <si>
    <t>Assinatura de Certificado Digital</t>
  </si>
  <si>
    <t>2.2.18</t>
  </si>
  <si>
    <t>Assinatura de Periódicos e Aquisição de Livros</t>
  </si>
  <si>
    <t>2.2.19</t>
  </si>
  <si>
    <t>Aquisição e Suporte em Softwares</t>
  </si>
  <si>
    <t>2.2.20</t>
  </si>
  <si>
    <t>Manutenção e Reparos em Redes e Computadores</t>
  </si>
  <si>
    <t>2.2.21</t>
  </si>
  <si>
    <t>Serviços de Instalação e Manutenção Elétrica e Hidráulica</t>
  </si>
  <si>
    <t>2.2.22</t>
  </si>
  <si>
    <t>Manutenção e Reparos em Ar Condicionado</t>
  </si>
  <si>
    <t>2.2.23</t>
  </si>
  <si>
    <t>Serviços de Montagem e Desmontagem de Mobiliário</t>
  </si>
  <si>
    <t>2.2.24</t>
  </si>
  <si>
    <t>Locação de Equipamentos e Máquinas</t>
  </si>
  <si>
    <t>2.2.25</t>
  </si>
  <si>
    <t>Serviços de Manutenção em Equipamentos e Máquinas</t>
  </si>
  <si>
    <t>2.2.26</t>
  </si>
  <si>
    <t>Uniformes</t>
  </si>
  <si>
    <t>2.2.27</t>
  </si>
  <si>
    <t>Serviços de Entrega/Recarga de Vale Transportes</t>
  </si>
  <si>
    <t>2.2.28</t>
  </si>
  <si>
    <t>Serviços de Mão-de-obra Terceirizada</t>
  </si>
  <si>
    <t>2.2.29</t>
  </si>
  <si>
    <t>Serviços de Motoboy</t>
  </si>
  <si>
    <t>2.2.30</t>
  </si>
  <si>
    <t>Serviços de Segurança</t>
  </si>
  <si>
    <t>2.2.31</t>
  </si>
  <si>
    <t>Correios e Telégrafos</t>
  </si>
  <si>
    <t>2.2.32</t>
  </si>
  <si>
    <t>Cartório</t>
  </si>
  <si>
    <t>2.2.33</t>
  </si>
  <si>
    <t>Despesas Bancárias</t>
  </si>
  <si>
    <t>2.2.34</t>
  </si>
  <si>
    <t>Taxa de Expediente</t>
  </si>
  <si>
    <t>2.2.35</t>
  </si>
  <si>
    <t>Taxas Municipais, Estaduais e Federais</t>
  </si>
  <si>
    <t>2.2.36</t>
  </si>
  <si>
    <t>I.O.F</t>
  </si>
  <si>
    <t>2.2.37</t>
  </si>
  <si>
    <t>I.R.R.F s/ Aplicações</t>
  </si>
  <si>
    <t>2.2.38</t>
  </si>
  <si>
    <t>Juros e Multas</t>
  </si>
  <si>
    <t>2.2.39</t>
  </si>
  <si>
    <t>Material de Limpeza</t>
  </si>
  <si>
    <t>2.2.40</t>
  </si>
  <si>
    <t>Material de Copa e Cozinha</t>
  </si>
  <si>
    <t>2.2.41</t>
  </si>
  <si>
    <t>Lanches e Refeiçoes</t>
  </si>
  <si>
    <t>2.2.42</t>
  </si>
  <si>
    <t>Serviços Gráficos</t>
  </si>
  <si>
    <t>2.2.43</t>
  </si>
  <si>
    <t>Material de Informática</t>
  </si>
  <si>
    <t>2.2.44</t>
  </si>
  <si>
    <t>Material de Escritorio</t>
  </si>
  <si>
    <t>2.2.45</t>
  </si>
  <si>
    <t>Material Pedagógico/Didático</t>
  </si>
  <si>
    <t>2.2.46</t>
  </si>
  <si>
    <t>Locação de Espaço</t>
  </si>
  <si>
    <t>2.2.47</t>
  </si>
  <si>
    <t>Buffet</t>
  </si>
  <si>
    <t>2.2.48</t>
  </si>
  <si>
    <t>Eventos</t>
  </si>
  <si>
    <t>2.2.49</t>
  </si>
  <si>
    <t>Cursos</t>
  </si>
  <si>
    <t>2.2.50</t>
  </si>
  <si>
    <t>Taxi</t>
  </si>
  <si>
    <t>2.2.51</t>
  </si>
  <si>
    <t>Locação de Veículos</t>
  </si>
  <si>
    <t>2.2.52</t>
  </si>
  <si>
    <t>Locação de Veículos com Motorista</t>
  </si>
  <si>
    <t>2.2.53</t>
  </si>
  <si>
    <t>Fretes e Carretos</t>
  </si>
  <si>
    <t>2.2.54</t>
  </si>
  <si>
    <t>Combustível</t>
  </si>
  <si>
    <t>2.2.55</t>
  </si>
  <si>
    <t>Estacionamento</t>
  </si>
  <si>
    <t>2.2.56</t>
  </si>
  <si>
    <t>IPVA/Seguro Obrigatório/Licenciamento</t>
  </si>
  <si>
    <t>2.2.57</t>
  </si>
  <si>
    <t>Seguro de Veículos</t>
  </si>
  <si>
    <t>2.2.58</t>
  </si>
  <si>
    <t>Manutenção em Veículos</t>
  </si>
  <si>
    <t>2.2.59</t>
  </si>
  <si>
    <t>Despesas de Viagem - Passagem Aérea</t>
  </si>
  <si>
    <t>2.2.60</t>
  </si>
  <si>
    <t>Despesas de Viagem - Passagem Terrestre</t>
  </si>
  <si>
    <t>2.2.61</t>
  </si>
  <si>
    <t>Despesas de Viagem</t>
  </si>
  <si>
    <t>2.2.62</t>
  </si>
  <si>
    <t>Outros Gastos Gerais</t>
  </si>
  <si>
    <t>Subtotal Gastos Gerais:</t>
  </si>
  <si>
    <t>2.3.1</t>
  </si>
  <si>
    <t>Máquinas, Aparelhos, Utensílios e Equipamentos de Uso Industrial</t>
  </si>
  <si>
    <t>2.3.2</t>
  </si>
  <si>
    <t>Equipamentos de Comunicação e Telefonia</t>
  </si>
  <si>
    <t>2.3.3</t>
  </si>
  <si>
    <t>Equipamentos de Informática</t>
  </si>
  <si>
    <t>2.3.4</t>
  </si>
  <si>
    <t>Equipamentos de Som, Vídeo, Fotográfico e Cinematográfico</t>
  </si>
  <si>
    <t>2.3.5</t>
  </si>
  <si>
    <t>Máquinas, Aparelhos, Utensílios e Equip. de Uso Administrativo</t>
  </si>
  <si>
    <t>2.3.6</t>
  </si>
  <si>
    <t>Material Esportivo e Recreativo</t>
  </si>
  <si>
    <t>2.3.7</t>
  </si>
  <si>
    <t>Mobiliário</t>
  </si>
  <si>
    <t>2.3.8</t>
  </si>
  <si>
    <t>Veículos</t>
  </si>
  <si>
    <t>2.3.9</t>
  </si>
  <si>
    <t>Coleção e Materiais Bibliográficos</t>
  </si>
  <si>
    <t>2.3.10</t>
  </si>
  <si>
    <t>Instrumentos Musicais e Artísticos</t>
  </si>
  <si>
    <t>2.3.11</t>
  </si>
  <si>
    <t>Equipamentos de Segurança Eletrônica</t>
  </si>
  <si>
    <t>2.3.12</t>
  </si>
  <si>
    <t>Material Didático</t>
  </si>
  <si>
    <t>2.3.13</t>
  </si>
  <si>
    <t>Partituras</t>
  </si>
  <si>
    <t>2.3.14</t>
  </si>
  <si>
    <t>Outros Materiais Permanentes</t>
  </si>
  <si>
    <t>Subtotal Aquisição de Bens:</t>
  </si>
  <si>
    <t>(S) Total de Saídas</t>
  </si>
  <si>
    <t>Tabela 4 - Previsão Mensal dos Encargos e Benefícios de Pessoal</t>
  </si>
  <si>
    <t>Detalhamento Celetistas</t>
  </si>
  <si>
    <t>Total
(Rem. Bruta
+ Encargos
+ Benefícios)</t>
  </si>
  <si>
    <t>Cargo</t>
  </si>
  <si>
    <t>Qnt. Trab.</t>
  </si>
  <si>
    <t>Salário Individual</t>
  </si>
  <si>
    <t>Gratificação de Função</t>
  </si>
  <si>
    <t>Detalhamento Estagiários</t>
  </si>
  <si>
    <t>Total
(Bolsa Estág.
+ Férias
+ Benefícios)</t>
  </si>
  <si>
    <t>Qnt. Estag.</t>
  </si>
  <si>
    <t>Bolsa Estágio
Individual</t>
  </si>
  <si>
    <t>Tabela 5 - Previsão de Gastos com Pessoal</t>
  </si>
  <si>
    <t xml:space="preserve">Plano de Saúde </t>
  </si>
  <si>
    <t>Qnt. Trabalhadores</t>
  </si>
  <si>
    <t>Carga-Horária 
(Semanal)</t>
  </si>
  <si>
    <t>Mês Inicial de Trabalho</t>
  </si>
  <si>
    <t>Mês Final de Trabalho</t>
  </si>
  <si>
    <t>1ª Convenção Coletiva de Trabalho - CCT</t>
  </si>
  <si>
    <t>2ª Convenção Coletiva de Trabalho - CCT</t>
  </si>
  <si>
    <t>3ª Convenção Coletiva de Trabalho - CCT</t>
  </si>
  <si>
    <t>4ª Convenção Coletiva de Trabalho - CCT</t>
  </si>
  <si>
    <t>5ª Convenção Coletiva de Trabalho - CCT</t>
  </si>
  <si>
    <t>Gastos Mensais 
Antes do Reajuste</t>
  </si>
  <si>
    <t>PESQUISA DE MERCADO¹</t>
  </si>
  <si>
    <t>Atividades do Termo de Parceria</t>
  </si>
  <si>
    <t>Mês da Data Base</t>
  </si>
  <si>
    <t>% de Reajuste da Rem.</t>
  </si>
  <si>
    <t>Aumento do Valor dos Benefícios</t>
  </si>
  <si>
    <t>Remuneração Bruta do Cargo</t>
  </si>
  <si>
    <t xml:space="preserve">Total
(Rem. Bruta
+ Encargos
+ Benefícios) </t>
  </si>
  <si>
    <t>Salário Médio</t>
  </si>
  <si>
    <t>Menor Salário</t>
  </si>
  <si>
    <t>Maior Salário</t>
  </si>
  <si>
    <t>1º Aumento de Bolsa Estágio</t>
  </si>
  <si>
    <t>2º Aumento de Bolsa Estágio</t>
  </si>
  <si>
    <t>3º Aumento de Bolsa Estágio</t>
  </si>
  <si>
    <t>4º Aumento de Bolsa Estágio</t>
  </si>
  <si>
    <t>5º Aumento de Bolsa Estágio</t>
  </si>
  <si>
    <t>% de Reajuste da Bolsa Estágio</t>
  </si>
  <si>
    <t>1) Descrição da Pesquisa de Mercado</t>
  </si>
  <si>
    <t>Tabela 6 - Previsão de Aquisição de Bens Permanentes</t>
  </si>
  <si>
    <t>Item</t>
  </si>
  <si>
    <t>Subcategoria</t>
  </si>
  <si>
    <t>Descrição</t>
  </si>
  <si>
    <t>Mês</t>
  </si>
  <si>
    <t>Valor Unitário</t>
  </si>
  <si>
    <t>Quantidade</t>
  </si>
  <si>
    <t>Justificativa para Aquisição</t>
  </si>
  <si>
    <t>Tabela 7 - Previsão Detalhada do Fluxo de Gastos Gerais em Regime de Competência</t>
  </si>
  <si>
    <t>Nº Lançto</t>
  </si>
  <si>
    <t>Mês Inicial</t>
  </si>
  <si>
    <t>Mês Final</t>
  </si>
  <si>
    <t>Observações</t>
  </si>
  <si>
    <t>Valor Total do Lançamento</t>
  </si>
  <si>
    <t>Total de Gastos Gerais</t>
  </si>
  <si>
    <t>Tabela 8 - Previsão Detalhada dos Custos de Desmobilização em Regime de Competência</t>
  </si>
  <si>
    <t>Categoria</t>
  </si>
  <si>
    <t>Total de Gastos de Desmobilização</t>
  </si>
  <si>
    <t>_____________________</t>
  </si>
  <si>
    <t>Belo Horizonte,          de                     de</t>
  </si>
  <si>
    <t>Receitas</t>
  </si>
  <si>
    <t>Rendimentos de Aplicações Fin.</t>
  </si>
  <si>
    <t>Repasses do Termo de Parceria</t>
  </si>
  <si>
    <t>Rendimentos Financeiros da Reserva de Recursos</t>
  </si>
  <si>
    <t>Receita Arrecadada em Função do TP</t>
  </si>
  <si>
    <t>Gastos da Reserva de Recursos</t>
  </si>
  <si>
    <t>Hora Extra</t>
  </si>
  <si>
    <t>DSR sobre Hora Extra/Adic. Noturno</t>
  </si>
  <si>
    <t>Bolsa Estágio</t>
  </si>
  <si>
    <t>Rescisão de Trabalho (Saldo Salário, Aviso Prévio, outros)</t>
  </si>
  <si>
    <t>Subdiretor de Segurança</t>
  </si>
  <si>
    <t>Advogado</t>
  </si>
  <si>
    <t>Assistente Social</t>
  </si>
  <si>
    <t>Pedagogo</t>
  </si>
  <si>
    <t>Psicologo</t>
  </si>
  <si>
    <t>Terapeuta Ocupacional</t>
  </si>
  <si>
    <t>Administrativo</t>
  </si>
  <si>
    <t>Auxiliar Educacional</t>
  </si>
  <si>
    <t>Auxiliar de Serviços Gerais</t>
  </si>
  <si>
    <t>Motorista</t>
  </si>
  <si>
    <t>Socioeducador - D</t>
  </si>
  <si>
    <t>Socioeducador - NC</t>
  </si>
  <si>
    <t>Socioeducador - N</t>
  </si>
  <si>
    <t>Socioeducador - DC</t>
  </si>
  <si>
    <t>Beneficios CCT</t>
  </si>
  <si>
    <t>Aluguel com vistas a garantir o adequado atendimento aos adolescentes.</t>
  </si>
  <si>
    <t>Tarifa locatícia com vistas a garantir a locação do imóvel</t>
  </si>
  <si>
    <t>Custo de serviço estimado na capacidade de atendimento prevista no Contrato de Gestão</t>
  </si>
  <si>
    <t>Uniformes previstos para assegurar o atendimento a demandas relativas ao atendimento, atendimento aos indicadores e produtos previstos no Contrato de Gestão</t>
  </si>
  <si>
    <t>Custo para manuteção e regularidade dos documentos da unidade socioeducativa vinculada ao Contrato de Gestão.</t>
  </si>
  <si>
    <t>Materiais para manutenção da unidade socioeducativa</t>
  </si>
  <si>
    <t>Serviço destinado a manuteção e reparo com a rede de computadores disponíveis para empregados vinculados ao Contrato de Gestão ou para realização de oficinas previstas no Plano de  Trabalho</t>
  </si>
  <si>
    <t>Serviço destinado a manuteção e/ou reparo em ar condicionado vinculado as atividades realizadas na unidade socioeducativa</t>
  </si>
  <si>
    <t>Locação de equipamentos necessários a execução das atividades administrativas e vinculados ao atendimento na unidade socioeducativa</t>
  </si>
  <si>
    <t>Serviço previsto para manuteção de equipamentos ou maquinas adquiridas no Contrato de Gestão</t>
  </si>
  <si>
    <t>Serviço destinado ao atendimento de envio de correspondencias vinculadas a unidade socioeducativa.</t>
  </si>
  <si>
    <t>Aquisição de materiais necessários para assunção das atividades vinculadas ao atendimento na unidade socioeducativa, desenvolvimento de oficinas e para implantação do produto cozinha escola.</t>
  </si>
  <si>
    <t>serviço contratado para fornecimento de lanches e refeições para adolescentes, empregados e ações voltadas para festividades e comemorações na unidade socioeducativa</t>
  </si>
  <si>
    <t>Serviço destinado a confecção de peças gráficas vinculadas a produções realizadas pelos adolescentes, para realição de campanhas e oficinas, elboração de documentos da unidade socioeducativa</t>
  </si>
  <si>
    <t>Aquisição de materiais necessários ao pleno e regular atendimento das áreas temáticas ensino, profissionalização, segurança entre outros vinculados ao contrato de gestão</t>
  </si>
  <si>
    <t>Previsão de locação de espaços destinado a entrega dos produtos vinculados ao contrato de gestão: seminários, capacitações, eventos, campeonatos.</t>
  </si>
  <si>
    <t>Subscategoria incluida para atender ao indicador cursos profissionalizantes de acordo com indicação da unidade socioeucativa</t>
  </si>
  <si>
    <t>Valor destinado a assegurar a manuteção da unidade socioeducativa</t>
  </si>
  <si>
    <t>Item obrigatório para garantir o atendimento a todas as rotinas previstas no plano de trabalho na unidade socioeducativa</t>
  </si>
  <si>
    <t>Despesa prevista para assegurar a participação da unidade socioeducativa em seminários, treinamentos, capacitações, reuniões, intercamnio entre equipes, tudo de acordo com os produtos que devem ser entregues pela unidade socioeucativa.</t>
  </si>
  <si>
    <t>locação de veículo destinado a realização das atividades vinculados ao Contrato de Gestão</t>
  </si>
  <si>
    <t>serviços indicados para entrega do produto implantação do plano de manuteção  da infraestrutura da unidade socioeducativa</t>
  </si>
  <si>
    <t>profissionais serão contratados conforme previsões do RCC para atender aos produtos a serem entregues no Contrato de Gestão, a exemplo: incentivo aos estudos, preparatórios, oficina de esporte, entre outros</t>
  </si>
  <si>
    <t>Diretor Geral de Unidade Socioeducativa</t>
  </si>
  <si>
    <t xml:space="preserve">Smarttphone </t>
  </si>
  <si>
    <t xml:space="preserve">Servidor / processador i5 / 8Gb / DDR 3 /SSD 240 </t>
  </si>
  <si>
    <t>nobreak 1000VA</t>
  </si>
  <si>
    <t>HD Externo  2TB</t>
  </si>
  <si>
    <t>mesa de totó</t>
  </si>
  <si>
    <t>mesa de ping pong</t>
  </si>
  <si>
    <t>mesas de escritorio com 02 gavetas c/chave - de 1,20 *60</t>
  </si>
  <si>
    <t>mesas de escritorio s/ gavetas  de 1,20 *60</t>
  </si>
  <si>
    <t>mesa de reunião de 2,00*1,00</t>
  </si>
  <si>
    <t xml:space="preserve">mesa redonda 1,00*1,00 </t>
  </si>
  <si>
    <t>mesa diretor s/gaveta 1,20*60*74</t>
  </si>
  <si>
    <t>gaveteiro volante c/4gavetas 46,9*46*70</t>
  </si>
  <si>
    <t>mesa  retangular  80*60</t>
  </si>
  <si>
    <t xml:space="preserve">armario aço de 02 portas e 03 pratileiras 1,70*90*0,35 </t>
  </si>
  <si>
    <t>armario aço de 02 portas e 03 pratileiras 1,90*1,20*40</t>
  </si>
  <si>
    <t>armário ropeiro de aço 12 portas</t>
  </si>
  <si>
    <t xml:space="preserve">cadeira secretaria giratoria c/ braço digitador reg. Altura </t>
  </si>
  <si>
    <t xml:space="preserve">cadeira diretor giratoria c/ braço digitador reg. Altura </t>
  </si>
  <si>
    <t xml:space="preserve">cadeira fixa </t>
  </si>
  <si>
    <t xml:space="preserve">estante de aço 1,98*090*30 </t>
  </si>
  <si>
    <t>camas beliche em madeira</t>
  </si>
  <si>
    <t xml:space="preserve">TV smart 43" </t>
  </si>
  <si>
    <t xml:space="preserve">TV smart 24" </t>
  </si>
  <si>
    <t>purificador de água capacidade 20 pessoas</t>
  </si>
  <si>
    <t>mesa para refeitorio</t>
  </si>
  <si>
    <t xml:space="preserve">ventilador parede de 60 cm </t>
  </si>
  <si>
    <t>ventilador coluna de 60 cm</t>
  </si>
  <si>
    <t>notebook/ core i3/ 4gb /SSD 256 gb / tela 15,6"</t>
  </si>
  <si>
    <t>impressora colorida</t>
  </si>
  <si>
    <t>DVR 16 canais</t>
  </si>
  <si>
    <t>Analista Administrativo</t>
  </si>
  <si>
    <t>Custo de serviço estimado no fornecimento de 03 telefones móveis para a direção geral da unidade, subdiretor de segurança e equipe de atendimento capacidade de atendimento prevista no Contrato de Gestão</t>
  </si>
  <si>
    <t>Custo de serviço estimado para fornecimento 03 linhas telefonicas para direção geral da unidade, subdireção de segurança e equipe de atendimento, considenrando a capacidade de atendimento prevista no Contrato de Gestão</t>
  </si>
  <si>
    <t>Custo de serviço estimado para fornecimento de 03 linhas telefonicas para direção geral da unidade, subdireção de segurança e equipe de atendimento, considerando a capacidade de atendimento prevista no Contrato de Gestão</t>
  </si>
  <si>
    <t>Custo de serviço estimado para fornecimento se linha telefonica para direção geral da unidade, subdireção de segurança e equipe de atendimento, considerando a capacidade de atendimento prevista no Contrato de Gestão</t>
  </si>
  <si>
    <t>12x36</t>
  </si>
  <si>
    <t>Serviço de hospedagem e servidor virtual dedicado a alocar informações correspondentes a parceria e contrato de gestão, gestão de contas de email, armazenamento de nuvem dentre outros serviços necessários</t>
  </si>
  <si>
    <t>Custo de locação necessário a manter a area meio do PEMSE, sede e subsede, respectivamente responsáveis pelo acompanhamento de todas as entregas previstas no contrato de gestão (indicadores e produtos).</t>
  </si>
  <si>
    <t>Custo de condomínio sobre a locação realizada a fim de manter a area meio do PEMSE, sede e subsede, respectivamente responsáveis pelo acompanhamento de todas as entregas previstas no contrato de gestão (indicadores e produtos).</t>
  </si>
  <si>
    <t>Custo de IPTU sobre a locação realizada a fim de manter a area meio do PEMSE, sede e subsede, respectivamente responsáveis pelo acompanhamento de todas as entregas previstas no contrato de gestão (indicadores e produtos).</t>
  </si>
  <si>
    <t>Seguro necessário as exigências locatícias (seguro incêndio e seguro fiança) ambos necessários para manuteção da area meio do PEMSE, sede e subsede, respectivamente responsáveis pelo acompanhamento de todas as entregas previstas no contrato de gestão (indicadores e produtos).</t>
  </si>
  <si>
    <t>Custo com concessionária pública responsável pelo fornecimento de energia eletrica para atender a area meio do PEMSE, sede e subsede, respectivamente responsáveis pelo acompanhamento de todas as entregas previstas no contrato de gestão (indicadores e produtos).</t>
  </si>
  <si>
    <t>Custo de telefonia e ou internet necessários para atender a sede e subsede do PEMSE vinculados ao acompanhamento do contrato de gestão.</t>
  </si>
  <si>
    <t>Serviço responsável pela gestão contábil e trabalhista e de todos processos que envolvem as finalidades do Contrato de Gestão.</t>
  </si>
  <si>
    <t>tablete wifi 32gb / tela 8,7</t>
  </si>
  <si>
    <t>quadro de cortiça 90*1,20</t>
  </si>
  <si>
    <t>quadro branco 90*1,20</t>
  </si>
  <si>
    <t>quadro branco 2,00*1,20</t>
  </si>
  <si>
    <t>armario de medicamentos</t>
  </si>
  <si>
    <t>Ar condionado 9000 btus</t>
  </si>
  <si>
    <t>Ar condionado 12000 btus</t>
  </si>
  <si>
    <t>Aquisição de materiais necessários para atividades vinculadas ao atendimento e desenvolvimento de oficinas de esporte e lazer.</t>
  </si>
  <si>
    <t>Aquisição de materiais necessários para atividades vinculadas ao atendimento na unidade socioeducativa no desenvolvimento de oficinas de esporte e lazer.</t>
  </si>
  <si>
    <t xml:space="preserve">Cameras de CFTV </t>
  </si>
  <si>
    <t>Switch Gigabit Tp-link 24 Porta</t>
  </si>
  <si>
    <t>Roteador wifi 1167Mbps</t>
  </si>
  <si>
    <t>Cofre para arma de fogo</t>
  </si>
  <si>
    <t>Detector de metal</t>
  </si>
  <si>
    <t>Caixa Aplificadora</t>
  </si>
  <si>
    <t>Fogão o4 bocas</t>
  </si>
  <si>
    <t>Refrigerador 310L</t>
  </si>
  <si>
    <t>Maquina de lavar roupas de 15KG</t>
  </si>
  <si>
    <t>Microondas de 30 litros</t>
  </si>
  <si>
    <t>Chapa Bifeteira a  gás 100cm</t>
  </si>
  <si>
    <t>Liquidificador industrial de 4 Litros</t>
  </si>
  <si>
    <t>Bebedouro de agua industrial coluna de 25 lt</t>
  </si>
  <si>
    <t>Lavadora de alta pressão</t>
  </si>
  <si>
    <t>Aparelho de pressão digital</t>
  </si>
  <si>
    <t>Furadeira de auto impacto 750w</t>
  </si>
  <si>
    <t xml:space="preserve">Pia inox 150*70*85 com tanque </t>
  </si>
  <si>
    <t xml:space="preserve">Batedeira planetária industrial 110V </t>
  </si>
  <si>
    <t xml:space="preserve">Amassadeira Semi Rápida Basculante 25 Kg </t>
  </si>
  <si>
    <t xml:space="preserve">Cilindro  de massa G  </t>
  </si>
  <si>
    <t>Forno Turbo 10 Esteiras à Gás FTG 300 G Paniz</t>
  </si>
  <si>
    <t xml:space="preserve">Bancada de Apoio Total Inox 1,90m X 0,90m BAI 1900/900 </t>
  </si>
  <si>
    <t xml:space="preserve">Freezer Vertical Metalfrio 509 Litros </t>
  </si>
  <si>
    <t>Balcão refrigerado 3 portas</t>
  </si>
  <si>
    <t>Fritadeira a Gás Industrial 45 Litros</t>
  </si>
  <si>
    <t>Fogao Industrial 6 Bocas M-15 Q/d Premium</t>
  </si>
  <si>
    <t>Multi Processador de Alimentos</t>
  </si>
  <si>
    <t>arquivo aço c/04 gavetas</t>
  </si>
  <si>
    <t>Forno industrial a gás 80x60</t>
  </si>
  <si>
    <t>Escada de alumínio 5 degraus</t>
  </si>
  <si>
    <t>violão, teclado, caojn, pandeiro, carrilhão, tantan etc.</t>
  </si>
  <si>
    <t>Auxilio Transporte</t>
  </si>
  <si>
    <t>Gestão dos processos de comunicação, publicidade e marketing institucional</t>
  </si>
  <si>
    <t>contratação de serviço necessário a realizar desmobilização em eventual necessidade.</t>
  </si>
  <si>
    <t>Valor previsto para locação de impressoras para atender os processos de impressão da área meio</t>
  </si>
  <si>
    <t>Aquisição de uniformes para os trabalhadores vinculados ao contrato de gestão e que estejam em serviço nas unidades de atendimento socioeducativo</t>
  </si>
  <si>
    <t>valor previsto para manutenção preventiva em equipamentos das intalações da area meio.</t>
  </si>
  <si>
    <t>Serviço mensal de suporte e manutenção dos equipamentos, computadores e demais itens de uso da area meio.</t>
  </si>
  <si>
    <t>Serviço de malote e envio de correspondencias</t>
  </si>
  <si>
    <t>Custo de serviços cartoriais em geral</t>
  </si>
  <si>
    <t>Valor provisionado para eventuais despensas bancárias em transações que não admitem a espécie de dispensa de cobrança.</t>
  </si>
  <si>
    <t>Taxas e expedientes eventuais que surgirem das unidades socioeducativas vinculadas ao contrato de gestão</t>
  </si>
  <si>
    <t>Lanches e refeiçoes para uso da area meio e em eventuais momentos de capacitação e treinamento realizados nas sedes do PEMSE para empregados vinculados ao contrato de gestão.</t>
  </si>
  <si>
    <t>valor para eventuais serviços em gráfica rapida.</t>
  </si>
  <si>
    <t>Aquisição de itens e materiais de consumo em informática essenciais para manutenção do atendimento prestado.</t>
  </si>
  <si>
    <t>materiais de escritório padrão para uso exclusivo da area meio</t>
  </si>
  <si>
    <t>Valor provisionado para realização de seminário, encontros e ações vinculadas ao contrato de gestão.</t>
  </si>
  <si>
    <t>valor previsto para emergências vinculadas a deslocamentos que não disponham de veículo ou outro meio de transporte igualmente eficaz, desde que justificado e autorizado pelo setor responsável.</t>
  </si>
  <si>
    <t>Locação de veículos destinado a execução e acompanhamento das atividades realizadas nas 19 unidades socioeducativas pelas coordenações técnicas.</t>
  </si>
  <si>
    <t>valor previsto para fretes e carretos necessários durante a execução do contrato de gestão.</t>
  </si>
  <si>
    <t>Valor previsto para abastecimento de veículo destinado ao uso dos coordenadores técnicos em acompanhamento das atividades vinculadas ao Contrato de Gestão.</t>
  </si>
  <si>
    <t>Valor previsto para pagamento de estacionamento em deslocamentos que não seja possível outro meio de parada autorizada pela administração pública ou órgão responsável pela via.</t>
  </si>
  <si>
    <t>Valor previsto para eventual custo com veículos utilizados pela parceria e autorizados pelo supervisor do Contrato de Gestão</t>
  </si>
  <si>
    <t>Valores provisionados para eventual despesa de transporte para empregados vinculados ao contrato de gestão e que atuem na area meio ou conforme previa validação dos critérios previstos no RCC para sua concessão.</t>
  </si>
  <si>
    <t xml:space="preserve">Serviço responsável pelo acompanhamento dos processos e contratos vinculados ao Contrato de Gestão, treinamento jurídico trabalhista, assessoramento aos trabalhadores; acompanhamento jurídico dos contratos, emissão de parecer, laudos e reviões nas modalidades previstas no RCC (imóveis, prestadores de serviço e outros); </t>
  </si>
  <si>
    <t>Gerir processos externos de controle contábil, administrativo e financeiro da parceria. Por se tratar de verba pública é necessário a execução anual para assegurar processos confiáveis e modernos de apresentação de resultados. Serviço necessário para realizar diagnósticos de problemas operacionais objetivando a melhora nos processos de gestão, atendimento e aprimoramento da parceria e compliance.</t>
  </si>
  <si>
    <t>Despesa prevista para assegurar a participação da unidade socioeducativa em seminários, treinamentos, capacitações, reuniões, intercambio entre equipes, tudo de acordo com os produtos que devem ser entregues pela unidade socioeucativa;</t>
  </si>
  <si>
    <t>Valor provisionado para manuteção preventiva e corretiva de veículos alocados nas unidades socioeducativas.</t>
  </si>
  <si>
    <t>Despesa prevista para assegurar a participação de familiares de adolescentes nas atividades da unidade, realizar visitas; visitas do adolescente no territorio, a fim de assegurar manuteção de vínculos familiares e comunitários;</t>
  </si>
  <si>
    <t>Desmobilização casa de semiliberdade Bethania</t>
  </si>
  <si>
    <t>Desmobilização casa de semiliberdade caminheiros de jesus</t>
  </si>
  <si>
    <t>Desmobilização casa de semiliberdade muriaé</t>
  </si>
  <si>
    <t>Desmobilização casa de semiliberdade Teófilo Otoni</t>
  </si>
  <si>
    <t>Desmobilização casa de semiliberdade Ipatinga</t>
  </si>
  <si>
    <t>Desmobilização casa de semiliberdade Governador Valadares</t>
  </si>
  <si>
    <t>Desmobilização casa de semiliberdade Santa Amélia</t>
  </si>
  <si>
    <t>Desmobilização casa de semiliberdade Ipiranga</t>
  </si>
  <si>
    <t>Desmobilização casa de semiliberdade Letícia</t>
  </si>
  <si>
    <t>Desmobilização casa de semiliberdade São Luiz</t>
  </si>
  <si>
    <t>Desmobilização casa de semiliberdade Venda Nova</t>
  </si>
  <si>
    <t>Desmobilização casa de semiliberdade Contagem</t>
  </si>
  <si>
    <t>Desmobilização casa de semiliberdade Ribeirão das Neves</t>
  </si>
  <si>
    <t>Desmobilização casa de semiliberdade Sete Lagoas</t>
  </si>
  <si>
    <t>Desmobilização casa de semiliberdade feminina Uberlândia</t>
  </si>
  <si>
    <t>Desmobilização casa de semiliberdade Patos de Minas</t>
  </si>
  <si>
    <t>Desmobilização casa de semiliberdade Patrocínio</t>
  </si>
  <si>
    <t>Desmobilização casa de semiliberdade Uberlândia</t>
  </si>
  <si>
    <t>Valor provisionado para realizar todo processo de adequação do imóvel que será necessário para realizar as atividades prevsitas no Contrato de Gestão.</t>
  </si>
  <si>
    <t>Aquisição de computador para rodagem do sistema CFTV na central de monitoramento que irá acompanhar as atividades vinculadas no Contrato de Gestão.</t>
  </si>
  <si>
    <t>Computador processador Core I7, memoria ram 16GB, SSD 480 GB e periféricos</t>
  </si>
  <si>
    <t>Smart TV 32'' e suportes</t>
  </si>
  <si>
    <t>Realização de cursos de brigada de incendio para todos os colaboradores vinculados ao Contrato de Gestão para manutenção do certificado AVCB.</t>
  </si>
  <si>
    <t>tablete wifi 32gb / tela 10,5</t>
  </si>
  <si>
    <t>Switch Gigabit  24 Portas</t>
  </si>
  <si>
    <t>Caminheiros de Jesus</t>
  </si>
  <si>
    <t>Betânia</t>
  </si>
  <si>
    <t>Muriaé</t>
  </si>
  <si>
    <t>Governador Valadares</t>
  </si>
  <si>
    <t>Ipatinga</t>
  </si>
  <si>
    <t>Teófilo Otoni</t>
  </si>
  <si>
    <t>Santa Amélia</t>
  </si>
  <si>
    <t>Ipiranga</t>
  </si>
  <si>
    <t>Letícia</t>
  </si>
  <si>
    <t>São Luís</t>
  </si>
  <si>
    <t>Venda Nova</t>
  </si>
  <si>
    <t>Contagem</t>
  </si>
  <si>
    <t>Ribeirão das Neves</t>
  </si>
  <si>
    <t>Sete Lagoas</t>
  </si>
  <si>
    <t>Feminina Uberlândia</t>
  </si>
  <si>
    <t>Uberlândia</t>
  </si>
  <si>
    <t>Patrocínio</t>
  </si>
  <si>
    <t>Uberaba</t>
  </si>
  <si>
    <t>Patos de Minas</t>
  </si>
  <si>
    <t>Serviço de controle de pragas urbanas e higienização de caixa d'água/reservatório de água</t>
  </si>
  <si>
    <t>Serviços de manutenção ou reparo de imóvel</t>
  </si>
  <si>
    <t>Serviço de carga e recarga de extintores</t>
  </si>
  <si>
    <t>Gás de cozinha</t>
  </si>
  <si>
    <t>Auto de Vistoria do Corpo de Bombeiros/Projeto contra Incêndio</t>
  </si>
  <si>
    <t>Roupa de Cama/Banho</t>
  </si>
  <si>
    <t>Artigos de higiene pessoal</t>
  </si>
  <si>
    <t>Equipamentos para segurança pessoal e industrial</t>
  </si>
  <si>
    <t>Medicamentos e produtos farmacêuticos</t>
  </si>
  <si>
    <t>Material elétrico e eletrônico</t>
  </si>
  <si>
    <t>Fotografias para registros</t>
  </si>
  <si>
    <t>2.2.63</t>
  </si>
  <si>
    <t>2.2.64</t>
  </si>
  <si>
    <t>2.2.65</t>
  </si>
  <si>
    <t>2.2.66</t>
  </si>
  <si>
    <t>2.2.67</t>
  </si>
  <si>
    <t>2.2.68</t>
  </si>
  <si>
    <t>2.2.69</t>
  </si>
  <si>
    <t>2.2.70</t>
  </si>
  <si>
    <t>2.2.71</t>
  </si>
  <si>
    <t>2.2.72</t>
  </si>
  <si>
    <t>2.2.73</t>
  </si>
  <si>
    <t>Serviço obrigatório para adequação sanitária do serviço prestado conforme exigência municipal. Segue cronograma de serviço a cada 3 meses;</t>
  </si>
  <si>
    <t>Aquisição de materiais necessários para atender as demandas de segurança socioeducativa prevista no plano de trabalho.</t>
  </si>
  <si>
    <t>lixeira de 100/200 litros com rodas</t>
  </si>
  <si>
    <t>Aquisição de aparelho para reposição ou troca de bens em uso nas unidades socioeducativas</t>
  </si>
  <si>
    <t>Aquisição de novos computadores para reposição, subistituição ou ampliação do setor de atendimento.</t>
  </si>
  <si>
    <t>Reposiçao de equipamentos</t>
  </si>
  <si>
    <t xml:space="preserve">reposição de bens </t>
  </si>
  <si>
    <t>reposição de bens</t>
  </si>
  <si>
    <t>Reposiçao materiais outros</t>
  </si>
  <si>
    <t xml:space="preserve">Reposição de materiais não descritos e fundamentais para execução de atividades vinculadas ao contrato de gestão, para entrega de novos produtos, alteração de indicadores ou por força de acordo/determinação judicial </t>
  </si>
  <si>
    <t>Aquição de materiais, reposição de equipamentos que sejam objeto de atendimento a produtos vinculados ao Contrato de Gestão, que atendam a indicadores de resultado ou mesmo que sejam originários de decisão ou acordo judicla emanado do OEP.</t>
  </si>
  <si>
    <t xml:space="preserve">reposição de equipamentos de comunicação e telefonia previstos nas unidades socioeducativas </t>
  </si>
  <si>
    <t>reposição de materiais</t>
  </si>
  <si>
    <t>Resposição de materiais de informatica essenciais para desenvolvimento das atividades nas unidades socioeducativas</t>
  </si>
  <si>
    <t>Reposição de materiais esportivos diversos que são utilizados nas atividades esportiva educacional</t>
  </si>
  <si>
    <t>Reposição de equipamentos e funcionamento do CFTV, cameras, cabos, aparelhos, TVs etc.</t>
  </si>
  <si>
    <t>Reposição de equipamentos de som e video não previstos nas atividades e que tenham relação direta com o cumprimento de algum indicador de resultado pactuado ou previso para resultado dos ciclos de avaliação</t>
  </si>
  <si>
    <t>Aquisição, reposição e maquinas, aparelhos, utensílios e outros equipamentos de uso administrativo para uso nas atividades previsitas no  Contrato de Gestão.</t>
  </si>
  <si>
    <t>Reserva de recurso mensal para realização de reparo, manutenção ou adequação na unidade socioeducativa</t>
  </si>
  <si>
    <t>Aquisição de artigos de higiene pessoal para adolescentes em cumprimento de medida socioeducativa</t>
  </si>
  <si>
    <t>Aquisção de medicamentos eventualmente inexistente na rede de saúde pública local</t>
  </si>
  <si>
    <t>compra de pequena monta de materiais eletricos ou eletronicos e que não estejam disponíveis como compra geral feita pela area meio</t>
  </si>
  <si>
    <t>reserva de recurso para retirar fotografia de adolescentes em caso de demanda.</t>
  </si>
  <si>
    <t>Compra de gás para realização das atividades, oficinas e demais ações necessárias ao atendimento</t>
  </si>
  <si>
    <t>serviço de recarga e manuteção de estintores instalados na unidade socioeducativa, incluindo troca ou reposição de placas sinalizadoras.</t>
  </si>
  <si>
    <t>resposição de roupas de roupas de cama e banho para adolescentes;</t>
  </si>
  <si>
    <t>seguro obrigatório e licenciamento de veículo cedido.</t>
  </si>
  <si>
    <t xml:space="preserve"> </t>
  </si>
  <si>
    <t>Realização de cursos de brigada de incendio para todos os colaboradores vinculados ao Contrato de Gestão para manutenção do certificado AVCB, e valores correspondente a renovação documental</t>
  </si>
  <si>
    <t>Certificado digital necessário para setor de contabilidade.</t>
  </si>
  <si>
    <t>custo mensal de agua e esgoto para uso da area meio.</t>
  </si>
  <si>
    <t>Aquisição de materiais necessários para as atividades vinculadas ao atendimento nas unidades socioeducativas Sete Lagos</t>
  </si>
  <si>
    <t>Aquisição de materiais necessários para as atividades vinculadas ao atendimento nas unidades socioeducativas Ribeirão das Neves</t>
  </si>
  <si>
    <t>Item necessário para implantação do produto Cozinha escola prevista no Plano de Trabalho do Contrato de Gestão naquelas unidades socioeducativas que tiverem espaço</t>
  </si>
  <si>
    <t>Despesa prevista para assegurar a participação da unidade socioeducativa em seminários, treinamentos, capacitações, reuniões, intercambio entre equipes, tudo de acordo com os produtos que devem ser entregues pela unidade socioeucativa. Diária de passagem</t>
  </si>
  <si>
    <t>Valores provisionados para eventual despesa de transporte para empregados vinculados ao contrato de gestão e que atuem na area meio ou conforme previa validação dos critérios previstos no RCC para sua concessão. Despesa de diária de viagem</t>
  </si>
  <si>
    <t>Coordenador Técnico 2</t>
  </si>
  <si>
    <t>Coordenador Técnico 1</t>
  </si>
  <si>
    <t>Ar condicionado 9000 btus</t>
  </si>
  <si>
    <t>Ar condicionado 12000 btus</t>
  </si>
  <si>
    <t>Material de higiene pessoal para uso da area meio</t>
  </si>
  <si>
    <t>Assessoria de RH para os processos de recrutamento e seleção permanente, respeitados os critérios e condições do RCC, eficácia, eficiencia e publicidade além de todos os principios da administração pública.</t>
  </si>
  <si>
    <t>Valor provisionado para despesas de menor monta, correspondente ao previso no RCC.</t>
  </si>
  <si>
    <t>Recurso provisionado para manutenção e reparo do imóvel conforme plano de trabalho</t>
  </si>
  <si>
    <t>Valor provisionado para despesas emergenciais nas unidades socioeducativas</t>
  </si>
  <si>
    <t>Memória de Cálculo
Contrato de Gestão nº 10/2023 celebrado entre a Secretaria de Estado de Justiça e Segurança Pública - SEJUSP e  o Pólo de Evolução de Medidas Socioeducativas</t>
  </si>
  <si>
    <t>FERNANDO RINCO ROCHA</t>
  </si>
  <si>
    <t>PRESIDENTE</t>
  </si>
  <si>
    <t>765.451.486-72</t>
  </si>
  <si>
    <t>Lavras</t>
  </si>
  <si>
    <t>Itabira</t>
  </si>
  <si>
    <t>Aquisição de materiais necessários para as atividades vinculadas ao atendimento nas unidades socioeducativas Lavras e Itabira</t>
  </si>
  <si>
    <t>Aquisição de materiais necessários para implantação do sistema CFTV para as casas  Lavras e Itabira</t>
  </si>
  <si>
    <t>Aquisição de cofre para atendimento nas casas de Itabira, Lavras, Ribeirão das Neves e Sete Lagoas</t>
  </si>
  <si>
    <t>Aquisição de materiais necessários para as atividades vinculadas ao atendimento nas unidades socioeducativas Itabira, Lavras, Ribeirão das Neves e Sete Lagoras</t>
  </si>
  <si>
    <t>Aquisição de 1 maquina de lavar para atender as unidades socioeducativas Lavras, Itabira, Ribeirão das Neves e Sete Lagoas.</t>
  </si>
  <si>
    <t>Aquisição deum microondas para atender  as atividades vinculadas ao atendimento nas unidades socioeducativas Lavras, Itabira, Ribeirão das Neves e Sete Lagoas.</t>
  </si>
  <si>
    <t>Aquisição de até 2 TVs para atender as atividades vinculadas as unidades socioeducativas Lavras, Itabira, Ribeirão das Neves e Sete Lagoas.</t>
  </si>
  <si>
    <t>Aquisição de uma TV para implantação do sistema CFTV das casas  Lavras, Itabira, Ribeirão das Neves e Sete Lagoas.</t>
  </si>
  <si>
    <t>Aquisição de forno a gás para atender as atividades e oficinas previstas nas unidades socioeducativas Lavras, Itabira, Ribeirão das Neves e Sete Lagoas.</t>
  </si>
  <si>
    <t>Aquisição de uma chapa bifiteira para atender as oficinas e atividades das unidades socioeducativas Lavras, Itabira, Ribeirão das Neves e Sete Lagoas.</t>
  </si>
  <si>
    <t>Aquisição de um liquidificador industrial para atender as atividades e oficinas que serão desenvolvidas nas unidades socioeducativas Lavras, Itabira, Ribeirão das Neves e Sete Lagoas.</t>
  </si>
  <si>
    <t>Aquisição de um bebedeouro de coluna para atender as unidades socioeducativas Lavras, Itabira, Ribeirão das Neves e Sete Lagoas.</t>
  </si>
  <si>
    <t>Aquisição de um purificador de agua para atender as equipes socioeducativas das unidades Lavras, Itabira, Ribeirão das Neves e Sete Lagoas.</t>
  </si>
  <si>
    <t>Aquisição de ventiladores suficientes para melhor acomodação e climatização das unidades socioeducativas Lavras, Itabira, Ribeirão das Neves e Sete Lagoas.</t>
  </si>
  <si>
    <t>Aquisição de materiais necessários para as atividades vinculadas ao atendimento nas unidades socioeducativas Lavras, Itabira, Ribeirão das Neves e Sete Lagoas.</t>
  </si>
  <si>
    <t>Aquisição de ar condicionado para adequação dos ambientes das unidades socieoeducativas Lavras, Itabira, Ribeirão das Neves e Sete Lagoas.</t>
  </si>
  <si>
    <t>Escada para desenvolvimento de atividades nas unidades socioeducativas Lavras, Itabira, Ribeirão das Neves e Sete Lagoas.</t>
  </si>
  <si>
    <t>Aquisição de materiais necessários para implementação de oficinas de lazer e cultura em 4 unidades socioeducativas, uma vez que casa de Uberlândia já possui financiamento para realizar esse custo</t>
  </si>
  <si>
    <t>Aquisição de materiais necessários para as atividades vinculadas ao atendimento nas unidades socioeducativas Sete Lagoas e Ribeirão das Neves</t>
  </si>
  <si>
    <t>Desmobilização casa de semiliberdade Lavras</t>
  </si>
  <si>
    <t>Desmobilização casa de semiliberdade Itabira</t>
  </si>
  <si>
    <t>Vale Trasnporte</t>
  </si>
  <si>
    <t>Mobiliário implementação casa Ribeirão das Neves</t>
  </si>
  <si>
    <t>aquisição de bens para implentação casa Ribeirão das Neves</t>
  </si>
  <si>
    <t>aquisição de outros bens Ribeirão das Neves</t>
  </si>
  <si>
    <t>aquisição de bens para implentação casa Sete Lagoas</t>
  </si>
  <si>
    <t>Mobiliário implementação casa Sete Lagoas</t>
  </si>
  <si>
    <t>Aquisição de itens de informatica</t>
  </si>
  <si>
    <t>aquisição de outros bens Sete Lagoas</t>
  </si>
  <si>
    <t>A Lei da Aprendizagem, estalecida pela Lei 10.097 de 2000 consagra regras, direitos e deveres de contratação de jovens aprendizes, com idade entre 14 e 24 anos, pelas empresas, em percentual de 5% e máximo de 15% do número de empregado da instituição.</t>
  </si>
  <si>
    <t>Analista de Recrutamento e Seleção</t>
  </si>
  <si>
    <t>Analista de Recursos Humanos</t>
  </si>
  <si>
    <t>Coordenador Técnico 3</t>
  </si>
  <si>
    <t>Microcomputador completo/ processador i5 / 8Gb / SSD 128 / monitor 19" / cpu/ mouse/ teclado/ estabilizador / placa de som e video / webcam .</t>
  </si>
  <si>
    <t>Aquisição de materiais necessários para as atividades vinculadas ao atendimento nas unidades socioeducativas Lavras /Itabira /contagem e Feminina de Uberlândia.</t>
  </si>
  <si>
    <t>Aquisição de materiais necessários para as atividades vinculadas ao atendimento nas unidades socioeducativas Lavras /Itabira</t>
  </si>
  <si>
    <t>Rádio HT DEP550</t>
  </si>
  <si>
    <t>Aquisição de materiais necessários para as atividades vinculadas ao atendimento nas unidades socioeducativas Lavras/Itabira</t>
  </si>
  <si>
    <t>Rádio HT DE550</t>
  </si>
  <si>
    <t>Bateria Radio HT DEP550</t>
  </si>
  <si>
    <t xml:space="preserve">TV smart 32" </t>
  </si>
  <si>
    <t>Microcomputador completo/ processador i5 / 8Gb / SSD 128 / monitor 19" / cpu/ mouse/ teclado/ estabilizador / placa de som e video / webcam . Ou superior</t>
  </si>
  <si>
    <t>vestuário previstos para assegurar o atendimento a demandas relativas ao atendimento, atendimento aos indicadores e produtos previstos no Contrato de Gestão</t>
  </si>
  <si>
    <t>Suporte de software para atendimento aos serviços prestados no ambito do contrato de gestão, ponto biométrico</t>
  </si>
  <si>
    <t>Material de limpeza e uso geral das unidades socioeducativas que sejam adquiridos por meio de ato convocatório ou outro instrumento de compra ampliada.</t>
  </si>
  <si>
    <t>materiais de uso na copa e cozinha, como eventuais necessidades surgidas nas casas de semiliberdade</t>
  </si>
  <si>
    <t>Aquisição de material pedagógica para as unidades socioeducativas durante o periodo do contrato de gestão.</t>
  </si>
  <si>
    <t>Locação de Van, onibus ou outra modalidade de transporte para utilização de empregados em períodos que envolverem atividades coletivas com adolescentes e ou funcionários.</t>
  </si>
  <si>
    <t>Aquisição de itens necessários a execução das ações de segurança socioeducativa previstas.</t>
  </si>
  <si>
    <t xml:space="preserve">Serviços de assessoria administrativa, organização documental e prestação de contas; visa funcionamento organizado, fluido e acima de tudo otimizado. É serviço essencial junto com serviços contábeis para assegurar as melhores práticas de administração. </t>
  </si>
  <si>
    <t>Assessoria administrativa para aquisições para compra de bens e contratação de serviços; treinamento, controle e lançamento de patrimônio;  além de toda otimização necessária a atingir os objetivos da parceria.</t>
  </si>
  <si>
    <t>Despesa prevista para assegurar a participação de colaboradores em seminários, treinamentos, capacitações, reuniões, intercambio, tudo de acordo com os produtos que devem ser entregues pela unidade socioeucativa;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</si>
</sst>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_(&quot;R$ &quot;* #,##0.00_);_(&quot;R$ &quot;* \(#,##0.00\);_(&quot;R$ &quot;* \-??_);_(@_)"/>
    <numFmt numFmtId="165" formatCode="_(* #,##0.00_);_(* \(#,##0.00\);_(* \-??_);_(@_)"/>
    <numFmt numFmtId="166" formatCode="mmm/yyyy"/>
    <numFmt numFmtId="167" formatCode="d/m/yyyy"/>
    <numFmt numFmtId="168" formatCode="yyyy"/>
    <numFmt numFmtId="169" formatCode="_(* #,##0_);_(* \(#,##0\);_(* \-??_);_(@_)"/>
    <numFmt numFmtId="170" formatCode="00"/>
  </numFmts>
  <fonts count="40">
    <font>
      <sz val="10"/>
      <name val="Arial"/>
      <charset val="134"/>
    </font>
    <font>
      <sz val="11"/>
      <color rgb="FF000000"/>
      <name val="Calibri"/>
      <family val="2"/>
    </font>
    <font>
      <sz val="11"/>
      <name val="Times New Roman"/>
      <family val="1"/>
    </font>
    <font>
      <b/>
      <sz val="16"/>
      <name val="Arial"/>
      <family val="2"/>
    </font>
    <font>
      <b/>
      <sz val="16"/>
      <color rgb="FFFF0000"/>
      <name val="Arial"/>
      <family val="2"/>
    </font>
    <font>
      <sz val="18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sz val="14"/>
      <color rgb="FFFF0000"/>
      <name val="Arial"/>
      <family val="2"/>
    </font>
    <font>
      <b/>
      <sz val="12"/>
      <name val="Arial"/>
      <family val="2"/>
    </font>
    <font>
      <sz val="11"/>
      <color rgb="FFFF0000"/>
      <name val="Times New Roman"/>
      <family val="1"/>
    </font>
    <font>
      <b/>
      <sz val="11"/>
      <name val="Arial"/>
      <family val="2"/>
    </font>
    <font>
      <b/>
      <sz val="10"/>
      <name val="Arial"/>
      <family val="2"/>
    </font>
    <font>
      <b/>
      <sz val="11"/>
      <name val="Calibri"/>
      <family val="2"/>
    </font>
    <font>
      <sz val="11"/>
      <name val="Calibri"/>
      <family val="2"/>
    </font>
    <font>
      <sz val="8"/>
      <name val="Verdana"/>
      <family val="2"/>
    </font>
    <font>
      <b/>
      <sz val="8"/>
      <name val="Verdana"/>
      <family val="2"/>
    </font>
    <font>
      <b/>
      <sz val="11"/>
      <name val="Verdana"/>
      <family val="2"/>
    </font>
    <font>
      <b/>
      <sz val="8"/>
      <name val="Arial"/>
      <family val="2"/>
    </font>
    <font>
      <sz val="7.8"/>
      <name val="Arial"/>
      <family val="2"/>
    </font>
    <font>
      <sz val="8"/>
      <name val="Arial"/>
      <family val="2"/>
    </font>
    <font>
      <b/>
      <sz val="7.8"/>
      <name val="Arial"/>
      <family val="2"/>
    </font>
    <font>
      <sz val="12"/>
      <name val="Arial"/>
      <family val="2"/>
    </font>
    <font>
      <b/>
      <i/>
      <sz val="8"/>
      <name val="Arial"/>
      <family val="2"/>
    </font>
    <font>
      <sz val="9"/>
      <name val="Arial"/>
      <family val="2"/>
    </font>
    <font>
      <sz val="10"/>
      <color rgb="FFFF0000"/>
      <name val="Arial"/>
      <family val="2"/>
    </font>
    <font>
      <b/>
      <sz val="9"/>
      <name val="Arial"/>
      <family val="2"/>
    </font>
    <font>
      <sz val="16"/>
      <name val="Arial"/>
      <family val="2"/>
    </font>
    <font>
      <sz val="20"/>
      <name val="Arial"/>
      <family val="2"/>
    </font>
    <font>
      <b/>
      <sz val="20"/>
      <name val="Arial"/>
      <family val="2"/>
    </font>
    <font>
      <i/>
      <sz val="18"/>
      <color rgb="FFFF0000"/>
      <name val="Arial"/>
      <family val="2"/>
    </font>
    <font>
      <i/>
      <sz val="18"/>
      <color rgb="FFFF0000"/>
      <name val="Times New Roman"/>
      <family val="1"/>
    </font>
    <font>
      <sz val="11"/>
      <name val="Arial"/>
      <family val="2"/>
    </font>
    <font>
      <sz val="11"/>
      <color rgb="FF000000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sz val="9"/>
      <name val="Arial"/>
      <family val="2"/>
    </font>
    <font>
      <i/>
      <sz val="16"/>
      <name val="Arial"/>
      <family val="2"/>
    </font>
    <font>
      <sz val="8"/>
      <color rgb="FFFF0000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rgb="FFFFFFFF"/>
        <bgColor rgb="FFF2F2F2"/>
      </patternFill>
    </fill>
    <fill>
      <patternFill patternType="solid">
        <fgColor rgb="FFBFBFBF"/>
        <bgColor rgb="FFA6A6A6"/>
      </patternFill>
    </fill>
    <fill>
      <patternFill patternType="solid">
        <fgColor rgb="FFFDEADA"/>
        <bgColor rgb="FFF2F2F2"/>
      </patternFill>
    </fill>
    <fill>
      <patternFill patternType="solid">
        <fgColor rgb="FF7F7F7F"/>
        <bgColor rgb="FF666699"/>
      </patternFill>
    </fill>
    <fill>
      <patternFill patternType="solid">
        <fgColor rgb="FFFAC090"/>
        <bgColor rgb="FFD9D9D9"/>
      </patternFill>
    </fill>
    <fill>
      <patternFill patternType="solid">
        <fgColor rgb="FFA6A6A6"/>
        <bgColor rgb="FFBFBFBF"/>
      </patternFill>
    </fill>
    <fill>
      <patternFill patternType="solid">
        <fgColor rgb="FFD9D9D9"/>
        <bgColor rgb="FFFDEADA"/>
      </patternFill>
    </fill>
    <fill>
      <patternFill patternType="solid">
        <fgColor rgb="FFF2F2F2"/>
        <bgColor rgb="FFFDEADA"/>
      </patternFill>
    </fill>
  </fills>
  <borders count="39">
    <border>
      <left/>
      <right/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/>
      <right style="thin">
        <color auto="1"/>
      </right>
      <top/>
      <bottom style="medium">
        <color auto="1"/>
      </bottom>
      <diagonal/>
    </border>
    <border>
      <left style="thin">
        <color auto="1"/>
      </left>
      <right/>
      <top/>
      <bottom style="medium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/>
      <diagonal/>
    </border>
    <border>
      <left style="dotted">
        <color auto="1"/>
      </left>
      <right style="dotted">
        <color auto="1"/>
      </right>
      <top/>
      <bottom style="medium">
        <color auto="1"/>
      </bottom>
      <diagonal/>
    </border>
    <border>
      <left style="dotted">
        <color auto="1"/>
      </left>
      <right style="thin">
        <color auto="1"/>
      </right>
      <top/>
      <bottom/>
      <diagonal/>
    </border>
    <border>
      <left style="dotted">
        <color auto="1"/>
      </left>
      <right style="dotted">
        <color auto="1"/>
      </right>
      <top style="medium">
        <color auto="1"/>
      </top>
      <bottom/>
      <diagonal/>
    </border>
    <border>
      <left style="dotted">
        <color auto="1"/>
      </left>
      <right style="dotted">
        <color auto="1"/>
      </right>
      <top/>
      <bottom/>
      <diagonal/>
    </border>
    <border>
      <left style="dotted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</borders>
  <cellStyleXfs count="14">
    <xf numFmtId="0" fontId="0" fillId="0" borderId="0"/>
    <xf numFmtId="165" fontId="34" fillId="0" borderId="0" applyBorder="0" applyProtection="0"/>
    <xf numFmtId="9" fontId="34" fillId="0" borderId="0" applyBorder="0" applyProtection="0"/>
    <xf numFmtId="164" fontId="34" fillId="0" borderId="0" applyBorder="0" applyProtection="0"/>
    <xf numFmtId="164" fontId="34" fillId="0" borderId="0" applyBorder="0" applyProtection="0"/>
    <xf numFmtId="164" fontId="34" fillId="0" borderId="0" applyBorder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1" fillId="0" borderId="0"/>
    <xf numFmtId="0" fontId="1" fillId="0" borderId="0"/>
    <xf numFmtId="9" fontId="34" fillId="0" borderId="0" applyBorder="0" applyProtection="0"/>
    <xf numFmtId="165" fontId="34" fillId="0" borderId="0" applyBorder="0" applyProtection="0"/>
  </cellStyleXfs>
  <cellXfs count="417">
    <xf numFmtId="0" fontId="0" fillId="0" borderId="0" xfId="0"/>
    <xf numFmtId="0" fontId="2" fillId="2" borderId="0" xfId="7" applyFont="1" applyFill="1"/>
    <xf numFmtId="0" fontId="3" fillId="2" borderId="0" xfId="7" applyFont="1" applyFill="1" applyAlignment="1" applyProtection="1">
      <alignment horizontal="center" vertical="center" wrapText="1"/>
      <protection locked="0"/>
    </xf>
    <xf numFmtId="0" fontId="4" fillId="2" borderId="0" xfId="7" applyFont="1" applyFill="1" applyAlignment="1" applyProtection="1">
      <alignment horizontal="center"/>
      <protection locked="0"/>
    </xf>
    <xf numFmtId="0" fontId="5" fillId="2" borderId="0" xfId="7" applyFont="1" applyFill="1" applyAlignment="1">
      <alignment horizontal="center"/>
    </xf>
    <xf numFmtId="0" fontId="6" fillId="2" borderId="0" xfId="7" applyFont="1" applyFill="1" applyAlignment="1">
      <alignment horizontal="center"/>
    </xf>
    <xf numFmtId="166" fontId="7" fillId="2" borderId="0" xfId="0" applyNumberFormat="1" applyFont="1" applyFill="1" applyAlignment="1" applyProtection="1">
      <alignment horizontal="center"/>
      <protection locked="0"/>
    </xf>
    <xf numFmtId="0" fontId="7" fillId="2" borderId="0" xfId="0" applyFont="1" applyFill="1" applyAlignment="1" applyProtection="1">
      <alignment horizontal="center"/>
      <protection locked="0"/>
    </xf>
    <xf numFmtId="0" fontId="8" fillId="2" borderId="0" xfId="0" applyFont="1" applyFill="1" applyAlignment="1" applyProtection="1">
      <alignment horizontal="center"/>
      <protection locked="0"/>
    </xf>
    <xf numFmtId="0" fontId="9" fillId="2" borderId="1" xfId="0" applyFont="1" applyFill="1" applyBorder="1" applyAlignment="1" applyProtection="1">
      <alignment horizontal="center" vertical="center"/>
      <protection locked="0"/>
    </xf>
    <xf numFmtId="0" fontId="10" fillId="2" borderId="0" xfId="7" applyFont="1" applyFill="1" applyProtection="1">
      <protection locked="0"/>
    </xf>
    <xf numFmtId="167" fontId="2" fillId="2" borderId="0" xfId="7" applyNumberFormat="1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12" fillId="0" borderId="0" xfId="0" applyFont="1" applyAlignment="1">
      <alignment horizontal="left" vertical="center"/>
    </xf>
    <xf numFmtId="0" fontId="0" fillId="0" borderId="2" xfId="0" applyBorder="1" applyAlignment="1" applyProtection="1">
      <alignment horizontal="center" vertical="center"/>
      <protection locked="0"/>
    </xf>
    <xf numFmtId="0" fontId="12" fillId="0" borderId="0" xfId="0" applyFont="1"/>
    <xf numFmtId="0" fontId="0" fillId="0" borderId="0" xfId="0" applyAlignment="1">
      <alignment horizontal="left" vertical="center"/>
    </xf>
    <xf numFmtId="0" fontId="0" fillId="0" borderId="0" xfId="0" applyAlignment="1">
      <alignment horizontal="center" vertical="center"/>
    </xf>
    <xf numFmtId="17" fontId="0" fillId="0" borderId="2" xfId="0" applyNumberFormat="1" applyBorder="1" applyAlignment="1" applyProtection="1">
      <alignment horizontal="center" vertical="center"/>
      <protection locked="0"/>
    </xf>
    <xf numFmtId="2" fontId="0" fillId="0" borderId="0" xfId="0" applyNumberFormat="1"/>
    <xf numFmtId="0" fontId="12" fillId="3" borderId="1" xfId="0" applyFont="1" applyFill="1" applyBorder="1" applyAlignment="1">
      <alignment horizontal="center" vertical="center" wrapText="1"/>
    </xf>
    <xf numFmtId="0" fontId="13" fillId="3" borderId="1" xfId="0" applyFont="1" applyFill="1" applyBorder="1" applyAlignment="1">
      <alignment horizontal="center" vertical="center" wrapText="1"/>
    </xf>
    <xf numFmtId="0" fontId="13" fillId="0" borderId="0" xfId="0" applyFont="1" applyAlignment="1">
      <alignment horizontal="center" vertical="center" wrapText="1"/>
    </xf>
    <xf numFmtId="0" fontId="13" fillId="4" borderId="0" xfId="0" applyFont="1" applyFill="1" applyAlignment="1">
      <alignment horizontal="center" vertical="center" wrapText="1"/>
    </xf>
    <xf numFmtId="2" fontId="13" fillId="3" borderId="4" xfId="0" applyNumberFormat="1" applyFont="1" applyFill="1" applyBorder="1" applyAlignment="1">
      <alignment horizontal="center" vertical="center" wrapText="1"/>
    </xf>
    <xf numFmtId="2" fontId="13" fillId="5" borderId="4" xfId="0" applyNumberFormat="1" applyFont="1" applyFill="1" applyBorder="1" applyAlignment="1">
      <alignment horizontal="center" vertical="center" wrapText="1"/>
    </xf>
    <xf numFmtId="0" fontId="13" fillId="6" borderId="4" xfId="0" applyFont="1" applyFill="1" applyBorder="1" applyAlignment="1">
      <alignment horizontal="center" vertical="center" wrapText="1"/>
    </xf>
    <xf numFmtId="0" fontId="12" fillId="0" borderId="1" xfId="0" applyFont="1" applyBorder="1" applyAlignment="1">
      <alignment horizontal="center" vertical="center" wrapText="1"/>
    </xf>
    <xf numFmtId="0" fontId="0" fillId="0" borderId="0" xfId="0" applyAlignment="1">
      <alignment horizontal="right" vertical="center"/>
    </xf>
    <xf numFmtId="166" fontId="0" fillId="0" borderId="0" xfId="0" applyNumberFormat="1" applyAlignment="1">
      <alignment horizontal="right" vertical="center"/>
    </xf>
    <xf numFmtId="0" fontId="0" fillId="0" borderId="0" xfId="0" applyProtection="1">
      <protection locked="0"/>
    </xf>
    <xf numFmtId="1" fontId="0" fillId="0" borderId="0" xfId="0" applyNumberFormat="1" applyAlignment="1">
      <alignment horizontal="right" vertical="center"/>
    </xf>
    <xf numFmtId="4" fontId="0" fillId="0" borderId="0" xfId="0" applyNumberFormat="1" applyAlignment="1">
      <alignment horizontal="right" vertical="center"/>
    </xf>
    <xf numFmtId="0" fontId="14" fillId="2" borderId="0" xfId="0" applyFont="1" applyFill="1" applyAlignment="1">
      <alignment horizontal="center" vertical="center" wrapText="1"/>
    </xf>
    <xf numFmtId="166" fontId="14" fillId="0" borderId="0" xfId="0" applyNumberFormat="1" applyFont="1" applyAlignment="1">
      <alignment horizontal="center" vertical="center" wrapText="1"/>
    </xf>
    <xf numFmtId="4" fontId="14" fillId="2" borderId="0" xfId="0" applyNumberFormat="1" applyFont="1" applyFill="1" applyAlignment="1">
      <alignment horizontal="center" vertical="center" wrapText="1"/>
    </xf>
    <xf numFmtId="166" fontId="14" fillId="2" borderId="0" xfId="0" applyNumberFormat="1" applyFont="1" applyFill="1" applyAlignment="1">
      <alignment horizontal="center" vertical="center" wrapText="1"/>
    </xf>
    <xf numFmtId="0" fontId="14" fillId="2" borderId="0" xfId="0" applyFont="1" applyFill="1" applyAlignment="1">
      <alignment horizontal="left" vertical="center" wrapText="1"/>
    </xf>
    <xf numFmtId="0" fontId="0" fillId="2" borderId="0" xfId="0" applyFill="1"/>
    <xf numFmtId="166" fontId="0" fillId="4" borderId="0" xfId="0" applyNumberFormat="1" applyFill="1"/>
    <xf numFmtId="166" fontId="14" fillId="4" borderId="0" xfId="0" applyNumberFormat="1" applyFont="1" applyFill="1" applyAlignment="1">
      <alignment horizontal="center" vertical="center" wrapText="1"/>
    </xf>
    <xf numFmtId="4" fontId="0" fillId="0" borderId="4" xfId="0" applyNumberFormat="1" applyBorder="1"/>
    <xf numFmtId="4" fontId="0" fillId="2" borderId="4" xfId="0" applyNumberFormat="1" applyFill="1" applyBorder="1"/>
    <xf numFmtId="0" fontId="0" fillId="2" borderId="0" xfId="0" applyFill="1" applyAlignment="1">
      <alignment horizontal="center" vertical="center"/>
    </xf>
    <xf numFmtId="0" fontId="0" fillId="0" borderId="0" xfId="0" applyAlignment="1" applyProtection="1">
      <alignment horizontal="right" vertical="center"/>
      <protection locked="0"/>
    </xf>
    <xf numFmtId="0" fontId="0" fillId="4" borderId="0" xfId="0" applyFill="1"/>
    <xf numFmtId="0" fontId="0" fillId="0" borderId="3" xfId="0" applyBorder="1" applyAlignment="1">
      <alignment horizontal="right" vertical="center"/>
    </xf>
    <xf numFmtId="166" fontId="0" fillId="0" borderId="3" xfId="0" applyNumberFormat="1" applyBorder="1" applyAlignment="1">
      <alignment horizontal="right" vertical="center"/>
    </xf>
    <xf numFmtId="0" fontId="15" fillId="0" borderId="0" xfId="7" applyFont="1" applyAlignment="1" applyProtection="1">
      <alignment vertical="center"/>
      <protection locked="0"/>
    </xf>
    <xf numFmtId="0" fontId="16" fillId="0" borderId="0" xfId="7" applyFont="1" applyAlignment="1" applyProtection="1">
      <alignment vertical="center"/>
      <protection locked="0"/>
    </xf>
    <xf numFmtId="10" fontId="15" fillId="0" borderId="0" xfId="2" applyNumberFormat="1" applyFont="1" applyBorder="1" applyAlignment="1" applyProtection="1">
      <alignment vertical="center"/>
      <protection locked="0"/>
    </xf>
    <xf numFmtId="4" fontId="15" fillId="0" borderId="0" xfId="7" applyNumberFormat="1" applyFont="1" applyAlignment="1" applyProtection="1">
      <alignment vertical="center"/>
      <protection locked="0"/>
    </xf>
    <xf numFmtId="0" fontId="15" fillId="2" borderId="0" xfId="7" applyFont="1" applyFill="1" applyAlignment="1" applyProtection="1">
      <alignment vertical="center"/>
      <protection locked="0"/>
    </xf>
    <xf numFmtId="0" fontId="11" fillId="2" borderId="0" xfId="0" applyFont="1" applyFill="1" applyAlignment="1">
      <alignment vertical="center" wrapText="1"/>
    </xf>
    <xf numFmtId="0" fontId="17" fillId="2" borderId="0" xfId="7" applyFont="1" applyFill="1" applyAlignment="1" applyProtection="1">
      <alignment vertical="center"/>
      <protection locked="0"/>
    </xf>
    <xf numFmtId="4" fontId="17" fillId="2" borderId="0" xfId="7" applyNumberFormat="1" applyFont="1" applyFill="1" applyAlignment="1" applyProtection="1">
      <alignment vertical="center"/>
      <protection locked="0"/>
    </xf>
    <xf numFmtId="0" fontId="11" fillId="2" borderId="5" xfId="0" applyFont="1" applyFill="1" applyBorder="1" applyAlignment="1">
      <alignment horizontal="left" vertical="center"/>
    </xf>
    <xf numFmtId="0" fontId="11" fillId="2" borderId="5" xfId="0" applyFont="1" applyFill="1" applyBorder="1" applyAlignment="1">
      <alignment vertical="center" wrapText="1"/>
    </xf>
    <xf numFmtId="0" fontId="18" fillId="3" borderId="6" xfId="0" applyFont="1" applyFill="1" applyBorder="1" applyAlignment="1">
      <alignment horizontal="left" vertical="center" wrapText="1"/>
    </xf>
    <xf numFmtId="166" fontId="18" fillId="3" borderId="6" xfId="7" applyNumberFormat="1" applyFont="1" applyFill="1" applyBorder="1" applyAlignment="1">
      <alignment horizontal="right" vertical="center" wrapText="1"/>
    </xf>
    <xf numFmtId="0" fontId="18" fillId="3" borderId="6" xfId="7" applyFont="1" applyFill="1" applyBorder="1" applyAlignment="1">
      <alignment horizontal="right" vertical="center" wrapText="1"/>
    </xf>
    <xf numFmtId="10" fontId="18" fillId="3" borderId="6" xfId="2" applyNumberFormat="1" applyFont="1" applyFill="1" applyBorder="1" applyAlignment="1" applyProtection="1">
      <alignment horizontal="right" vertical="center" wrapText="1"/>
    </xf>
    <xf numFmtId="0" fontId="18" fillId="2" borderId="6" xfId="7" applyFont="1" applyFill="1" applyBorder="1" applyAlignment="1">
      <alignment horizontal="left" vertical="center" wrapText="1"/>
    </xf>
    <xf numFmtId="165" fontId="19" fillId="2" borderId="6" xfId="1" applyFont="1" applyFill="1" applyBorder="1" applyAlignment="1" applyProtection="1">
      <alignment horizontal="right" vertical="center" wrapText="1"/>
    </xf>
    <xf numFmtId="165" fontId="18" fillId="2" borderId="6" xfId="7" applyNumberFormat="1" applyFont="1" applyFill="1" applyBorder="1" applyAlignment="1">
      <alignment horizontal="right" vertical="center" wrapText="1"/>
    </xf>
    <xf numFmtId="10" fontId="18" fillId="2" borderId="6" xfId="2" applyNumberFormat="1" applyFont="1" applyFill="1" applyBorder="1" applyAlignment="1" applyProtection="1">
      <alignment horizontal="right" vertical="center" wrapText="1"/>
    </xf>
    <xf numFmtId="165" fontId="21" fillId="2" borderId="0" xfId="1" applyFont="1" applyFill="1" applyBorder="1" applyAlignment="1" applyProtection="1">
      <alignment horizontal="right" vertical="center" wrapText="1"/>
    </xf>
    <xf numFmtId="165" fontId="21" fillId="2" borderId="7" xfId="1" applyFont="1" applyFill="1" applyBorder="1" applyAlignment="1" applyProtection="1">
      <alignment horizontal="right" vertical="center" wrapText="1"/>
    </xf>
    <xf numFmtId="0" fontId="18" fillId="2" borderId="7" xfId="7" applyFont="1" applyFill="1" applyBorder="1" applyAlignment="1">
      <alignment horizontal="right" vertical="center" wrapText="1"/>
    </xf>
    <xf numFmtId="10" fontId="18" fillId="2" borderId="7" xfId="2" applyNumberFormat="1" applyFont="1" applyFill="1" applyBorder="1" applyAlignment="1" applyProtection="1">
      <alignment horizontal="right" vertical="center" wrapText="1"/>
    </xf>
    <xf numFmtId="0" fontId="18" fillId="3" borderId="6" xfId="7" applyFont="1" applyFill="1" applyBorder="1" applyAlignment="1">
      <alignment horizontal="left" vertical="center" wrapText="1"/>
    </xf>
    <xf numFmtId="4" fontId="18" fillId="3" borderId="6" xfId="7" applyNumberFormat="1" applyFont="1" applyFill="1" applyBorder="1" applyAlignment="1">
      <alignment horizontal="right" vertical="center" wrapText="1"/>
    </xf>
    <xf numFmtId="0" fontId="20" fillId="2" borderId="8" xfId="0" applyFont="1" applyFill="1" applyBorder="1" applyAlignment="1">
      <alignment horizontal="left" vertical="center"/>
    </xf>
    <xf numFmtId="0" fontId="20" fillId="2" borderId="8" xfId="0" applyFont="1" applyFill="1" applyBorder="1" applyAlignment="1">
      <alignment horizontal="left" vertical="center" wrapText="1"/>
    </xf>
    <xf numFmtId="165" fontId="19" fillId="2" borderId="8" xfId="1" applyFont="1" applyFill="1" applyBorder="1" applyAlignment="1" applyProtection="1">
      <alignment horizontal="right" vertical="center" wrapText="1"/>
    </xf>
    <xf numFmtId="10" fontId="19" fillId="2" borderId="8" xfId="2" applyNumberFormat="1" applyFont="1" applyFill="1" applyBorder="1" applyAlignment="1" applyProtection="1">
      <alignment horizontal="right" vertical="center" wrapText="1"/>
    </xf>
    <xf numFmtId="0" fontId="20" fillId="2" borderId="1" xfId="0" applyFont="1" applyFill="1" applyBorder="1" applyAlignment="1">
      <alignment horizontal="left" vertical="center"/>
    </xf>
    <xf numFmtId="0" fontId="20" fillId="2" borderId="1" xfId="0" applyFont="1" applyFill="1" applyBorder="1" applyAlignment="1">
      <alignment horizontal="left" vertical="center" wrapText="1"/>
    </xf>
    <xf numFmtId="165" fontId="19" fillId="2" borderId="1" xfId="1" applyFont="1" applyFill="1" applyBorder="1" applyAlignment="1" applyProtection="1">
      <alignment horizontal="right" vertical="center" wrapText="1"/>
    </xf>
    <xf numFmtId="10" fontId="19" fillId="2" borderId="1" xfId="2" applyNumberFormat="1" applyFont="1" applyFill="1" applyBorder="1" applyAlignment="1" applyProtection="1">
      <alignment horizontal="right" vertical="center" wrapText="1"/>
    </xf>
    <xf numFmtId="0" fontId="20" fillId="2" borderId="0" xfId="0" applyFont="1" applyFill="1" applyAlignment="1">
      <alignment horizontal="left" vertical="center"/>
    </xf>
    <xf numFmtId="0" fontId="20" fillId="2" borderId="0" xfId="0" applyFont="1" applyFill="1" applyAlignment="1">
      <alignment horizontal="left" vertical="center" wrapText="1"/>
    </xf>
    <xf numFmtId="165" fontId="19" fillId="2" borderId="0" xfId="1" applyFont="1" applyFill="1" applyBorder="1" applyAlignment="1" applyProtection="1">
      <alignment horizontal="right" vertical="center" wrapText="1"/>
    </xf>
    <xf numFmtId="10" fontId="19" fillId="2" borderId="0" xfId="2" applyNumberFormat="1" applyFont="1" applyFill="1" applyBorder="1" applyAlignment="1" applyProtection="1">
      <alignment horizontal="right" vertical="center" wrapText="1"/>
    </xf>
    <xf numFmtId="0" fontId="20" fillId="2" borderId="0" xfId="0" applyFont="1" applyFill="1" applyAlignment="1">
      <alignment horizontal="right" vertical="center"/>
    </xf>
    <xf numFmtId="0" fontId="20" fillId="2" borderId="3" xfId="0" applyFont="1" applyFill="1" applyBorder="1" applyAlignment="1">
      <alignment horizontal="left" vertical="center" wrapText="1"/>
    </xf>
    <xf numFmtId="165" fontId="19" fillId="2" borderId="3" xfId="1" applyFont="1" applyFill="1" applyBorder="1" applyAlignment="1" applyProtection="1">
      <alignment horizontal="right" vertical="center" wrapText="1"/>
    </xf>
    <xf numFmtId="10" fontId="19" fillId="2" borderId="3" xfId="2" applyNumberFormat="1" applyFont="1" applyFill="1" applyBorder="1" applyAlignment="1" applyProtection="1">
      <alignment horizontal="right" vertical="center" wrapText="1"/>
    </xf>
    <xf numFmtId="165" fontId="21" fillId="2" borderId="1" xfId="1" applyFont="1" applyFill="1" applyBorder="1" applyAlignment="1" applyProtection="1">
      <alignment horizontal="right" vertical="center" wrapText="1"/>
    </xf>
    <xf numFmtId="10" fontId="21" fillId="2" borderId="1" xfId="2" applyNumberFormat="1" applyFont="1" applyFill="1" applyBorder="1" applyAlignment="1" applyProtection="1">
      <alignment horizontal="right" vertical="center" wrapText="1"/>
    </xf>
    <xf numFmtId="165" fontId="21" fillId="2" borderId="9" xfId="1" applyFont="1" applyFill="1" applyBorder="1" applyAlignment="1" applyProtection="1">
      <alignment horizontal="right" vertical="center" wrapText="1"/>
    </xf>
    <xf numFmtId="165" fontId="21" fillId="2" borderId="3" xfId="1" applyFont="1" applyFill="1" applyBorder="1" applyAlignment="1" applyProtection="1">
      <alignment horizontal="right" vertical="center" wrapText="1"/>
    </xf>
    <xf numFmtId="10" fontId="18" fillId="2" borderId="9" xfId="2" applyNumberFormat="1" applyFont="1" applyFill="1" applyBorder="1" applyAlignment="1" applyProtection="1">
      <alignment horizontal="right" vertical="center" wrapText="1"/>
    </xf>
    <xf numFmtId="0" fontId="18" fillId="3" borderId="6" xfId="7" applyFont="1" applyFill="1" applyBorder="1" applyAlignment="1">
      <alignment horizontal="left" vertical="center"/>
    </xf>
    <xf numFmtId="165" fontId="21" fillId="3" borderId="6" xfId="1" applyFont="1" applyFill="1" applyBorder="1" applyAlignment="1" applyProtection="1">
      <alignment horizontal="right" vertical="center" wrapText="1"/>
    </xf>
    <xf numFmtId="10" fontId="21" fillId="3" borderId="6" xfId="2" applyNumberFormat="1" applyFont="1" applyFill="1" applyBorder="1" applyAlignment="1" applyProtection="1">
      <alignment horizontal="right" vertical="center" wrapText="1"/>
    </xf>
    <xf numFmtId="0" fontId="18" fillId="2" borderId="0" xfId="7" applyFont="1" applyFill="1" applyAlignment="1">
      <alignment horizontal="left" vertical="center"/>
    </xf>
    <xf numFmtId="0" fontId="18" fillId="2" borderId="0" xfId="7" applyFont="1" applyFill="1" applyAlignment="1">
      <alignment horizontal="right" vertical="center" wrapText="1"/>
    </xf>
    <xf numFmtId="10" fontId="21" fillId="2" borderId="0" xfId="2" applyNumberFormat="1" applyFont="1" applyFill="1" applyBorder="1" applyAlignment="1" applyProtection="1">
      <alignment horizontal="right" vertical="center" wrapText="1"/>
    </xf>
    <xf numFmtId="0" fontId="20" fillId="2" borderId="0" xfId="7" applyFont="1" applyFill="1" applyAlignment="1">
      <alignment horizontal="left" vertical="center"/>
    </xf>
    <xf numFmtId="0" fontId="20" fillId="2" borderId="0" xfId="7" applyFont="1" applyFill="1" applyAlignment="1">
      <alignment horizontal="left" vertical="center" wrapText="1"/>
    </xf>
    <xf numFmtId="0" fontId="15" fillId="2" borderId="0" xfId="7" applyFont="1" applyFill="1" applyAlignment="1">
      <alignment horizontal="right" vertical="center"/>
    </xf>
    <xf numFmtId="10" fontId="15" fillId="2" borderId="0" xfId="2" applyNumberFormat="1" applyFont="1" applyFill="1" applyBorder="1" applyAlignment="1" applyProtection="1">
      <alignment horizontal="right" vertical="center"/>
    </xf>
    <xf numFmtId="0" fontId="20" fillId="2" borderId="0" xfId="7" applyFont="1" applyFill="1" applyAlignment="1">
      <alignment horizontal="right" vertical="center"/>
    </xf>
    <xf numFmtId="0" fontId="20" fillId="2" borderId="1" xfId="7" applyFont="1" applyFill="1" applyBorder="1" applyAlignment="1">
      <alignment horizontal="left" vertical="center"/>
    </xf>
    <xf numFmtId="0" fontId="20" fillId="2" borderId="1" xfId="7" applyFont="1" applyFill="1" applyBorder="1" applyAlignment="1">
      <alignment horizontal="left" vertical="center" wrapText="1"/>
    </xf>
    <xf numFmtId="0" fontId="20" fillId="2" borderId="7" xfId="7" applyFont="1" applyFill="1" applyBorder="1" applyAlignment="1">
      <alignment horizontal="left" vertical="center"/>
    </xf>
    <xf numFmtId="0" fontId="20" fillId="2" borderId="7" xfId="7" applyFont="1" applyFill="1" applyBorder="1" applyAlignment="1">
      <alignment horizontal="left" vertical="center" wrapText="1"/>
    </xf>
    <xf numFmtId="165" fontId="19" fillId="2" borderId="7" xfId="1" applyFont="1" applyFill="1" applyBorder="1" applyAlignment="1" applyProtection="1">
      <alignment horizontal="right" vertical="center" wrapText="1"/>
    </xf>
    <xf numFmtId="10" fontId="19" fillId="2" borderId="7" xfId="2" applyNumberFormat="1" applyFont="1" applyFill="1" applyBorder="1" applyAlignment="1" applyProtection="1">
      <alignment horizontal="right" vertical="center" wrapText="1"/>
    </xf>
    <xf numFmtId="0" fontId="20" fillId="2" borderId="9" xfId="7" applyFont="1" applyFill="1" applyBorder="1" applyAlignment="1">
      <alignment horizontal="left" vertical="center"/>
    </xf>
    <xf numFmtId="0" fontId="20" fillId="2" borderId="9" xfId="7" applyFont="1" applyFill="1" applyBorder="1" applyAlignment="1">
      <alignment horizontal="left" vertical="center" wrapText="1"/>
    </xf>
    <xf numFmtId="165" fontId="19" fillId="2" borderId="9" xfId="1" applyFont="1" applyFill="1" applyBorder="1" applyAlignment="1" applyProtection="1">
      <alignment horizontal="right" vertical="center" wrapText="1"/>
    </xf>
    <xf numFmtId="10" fontId="19" fillId="2" borderId="9" xfId="2" applyNumberFormat="1" applyFont="1" applyFill="1" applyBorder="1" applyAlignment="1" applyProtection="1">
      <alignment horizontal="right" vertical="center" wrapText="1"/>
    </xf>
    <xf numFmtId="0" fontId="9" fillId="0" borderId="0" xfId="7" applyFont="1" applyAlignment="1">
      <alignment horizontal="left" vertical="center"/>
    </xf>
    <xf numFmtId="0" fontId="12" fillId="0" borderId="0" xfId="7" applyFont="1"/>
    <xf numFmtId="10" fontId="0" fillId="0" borderId="0" xfId="2" applyNumberFormat="1" applyFont="1" applyBorder="1" applyProtection="1"/>
    <xf numFmtId="0" fontId="22" fillId="0" borderId="0" xfId="7" applyFont="1" applyAlignment="1" applyProtection="1">
      <alignment horizontal="justify" vertical="center"/>
      <protection locked="0"/>
    </xf>
    <xf numFmtId="165" fontId="22" fillId="0" borderId="0" xfId="7" applyNumberFormat="1" applyFont="1" applyAlignment="1" applyProtection="1">
      <alignment horizontal="justify" vertical="center"/>
      <protection locked="0"/>
    </xf>
    <xf numFmtId="0" fontId="0" fillId="2" borderId="0" xfId="0" applyFill="1" applyAlignment="1" applyProtection="1">
      <alignment horizontal="center" vertical="center"/>
      <protection locked="0"/>
    </xf>
    <xf numFmtId="0" fontId="0" fillId="2" borderId="0" xfId="0" applyFill="1" applyProtection="1">
      <protection locked="0"/>
    </xf>
    <xf numFmtId="0" fontId="12" fillId="3" borderId="10" xfId="0" applyFont="1" applyFill="1" applyBorder="1" applyAlignment="1">
      <alignment horizontal="center" vertical="center"/>
    </xf>
    <xf numFmtId="0" fontId="12" fillId="3" borderId="10" xfId="0" applyFont="1" applyFill="1" applyBorder="1" applyAlignment="1">
      <alignment horizontal="center" vertical="center" wrapText="1"/>
    </xf>
    <xf numFmtId="166" fontId="18" fillId="3" borderId="2" xfId="0" applyNumberFormat="1" applyFont="1" applyFill="1" applyBorder="1" applyAlignment="1">
      <alignment horizontal="center" vertical="center" wrapText="1"/>
    </xf>
    <xf numFmtId="168" fontId="18" fillId="3" borderId="11" xfId="0" applyNumberFormat="1" applyFont="1" applyFill="1" applyBorder="1" applyAlignment="1">
      <alignment horizontal="center" vertical="center" wrapText="1"/>
    </xf>
    <xf numFmtId="168" fontId="18" fillId="3" borderId="6" xfId="0" applyNumberFormat="1" applyFont="1" applyFill="1" applyBorder="1" applyAlignment="1">
      <alignment horizontal="center" vertical="center" wrapText="1"/>
    </xf>
    <xf numFmtId="0" fontId="12" fillId="3" borderId="2" xfId="0" applyFont="1" applyFill="1" applyBorder="1" applyAlignment="1">
      <alignment horizontal="center" vertical="center" wrapText="1"/>
    </xf>
    <xf numFmtId="168" fontId="18" fillId="3" borderId="12" xfId="0" applyNumberFormat="1" applyFont="1" applyFill="1" applyBorder="1" applyAlignment="1">
      <alignment horizontal="center" vertical="center" wrapText="1"/>
    </xf>
    <xf numFmtId="10" fontId="18" fillId="3" borderId="2" xfId="2" applyNumberFormat="1" applyFont="1" applyFill="1" applyBorder="1" applyAlignment="1" applyProtection="1">
      <alignment horizontal="center" vertical="center"/>
    </xf>
    <xf numFmtId="166" fontId="18" fillId="2" borderId="6" xfId="0" applyNumberFormat="1" applyFont="1" applyFill="1" applyBorder="1" applyAlignment="1">
      <alignment vertical="center"/>
    </xf>
    <xf numFmtId="0" fontId="0" fillId="2" borderId="13" xfId="0" applyFill="1" applyBorder="1" applyAlignment="1">
      <alignment horizontal="center" vertical="center"/>
    </xf>
    <xf numFmtId="49" fontId="0" fillId="2" borderId="13" xfId="0" applyNumberFormat="1" applyFill="1" applyBorder="1" applyAlignment="1">
      <alignment horizontal="left" wrapText="1"/>
    </xf>
    <xf numFmtId="165" fontId="20" fillId="2" borderId="14" xfId="1" applyFont="1" applyFill="1" applyBorder="1" applyAlignment="1" applyProtection="1">
      <alignment horizontal="right" vertical="center"/>
      <protection locked="0"/>
    </xf>
    <xf numFmtId="165" fontId="20" fillId="2" borderId="15" xfId="1" applyFont="1" applyFill="1" applyBorder="1" applyAlignment="1" applyProtection="1">
      <alignment horizontal="right" vertical="center"/>
    </xf>
    <xf numFmtId="165" fontId="20" fillId="2" borderId="0" xfId="1" applyFont="1" applyFill="1" applyBorder="1" applyAlignment="1" applyProtection="1">
      <alignment horizontal="right" vertical="center"/>
    </xf>
    <xf numFmtId="165" fontId="18" fillId="2" borderId="14" xfId="1" applyFont="1" applyFill="1" applyBorder="1" applyAlignment="1" applyProtection="1">
      <alignment horizontal="right" vertical="center"/>
    </xf>
    <xf numFmtId="10" fontId="20" fillId="2" borderId="0" xfId="2" applyNumberFormat="1" applyFont="1" applyFill="1" applyBorder="1" applyAlignment="1" applyProtection="1">
      <alignment horizontal="right" vertical="center"/>
    </xf>
    <xf numFmtId="10" fontId="18" fillId="2" borderId="14" xfId="2" applyNumberFormat="1" applyFont="1" applyFill="1" applyBorder="1" applyAlignment="1" applyProtection="1">
      <alignment horizontal="right" vertical="center"/>
    </xf>
    <xf numFmtId="0" fontId="0" fillId="2" borderId="16" xfId="0" applyFill="1" applyBorder="1" applyAlignment="1">
      <alignment horizontal="center" vertical="center"/>
    </xf>
    <xf numFmtId="49" fontId="0" fillId="2" borderId="17" xfId="0" applyNumberFormat="1" applyFill="1" applyBorder="1" applyAlignment="1" applyProtection="1">
      <alignment horizontal="left" wrapText="1"/>
      <protection locked="0"/>
    </xf>
    <xf numFmtId="0" fontId="0" fillId="3" borderId="6" xfId="0" applyFill="1" applyBorder="1" applyAlignment="1">
      <alignment horizontal="center" vertical="center"/>
    </xf>
    <xf numFmtId="49" fontId="12" fillId="3" borderId="6" xfId="0" applyNumberFormat="1" applyFont="1" applyFill="1" applyBorder="1" applyAlignment="1">
      <alignment horizontal="left" vertical="center" wrapText="1"/>
    </xf>
    <xf numFmtId="165" fontId="18" fillId="3" borderId="11" xfId="1" applyFont="1" applyFill="1" applyBorder="1" applyAlignment="1" applyProtection="1">
      <alignment horizontal="right" vertical="center"/>
    </xf>
    <xf numFmtId="165" fontId="18" fillId="3" borderId="6" xfId="1" applyFont="1" applyFill="1" applyBorder="1" applyAlignment="1" applyProtection="1">
      <alignment horizontal="right" vertical="center"/>
    </xf>
    <xf numFmtId="165" fontId="18" fillId="3" borderId="2" xfId="1" applyFont="1" applyFill="1" applyBorder="1" applyAlignment="1" applyProtection="1">
      <alignment horizontal="right" vertical="center"/>
    </xf>
    <xf numFmtId="10" fontId="18" fillId="3" borderId="6" xfId="2" applyNumberFormat="1" applyFont="1" applyFill="1" applyBorder="1" applyAlignment="1" applyProtection="1">
      <alignment horizontal="right" vertical="center"/>
    </xf>
    <xf numFmtId="10" fontId="18" fillId="3" borderId="2" xfId="2" applyNumberFormat="1" applyFont="1" applyFill="1" applyBorder="1" applyAlignment="1" applyProtection="1">
      <alignment horizontal="right" vertical="center"/>
    </xf>
    <xf numFmtId="165" fontId="18" fillId="2" borderId="6" xfId="1" applyFont="1" applyFill="1" applyBorder="1" applyAlignment="1" applyProtection="1">
      <alignment horizontal="right" vertical="center"/>
    </xf>
    <xf numFmtId="4" fontId="0" fillId="2" borderId="0" xfId="0" applyNumberFormat="1" applyFill="1"/>
    <xf numFmtId="0" fontId="12" fillId="3" borderId="18" xfId="0" applyFont="1" applyFill="1" applyBorder="1" applyAlignment="1">
      <alignment vertical="center"/>
    </xf>
    <xf numFmtId="0" fontId="12" fillId="3" borderId="19" xfId="0" applyFont="1" applyFill="1" applyBorder="1" applyAlignment="1">
      <alignment horizontal="center"/>
    </xf>
    <xf numFmtId="0" fontId="0" fillId="2" borderId="20" xfId="0" applyFill="1" applyBorder="1" applyAlignment="1">
      <alignment vertical="center"/>
    </xf>
    <xf numFmtId="10" fontId="0" fillId="2" borderId="21" xfId="1" applyNumberFormat="1" applyFont="1" applyFill="1" applyBorder="1" applyAlignment="1" applyProtection="1">
      <alignment horizontal="right" vertical="center"/>
    </xf>
    <xf numFmtId="165" fontId="0" fillId="2" borderId="21" xfId="1" applyFont="1" applyFill="1" applyBorder="1" applyAlignment="1" applyProtection="1">
      <alignment horizontal="right" vertical="center"/>
    </xf>
    <xf numFmtId="0" fontId="0" fillId="2" borderId="22" xfId="0" applyFill="1" applyBorder="1" applyAlignment="1">
      <alignment vertical="center"/>
    </xf>
    <xf numFmtId="10" fontId="0" fillId="2" borderId="23" xfId="1" applyNumberFormat="1" applyFont="1" applyFill="1" applyBorder="1" applyAlignment="1" applyProtection="1">
      <alignment horizontal="right" vertical="center"/>
    </xf>
    <xf numFmtId="165" fontId="0" fillId="2" borderId="23" xfId="1" applyFont="1" applyFill="1" applyBorder="1" applyAlignment="1" applyProtection="1">
      <alignment horizontal="right" vertical="center"/>
    </xf>
    <xf numFmtId="49" fontId="0" fillId="2" borderId="0" xfId="0" applyNumberFormat="1" applyFill="1" applyProtection="1">
      <protection locked="0"/>
    </xf>
    <xf numFmtId="0" fontId="0" fillId="2" borderId="0" xfId="0" applyFill="1" applyAlignment="1">
      <alignment vertical="center"/>
    </xf>
    <xf numFmtId="10" fontId="0" fillId="2" borderId="0" xfId="2" applyNumberFormat="1" applyFont="1" applyFill="1" applyBorder="1" applyAlignment="1" applyProtection="1">
      <alignment vertical="center"/>
    </xf>
    <xf numFmtId="0" fontId="0" fillId="2" borderId="0" xfId="0" applyFill="1" applyAlignment="1" applyProtection="1">
      <alignment vertical="center"/>
      <protection locked="0"/>
    </xf>
    <xf numFmtId="0" fontId="11" fillId="2" borderId="0" xfId="0" applyFont="1" applyFill="1" applyAlignment="1">
      <alignment vertical="center"/>
    </xf>
    <xf numFmtId="0" fontId="11" fillId="2" borderId="0" xfId="0" applyFont="1" applyFill="1" applyAlignment="1">
      <alignment horizontal="center" vertical="center" wrapText="1"/>
    </xf>
    <xf numFmtId="0" fontId="11" fillId="2" borderId="0" xfId="0" applyFont="1" applyFill="1" applyAlignment="1" applyProtection="1">
      <alignment vertical="center"/>
      <protection locked="0"/>
    </xf>
    <xf numFmtId="0" fontId="11" fillId="2" borderId="5" xfId="0" applyFont="1" applyFill="1" applyBorder="1" applyAlignment="1">
      <alignment horizontal="center" vertical="center"/>
    </xf>
    <xf numFmtId="0" fontId="11" fillId="3" borderId="6" xfId="0" applyFont="1" applyFill="1" applyBorder="1" applyAlignment="1">
      <alignment horizontal="center" vertical="center"/>
    </xf>
    <xf numFmtId="166" fontId="18" fillId="3" borderId="0" xfId="0" applyNumberFormat="1" applyFont="1" applyFill="1" applyAlignment="1">
      <alignment vertical="center"/>
    </xf>
    <xf numFmtId="4" fontId="18" fillId="3" borderId="6" xfId="0" applyNumberFormat="1" applyFont="1" applyFill="1" applyBorder="1" applyAlignment="1">
      <alignment horizontal="right" vertical="center"/>
    </xf>
    <xf numFmtId="10" fontId="18" fillId="3" borderId="6" xfId="2" applyNumberFormat="1" applyFont="1" applyFill="1" applyBorder="1" applyAlignment="1" applyProtection="1">
      <alignment horizontal="right" vertical="center"/>
      <protection locked="0"/>
    </xf>
    <xf numFmtId="0" fontId="18" fillId="2" borderId="6" xfId="0" applyFont="1" applyFill="1" applyBorder="1" applyAlignment="1">
      <alignment horizontal="left" vertical="center"/>
    </xf>
    <xf numFmtId="165" fontId="20" fillId="2" borderId="6" xfId="1" applyFont="1" applyFill="1" applyBorder="1" applyAlignment="1" applyProtection="1">
      <alignment horizontal="right" vertical="center"/>
      <protection locked="0"/>
    </xf>
    <xf numFmtId="10" fontId="18" fillId="2" borderId="6" xfId="2" applyNumberFormat="1" applyFont="1" applyFill="1" applyBorder="1" applyAlignment="1" applyProtection="1">
      <alignment horizontal="right" vertical="center"/>
    </xf>
    <xf numFmtId="0" fontId="18" fillId="2" borderId="0" xfId="0" applyFont="1" applyFill="1" applyAlignment="1">
      <alignment horizontal="left" vertical="center"/>
    </xf>
    <xf numFmtId="0" fontId="18" fillId="2" borderId="0" xfId="0" applyFont="1" applyFill="1" applyAlignment="1">
      <alignment vertical="center" wrapText="1"/>
    </xf>
    <xf numFmtId="165" fontId="18" fillId="2" borderId="24" xfId="1" applyFont="1" applyFill="1" applyBorder="1" applyAlignment="1" applyProtection="1">
      <alignment horizontal="right" vertical="center"/>
    </xf>
    <xf numFmtId="10" fontId="18" fillId="2" borderId="24" xfId="2" applyNumberFormat="1" applyFont="1" applyFill="1" applyBorder="1" applyAlignment="1" applyProtection="1">
      <alignment horizontal="right" vertical="center"/>
    </xf>
    <xf numFmtId="0" fontId="18" fillId="7" borderId="6" xfId="0" applyFont="1" applyFill="1" applyBorder="1" applyAlignment="1">
      <alignment horizontal="left" vertical="center" wrapText="1"/>
    </xf>
    <xf numFmtId="4" fontId="18" fillId="7" borderId="6" xfId="0" applyNumberFormat="1" applyFont="1" applyFill="1" applyBorder="1" applyAlignment="1">
      <alignment horizontal="center" vertical="center"/>
    </xf>
    <xf numFmtId="10" fontId="18" fillId="7" borderId="6" xfId="2" applyNumberFormat="1" applyFont="1" applyFill="1" applyBorder="1" applyAlignment="1" applyProtection="1">
      <alignment horizontal="center" vertical="center"/>
    </xf>
    <xf numFmtId="0" fontId="18" fillId="8" borderId="6" xfId="0" applyFont="1" applyFill="1" applyBorder="1" applyAlignment="1">
      <alignment horizontal="left" vertical="center" wrapText="1"/>
    </xf>
    <xf numFmtId="165" fontId="20" fillId="8" borderId="6" xfId="1" applyFont="1" applyFill="1" applyBorder="1" applyAlignment="1" applyProtection="1">
      <alignment horizontal="right" vertical="center"/>
      <protection locked="0"/>
    </xf>
    <xf numFmtId="165" fontId="18" fillId="8" borderId="6" xfId="1" applyFont="1" applyFill="1" applyBorder="1" applyAlignment="1" applyProtection="1">
      <alignment horizontal="right" vertical="center"/>
    </xf>
    <xf numFmtId="10" fontId="20" fillId="8" borderId="6" xfId="2" applyNumberFormat="1" applyFont="1" applyFill="1" applyBorder="1" applyAlignment="1" applyProtection="1">
      <alignment horizontal="right" vertical="center"/>
    </xf>
    <xf numFmtId="0" fontId="18" fillId="8" borderId="6" xfId="0" applyFont="1" applyFill="1" applyBorder="1" applyAlignment="1">
      <alignment horizontal="left" vertical="center"/>
    </xf>
    <xf numFmtId="0" fontId="18" fillId="8" borderId="0" xfId="0" applyFont="1" applyFill="1" applyAlignment="1">
      <alignment horizontal="left" vertical="center" wrapText="1"/>
    </xf>
    <xf numFmtId="165" fontId="20" fillId="8" borderId="0" xfId="1" applyFont="1" applyFill="1" applyBorder="1" applyAlignment="1" applyProtection="1">
      <alignment horizontal="right" vertical="center"/>
    </xf>
    <xf numFmtId="165" fontId="18" fillId="8" borderId="0" xfId="1" applyFont="1" applyFill="1" applyBorder="1" applyAlignment="1" applyProtection="1">
      <alignment horizontal="right" vertical="center"/>
    </xf>
    <xf numFmtId="10" fontId="20" fillId="8" borderId="0" xfId="2" applyNumberFormat="1" applyFont="1" applyFill="1" applyBorder="1" applyAlignment="1" applyProtection="1">
      <alignment horizontal="right" vertical="center"/>
    </xf>
    <xf numFmtId="165" fontId="20" fillId="2" borderId="0" xfId="1" applyFont="1" applyFill="1" applyBorder="1" applyAlignment="1" applyProtection="1">
      <alignment horizontal="right" vertical="center"/>
      <protection locked="0"/>
    </xf>
    <xf numFmtId="165" fontId="18" fillId="2" borderId="0" xfId="1" applyFont="1" applyFill="1" applyBorder="1" applyAlignment="1" applyProtection="1">
      <alignment horizontal="right" vertical="center"/>
    </xf>
    <xf numFmtId="0" fontId="20" fillId="2" borderId="1" xfId="0" applyFont="1" applyFill="1" applyBorder="1" applyAlignment="1">
      <alignment vertical="center"/>
    </xf>
    <xf numFmtId="0" fontId="18" fillId="2" borderId="1" xfId="0" applyFont="1" applyFill="1" applyBorder="1" applyAlignment="1">
      <alignment horizontal="right" vertical="center" wrapText="1"/>
    </xf>
    <xf numFmtId="165" fontId="18" fillId="2" borderId="1" xfId="1" applyFont="1" applyFill="1" applyBorder="1" applyAlignment="1" applyProtection="1">
      <alignment horizontal="right" vertical="center"/>
    </xf>
    <xf numFmtId="10" fontId="18" fillId="2" borderId="1" xfId="2" applyNumberFormat="1" applyFont="1" applyFill="1" applyBorder="1" applyAlignment="1" applyProtection="1">
      <alignment horizontal="right" vertical="center"/>
    </xf>
    <xf numFmtId="0" fontId="18" fillId="3" borderId="6" xfId="0" applyFont="1" applyFill="1" applyBorder="1" applyAlignment="1">
      <alignment horizontal="left" vertical="center"/>
    </xf>
    <xf numFmtId="0" fontId="18" fillId="3" borderId="6" xfId="0" applyFont="1" applyFill="1" applyBorder="1" applyAlignment="1">
      <alignment vertical="center" wrapText="1"/>
    </xf>
    <xf numFmtId="0" fontId="18" fillId="3" borderId="5" xfId="0" applyFont="1" applyFill="1" applyBorder="1" applyAlignment="1">
      <alignment horizontal="left" vertical="center"/>
    </xf>
    <xf numFmtId="0" fontId="18" fillId="3" borderId="5" xfId="0" applyFont="1" applyFill="1" applyBorder="1" applyAlignment="1">
      <alignment vertical="center" wrapText="1"/>
    </xf>
    <xf numFmtId="0" fontId="20" fillId="2" borderId="0" xfId="0" applyFont="1" applyFill="1" applyAlignment="1">
      <alignment vertical="center"/>
    </xf>
    <xf numFmtId="0" fontId="18" fillId="2" borderId="0" xfId="0" applyFont="1" applyFill="1" applyAlignment="1">
      <alignment horizontal="left" vertical="center" wrapText="1"/>
    </xf>
    <xf numFmtId="4" fontId="18" fillId="2" borderId="0" xfId="0" applyNumberFormat="1" applyFont="1" applyFill="1" applyAlignment="1">
      <alignment horizontal="right" vertical="center"/>
    </xf>
    <xf numFmtId="10" fontId="18" fillId="2" borderId="0" xfId="2" applyNumberFormat="1" applyFont="1" applyFill="1" applyBorder="1" applyAlignment="1" applyProtection="1">
      <alignment horizontal="right" vertical="center"/>
    </xf>
    <xf numFmtId="0" fontId="18" fillId="8" borderId="0" xfId="0" applyFont="1" applyFill="1" applyAlignment="1">
      <alignment vertical="center" wrapText="1"/>
    </xf>
    <xf numFmtId="0" fontId="18" fillId="8" borderId="24" xfId="0" applyFont="1" applyFill="1" applyBorder="1" applyAlignment="1">
      <alignment horizontal="center" vertical="center"/>
    </xf>
    <xf numFmtId="10" fontId="18" fillId="8" borderId="24" xfId="2" applyNumberFormat="1" applyFont="1" applyFill="1" applyBorder="1" applyAlignment="1" applyProtection="1">
      <alignment horizontal="center" vertical="center"/>
    </xf>
    <xf numFmtId="0" fontId="18" fillId="9" borderId="0" xfId="0" applyFont="1" applyFill="1" applyAlignment="1">
      <alignment vertical="center"/>
    </xf>
    <xf numFmtId="0" fontId="23" fillId="9" borderId="0" xfId="0" applyFont="1" applyFill="1" applyAlignment="1">
      <alignment vertical="center" wrapText="1"/>
    </xf>
    <xf numFmtId="165" fontId="20" fillId="9" borderId="0" xfId="1" applyFont="1" applyFill="1" applyBorder="1" applyAlignment="1" applyProtection="1">
      <alignment horizontal="center" vertical="center"/>
    </xf>
    <xf numFmtId="10" fontId="20" fillId="9" borderId="0" xfId="2" applyNumberFormat="1" applyFont="1" applyFill="1" applyBorder="1" applyAlignment="1" applyProtection="1">
      <alignment horizontal="center" vertical="center"/>
    </xf>
    <xf numFmtId="0" fontId="20" fillId="2" borderId="0" xfId="0" applyFont="1" applyFill="1" applyAlignment="1">
      <alignment vertical="center" wrapText="1"/>
    </xf>
    <xf numFmtId="165" fontId="20" fillId="9" borderId="7" xfId="1" applyFont="1" applyFill="1" applyBorder="1" applyAlignment="1" applyProtection="1">
      <alignment horizontal="center" vertical="center"/>
    </xf>
    <xf numFmtId="10" fontId="20" fillId="9" borderId="7" xfId="2" applyNumberFormat="1" applyFont="1" applyFill="1" applyBorder="1" applyAlignment="1" applyProtection="1">
      <alignment horizontal="center" vertical="center"/>
    </xf>
    <xf numFmtId="0" fontId="12" fillId="2" borderId="0" xfId="0" applyFont="1" applyFill="1" applyAlignment="1" applyProtection="1">
      <alignment vertical="center"/>
      <protection locked="0"/>
    </xf>
    <xf numFmtId="0" fontId="18" fillId="9" borderId="0" xfId="0" applyFont="1" applyFill="1" applyAlignment="1">
      <alignment horizontal="left" vertical="center" wrapText="1"/>
    </xf>
    <xf numFmtId="0" fontId="20" fillId="9" borderId="7" xfId="1" applyNumberFormat="1" applyFont="1" applyFill="1" applyBorder="1" applyAlignment="1" applyProtection="1">
      <alignment horizontal="center" vertical="center"/>
    </xf>
    <xf numFmtId="165" fontId="20" fillId="2" borderId="1" xfId="1" applyFont="1" applyFill="1" applyBorder="1" applyAlignment="1" applyProtection="1">
      <alignment horizontal="right" vertical="center"/>
    </xf>
    <xf numFmtId="10" fontId="20" fillId="2" borderId="1" xfId="2" applyNumberFormat="1" applyFont="1" applyFill="1" applyBorder="1" applyAlignment="1" applyProtection="1">
      <alignment horizontal="right" vertical="center"/>
    </xf>
    <xf numFmtId="165" fontId="20" fillId="9" borderId="0" xfId="1" applyFont="1" applyFill="1" applyBorder="1" applyAlignment="1" applyProtection="1">
      <alignment horizontal="right" vertical="center"/>
      <protection locked="0"/>
    </xf>
    <xf numFmtId="165" fontId="20" fillId="9" borderId="0" xfId="1" applyFont="1" applyFill="1" applyBorder="1" applyAlignment="1" applyProtection="1">
      <alignment horizontal="right" vertical="center"/>
    </xf>
    <xf numFmtId="10" fontId="20" fillId="9" borderId="0" xfId="2" applyNumberFormat="1" applyFont="1" applyFill="1" applyBorder="1" applyAlignment="1" applyProtection="1">
      <alignment horizontal="right" vertical="center"/>
    </xf>
    <xf numFmtId="0" fontId="20" fillId="2" borderId="3" xfId="0" applyFont="1" applyFill="1" applyBorder="1" applyAlignment="1">
      <alignment vertical="center" wrapText="1"/>
    </xf>
    <xf numFmtId="0" fontId="20" fillId="8" borderId="5" xfId="0" applyFont="1" applyFill="1" applyBorder="1" applyAlignment="1">
      <alignment vertical="center"/>
    </xf>
    <xf numFmtId="0" fontId="18" fillId="8" borderId="5" xfId="0" applyFont="1" applyFill="1" applyBorder="1" applyAlignment="1">
      <alignment horizontal="right" vertical="center" wrapText="1"/>
    </xf>
    <xf numFmtId="165" fontId="18" fillId="8" borderId="5" xfId="1" applyFont="1" applyFill="1" applyBorder="1" applyAlignment="1" applyProtection="1">
      <alignment horizontal="right" vertical="center"/>
    </xf>
    <xf numFmtId="10" fontId="18" fillId="8" borderId="5" xfId="2" applyNumberFormat="1" applyFont="1" applyFill="1" applyBorder="1" applyAlignment="1" applyProtection="1">
      <alignment horizontal="right" vertical="center"/>
    </xf>
    <xf numFmtId="0" fontId="18" fillId="8" borderId="5" xfId="0" applyFont="1" applyFill="1" applyBorder="1" applyAlignment="1">
      <alignment vertical="center"/>
    </xf>
    <xf numFmtId="0" fontId="18" fillId="8" borderId="5" xfId="0" applyFont="1" applyFill="1" applyBorder="1" applyAlignment="1">
      <alignment horizontal="left" vertical="center" wrapText="1"/>
    </xf>
    <xf numFmtId="165" fontId="18" fillId="8" borderId="6" xfId="1" applyFont="1" applyFill="1" applyBorder="1" applyAlignment="1" applyProtection="1">
      <alignment horizontal="center" vertical="center"/>
    </xf>
    <xf numFmtId="10" fontId="18" fillId="8" borderId="6" xfId="2" applyNumberFormat="1" applyFont="1" applyFill="1" applyBorder="1" applyAlignment="1" applyProtection="1">
      <alignment horizontal="center" vertical="center"/>
    </xf>
    <xf numFmtId="0" fontId="20" fillId="2" borderId="0" xfId="0" applyFont="1" applyFill="1" applyAlignment="1" applyProtection="1">
      <alignment vertical="center"/>
      <protection locked="0"/>
    </xf>
    <xf numFmtId="0" fontId="20" fillId="2" borderId="0" xfId="8" applyFont="1" applyFill="1" applyAlignment="1" applyProtection="1">
      <alignment horizontal="left" vertical="center" wrapText="1"/>
      <protection locked="0"/>
    </xf>
    <xf numFmtId="0" fontId="20" fillId="2" borderId="0" xfId="6" applyFont="1" applyFill="1" applyAlignment="1" applyProtection="1">
      <alignment vertical="center" wrapText="1"/>
      <protection locked="0"/>
    </xf>
    <xf numFmtId="0" fontId="20" fillId="2" borderId="0" xfId="6" applyFont="1" applyFill="1" applyAlignment="1" applyProtection="1">
      <alignment horizontal="left" vertical="center" wrapText="1"/>
      <protection locked="0"/>
    </xf>
    <xf numFmtId="0" fontId="20" fillId="2" borderId="0" xfId="9" applyFont="1" applyFill="1" applyAlignment="1" applyProtection="1">
      <alignment horizontal="left" vertical="center" wrapText="1"/>
      <protection locked="0"/>
    </xf>
    <xf numFmtId="0" fontId="20" fillId="8" borderId="9" xfId="0" applyFont="1" applyFill="1" applyBorder="1" applyAlignment="1">
      <alignment vertical="center"/>
    </xf>
    <xf numFmtId="165" fontId="18" fillId="8" borderId="9" xfId="1" applyFont="1" applyFill="1" applyBorder="1" applyAlignment="1" applyProtection="1">
      <alignment horizontal="right" vertical="center"/>
    </xf>
    <xf numFmtId="10" fontId="18" fillId="8" borderId="9" xfId="2" applyNumberFormat="1" applyFont="1" applyFill="1" applyBorder="1" applyAlignment="1" applyProtection="1">
      <alignment horizontal="right" vertical="center"/>
    </xf>
    <xf numFmtId="165" fontId="20" fillId="8" borderId="5" xfId="1" applyFont="1" applyFill="1" applyBorder="1" applyAlignment="1" applyProtection="1">
      <alignment horizontal="right" vertical="center"/>
      <protection locked="0"/>
    </xf>
    <xf numFmtId="165" fontId="18" fillId="3" borderId="5" xfId="1" applyFont="1" applyFill="1" applyBorder="1" applyAlignment="1" applyProtection="1">
      <alignment horizontal="right" vertical="center"/>
    </xf>
    <xf numFmtId="10" fontId="18" fillId="3" borderId="5" xfId="2" applyNumberFormat="1" applyFont="1" applyFill="1" applyBorder="1" applyAlignment="1" applyProtection="1">
      <alignment horizontal="right" vertical="center"/>
    </xf>
    <xf numFmtId="10" fontId="0" fillId="2" borderId="0" xfId="2" applyNumberFormat="1" applyFont="1" applyFill="1" applyBorder="1" applyAlignment="1" applyProtection="1">
      <alignment vertical="center"/>
      <protection locked="0"/>
    </xf>
    <xf numFmtId="4" fontId="0" fillId="2" borderId="0" xfId="0" applyNumberFormat="1" applyFill="1" applyAlignment="1">
      <alignment vertical="center"/>
    </xf>
    <xf numFmtId="0" fontId="11" fillId="2" borderId="0" xfId="0" applyFont="1" applyFill="1" applyAlignment="1">
      <alignment horizontal="center" vertical="center"/>
    </xf>
    <xf numFmtId="0" fontId="18" fillId="3" borderId="24" xfId="0" applyFont="1" applyFill="1" applyBorder="1" applyAlignment="1">
      <alignment horizontal="center" vertical="center" wrapText="1"/>
    </xf>
    <xf numFmtId="0" fontId="18" fillId="3" borderId="13" xfId="0" applyFont="1" applyFill="1" applyBorder="1" applyAlignment="1">
      <alignment horizontal="center" vertical="center" wrapText="1"/>
    </xf>
    <xf numFmtId="0" fontId="18" fillId="3" borderId="5" xfId="0" applyFont="1" applyFill="1" applyBorder="1" applyAlignment="1">
      <alignment horizontal="center" vertical="center" wrapText="1"/>
    </xf>
    <xf numFmtId="0" fontId="18" fillId="3" borderId="27" xfId="0" applyFont="1" applyFill="1" applyBorder="1" applyAlignment="1">
      <alignment horizontal="center" vertical="center" wrapText="1"/>
    </xf>
    <xf numFmtId="0" fontId="18" fillId="3" borderId="28" xfId="0" applyFont="1" applyFill="1" applyBorder="1" applyAlignment="1">
      <alignment horizontal="center" vertical="center" wrapText="1"/>
    </xf>
    <xf numFmtId="0" fontId="18" fillId="3" borderId="5" xfId="0" applyFont="1" applyFill="1" applyBorder="1" applyAlignment="1" applyProtection="1">
      <alignment horizontal="center" vertical="center" wrapText="1"/>
      <protection locked="0"/>
    </xf>
    <xf numFmtId="0" fontId="18" fillId="3" borderId="27" xfId="0" applyFont="1" applyFill="1" applyBorder="1" applyAlignment="1" applyProtection="1">
      <alignment horizontal="center" vertical="center" wrapText="1"/>
      <protection locked="0"/>
    </xf>
    <xf numFmtId="0" fontId="20" fillId="2" borderId="0" xfId="0" applyFont="1" applyFill="1" applyAlignment="1" applyProtection="1">
      <alignment horizontal="left" vertical="center"/>
      <protection locked="0"/>
    </xf>
    <xf numFmtId="0" fontId="20" fillId="2" borderId="0" xfId="0" applyFont="1" applyFill="1" applyAlignment="1" applyProtection="1">
      <alignment horizontal="left" vertical="center" wrapText="1"/>
      <protection locked="0"/>
    </xf>
    <xf numFmtId="0" fontId="20" fillId="2" borderId="0" xfId="0" applyFont="1" applyFill="1" applyAlignment="1" applyProtection="1">
      <alignment horizontal="right" vertical="center" wrapText="1"/>
      <protection locked="0"/>
    </xf>
    <xf numFmtId="165" fontId="20" fillId="2" borderId="0" xfId="1" applyFont="1" applyFill="1" applyBorder="1" applyAlignment="1" applyProtection="1">
      <alignment horizontal="center" vertical="center" wrapText="1"/>
      <protection locked="0"/>
    </xf>
    <xf numFmtId="165" fontId="20" fillId="2" borderId="16" xfId="1" applyFont="1" applyFill="1" applyBorder="1" applyAlignment="1" applyProtection="1">
      <alignment horizontal="center" vertical="center" wrapText="1"/>
    </xf>
    <xf numFmtId="165" fontId="20" fillId="2" borderId="29" xfId="1" applyFont="1" applyFill="1" applyBorder="1" applyAlignment="1" applyProtection="1">
      <alignment horizontal="right" vertical="center" wrapText="1"/>
      <protection locked="0"/>
    </xf>
    <xf numFmtId="165" fontId="20" fillId="2" borderId="0" xfId="1" applyFont="1" applyFill="1" applyBorder="1" applyAlignment="1" applyProtection="1">
      <alignment horizontal="right" vertical="center" wrapText="1"/>
      <protection locked="0"/>
    </xf>
    <xf numFmtId="165" fontId="20" fillId="2" borderId="16" xfId="1" applyFont="1" applyFill="1" applyBorder="1" applyAlignment="1" applyProtection="1">
      <alignment horizontal="right" vertical="center" wrapText="1"/>
      <protection locked="0"/>
    </xf>
    <xf numFmtId="165" fontId="18" fillId="2" borderId="16" xfId="1" applyFont="1" applyFill="1" applyBorder="1" applyAlignment="1" applyProtection="1">
      <alignment horizontal="right" vertical="center" wrapText="1"/>
    </xf>
    <xf numFmtId="165" fontId="18" fillId="2" borderId="29" xfId="1" applyFont="1" applyFill="1" applyBorder="1" applyAlignment="1" applyProtection="1">
      <alignment horizontal="right" vertical="center"/>
    </xf>
    <xf numFmtId="0" fontId="18" fillId="3" borderId="6" xfId="0" applyFont="1" applyFill="1" applyBorder="1" applyAlignment="1">
      <alignment horizontal="center" vertical="center" wrapText="1"/>
    </xf>
    <xf numFmtId="165" fontId="18" fillId="3" borderId="6" xfId="1" applyFont="1" applyFill="1" applyBorder="1" applyAlignment="1" applyProtection="1">
      <alignment horizontal="right" vertical="center" wrapText="1"/>
    </xf>
    <xf numFmtId="165" fontId="18" fillId="3" borderId="10" xfId="1" applyFont="1" applyFill="1" applyBorder="1" applyAlignment="1" applyProtection="1">
      <alignment horizontal="right" vertical="center" wrapText="1"/>
    </xf>
    <xf numFmtId="165" fontId="18" fillId="3" borderId="26" xfId="1" applyFont="1" applyFill="1" applyBorder="1" applyAlignment="1" applyProtection="1">
      <alignment horizontal="right" vertical="center" wrapText="1"/>
    </xf>
    <xf numFmtId="0" fontId="18" fillId="2" borderId="24" xfId="0" applyFont="1" applyFill="1" applyBorder="1" applyAlignment="1">
      <alignment horizontal="left" vertical="center"/>
    </xf>
    <xf numFmtId="0" fontId="18" fillId="2" borderId="24" xfId="0" applyFont="1" applyFill="1" applyBorder="1" applyAlignment="1">
      <alignment horizontal="center" vertical="center" wrapText="1"/>
    </xf>
    <xf numFmtId="169" fontId="18" fillId="2" borderId="24" xfId="1" applyNumberFormat="1" applyFont="1" applyFill="1" applyBorder="1" applyAlignment="1" applyProtection="1">
      <alignment horizontal="right" vertical="center" wrapText="1"/>
    </xf>
    <xf numFmtId="165" fontId="18" fillId="2" borderId="24" xfId="1" applyFont="1" applyFill="1" applyBorder="1" applyAlignment="1" applyProtection="1">
      <alignment horizontal="right" vertical="center" wrapText="1"/>
    </xf>
    <xf numFmtId="165" fontId="18" fillId="2" borderId="0" xfId="1" applyFont="1" applyFill="1" applyBorder="1" applyAlignment="1" applyProtection="1">
      <alignment horizontal="right" vertical="center" wrapText="1"/>
    </xf>
    <xf numFmtId="0" fontId="18" fillId="3" borderId="24" xfId="0" applyFont="1" applyFill="1" applyBorder="1" applyAlignment="1">
      <alignment vertical="center" wrapText="1"/>
    </xf>
    <xf numFmtId="0" fontId="18" fillId="3" borderId="13" xfId="0" applyFont="1" applyFill="1" applyBorder="1" applyAlignment="1">
      <alignment vertical="center" wrapText="1"/>
    </xf>
    <xf numFmtId="0" fontId="18" fillId="3" borderId="25" xfId="0" applyFont="1" applyFill="1" applyBorder="1" applyAlignment="1">
      <alignment vertical="center" wrapText="1"/>
    </xf>
    <xf numFmtId="0" fontId="18" fillId="2" borderId="0" xfId="0" applyFont="1" applyFill="1" applyAlignment="1">
      <alignment horizontal="center" vertical="center" wrapText="1"/>
    </xf>
    <xf numFmtId="0" fontId="18" fillId="3" borderId="30" xfId="0" applyFont="1" applyFill="1" applyBorder="1" applyAlignment="1">
      <alignment vertical="center" wrapText="1"/>
    </xf>
    <xf numFmtId="0" fontId="20" fillId="2" borderId="0" xfId="0" applyFont="1" applyFill="1" applyAlignment="1" applyProtection="1">
      <alignment vertical="center" wrapText="1"/>
      <protection locked="0"/>
    </xf>
    <xf numFmtId="165" fontId="20" fillId="2" borderId="24" xfId="1" applyFont="1" applyFill="1" applyBorder="1" applyAlignment="1" applyProtection="1">
      <alignment horizontal="center" vertical="center" wrapText="1"/>
      <protection locked="0"/>
    </xf>
    <xf numFmtId="165" fontId="20" fillId="2" borderId="17" xfId="1" applyFont="1" applyFill="1" applyBorder="1" applyAlignment="1" applyProtection="1">
      <alignment horizontal="right" vertical="center" wrapText="1"/>
      <protection locked="0"/>
    </xf>
    <xf numFmtId="169" fontId="18" fillId="3" borderId="6" xfId="1" applyNumberFormat="1" applyFont="1" applyFill="1" applyBorder="1" applyAlignment="1" applyProtection="1">
      <alignment horizontal="right" vertical="center" wrapText="1"/>
    </xf>
    <xf numFmtId="165" fontId="18" fillId="3" borderId="31" xfId="1" applyFont="1" applyFill="1" applyBorder="1" applyAlignment="1" applyProtection="1">
      <alignment horizontal="right" vertical="center" wrapText="1"/>
    </xf>
    <xf numFmtId="0" fontId="0" fillId="2" borderId="24" xfId="0" applyFill="1" applyBorder="1" applyAlignment="1">
      <alignment vertical="center"/>
    </xf>
    <xf numFmtId="0" fontId="0" fillId="2" borderId="24" xfId="0" applyFill="1" applyBorder="1" applyAlignment="1">
      <alignment horizontal="right" vertical="center"/>
    </xf>
    <xf numFmtId="0" fontId="0" fillId="2" borderId="0" xfId="0" applyFill="1" applyAlignment="1">
      <alignment horizontal="right" vertical="center"/>
    </xf>
    <xf numFmtId="0" fontId="12" fillId="2" borderId="0" xfId="0" applyFont="1" applyFill="1" applyAlignment="1">
      <alignment horizontal="right" vertical="center"/>
    </xf>
    <xf numFmtId="9" fontId="12" fillId="2" borderId="0" xfId="0" applyNumberFormat="1" applyFont="1" applyFill="1" applyAlignment="1">
      <alignment vertical="center"/>
    </xf>
    <xf numFmtId="0" fontId="18" fillId="2" borderId="0" xfId="0" applyFont="1" applyFill="1" applyAlignment="1">
      <alignment horizontal="center" vertical="center"/>
    </xf>
    <xf numFmtId="0" fontId="24" fillId="2" borderId="0" xfId="0" applyFont="1" applyFill="1" applyAlignment="1">
      <alignment vertical="center"/>
    </xf>
    <xf numFmtId="1" fontId="20" fillId="2" borderId="0" xfId="0" applyNumberFormat="1" applyFont="1" applyFill="1" applyAlignment="1">
      <alignment horizontal="left" vertical="center" wrapText="1"/>
    </xf>
    <xf numFmtId="0" fontId="18" fillId="2" borderId="0" xfId="0" applyFont="1" applyFill="1" applyAlignment="1">
      <alignment horizontal="right" vertical="center" wrapText="1"/>
    </xf>
    <xf numFmtId="0" fontId="20" fillId="2" borderId="0" xfId="0" applyFont="1" applyFill="1" applyAlignment="1" applyProtection="1">
      <alignment horizontal="center" vertical="center" wrapText="1"/>
      <protection locked="0"/>
    </xf>
    <xf numFmtId="166" fontId="20" fillId="2" borderId="24" xfId="1" applyNumberFormat="1" applyFont="1" applyFill="1" applyBorder="1" applyAlignment="1" applyProtection="1">
      <alignment horizontal="center" vertical="center" wrapText="1"/>
      <protection locked="0"/>
    </xf>
    <xf numFmtId="166" fontId="20" fillId="2" borderId="13" xfId="1" applyNumberFormat="1" applyFont="1" applyFill="1" applyBorder="1" applyAlignment="1" applyProtection="1">
      <alignment horizontal="center" vertical="center" wrapText="1"/>
      <protection locked="0"/>
    </xf>
    <xf numFmtId="166" fontId="20" fillId="2" borderId="32" xfId="1" applyNumberFormat="1" applyFont="1" applyFill="1" applyBorder="1" applyAlignment="1" applyProtection="1">
      <alignment horizontal="center" vertical="center" wrapText="1"/>
      <protection locked="0"/>
    </xf>
    <xf numFmtId="10" fontId="20" fillId="2" borderId="35" xfId="0" applyNumberFormat="1" applyFont="1" applyFill="1" applyBorder="1" applyAlignment="1" applyProtection="1">
      <alignment horizontal="right" vertical="center"/>
      <protection locked="0"/>
    </xf>
    <xf numFmtId="166" fontId="20" fillId="2" borderId="29" xfId="1" applyNumberFormat="1" applyFont="1" applyFill="1" applyBorder="1" applyAlignment="1" applyProtection="1">
      <alignment horizontal="center" vertical="center" wrapText="1"/>
      <protection locked="0"/>
    </xf>
    <xf numFmtId="10" fontId="20" fillId="2" borderId="36" xfId="0" applyNumberFormat="1" applyFont="1" applyFill="1" applyBorder="1" applyAlignment="1" applyProtection="1">
      <alignment horizontal="right" vertical="center"/>
      <protection locked="0"/>
    </xf>
    <xf numFmtId="165" fontId="20" fillId="2" borderId="13" xfId="1" applyFont="1" applyFill="1" applyBorder="1" applyAlignment="1" applyProtection="1">
      <alignment horizontal="right" vertical="center" wrapText="1"/>
      <protection locked="0"/>
    </xf>
    <xf numFmtId="165" fontId="20" fillId="2" borderId="0" xfId="1" applyFont="1" applyFill="1" applyBorder="1" applyAlignment="1" applyProtection="1">
      <alignment horizontal="right" vertical="center" wrapText="1"/>
    </xf>
    <xf numFmtId="165" fontId="20" fillId="2" borderId="16" xfId="1" applyFont="1" applyFill="1" applyBorder="1" applyAlignment="1" applyProtection="1">
      <alignment horizontal="right" vertical="center" wrapText="1"/>
    </xf>
    <xf numFmtId="165" fontId="20" fillId="2" borderId="37" xfId="1" applyFont="1" applyFill="1" applyBorder="1" applyAlignment="1" applyProtection="1">
      <alignment horizontal="right" vertical="center"/>
      <protection locked="0"/>
    </xf>
    <xf numFmtId="0" fontId="20" fillId="2" borderId="14" xfId="0" applyFont="1" applyFill="1" applyBorder="1" applyAlignment="1" applyProtection="1">
      <alignment horizontal="left" vertical="center" wrapText="1"/>
      <protection locked="0"/>
    </xf>
    <xf numFmtId="166" fontId="20" fillId="2" borderId="0" xfId="1" applyNumberFormat="1" applyFont="1" applyFill="1" applyBorder="1" applyAlignment="1" applyProtection="1">
      <alignment horizontal="center" vertical="center" wrapText="1"/>
      <protection locked="0"/>
    </xf>
    <xf numFmtId="166" fontId="20" fillId="2" borderId="16" xfId="1" applyNumberFormat="1" applyFont="1" applyFill="1" applyBorder="1" applyAlignment="1" applyProtection="1">
      <alignment horizontal="center" vertical="center" wrapText="1"/>
      <protection locked="0"/>
    </xf>
    <xf numFmtId="0" fontId="20" fillId="2" borderId="14" xfId="0" applyFont="1" applyFill="1" applyBorder="1" applyAlignment="1" applyProtection="1">
      <alignment horizontal="center" vertical="center" wrapText="1"/>
      <protection locked="0"/>
    </xf>
    <xf numFmtId="166" fontId="20" fillId="2" borderId="28" xfId="1" applyNumberFormat="1" applyFont="1" applyFill="1" applyBorder="1" applyAlignment="1" applyProtection="1">
      <alignment horizontal="center" vertical="center" wrapText="1"/>
      <protection locked="0"/>
    </xf>
    <xf numFmtId="10" fontId="20" fillId="2" borderId="33" xfId="0" applyNumberFormat="1" applyFont="1" applyFill="1" applyBorder="1" applyAlignment="1" applyProtection="1">
      <alignment horizontal="right" vertical="center"/>
      <protection locked="0"/>
    </xf>
    <xf numFmtId="165" fontId="20" fillId="2" borderId="27" xfId="1" applyFont="1" applyFill="1" applyBorder="1" applyAlignment="1" applyProtection="1">
      <alignment horizontal="right" vertical="center" wrapText="1"/>
      <protection locked="0"/>
    </xf>
    <xf numFmtId="17" fontId="18" fillId="3" borderId="6" xfId="0" applyNumberFormat="1" applyFont="1" applyFill="1" applyBorder="1" applyAlignment="1">
      <alignment horizontal="left" vertical="center" wrapText="1"/>
    </xf>
    <xf numFmtId="17" fontId="18" fillId="3" borderId="6" xfId="0" applyNumberFormat="1" applyFont="1" applyFill="1" applyBorder="1" applyAlignment="1">
      <alignment horizontal="center" vertical="center" wrapText="1"/>
    </xf>
    <xf numFmtId="165" fontId="18" fillId="3" borderId="6" xfId="1" applyFont="1" applyFill="1" applyBorder="1" applyAlignment="1" applyProtection="1">
      <alignment horizontal="center" vertical="center" wrapText="1"/>
    </xf>
    <xf numFmtId="17" fontId="18" fillId="3" borderId="2" xfId="0" applyNumberFormat="1" applyFont="1" applyFill="1" applyBorder="1" applyAlignment="1">
      <alignment horizontal="center" vertical="center" wrapText="1"/>
    </xf>
    <xf numFmtId="17" fontId="18" fillId="2" borderId="0" xfId="0" applyNumberFormat="1" applyFont="1" applyFill="1" applyAlignment="1">
      <alignment horizontal="left" vertical="center" wrapText="1"/>
    </xf>
    <xf numFmtId="169" fontId="18" fillId="2" borderId="0" xfId="1" applyNumberFormat="1" applyFont="1" applyFill="1" applyBorder="1" applyAlignment="1" applyProtection="1">
      <alignment horizontal="right" vertical="center" wrapText="1"/>
    </xf>
    <xf numFmtId="17" fontId="18" fillId="2" borderId="0" xfId="0" applyNumberFormat="1" applyFont="1" applyFill="1" applyAlignment="1">
      <alignment horizontal="center" vertical="center" wrapText="1"/>
    </xf>
    <xf numFmtId="165" fontId="18" fillId="2" borderId="0" xfId="1" applyFont="1" applyFill="1" applyBorder="1" applyAlignment="1" applyProtection="1">
      <alignment horizontal="center" vertical="center" wrapText="1"/>
    </xf>
    <xf numFmtId="165" fontId="20" fillId="2" borderId="32" xfId="1" applyFont="1" applyFill="1" applyBorder="1" applyAlignment="1" applyProtection="1">
      <alignment horizontal="right" vertical="center" wrapText="1"/>
    </xf>
    <xf numFmtId="165" fontId="20" fillId="2" borderId="29" xfId="1" applyFont="1" applyFill="1" applyBorder="1" applyAlignment="1" applyProtection="1">
      <alignment horizontal="right" vertical="center" wrapText="1"/>
    </xf>
    <xf numFmtId="165" fontId="20" fillId="2" borderId="28" xfId="1" applyFont="1" applyFill="1" applyBorder="1" applyAlignment="1" applyProtection="1">
      <alignment horizontal="right" vertical="center" wrapText="1"/>
    </xf>
    <xf numFmtId="165" fontId="20" fillId="2" borderId="5" xfId="1" applyFont="1" applyFill="1" applyBorder="1" applyAlignment="1" applyProtection="1">
      <alignment horizontal="right" vertical="center" wrapText="1"/>
    </xf>
    <xf numFmtId="165" fontId="18" fillId="3" borderId="26" xfId="1" applyFont="1" applyFill="1" applyBorder="1" applyAlignment="1" applyProtection="1">
      <alignment horizontal="center" vertical="center" wrapText="1"/>
    </xf>
    <xf numFmtId="0" fontId="11" fillId="2" borderId="0" xfId="0" applyFont="1" applyFill="1" applyAlignment="1">
      <alignment horizontal="left" vertical="center"/>
    </xf>
    <xf numFmtId="4" fontId="0" fillId="2" borderId="0" xfId="0" applyNumberFormat="1" applyFill="1" applyAlignment="1" applyProtection="1">
      <alignment vertical="center"/>
      <protection locked="0"/>
    </xf>
    <xf numFmtId="0" fontId="0" fillId="2" borderId="0" xfId="0" applyFill="1" applyAlignment="1" applyProtection="1">
      <alignment horizontal="left" vertical="center" wrapText="1"/>
      <protection locked="0"/>
    </xf>
    <xf numFmtId="0" fontId="25" fillId="2" borderId="0" xfId="0" applyFont="1" applyFill="1" applyAlignment="1" applyProtection="1">
      <alignment vertical="center"/>
      <protection locked="0"/>
    </xf>
    <xf numFmtId="0" fontId="0" fillId="2" borderId="0" xfId="0" applyFill="1" applyAlignment="1">
      <alignment horizontal="left" vertical="center"/>
    </xf>
    <xf numFmtId="0" fontId="0" fillId="0" borderId="0" xfId="0" applyAlignment="1">
      <alignment horizontal="right"/>
    </xf>
    <xf numFmtId="0" fontId="11" fillId="0" borderId="0" xfId="0" applyFont="1"/>
    <xf numFmtId="0" fontId="26" fillId="3" borderId="6" xfId="0" applyFont="1" applyFill="1" applyBorder="1" applyAlignment="1">
      <alignment horizontal="center" vertical="center" wrapText="1"/>
    </xf>
    <xf numFmtId="0" fontId="26" fillId="3" borderId="5" xfId="0" applyFont="1" applyFill="1" applyBorder="1" applyAlignment="1">
      <alignment horizontal="center" vertical="center" wrapText="1"/>
    </xf>
    <xf numFmtId="0" fontId="26" fillId="3" borderId="5" xfId="0" applyFont="1" applyFill="1" applyBorder="1" applyAlignment="1">
      <alignment horizontal="center" vertical="center"/>
    </xf>
    <xf numFmtId="4" fontId="26" fillId="3" borderId="5" xfId="0" applyNumberFormat="1" applyFont="1" applyFill="1" applyBorder="1" applyAlignment="1">
      <alignment horizontal="center" vertical="center"/>
    </xf>
    <xf numFmtId="0" fontId="24" fillId="2" borderId="0" xfId="0" applyFont="1" applyFill="1" applyAlignment="1" applyProtection="1">
      <alignment horizontal="left" vertical="center" wrapText="1"/>
      <protection locked="0"/>
    </xf>
    <xf numFmtId="166" fontId="24" fillId="2" borderId="0" xfId="0" applyNumberFormat="1" applyFont="1" applyFill="1" applyAlignment="1" applyProtection="1">
      <alignment horizontal="right" vertical="center" wrapText="1"/>
      <protection locked="0"/>
    </xf>
    <xf numFmtId="4" fontId="24" fillId="2" borderId="0" xfId="0" applyNumberFormat="1" applyFont="1" applyFill="1" applyAlignment="1" applyProtection="1">
      <alignment horizontal="right" vertical="center" wrapText="1"/>
      <protection locked="0"/>
    </xf>
    <xf numFmtId="170" fontId="24" fillId="2" borderId="0" xfId="0" applyNumberFormat="1" applyFont="1" applyFill="1" applyAlignment="1" applyProtection="1">
      <alignment horizontal="right" vertical="center" wrapText="1"/>
      <protection locked="0"/>
    </xf>
    <xf numFmtId="165" fontId="24" fillId="2" borderId="0" xfId="1" applyFont="1" applyFill="1" applyBorder="1" applyAlignment="1" applyProtection="1">
      <alignment horizontal="right" vertical="center" wrapText="1"/>
    </xf>
    <xf numFmtId="0" fontId="26" fillId="3" borderId="6" xfId="0" applyFont="1" applyFill="1" applyBorder="1" applyAlignment="1">
      <alignment horizontal="right" vertical="center" wrapText="1"/>
    </xf>
    <xf numFmtId="0" fontId="26" fillId="3" borderId="6" xfId="0" applyFont="1" applyFill="1" applyBorder="1" applyAlignment="1">
      <alignment horizontal="right" vertical="center"/>
    </xf>
    <xf numFmtId="170" fontId="24" fillId="3" borderId="6" xfId="0" applyNumberFormat="1" applyFont="1" applyFill="1" applyBorder="1" applyAlignment="1">
      <alignment horizontal="right" vertical="center" wrapText="1"/>
    </xf>
    <xf numFmtId="165" fontId="26" fillId="3" borderId="6" xfId="1" applyFont="1" applyFill="1" applyBorder="1" applyAlignment="1" applyProtection="1">
      <alignment horizontal="right" vertical="center" wrapText="1"/>
    </xf>
    <xf numFmtId="0" fontId="24" fillId="3" borderId="6" xfId="0" applyFont="1" applyFill="1" applyBorder="1" applyAlignment="1">
      <alignment horizontal="left" vertical="center" wrapText="1"/>
    </xf>
    <xf numFmtId="0" fontId="20" fillId="2" borderId="0" xfId="6" applyFont="1" applyFill="1" applyAlignment="1">
      <alignment vertical="center" wrapText="1"/>
    </xf>
    <xf numFmtId="0" fontId="20" fillId="2" borderId="0" xfId="0" applyFont="1" applyFill="1"/>
    <xf numFmtId="4" fontId="18" fillId="3" borderId="10" xfId="7" applyNumberFormat="1" applyFont="1" applyFill="1" applyBorder="1" applyAlignment="1">
      <alignment horizontal="center" vertical="center" wrapText="1"/>
    </xf>
    <xf numFmtId="4" fontId="18" fillId="3" borderId="31" xfId="7" applyNumberFormat="1" applyFont="1" applyFill="1" applyBorder="1" applyAlignment="1">
      <alignment horizontal="center" vertical="center" wrapText="1"/>
    </xf>
    <xf numFmtId="4" fontId="18" fillId="3" borderId="26" xfId="7" applyNumberFormat="1" applyFont="1" applyFill="1" applyBorder="1" applyAlignment="1">
      <alignment horizontal="center" vertical="center" wrapText="1"/>
    </xf>
    <xf numFmtId="0" fontId="20" fillId="2" borderId="16" xfId="0" applyFont="1" applyFill="1" applyBorder="1" applyAlignment="1" applyProtection="1">
      <alignment horizontal="right" vertical="center"/>
      <protection locked="0"/>
    </xf>
    <xf numFmtId="0" fontId="20" fillId="2" borderId="17" xfId="0" applyFont="1" applyFill="1" applyBorder="1" applyAlignment="1" applyProtection="1">
      <alignment horizontal="left" vertical="center" wrapText="1"/>
      <protection locked="0"/>
    </xf>
    <xf numFmtId="165" fontId="20" fillId="2" borderId="17" xfId="1" applyFont="1" applyFill="1" applyBorder="1" applyAlignment="1" applyProtection="1">
      <alignment horizontal="right" vertical="center"/>
      <protection locked="0"/>
    </xf>
    <xf numFmtId="166" fontId="20" fillId="2" borderId="17" xfId="0" applyNumberFormat="1" applyFont="1" applyFill="1" applyBorder="1" applyAlignment="1" applyProtection="1">
      <alignment horizontal="right" vertical="center"/>
      <protection locked="0"/>
    </xf>
    <xf numFmtId="0" fontId="20" fillId="2" borderId="29" xfId="0" applyFont="1" applyFill="1" applyBorder="1" applyAlignment="1" applyProtection="1">
      <alignment horizontal="left" vertical="center" wrapText="1"/>
      <protection locked="0"/>
    </xf>
    <xf numFmtId="165" fontId="20" fillId="2" borderId="29" xfId="1" applyFont="1" applyFill="1" applyBorder="1" applyAlignment="1" applyProtection="1">
      <alignment horizontal="right" vertical="center"/>
    </xf>
    <xf numFmtId="0" fontId="20" fillId="3" borderId="6" xfId="0" applyFont="1" applyFill="1" applyBorder="1" applyAlignment="1">
      <alignment horizontal="right" vertical="center"/>
    </xf>
    <xf numFmtId="0" fontId="20" fillId="3" borderId="6" xfId="0" applyFont="1" applyFill="1" applyBorder="1" applyAlignment="1">
      <alignment horizontal="left" vertical="center" wrapText="1"/>
    </xf>
    <xf numFmtId="0" fontId="18" fillId="3" borderId="6" xfId="0" applyFont="1" applyFill="1" applyBorder="1" applyAlignment="1">
      <alignment horizontal="right" vertical="center"/>
    </xf>
    <xf numFmtId="165" fontId="20" fillId="3" borderId="6" xfId="0" applyNumberFormat="1" applyFont="1" applyFill="1" applyBorder="1" applyAlignment="1">
      <alignment horizontal="right" vertical="center"/>
    </xf>
    <xf numFmtId="0" fontId="0" fillId="2" borderId="0" xfId="0" applyFill="1" applyAlignment="1" applyProtection="1">
      <alignment wrapText="1"/>
      <protection locked="0"/>
    </xf>
    <xf numFmtId="1" fontId="12" fillId="2" borderId="26" xfId="0" applyNumberFormat="1" applyFont="1" applyFill="1" applyBorder="1" applyAlignment="1">
      <alignment horizontal="center" vertical="center" wrapText="1"/>
    </xf>
    <xf numFmtId="0" fontId="0" fillId="2" borderId="38" xfId="0" applyFill="1" applyBorder="1" applyAlignment="1" applyProtection="1">
      <alignment wrapText="1"/>
      <protection locked="0"/>
    </xf>
    <xf numFmtId="0" fontId="20" fillId="2" borderId="6" xfId="0" applyFont="1" applyFill="1" applyBorder="1" applyAlignment="1">
      <alignment horizontal="right" vertical="center"/>
    </xf>
    <xf numFmtId="4" fontId="2" fillId="2" borderId="0" xfId="7" applyNumberFormat="1" applyFont="1" applyFill="1" applyAlignment="1">
      <alignment horizontal="center"/>
    </xf>
    <xf numFmtId="0" fontId="30" fillId="2" borderId="0" xfId="7" applyFont="1" applyFill="1" applyAlignment="1">
      <alignment vertical="center"/>
    </xf>
    <xf numFmtId="0" fontId="31" fillId="2" borderId="0" xfId="7" applyFont="1" applyFill="1" applyAlignment="1">
      <alignment vertical="center"/>
    </xf>
    <xf numFmtId="0" fontId="0" fillId="2" borderId="0" xfId="6" applyFont="1" applyFill="1" applyAlignment="1">
      <alignment wrapText="1"/>
    </xf>
    <xf numFmtId="0" fontId="11" fillId="2" borderId="4" xfId="6" applyFont="1" applyFill="1" applyBorder="1" applyAlignment="1">
      <alignment horizontal="left" vertical="center" wrapText="1"/>
    </xf>
    <xf numFmtId="0" fontId="32" fillId="2" borderId="4" xfId="6" applyFont="1" applyFill="1" applyBorder="1" applyAlignment="1">
      <alignment horizontal="left" vertical="center" wrapText="1"/>
    </xf>
    <xf numFmtId="0" fontId="0" fillId="2" borderId="0" xfId="6" applyFont="1" applyFill="1" applyAlignment="1">
      <alignment vertical="center" wrapText="1"/>
    </xf>
    <xf numFmtId="0" fontId="0" fillId="2" borderId="0" xfId="6" applyFont="1" applyFill="1" applyAlignment="1">
      <alignment horizontal="left" vertical="center" wrapText="1"/>
    </xf>
    <xf numFmtId="0" fontId="32" fillId="2" borderId="4" xfId="9" applyFont="1" applyFill="1" applyBorder="1" applyAlignment="1">
      <alignment horizontal="left" vertical="center" wrapText="1"/>
    </xf>
    <xf numFmtId="0" fontId="32" fillId="2" borderId="0" xfId="6" applyFont="1" applyFill="1" applyAlignment="1">
      <alignment horizontal="left" vertical="center" wrapText="1"/>
    </xf>
    <xf numFmtId="0" fontId="33" fillId="2" borderId="4" xfId="9" applyFont="1" applyFill="1" applyBorder="1" applyAlignment="1">
      <alignment horizontal="left" vertical="center" wrapText="1"/>
    </xf>
    <xf numFmtId="0" fontId="36" fillId="3" borderId="5" xfId="0" applyFont="1" applyFill="1" applyBorder="1" applyAlignment="1" applyProtection="1">
      <alignment horizontal="center" vertical="center" wrapText="1"/>
      <protection locked="0"/>
    </xf>
    <xf numFmtId="166" fontId="35" fillId="2" borderId="16" xfId="1" applyNumberFormat="1" applyFont="1" applyFill="1" applyBorder="1" applyAlignment="1" applyProtection="1">
      <alignment horizontal="center" vertical="center" wrapText="1"/>
      <protection locked="0"/>
    </xf>
    <xf numFmtId="0" fontId="35" fillId="2" borderId="0" xfId="0" applyFont="1" applyFill="1" applyAlignment="1" applyProtection="1">
      <alignment horizontal="left" vertical="center" wrapText="1"/>
      <protection locked="0"/>
    </xf>
    <xf numFmtId="165" fontId="20" fillId="2" borderId="24" xfId="1" applyFont="1" applyFill="1" applyBorder="1" applyAlignment="1" applyProtection="1">
      <alignment horizontal="right" vertical="center" wrapText="1"/>
      <protection locked="0"/>
    </xf>
    <xf numFmtId="0" fontId="0" fillId="0" borderId="0" xfId="0" applyAlignment="1" applyProtection="1">
      <alignment horizontal="left" vertical="center"/>
      <protection locked="0"/>
    </xf>
    <xf numFmtId="0" fontId="37" fillId="2" borderId="0" xfId="0" applyFont="1" applyFill="1" applyAlignment="1" applyProtection="1">
      <alignment horizontal="left" vertical="center" wrapText="1"/>
      <protection locked="0"/>
    </xf>
    <xf numFmtId="0" fontId="34" fillId="0" borderId="0" xfId="0" applyFont="1" applyAlignment="1" applyProtection="1">
      <alignment horizontal="left" vertical="center"/>
      <protection locked="0"/>
    </xf>
    <xf numFmtId="165" fontId="39" fillId="2" borderId="17" xfId="1" applyFont="1" applyFill="1" applyBorder="1" applyAlignment="1" applyProtection="1">
      <alignment horizontal="right" vertical="center"/>
      <protection locked="0"/>
    </xf>
    <xf numFmtId="0" fontId="39" fillId="2" borderId="17" xfId="0" applyFont="1" applyFill="1" applyBorder="1" applyAlignment="1" applyProtection="1">
      <alignment horizontal="left" vertical="center" wrapText="1"/>
      <protection locked="0"/>
    </xf>
    <xf numFmtId="0" fontId="11" fillId="0" borderId="0" xfId="0" applyFont="1" applyAlignment="1">
      <alignment horizontal="center" vertical="center"/>
    </xf>
    <xf numFmtId="0" fontId="12" fillId="0" borderId="3" xfId="0" applyFont="1" applyBorder="1" applyAlignment="1">
      <alignment horizontal="center" wrapText="1"/>
    </xf>
    <xf numFmtId="0" fontId="12" fillId="0" borderId="3" xfId="0" applyFont="1" applyBorder="1" applyAlignment="1">
      <alignment horizontal="center"/>
    </xf>
    <xf numFmtId="0" fontId="18" fillId="2" borderId="1" xfId="7" applyFont="1" applyFill="1" applyBorder="1" applyAlignment="1">
      <alignment horizontal="right" vertical="center" wrapText="1"/>
    </xf>
    <xf numFmtId="0" fontId="11" fillId="2" borderId="0" xfId="0" applyFont="1" applyFill="1" applyAlignment="1">
      <alignment horizontal="center" vertical="center" wrapText="1"/>
    </xf>
    <xf numFmtId="0" fontId="11" fillId="2" borderId="5" xfId="0" applyFont="1" applyFill="1" applyBorder="1" applyAlignment="1">
      <alignment horizontal="center" vertical="center"/>
    </xf>
    <xf numFmtId="0" fontId="20" fillId="2" borderId="7" xfId="0" applyFont="1" applyFill="1" applyBorder="1" applyAlignment="1">
      <alignment horizontal="left" vertical="center" wrapText="1"/>
    </xf>
    <xf numFmtId="0" fontId="18" fillId="2" borderId="9" xfId="0" applyFont="1" applyFill="1" applyBorder="1" applyAlignment="1">
      <alignment horizontal="left" vertical="center" wrapText="1"/>
    </xf>
    <xf numFmtId="0" fontId="18" fillId="3" borderId="6" xfId="7" applyFont="1" applyFill="1" applyBorder="1" applyAlignment="1">
      <alignment horizontal="left" vertical="center"/>
    </xf>
    <xf numFmtId="0" fontId="11" fillId="2" borderId="5" xfId="0" applyFont="1" applyFill="1" applyBorder="1" applyAlignment="1">
      <alignment horizontal="center" vertical="center" wrapText="1"/>
    </xf>
    <xf numFmtId="0" fontId="11" fillId="2" borderId="5" xfId="0" applyFont="1" applyFill="1" applyBorder="1" applyAlignment="1">
      <alignment horizontal="center"/>
    </xf>
    <xf numFmtId="0" fontId="18" fillId="3" borderId="6" xfId="0" applyFont="1" applyFill="1" applyBorder="1" applyAlignment="1">
      <alignment horizontal="left" vertical="center"/>
    </xf>
    <xf numFmtId="0" fontId="18" fillId="3" borderId="24" xfId="0" applyFont="1" applyFill="1" applyBorder="1" applyAlignment="1">
      <alignment horizontal="center" vertical="center" wrapText="1"/>
    </xf>
    <xf numFmtId="0" fontId="18" fillId="3" borderId="26" xfId="0" applyFont="1" applyFill="1" applyBorder="1" applyAlignment="1">
      <alignment horizontal="center" vertical="center" wrapText="1"/>
    </xf>
    <xf numFmtId="0" fontId="11" fillId="2" borderId="0" xfId="0" applyFont="1" applyFill="1" applyAlignment="1">
      <alignment horizontal="center" vertical="center"/>
    </xf>
    <xf numFmtId="0" fontId="18" fillId="3" borderId="25" xfId="0" applyFont="1" applyFill="1" applyBorder="1" applyAlignment="1">
      <alignment horizontal="center" vertical="center" wrapText="1"/>
    </xf>
    <xf numFmtId="0" fontId="18" fillId="3" borderId="6" xfId="0" applyFont="1" applyFill="1" applyBorder="1" applyAlignment="1">
      <alignment horizontal="center" vertical="center" wrapText="1"/>
    </xf>
    <xf numFmtId="0" fontId="18" fillId="3" borderId="10" xfId="0" applyFont="1" applyFill="1" applyBorder="1" applyAlignment="1">
      <alignment horizontal="center" vertical="center" wrapText="1"/>
    </xf>
    <xf numFmtId="0" fontId="18" fillId="3" borderId="32" xfId="0" applyFont="1" applyFill="1" applyBorder="1" applyAlignment="1">
      <alignment horizontal="center" vertical="center"/>
    </xf>
    <xf numFmtId="0" fontId="18" fillId="3" borderId="28" xfId="0" applyFont="1" applyFill="1" applyBorder="1" applyAlignment="1">
      <alignment horizontal="center" vertical="center" wrapText="1"/>
    </xf>
    <xf numFmtId="0" fontId="18" fillId="3" borderId="2" xfId="0" applyFont="1" applyFill="1" applyBorder="1" applyAlignment="1">
      <alignment horizontal="center" vertical="center" wrapText="1"/>
    </xf>
    <xf numFmtId="0" fontId="18" fillId="3" borderId="33" xfId="0" applyFont="1" applyFill="1" applyBorder="1" applyAlignment="1">
      <alignment horizontal="center" vertical="center" wrapText="1"/>
    </xf>
    <xf numFmtId="0" fontId="18" fillId="3" borderId="34" xfId="0" applyFont="1" applyFill="1" applyBorder="1" applyAlignment="1">
      <alignment horizontal="center" vertical="center" wrapText="1"/>
    </xf>
    <xf numFmtId="0" fontId="18" fillId="3" borderId="32" xfId="0" applyFont="1" applyFill="1" applyBorder="1" applyAlignment="1">
      <alignment horizontal="center" vertical="center" wrapText="1"/>
    </xf>
    <xf numFmtId="0" fontId="18" fillId="3" borderId="5" xfId="0" applyFont="1" applyFill="1" applyBorder="1" applyAlignment="1">
      <alignment horizontal="center" vertical="center" wrapText="1"/>
    </xf>
    <xf numFmtId="0" fontId="18" fillId="3" borderId="27" xfId="0" applyFont="1" applyFill="1" applyBorder="1" applyAlignment="1">
      <alignment horizontal="center" vertical="center" wrapText="1"/>
    </xf>
    <xf numFmtId="0" fontId="18" fillId="3" borderId="0" xfId="0" applyFont="1" applyFill="1" applyAlignment="1">
      <alignment horizontal="center" vertical="center" wrapText="1"/>
    </xf>
    <xf numFmtId="0" fontId="0" fillId="2" borderId="0" xfId="0" applyFill="1" applyAlignment="1" applyProtection="1">
      <alignment horizontal="center" vertical="center" wrapText="1"/>
      <protection locked="0"/>
    </xf>
    <xf numFmtId="0" fontId="18" fillId="3" borderId="16" xfId="0" applyFont="1" applyFill="1" applyBorder="1" applyAlignment="1">
      <alignment horizontal="center" vertical="center" wrapText="1"/>
    </xf>
    <xf numFmtId="0" fontId="3" fillId="2" borderId="0" xfId="7" applyFont="1" applyFill="1" applyAlignment="1">
      <alignment horizontal="center" vertical="center" wrapText="1"/>
    </xf>
    <xf numFmtId="0" fontId="5" fillId="2" borderId="0" xfId="7" applyFont="1" applyFill="1" applyAlignment="1">
      <alignment horizontal="center"/>
    </xf>
    <xf numFmtId="0" fontId="3" fillId="2" borderId="0" xfId="7" applyFont="1" applyFill="1" applyAlignment="1">
      <alignment horizontal="center"/>
    </xf>
    <xf numFmtId="0" fontId="27" fillId="2" borderId="0" xfId="7" applyFont="1" applyFill="1" applyAlignment="1">
      <alignment horizontal="center" vertical="center"/>
    </xf>
    <xf numFmtId="0" fontId="30" fillId="2" borderId="0" xfId="7" applyFont="1" applyFill="1" applyAlignment="1">
      <alignment horizontal="center" vertical="center"/>
    </xf>
    <xf numFmtId="0" fontId="7" fillId="2" borderId="0" xfId="7" applyFont="1" applyFill="1" applyAlignment="1">
      <alignment horizontal="center" vertical="center"/>
    </xf>
    <xf numFmtId="0" fontId="28" fillId="2" borderId="0" xfId="7" applyFont="1" applyFill="1" applyAlignment="1">
      <alignment horizontal="center"/>
    </xf>
    <xf numFmtId="0" fontId="29" fillId="2" borderId="0" xfId="7" applyFont="1" applyFill="1" applyAlignment="1">
      <alignment horizontal="center"/>
    </xf>
    <xf numFmtId="0" fontId="38" fillId="2" borderId="0" xfId="7" applyFont="1" applyFill="1" applyAlignment="1" applyProtection="1">
      <alignment horizontal="center" vertical="center"/>
      <protection locked="0"/>
    </xf>
  </cellXfs>
  <cellStyles count="14">
    <cellStyle name="Moeda 2" xfId="3" xr:uid="{00000000-0005-0000-0000-000000000000}"/>
    <cellStyle name="Moeda 2 2" xfId="4" xr:uid="{00000000-0005-0000-0000-000001000000}"/>
    <cellStyle name="Moeda 3" xfId="5" xr:uid="{00000000-0005-0000-0000-000002000000}"/>
    <cellStyle name="Normal" xfId="0" builtinId="0"/>
    <cellStyle name="Normal 10" xfId="6" xr:uid="{00000000-0005-0000-0000-000004000000}"/>
    <cellStyle name="Normal 2" xfId="7" xr:uid="{00000000-0005-0000-0000-000005000000}"/>
    <cellStyle name="Normal 3" xfId="8" xr:uid="{00000000-0005-0000-0000-000006000000}"/>
    <cellStyle name="Normal 3 3" xfId="9" xr:uid="{00000000-0005-0000-0000-000007000000}"/>
    <cellStyle name="Normal 4" xfId="10" xr:uid="{00000000-0005-0000-0000-000008000000}"/>
    <cellStyle name="Normal 5" xfId="11" xr:uid="{00000000-0005-0000-0000-000009000000}"/>
    <cellStyle name="Porcentagem" xfId="2" builtinId="5"/>
    <cellStyle name="Porcentagem 2" xfId="12" xr:uid="{00000000-0005-0000-0000-00000B000000}"/>
    <cellStyle name="Separador de milhares 2" xfId="13" xr:uid="{00000000-0005-0000-0000-00000C000000}"/>
    <cellStyle name="Vírgula" xfId="1" builtinId="3"/>
  </cellStyles>
  <dxfs count="41">
    <dxf>
      <fill>
        <patternFill>
          <bgColor rgb="FFF2F2F2"/>
        </patternFill>
      </fill>
    </dxf>
    <dxf>
      <fill>
        <patternFill>
          <bgColor rgb="FFF2F2F2"/>
        </patternFill>
      </fill>
    </dxf>
    <dxf>
      <fill>
        <patternFill>
          <bgColor rgb="FFF2F2F2"/>
        </patternFill>
      </fill>
    </dxf>
    <dxf>
      <fill>
        <patternFill>
          <bgColor rgb="FFF2F2F2"/>
        </patternFill>
      </fill>
    </dxf>
    <dxf>
      <fill>
        <patternFill>
          <bgColor rgb="FFF2F2F2"/>
        </patternFill>
      </fill>
    </dxf>
    <dxf>
      <fill>
        <patternFill>
          <bgColor rgb="FFF2F2F2"/>
        </patternFill>
      </fill>
    </dxf>
    <dxf>
      <fill>
        <patternFill>
          <bgColor rgb="FFF2F2F2"/>
        </patternFill>
      </fill>
    </dxf>
    <dxf>
      <fill>
        <patternFill>
          <bgColor rgb="FFF2F2F2"/>
        </patternFill>
      </fill>
    </dxf>
    <dxf>
      <fill>
        <patternFill>
          <bgColor rgb="FFF2F2F2"/>
        </patternFill>
      </fill>
    </dxf>
    <dxf>
      <fill>
        <patternFill>
          <bgColor rgb="FFF2F2F2"/>
        </patternFill>
      </fill>
    </dxf>
    <dxf>
      <fill>
        <patternFill>
          <bgColor rgb="FFF2F2F2"/>
        </patternFill>
      </fill>
    </dxf>
    <dxf>
      <fill>
        <patternFill>
          <bgColor rgb="FFF2F2F2"/>
        </patternFill>
      </fill>
    </dxf>
    <dxf>
      <fill>
        <patternFill>
          <bgColor rgb="FFF2F2F2"/>
        </patternFill>
      </fill>
    </dxf>
    <dxf>
      <fill>
        <patternFill>
          <bgColor rgb="FFF2F2F2"/>
        </patternFill>
      </fill>
    </dxf>
    <dxf>
      <fill>
        <patternFill>
          <bgColor rgb="FFF2F2F2"/>
        </patternFill>
      </fill>
    </dxf>
    <dxf>
      <fill>
        <patternFill>
          <bgColor rgb="FFF2F2F2"/>
        </patternFill>
      </fill>
    </dxf>
    <dxf>
      <fill>
        <patternFill>
          <bgColor rgb="FFF2F2F2"/>
        </patternFill>
      </fill>
    </dxf>
    <dxf>
      <fill>
        <patternFill>
          <bgColor rgb="FFF2F2F2"/>
        </patternFill>
      </fill>
    </dxf>
    <dxf>
      <fill>
        <patternFill>
          <bgColor rgb="FFF2F2F2"/>
        </patternFill>
      </fill>
    </dxf>
    <dxf>
      <fill>
        <patternFill>
          <bgColor rgb="FFF2F2F2"/>
        </patternFill>
      </fill>
    </dxf>
    <dxf>
      <fill>
        <patternFill>
          <bgColor rgb="FFF2F2F2"/>
        </patternFill>
      </fill>
    </dxf>
    <dxf>
      <fill>
        <patternFill>
          <bgColor rgb="FFF2F2F2"/>
        </patternFill>
      </fill>
    </dxf>
    <dxf>
      <fill>
        <patternFill>
          <bgColor rgb="FFF2F2F2"/>
        </patternFill>
      </fill>
    </dxf>
    <dxf>
      <fill>
        <patternFill>
          <bgColor rgb="FFF2F2F2"/>
        </patternFill>
      </fill>
    </dxf>
    <dxf>
      <fill>
        <patternFill>
          <bgColor rgb="FFF2F2F2"/>
        </patternFill>
      </fill>
    </dxf>
    <dxf>
      <fill>
        <patternFill>
          <bgColor rgb="FFF2F2F2"/>
        </patternFill>
      </fill>
    </dxf>
    <dxf>
      <fill>
        <patternFill>
          <bgColor rgb="FFF2F2F2"/>
        </patternFill>
      </fill>
    </dxf>
    <dxf>
      <fill>
        <patternFill>
          <bgColor rgb="FFF2F2F2"/>
        </patternFill>
      </fill>
    </dxf>
    <dxf>
      <fill>
        <patternFill>
          <bgColor rgb="FFF2F2F2"/>
        </patternFill>
      </fill>
    </dxf>
    <dxf>
      <fill>
        <patternFill>
          <bgColor rgb="FFF2F2F2"/>
        </patternFill>
      </fill>
    </dxf>
    <dxf>
      <fill>
        <patternFill>
          <bgColor rgb="FFF2F2F2"/>
        </patternFill>
      </fill>
    </dxf>
    <dxf>
      <fill>
        <patternFill>
          <bgColor rgb="FFF2F2F2"/>
        </patternFill>
      </fill>
    </dxf>
    <dxf>
      <fill>
        <patternFill>
          <bgColor rgb="FFF2F2F2"/>
        </patternFill>
      </fill>
    </dxf>
    <dxf>
      <fill>
        <patternFill>
          <bgColor rgb="FFF2F2F2"/>
        </patternFill>
      </fill>
    </dxf>
    <dxf>
      <fill>
        <patternFill>
          <bgColor rgb="FFF2F2F2"/>
        </patternFill>
      </fill>
    </dxf>
    <dxf>
      <fill>
        <patternFill>
          <bgColor rgb="FFF2F2F2"/>
        </patternFill>
      </fill>
    </dxf>
    <dxf>
      <fill>
        <patternFill>
          <bgColor rgb="FFF2F2F2"/>
        </patternFill>
      </fill>
    </dxf>
    <dxf>
      <fill>
        <patternFill>
          <bgColor rgb="FFF2F2F2"/>
        </patternFill>
      </fill>
    </dxf>
    <dxf>
      <fill>
        <patternFill>
          <bgColor rgb="FFF2F2F2"/>
        </patternFill>
      </fill>
    </dxf>
    <dxf>
      <fill>
        <patternFill>
          <bgColor rgb="FFF2F2F2"/>
        </patternFill>
      </fill>
    </dxf>
    <dxf>
      <fill>
        <patternFill>
          <bgColor rgb="FFFFFF00"/>
        </patternFill>
      </fill>
    </dxf>
  </dxfs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77933C"/>
      <rgbColor rgb="FF800080"/>
      <rgbColor rgb="FF008080"/>
      <rgbColor rgb="FFBFBFBF"/>
      <rgbColor rgb="FF7F7F7F"/>
      <rgbColor rgb="FF9999FF"/>
      <rgbColor rgb="FF993366"/>
      <rgbColor rgb="FFFDEADA"/>
      <rgbColor rgb="FFF2F2F2"/>
      <rgbColor rgb="FF660066"/>
      <rgbColor rgb="FFFF8080"/>
      <rgbColor rgb="FF0066CC"/>
      <rgbColor rgb="FFD9D9D9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AC090"/>
      <rgbColor rgb="FF3366FF"/>
      <rgbColor rgb="FF33CCCC"/>
      <rgbColor rgb="FF99CC00"/>
      <rgbColor rgb="FFFFCC00"/>
      <rgbColor rgb="FFFF9900"/>
      <rgbColor rgb="FFFF6600"/>
      <rgbColor rgb="FF666699"/>
      <rgbColor rgb="FFA6A6A6"/>
      <rgbColor rgb="FF003366"/>
      <rgbColor rgb="FF339966"/>
      <rgbColor rgb="FF0D0D0D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1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20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196659</xdr:rowOff>
    </xdr:from>
    <xdr:to>
      <xdr:col>0</xdr:col>
      <xdr:colOff>2968058</xdr:colOff>
      <xdr:row>8</xdr:row>
      <xdr:rowOff>807925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384" t="33563" r="9604" b="35783"/>
        <a:stretch/>
      </xdr:blipFill>
      <xdr:spPr>
        <a:xfrm>
          <a:off x="0" y="2416324"/>
          <a:ext cx="2968058" cy="1096021"/>
        </a:xfrm>
        <a:prstGeom prst="rect">
          <a:avLst/>
        </a:prstGeom>
      </xdr:spPr>
    </xdr:pic>
    <xdr:clientData/>
  </xdr:twoCellAnchor>
  <xdr:twoCellAnchor editAs="oneCell">
    <xdr:from>
      <xdr:col>0</xdr:col>
      <xdr:colOff>6199141</xdr:colOff>
      <xdr:row>8</xdr:row>
      <xdr:rowOff>25513</xdr:rowOff>
    </xdr:from>
    <xdr:to>
      <xdr:col>1</xdr:col>
      <xdr:colOff>52171</xdr:colOff>
      <xdr:row>8</xdr:row>
      <xdr:rowOff>722730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99141" y="2729933"/>
          <a:ext cx="4194459" cy="697217"/>
        </a:xfrm>
        <a:prstGeom prst="rect">
          <a:avLst/>
        </a:prstGeom>
      </xdr:spPr>
    </xdr:pic>
    <xdr:clientData/>
  </xdr:twoCellAnchor>
  <xdr:twoCellAnchor editAs="oneCell">
    <xdr:from>
      <xdr:col>0</xdr:col>
      <xdr:colOff>3384777</xdr:colOff>
      <xdr:row>7</xdr:row>
      <xdr:rowOff>127566</xdr:rowOff>
    </xdr:from>
    <xdr:to>
      <xdr:col>0</xdr:col>
      <xdr:colOff>5859577</xdr:colOff>
      <xdr:row>8</xdr:row>
      <xdr:rowOff>790915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274" t="33007" r="28143" b="29218"/>
        <a:stretch/>
      </xdr:blipFill>
      <xdr:spPr>
        <a:xfrm>
          <a:off x="3384777" y="2619374"/>
          <a:ext cx="2474800" cy="875961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Modelos%20e%20Manuais\5%20-%20Monitoramento\Modelo%20de%20Relat&#243;rio%20Gerencial%20Financeiro%20vr%206.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pa"/>
      <sheetName val="Resumo"/>
      <sheetName val="Comparativo"/>
      <sheetName val="Atividades"/>
      <sheetName val="Analítico Cx."/>
      <sheetName val="Analítico Cp."/>
      <sheetName val="Prov. Pessoal"/>
      <sheetName val="Comprometidos"/>
      <sheetName val="Diário"/>
      <sheetName val="Reserva"/>
      <sheetName val="Dec Dir."/>
      <sheetName val="Plano"/>
    </sheetNames>
    <sheetDataSet>
      <sheetData sheetId="0" refreshError="1"/>
      <sheetData sheetId="1" refreshError="1"/>
      <sheetData sheetId="2" refreshError="1"/>
      <sheetData sheetId="3">
        <row r="4">
          <cell r="B4" t="str">
            <v>Atividades do Termo de Parceria -
Vinculação ao Programa de Trabalho</v>
          </cell>
        </row>
        <row r="5">
          <cell r="B5">
            <v>0</v>
          </cell>
        </row>
        <row r="6">
          <cell r="B6" t="str">
            <v>N/A</v>
          </cell>
        </row>
        <row r="7">
          <cell r="B7" t="str">
            <v>Área Meio - Atividades e Gastos</v>
          </cell>
        </row>
        <row r="8">
          <cell r="B8">
            <v>0</v>
          </cell>
        </row>
        <row r="9">
          <cell r="B9">
            <v>0</v>
          </cell>
        </row>
        <row r="10">
          <cell r="B10">
            <v>0</v>
          </cell>
        </row>
        <row r="11">
          <cell r="B11">
            <v>0</v>
          </cell>
        </row>
        <row r="12">
          <cell r="B12">
            <v>0</v>
          </cell>
        </row>
        <row r="13">
          <cell r="B13">
            <v>0</v>
          </cell>
        </row>
        <row r="14">
          <cell r="B14">
            <v>0</v>
          </cell>
        </row>
        <row r="15">
          <cell r="B15">
            <v>0</v>
          </cell>
        </row>
        <row r="16">
          <cell r="B16">
            <v>0</v>
          </cell>
        </row>
        <row r="17">
          <cell r="B17">
            <v>0</v>
          </cell>
        </row>
        <row r="18">
          <cell r="B18">
            <v>0</v>
          </cell>
        </row>
        <row r="19">
          <cell r="B19">
            <v>0</v>
          </cell>
        </row>
        <row r="20">
          <cell r="B20">
            <v>0</v>
          </cell>
        </row>
        <row r="21">
          <cell r="B21">
            <v>0</v>
          </cell>
        </row>
        <row r="22">
          <cell r="B22">
            <v>0</v>
          </cell>
        </row>
        <row r="23">
          <cell r="B23">
            <v>0</v>
          </cell>
        </row>
        <row r="24">
          <cell r="B24">
            <v>0</v>
          </cell>
        </row>
        <row r="25">
          <cell r="B25">
            <v>0</v>
          </cell>
        </row>
        <row r="26">
          <cell r="B26">
            <v>0</v>
          </cell>
        </row>
        <row r="27">
          <cell r="B27">
            <v>0</v>
          </cell>
        </row>
        <row r="28">
          <cell r="B28">
            <v>0</v>
          </cell>
        </row>
        <row r="29">
          <cell r="B29">
            <v>0</v>
          </cell>
        </row>
        <row r="30">
          <cell r="B30">
            <v>0</v>
          </cell>
        </row>
        <row r="31">
          <cell r="B31">
            <v>0</v>
          </cell>
        </row>
        <row r="32">
          <cell r="B32">
            <v>0</v>
          </cell>
        </row>
        <row r="33">
          <cell r="B33">
            <v>0</v>
          </cell>
        </row>
        <row r="34">
          <cell r="B34">
            <v>0</v>
          </cell>
        </row>
        <row r="35">
          <cell r="B35">
            <v>0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MJ36"/>
  <sheetViews>
    <sheetView tabSelected="1" zoomScale="112" zoomScaleNormal="112" zoomScalePageLayoutView="85" workbookViewId="0">
      <selection activeCell="A2" sqref="A2"/>
    </sheetView>
  </sheetViews>
  <sheetFormatPr defaultColWidth="9.1796875" defaultRowHeight="14"/>
  <cols>
    <col min="1" max="1" width="155.1796875" style="1" customWidth="1"/>
    <col min="2" max="1024" width="9.1796875" style="1"/>
  </cols>
  <sheetData>
    <row r="1" spans="1:1" ht="70.5" customHeight="1">
      <c r="A1" s="2" t="s">
        <v>684</v>
      </c>
    </row>
    <row r="2" spans="1:1" ht="18.75" customHeight="1">
      <c r="A2" s="3" t="s">
        <v>5</v>
      </c>
    </row>
    <row r="3" spans="1:1" ht="18.75" customHeight="1">
      <c r="A3" s="4"/>
    </row>
    <row r="4" spans="1:1" ht="24" customHeight="1">
      <c r="A4" s="5" t="s">
        <v>0</v>
      </c>
    </row>
    <row r="5" spans="1:1" ht="21.75" customHeight="1">
      <c r="A5" s="6">
        <v>45658</v>
      </c>
    </row>
    <row r="6" spans="1:1" ht="21.75" customHeight="1">
      <c r="A6" s="7" t="s">
        <v>1</v>
      </c>
    </row>
    <row r="7" spans="1:1" ht="21.75" customHeight="1">
      <c r="A7" s="6">
        <v>47058</v>
      </c>
    </row>
    <row r="8" spans="1:1" ht="16.5" customHeight="1">
      <c r="A8" s="8"/>
    </row>
    <row r="9" spans="1:1" ht="74.25" customHeight="1">
      <c r="A9"/>
    </row>
    <row r="10" spans="1:1" ht="27.75" customHeight="1">
      <c r="A10" s="9" t="s">
        <v>2</v>
      </c>
    </row>
    <row r="12" spans="1:1">
      <c r="A12" s="10" t="s">
        <v>3</v>
      </c>
    </row>
    <row r="14" spans="1:1" hidden="1">
      <c r="A14" s="1" t="s">
        <v>4</v>
      </c>
    </row>
    <row r="15" spans="1:1" hidden="1"/>
    <row r="16" spans="1:1" hidden="1">
      <c r="A16" s="1" t="s">
        <v>5</v>
      </c>
    </row>
    <row r="17" spans="1:1" hidden="1">
      <c r="A17" s="1" t="s">
        <v>6</v>
      </c>
    </row>
    <row r="18" spans="1:1" hidden="1">
      <c r="A18" s="1" t="s">
        <v>7</v>
      </c>
    </row>
    <row r="19" spans="1:1" hidden="1">
      <c r="A19" s="1" t="s">
        <v>8</v>
      </c>
    </row>
    <row r="20" spans="1:1" hidden="1">
      <c r="A20" s="1" t="s">
        <v>9</v>
      </c>
    </row>
    <row r="21" spans="1:1" hidden="1">
      <c r="A21" s="1" t="s">
        <v>10</v>
      </c>
    </row>
    <row r="22" spans="1:1" hidden="1">
      <c r="A22" s="1" t="s">
        <v>11</v>
      </c>
    </row>
    <row r="23" spans="1:1" hidden="1">
      <c r="A23" s="1" t="s">
        <v>12</v>
      </c>
    </row>
    <row r="24" spans="1:1" hidden="1">
      <c r="A24" s="1" t="s">
        <v>13</v>
      </c>
    </row>
    <row r="25" spans="1:1" hidden="1">
      <c r="A25" s="1" t="s">
        <v>14</v>
      </c>
    </row>
    <row r="26" spans="1:1" hidden="1">
      <c r="A26" s="1" t="s">
        <v>15</v>
      </c>
    </row>
    <row r="27" spans="1:1" hidden="1">
      <c r="A27" s="1" t="s">
        <v>16</v>
      </c>
    </row>
    <row r="28" spans="1:1" hidden="1">
      <c r="A28" s="1" t="s">
        <v>17</v>
      </c>
    </row>
    <row r="29" spans="1:1" hidden="1">
      <c r="A29" s="1" t="s">
        <v>18</v>
      </c>
    </row>
    <row r="30" spans="1:1" hidden="1">
      <c r="A30" s="1" t="s">
        <v>19</v>
      </c>
    </row>
    <row r="31" spans="1:1" hidden="1">
      <c r="A31" s="1" t="s">
        <v>20</v>
      </c>
    </row>
    <row r="32" spans="1:1" hidden="1">
      <c r="A32" s="1" t="s">
        <v>21</v>
      </c>
    </row>
    <row r="33" spans="1:1" hidden="1">
      <c r="A33" s="1" t="s">
        <v>22</v>
      </c>
    </row>
    <row r="34" spans="1:1" hidden="1">
      <c r="A34" s="1" t="s">
        <v>23</v>
      </c>
    </row>
    <row r="35" spans="1:1" hidden="1">
      <c r="A35" s="1" t="s">
        <v>24</v>
      </c>
    </row>
    <row r="36" spans="1:1" hidden="1">
      <c r="A36" s="11">
        <f>IF(ISNUMBER(A5),A5,DATEVALUE("1/7/2023"))</f>
        <v>45658</v>
      </c>
    </row>
  </sheetData>
  <sheetProtection algorithmName="SHA-512" hashValue="AlTpvVND0AuAu8gHJqN1oS60tq2t5cNq4qBUDU/kGDXjicFVuUiyxCVVuZcvlcQ9x42UEvkiulxIyW5iGycz3A==" saltValue="NNo/5bZVZq5Y5IraiYTldA==" spinCount="100000" sheet="1" formatCells="0"/>
  <dataValidations count="1">
    <dataValidation type="list" allowBlank="1" showInputMessage="1" showErrorMessage="1" sqref="A2" xr:uid="{00000000-0002-0000-0000-000000000000}">
      <formula1>$A$14:$A$35</formula1>
      <formula2>0</formula2>
    </dataValidation>
  </dataValidations>
  <printOptions horizontalCentered="1" verticalCentered="1"/>
  <pageMargins left="0.196527777777778" right="0.196527777777778" top="0.59027777777777801" bottom="0.59027777777777801" header="0.51180555555555496" footer="0.39374999999999999"/>
  <pageSetup paperSize="9" scale="94" firstPageNumber="0" orientation="landscape" horizontalDpi="300" verticalDpi="300" r:id="rId1"/>
  <headerFooter>
    <oddFooter>&amp;CPágina &amp;P de &amp;N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0D0D0D"/>
    <pageSetUpPr fitToPage="1"/>
  </sheetPr>
  <dimension ref="A1:AMJ24"/>
  <sheetViews>
    <sheetView zoomScaleNormal="100" workbookViewId="0">
      <pane ySplit="3" topLeftCell="A4" activePane="bottomLeft" state="frozen"/>
      <selection pane="bottomLeft" activeCell="C16" sqref="C16"/>
    </sheetView>
  </sheetViews>
  <sheetFormatPr defaultColWidth="9.1796875" defaultRowHeight="12.5"/>
  <cols>
    <col min="1" max="1" width="4.7265625" style="84" customWidth="1"/>
    <col min="2" max="2" width="18.26953125" style="84" customWidth="1"/>
    <col min="3" max="3" width="29.453125" style="81" customWidth="1"/>
    <col min="4" max="4" width="13" style="84" customWidth="1"/>
    <col min="5" max="6" width="10.1796875" style="84" customWidth="1"/>
    <col min="7" max="7" width="36" style="341" customWidth="1"/>
    <col min="8" max="8" width="11.54296875" style="84" customWidth="1"/>
    <col min="9" max="9" width="23.54296875" style="355" customWidth="1"/>
    <col min="10" max="1024" width="9.1796875" style="120"/>
  </cols>
  <sheetData>
    <row r="1" spans="1:9" ht="42.75" customHeight="1">
      <c r="A1" s="383" t="str">
        <f>Capa!A1</f>
        <v>Memória de Cálculo
Contrato de Gestão nº 10/2023 celebrado entre a Secretaria de Estado de Justiça e Segurança Pública - SEJUSP e  o Pólo de Evolução de Medidas Socioeducativas</v>
      </c>
      <c r="B1" s="383"/>
      <c r="C1" s="383"/>
      <c r="D1" s="383"/>
      <c r="E1" s="383"/>
      <c r="F1" s="383"/>
      <c r="G1" s="383"/>
      <c r="H1" s="383"/>
    </row>
    <row r="2" spans="1:9" ht="23.25" customHeight="1">
      <c r="A2" s="384" t="s">
        <v>407</v>
      </c>
      <c r="B2" s="384"/>
      <c r="C2" s="384"/>
      <c r="D2" s="384"/>
      <c r="E2" s="384"/>
      <c r="F2" s="384"/>
      <c r="G2" s="384"/>
      <c r="H2" s="384"/>
    </row>
    <row r="3" spans="1:9" ht="43.5" customHeight="1" thickBot="1">
      <c r="A3" s="342" t="s">
        <v>401</v>
      </c>
      <c r="B3" s="342" t="s">
        <v>408</v>
      </c>
      <c r="C3" s="343" t="s">
        <v>394</v>
      </c>
      <c r="D3" s="343" t="s">
        <v>124</v>
      </c>
      <c r="E3" s="343" t="s">
        <v>402</v>
      </c>
      <c r="F3" s="343" t="s">
        <v>403</v>
      </c>
      <c r="G3" s="344" t="s">
        <v>404</v>
      </c>
      <c r="H3" s="344" t="s">
        <v>405</v>
      </c>
      <c r="I3" s="356" t="s">
        <v>408</v>
      </c>
    </row>
    <row r="4" spans="1:9">
      <c r="A4" s="345">
        <v>17</v>
      </c>
      <c r="B4" s="345" t="s">
        <v>91</v>
      </c>
      <c r="C4" s="346" t="s">
        <v>320</v>
      </c>
      <c r="D4" s="347">
        <v>12000</v>
      </c>
      <c r="E4" s="348">
        <v>47027</v>
      </c>
      <c r="F4" s="348">
        <v>47027</v>
      </c>
      <c r="G4" s="349" t="s">
        <v>573</v>
      </c>
      <c r="H4" s="350">
        <f t="shared" ref="H4:H19" si="0">IFERROR((DATEDIF(E4,F4,"M")+1)*D4,0)</f>
        <v>12000</v>
      </c>
      <c r="I4" s="357" t="str">
        <f t="shared" ref="I4:I19" si="1">SUBSTITUTE(B4," ","_")</f>
        <v>Gastos_Gerais</v>
      </c>
    </row>
    <row r="5" spans="1:9" ht="20">
      <c r="A5" s="345">
        <v>18</v>
      </c>
      <c r="B5" s="345" t="s">
        <v>91</v>
      </c>
      <c r="C5" s="346" t="s">
        <v>320</v>
      </c>
      <c r="D5" s="347">
        <v>12000</v>
      </c>
      <c r="E5" s="348">
        <v>47027</v>
      </c>
      <c r="F5" s="348">
        <v>47027</v>
      </c>
      <c r="G5" s="349" t="s">
        <v>574</v>
      </c>
      <c r="H5" s="350">
        <f t="shared" si="0"/>
        <v>12000</v>
      </c>
      <c r="I5" s="357" t="str">
        <f t="shared" si="1"/>
        <v>Gastos_Gerais</v>
      </c>
    </row>
    <row r="6" spans="1:9">
      <c r="A6" s="345">
        <v>19</v>
      </c>
      <c r="B6" s="345" t="s">
        <v>91</v>
      </c>
      <c r="C6" s="346" t="s">
        <v>320</v>
      </c>
      <c r="D6" s="347">
        <v>12000</v>
      </c>
      <c r="E6" s="348">
        <v>47027</v>
      </c>
      <c r="F6" s="348">
        <v>47027</v>
      </c>
      <c r="G6" s="349" t="s">
        <v>575</v>
      </c>
      <c r="H6" s="350">
        <f t="shared" si="0"/>
        <v>12000</v>
      </c>
      <c r="I6" s="357" t="str">
        <f t="shared" si="1"/>
        <v>Gastos_Gerais</v>
      </c>
    </row>
    <row r="7" spans="1:9">
      <c r="A7" s="345">
        <v>20</v>
      </c>
      <c r="B7" s="345" t="s">
        <v>91</v>
      </c>
      <c r="C7" s="346" t="s">
        <v>320</v>
      </c>
      <c r="D7" s="347">
        <v>12000</v>
      </c>
      <c r="E7" s="348">
        <v>47027</v>
      </c>
      <c r="F7" s="348">
        <v>47027</v>
      </c>
      <c r="G7" s="349" t="s">
        <v>576</v>
      </c>
      <c r="H7" s="350">
        <f t="shared" si="0"/>
        <v>12000</v>
      </c>
      <c r="I7" s="357" t="str">
        <f t="shared" si="1"/>
        <v>Gastos_Gerais</v>
      </c>
    </row>
    <row r="8" spans="1:9">
      <c r="A8" s="345">
        <v>21</v>
      </c>
      <c r="B8" s="345" t="s">
        <v>91</v>
      </c>
      <c r="C8" s="346" t="s">
        <v>320</v>
      </c>
      <c r="D8" s="347">
        <v>12000</v>
      </c>
      <c r="E8" s="348">
        <v>47027</v>
      </c>
      <c r="F8" s="348">
        <v>47027</v>
      </c>
      <c r="G8" s="349" t="s">
        <v>577</v>
      </c>
      <c r="H8" s="350">
        <f t="shared" si="0"/>
        <v>12000</v>
      </c>
      <c r="I8" s="357" t="str">
        <f t="shared" si="1"/>
        <v>Gastos_Gerais</v>
      </c>
    </row>
    <row r="9" spans="1:9" ht="20">
      <c r="A9" s="345">
        <v>22</v>
      </c>
      <c r="B9" s="345" t="s">
        <v>91</v>
      </c>
      <c r="C9" s="346" t="s">
        <v>320</v>
      </c>
      <c r="D9" s="347">
        <v>12000</v>
      </c>
      <c r="E9" s="348">
        <v>47027</v>
      </c>
      <c r="F9" s="348">
        <v>47027</v>
      </c>
      <c r="G9" s="349" t="s">
        <v>578</v>
      </c>
      <c r="H9" s="350">
        <f t="shared" si="0"/>
        <v>12000</v>
      </c>
      <c r="I9" s="357" t="str">
        <f t="shared" si="1"/>
        <v>Gastos_Gerais</v>
      </c>
    </row>
    <row r="10" spans="1:9">
      <c r="A10" s="345">
        <v>23</v>
      </c>
      <c r="B10" s="345" t="s">
        <v>91</v>
      </c>
      <c r="C10" s="346" t="s">
        <v>320</v>
      </c>
      <c r="D10" s="347">
        <v>12000</v>
      </c>
      <c r="E10" s="348">
        <v>47027</v>
      </c>
      <c r="F10" s="348">
        <v>47027</v>
      </c>
      <c r="G10" s="349" t="s">
        <v>579</v>
      </c>
      <c r="H10" s="350">
        <f t="shared" si="0"/>
        <v>12000</v>
      </c>
      <c r="I10" s="357" t="str">
        <f t="shared" si="1"/>
        <v>Gastos_Gerais</v>
      </c>
    </row>
    <row r="11" spans="1:9">
      <c r="A11" s="345">
        <v>24</v>
      </c>
      <c r="B11" s="345" t="s">
        <v>91</v>
      </c>
      <c r="C11" s="346" t="s">
        <v>320</v>
      </c>
      <c r="D11" s="347">
        <v>12000</v>
      </c>
      <c r="E11" s="348">
        <v>47027</v>
      </c>
      <c r="F11" s="348">
        <v>47027</v>
      </c>
      <c r="G11" s="349" t="s">
        <v>580</v>
      </c>
      <c r="H11" s="350">
        <f t="shared" si="0"/>
        <v>12000</v>
      </c>
      <c r="I11" s="357" t="str">
        <f t="shared" si="1"/>
        <v>Gastos_Gerais</v>
      </c>
    </row>
    <row r="12" spans="1:9">
      <c r="A12" s="345">
        <v>25</v>
      </c>
      <c r="B12" s="345" t="s">
        <v>91</v>
      </c>
      <c r="C12" s="346" t="s">
        <v>320</v>
      </c>
      <c r="D12" s="347">
        <v>12000</v>
      </c>
      <c r="E12" s="348">
        <v>47027</v>
      </c>
      <c r="F12" s="348">
        <v>47027</v>
      </c>
      <c r="G12" s="349" t="s">
        <v>581</v>
      </c>
      <c r="H12" s="350">
        <f t="shared" si="0"/>
        <v>12000</v>
      </c>
      <c r="I12" s="357" t="str">
        <f t="shared" si="1"/>
        <v>Gastos_Gerais</v>
      </c>
    </row>
    <row r="13" spans="1:9">
      <c r="A13" s="345">
        <v>26</v>
      </c>
      <c r="B13" s="345" t="s">
        <v>91</v>
      </c>
      <c r="C13" s="346" t="s">
        <v>320</v>
      </c>
      <c r="D13" s="347">
        <v>12000</v>
      </c>
      <c r="E13" s="348">
        <v>47027</v>
      </c>
      <c r="F13" s="348">
        <v>47027</v>
      </c>
      <c r="G13" s="349" t="s">
        <v>582</v>
      </c>
      <c r="H13" s="350">
        <f t="shared" si="0"/>
        <v>12000</v>
      </c>
      <c r="I13" s="357" t="str">
        <f t="shared" si="1"/>
        <v>Gastos_Gerais</v>
      </c>
    </row>
    <row r="14" spans="1:9">
      <c r="A14" s="345">
        <v>27</v>
      </c>
      <c r="B14" s="345" t="s">
        <v>91</v>
      </c>
      <c r="C14" s="346" t="s">
        <v>320</v>
      </c>
      <c r="D14" s="347">
        <v>12000</v>
      </c>
      <c r="E14" s="348">
        <v>47027</v>
      </c>
      <c r="F14" s="348">
        <v>47027</v>
      </c>
      <c r="G14" s="349" t="s">
        <v>583</v>
      </c>
      <c r="H14" s="350">
        <f t="shared" si="0"/>
        <v>12000</v>
      </c>
      <c r="I14" s="357" t="str">
        <f t="shared" si="1"/>
        <v>Gastos_Gerais</v>
      </c>
    </row>
    <row r="15" spans="1:9">
      <c r="A15" s="345">
        <v>28</v>
      </c>
      <c r="B15" s="345" t="s">
        <v>91</v>
      </c>
      <c r="C15" s="346" t="s">
        <v>320</v>
      </c>
      <c r="D15" s="347">
        <v>12000</v>
      </c>
      <c r="E15" s="348">
        <v>47027</v>
      </c>
      <c r="F15" s="348">
        <v>47027</v>
      </c>
      <c r="G15" s="349" t="s">
        <v>584</v>
      </c>
      <c r="H15" s="350">
        <f t="shared" si="0"/>
        <v>12000</v>
      </c>
      <c r="I15" s="357" t="str">
        <f t="shared" si="1"/>
        <v>Gastos_Gerais</v>
      </c>
    </row>
    <row r="16" spans="1:9" ht="20">
      <c r="A16" s="345">
        <v>29</v>
      </c>
      <c r="B16" s="345" t="s">
        <v>91</v>
      </c>
      <c r="C16" s="346" t="s">
        <v>320</v>
      </c>
      <c r="D16" s="347">
        <v>12000</v>
      </c>
      <c r="E16" s="348">
        <v>47027</v>
      </c>
      <c r="F16" s="348">
        <v>47027</v>
      </c>
      <c r="G16" s="349" t="s">
        <v>585</v>
      </c>
      <c r="H16" s="350">
        <f t="shared" si="0"/>
        <v>12000</v>
      </c>
      <c r="I16" s="357" t="str">
        <f t="shared" si="1"/>
        <v>Gastos_Gerais</v>
      </c>
    </row>
    <row r="17" spans="1:9">
      <c r="A17" s="345">
        <v>30</v>
      </c>
      <c r="B17" s="345" t="s">
        <v>91</v>
      </c>
      <c r="C17" s="346" t="s">
        <v>320</v>
      </c>
      <c r="D17" s="347">
        <v>12000</v>
      </c>
      <c r="E17" s="348">
        <v>47027</v>
      </c>
      <c r="F17" s="348">
        <v>47027</v>
      </c>
      <c r="G17" s="349" t="s">
        <v>586</v>
      </c>
      <c r="H17" s="350">
        <f t="shared" si="0"/>
        <v>12000</v>
      </c>
      <c r="I17" s="357" t="str">
        <f t="shared" si="1"/>
        <v>Gastos_Gerais</v>
      </c>
    </row>
    <row r="18" spans="1:9" ht="20">
      <c r="A18" s="345">
        <v>31</v>
      </c>
      <c r="B18" s="345" t="s">
        <v>91</v>
      </c>
      <c r="C18" s="346" t="s">
        <v>320</v>
      </c>
      <c r="D18" s="347">
        <v>12000</v>
      </c>
      <c r="E18" s="348">
        <v>47027</v>
      </c>
      <c r="F18" s="348">
        <v>47027</v>
      </c>
      <c r="G18" s="349" t="s">
        <v>587</v>
      </c>
      <c r="H18" s="350">
        <f t="shared" si="0"/>
        <v>12000</v>
      </c>
      <c r="I18" s="357" t="str">
        <f t="shared" si="1"/>
        <v>Gastos_Gerais</v>
      </c>
    </row>
    <row r="19" spans="1:9" ht="20">
      <c r="A19" s="345">
        <v>32</v>
      </c>
      <c r="B19" s="345" t="s">
        <v>91</v>
      </c>
      <c r="C19" s="346" t="s">
        <v>320</v>
      </c>
      <c r="D19" s="347">
        <v>12000</v>
      </c>
      <c r="E19" s="348">
        <v>47027</v>
      </c>
      <c r="F19" s="348">
        <v>47027</v>
      </c>
      <c r="G19" s="349" t="s">
        <v>588</v>
      </c>
      <c r="H19" s="350">
        <f t="shared" si="0"/>
        <v>12000</v>
      </c>
      <c r="I19" s="357" t="str">
        <f t="shared" si="1"/>
        <v>Gastos_Gerais</v>
      </c>
    </row>
    <row r="20" spans="1:9">
      <c r="A20" s="345">
        <v>33</v>
      </c>
      <c r="B20" s="345" t="s">
        <v>91</v>
      </c>
      <c r="C20" s="346" t="s">
        <v>320</v>
      </c>
      <c r="D20" s="347">
        <v>12000</v>
      </c>
      <c r="E20" s="348">
        <v>47027</v>
      </c>
      <c r="F20" s="348">
        <v>47027</v>
      </c>
      <c r="G20" s="349" t="s">
        <v>589</v>
      </c>
      <c r="H20" s="350">
        <f t="shared" ref="H20:H23" si="2">IFERROR((DATEDIF(E20,F20,"M")+1)*D20,0)</f>
        <v>12000</v>
      </c>
      <c r="I20" s="357" t="str">
        <f t="shared" ref="I20:I23" si="3">SUBSTITUTE(B20," ","_")</f>
        <v>Gastos_Gerais</v>
      </c>
    </row>
    <row r="21" spans="1:9">
      <c r="A21" s="345">
        <v>34</v>
      </c>
      <c r="B21" s="345" t="s">
        <v>91</v>
      </c>
      <c r="C21" s="346" t="s">
        <v>320</v>
      </c>
      <c r="D21" s="347">
        <v>12000</v>
      </c>
      <c r="E21" s="348">
        <v>47027</v>
      </c>
      <c r="F21" s="348">
        <v>47027</v>
      </c>
      <c r="G21" s="349" t="s">
        <v>590</v>
      </c>
      <c r="H21" s="350">
        <f t="shared" si="2"/>
        <v>12000</v>
      </c>
      <c r="I21" s="357" t="str">
        <f t="shared" si="3"/>
        <v>Gastos_Gerais</v>
      </c>
    </row>
    <row r="22" spans="1:9">
      <c r="A22" s="345">
        <v>35</v>
      </c>
      <c r="B22" s="345" t="s">
        <v>91</v>
      </c>
      <c r="C22" s="346" t="s">
        <v>320</v>
      </c>
      <c r="D22" s="347">
        <v>12000</v>
      </c>
      <c r="E22" s="348">
        <v>47027</v>
      </c>
      <c r="F22" s="348">
        <v>47027</v>
      </c>
      <c r="G22" s="349" t="s">
        <v>709</v>
      </c>
      <c r="H22" s="350">
        <f t="shared" si="2"/>
        <v>12000</v>
      </c>
      <c r="I22" s="357" t="str">
        <f t="shared" si="3"/>
        <v>Gastos_Gerais</v>
      </c>
    </row>
    <row r="23" spans="1:9" ht="13" thickBot="1">
      <c r="A23" s="345">
        <v>36</v>
      </c>
      <c r="B23" s="345" t="s">
        <v>91</v>
      </c>
      <c r="C23" s="346" t="s">
        <v>320</v>
      </c>
      <c r="D23" s="347">
        <v>12000</v>
      </c>
      <c r="E23" s="348">
        <v>47027</v>
      </c>
      <c r="F23" s="348">
        <v>47027</v>
      </c>
      <c r="G23" s="349" t="s">
        <v>710</v>
      </c>
      <c r="H23" s="350">
        <f t="shared" si="2"/>
        <v>12000</v>
      </c>
      <c r="I23" s="357" t="str">
        <f t="shared" si="3"/>
        <v>Gastos_Gerais</v>
      </c>
    </row>
    <row r="24" spans="1:9" ht="20.25" customHeight="1" thickBot="1">
      <c r="A24" s="351"/>
      <c r="B24" s="351"/>
      <c r="C24" s="352"/>
      <c r="D24" s="351"/>
      <c r="E24" s="351"/>
      <c r="F24" s="351"/>
      <c r="G24" s="353" t="s">
        <v>409</v>
      </c>
      <c r="H24" s="354">
        <f>SUM(H4:H23)</f>
        <v>240000</v>
      </c>
      <c r="I24" s="358"/>
    </row>
  </sheetData>
  <autoFilter ref="A3:H24" xr:uid="{00000000-0009-0000-0000-000009000000}"/>
  <mergeCells count="2">
    <mergeCell ref="A1:H1"/>
    <mergeCell ref="A2:H2"/>
  </mergeCells>
  <conditionalFormatting sqref="A4:I23">
    <cfRule type="expression" dxfId="0" priority="1">
      <formula>ISEVEN(ROW())</formula>
    </cfRule>
  </conditionalFormatting>
  <dataValidations count="2">
    <dataValidation type="list" allowBlank="1" showInputMessage="1" showErrorMessage="1" sqref="B4:B23" xr:uid="{00000000-0002-0000-0900-000000000000}">
      <formula1>Categorias</formula1>
      <formula2>0</formula2>
    </dataValidation>
    <dataValidation type="list" allowBlank="1" showInputMessage="1" showErrorMessage="1" sqref="C4:C23" xr:uid="{00000000-0002-0000-0900-000001000000}">
      <formula1>INDIRECT($I4)</formula1>
      <formula2>0</formula2>
    </dataValidation>
  </dataValidations>
  <pageMargins left="0.51180555555555496" right="0.51180555555555496" top="0.78749999999999998" bottom="0.78749999999999998" header="0.51180555555555496" footer="0.31527777777777799"/>
  <pageSetup paperSize="9" firstPageNumber="0" fitToHeight="0" orientation="landscape" horizontalDpi="300" verticalDpi="300" r:id="rId1"/>
  <headerFooter>
    <oddFooter>&amp;CPágina &amp;P de &amp;N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AMJ18"/>
  <sheetViews>
    <sheetView zoomScaleNormal="100" workbookViewId="0">
      <selection sqref="A1:F1"/>
    </sheetView>
  </sheetViews>
  <sheetFormatPr defaultColWidth="9.1796875" defaultRowHeight="14"/>
  <cols>
    <col min="1" max="1" width="14.1796875" style="1" customWidth="1"/>
    <col min="2" max="2" width="55.453125" style="1" customWidth="1"/>
    <col min="3" max="3" width="19.26953125" style="359" customWidth="1"/>
    <col min="4" max="5" width="16" style="359" customWidth="1"/>
    <col min="6" max="6" width="15.54296875" style="1" customWidth="1"/>
    <col min="7" max="1024" width="9.1796875" style="1"/>
  </cols>
  <sheetData>
    <row r="1" spans="1:6" ht="78" customHeight="1">
      <c r="A1" s="408" t="str">
        <f>Capa!A1</f>
        <v>Memória de Cálculo
Contrato de Gestão nº 10/2023 celebrado entre a Secretaria de Estado de Justiça e Segurança Pública - SEJUSP e  o Pólo de Evolução de Medidas Socioeducativas</v>
      </c>
      <c r="B1" s="408"/>
      <c r="C1" s="408"/>
      <c r="D1" s="408"/>
      <c r="E1" s="408"/>
      <c r="F1" s="408"/>
    </row>
    <row r="2" spans="1:6" ht="27.75" customHeight="1">
      <c r="A2" s="408" t="str">
        <f>IF(Capa!A2="","",Capa!A2)</f>
        <v>1º Termo Aditivo</v>
      </c>
      <c r="B2" s="408"/>
      <c r="C2" s="408"/>
      <c r="D2" s="408"/>
      <c r="E2" s="408"/>
      <c r="F2" s="408"/>
    </row>
    <row r="3" spans="1:6" ht="24.75" customHeight="1">
      <c r="A3" s="409"/>
      <c r="B3" s="409"/>
      <c r="C3" s="409"/>
      <c r="D3" s="409"/>
      <c r="E3" s="409"/>
      <c r="F3" s="409"/>
    </row>
    <row r="4" spans="1:6" ht="24.75" customHeight="1">
      <c r="A4" s="410" t="s">
        <v>0</v>
      </c>
      <c r="B4" s="410"/>
      <c r="C4" s="410"/>
      <c r="D4" s="410"/>
      <c r="E4" s="410"/>
      <c r="F4" s="410"/>
    </row>
    <row r="5" spans="1:6" ht="51" customHeight="1">
      <c r="A5" s="411" t="str">
        <f>TEXT(Capa!A5,"mmm/aaaa")&amp;" a "&amp;TEXT(Capa!A7,"mmm/aaaa")</f>
        <v>jan/2025 a nov/2028</v>
      </c>
      <c r="B5" s="411"/>
      <c r="C5" s="411"/>
      <c r="D5" s="411"/>
      <c r="E5" s="411"/>
      <c r="F5" s="411"/>
    </row>
    <row r="6" spans="1:6" ht="20.25" customHeight="1">
      <c r="A6" s="414"/>
      <c r="B6" s="414"/>
      <c r="C6" s="414"/>
      <c r="D6" s="414"/>
      <c r="E6" s="414"/>
      <c r="F6" s="414"/>
    </row>
    <row r="7" spans="1:6" ht="32.25" customHeight="1">
      <c r="A7" s="415" t="s">
        <v>410</v>
      </c>
      <c r="B7" s="415"/>
      <c r="C7" s="415"/>
      <c r="D7" s="415"/>
      <c r="E7" s="415"/>
      <c r="F7" s="415"/>
    </row>
    <row r="8" spans="1:6" ht="20.25" customHeight="1">
      <c r="A8" s="416" t="s">
        <v>685</v>
      </c>
      <c r="B8" s="416"/>
      <c r="C8" s="416"/>
      <c r="D8" s="416"/>
      <c r="E8" s="416"/>
      <c r="F8" s="416"/>
    </row>
    <row r="9" spans="1:6" ht="20.25" customHeight="1">
      <c r="A9" s="416" t="s">
        <v>686</v>
      </c>
      <c r="B9" s="416"/>
      <c r="C9" s="416"/>
      <c r="D9" s="416"/>
      <c r="E9" s="416"/>
      <c r="F9" s="416"/>
    </row>
    <row r="10" spans="1:6" ht="20.25" customHeight="1">
      <c r="A10" s="416" t="s">
        <v>687</v>
      </c>
      <c r="B10" s="416"/>
      <c r="C10" s="416"/>
      <c r="D10" s="416"/>
      <c r="E10" s="416"/>
      <c r="F10" s="416"/>
    </row>
    <row r="11" spans="1:6" ht="16.5" customHeight="1">
      <c r="A11" s="412"/>
      <c r="B11" s="412"/>
      <c r="C11" s="412"/>
      <c r="D11" s="412"/>
      <c r="E11" s="412"/>
      <c r="F11" s="412"/>
    </row>
    <row r="12" spans="1:6" ht="16.5" customHeight="1">
      <c r="A12" s="413" t="s">
        <v>411</v>
      </c>
      <c r="B12" s="413"/>
      <c r="C12" s="413"/>
      <c r="D12" s="413"/>
      <c r="E12" s="413"/>
      <c r="F12" s="413"/>
    </row>
    <row r="13" spans="1:6" ht="16.5" customHeight="1">
      <c r="A13" s="360"/>
      <c r="B13" s="360"/>
      <c r="C13" s="360"/>
      <c r="D13" s="360"/>
      <c r="E13" s="360"/>
      <c r="F13" s="360"/>
    </row>
    <row r="14" spans="1:6" ht="38.25" customHeight="1">
      <c r="A14" s="360"/>
      <c r="B14" s="360"/>
      <c r="C14" s="360"/>
      <c r="D14" s="360"/>
      <c r="E14" s="360"/>
      <c r="F14" s="360"/>
    </row>
    <row r="15" spans="1:6" ht="16.5" customHeight="1">
      <c r="A15" s="361"/>
      <c r="B15" s="361"/>
      <c r="C15" s="361"/>
      <c r="D15" s="361"/>
      <c r="E15" s="361"/>
      <c r="F15" s="361"/>
    </row>
    <row r="16" spans="1:6" ht="16.5" customHeight="1">
      <c r="A16" s="361"/>
      <c r="B16" s="361"/>
      <c r="C16" s="361"/>
      <c r="D16" s="361"/>
      <c r="E16" s="361"/>
      <c r="F16" s="361"/>
    </row>
    <row r="17" spans="1:6" ht="16.5" customHeight="1">
      <c r="A17" s="361"/>
      <c r="B17" s="361"/>
      <c r="C17" s="361"/>
      <c r="D17" s="361"/>
      <c r="E17" s="361"/>
      <c r="F17" s="361"/>
    </row>
    <row r="18" spans="1:6" ht="16.5" customHeight="1">
      <c r="A18" s="361"/>
      <c r="B18" s="361"/>
      <c r="C18" s="361"/>
      <c r="D18" s="361"/>
      <c r="E18" s="361"/>
      <c r="F18" s="361"/>
    </row>
  </sheetData>
  <sheetProtection algorithmName="SHA-512" hashValue="GZIvK+1f+AJVwieVjHlAnKwihMm5nt/eTgMbIx+HoODXsQfuWdw3PgARWlw6YjQS/u+bBhyG2uanJoB64SWWLQ==" saltValue="mYvGVmd43XEBFHbHM1px/w==" spinCount="100000" sheet="1" objects="1" scenarios="1" formatCells="0"/>
  <mergeCells count="12">
    <mergeCell ref="A11:F11"/>
    <mergeCell ref="A12:F12"/>
    <mergeCell ref="A6:F6"/>
    <mergeCell ref="A7:F7"/>
    <mergeCell ref="A8:F8"/>
    <mergeCell ref="A9:F9"/>
    <mergeCell ref="A10:F10"/>
    <mergeCell ref="A1:F1"/>
    <mergeCell ref="A2:F2"/>
    <mergeCell ref="A3:F3"/>
    <mergeCell ref="A4:F4"/>
    <mergeCell ref="A5:F5"/>
  </mergeCells>
  <printOptions horizontalCentered="1" verticalCentered="1"/>
  <pageMargins left="0.196527777777778" right="0.196527777777778" top="0.59027777777777801" bottom="0.59027777777777801" header="0.51180555555555496" footer="0"/>
  <pageSetup paperSize="9" firstPageNumber="0" orientation="landscape" horizontalDpi="300" verticalDpi="300" r:id="rId1"/>
  <headerFooter>
    <oddFooter>&amp;CPágina &amp;P de &amp;N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0D0D0D"/>
    <pageSetUpPr fitToPage="1"/>
  </sheetPr>
  <dimension ref="A1:AMJ64"/>
  <sheetViews>
    <sheetView zoomScaleNormal="100" workbookViewId="0">
      <selection activeCell="D2" sqref="D2"/>
    </sheetView>
  </sheetViews>
  <sheetFormatPr defaultColWidth="9.1796875" defaultRowHeight="12.5"/>
  <cols>
    <col min="1" max="1" width="47.81640625" style="362" customWidth="1"/>
    <col min="2" max="2" width="26.26953125" style="362" customWidth="1"/>
    <col min="3" max="3" width="29.54296875" style="362" customWidth="1"/>
    <col min="4" max="4" width="31.453125" style="362" customWidth="1"/>
    <col min="5" max="6" width="31" style="362" customWidth="1"/>
    <col min="7" max="7" width="28" style="362" customWidth="1"/>
    <col min="8" max="8" width="10.1796875" style="362" customWidth="1"/>
    <col min="9" max="9" width="15.1796875" style="362" customWidth="1"/>
    <col min="10" max="10" width="2.7265625" style="362" customWidth="1"/>
    <col min="11" max="11" width="9.1796875" style="362"/>
    <col min="12" max="14" width="13.26953125" style="362" customWidth="1"/>
    <col min="15" max="15" width="0.7265625" style="362" customWidth="1"/>
    <col min="16" max="16" width="10.453125" style="362" customWidth="1"/>
    <col min="17" max="17" width="13.26953125" style="362" customWidth="1"/>
    <col min="18" max="18" width="6" style="362" customWidth="1"/>
    <col min="19" max="19" width="9.1796875" style="362"/>
    <col min="20" max="22" width="13.26953125" style="362" customWidth="1"/>
    <col min="23" max="23" width="1.81640625" style="362" customWidth="1"/>
    <col min="24" max="24" width="9.1796875" style="362"/>
    <col min="25" max="25" width="13.26953125" style="362" customWidth="1"/>
    <col min="26" max="1024" width="9.1796875" style="362"/>
  </cols>
  <sheetData>
    <row r="1" spans="1:19" s="365" customFormat="1" ht="35.25" customHeight="1">
      <c r="A1" s="363" t="s">
        <v>412</v>
      </c>
      <c r="B1" s="363" t="s">
        <v>413</v>
      </c>
      <c r="C1" s="363" t="s">
        <v>80</v>
      </c>
      <c r="D1" s="363" t="s">
        <v>91</v>
      </c>
      <c r="E1" s="363" t="s">
        <v>93</v>
      </c>
      <c r="F1" s="364" t="s">
        <v>95</v>
      </c>
      <c r="H1" s="362"/>
      <c r="I1" s="362"/>
      <c r="K1" s="362"/>
      <c r="L1" s="362"/>
      <c r="M1" s="362"/>
      <c r="N1" s="362"/>
      <c r="O1" s="362"/>
      <c r="P1" s="362"/>
      <c r="Q1" s="362"/>
      <c r="R1" s="362"/>
      <c r="S1" s="362"/>
    </row>
    <row r="2" spans="1:19" s="362" customFormat="1" ht="28">
      <c r="A2" s="364" t="s">
        <v>414</v>
      </c>
      <c r="B2" s="366"/>
      <c r="C2" s="364" t="s">
        <v>82</v>
      </c>
      <c r="D2" s="367" t="s">
        <v>198</v>
      </c>
      <c r="E2" s="364" t="s">
        <v>339</v>
      </c>
      <c r="F2" s="364" t="s">
        <v>415</v>
      </c>
    </row>
    <row r="3" spans="1:19" s="362" customFormat="1" ht="28">
      <c r="A3" s="364" t="s">
        <v>416</v>
      </c>
      <c r="B3" s="366"/>
      <c r="C3" s="364" t="s">
        <v>134</v>
      </c>
      <c r="D3" s="367" t="s">
        <v>200</v>
      </c>
      <c r="E3" s="364" t="s">
        <v>325</v>
      </c>
      <c r="F3" s="364" t="s">
        <v>417</v>
      </c>
    </row>
    <row r="4" spans="1:19" s="362" customFormat="1" ht="14">
      <c r="A4" s="364" t="s">
        <v>74</v>
      </c>
      <c r="B4" s="366"/>
      <c r="C4" s="364" t="s">
        <v>418</v>
      </c>
      <c r="D4" s="367" t="s">
        <v>202</v>
      </c>
      <c r="E4" s="364" t="s">
        <v>327</v>
      </c>
    </row>
    <row r="5" spans="1:19" s="362" customFormat="1" ht="28.5" customHeight="1">
      <c r="A5" s="366"/>
      <c r="C5" s="364" t="s">
        <v>419</v>
      </c>
      <c r="D5" s="367" t="s">
        <v>204</v>
      </c>
      <c r="E5" s="364" t="s">
        <v>343</v>
      </c>
      <c r="F5" s="368"/>
    </row>
    <row r="6" spans="1:19" s="362" customFormat="1" ht="28">
      <c r="A6" s="366"/>
      <c r="B6" s="366"/>
      <c r="C6" s="364" t="s">
        <v>146</v>
      </c>
      <c r="D6" s="367" t="s">
        <v>206</v>
      </c>
      <c r="E6" s="364" t="s">
        <v>329</v>
      </c>
      <c r="F6" s="368"/>
    </row>
    <row r="7" spans="1:19" s="362" customFormat="1" ht="28">
      <c r="A7" s="366"/>
      <c r="B7" s="366"/>
      <c r="C7" s="364" t="s">
        <v>420</v>
      </c>
      <c r="D7" s="367" t="s">
        <v>208</v>
      </c>
      <c r="E7" s="364" t="s">
        <v>341</v>
      </c>
      <c r="F7" s="368"/>
    </row>
    <row r="8" spans="1:19" s="362" customFormat="1" ht="28">
      <c r="A8" s="366"/>
      <c r="B8" s="366"/>
      <c r="C8" s="364" t="s">
        <v>151</v>
      </c>
      <c r="D8" s="367" t="s">
        <v>210</v>
      </c>
      <c r="E8" s="364" t="s">
        <v>331</v>
      </c>
      <c r="F8" s="368"/>
    </row>
    <row r="9" spans="1:19" s="362" customFormat="1" ht="28">
      <c r="A9" s="366"/>
      <c r="B9" s="366"/>
      <c r="C9" s="364" t="s">
        <v>154</v>
      </c>
      <c r="D9" s="367" t="s">
        <v>212</v>
      </c>
      <c r="E9" s="364" t="s">
        <v>323</v>
      </c>
      <c r="F9" s="368"/>
    </row>
    <row r="10" spans="1:19" s="362" customFormat="1" ht="14">
      <c r="A10" s="366"/>
      <c r="B10" s="366"/>
      <c r="C10" s="364" t="s">
        <v>156</v>
      </c>
      <c r="D10" s="367" t="s">
        <v>214</v>
      </c>
      <c r="E10" s="364" t="s">
        <v>345</v>
      </c>
      <c r="F10" s="368"/>
    </row>
    <row r="11" spans="1:19" s="362" customFormat="1" ht="28">
      <c r="A11" s="366"/>
      <c r="B11" s="366"/>
      <c r="C11" s="364" t="s">
        <v>158</v>
      </c>
      <c r="D11" s="367" t="s">
        <v>216</v>
      </c>
      <c r="E11" s="364" t="s">
        <v>333</v>
      </c>
      <c r="F11" s="368"/>
    </row>
    <row r="12" spans="1:19" ht="14">
      <c r="A12" s="366"/>
      <c r="B12" s="366"/>
      <c r="C12" s="364" t="s">
        <v>160</v>
      </c>
      <c r="D12" s="367" t="s">
        <v>218</v>
      </c>
      <c r="E12" s="364" t="s">
        <v>335</v>
      </c>
      <c r="F12" s="368"/>
    </row>
    <row r="13" spans="1:19" ht="14">
      <c r="A13" s="366"/>
      <c r="B13" s="366"/>
      <c r="C13" s="364" t="s">
        <v>162</v>
      </c>
      <c r="D13" s="367" t="s">
        <v>220</v>
      </c>
      <c r="E13" s="364" t="s">
        <v>349</v>
      </c>
      <c r="F13" s="368"/>
    </row>
    <row r="14" spans="1:19" ht="14">
      <c r="A14" s="366"/>
      <c r="B14" s="366"/>
      <c r="C14" s="364" t="s">
        <v>164</v>
      </c>
      <c r="D14" s="367" t="s">
        <v>222</v>
      </c>
      <c r="E14" s="364" t="s">
        <v>337</v>
      </c>
      <c r="F14" s="368"/>
    </row>
    <row r="15" spans="1:19" ht="14">
      <c r="A15" s="366"/>
      <c r="B15" s="366"/>
      <c r="C15" s="364" t="s">
        <v>166</v>
      </c>
      <c r="D15" s="367" t="s">
        <v>224</v>
      </c>
      <c r="E15" s="366"/>
      <c r="F15" s="368"/>
    </row>
    <row r="16" spans="1:19" ht="28">
      <c r="A16" s="366"/>
      <c r="B16" s="366"/>
      <c r="C16" s="364" t="s">
        <v>421</v>
      </c>
      <c r="D16" s="367" t="s">
        <v>226</v>
      </c>
      <c r="E16" s="366"/>
      <c r="F16" s="366"/>
    </row>
    <row r="17" spans="1:6" ht="28">
      <c r="A17" s="366"/>
      <c r="B17" s="366"/>
      <c r="C17" s="364" t="s">
        <v>170</v>
      </c>
      <c r="D17" s="364" t="s">
        <v>228</v>
      </c>
      <c r="E17" s="366"/>
      <c r="F17" s="366"/>
    </row>
    <row r="18" spans="1:6" ht="14">
      <c r="A18" s="366"/>
      <c r="B18" s="366"/>
      <c r="C18" s="364" t="s">
        <v>172</v>
      </c>
      <c r="D18" s="367" t="s">
        <v>230</v>
      </c>
      <c r="E18" s="366"/>
      <c r="F18" s="366"/>
    </row>
    <row r="19" spans="1:6" ht="28">
      <c r="A19" s="366"/>
      <c r="B19" s="366"/>
      <c r="C19" s="364" t="s">
        <v>174</v>
      </c>
      <c r="D19" s="367" t="s">
        <v>232</v>
      </c>
      <c r="E19" s="366"/>
      <c r="F19" s="366"/>
    </row>
    <row r="20" spans="1:6" ht="28">
      <c r="A20" s="366"/>
      <c r="B20" s="366"/>
      <c r="C20" s="364" t="s">
        <v>176</v>
      </c>
      <c r="D20" s="367" t="s">
        <v>234</v>
      </c>
      <c r="E20" s="366"/>
      <c r="F20" s="366"/>
    </row>
    <row r="21" spans="1:6" ht="28">
      <c r="A21" s="366"/>
      <c r="B21" s="366"/>
      <c r="C21" s="364" t="s">
        <v>179</v>
      </c>
      <c r="D21" s="364" t="s">
        <v>236</v>
      </c>
      <c r="E21" s="366"/>
      <c r="F21" s="366"/>
    </row>
    <row r="22" spans="1:6" ht="28">
      <c r="A22" s="366"/>
      <c r="B22" s="366"/>
      <c r="C22" s="364" t="s">
        <v>181</v>
      </c>
      <c r="D22" s="364" t="s">
        <v>238</v>
      </c>
      <c r="E22" s="366"/>
      <c r="F22" s="366"/>
    </row>
    <row r="23" spans="1:6" ht="28">
      <c r="A23" s="366"/>
      <c r="B23" s="366"/>
      <c r="C23" s="364" t="s">
        <v>183</v>
      </c>
      <c r="D23" s="364" t="s">
        <v>240</v>
      </c>
      <c r="E23" s="366"/>
      <c r="F23" s="366"/>
    </row>
    <row r="24" spans="1:6" ht="28">
      <c r="A24" s="366"/>
      <c r="B24" s="366"/>
      <c r="C24" s="364" t="s">
        <v>185</v>
      </c>
      <c r="D24" s="364" t="s">
        <v>242</v>
      </c>
      <c r="E24" s="366"/>
      <c r="F24" s="366"/>
    </row>
    <row r="25" spans="1:6" ht="28">
      <c r="A25" s="366"/>
      <c r="B25" s="366"/>
      <c r="C25" s="364" t="s">
        <v>187</v>
      </c>
      <c r="D25" s="364" t="s">
        <v>244</v>
      </c>
      <c r="E25" s="366"/>
      <c r="F25" s="366"/>
    </row>
    <row r="26" spans="1:6" ht="28">
      <c r="A26" s="366"/>
      <c r="B26" s="366"/>
      <c r="C26" s="364" t="s">
        <v>189</v>
      </c>
      <c r="D26" s="364" t="s">
        <v>246</v>
      </c>
      <c r="E26" s="366"/>
      <c r="F26" s="366"/>
    </row>
    <row r="27" spans="1:6" ht="14">
      <c r="A27" s="366"/>
      <c r="B27" s="366"/>
      <c r="C27" s="364" t="s">
        <v>195</v>
      </c>
      <c r="D27" s="364" t="s">
        <v>248</v>
      </c>
      <c r="E27" s="366"/>
      <c r="F27" s="366"/>
    </row>
    <row r="28" spans="1:6" ht="28">
      <c r="A28" s="366"/>
      <c r="B28" s="366"/>
      <c r="C28" s="366"/>
      <c r="D28" s="364" t="s">
        <v>250</v>
      </c>
      <c r="E28" s="366"/>
      <c r="F28" s="366"/>
    </row>
    <row r="29" spans="1:6" ht="28">
      <c r="A29" s="366"/>
      <c r="B29" s="366"/>
      <c r="C29" s="366"/>
      <c r="D29" s="364" t="s">
        <v>252</v>
      </c>
      <c r="E29" s="366"/>
      <c r="F29" s="366"/>
    </row>
    <row r="30" spans="1:6" ht="14">
      <c r="A30" s="366"/>
      <c r="B30" s="366"/>
      <c r="C30" s="366"/>
      <c r="D30" s="364" t="s">
        <v>254</v>
      </c>
      <c r="E30" s="366"/>
      <c r="F30" s="366"/>
    </row>
    <row r="31" spans="1:6" ht="14">
      <c r="A31" s="366"/>
      <c r="B31" s="366"/>
      <c r="C31" s="366"/>
      <c r="D31" s="364" t="s">
        <v>256</v>
      </c>
      <c r="E31" s="366"/>
      <c r="F31" s="366"/>
    </row>
    <row r="32" spans="1:6" ht="14">
      <c r="A32" s="366"/>
      <c r="B32" s="366"/>
      <c r="C32" s="366"/>
      <c r="D32" s="364" t="s">
        <v>258</v>
      </c>
      <c r="E32" s="366"/>
      <c r="F32" s="366"/>
    </row>
    <row r="33" spans="1:6" ht="14">
      <c r="A33" s="366"/>
      <c r="B33" s="366"/>
      <c r="C33" s="366"/>
      <c r="D33" s="364" t="s">
        <v>260</v>
      </c>
      <c r="E33" s="366"/>
      <c r="F33" s="366"/>
    </row>
    <row r="34" spans="1:6" ht="14">
      <c r="A34" s="366"/>
      <c r="B34" s="366"/>
      <c r="C34" s="366"/>
      <c r="D34" s="364" t="s">
        <v>262</v>
      </c>
      <c r="E34" s="366"/>
      <c r="F34" s="366"/>
    </row>
    <row r="35" spans="1:6" ht="14">
      <c r="A35" s="366"/>
      <c r="B35" s="366"/>
      <c r="C35" s="366"/>
      <c r="D35" s="364" t="s">
        <v>264</v>
      </c>
      <c r="E35" s="366"/>
      <c r="F35" s="366"/>
    </row>
    <row r="36" spans="1:6" ht="28">
      <c r="A36" s="366"/>
      <c r="B36" s="366"/>
      <c r="C36" s="366"/>
      <c r="D36" s="364" t="s">
        <v>266</v>
      </c>
      <c r="E36" s="366"/>
      <c r="F36" s="366"/>
    </row>
    <row r="37" spans="1:6" ht="14">
      <c r="A37" s="366"/>
      <c r="B37" s="366"/>
      <c r="C37" s="366"/>
      <c r="D37" s="364" t="s">
        <v>268</v>
      </c>
      <c r="E37" s="366"/>
      <c r="F37" s="366"/>
    </row>
    <row r="38" spans="1:6" ht="14">
      <c r="A38" s="366"/>
      <c r="B38" s="366"/>
      <c r="C38" s="366"/>
      <c r="D38" s="364" t="s">
        <v>270</v>
      </c>
      <c r="E38" s="366"/>
      <c r="F38" s="366"/>
    </row>
    <row r="39" spans="1:6" ht="14">
      <c r="A39" s="366"/>
      <c r="B39" s="366"/>
      <c r="C39" s="366"/>
      <c r="D39" s="364" t="s">
        <v>272</v>
      </c>
      <c r="E39" s="366"/>
      <c r="F39" s="366"/>
    </row>
    <row r="40" spans="1:6" ht="14">
      <c r="A40" s="366"/>
      <c r="B40" s="366"/>
      <c r="C40" s="366"/>
      <c r="D40" s="364" t="s">
        <v>274</v>
      </c>
      <c r="E40" s="366"/>
      <c r="F40" s="366"/>
    </row>
    <row r="41" spans="1:6" ht="14">
      <c r="A41" s="366"/>
      <c r="B41" s="366"/>
      <c r="C41" s="366"/>
      <c r="D41" s="364" t="s">
        <v>276</v>
      </c>
      <c r="E41" s="366"/>
      <c r="F41" s="366"/>
    </row>
    <row r="42" spans="1:6" ht="14">
      <c r="A42" s="366"/>
      <c r="B42" s="366"/>
      <c r="C42" s="366"/>
      <c r="D42" s="364" t="s">
        <v>278</v>
      </c>
      <c r="E42" s="366"/>
      <c r="F42" s="366"/>
    </row>
    <row r="43" spans="1:6" ht="14">
      <c r="A43" s="366"/>
      <c r="B43" s="366"/>
      <c r="C43" s="366"/>
      <c r="D43" s="364" t="s">
        <v>280</v>
      </c>
      <c r="E43" s="366"/>
      <c r="F43" s="366"/>
    </row>
    <row r="44" spans="1:6" ht="14">
      <c r="A44" s="366"/>
      <c r="B44" s="366"/>
      <c r="C44" s="366"/>
      <c r="D44" s="364" t="s">
        <v>282</v>
      </c>
      <c r="E44" s="366"/>
      <c r="F44" s="366"/>
    </row>
    <row r="45" spans="1:6" ht="14">
      <c r="A45" s="366"/>
      <c r="B45" s="366"/>
      <c r="C45" s="366"/>
      <c r="D45" s="364" t="s">
        <v>284</v>
      </c>
      <c r="E45" s="366"/>
      <c r="F45" s="366"/>
    </row>
    <row r="46" spans="1:6" ht="14">
      <c r="A46" s="366"/>
      <c r="B46" s="366"/>
      <c r="C46" s="366"/>
      <c r="D46" s="364" t="s">
        <v>286</v>
      </c>
      <c r="E46" s="366"/>
      <c r="F46" s="366"/>
    </row>
    <row r="47" spans="1:6" ht="14">
      <c r="A47" s="366"/>
      <c r="B47" s="366"/>
      <c r="C47" s="366"/>
      <c r="D47" s="369" t="s">
        <v>288</v>
      </c>
      <c r="E47" s="366"/>
      <c r="F47" s="366"/>
    </row>
    <row r="48" spans="1:6" ht="14">
      <c r="A48" s="366"/>
      <c r="B48" s="366"/>
      <c r="C48" s="366"/>
      <c r="D48" s="364" t="s">
        <v>290</v>
      </c>
      <c r="E48" s="366"/>
      <c r="F48" s="366"/>
    </row>
    <row r="49" spans="1:6" ht="14">
      <c r="A49" s="366"/>
      <c r="B49" s="366"/>
      <c r="C49" s="366"/>
      <c r="D49" s="364" t="s">
        <v>292</v>
      </c>
      <c r="E49" s="366"/>
      <c r="F49" s="366"/>
    </row>
    <row r="50" spans="1:6" ht="14">
      <c r="A50" s="366"/>
      <c r="B50" s="366"/>
      <c r="C50" s="366"/>
      <c r="D50" s="364" t="s">
        <v>294</v>
      </c>
      <c r="E50" s="366"/>
      <c r="F50" s="366"/>
    </row>
    <row r="51" spans="1:6" ht="14">
      <c r="A51" s="366"/>
      <c r="B51" s="366"/>
      <c r="C51" s="366"/>
      <c r="D51" s="364" t="s">
        <v>296</v>
      </c>
      <c r="E51" s="366"/>
      <c r="F51" s="366"/>
    </row>
    <row r="52" spans="1:6" ht="14">
      <c r="A52" s="366"/>
      <c r="B52" s="366"/>
      <c r="C52" s="366"/>
      <c r="D52" s="364" t="s">
        <v>298</v>
      </c>
      <c r="E52" s="366"/>
      <c r="F52" s="366"/>
    </row>
    <row r="53" spans="1:6" ht="28">
      <c r="A53" s="366"/>
      <c r="B53" s="366"/>
      <c r="C53" s="366"/>
      <c r="D53" s="364" t="s">
        <v>300</v>
      </c>
      <c r="E53" s="366"/>
      <c r="F53" s="366"/>
    </row>
    <row r="54" spans="1:6" ht="14">
      <c r="A54" s="366"/>
      <c r="B54" s="366"/>
      <c r="C54" s="366"/>
      <c r="D54" s="364" t="s">
        <v>302</v>
      </c>
      <c r="E54" s="366"/>
      <c r="F54" s="366"/>
    </row>
    <row r="55" spans="1:6" ht="14">
      <c r="A55" s="366"/>
      <c r="B55" s="366"/>
      <c r="C55" s="366"/>
      <c r="D55" s="364" t="s">
        <v>304</v>
      </c>
      <c r="E55" s="366"/>
      <c r="F55" s="366"/>
    </row>
    <row r="56" spans="1:6" ht="14">
      <c r="A56" s="366"/>
      <c r="B56" s="366"/>
      <c r="C56" s="366"/>
      <c r="D56" s="364" t="s">
        <v>306</v>
      </c>
      <c r="E56" s="366"/>
      <c r="F56" s="366"/>
    </row>
    <row r="57" spans="1:6" ht="28">
      <c r="A57" s="366"/>
      <c r="B57" s="366"/>
      <c r="C57" s="366"/>
      <c r="D57" s="364" t="s">
        <v>308</v>
      </c>
      <c r="E57" s="366"/>
      <c r="F57" s="366"/>
    </row>
    <row r="58" spans="1:6" ht="14">
      <c r="A58" s="366"/>
      <c r="B58" s="366"/>
      <c r="C58" s="366"/>
      <c r="D58" s="364" t="s">
        <v>310</v>
      </c>
      <c r="E58" s="366"/>
      <c r="F58" s="366"/>
    </row>
    <row r="59" spans="1:6" ht="14">
      <c r="A59" s="366"/>
      <c r="B59" s="366"/>
      <c r="C59" s="366"/>
      <c r="D59" s="364" t="s">
        <v>312</v>
      </c>
      <c r="E59" s="366"/>
      <c r="F59" s="366"/>
    </row>
    <row r="60" spans="1:6" ht="28">
      <c r="A60" s="366"/>
      <c r="B60" s="366"/>
      <c r="C60" s="366"/>
      <c r="D60" s="364" t="s">
        <v>314</v>
      </c>
      <c r="E60" s="366"/>
      <c r="F60" s="366"/>
    </row>
    <row r="61" spans="1:6" ht="28">
      <c r="A61" s="366"/>
      <c r="B61" s="366"/>
      <c r="C61" s="366"/>
      <c r="D61" s="364" t="s">
        <v>316</v>
      </c>
      <c r="E61" s="366"/>
      <c r="F61" s="366"/>
    </row>
    <row r="62" spans="1:6" ht="14">
      <c r="A62" s="366"/>
      <c r="B62" s="366"/>
      <c r="C62" s="366"/>
      <c r="D62" s="364" t="s">
        <v>318</v>
      </c>
      <c r="E62" s="366"/>
      <c r="F62" s="366"/>
    </row>
    <row r="63" spans="1:6" ht="14">
      <c r="A63" s="366"/>
      <c r="B63" s="366"/>
      <c r="D63" s="364" t="s">
        <v>320</v>
      </c>
      <c r="E63" s="366"/>
      <c r="F63" s="366"/>
    </row>
    <row r="64" spans="1:6">
      <c r="F64" s="366"/>
    </row>
  </sheetData>
  <pageMargins left="0.196527777777778" right="0.196527777777778" top="0.59027777777777801" bottom="0.59027777777777801" header="0.51180555555555496" footer="0"/>
  <pageSetup paperSize="9" firstPageNumber="0" orientation="landscape" horizontalDpi="300" verticalDpi="300"/>
  <headerFooter>
    <oddFooter>&amp;CPágina &amp;P de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77933C"/>
    <pageSetUpPr fitToPage="1"/>
  </sheetPr>
  <dimension ref="A1:AH66"/>
  <sheetViews>
    <sheetView showGridLines="0" zoomScaleNormal="100" workbookViewId="0">
      <pane ySplit="6" topLeftCell="A7" activePane="bottomLeft" state="frozen"/>
      <selection activeCell="F1" sqref="F1"/>
      <selection pane="bottomLeft" activeCell="I8" sqref="I8"/>
    </sheetView>
  </sheetViews>
  <sheetFormatPr defaultColWidth="9" defaultRowHeight="12.5"/>
  <cols>
    <col min="1" max="1" width="3.54296875" customWidth="1"/>
    <col min="2" max="2" width="10.453125" customWidth="1"/>
    <col min="3" max="3" width="11.26953125" customWidth="1"/>
    <col min="4" max="4" width="11.54296875" customWidth="1"/>
    <col min="5" max="5" width="5.7265625" customWidth="1"/>
    <col min="6" max="6" width="9.1796875" customWidth="1"/>
    <col min="7" max="9" width="13.54296875" customWidth="1"/>
    <col min="10" max="10" width="5.7265625" customWidth="1"/>
    <col min="11" max="11" width="13.26953125" customWidth="1"/>
    <col min="12" max="12" width="22.453125" customWidth="1"/>
    <col min="13" max="13" width="11" customWidth="1"/>
    <col min="14" max="14" width="5.7265625" customWidth="1"/>
    <col min="15" max="15" width="12.1796875" customWidth="1"/>
    <col min="16" max="16" width="16.26953125" customWidth="1"/>
    <col min="17" max="17" width="9.81640625" customWidth="1"/>
    <col min="18" max="18" width="81.453125" customWidth="1"/>
    <col min="19" max="19" width="6.453125" customWidth="1"/>
    <col min="20" max="21" width="6.81640625" hidden="1" customWidth="1"/>
    <col min="22" max="22" width="8.1796875" hidden="1" customWidth="1"/>
    <col min="23" max="23" width="10.1796875" hidden="1" customWidth="1"/>
    <col min="24" max="24" width="9.1796875" hidden="1" customWidth="1"/>
    <col min="25" max="25" width="9.26953125" hidden="1" customWidth="1"/>
    <col min="26" max="26" width="10.81640625" hidden="1" customWidth="1"/>
    <col min="27" max="27" width="9.81640625" hidden="1" customWidth="1"/>
    <col min="28" max="31" width="16.26953125" hidden="1" customWidth="1"/>
    <col min="32" max="32" width="14.1796875" hidden="1" customWidth="1"/>
    <col min="33" max="34" width="9.1796875" hidden="1" customWidth="1"/>
  </cols>
  <sheetData>
    <row r="1" spans="1:34" ht="24" customHeight="1">
      <c r="A1" s="379" t="str">
        <f>"Cronogramas do "&amp;SUBSTITUTE(Capa!A1,"Memória de Cálculo","",1)</f>
        <v>Cronogramas do 
Contrato de Gestão nº 10/2023 celebrado entre a Secretaria de Estado de Justiça e Segurança Pública - SEJUSP e  o Pólo de Evolução de Medidas Socioeducativas</v>
      </c>
      <c r="B1" s="379"/>
      <c r="C1" s="379"/>
      <c r="D1" s="379"/>
      <c r="E1" s="379"/>
      <c r="F1" s="379"/>
      <c r="G1" s="379"/>
      <c r="H1" s="379"/>
      <c r="I1" s="379"/>
      <c r="J1" s="379"/>
      <c r="K1" s="379"/>
      <c r="L1" s="379"/>
      <c r="M1" s="379"/>
      <c r="N1" s="379"/>
      <c r="O1" s="379"/>
      <c r="P1" s="379"/>
      <c r="Q1" s="379"/>
      <c r="R1" s="379"/>
      <c r="AB1" t="str">
        <f>Capa!A2</f>
        <v>1º Termo Aditivo</v>
      </c>
    </row>
    <row r="2" spans="1:34" ht="9" customHeight="1">
      <c r="A2" s="12"/>
      <c r="B2" s="12"/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</row>
    <row r="3" spans="1:34" ht="18.75" customHeight="1">
      <c r="A3" s="13" t="str">
        <f>"Qual o número do Período Avaliatório de "&amp;TEXT($B$7,"mmm/aaaa")</f>
        <v>Qual o número do Período Avaliatório de jan/2025</v>
      </c>
      <c r="I3" s="14">
        <v>6</v>
      </c>
      <c r="K3" s="15" t="str">
        <f>"Quantos mêses do "&amp;IF(I3="",1,I3)&amp;"º Período compõem essa Memória de Cálculo?"</f>
        <v>Quantos mêses do 6º Período compõem essa Memória de Cálculo?</v>
      </c>
      <c r="P3" s="14">
        <v>3</v>
      </c>
    </row>
    <row r="4" spans="1:34" ht="18.75" customHeight="1">
      <c r="A4" s="13" t="str">
        <f>"Caso tenha iniciado antes, qual o 1º mês do "&amp;AH7&amp;"º Período Avaliatório? "</f>
        <v xml:space="preserve">Caso tenha iniciado antes, qual o 1º mês do 6º Período Avaliatório? </v>
      </c>
      <c r="B4" s="16"/>
      <c r="C4" s="16"/>
      <c r="D4" s="16"/>
      <c r="E4" s="16"/>
      <c r="F4" s="16"/>
      <c r="G4" s="17"/>
      <c r="I4" s="18"/>
      <c r="K4" s="13" t="str">
        <f>IF(Capa!A5="mmm/aaaa","Preencher a capa antes de qualquer campo destas tabelas","Está prevista Comissão de Avaliação para "&amp;TEXT($B$7,"mmm/aaaa")&amp;"?")</f>
        <v>Está prevista Comissão de Avaliação para jan/2025?</v>
      </c>
      <c r="L4" s="16"/>
      <c r="M4" s="16"/>
      <c r="N4" s="16"/>
      <c r="P4" s="14" t="s">
        <v>25</v>
      </c>
      <c r="AB4" t="s">
        <v>26</v>
      </c>
      <c r="AC4" s="19">
        <f ca="1">AC5+AB5+AF7</f>
        <v>290444539.39368767</v>
      </c>
    </row>
    <row r="5" spans="1:34" ht="38.25" customHeight="1">
      <c r="A5" s="380" t="s">
        <v>27</v>
      </c>
      <c r="B5" s="380"/>
      <c r="C5" s="380"/>
      <c r="D5" s="380"/>
      <c r="F5" s="381" t="s">
        <v>28</v>
      </c>
      <c r="G5" s="381"/>
      <c r="H5" s="381"/>
      <c r="I5" s="381"/>
      <c r="K5" s="381" t="s">
        <v>29</v>
      </c>
      <c r="L5" s="381"/>
      <c r="M5" s="381"/>
      <c r="O5" s="381" t="s">
        <v>30</v>
      </c>
      <c r="P5" s="381"/>
      <c r="Q5" s="381"/>
      <c r="R5" s="381"/>
      <c r="AB5" s="19">
        <f ca="1">SUM(AB7:AB66)</f>
        <v>263900308.21368769</v>
      </c>
      <c r="AC5" s="19">
        <f ca="1">SUM(AC7:AC66)</f>
        <v>0</v>
      </c>
      <c r="AD5" s="19">
        <f ca="1">SUM(AD7:AD66)</f>
        <v>0</v>
      </c>
      <c r="AE5" s="19">
        <f ca="1">SUM(AE7:AE66)</f>
        <v>290204539.39368773</v>
      </c>
    </row>
    <row r="6" spans="1:34" ht="78">
      <c r="A6" s="20" t="s">
        <v>31</v>
      </c>
      <c r="B6" s="20" t="s">
        <v>32</v>
      </c>
      <c r="C6" s="20" t="s">
        <v>33</v>
      </c>
      <c r="D6" s="20" t="s">
        <v>34</v>
      </c>
      <c r="F6" s="20" t="s">
        <v>35</v>
      </c>
      <c r="G6" s="20" t="s">
        <v>36</v>
      </c>
      <c r="H6" s="20" t="s">
        <v>37</v>
      </c>
      <c r="I6" s="20" t="s">
        <v>38</v>
      </c>
      <c r="K6" s="21" t="s">
        <v>39</v>
      </c>
      <c r="L6" s="21" t="s">
        <v>40</v>
      </c>
      <c r="M6" s="21" t="s">
        <v>41</v>
      </c>
      <c r="O6" s="21" t="s">
        <v>42</v>
      </c>
      <c r="P6" s="21" t="s">
        <v>43</v>
      </c>
      <c r="Q6" s="21" t="s">
        <v>44</v>
      </c>
      <c r="R6" s="21" t="s">
        <v>45</v>
      </c>
      <c r="T6" s="22" t="s">
        <v>46</v>
      </c>
      <c r="U6" s="22"/>
      <c r="V6" s="22" t="s">
        <v>47</v>
      </c>
      <c r="W6" s="22" t="s">
        <v>48</v>
      </c>
      <c r="X6" s="22" t="s">
        <v>49</v>
      </c>
      <c r="Y6" s="22" t="s">
        <v>50</v>
      </c>
      <c r="Z6" s="23" t="s">
        <v>51</v>
      </c>
      <c r="AA6" s="23" t="s">
        <v>52</v>
      </c>
      <c r="AB6" s="24" t="s">
        <v>53</v>
      </c>
      <c r="AC6" s="24" t="s">
        <v>54</v>
      </c>
      <c r="AD6" s="25" t="s">
        <v>55</v>
      </c>
      <c r="AE6" s="25" t="s">
        <v>38</v>
      </c>
      <c r="AF6" s="26" t="s">
        <v>56</v>
      </c>
      <c r="AG6" s="17"/>
      <c r="AH6" s="27" t="s">
        <v>57</v>
      </c>
    </row>
    <row r="7" spans="1:34" ht="14.5">
      <c r="A7" s="28">
        <v>1</v>
      </c>
      <c r="B7" s="29">
        <f>IFERROR(IF(Capa!A5="mmm/aaaa","",DATE(YEAR(Capa!$A$36),MONTH(Capa!$A$36),1)),"")</f>
        <v>45658</v>
      </c>
      <c r="C7" s="28">
        <f>IF(B7="","",IF(I3="",1,I3))</f>
        <v>6</v>
      </c>
      <c r="D7" s="30"/>
      <c r="E7" s="16"/>
      <c r="F7" s="31">
        <f>IF(Capa!A5="mmm/aaaa","",YEAR(Capa!A36))</f>
        <v>2025</v>
      </c>
      <c r="G7" s="32">
        <f t="shared" ref="G7:G12" ca="1" si="0">IF(F7="","",SUMIFS($AB$7:$AB$66,$B$7:$B$66,"&gt;="&amp;DATE(F7,1,1),$B$7:$B$66,"&lt;"&amp;DATE(F7+1,1,1)-1))</f>
        <v>48960370.28099668</v>
      </c>
      <c r="H7" s="32">
        <f t="shared" ref="H7:H12" ca="1" si="1">IF(F7="","",SUMIFS($AD$7:$AD$66,$B$7:$B$66,"&gt;="&amp;DATE(F7,1,1),$B$7:$B$66,"&lt;"&amp;DATE(F7+1,1,1)-1))</f>
        <v>0</v>
      </c>
      <c r="I7" s="32">
        <f ca="1">IF(F7="","",SUMIFS($AE$7:$AE$66,$B$7:$B$66,"&gt;="&amp;DATE(F7,1,1),$B$7:$B$66,"&lt;"&amp;DATE(F7+1,1,1)-1)+IF(F8="",Analítico!$BK$151,0))</f>
        <v>69357736.760752365</v>
      </c>
      <c r="K7" s="33" t="str">
        <f t="shared" ref="K7:K39" si="2">IF(U7="","",U7&amp;"ª Avaliação")</f>
        <v>6ª Avaliação</v>
      </c>
      <c r="L7" s="33" t="str">
        <f t="shared" ref="L7:L39" ca="1" si="3">IF(K7="","",TEXT(Z7,"mmm/aaaa")&amp;" a "&amp;TEXT(AA7,"mmm/aaaa"))</f>
        <v>jan/2025 a mar/2025</v>
      </c>
      <c r="M7" s="34">
        <f t="shared" ref="M7:M39" ca="1" si="4">IF(K7="","",_xlfn.IFNA(OFFSET($B$6,MATCH(U7+1,$AH$7:$AH$66,0),0),EDATE(MAX($B$7:$B$66),1)))</f>
        <v>45748</v>
      </c>
      <c r="O7" s="33" t="str">
        <f t="shared" ref="O7:O38" ca="1" si="5">(IF(P7="","",OFFSET($Y$6,MATCH(A7,$X$7:$X$66,0),0)&amp;"ª Parcela"))</f>
        <v>7ª Parcela</v>
      </c>
      <c r="P7" s="35">
        <f t="shared" ref="P7:P38" ca="1" si="6">IFERROR(IF(OFFSET($AB$6,MATCH(A7,$X$7:$X$66,0),0)=0,"",OFFSET($AB$6,MATCH(A7,$X$7:$X$66,0),0)),"")</f>
        <v>12954344.005534168</v>
      </c>
      <c r="Q7" s="36">
        <f t="shared" ref="Q7:Q38" ca="1" si="7">IF(P7="","",OFFSET($B$6,MATCH(A7,$X$7:$X$66,0),0))</f>
        <v>45748</v>
      </c>
      <c r="R7" s="37" t="str">
        <f ca="1">IF(P7="","",IFERROR(IF(Capa!$A$2="","Após a celebração do termo de parceria.","Realização da "&amp;OFFSET($Y$6,MATCH(A7,$X$7:$X$66,0),0)-1&amp;"ª reunião da CA e aprovação da liberação de parcela pelo supervisor."),""))</f>
        <v>Realização da 6ª reunião da CA e aprovação da liberação de parcela pelo supervisor.</v>
      </c>
      <c r="T7" s="38" t="str">
        <f>IF($P$4="Sim","Sim","Não")</f>
        <v>Não</v>
      </c>
      <c r="U7" s="38">
        <f>AH7</f>
        <v>6</v>
      </c>
      <c r="V7" s="38" t="str">
        <f>IF(Capa!$A$2="","Sim",Cronogramas!T7)</f>
        <v>Não</v>
      </c>
      <c r="W7" s="38">
        <f>IF(Capa!$A$2="",0,IF(Cronogramas!$P$4="Sim",Cronogramas!AH7-1,Cronogramas!AH7))</f>
        <v>6</v>
      </c>
      <c r="X7" s="38">
        <f>COUNTIF(V7:$V$7,"Sim")</f>
        <v>0</v>
      </c>
      <c r="Y7" s="38" t="str">
        <f>IF(Capa!$A$2="",1,IF(T7="Não","",AH7))</f>
        <v/>
      </c>
      <c r="Z7" s="39">
        <f>IF(K7="","",IF($I$4=0,Cronogramas!$B$7,$I$4))</f>
        <v>45658</v>
      </c>
      <c r="AA7" s="40">
        <f t="shared" ref="AA7:AA39" ca="1" si="8">IFERROR(EDATE(M7,-1),"")</f>
        <v>45717</v>
      </c>
      <c r="AB7" s="41">
        <f ca="1">_xlfn.IFNA(IF(V7="Sim",(IFERROR(SUM(OFFSET(AE7,1,,MATCH("Sim",V8:$V$66,0),1))-AC7,0)+IF(Y7-$W$7=1,SUM($AE$6:AE7)-$AF$7,0)+IF(SUM(Y8:$Y$66)=0,SUM(AE8:$AE$66)-AC7+Analítico!$BK$151)),0),0)</f>
        <v>0</v>
      </c>
      <c r="AC7" s="41">
        <f ca="1">IFERROR(IF(V7="Sim",IFERROR(SUM(OFFSET(AD7,1,,MATCH("Sim",T8:$T$66,0),1)),0)+IF(Y7-$W$7=1,SUM($AD$6:AD7),0)+IF(SUM(Y8:$Y$66)=0,SUM(AD8:$AD$66),0),0),0)</f>
        <v>0</v>
      </c>
      <c r="AD7" s="42">
        <f ca="1">SUM(OFFSET(Analítico!$B$10,0,A7,2,1))</f>
        <v>0</v>
      </c>
      <c r="AE7" s="42">
        <f ca="1">OFFSET(Analítico!$B$152,,A7)</f>
        <v>5419878.2386984108</v>
      </c>
      <c r="AF7" s="42">
        <f>Analítico!BK4</f>
        <v>26544231.18</v>
      </c>
      <c r="AG7" s="43" t="s">
        <v>58</v>
      </c>
      <c r="AH7" s="44">
        <f t="shared" ref="AH7:AH38" si="9">IF(D7="",C7,D7)</f>
        <v>6</v>
      </c>
    </row>
    <row r="8" spans="1:34" ht="14.5">
      <c r="A8" s="28">
        <v>2</v>
      </c>
      <c r="B8" s="29">
        <f>IFERROR(IF(EDATE(B7,1)&gt;DATE(YEAR(Capa!$A$7),MONTH(Capa!$A$7),1),"",EDATE(B7,1)),"")</f>
        <v>45689</v>
      </c>
      <c r="C8" s="28">
        <f>IF(B8="","",IF(P3="",C7,IF(P3&gt;=2,C7,C7+1)))</f>
        <v>6</v>
      </c>
      <c r="D8" s="30"/>
      <c r="E8" s="28"/>
      <c r="F8" s="31">
        <f>IFERROR(IF((F7+1)&gt;YEAR(Capa!$A$7),"",F7+1),"")</f>
        <v>2026</v>
      </c>
      <c r="G8" s="32">
        <f t="shared" ca="1" si="0"/>
        <v>75627138.393602341</v>
      </c>
      <c r="H8" s="32">
        <f t="shared" ca="1" si="1"/>
        <v>0</v>
      </c>
      <c r="I8" s="32">
        <f ca="1">IF(F8="","",SUMIFS($AE$7:$AE$66,$B$7:$B$66,"&gt;="&amp;DATE(F8,1,1),$B$7:$B$66,"&lt;"&amp;DATE(F8+1,1,1)-1)+IF(F9="",Analítico!$BK$151,0))</f>
        <v>75344279.180833772</v>
      </c>
      <c r="K8" s="33" t="str">
        <f t="shared" si="2"/>
        <v>7ª Avaliação</v>
      </c>
      <c r="L8" s="33" t="str">
        <f t="shared" ca="1" si="3"/>
        <v>abr/2025 a jun/2025</v>
      </c>
      <c r="M8" s="34">
        <f t="shared" ca="1" si="4"/>
        <v>45839</v>
      </c>
      <c r="O8" s="33" t="str">
        <f t="shared" ca="1" si="5"/>
        <v>8ª Parcela</v>
      </c>
      <c r="P8" s="35">
        <f t="shared" ca="1" si="6"/>
        <v>17716703.716164842</v>
      </c>
      <c r="Q8" s="36">
        <f t="shared" ca="1" si="7"/>
        <v>45839</v>
      </c>
      <c r="R8" s="37" t="str">
        <f t="shared" ref="R8:R37" ca="1" si="10">IF(P8="","",IFERROR("Realização da "&amp;OFFSET($Y$6,MATCH(A8,$X$7:$X$66,0),0)-1&amp;"ª reunião da CA e aprovação da liberação de parcela pelo supervisor.",""))</f>
        <v>Realização da 7ª reunião da CA e aprovação da liberação de parcela pelo supervisor.</v>
      </c>
      <c r="T8" s="38" t="str">
        <f t="shared" ref="T8:T39" si="11">IF(AH8="","Não",IF(AH8&gt;AH7,"Sim","Não"))</f>
        <v>Não</v>
      </c>
      <c r="U8" s="38">
        <f t="shared" ref="U8:U39" si="12">IFERROR(IF(U7+1&gt;MAX(AH7:AH66),"",U7+1),"")</f>
        <v>7</v>
      </c>
      <c r="V8" s="38" t="str">
        <f>Cronogramas!T8</f>
        <v>Não</v>
      </c>
      <c r="W8" s="38"/>
      <c r="X8" s="38">
        <f>COUNTIF(V$7:$V8,"Sim")</f>
        <v>0</v>
      </c>
      <c r="Y8" s="38" t="str">
        <f t="shared" ref="Y8:Y39" si="13">IF(T8="Não","",AH8)</f>
        <v/>
      </c>
      <c r="Z8" s="39">
        <f t="shared" ref="Z8:Z39" ca="1" si="14">IF(K8="","",EDATE(AA7,1))</f>
        <v>45748</v>
      </c>
      <c r="AA8" s="40">
        <f t="shared" ca="1" si="8"/>
        <v>45809</v>
      </c>
      <c r="AB8" s="41">
        <f ca="1">_xlfn.IFNA(IF(V8="Sim",(IFERROR(SUM(OFFSET(AE8,1,,MATCH("Sim",V9:$V$66,0),1))-AC8,0)+IF(Y8-$W$7=1,SUM($AE$6:AE8)-$AF$7,0)+IF(SUM(Y9:$Y$66)=0,SUM(AE9:$AE$66)-AC8+Analítico!$BK$151)),0),0)</f>
        <v>0</v>
      </c>
      <c r="AC8" s="41">
        <f ca="1">IFERROR(IF(V8="Sim",IFERROR(SUM(OFFSET(AD8,1,,MATCH("Sim",T9:$T$66,0),1)),0)+IF(Y8-$W$7=1,SUM($AD$6:AD8),0)+IF(SUM(Y9:$Y$66)=0,SUM(AD9:$AD$66),0),0),0)</f>
        <v>0</v>
      </c>
      <c r="AD8" s="42">
        <f ca="1">SUM(OFFSET(Analítico!$B$10,0,A8,2,1))</f>
        <v>0</v>
      </c>
      <c r="AE8" s="42">
        <f ca="1">OFFSET(Analítico!$B$152,,A8)</f>
        <v>5180190.8186984099</v>
      </c>
      <c r="AF8" s="38"/>
      <c r="AG8" s="43" t="s">
        <v>25</v>
      </c>
      <c r="AH8" s="44">
        <f t="shared" si="9"/>
        <v>6</v>
      </c>
    </row>
    <row r="9" spans="1:34" ht="14.5">
      <c r="A9" s="28">
        <v>3</v>
      </c>
      <c r="B9" s="29">
        <f>IFERROR(IF(EDATE(B8,1)&gt;DATE(YEAR(Capa!$A$7),MONTH(Capa!$A$7),1),"",EDATE(B8,1)),"")</f>
        <v>45717</v>
      </c>
      <c r="C9" s="28">
        <f>IF(B9="","",IF(P3="",C7,IF(P3=3,C7,C7+1)))</f>
        <v>6</v>
      </c>
      <c r="D9" s="30"/>
      <c r="E9" s="28"/>
      <c r="F9" s="31">
        <f>IFERROR(IF((F8+1)&gt;YEAR(Capa!$A$7),"",F8+1),"")</f>
        <v>2027</v>
      </c>
      <c r="G9" s="32">
        <f t="shared" ca="1" si="0"/>
        <v>78628638.756970078</v>
      </c>
      <c r="H9" s="32">
        <f t="shared" ca="1" si="1"/>
        <v>0</v>
      </c>
      <c r="I9" s="32">
        <f ca="1">IF(F9="","",SUMIFS($AE$7:$AE$66,$B$7:$B$66,"&gt;="&amp;DATE(F9,1,1),$B$7:$B$66,"&lt;"&amp;DATE(F9+1,1,1)-1)+IF(F10="",Analítico!$BK$151,0))</f>
        <v>79164689.187232405</v>
      </c>
      <c r="K9" s="33" t="str">
        <f t="shared" si="2"/>
        <v>8ª Avaliação</v>
      </c>
      <c r="L9" s="33" t="str">
        <f t="shared" ca="1" si="3"/>
        <v>jul/2025 a set/2025</v>
      </c>
      <c r="M9" s="34">
        <f t="shared" ca="1" si="4"/>
        <v>45931</v>
      </c>
      <c r="O9" s="33" t="str">
        <f t="shared" ca="1" si="5"/>
        <v>9ª Parcela</v>
      </c>
      <c r="P9" s="35">
        <f t="shared" ca="1" si="6"/>
        <v>18289322.559297673</v>
      </c>
      <c r="Q9" s="36">
        <f t="shared" ca="1" si="7"/>
        <v>45931</v>
      </c>
      <c r="R9" s="37" t="str">
        <f t="shared" ca="1" si="10"/>
        <v>Realização da 8ª reunião da CA e aprovação da liberação de parcela pelo supervisor.</v>
      </c>
      <c r="T9" s="38" t="str">
        <f t="shared" si="11"/>
        <v>Não</v>
      </c>
      <c r="U9" s="38">
        <f t="shared" si="12"/>
        <v>8</v>
      </c>
      <c r="V9" s="38" t="str">
        <f>Cronogramas!T9</f>
        <v>Não</v>
      </c>
      <c r="W9" s="38"/>
      <c r="X9" s="38">
        <f>COUNTIF(V$7:$V9,"Sim")</f>
        <v>0</v>
      </c>
      <c r="Y9" s="38" t="str">
        <f t="shared" si="13"/>
        <v/>
      </c>
      <c r="Z9" s="39">
        <f t="shared" ca="1" si="14"/>
        <v>45839</v>
      </c>
      <c r="AA9" s="40">
        <f t="shared" ca="1" si="8"/>
        <v>45901</v>
      </c>
      <c r="AB9" s="41">
        <f ca="1">_xlfn.IFNA(IF(V9="Sim",(IFERROR(SUM(OFFSET(AE9,1,,MATCH("Sim",V10:$V$66,0),1))-AC9,0)+IF(Y9-$W$7=1,SUM($AE$6:AE9)-$AF$7,0)+IF(SUM(Y10:$Y$66)=0,SUM(AE10:$AE$66)-AC9+Analítico!$BK$151)),0),0)</f>
        <v>0</v>
      </c>
      <c r="AC9" s="41">
        <f ca="1">IFERROR(IF(V9="Sim",IFERROR(SUM(OFFSET(AD9,1,,MATCH("Sim",T10:$T$66,0),1)),0)+IF(Y9-$W$7=1,SUM($AD$6:AD9),0)+IF(SUM(Y10:$Y$66)=0,SUM(AD10:$AD$66),0),0),0)</f>
        <v>0</v>
      </c>
      <c r="AD9" s="42">
        <f ca="1">SUM(OFFSET(Analítico!$B$10,0,A9,2,1))</f>
        <v>0</v>
      </c>
      <c r="AE9" s="42">
        <f ca="1">OFFSET(Analítico!$B$152,,A9)</f>
        <v>5964035.0583501337</v>
      </c>
      <c r="AF9" s="38"/>
      <c r="AG9" s="38"/>
      <c r="AH9" s="44">
        <f t="shared" si="9"/>
        <v>6</v>
      </c>
    </row>
    <row r="10" spans="1:34" ht="14.5">
      <c r="A10" s="28">
        <v>4</v>
      </c>
      <c r="B10" s="29">
        <f>IFERROR(IF(EDATE(B9,1)&gt;DATE(YEAR(Capa!$A$7),MONTH(Capa!$A$7),1),"",EDATE(B9,1)),"")</f>
        <v>45748</v>
      </c>
      <c r="C10" s="28">
        <f t="shared" ref="C10:C41" si="15">IF(B10="","",C7+1)</f>
        <v>7</v>
      </c>
      <c r="D10" s="30"/>
      <c r="E10" s="28"/>
      <c r="F10" s="31">
        <f>IFERROR(IF((F9+1)&gt;YEAR(Capa!$A$7),"",F9+1),"")</f>
        <v>2028</v>
      </c>
      <c r="G10" s="32">
        <f t="shared" ca="1" si="0"/>
        <v>60684160.782118663</v>
      </c>
      <c r="H10" s="32">
        <f t="shared" ca="1" si="1"/>
        <v>0</v>
      </c>
      <c r="I10" s="32">
        <f ca="1">IF(F10="","",SUMIFS($AE$7:$AE$66,$B$7:$B$66,"&gt;="&amp;DATE(F10,1,1),$B$7:$B$66,"&lt;"&amp;DATE(F10+1,1,1)-1)+IF(F11="",Analítico!$BK$151,0))</f>
        <v>66577834.264869213</v>
      </c>
      <c r="K10" s="33" t="str">
        <f t="shared" si="2"/>
        <v>9ª Avaliação</v>
      </c>
      <c r="L10" s="33" t="str">
        <f t="shared" ca="1" si="3"/>
        <v>out/2025 a dez/2025</v>
      </c>
      <c r="M10" s="34">
        <f t="shared" ca="1" si="4"/>
        <v>46023</v>
      </c>
      <c r="O10" s="33" t="str">
        <f t="shared" ca="1" si="5"/>
        <v>10ª Parcela</v>
      </c>
      <c r="P10" s="35">
        <f t="shared" ca="1" si="6"/>
        <v>18508106.360732958</v>
      </c>
      <c r="Q10" s="36">
        <f t="shared" ca="1" si="7"/>
        <v>46023</v>
      </c>
      <c r="R10" s="37" t="str">
        <f t="shared" ca="1" si="10"/>
        <v>Realização da 9ª reunião da CA e aprovação da liberação de parcela pelo supervisor.</v>
      </c>
      <c r="T10" s="38" t="str">
        <f t="shared" si="11"/>
        <v>Sim</v>
      </c>
      <c r="U10" s="38">
        <f t="shared" si="12"/>
        <v>9</v>
      </c>
      <c r="V10" s="38" t="str">
        <f>Cronogramas!T10</f>
        <v>Sim</v>
      </c>
      <c r="W10" s="38"/>
      <c r="X10" s="38">
        <f>COUNTIF(V$7:$V10,"Sim")</f>
        <v>1</v>
      </c>
      <c r="Y10" s="38">
        <f t="shared" si="13"/>
        <v>7</v>
      </c>
      <c r="Z10" s="39">
        <f t="shared" ca="1" si="14"/>
        <v>45931</v>
      </c>
      <c r="AA10" s="40">
        <f t="shared" ca="1" si="8"/>
        <v>45992</v>
      </c>
      <c r="AB10" s="41">
        <f ca="1">_xlfn.IFNA(IF(V10="Sim",(IFERROR(SUM(OFFSET(AE10,1,,MATCH("Sim",V11:$V$66,0),1))-AC10,0)+IF(Y10-$W$7=1,SUM($AE$6:AE10)-$AF$7,0)+IF(SUM(Y11:$Y$66)=0,SUM(AE11:$AE$66)-AC10+Analítico!$BK$151)),0),0)</f>
        <v>12954344.005534168</v>
      </c>
      <c r="AC10" s="41">
        <f ca="1">IFERROR(IF(V10="Sim",IFERROR(SUM(OFFSET(AD10,1,,MATCH("Sim",T11:$T$66,0),1)),0)+IF(Y10-$W$7=1,SUM($AD$6:AD10),0)+IF(SUM(Y11:$Y$66)=0,SUM(AD11:$AD$66),0),0),0)</f>
        <v>0</v>
      </c>
      <c r="AD10" s="42">
        <f ca="1">SUM(OFFSET(Analítico!$B$10,0,A10,2,1))</f>
        <v>0</v>
      </c>
      <c r="AE10" s="42">
        <f ca="1">OFFSET(Analítico!$B$152,,A10)</f>
        <v>5463950.302824745</v>
      </c>
      <c r="AF10" s="38"/>
      <c r="AG10" s="38"/>
      <c r="AH10" s="44">
        <f t="shared" si="9"/>
        <v>7</v>
      </c>
    </row>
    <row r="11" spans="1:34" ht="14.5">
      <c r="A11" s="28">
        <v>5</v>
      </c>
      <c r="B11" s="29">
        <f>IFERROR(IF(EDATE(B10,1)&gt;DATE(YEAR(Capa!$A$7),MONTH(Capa!$A$7),1),"",EDATE(B10,1)),"")</f>
        <v>45778</v>
      </c>
      <c r="C11" s="28">
        <f t="shared" si="15"/>
        <v>7</v>
      </c>
      <c r="D11" s="30"/>
      <c r="E11" s="28"/>
      <c r="F11" s="31" t="str">
        <f>IFERROR(IF((F10+1)&gt;YEAR(Capa!$A$7),"",F10+1),"")</f>
        <v/>
      </c>
      <c r="G11" s="32" t="str">
        <f t="shared" si="0"/>
        <v/>
      </c>
      <c r="H11" s="32" t="str">
        <f t="shared" si="1"/>
        <v/>
      </c>
      <c r="I11" s="32" t="str">
        <f>IF(F11="","",SUMIFS($AE$7:$AE$66,$B$7:$B$66,"&gt;="&amp;DATE(F11,1,1),$B$7:$B$66,"&lt;"&amp;DATE(F11+1,1,1)-1)+IF(F12="",Analítico!$BK$151,0))</f>
        <v/>
      </c>
      <c r="K11" s="33" t="str">
        <f t="shared" si="2"/>
        <v>10ª Avaliação</v>
      </c>
      <c r="L11" s="33" t="str">
        <f t="shared" ca="1" si="3"/>
        <v>jan/2026 a mar/2026</v>
      </c>
      <c r="M11" s="34">
        <f t="shared" ca="1" si="4"/>
        <v>46113</v>
      </c>
      <c r="O11" s="33" t="str">
        <f t="shared" ca="1" si="5"/>
        <v>11ª Parcela</v>
      </c>
      <c r="P11" s="35">
        <f t="shared" ca="1" si="6"/>
        <v>19043296.534946188</v>
      </c>
      <c r="Q11" s="36">
        <f t="shared" ca="1" si="7"/>
        <v>46113</v>
      </c>
      <c r="R11" s="37" t="str">
        <f t="shared" ca="1" si="10"/>
        <v>Realização da 10ª reunião da CA e aprovação da liberação de parcela pelo supervisor.</v>
      </c>
      <c r="T11" s="38" t="str">
        <f t="shared" si="11"/>
        <v>Não</v>
      </c>
      <c r="U11" s="38">
        <f t="shared" si="12"/>
        <v>10</v>
      </c>
      <c r="V11" s="38" t="str">
        <f>Cronogramas!T11</f>
        <v>Não</v>
      </c>
      <c r="W11" s="38"/>
      <c r="X11" s="38">
        <f>COUNTIF(V$7:$V11,"Sim")</f>
        <v>1</v>
      </c>
      <c r="Y11" s="38" t="str">
        <f t="shared" si="13"/>
        <v/>
      </c>
      <c r="Z11" s="39">
        <f t="shared" ca="1" si="14"/>
        <v>46023</v>
      </c>
      <c r="AA11" s="40">
        <f t="shared" ca="1" si="8"/>
        <v>46082</v>
      </c>
      <c r="AB11" s="41">
        <f ca="1">_xlfn.IFNA(IF(V11="Sim",(IFERROR(SUM(OFFSET(AE11,1,,MATCH("Sim",V12:$V$66,0),1))-AC11,0)+IF(Y11-$W$7=1,SUM($AE$6:AE11)-$AF$7,0)+IF(SUM(Y12:$Y$66)=0,SUM(AE12:$AE$66)-AC11+Analítico!$BK$151)),0),0)</f>
        <v>0</v>
      </c>
      <c r="AC11" s="41">
        <f ca="1">IFERROR(IF(V11="Sim",IFERROR(SUM(OFFSET(AD11,1,,MATCH("Sim",T12:$T$66,0),1)),0)+IF(Y11-$W$7=1,SUM($AD$6:AD11),0)+IF(SUM(Y12:$Y$66)=0,SUM(AD12:$AD$66),0),0),0)</f>
        <v>0</v>
      </c>
      <c r="AD11" s="42">
        <f ca="1">SUM(OFFSET(Analítico!$B$10,0,A11,2,1))</f>
        <v>0</v>
      </c>
      <c r="AE11" s="42">
        <f ca="1">OFFSET(Analítico!$B$152,,A11)</f>
        <v>6005408.8587536784</v>
      </c>
      <c r="AF11" s="38"/>
      <c r="AG11" s="38"/>
      <c r="AH11" s="44">
        <f t="shared" si="9"/>
        <v>7</v>
      </c>
    </row>
    <row r="12" spans="1:34" ht="14.5">
      <c r="A12" s="28">
        <v>6</v>
      </c>
      <c r="B12" s="29">
        <f>IFERROR(IF(EDATE(B11,1)&gt;DATE(YEAR(Capa!$A$7),MONTH(Capa!$A$7),1),"",EDATE(B11,1)),"")</f>
        <v>45809</v>
      </c>
      <c r="C12" s="28">
        <f t="shared" si="15"/>
        <v>7</v>
      </c>
      <c r="D12" s="30"/>
      <c r="E12" s="28"/>
      <c r="F12" s="31" t="str">
        <f>IFERROR(IF((F11+1)&gt;YEAR(Capa!$A$7),"",F11+1),"")</f>
        <v/>
      </c>
      <c r="G12" s="32" t="str">
        <f t="shared" si="0"/>
        <v/>
      </c>
      <c r="H12" s="32" t="str">
        <f t="shared" si="1"/>
        <v/>
      </c>
      <c r="I12" s="32" t="str">
        <f>IF(F12="","",SUMIFS($AE$7:$AE$66,$B$7:$B$66,"&gt;="&amp;DATE(F12,1,1),$B$7:$B$66,"&lt;"&amp;DATE(F12+1,1,1)-1)+IF(F13="",Analítico!$BK$151,0))</f>
        <v/>
      </c>
      <c r="K12" s="33" t="str">
        <f t="shared" si="2"/>
        <v>11ª Avaliação</v>
      </c>
      <c r="L12" s="33" t="str">
        <f t="shared" ca="1" si="3"/>
        <v>abr/2026 a jun/2026</v>
      </c>
      <c r="M12" s="34">
        <f t="shared" ca="1" si="4"/>
        <v>46204</v>
      </c>
      <c r="O12" s="33" t="str">
        <f t="shared" ca="1" si="5"/>
        <v>12ª Parcela</v>
      </c>
      <c r="P12" s="35">
        <f t="shared" ca="1" si="6"/>
        <v>18970366.97494619</v>
      </c>
      <c r="Q12" s="36">
        <f t="shared" ca="1" si="7"/>
        <v>46204</v>
      </c>
      <c r="R12" s="37" t="str">
        <f t="shared" ca="1" si="10"/>
        <v>Realização da 11ª reunião da CA e aprovação da liberação de parcela pelo supervisor.</v>
      </c>
      <c r="T12" s="38" t="str">
        <f t="shared" si="11"/>
        <v>Não</v>
      </c>
      <c r="U12" s="38">
        <f t="shared" si="12"/>
        <v>11</v>
      </c>
      <c r="V12" s="38" t="str">
        <f>Cronogramas!T12</f>
        <v>Não</v>
      </c>
      <c r="W12" s="38"/>
      <c r="X12" s="38">
        <f>COUNTIF(V$7:$V12,"Sim")</f>
        <v>1</v>
      </c>
      <c r="Y12" s="38" t="str">
        <f t="shared" si="13"/>
        <v/>
      </c>
      <c r="Z12" s="39">
        <f t="shared" ca="1" si="14"/>
        <v>46113</v>
      </c>
      <c r="AA12" s="40">
        <f t="shared" ca="1" si="8"/>
        <v>46174</v>
      </c>
      <c r="AB12" s="41">
        <f ca="1">_xlfn.IFNA(IF(V12="Sim",(IFERROR(SUM(OFFSET(AE12,1,,MATCH("Sim",V13:$V$66,0),1))-AC12,0)+IF(Y12-$W$7=1,SUM($AE$6:AE12)-$AF$7,0)+IF(SUM(Y13:$Y$66)=0,SUM(AE13:$AE$66)-AC12+Analítico!$BK$151)),0),0)</f>
        <v>0</v>
      </c>
      <c r="AC12" s="41">
        <f ca="1">IFERROR(IF(V12="Sim",IFERROR(SUM(OFFSET(AD12,1,,MATCH("Sim",T13:$T$66,0),1)),0)+IF(Y12-$W$7=1,SUM($AD$6:AD12),0)+IF(SUM(Y13:$Y$66)=0,SUM(AD13:$AD$66),0),0),0)</f>
        <v>0</v>
      </c>
      <c r="AD12" s="42">
        <f ca="1">SUM(OFFSET(Analítico!$B$10,0,A12,2,1))</f>
        <v>0</v>
      </c>
      <c r="AE12" s="42">
        <f ca="1">OFFSET(Analítico!$B$152,,A12)</f>
        <v>5567647.7740970645</v>
      </c>
      <c r="AF12" s="38"/>
      <c r="AG12" s="38"/>
      <c r="AH12" s="44">
        <f t="shared" si="9"/>
        <v>7</v>
      </c>
    </row>
    <row r="13" spans="1:34" ht="14.5">
      <c r="A13" s="28">
        <v>7</v>
      </c>
      <c r="B13" s="29">
        <f>IFERROR(IF(EDATE(B12,1)&gt;DATE(YEAR(Capa!$A$7),MONTH(Capa!$A$7),1),"",EDATE(B12,1)),"")</f>
        <v>45839</v>
      </c>
      <c r="C13" s="28">
        <f t="shared" si="15"/>
        <v>8</v>
      </c>
      <c r="D13" s="30"/>
      <c r="E13" s="28"/>
      <c r="F13" s="31"/>
      <c r="G13" s="32"/>
      <c r="H13" s="28"/>
      <c r="I13" s="28"/>
      <c r="K13" s="33" t="str">
        <f t="shared" si="2"/>
        <v>12ª Avaliação</v>
      </c>
      <c r="L13" s="33" t="str">
        <f t="shared" ca="1" si="3"/>
        <v>jul/2026 a set/2026</v>
      </c>
      <c r="M13" s="34">
        <f t="shared" ca="1" si="4"/>
        <v>46296</v>
      </c>
      <c r="O13" s="33" t="str">
        <f t="shared" ca="1" si="5"/>
        <v>13ª Parcela</v>
      </c>
      <c r="P13" s="35">
        <f t="shared" ca="1" si="6"/>
        <v>19105368.522977002</v>
      </c>
      <c r="Q13" s="36">
        <f t="shared" ca="1" si="7"/>
        <v>46296</v>
      </c>
      <c r="R13" s="37" t="str">
        <f t="shared" ca="1" si="10"/>
        <v>Realização da 12ª reunião da CA e aprovação da liberação de parcela pelo supervisor.</v>
      </c>
      <c r="T13" s="38" t="str">
        <f t="shared" si="11"/>
        <v>Sim</v>
      </c>
      <c r="U13" s="38">
        <f t="shared" si="12"/>
        <v>12</v>
      </c>
      <c r="V13" s="38" t="str">
        <f>Cronogramas!T13</f>
        <v>Sim</v>
      </c>
      <c r="W13" s="38"/>
      <c r="X13" s="38">
        <f>COUNTIF(V$7:$V13,"Sim")</f>
        <v>2</v>
      </c>
      <c r="Y13" s="38">
        <f t="shared" si="13"/>
        <v>8</v>
      </c>
      <c r="Z13" s="39">
        <f t="shared" ca="1" si="14"/>
        <v>46204</v>
      </c>
      <c r="AA13" s="40">
        <f t="shared" ca="1" si="8"/>
        <v>46266</v>
      </c>
      <c r="AB13" s="41">
        <f ca="1">_xlfn.IFNA(IF(V13="Sim",(IFERROR(SUM(OFFSET(AE13,1,,MATCH("Sim",V14:$V$66,0),1))-AC13,0)+IF(Y13-$W$7=1,SUM($AE$6:AE13)-$AF$7,0)+IF(SUM(Y14:$Y$66)=0,SUM(AE14:$AE$66)-AC13+Analítico!$BK$151)),0),0)</f>
        <v>17716703.716164842</v>
      </c>
      <c r="AC13" s="41">
        <f ca="1">IFERROR(IF(V13="Sim",IFERROR(SUM(OFFSET(AD13,1,,MATCH("Sim",T14:$T$66,0),1)),0)+IF(Y13-$W$7=1,SUM($AD$6:AD13),0)+IF(SUM(Y14:$Y$66)=0,SUM(AD14:$AD$66),0),0),0)</f>
        <v>0</v>
      </c>
      <c r="AD13" s="42">
        <f ca="1">SUM(OFFSET(Analítico!$B$10,0,A13,2,1))</f>
        <v>0</v>
      </c>
      <c r="AE13" s="42">
        <f ca="1">OFFSET(Analítico!$B$152,,A13)</f>
        <v>5897464.1341117201</v>
      </c>
      <c r="AF13" s="38"/>
      <c r="AG13" s="38"/>
      <c r="AH13" s="44">
        <f t="shared" si="9"/>
        <v>8</v>
      </c>
    </row>
    <row r="14" spans="1:34" ht="14.5">
      <c r="A14" s="28">
        <v>8</v>
      </c>
      <c r="B14" s="29">
        <f>IFERROR(IF(EDATE(B13,1)&gt;DATE(YEAR(Capa!$A$7),MONTH(Capa!$A$7),1),"",EDATE(B13,1)),"")</f>
        <v>45870</v>
      </c>
      <c r="C14" s="28">
        <f t="shared" si="15"/>
        <v>8</v>
      </c>
      <c r="D14" s="30"/>
      <c r="E14" s="28"/>
      <c r="F14" s="31"/>
      <c r="G14" s="32"/>
      <c r="H14" s="28"/>
      <c r="I14" s="28"/>
      <c r="K14" s="33" t="str">
        <f t="shared" si="2"/>
        <v>13ª Avaliação</v>
      </c>
      <c r="L14" s="33" t="str">
        <f t="shared" ca="1" si="3"/>
        <v>out/2026 a dez/2026</v>
      </c>
      <c r="M14" s="34">
        <f t="shared" ca="1" si="4"/>
        <v>46388</v>
      </c>
      <c r="O14" s="33" t="str">
        <f t="shared" ca="1" si="5"/>
        <v>14ª Parcela</v>
      </c>
      <c r="P14" s="35">
        <f t="shared" ca="1" si="6"/>
        <v>19461074.459038623</v>
      </c>
      <c r="Q14" s="36">
        <f t="shared" ca="1" si="7"/>
        <v>46388</v>
      </c>
      <c r="R14" s="37" t="str">
        <f t="shared" ca="1" si="10"/>
        <v>Realização da 13ª reunião da CA e aprovação da liberação de parcela pelo supervisor.</v>
      </c>
      <c r="T14" s="38" t="str">
        <f t="shared" si="11"/>
        <v>Não</v>
      </c>
      <c r="U14" s="38">
        <f t="shared" si="12"/>
        <v>13</v>
      </c>
      <c r="V14" s="38" t="str">
        <f>Cronogramas!T14</f>
        <v>Não</v>
      </c>
      <c r="W14" s="38"/>
      <c r="X14" s="38">
        <f>COUNTIF(V$7:$V14,"Sim")</f>
        <v>2</v>
      </c>
      <c r="Y14" s="38" t="str">
        <f t="shared" si="13"/>
        <v/>
      </c>
      <c r="Z14" s="39">
        <f t="shared" ca="1" si="14"/>
        <v>46296</v>
      </c>
      <c r="AA14" s="40">
        <f t="shared" ca="1" si="8"/>
        <v>46357</v>
      </c>
      <c r="AB14" s="41">
        <f ca="1">_xlfn.IFNA(IF(V14="Sim",(IFERROR(SUM(OFFSET(AE14,1,,MATCH("Sim",V15:$V$66,0),1))-AC14,0)+IF(Y14-$W$7=1,SUM($AE$6:AE14)-$AF$7,0)+IF(SUM(Y15:$Y$66)=0,SUM(AE15:$AE$66)-AC14+Analítico!$BK$151)),0),0)</f>
        <v>0</v>
      </c>
      <c r="AC14" s="41">
        <f ca="1">IFERROR(IF(V14="Sim",IFERROR(SUM(OFFSET(AD14,1,,MATCH("Sim",T15:$T$66,0),1)),0)+IF(Y14-$W$7=1,SUM($AD$6:AD14),0)+IF(SUM(Y15:$Y$66)=0,SUM(AD15:$AD$66),0),0),0)</f>
        <v>0</v>
      </c>
      <c r="AD14" s="42">
        <f ca="1">SUM(OFFSET(Analítico!$B$10,0,A14,2,1))</f>
        <v>0</v>
      </c>
      <c r="AE14" s="42">
        <f ca="1">OFFSET(Analítico!$B$152,,A14)</f>
        <v>5663014.1341117201</v>
      </c>
      <c r="AF14" s="38"/>
      <c r="AG14" s="38"/>
      <c r="AH14" s="44">
        <f t="shared" si="9"/>
        <v>8</v>
      </c>
    </row>
    <row r="15" spans="1:34" ht="14.5">
      <c r="A15" s="28">
        <v>9</v>
      </c>
      <c r="B15" s="29">
        <f>IFERROR(IF(EDATE(B14,1)&gt;DATE(YEAR(Capa!$A$7),MONTH(Capa!$A$7),1),"",EDATE(B14,1)),"")</f>
        <v>45901</v>
      </c>
      <c r="C15" s="28">
        <f t="shared" si="15"/>
        <v>8</v>
      </c>
      <c r="D15" s="30"/>
      <c r="E15" s="28"/>
      <c r="F15" s="31"/>
      <c r="G15" s="28"/>
      <c r="H15" s="28"/>
      <c r="I15" s="28"/>
      <c r="K15" s="33" t="str">
        <f t="shared" si="2"/>
        <v>14ª Avaliação</v>
      </c>
      <c r="L15" s="33" t="str">
        <f t="shared" ca="1" si="3"/>
        <v>jan/2027 a mar/2027</v>
      </c>
      <c r="M15" s="34">
        <f t="shared" ca="1" si="4"/>
        <v>46478</v>
      </c>
      <c r="O15" s="33" t="str">
        <f t="shared" ca="1" si="5"/>
        <v>15ª Parcela</v>
      </c>
      <c r="P15" s="35">
        <f t="shared" ca="1" si="6"/>
        <v>20008887.108192839</v>
      </c>
      <c r="Q15" s="36">
        <f t="shared" ca="1" si="7"/>
        <v>46478</v>
      </c>
      <c r="R15" s="37" t="str">
        <f t="shared" ca="1" si="10"/>
        <v>Realização da 14ª reunião da CA e aprovação da liberação de parcela pelo supervisor.</v>
      </c>
      <c r="T15" s="38" t="str">
        <f t="shared" si="11"/>
        <v>Não</v>
      </c>
      <c r="U15" s="38">
        <f t="shared" si="12"/>
        <v>14</v>
      </c>
      <c r="V15" s="38" t="str">
        <f>Cronogramas!T15</f>
        <v>Não</v>
      </c>
      <c r="W15" s="38"/>
      <c r="X15" s="38">
        <f>COUNTIF(V$7:$V15,"Sim")</f>
        <v>2</v>
      </c>
      <c r="Y15" s="38" t="str">
        <f t="shared" si="13"/>
        <v/>
      </c>
      <c r="Z15" s="39">
        <f t="shared" ca="1" si="14"/>
        <v>46388</v>
      </c>
      <c r="AA15" s="40">
        <f t="shared" ca="1" si="8"/>
        <v>46447</v>
      </c>
      <c r="AB15" s="41">
        <f ca="1">_xlfn.IFNA(IF(V15="Sim",(IFERROR(SUM(OFFSET(AE15,1,,MATCH("Sim",V16:$V$66,0),1))-AC15,0)+IF(Y15-$W$7=1,SUM($AE$6:AE15)-$AF$7,0)+IF(SUM(Y16:$Y$66)=0,SUM(AE16:$AE$66)-AC15+Analítico!$BK$151)),0),0)</f>
        <v>0</v>
      </c>
      <c r="AC15" s="41">
        <f ca="1">IFERROR(IF(V15="Sim",IFERROR(SUM(OFFSET(AD15,1,,MATCH("Sim",T16:$T$66,0),1)),0)+IF(Y15-$W$7=1,SUM($AD$6:AD15),0)+IF(SUM(Y16:$Y$66)=0,SUM(AD16:$AD$66),0),0),0)</f>
        <v>0</v>
      </c>
      <c r="AD15" s="42">
        <f ca="1">SUM(OFFSET(Analítico!$B$10,0,A15,2,1))</f>
        <v>0</v>
      </c>
      <c r="AE15" s="42">
        <f ca="1">OFFSET(Analítico!$B$152,,A15)</f>
        <v>5855912.3109411662</v>
      </c>
      <c r="AF15" s="38"/>
      <c r="AG15" s="38"/>
      <c r="AH15" s="44">
        <f t="shared" si="9"/>
        <v>8</v>
      </c>
    </row>
    <row r="16" spans="1:34" ht="14.5">
      <c r="A16" s="28">
        <v>10</v>
      </c>
      <c r="B16" s="29">
        <f>IFERROR(IF(EDATE(B15,1)&gt;DATE(YEAR(Capa!$A$7),MONTH(Capa!$A$7),1),"",EDATE(B15,1)),"")</f>
        <v>45931</v>
      </c>
      <c r="C16" s="28">
        <f t="shared" si="15"/>
        <v>9</v>
      </c>
      <c r="D16" s="30"/>
      <c r="E16" s="28"/>
      <c r="F16" s="31"/>
      <c r="G16" s="28"/>
      <c r="H16" s="28"/>
      <c r="I16" s="28"/>
      <c r="K16" s="33" t="str">
        <f t="shared" si="2"/>
        <v>15ª Avaliação</v>
      </c>
      <c r="L16" s="33" t="str">
        <f t="shared" ca="1" si="3"/>
        <v>abr/2027 a jun/2027</v>
      </c>
      <c r="M16" s="34">
        <f t="shared" ca="1" si="4"/>
        <v>46569</v>
      </c>
      <c r="O16" s="33" t="str">
        <f t="shared" ca="1" si="5"/>
        <v>16ª Parcela</v>
      </c>
      <c r="P16" s="35">
        <f t="shared" ca="1" si="6"/>
        <v>19928797.108192839</v>
      </c>
      <c r="Q16" s="36">
        <f t="shared" ca="1" si="7"/>
        <v>46569</v>
      </c>
      <c r="R16" s="37" t="str">
        <f t="shared" ca="1" si="10"/>
        <v>Realização da 15ª reunião da CA e aprovação da liberação de parcela pelo supervisor.</v>
      </c>
      <c r="T16" s="38" t="str">
        <f t="shared" si="11"/>
        <v>Sim</v>
      </c>
      <c r="U16" s="38">
        <f t="shared" si="12"/>
        <v>15</v>
      </c>
      <c r="V16" s="38" t="str">
        <f>Cronogramas!T16</f>
        <v>Sim</v>
      </c>
      <c r="W16" s="38"/>
      <c r="X16" s="38">
        <f>COUNTIF(V$7:$V16,"Sim")</f>
        <v>3</v>
      </c>
      <c r="Y16" s="38">
        <f t="shared" si="13"/>
        <v>9</v>
      </c>
      <c r="Z16" s="39">
        <f t="shared" ca="1" si="14"/>
        <v>46478</v>
      </c>
      <c r="AA16" s="40">
        <f t="shared" ca="1" si="8"/>
        <v>46539</v>
      </c>
      <c r="AB16" s="41">
        <f ca="1">_xlfn.IFNA(IF(V16="Sim",(IFERROR(SUM(OFFSET(AE16,1,,MATCH("Sim",V17:$V$66,0),1))-AC16,0)+IF(Y16-$W$7=1,SUM($AE$6:AE16)-$AF$7,0)+IF(SUM(Y17:$Y$66)=0,SUM(AE17:$AE$66)-AC16+Analítico!$BK$151)),0),0)</f>
        <v>18289322.559297673</v>
      </c>
      <c r="AC16" s="41">
        <f ca="1">IFERROR(IF(V16="Sim",IFERROR(SUM(OFFSET(AD16,1,,MATCH("Sim",T17:$T$66,0),1)),0)+IF(Y16-$W$7=1,SUM($AD$6:AD16),0)+IF(SUM(Y17:$Y$66)=0,SUM(AD17:$AD$66),0),0),0)</f>
        <v>0</v>
      </c>
      <c r="AD16" s="42">
        <f ca="1">SUM(OFFSET(Analítico!$B$10,0,A16,2,1))</f>
        <v>0</v>
      </c>
      <c r="AE16" s="42">
        <f ca="1">OFFSET(Analítico!$B$152,,A16)</f>
        <v>6197777.2711119559</v>
      </c>
      <c r="AF16" s="38"/>
      <c r="AG16" s="38"/>
      <c r="AH16" s="44">
        <f t="shared" si="9"/>
        <v>9</v>
      </c>
    </row>
    <row r="17" spans="1:34" ht="14.5">
      <c r="A17" s="28">
        <v>11</v>
      </c>
      <c r="B17" s="29">
        <f>IFERROR(IF(EDATE(B16,1)&gt;DATE(YEAR(Capa!$A$7),MONTH(Capa!$A$7),1),"",EDATE(B16,1)),"")</f>
        <v>45962</v>
      </c>
      <c r="C17" s="28">
        <f t="shared" si="15"/>
        <v>9</v>
      </c>
      <c r="D17" s="30"/>
      <c r="E17" s="28"/>
      <c r="F17" s="31"/>
      <c r="G17" s="28"/>
      <c r="H17" s="28"/>
      <c r="I17" s="28"/>
      <c r="K17" s="33" t="str">
        <f t="shared" si="2"/>
        <v>16ª Avaliação</v>
      </c>
      <c r="L17" s="33" t="str">
        <f t="shared" ca="1" si="3"/>
        <v>jul/2027 a set/2027</v>
      </c>
      <c r="M17" s="34">
        <f t="shared" ca="1" si="4"/>
        <v>46661</v>
      </c>
      <c r="O17" s="33" t="str">
        <f t="shared" ca="1" si="5"/>
        <v>17ª Parcela</v>
      </c>
      <c r="P17" s="35">
        <f t="shared" ca="1" si="6"/>
        <v>19229880.081545778</v>
      </c>
      <c r="Q17" s="36">
        <f t="shared" ca="1" si="7"/>
        <v>46661</v>
      </c>
      <c r="R17" s="37" t="str">
        <f t="shared" ca="1" si="10"/>
        <v>Realização da 16ª reunião da CA e aprovação da liberação de parcela pelo supervisor.</v>
      </c>
      <c r="T17" s="38" t="str">
        <f t="shared" si="11"/>
        <v>Não</v>
      </c>
      <c r="U17" s="38">
        <f t="shared" si="12"/>
        <v>16</v>
      </c>
      <c r="V17" s="38" t="str">
        <f>Cronogramas!T17</f>
        <v>Não</v>
      </c>
      <c r="W17" s="38"/>
      <c r="X17" s="38">
        <f>COUNTIF(V$7:$V17,"Sim")</f>
        <v>3</v>
      </c>
      <c r="Y17" s="38" t="str">
        <f t="shared" si="13"/>
        <v/>
      </c>
      <c r="Z17" s="39">
        <f t="shared" ca="1" si="14"/>
        <v>46569</v>
      </c>
      <c r="AA17" s="40">
        <f t="shared" ca="1" si="8"/>
        <v>46631</v>
      </c>
      <c r="AB17" s="41">
        <f ca="1">_xlfn.IFNA(IF(V17="Sim",(IFERROR(SUM(OFFSET(AE17,1,,MATCH("Sim",V18:$V$66,0),1))-AC17,0)+IF(Y17-$W$7=1,SUM($AE$6:AE17)-$AF$7,0)+IF(SUM(Y18:$Y$66)=0,SUM(AE18:$AE$66)-AC17+Analítico!$BK$151)),0),0)</f>
        <v>0</v>
      </c>
      <c r="AC17" s="41">
        <f ca="1">IFERROR(IF(V17="Sim",IFERROR(SUM(OFFSET(AD17,1,,MATCH("Sim",T18:$T$66,0),1)),0)+IF(Y17-$W$7=1,SUM($AD$6:AD17),0)+IF(SUM(Y18:$Y$66)=0,SUM(AD18:$AD$66),0),0),0)</f>
        <v>0</v>
      </c>
      <c r="AD17" s="42">
        <f ca="1">SUM(OFFSET(Analítico!$B$10,0,A17,2,1))</f>
        <v>0</v>
      </c>
      <c r="AE17" s="42">
        <f ca="1">OFFSET(Analítico!$B$152,,A17)</f>
        <v>5978189.5411119554</v>
      </c>
      <c r="AF17" s="38"/>
      <c r="AG17" s="38"/>
      <c r="AH17" s="44">
        <f t="shared" si="9"/>
        <v>9</v>
      </c>
    </row>
    <row r="18" spans="1:34" ht="14.5">
      <c r="A18" s="28">
        <v>12</v>
      </c>
      <c r="B18" s="29">
        <f>IFERROR(IF(EDATE(B17,1)&gt;DATE(YEAR(Capa!$A$7),MONTH(Capa!$A$7),1),"",EDATE(B17,1)),"")</f>
        <v>45992</v>
      </c>
      <c r="C18" s="28">
        <f t="shared" si="15"/>
        <v>9</v>
      </c>
      <c r="D18" s="30"/>
      <c r="E18" s="28"/>
      <c r="F18" s="31"/>
      <c r="G18" s="28"/>
      <c r="H18" s="28"/>
      <c r="I18" s="28"/>
      <c r="K18" s="33" t="str">
        <f t="shared" si="2"/>
        <v>17ª Avaliação</v>
      </c>
      <c r="L18" s="33" t="str">
        <f t="shared" ca="1" si="3"/>
        <v>out/2027 a dez/2027</v>
      </c>
      <c r="M18" s="34">
        <f t="shared" ca="1" si="4"/>
        <v>46753</v>
      </c>
      <c r="O18" s="33" t="str">
        <f t="shared" ca="1" si="5"/>
        <v>18ª Parcela</v>
      </c>
      <c r="P18" s="35">
        <f t="shared" ca="1" si="6"/>
        <v>17602078.44825165</v>
      </c>
      <c r="Q18" s="36">
        <f t="shared" ca="1" si="7"/>
        <v>46753</v>
      </c>
      <c r="R18" s="37" t="str">
        <f t="shared" ca="1" si="10"/>
        <v>Realização da 17ª reunião da CA e aprovação da liberação de parcela pelo supervisor.</v>
      </c>
      <c r="T18" s="38" t="str">
        <f t="shared" si="11"/>
        <v>Não</v>
      </c>
      <c r="U18" s="38">
        <f t="shared" si="12"/>
        <v>17</v>
      </c>
      <c r="V18" s="38" t="str">
        <f>Cronogramas!T18</f>
        <v>Não</v>
      </c>
      <c r="W18" s="38"/>
      <c r="X18" s="38">
        <f>COUNTIF(V$7:$V18,"Sim")</f>
        <v>3</v>
      </c>
      <c r="Y18" s="38" t="str">
        <f t="shared" si="13"/>
        <v/>
      </c>
      <c r="Z18" s="39">
        <f t="shared" ca="1" si="14"/>
        <v>46661</v>
      </c>
      <c r="AA18" s="40">
        <f t="shared" ca="1" si="8"/>
        <v>46722</v>
      </c>
      <c r="AB18" s="41">
        <f ca="1">_xlfn.IFNA(IF(V18="Sim",(IFERROR(SUM(OFFSET(AE18,1,,MATCH("Sim",V19:$V$66,0),1))-AC18,0)+IF(Y18-$W$7=1,SUM($AE$6:AE18)-$AF$7,0)+IF(SUM(Y19:$Y$66)=0,SUM(AE19:$AE$66)-AC18+Analítico!$BK$151)),0),0)</f>
        <v>0</v>
      </c>
      <c r="AC18" s="41">
        <f ca="1">IFERROR(IF(V18="Sim",IFERROR(SUM(OFFSET(AD18,1,,MATCH("Sim",T19:$T$66,0),1)),0)+IF(Y18-$W$7=1,SUM($AD$6:AD18),0)+IF(SUM(Y19:$Y$66)=0,SUM(AD19:$AD$66),0),0),0)</f>
        <v>0</v>
      </c>
      <c r="AD18" s="42">
        <f ca="1">SUM(OFFSET(Analítico!$B$10,0,A18,2,1))</f>
        <v>0</v>
      </c>
      <c r="AE18" s="42">
        <f ca="1">OFFSET(Analítico!$B$152,,A18)</f>
        <v>6164268.3179414012</v>
      </c>
      <c r="AF18" s="38"/>
      <c r="AG18" s="38"/>
      <c r="AH18" s="44">
        <f t="shared" si="9"/>
        <v>9</v>
      </c>
    </row>
    <row r="19" spans="1:34" ht="14.5">
      <c r="A19" s="28">
        <v>13</v>
      </c>
      <c r="B19" s="29">
        <f>IFERROR(IF(EDATE(B18,1)&gt;DATE(YEAR(Capa!$A$7),MONTH(Capa!$A$7),1),"",EDATE(B18,1)),"")</f>
        <v>46023</v>
      </c>
      <c r="C19" s="28">
        <f t="shared" si="15"/>
        <v>10</v>
      </c>
      <c r="D19" s="30"/>
      <c r="E19" s="28"/>
      <c r="F19" s="31"/>
      <c r="G19" s="28"/>
      <c r="H19" s="28"/>
      <c r="I19" s="28"/>
      <c r="K19" s="33" t="str">
        <f t="shared" si="2"/>
        <v>18ª Avaliação</v>
      </c>
      <c r="L19" s="33" t="str">
        <f t="shared" ca="1" si="3"/>
        <v>jan/2028 a mar/2028</v>
      </c>
      <c r="M19" s="34">
        <f t="shared" ca="1" si="4"/>
        <v>46844</v>
      </c>
      <c r="O19" s="33" t="str">
        <f t="shared" ca="1" si="5"/>
        <v>19ª Parcela</v>
      </c>
      <c r="P19" s="35">
        <f t="shared" ca="1" si="6"/>
        <v>18358045.650228716</v>
      </c>
      <c r="Q19" s="36">
        <f t="shared" ca="1" si="7"/>
        <v>46844</v>
      </c>
      <c r="R19" s="37" t="str">
        <f t="shared" ca="1" si="10"/>
        <v>Realização da 18ª reunião da CA e aprovação da liberação de parcela pelo supervisor.</v>
      </c>
      <c r="T19" s="38" t="str">
        <f t="shared" si="11"/>
        <v>Sim</v>
      </c>
      <c r="U19" s="38">
        <f t="shared" si="12"/>
        <v>18</v>
      </c>
      <c r="V19" s="38" t="str">
        <f>Cronogramas!T19</f>
        <v>Sim</v>
      </c>
      <c r="W19" s="38"/>
      <c r="X19" s="38">
        <f>COUNTIF(V$7:$V19,"Sim")</f>
        <v>4</v>
      </c>
      <c r="Y19" s="38">
        <f t="shared" si="13"/>
        <v>10</v>
      </c>
      <c r="Z19" s="39">
        <f t="shared" ca="1" si="14"/>
        <v>46753</v>
      </c>
      <c r="AA19" s="40">
        <f t="shared" ca="1" si="8"/>
        <v>46813</v>
      </c>
      <c r="AB19" s="41">
        <f ca="1">_xlfn.IFNA(IF(V19="Sim",(IFERROR(SUM(OFFSET(AE19,1,,MATCH("Sim",V20:$V$66,0),1))-AC19,0)+IF(Y19-$W$7=1,SUM($AE$6:AE19)-$AF$7,0)+IF(SUM(Y20:$Y$66)=0,SUM(AE20:$AE$66)-AC19+Analítico!$BK$151)),0),0)</f>
        <v>18508106.360732958</v>
      </c>
      <c r="AC19" s="41">
        <f ca="1">IFERROR(IF(V19="Sim",IFERROR(SUM(OFFSET(AD19,1,,MATCH("Sim",T20:$T$66,0),1)),0)+IF(Y19-$W$7=1,SUM($AD$6:AD19),0)+IF(SUM(Y20:$Y$66)=0,SUM(AD20:$AD$66),0),0),0)</f>
        <v>0</v>
      </c>
      <c r="AD19" s="42">
        <f ca="1">SUM(OFFSET(Analítico!$B$10,0,A19,2,1))</f>
        <v>0</v>
      </c>
      <c r="AE19" s="42">
        <f ca="1">OFFSET(Analítico!$B$152,,A19)</f>
        <v>6146864.7002443187</v>
      </c>
      <c r="AF19" s="38"/>
      <c r="AG19" s="38"/>
      <c r="AH19" s="44">
        <f t="shared" si="9"/>
        <v>10</v>
      </c>
    </row>
    <row r="20" spans="1:34" ht="14.5">
      <c r="A20" s="28">
        <v>14</v>
      </c>
      <c r="B20" s="29">
        <f>IFERROR(IF(EDATE(B19,1)&gt;DATE(YEAR(Capa!$A$7),MONTH(Capa!$A$7),1),"",EDATE(B19,1)),"")</f>
        <v>46054</v>
      </c>
      <c r="C20" s="28">
        <f t="shared" si="15"/>
        <v>10</v>
      </c>
      <c r="D20" s="30"/>
      <c r="E20" s="28"/>
      <c r="F20" s="31"/>
      <c r="G20" s="28"/>
      <c r="H20" s="28"/>
      <c r="I20" s="28"/>
      <c r="K20" s="33" t="str">
        <f t="shared" si="2"/>
        <v>19ª Avaliação</v>
      </c>
      <c r="L20" s="33" t="str">
        <f t="shared" ca="1" si="3"/>
        <v>abr/2028 a jun/2028</v>
      </c>
      <c r="M20" s="34">
        <f t="shared" ca="1" si="4"/>
        <v>46935</v>
      </c>
      <c r="O20" s="33" t="str">
        <f t="shared" ca="1" si="5"/>
        <v>20ª Parcela</v>
      </c>
      <c r="P20" s="35">
        <f t="shared" ca="1" si="6"/>
        <v>18347925.99022872</v>
      </c>
      <c r="Q20" s="36">
        <f t="shared" ca="1" si="7"/>
        <v>46935</v>
      </c>
      <c r="R20" s="37" t="str">
        <f t="shared" ca="1" si="10"/>
        <v>Realização da 19ª reunião da CA e aprovação da liberação de parcela pelo supervisor.</v>
      </c>
      <c r="T20" s="38" t="str">
        <f t="shared" si="11"/>
        <v>Não</v>
      </c>
      <c r="U20" s="38">
        <f t="shared" si="12"/>
        <v>19</v>
      </c>
      <c r="V20" s="38" t="str">
        <f>Cronogramas!T20</f>
        <v>Não</v>
      </c>
      <c r="W20" s="38"/>
      <c r="X20" s="38">
        <f>COUNTIF(V$7:$V20,"Sim")</f>
        <v>4</v>
      </c>
      <c r="Y20" s="38" t="str">
        <f t="shared" si="13"/>
        <v/>
      </c>
      <c r="Z20" s="39">
        <f t="shared" ca="1" si="14"/>
        <v>46844</v>
      </c>
      <c r="AA20" s="40">
        <f t="shared" ca="1" si="8"/>
        <v>46905</v>
      </c>
      <c r="AB20" s="41">
        <f ca="1">_xlfn.IFNA(IF(V20="Sim",(IFERROR(SUM(OFFSET(AE20,1,,MATCH("Sim",V21:$V$66,0),1))-AC20,0)+IF(Y20-$W$7=1,SUM($AE$6:AE20)-$AF$7,0)+IF(SUM(Y21:$Y$66)=0,SUM(AE21:$AE$66)-AC20+Analítico!$BK$151)),0),0)</f>
        <v>0</v>
      </c>
      <c r="AC20" s="41">
        <f ca="1">IFERROR(IF(V20="Sim",IFERROR(SUM(OFFSET(AD20,1,,MATCH("Sim",T21:$T$66,0),1)),0)+IF(Y20-$W$7=1,SUM($AD$6:AD20),0)+IF(SUM(Y21:$Y$66)=0,SUM(AD21:$AD$66),0),0),0)</f>
        <v>0</v>
      </c>
      <c r="AD20" s="42">
        <f ca="1">SUM(OFFSET(Analítico!$B$10,0,A20,2,1))</f>
        <v>0</v>
      </c>
      <c r="AE20" s="42">
        <f ca="1">OFFSET(Analítico!$B$152,,A20)</f>
        <v>6117022.9002443189</v>
      </c>
      <c r="AF20" s="38"/>
      <c r="AG20" s="38"/>
      <c r="AH20" s="44">
        <f t="shared" si="9"/>
        <v>10</v>
      </c>
    </row>
    <row r="21" spans="1:34" ht="14.5">
      <c r="A21" s="28">
        <v>15</v>
      </c>
      <c r="B21" s="29">
        <f>IFERROR(IF(EDATE(B20,1)&gt;DATE(YEAR(Capa!$A$7),MONTH(Capa!$A$7),1),"",EDATE(B20,1)),"")</f>
        <v>46082</v>
      </c>
      <c r="C21" s="28">
        <f t="shared" si="15"/>
        <v>10</v>
      </c>
      <c r="D21" s="30"/>
      <c r="E21" s="28"/>
      <c r="F21" s="31"/>
      <c r="G21" s="28"/>
      <c r="H21" s="28"/>
      <c r="I21" s="28"/>
      <c r="K21" s="33" t="str">
        <f t="shared" si="2"/>
        <v>20ª Avaliação</v>
      </c>
      <c r="L21" s="33" t="str">
        <f t="shared" ca="1" si="3"/>
        <v>jul/2028 a set/2028</v>
      </c>
      <c r="M21" s="34">
        <f t="shared" ca="1" si="4"/>
        <v>47027</v>
      </c>
      <c r="O21" s="33" t="str">
        <f t="shared" ca="1" si="5"/>
        <v>21ª Parcela</v>
      </c>
      <c r="P21" s="35">
        <f t="shared" ca="1" si="6"/>
        <v>6376110.6934095733</v>
      </c>
      <c r="Q21" s="36">
        <f t="shared" ca="1" si="7"/>
        <v>47027</v>
      </c>
      <c r="R21" s="37" t="str">
        <f t="shared" ca="1" si="10"/>
        <v>Realização da 20ª reunião da CA e aprovação da liberação de parcela pelo supervisor.</v>
      </c>
      <c r="T21" s="38" t="str">
        <f t="shared" si="11"/>
        <v>Não</v>
      </c>
      <c r="U21" s="38">
        <f t="shared" si="12"/>
        <v>20</v>
      </c>
      <c r="V21" s="38" t="str">
        <f>Cronogramas!T21</f>
        <v>Não</v>
      </c>
      <c r="W21" s="38"/>
      <c r="X21" s="38">
        <f>COUNTIF(V$7:$V21,"Sim")</f>
        <v>4</v>
      </c>
      <c r="Y21" s="38" t="str">
        <f t="shared" si="13"/>
        <v/>
      </c>
      <c r="Z21" s="39">
        <f t="shared" ca="1" si="14"/>
        <v>46935</v>
      </c>
      <c r="AA21" s="40">
        <f t="shared" ca="1" si="8"/>
        <v>46997</v>
      </c>
      <c r="AB21" s="41">
        <f ca="1">_xlfn.IFNA(IF(V21="Sim",(IFERROR(SUM(OFFSET(AE21,1,,MATCH("Sim",V22:$V$66,0),1))-AC21,0)+IF(Y21-$W$7=1,SUM($AE$6:AE21)-$AF$7,0)+IF(SUM(Y22:$Y$66)=0,SUM(AE22:$AE$66)-AC21+Analítico!$BK$151)),0),0)</f>
        <v>0</v>
      </c>
      <c r="AC21" s="41">
        <f ca="1">IFERROR(IF(V21="Sim",IFERROR(SUM(OFFSET(AD21,1,,MATCH("Sim",T22:$T$66,0),1)),0)+IF(Y21-$W$7=1,SUM($AD$6:AD21),0)+IF(SUM(Y22:$Y$66)=0,SUM(AD22:$AD$66),0),0),0)</f>
        <v>0</v>
      </c>
      <c r="AD21" s="42">
        <f ca="1">SUM(OFFSET(Analítico!$B$10,0,A21,2,1))</f>
        <v>0</v>
      </c>
      <c r="AE21" s="42">
        <f ca="1">OFFSET(Analítico!$B$152,,A21)</f>
        <v>6198789.730244319</v>
      </c>
      <c r="AF21" s="38"/>
      <c r="AG21" s="38"/>
      <c r="AH21" s="44">
        <f t="shared" si="9"/>
        <v>10</v>
      </c>
    </row>
    <row r="22" spans="1:34" ht="14.5">
      <c r="A22" s="28">
        <v>16</v>
      </c>
      <c r="B22" s="29">
        <f>IFERROR(IF(EDATE(B21,1)&gt;DATE(YEAR(Capa!$A$7),MONTH(Capa!$A$7),1),"",EDATE(B21,1)),"")</f>
        <v>46113</v>
      </c>
      <c r="C22" s="28">
        <f t="shared" si="15"/>
        <v>11</v>
      </c>
      <c r="D22" s="30"/>
      <c r="E22" s="28"/>
      <c r="F22" s="31"/>
      <c r="G22" s="28"/>
      <c r="H22" s="28"/>
      <c r="I22" s="28"/>
      <c r="K22" s="33" t="str">
        <f t="shared" si="2"/>
        <v>21ª Avaliação</v>
      </c>
      <c r="L22" s="33" t="str">
        <f t="shared" ca="1" si="3"/>
        <v>out/2028 a nov/2028</v>
      </c>
      <c r="M22" s="34">
        <f t="shared" ca="1" si="4"/>
        <v>47088</v>
      </c>
      <c r="O22" s="33" t="str">
        <f t="shared" ca="1" si="5"/>
        <v/>
      </c>
      <c r="P22" s="35" t="str">
        <f t="shared" ca="1" si="6"/>
        <v/>
      </c>
      <c r="Q22" s="36" t="str">
        <f t="shared" ca="1" si="7"/>
        <v/>
      </c>
      <c r="R22" s="37" t="str">
        <f t="shared" ca="1" si="10"/>
        <v/>
      </c>
      <c r="T22" s="38" t="str">
        <f t="shared" si="11"/>
        <v>Sim</v>
      </c>
      <c r="U22" s="38">
        <f t="shared" si="12"/>
        <v>21</v>
      </c>
      <c r="V22" s="38" t="str">
        <f>Cronogramas!T22</f>
        <v>Sim</v>
      </c>
      <c r="W22" s="38"/>
      <c r="X22" s="38">
        <f>COUNTIF(V$7:$V22,"Sim")</f>
        <v>5</v>
      </c>
      <c r="Y22" s="38">
        <f t="shared" si="13"/>
        <v>11</v>
      </c>
      <c r="Z22" s="39">
        <f t="shared" ca="1" si="14"/>
        <v>47027</v>
      </c>
      <c r="AA22" s="40">
        <f t="shared" ca="1" si="8"/>
        <v>47058</v>
      </c>
      <c r="AB22" s="41">
        <f ca="1">_xlfn.IFNA(IF(V22="Sim",(IFERROR(SUM(OFFSET(AE22,1,,MATCH("Sim",V23:$V$66,0),1))-AC22,0)+IF(Y22-$W$7=1,SUM($AE$6:AE22)-$AF$7,0)+IF(SUM(Y23:$Y$66)=0,SUM(AE23:$AE$66)-AC22+Analítico!$BK$151)),0),0)</f>
        <v>19043296.534946188</v>
      </c>
      <c r="AC22" s="41">
        <f ca="1">IFERROR(IF(V22="Sim",IFERROR(SUM(OFFSET(AD22,1,,MATCH("Sim",T23:$T$66,0),1)),0)+IF(Y22-$W$7=1,SUM($AD$6:AD22),0)+IF(SUM(Y23:$Y$66)=0,SUM(AD23:$AD$66),0),0),0)</f>
        <v>0</v>
      </c>
      <c r="AD22" s="42">
        <f ca="1">SUM(OFFSET(Analítico!$B$10,0,A22,2,1))</f>
        <v>0</v>
      </c>
      <c r="AE22" s="42">
        <f ca="1">OFFSET(Analítico!$B$152,,A22)</f>
        <v>6192293.730244319</v>
      </c>
      <c r="AF22" s="38"/>
      <c r="AG22" s="38"/>
      <c r="AH22" s="44">
        <f t="shared" si="9"/>
        <v>11</v>
      </c>
    </row>
    <row r="23" spans="1:34" ht="14.5">
      <c r="A23" s="28">
        <v>17</v>
      </c>
      <c r="B23" s="29">
        <f>IFERROR(IF(EDATE(B22,1)&gt;DATE(YEAR(Capa!$A$7),MONTH(Capa!$A$7),1),"",EDATE(B22,1)),"")</f>
        <v>46143</v>
      </c>
      <c r="C23" s="28">
        <f t="shared" si="15"/>
        <v>11</v>
      </c>
      <c r="D23" s="30"/>
      <c r="E23" s="28"/>
      <c r="F23" s="31"/>
      <c r="G23" s="28"/>
      <c r="H23" s="28"/>
      <c r="I23" s="28"/>
      <c r="K23" s="33" t="str">
        <f t="shared" si="2"/>
        <v/>
      </c>
      <c r="L23" s="33" t="str">
        <f t="shared" si="3"/>
        <v/>
      </c>
      <c r="M23" s="34" t="str">
        <f t="shared" ca="1" si="4"/>
        <v/>
      </c>
      <c r="O23" s="33" t="str">
        <f t="shared" ca="1" si="5"/>
        <v/>
      </c>
      <c r="P23" s="35" t="str">
        <f t="shared" ca="1" si="6"/>
        <v/>
      </c>
      <c r="Q23" s="36" t="str">
        <f t="shared" ca="1" si="7"/>
        <v/>
      </c>
      <c r="R23" s="37" t="str">
        <f t="shared" ca="1" si="10"/>
        <v/>
      </c>
      <c r="T23" s="38" t="str">
        <f t="shared" si="11"/>
        <v>Não</v>
      </c>
      <c r="U23" s="38" t="str">
        <f t="shared" si="12"/>
        <v/>
      </c>
      <c r="V23" s="38" t="str">
        <f>Cronogramas!T23</f>
        <v>Não</v>
      </c>
      <c r="W23" s="38"/>
      <c r="X23" s="38">
        <f>COUNTIF(V$7:$V23,"Sim")</f>
        <v>5</v>
      </c>
      <c r="Y23" s="38" t="str">
        <f t="shared" si="13"/>
        <v/>
      </c>
      <c r="Z23" s="39" t="str">
        <f t="shared" si="14"/>
        <v/>
      </c>
      <c r="AA23" s="40" t="str">
        <f t="shared" ca="1" si="8"/>
        <v/>
      </c>
      <c r="AB23" s="41">
        <f ca="1">_xlfn.IFNA(IF(V23="Sim",(IFERROR(SUM(OFFSET(AE23,1,,MATCH("Sim",V24:$V$66,0),1))-AC23,0)+IF(Y23-$W$7=1,SUM($AE$6:AE23)-$AF$7,0)+IF(SUM(Y24:$Y$66)=0,SUM(AE24:$AE$66)-AC23+Analítico!$BK$151)),0),0)</f>
        <v>0</v>
      </c>
      <c r="AC23" s="41">
        <f ca="1">IFERROR(IF(V23="Sim",IFERROR(SUM(OFFSET(AD23,1,,MATCH("Sim",T24:$T$66,0),1)),0)+IF(Y23-$W$7=1,SUM($AD$6:AD23),0)+IF(SUM(Y24:$Y$66)=0,SUM(AD24:$AD$66),0),0),0)</f>
        <v>0</v>
      </c>
      <c r="AD23" s="42">
        <f ca="1">SUM(OFFSET(Analítico!$B$10,0,A23,2,1))</f>
        <v>0</v>
      </c>
      <c r="AE23" s="42">
        <f ca="1">OFFSET(Analítico!$B$152,,A23)</f>
        <v>6337102.3249820629</v>
      </c>
      <c r="AF23" s="38"/>
      <c r="AG23" s="38"/>
      <c r="AH23" s="44">
        <f t="shared" si="9"/>
        <v>11</v>
      </c>
    </row>
    <row r="24" spans="1:34" ht="14.5">
      <c r="A24" s="28">
        <v>18</v>
      </c>
      <c r="B24" s="29">
        <f>IFERROR(IF(EDATE(B23,1)&gt;DATE(YEAR(Capa!$A$7),MONTH(Capa!$A$7),1),"",EDATE(B23,1)),"")</f>
        <v>46174</v>
      </c>
      <c r="C24" s="28">
        <f t="shared" si="15"/>
        <v>11</v>
      </c>
      <c r="D24" s="30"/>
      <c r="E24" s="28"/>
      <c r="F24" s="28"/>
      <c r="G24" s="28"/>
      <c r="H24" s="28"/>
      <c r="I24" s="28"/>
      <c r="K24" s="33" t="str">
        <f t="shared" si="2"/>
        <v/>
      </c>
      <c r="L24" s="33" t="str">
        <f t="shared" si="3"/>
        <v/>
      </c>
      <c r="M24" s="34" t="str">
        <f t="shared" ca="1" si="4"/>
        <v/>
      </c>
      <c r="O24" s="33" t="str">
        <f t="shared" ca="1" si="5"/>
        <v/>
      </c>
      <c r="P24" s="35" t="str">
        <f t="shared" ca="1" si="6"/>
        <v/>
      </c>
      <c r="Q24" s="36" t="str">
        <f t="shared" ca="1" si="7"/>
        <v/>
      </c>
      <c r="R24" s="37" t="str">
        <f t="shared" ca="1" si="10"/>
        <v/>
      </c>
      <c r="T24" s="38" t="str">
        <f t="shared" si="11"/>
        <v>Não</v>
      </c>
      <c r="U24" s="38" t="str">
        <f t="shared" si="12"/>
        <v/>
      </c>
      <c r="V24" s="38" t="str">
        <f>Cronogramas!T24</f>
        <v>Não</v>
      </c>
      <c r="W24" s="38"/>
      <c r="X24" s="38">
        <f>COUNTIF(V$7:$V24,"Sim")</f>
        <v>5</v>
      </c>
      <c r="Y24" s="38" t="str">
        <f t="shared" si="13"/>
        <v/>
      </c>
      <c r="Z24" s="39" t="str">
        <f t="shared" si="14"/>
        <v/>
      </c>
      <c r="AA24" s="40" t="str">
        <f t="shared" ca="1" si="8"/>
        <v/>
      </c>
      <c r="AB24" s="41">
        <f ca="1">_xlfn.IFNA(IF(V24="Sim",(IFERROR(SUM(OFFSET(AE24,1,,MATCH("Sim",V25:$V$66,0),1))-AC24,0)+IF(Y24-$W$7=1,SUM($AE$6:AE24)-$AF$7,0)+IF(SUM(Y25:$Y$66)=0,SUM(AE25:$AE$66)-AC24+Analítico!$BK$151)),0),0)</f>
        <v>0</v>
      </c>
      <c r="AC24" s="41">
        <f ca="1">IFERROR(IF(V24="Sim",IFERROR(SUM(OFFSET(AD24,1,,MATCH("Sim",T25:$T$66,0),1)),0)+IF(Y24-$W$7=1,SUM($AD$6:AD24),0)+IF(SUM(Y25:$Y$66)=0,SUM(AD25:$AD$66),0),0),0)</f>
        <v>0</v>
      </c>
      <c r="AD24" s="41">
        <f ca="1">SUM(OFFSET(Analítico!$B$10,0,A24,2,1))</f>
        <v>0</v>
      </c>
      <c r="AE24" s="41">
        <f ca="1">OFFSET(Analítico!$B$152,,A24)</f>
        <v>6367661.8849820625</v>
      </c>
      <c r="AH24" s="44">
        <f t="shared" si="9"/>
        <v>11</v>
      </c>
    </row>
    <row r="25" spans="1:34" ht="14.5">
      <c r="A25" s="28">
        <v>19</v>
      </c>
      <c r="B25" s="29">
        <f>IFERROR(IF(EDATE(B24,1)&gt;DATE(YEAR(Capa!$A$7),MONTH(Capa!$A$7),1),"",EDATE(B24,1)),"")</f>
        <v>46204</v>
      </c>
      <c r="C25" s="28">
        <f t="shared" si="15"/>
        <v>12</v>
      </c>
      <c r="D25" s="30"/>
      <c r="E25" s="28"/>
      <c r="F25" s="28"/>
      <c r="G25" s="28"/>
      <c r="H25" s="28"/>
      <c r="I25" s="28"/>
      <c r="K25" s="33" t="str">
        <f t="shared" si="2"/>
        <v/>
      </c>
      <c r="L25" s="33" t="str">
        <f t="shared" si="3"/>
        <v/>
      </c>
      <c r="M25" s="34" t="str">
        <f t="shared" ca="1" si="4"/>
        <v/>
      </c>
      <c r="O25" s="33" t="str">
        <f t="shared" ca="1" si="5"/>
        <v/>
      </c>
      <c r="P25" s="35" t="str">
        <f t="shared" ca="1" si="6"/>
        <v/>
      </c>
      <c r="Q25" s="36" t="str">
        <f t="shared" ca="1" si="7"/>
        <v/>
      </c>
      <c r="R25" s="37" t="str">
        <f t="shared" ca="1" si="10"/>
        <v/>
      </c>
      <c r="T25" s="38" t="str">
        <f t="shared" si="11"/>
        <v>Sim</v>
      </c>
      <c r="U25" s="38" t="str">
        <f t="shared" si="12"/>
        <v/>
      </c>
      <c r="V25" s="38" t="str">
        <f>Cronogramas!T25</f>
        <v>Sim</v>
      </c>
      <c r="W25" s="38"/>
      <c r="X25" s="38">
        <f>COUNTIF(V$7:$V25,"Sim")</f>
        <v>6</v>
      </c>
      <c r="Y25" s="38">
        <f t="shared" si="13"/>
        <v>12</v>
      </c>
      <c r="Z25" s="39" t="str">
        <f t="shared" si="14"/>
        <v/>
      </c>
      <c r="AA25" s="40" t="str">
        <f t="shared" ca="1" si="8"/>
        <v/>
      </c>
      <c r="AB25" s="41">
        <f ca="1">_xlfn.IFNA(IF(V25="Sim",(IFERROR(SUM(OFFSET(AE25,1,,MATCH("Sim",V26:$V$66,0),1))-AC25,0)+IF(Y25-$W$7=1,SUM($AE$6:AE25)-$AF$7,0)+IF(SUM(Y26:$Y$66)=0,SUM(AE26:$AE$66)-AC25+Analítico!$BK$151)),0),0)</f>
        <v>18970366.97494619</v>
      </c>
      <c r="AC25" s="41">
        <f ca="1">IFERROR(IF(V25="Sim",IFERROR(SUM(OFFSET(AD25,1,,MATCH("Sim",T26:$T$66,0),1)),0)+IF(Y25-$W$7=1,SUM($AD$6:AD25),0)+IF(SUM(Y26:$Y$66)=0,SUM(AD26:$AD$66),0),0),0)</f>
        <v>0</v>
      </c>
      <c r="AD25" s="41">
        <f ca="1">SUM(OFFSET(Analítico!$B$10,0,A25,2,1))</f>
        <v>0</v>
      </c>
      <c r="AE25" s="41">
        <f ca="1">OFFSET(Analítico!$B$152,,A25)</f>
        <v>6338532.3249820629</v>
      </c>
      <c r="AH25" s="44">
        <f t="shared" si="9"/>
        <v>12</v>
      </c>
    </row>
    <row r="26" spans="1:34" ht="14.5">
      <c r="A26" s="28">
        <v>20</v>
      </c>
      <c r="B26" s="29">
        <f>IFERROR(IF(EDATE(B25,1)&gt;DATE(YEAR(Capa!$A$7),MONTH(Capa!$A$7),1),"",EDATE(B25,1)),"")</f>
        <v>46235</v>
      </c>
      <c r="C26" s="28">
        <f t="shared" si="15"/>
        <v>12</v>
      </c>
      <c r="D26" s="30"/>
      <c r="E26" s="28"/>
      <c r="F26" s="28"/>
      <c r="G26" s="28"/>
      <c r="H26" s="28"/>
      <c r="I26" s="28"/>
      <c r="K26" s="33" t="str">
        <f t="shared" si="2"/>
        <v/>
      </c>
      <c r="L26" s="33" t="str">
        <f t="shared" si="3"/>
        <v/>
      </c>
      <c r="M26" s="34" t="str">
        <f t="shared" ca="1" si="4"/>
        <v/>
      </c>
      <c r="O26" s="33" t="str">
        <f t="shared" ca="1" si="5"/>
        <v/>
      </c>
      <c r="P26" s="35" t="str">
        <f t="shared" ca="1" si="6"/>
        <v/>
      </c>
      <c r="Q26" s="36" t="str">
        <f t="shared" ca="1" si="7"/>
        <v/>
      </c>
      <c r="R26" s="37" t="str">
        <f t="shared" ca="1" si="10"/>
        <v/>
      </c>
      <c r="T26" s="38" t="str">
        <f t="shared" si="11"/>
        <v>Não</v>
      </c>
      <c r="U26" s="38" t="str">
        <f t="shared" si="12"/>
        <v/>
      </c>
      <c r="V26" s="38" t="str">
        <f>Cronogramas!T26</f>
        <v>Não</v>
      </c>
      <c r="W26" s="38"/>
      <c r="X26" s="38">
        <f>COUNTIF(V$7:$V26,"Sim")</f>
        <v>6</v>
      </c>
      <c r="Y26" s="38" t="str">
        <f t="shared" si="13"/>
        <v/>
      </c>
      <c r="Z26" s="39" t="str">
        <f t="shared" si="14"/>
        <v/>
      </c>
      <c r="AA26" s="40" t="str">
        <f t="shared" ca="1" si="8"/>
        <v/>
      </c>
      <c r="AB26" s="41">
        <f ca="1">_xlfn.IFNA(IF(V26="Sim",(IFERROR(SUM(OFFSET(AE26,1,,MATCH("Sim",V27:$V$66,0),1))-AC26,0)+IF(Y26-$W$7=1,SUM($AE$6:AE26)-$AF$7,0)+IF(SUM(Y27:$Y$66)=0,SUM(AE27:$AE$66)-AC26+Analítico!$BK$151)),0),0)</f>
        <v>0</v>
      </c>
      <c r="AC26" s="41">
        <f ca="1">IFERROR(IF(V26="Sim",IFERROR(SUM(OFFSET(AD26,1,,MATCH("Sim",T27:$T$66,0),1)),0)+IF(Y26-$W$7=1,SUM($AD$6:AD26),0)+IF(SUM(Y27:$Y$66)=0,SUM(AD27:$AD$66),0),0),0)</f>
        <v>0</v>
      </c>
      <c r="AD26" s="41">
        <f ca="1">SUM(OFFSET(Analítico!$B$10,0,A26,2,1))</f>
        <v>0</v>
      </c>
      <c r="AE26" s="41">
        <f ca="1">OFFSET(Analítico!$B$152,,A26)</f>
        <v>6319502.3249820629</v>
      </c>
      <c r="AH26" s="44">
        <f t="shared" si="9"/>
        <v>12</v>
      </c>
    </row>
    <row r="27" spans="1:34" ht="14.5">
      <c r="A27" s="28">
        <v>21</v>
      </c>
      <c r="B27" s="29">
        <f>IFERROR(IF(EDATE(B26,1)&gt;DATE(YEAR(Capa!$A$7),MONTH(Capa!$A$7),1),"",EDATE(B26,1)),"")</f>
        <v>46266</v>
      </c>
      <c r="C27" s="28">
        <f t="shared" si="15"/>
        <v>12</v>
      </c>
      <c r="D27" s="30"/>
      <c r="E27" s="28"/>
      <c r="F27" s="28"/>
      <c r="G27" s="28"/>
      <c r="H27" s="28"/>
      <c r="I27" s="28"/>
      <c r="K27" s="33" t="str">
        <f t="shared" si="2"/>
        <v/>
      </c>
      <c r="L27" s="33" t="str">
        <f t="shared" si="3"/>
        <v/>
      </c>
      <c r="M27" s="34" t="str">
        <f t="shared" ca="1" si="4"/>
        <v/>
      </c>
      <c r="O27" s="33" t="str">
        <f t="shared" ca="1" si="5"/>
        <v/>
      </c>
      <c r="P27" s="35" t="str">
        <f t="shared" ca="1" si="6"/>
        <v/>
      </c>
      <c r="Q27" s="36" t="str">
        <f t="shared" ca="1" si="7"/>
        <v/>
      </c>
      <c r="R27" s="37" t="str">
        <f t="shared" ca="1" si="10"/>
        <v/>
      </c>
      <c r="T27" s="38" t="str">
        <f t="shared" si="11"/>
        <v>Não</v>
      </c>
      <c r="U27" s="38" t="str">
        <f t="shared" si="12"/>
        <v/>
      </c>
      <c r="V27" s="38" t="str">
        <f>Cronogramas!T27</f>
        <v>Não</v>
      </c>
      <c r="W27" s="38"/>
      <c r="X27" s="38">
        <f>COUNTIF(V$7:$V27,"Sim")</f>
        <v>6</v>
      </c>
      <c r="Y27" s="38" t="str">
        <f t="shared" si="13"/>
        <v/>
      </c>
      <c r="Z27" s="39" t="str">
        <f t="shared" si="14"/>
        <v/>
      </c>
      <c r="AA27" s="40" t="str">
        <f t="shared" ca="1" si="8"/>
        <v/>
      </c>
      <c r="AB27" s="41">
        <f ca="1">_xlfn.IFNA(IF(V27="Sim",(IFERROR(SUM(OFFSET(AE27,1,,MATCH("Sim",V28:$V$66,0),1))-AC27,0)+IF(Y27-$W$7=1,SUM($AE$6:AE27)-$AF$7,0)+IF(SUM(Y28:$Y$66)=0,SUM(AE28:$AE$66)-AC27+Analítico!$BK$151)),0),0)</f>
        <v>0</v>
      </c>
      <c r="AC27" s="41">
        <f ca="1">IFERROR(IF(V27="Sim",IFERROR(SUM(OFFSET(AD27,1,,MATCH("Sim",T28:$T$66,0),1)),0)+IF(Y27-$W$7=1,SUM($AD$6:AD27),0)+IF(SUM(Y28:$Y$66)=0,SUM(AD28:$AD$66),0),0),0)</f>
        <v>0</v>
      </c>
      <c r="AD27" s="41">
        <f ca="1">SUM(OFFSET(Analítico!$B$10,0,A27,2,1))</f>
        <v>0</v>
      </c>
      <c r="AE27" s="41">
        <f ca="1">OFFSET(Analítico!$B$152,,A27)</f>
        <v>6330782.3249820629</v>
      </c>
      <c r="AH27" s="44">
        <f t="shared" si="9"/>
        <v>12</v>
      </c>
    </row>
    <row r="28" spans="1:34" ht="14.5">
      <c r="A28" s="28">
        <v>22</v>
      </c>
      <c r="B28" s="29">
        <f>IFERROR(IF(EDATE(B27,1)&gt;DATE(YEAR(Capa!$A$7),MONTH(Capa!$A$7),1),"",EDATE(B27,1)),"")</f>
        <v>46296</v>
      </c>
      <c r="C28" s="28">
        <f t="shared" si="15"/>
        <v>13</v>
      </c>
      <c r="D28" s="30"/>
      <c r="E28" s="28"/>
      <c r="F28" s="28"/>
      <c r="G28" s="28"/>
      <c r="H28" s="28"/>
      <c r="I28" s="28"/>
      <c r="K28" s="33" t="str">
        <f t="shared" si="2"/>
        <v/>
      </c>
      <c r="L28" s="33" t="str">
        <f t="shared" si="3"/>
        <v/>
      </c>
      <c r="M28" s="34" t="str">
        <f t="shared" ca="1" si="4"/>
        <v/>
      </c>
      <c r="O28" s="33" t="str">
        <f t="shared" ca="1" si="5"/>
        <v/>
      </c>
      <c r="P28" s="35" t="str">
        <f t="shared" ca="1" si="6"/>
        <v/>
      </c>
      <c r="Q28" s="36" t="str">
        <f t="shared" ca="1" si="7"/>
        <v/>
      </c>
      <c r="R28" s="37" t="str">
        <f t="shared" ca="1" si="10"/>
        <v/>
      </c>
      <c r="T28" s="38" t="str">
        <f t="shared" si="11"/>
        <v>Sim</v>
      </c>
      <c r="U28" s="38" t="str">
        <f t="shared" si="12"/>
        <v/>
      </c>
      <c r="V28" s="38" t="str">
        <f>Cronogramas!T28</f>
        <v>Sim</v>
      </c>
      <c r="W28" s="38"/>
      <c r="X28" s="38">
        <f>COUNTIF(V$7:$V28,"Sim")</f>
        <v>7</v>
      </c>
      <c r="Y28" s="38">
        <f t="shared" si="13"/>
        <v>13</v>
      </c>
      <c r="Z28" s="39" t="str">
        <f t="shared" si="14"/>
        <v/>
      </c>
      <c r="AA28" s="40" t="str">
        <f t="shared" ca="1" si="8"/>
        <v/>
      </c>
      <c r="AB28" s="41">
        <f ca="1">_xlfn.IFNA(IF(V28="Sim",(IFERROR(SUM(OFFSET(AE28,1,,MATCH("Sim",V29:$V$66,0),1))-AC28,0)+IF(Y28-$W$7=1,SUM($AE$6:AE28)-$AF$7,0)+IF(SUM(Y29:$Y$66)=0,SUM(AE29:$AE$66)-AC28+Analítico!$BK$151)),0),0)</f>
        <v>19105368.522977002</v>
      </c>
      <c r="AC28" s="41">
        <f ca="1">IFERROR(IF(V28="Sim",IFERROR(SUM(OFFSET(AD28,1,,MATCH("Sim",T29:$T$66,0),1)),0)+IF(Y28-$W$7=1,SUM($AD$6:AD28),0)+IF(SUM(Y29:$Y$66)=0,SUM(AD29:$AD$66),0),0),0)</f>
        <v>0</v>
      </c>
      <c r="AD28" s="41">
        <f ca="1">SUM(OFFSET(Analítico!$B$10,0,A28,2,1))</f>
        <v>0</v>
      </c>
      <c r="AE28" s="41">
        <f ca="1">OFFSET(Analítico!$B$152,,A28)</f>
        <v>6320082.3249820629</v>
      </c>
      <c r="AH28" s="44">
        <f t="shared" si="9"/>
        <v>13</v>
      </c>
    </row>
    <row r="29" spans="1:34" ht="14.5">
      <c r="A29" s="28">
        <v>23</v>
      </c>
      <c r="B29" s="29">
        <f>IFERROR(IF(EDATE(B28,1)&gt;DATE(YEAR(Capa!$A$7),MONTH(Capa!$A$7),1),"",EDATE(B28,1)),"")</f>
        <v>46327</v>
      </c>
      <c r="C29" s="28">
        <f t="shared" si="15"/>
        <v>13</v>
      </c>
      <c r="D29" s="30"/>
      <c r="E29" s="28"/>
      <c r="F29" s="28"/>
      <c r="G29" s="28"/>
      <c r="H29" s="28"/>
      <c r="I29" s="28"/>
      <c r="K29" s="33" t="str">
        <f t="shared" si="2"/>
        <v/>
      </c>
      <c r="L29" s="33" t="str">
        <f t="shared" si="3"/>
        <v/>
      </c>
      <c r="M29" s="34" t="str">
        <f t="shared" ca="1" si="4"/>
        <v/>
      </c>
      <c r="O29" s="33" t="str">
        <f t="shared" ca="1" si="5"/>
        <v/>
      </c>
      <c r="P29" s="35" t="str">
        <f t="shared" ca="1" si="6"/>
        <v/>
      </c>
      <c r="Q29" s="36" t="str">
        <f t="shared" ca="1" si="7"/>
        <v/>
      </c>
      <c r="R29" s="37" t="str">
        <f t="shared" ca="1" si="10"/>
        <v/>
      </c>
      <c r="T29" s="38" t="str">
        <f t="shared" si="11"/>
        <v>Não</v>
      </c>
      <c r="U29" s="38" t="str">
        <f t="shared" si="12"/>
        <v/>
      </c>
      <c r="V29" s="38" t="str">
        <f>Cronogramas!T29</f>
        <v>Não</v>
      </c>
      <c r="W29" s="38"/>
      <c r="X29" s="38">
        <f>COUNTIF(V$7:$V29,"Sim")</f>
        <v>7</v>
      </c>
      <c r="Y29" s="38" t="str">
        <f t="shared" si="13"/>
        <v/>
      </c>
      <c r="Z29" s="39" t="str">
        <f t="shared" si="14"/>
        <v/>
      </c>
      <c r="AA29" s="40" t="str">
        <f t="shared" ca="1" si="8"/>
        <v/>
      </c>
      <c r="AB29" s="41">
        <f ca="1">_xlfn.IFNA(IF(V29="Sim",(IFERROR(SUM(OFFSET(AE29,1,,MATCH("Sim",V30:$V$66,0),1))-AC29,0)+IF(Y29-$W$7=1,SUM($AE$6:AE29)-$AF$7,0)+IF(SUM(Y30:$Y$66)=0,SUM(AE30:$AE$66)-AC29+Analítico!$BK$151)),0),0)</f>
        <v>0</v>
      </c>
      <c r="AC29" s="41">
        <f ca="1">IFERROR(IF(V29="Sim",IFERROR(SUM(OFFSET(AD29,1,,MATCH("Sim",T30:$T$66,0),1)),0)+IF(Y29-$W$7=1,SUM($AD$6:AD29),0)+IF(SUM(Y30:$Y$66)=0,SUM(AD30:$AD$66),0),0),0)</f>
        <v>0</v>
      </c>
      <c r="AD29" s="41">
        <f ca="1">SUM(OFFSET(Analítico!$B$10,0,A29,2,1))</f>
        <v>0</v>
      </c>
      <c r="AE29" s="41">
        <f ca="1">OFFSET(Analítico!$B$152,,A29)</f>
        <v>6342172.3049820634</v>
      </c>
      <c r="AH29" s="44">
        <f t="shared" si="9"/>
        <v>13</v>
      </c>
    </row>
    <row r="30" spans="1:34" ht="14.5">
      <c r="A30" s="28">
        <v>24</v>
      </c>
      <c r="B30" s="29">
        <f>IFERROR(IF(EDATE(B29,1)&gt;DATE(YEAR(Capa!$A$7),MONTH(Capa!$A$7),1),"",EDATE(B29,1)),"")</f>
        <v>46357</v>
      </c>
      <c r="C30" s="28">
        <f t="shared" si="15"/>
        <v>13</v>
      </c>
      <c r="D30" s="30"/>
      <c r="E30" s="28"/>
      <c r="F30" s="28"/>
      <c r="G30" s="28"/>
      <c r="H30" s="28"/>
      <c r="I30" s="28"/>
      <c r="K30" s="33" t="str">
        <f t="shared" si="2"/>
        <v/>
      </c>
      <c r="L30" s="33" t="str">
        <f t="shared" si="3"/>
        <v/>
      </c>
      <c r="M30" s="34" t="str">
        <f t="shared" ca="1" si="4"/>
        <v/>
      </c>
      <c r="O30" s="33" t="str">
        <f t="shared" ca="1" si="5"/>
        <v/>
      </c>
      <c r="P30" s="35" t="str">
        <f t="shared" ca="1" si="6"/>
        <v/>
      </c>
      <c r="Q30" s="36" t="str">
        <f t="shared" ca="1" si="7"/>
        <v/>
      </c>
      <c r="R30" s="37" t="str">
        <f t="shared" ca="1" si="10"/>
        <v/>
      </c>
      <c r="T30" s="38" t="str">
        <f t="shared" si="11"/>
        <v>Não</v>
      </c>
      <c r="U30" s="38" t="str">
        <f t="shared" si="12"/>
        <v/>
      </c>
      <c r="V30" s="38" t="str">
        <f>Cronogramas!T30</f>
        <v>Não</v>
      </c>
      <c r="W30" s="38"/>
      <c r="X30" s="38">
        <f>COUNTIF(V$7:$V30,"Sim")</f>
        <v>7</v>
      </c>
      <c r="Y30" s="38" t="str">
        <f t="shared" si="13"/>
        <v/>
      </c>
      <c r="Z30" s="39" t="str">
        <f t="shared" si="14"/>
        <v/>
      </c>
      <c r="AA30" s="40" t="str">
        <f t="shared" ca="1" si="8"/>
        <v/>
      </c>
      <c r="AB30" s="41">
        <f ca="1">_xlfn.IFNA(IF(V30="Sim",(IFERROR(SUM(OFFSET(AE30,1,,MATCH("Sim",V31:$V$66,0),1))-AC30,0)+IF(Y30-$W$7=1,SUM($AE$6:AE30)-$AF$7,0)+IF(SUM(Y31:$Y$66)=0,SUM(AE31:$AE$66)-AC30+Analítico!$BK$151)),0),0)</f>
        <v>0</v>
      </c>
      <c r="AC30" s="41">
        <f ca="1">IFERROR(IF(V30="Sim",IFERROR(SUM(OFFSET(AD30,1,,MATCH("Sim",T31:$T$66,0),1)),0)+IF(Y30-$W$7=1,SUM($AD$6:AD30),0)+IF(SUM(Y31:$Y$66)=0,SUM(AD31:$AD$66),0),0),0)</f>
        <v>0</v>
      </c>
      <c r="AD30" s="41">
        <f ca="1">SUM(OFFSET(Analítico!$B$10,0,A30,2,1))</f>
        <v>0</v>
      </c>
      <c r="AE30" s="41">
        <f ca="1">OFFSET(Analítico!$B$152,,A30)</f>
        <v>6333472.3049820634</v>
      </c>
      <c r="AH30" s="44">
        <f t="shared" si="9"/>
        <v>13</v>
      </c>
    </row>
    <row r="31" spans="1:34" ht="14.5">
      <c r="A31" s="28">
        <v>25</v>
      </c>
      <c r="B31" s="29">
        <f>IFERROR(IF(EDATE(B30,1)&gt;DATE(YEAR(Capa!$A$7),MONTH(Capa!$A$7),1),"",EDATE(B30,1)),"")</f>
        <v>46388</v>
      </c>
      <c r="C31" s="28">
        <f t="shared" si="15"/>
        <v>14</v>
      </c>
      <c r="D31" s="30"/>
      <c r="E31" s="28"/>
      <c r="F31" s="28"/>
      <c r="G31" s="28"/>
      <c r="H31" s="28"/>
      <c r="I31" s="28"/>
      <c r="K31" s="33" t="str">
        <f t="shared" si="2"/>
        <v/>
      </c>
      <c r="L31" s="33" t="str">
        <f t="shared" si="3"/>
        <v/>
      </c>
      <c r="M31" s="34" t="str">
        <f t="shared" ca="1" si="4"/>
        <v/>
      </c>
      <c r="O31" s="33" t="str">
        <f t="shared" ca="1" si="5"/>
        <v/>
      </c>
      <c r="P31" s="35" t="str">
        <f t="shared" ca="1" si="6"/>
        <v/>
      </c>
      <c r="Q31" s="36" t="str">
        <f t="shared" ca="1" si="7"/>
        <v/>
      </c>
      <c r="R31" s="37" t="str">
        <f t="shared" ca="1" si="10"/>
        <v/>
      </c>
      <c r="T31" s="38" t="str">
        <f t="shared" si="11"/>
        <v>Sim</v>
      </c>
      <c r="U31" s="38" t="str">
        <f t="shared" si="12"/>
        <v/>
      </c>
      <c r="V31" s="38" t="str">
        <f>Cronogramas!T31</f>
        <v>Sim</v>
      </c>
      <c r="W31" s="38"/>
      <c r="X31" s="38">
        <f>COUNTIF(V$7:$V31,"Sim")</f>
        <v>8</v>
      </c>
      <c r="Y31" s="38">
        <f t="shared" si="13"/>
        <v>14</v>
      </c>
      <c r="Z31" s="39" t="str">
        <f t="shared" si="14"/>
        <v/>
      </c>
      <c r="AA31" s="40" t="str">
        <f t="shared" ca="1" si="8"/>
        <v/>
      </c>
      <c r="AB31" s="41">
        <f ca="1">_xlfn.IFNA(IF(V31="Sim",(IFERROR(SUM(OFFSET(AE31,1,,MATCH("Sim",V32:$V$66,0),1))-AC31,0)+IF(Y31-$W$7=1,SUM($AE$6:AE31)-$AF$7,0)+IF(SUM(Y32:$Y$66)=0,SUM(AE32:$AE$66)-AC31+Analítico!$BK$151)),0),0)</f>
        <v>19461074.459038623</v>
      </c>
      <c r="AC31" s="41">
        <f ca="1">IFERROR(IF(V31="Sim",IFERROR(SUM(OFFSET(AD31,1,,MATCH("Sim",T32:$T$66,0),1)),0)+IF(Y31-$W$7=1,SUM($AD$6:AD31),0)+IF(SUM(Y32:$Y$66)=0,SUM(AD32:$AD$66),0),0),0)</f>
        <v>0</v>
      </c>
      <c r="AD31" s="41">
        <f ca="1">SUM(OFFSET(Analítico!$B$10,0,A31,2,1))</f>
        <v>0</v>
      </c>
      <c r="AE31" s="41">
        <f ca="1">OFFSET(Analítico!$B$152,,A31)</f>
        <v>6429723.9130128752</v>
      </c>
      <c r="AH31" s="44">
        <f t="shared" si="9"/>
        <v>14</v>
      </c>
    </row>
    <row r="32" spans="1:34" ht="14.5">
      <c r="A32" s="28">
        <v>26</v>
      </c>
      <c r="B32" s="29">
        <f>IFERROR(IF(EDATE(B31,1)&gt;DATE(YEAR(Capa!$A$7),MONTH(Capa!$A$7),1),"",EDATE(B31,1)),"")</f>
        <v>46419</v>
      </c>
      <c r="C32" s="28">
        <f t="shared" si="15"/>
        <v>14</v>
      </c>
      <c r="D32" s="30"/>
      <c r="E32" s="28"/>
      <c r="F32" s="28"/>
      <c r="G32" s="28"/>
      <c r="H32" s="28"/>
      <c r="I32" s="28"/>
      <c r="K32" s="33" t="str">
        <f t="shared" si="2"/>
        <v/>
      </c>
      <c r="L32" s="33" t="str">
        <f t="shared" si="3"/>
        <v/>
      </c>
      <c r="M32" s="34" t="str">
        <f t="shared" ca="1" si="4"/>
        <v/>
      </c>
      <c r="O32" s="33" t="str">
        <f t="shared" ca="1" si="5"/>
        <v/>
      </c>
      <c r="P32" s="35" t="str">
        <f t="shared" ca="1" si="6"/>
        <v/>
      </c>
      <c r="Q32" s="36" t="str">
        <f t="shared" ca="1" si="7"/>
        <v/>
      </c>
      <c r="R32" s="37" t="str">
        <f t="shared" ca="1" si="10"/>
        <v/>
      </c>
      <c r="T32" s="38" t="str">
        <f t="shared" si="11"/>
        <v>Não</v>
      </c>
      <c r="U32" s="38" t="str">
        <f t="shared" si="12"/>
        <v/>
      </c>
      <c r="V32" s="38" t="str">
        <f>Cronogramas!T32</f>
        <v>Não</v>
      </c>
      <c r="W32" s="38"/>
      <c r="X32" s="38">
        <f>COUNTIF(V$7:$V32,"Sim")</f>
        <v>8</v>
      </c>
      <c r="Y32" s="38" t="str">
        <f t="shared" si="13"/>
        <v/>
      </c>
      <c r="Z32" s="39" t="str">
        <f t="shared" si="14"/>
        <v/>
      </c>
      <c r="AA32" s="40" t="str">
        <f t="shared" ca="1" si="8"/>
        <v/>
      </c>
      <c r="AB32" s="41">
        <f ca="1">_xlfn.IFNA(IF(V32="Sim",(IFERROR(SUM(OFFSET(AE32,1,,MATCH("Sim",V33:$V$66,0),1))-AC32,0)+IF(Y32-$W$7=1,SUM($AE$6:AE32)-$AF$7,0)+IF(SUM(Y33:$Y$66)=0,SUM(AE33:$AE$66)-AC32+Analítico!$BK$151)),0),0)</f>
        <v>0</v>
      </c>
      <c r="AC32" s="41">
        <f ca="1">IFERROR(IF(V32="Sim",IFERROR(SUM(OFFSET(AD32,1,,MATCH("Sim",T33:$T$66,0),1)),0)+IF(Y32-$W$7=1,SUM($AD$6:AD32),0)+IF(SUM(Y33:$Y$66)=0,SUM(AD33:$AD$66),0),0),0)</f>
        <v>0</v>
      </c>
      <c r="AD32" s="41">
        <f ca="1">SUM(OFFSET(Analítico!$B$10,0,A32,2,1))</f>
        <v>0</v>
      </c>
      <c r="AE32" s="41">
        <f ca="1">OFFSET(Analítico!$B$152,,A32)</f>
        <v>6413019.9130128752</v>
      </c>
      <c r="AH32" s="44">
        <f t="shared" si="9"/>
        <v>14</v>
      </c>
    </row>
    <row r="33" spans="1:34" ht="14.5">
      <c r="A33" s="28">
        <v>27</v>
      </c>
      <c r="B33" s="29">
        <f>IFERROR(IF(EDATE(B32,1)&gt;DATE(YEAR(Capa!$A$7),MONTH(Capa!$A$7),1),"",EDATE(B32,1)),"")</f>
        <v>46447</v>
      </c>
      <c r="C33" s="28">
        <f t="shared" si="15"/>
        <v>14</v>
      </c>
      <c r="D33" s="30"/>
      <c r="E33" s="28"/>
      <c r="F33" s="28"/>
      <c r="G33" s="28"/>
      <c r="H33" s="28"/>
      <c r="I33" s="28"/>
      <c r="K33" s="33" t="str">
        <f t="shared" si="2"/>
        <v/>
      </c>
      <c r="L33" s="33" t="str">
        <f t="shared" si="3"/>
        <v/>
      </c>
      <c r="M33" s="34" t="str">
        <f t="shared" ca="1" si="4"/>
        <v/>
      </c>
      <c r="O33" s="33" t="str">
        <f t="shared" ca="1" si="5"/>
        <v/>
      </c>
      <c r="P33" s="35" t="str">
        <f t="shared" ca="1" si="6"/>
        <v/>
      </c>
      <c r="Q33" s="36" t="str">
        <f t="shared" ca="1" si="7"/>
        <v/>
      </c>
      <c r="R33" s="37" t="str">
        <f t="shared" ca="1" si="10"/>
        <v/>
      </c>
      <c r="T33" s="38" t="str">
        <f t="shared" si="11"/>
        <v>Não</v>
      </c>
      <c r="U33" s="38" t="str">
        <f t="shared" si="12"/>
        <v/>
      </c>
      <c r="V33" s="38" t="str">
        <f>Cronogramas!T33</f>
        <v>Não</v>
      </c>
      <c r="W33" s="38"/>
      <c r="X33" s="38">
        <f>COUNTIF(V$7:$V33,"Sim")</f>
        <v>8</v>
      </c>
      <c r="Y33" s="38" t="str">
        <f t="shared" si="13"/>
        <v/>
      </c>
      <c r="Z33" s="39" t="str">
        <f t="shared" si="14"/>
        <v/>
      </c>
      <c r="AA33" s="40" t="str">
        <f t="shared" ca="1" si="8"/>
        <v/>
      </c>
      <c r="AB33" s="41">
        <f ca="1">_xlfn.IFNA(IF(V33="Sim",(IFERROR(SUM(OFFSET(AE33,1,,MATCH("Sim",V34:$V$66,0),1))-AC33,0)+IF(Y33-$W$7=1,SUM($AE$6:AE33)-$AF$7,0)+IF(SUM(Y34:$Y$66)=0,SUM(AE34:$AE$66)-AC33+Analítico!$BK$151)),0),0)</f>
        <v>0</v>
      </c>
      <c r="AC33" s="41">
        <f ca="1">IFERROR(IF(V33="Sim",IFERROR(SUM(OFFSET(AD33,1,,MATCH("Sim",T34:$T$66,0),1)),0)+IF(Y33-$W$7=1,SUM($AD$6:AD33),0)+IF(SUM(Y34:$Y$66)=0,SUM(AD34:$AD$66),0),0),0)</f>
        <v>0</v>
      </c>
      <c r="AD33" s="41">
        <f ca="1">SUM(OFFSET(Analítico!$B$10,0,A33,2,1))</f>
        <v>0</v>
      </c>
      <c r="AE33" s="41">
        <f ca="1">OFFSET(Analítico!$B$152,,A33)</f>
        <v>6452392.2730128746</v>
      </c>
      <c r="AH33" s="44">
        <f t="shared" si="9"/>
        <v>14</v>
      </c>
    </row>
    <row r="34" spans="1:34" ht="14.5">
      <c r="A34" s="28">
        <v>28</v>
      </c>
      <c r="B34" s="29">
        <f>IFERROR(IF(EDATE(B33,1)&gt;DATE(YEAR(Capa!$A$7),MONTH(Capa!$A$7),1),"",EDATE(B33,1)),"")</f>
        <v>46478</v>
      </c>
      <c r="C34" s="28">
        <f t="shared" si="15"/>
        <v>15</v>
      </c>
      <c r="D34" s="30"/>
      <c r="E34" s="28"/>
      <c r="F34" s="28"/>
      <c r="G34" s="28"/>
      <c r="H34" s="28"/>
      <c r="I34" s="28"/>
      <c r="K34" s="33" t="str">
        <f t="shared" si="2"/>
        <v/>
      </c>
      <c r="L34" s="33" t="str">
        <f t="shared" si="3"/>
        <v/>
      </c>
      <c r="M34" s="34" t="str">
        <f t="shared" ca="1" si="4"/>
        <v/>
      </c>
      <c r="O34" s="33" t="str">
        <f t="shared" ca="1" si="5"/>
        <v/>
      </c>
      <c r="P34" s="35" t="str">
        <f t="shared" ca="1" si="6"/>
        <v/>
      </c>
      <c r="Q34" s="36" t="str">
        <f t="shared" ca="1" si="7"/>
        <v/>
      </c>
      <c r="R34" s="37" t="str">
        <f t="shared" ca="1" si="10"/>
        <v/>
      </c>
      <c r="T34" s="38" t="str">
        <f t="shared" si="11"/>
        <v>Sim</v>
      </c>
      <c r="U34" s="38" t="str">
        <f t="shared" si="12"/>
        <v/>
      </c>
      <c r="V34" s="38" t="str">
        <f>Cronogramas!T34</f>
        <v>Sim</v>
      </c>
      <c r="W34" s="38"/>
      <c r="X34" s="38">
        <f>COUNTIF(V$7:$V34,"Sim")</f>
        <v>9</v>
      </c>
      <c r="Y34" s="38">
        <f t="shared" si="13"/>
        <v>15</v>
      </c>
      <c r="Z34" s="39" t="str">
        <f t="shared" si="14"/>
        <v/>
      </c>
      <c r="AA34" s="40" t="str">
        <f t="shared" ca="1" si="8"/>
        <v/>
      </c>
      <c r="AB34" s="41">
        <f ca="1">_xlfn.IFNA(IF(V34="Sim",(IFERROR(SUM(OFFSET(AE34,1,,MATCH("Sim",V35:$V$66,0),1))-AC34,0)+IF(Y34-$W$7=1,SUM($AE$6:AE34)-$AF$7,0)+IF(SUM(Y35:$Y$66)=0,SUM(AE35:$AE$66)-AC34+Analítico!$BK$151)),0),0)</f>
        <v>20008887.108192839</v>
      </c>
      <c r="AC34" s="41">
        <f ca="1">IFERROR(IF(V34="Sim",IFERROR(SUM(OFFSET(AD34,1,,MATCH("Sim",T35:$T$66,0),1)),0)+IF(Y34-$W$7=1,SUM($AD$6:AD34),0)+IF(SUM(Y35:$Y$66)=0,SUM(AD35:$AD$66),0),0),0)</f>
        <v>0</v>
      </c>
      <c r="AD34" s="41">
        <f ca="1">SUM(OFFSET(Analítico!$B$10,0,A34,2,1))</f>
        <v>0</v>
      </c>
      <c r="AE34" s="41">
        <f ca="1">OFFSET(Analítico!$B$152,,A34)</f>
        <v>6595662.2730128746</v>
      </c>
      <c r="AH34" s="44">
        <f t="shared" si="9"/>
        <v>15</v>
      </c>
    </row>
    <row r="35" spans="1:34" ht="14.5">
      <c r="A35" s="28">
        <v>29</v>
      </c>
      <c r="B35" s="29">
        <f>IFERROR(IF(EDATE(B34,1)&gt;DATE(YEAR(Capa!$A$7),MONTH(Capa!$A$7),1),"",EDATE(B34,1)),"")</f>
        <v>46508</v>
      </c>
      <c r="C35" s="28">
        <f t="shared" si="15"/>
        <v>15</v>
      </c>
      <c r="D35" s="30"/>
      <c r="E35" s="28"/>
      <c r="F35" s="28"/>
      <c r="G35" s="28"/>
      <c r="H35" s="28"/>
      <c r="I35" s="28"/>
      <c r="K35" s="33" t="str">
        <f t="shared" si="2"/>
        <v/>
      </c>
      <c r="L35" s="33" t="str">
        <f t="shared" si="3"/>
        <v/>
      </c>
      <c r="M35" s="34" t="str">
        <f t="shared" ca="1" si="4"/>
        <v/>
      </c>
      <c r="O35" s="33" t="str">
        <f t="shared" ca="1" si="5"/>
        <v/>
      </c>
      <c r="P35" s="35" t="str">
        <f t="shared" ca="1" si="6"/>
        <v/>
      </c>
      <c r="Q35" s="36" t="str">
        <f t="shared" ca="1" si="7"/>
        <v/>
      </c>
      <c r="R35" s="37" t="str">
        <f t="shared" ca="1" si="10"/>
        <v/>
      </c>
      <c r="T35" s="38" t="str">
        <f t="shared" si="11"/>
        <v>Não</v>
      </c>
      <c r="U35" s="38" t="str">
        <f t="shared" si="12"/>
        <v/>
      </c>
      <c r="V35" s="38" t="str">
        <f>Cronogramas!T35</f>
        <v>Não</v>
      </c>
      <c r="W35" s="38"/>
      <c r="X35" s="38">
        <f>COUNTIF(V$7:$V35,"Sim")</f>
        <v>9</v>
      </c>
      <c r="Y35" s="38" t="str">
        <f t="shared" si="13"/>
        <v/>
      </c>
      <c r="Z35" s="39" t="str">
        <f t="shared" si="14"/>
        <v/>
      </c>
      <c r="AA35" s="40" t="str">
        <f t="shared" ca="1" si="8"/>
        <v/>
      </c>
      <c r="AB35" s="41">
        <f ca="1">_xlfn.IFNA(IF(V35="Sim",(IFERROR(SUM(OFFSET(AE35,1,,MATCH("Sim",V36:$V$66,0),1))-AC35,0)+IF(Y35-$W$7=1,SUM($AE$6:AE35)-$AF$7,0)+IF(SUM(Y36:$Y$66)=0,SUM(AE36:$AE$66)-AC35+Analítico!$BK$151)),0),0)</f>
        <v>0</v>
      </c>
      <c r="AC35" s="41">
        <f ca="1">IFERROR(IF(V35="Sim",IFERROR(SUM(OFFSET(AD35,1,,MATCH("Sim",T36:$T$66,0),1)),0)+IF(Y35-$W$7=1,SUM($AD$6:AD35),0)+IF(SUM(Y36:$Y$66)=0,SUM(AD36:$AD$66),0),0),0)</f>
        <v>0</v>
      </c>
      <c r="AD35" s="41">
        <f ca="1">SUM(OFFSET(Analítico!$B$10,0,A35,2,1))</f>
        <v>0</v>
      </c>
      <c r="AE35" s="41">
        <f ca="1">OFFSET(Analítico!$B$152,,A35)</f>
        <v>6655552.3693976132</v>
      </c>
      <c r="AH35" s="44">
        <f t="shared" si="9"/>
        <v>15</v>
      </c>
    </row>
    <row r="36" spans="1:34" ht="14.5">
      <c r="A36" s="28">
        <v>30</v>
      </c>
      <c r="B36" s="29">
        <f>IFERROR(IF(EDATE(B35,1)&gt;DATE(YEAR(Capa!$A$7),MONTH(Capa!$A$7),1),"",EDATE(B35,1)),"")</f>
        <v>46539</v>
      </c>
      <c r="C36" s="28">
        <f t="shared" si="15"/>
        <v>15</v>
      </c>
      <c r="D36" s="30"/>
      <c r="E36" s="28"/>
      <c r="F36" s="28"/>
      <c r="G36" s="28"/>
      <c r="H36" s="28"/>
      <c r="I36" s="28"/>
      <c r="K36" s="33" t="str">
        <f t="shared" si="2"/>
        <v/>
      </c>
      <c r="L36" s="33" t="str">
        <f t="shared" si="3"/>
        <v/>
      </c>
      <c r="M36" s="34" t="str">
        <f t="shared" ca="1" si="4"/>
        <v/>
      </c>
      <c r="O36" s="33" t="str">
        <f t="shared" ca="1" si="5"/>
        <v/>
      </c>
      <c r="P36" s="35" t="str">
        <f t="shared" ca="1" si="6"/>
        <v/>
      </c>
      <c r="Q36" s="36" t="str">
        <f t="shared" ca="1" si="7"/>
        <v/>
      </c>
      <c r="R36" s="37" t="str">
        <f t="shared" ca="1" si="10"/>
        <v/>
      </c>
      <c r="T36" s="38" t="str">
        <f t="shared" si="11"/>
        <v>Não</v>
      </c>
      <c r="U36" s="38" t="str">
        <f t="shared" si="12"/>
        <v/>
      </c>
      <c r="V36" s="38" t="str">
        <f>Cronogramas!T36</f>
        <v>Não</v>
      </c>
      <c r="W36" s="38"/>
      <c r="X36" s="38">
        <f>COUNTIF(V$7:$V36,"Sim")</f>
        <v>9</v>
      </c>
      <c r="Y36" s="38" t="str">
        <f t="shared" si="13"/>
        <v/>
      </c>
      <c r="Z36" s="39" t="str">
        <f t="shared" si="14"/>
        <v/>
      </c>
      <c r="AA36" s="40" t="str">
        <f t="shared" ca="1" si="8"/>
        <v/>
      </c>
      <c r="AB36" s="41">
        <f ca="1">_xlfn.IFNA(IF(V36="Sim",(IFERROR(SUM(OFFSET(AE36,1,,MATCH("Sim",V37:$V$66,0),1))-AC36,0)+IF(Y36-$W$7=1,SUM($AE$6:AE36)-$AF$7,0)+IF(SUM(Y37:$Y$66)=0,SUM(AE37:$AE$66)-AC36+Analítico!$BK$151)),0),0)</f>
        <v>0</v>
      </c>
      <c r="AC36" s="41">
        <f ca="1">IFERROR(IF(V36="Sim",IFERROR(SUM(OFFSET(AD36,1,,MATCH("Sim",T37:$T$66,0),1)),0)+IF(Y36-$W$7=1,SUM($AD$6:AD36),0)+IF(SUM(Y37:$Y$66)=0,SUM(AD37:$AD$66),0),0),0)</f>
        <v>0</v>
      </c>
      <c r="AD36" s="41">
        <f ca="1">SUM(OFFSET(Analítico!$B$10,0,A36,2,1))</f>
        <v>0</v>
      </c>
      <c r="AE36" s="41">
        <f ca="1">OFFSET(Analítico!$B$152,,A36)</f>
        <v>6696352.3693976132</v>
      </c>
      <c r="AH36" s="44">
        <f t="shared" si="9"/>
        <v>15</v>
      </c>
    </row>
    <row r="37" spans="1:34" ht="14.5">
      <c r="A37" s="28">
        <v>31</v>
      </c>
      <c r="B37" s="29">
        <f>IFERROR(IF(EDATE(B36,1)&gt;DATE(YEAR(Capa!$A$7),MONTH(Capa!$A$7),1),"",EDATE(B36,1)),"")</f>
        <v>46569</v>
      </c>
      <c r="C37" s="28">
        <f t="shared" si="15"/>
        <v>16</v>
      </c>
      <c r="D37" s="30"/>
      <c r="E37" s="28"/>
      <c r="F37" s="28"/>
      <c r="G37" s="28"/>
      <c r="H37" s="28"/>
      <c r="I37" s="28"/>
      <c r="K37" s="33" t="str">
        <f t="shared" si="2"/>
        <v/>
      </c>
      <c r="L37" s="33" t="str">
        <f t="shared" si="3"/>
        <v/>
      </c>
      <c r="M37" s="34" t="str">
        <f t="shared" ca="1" si="4"/>
        <v/>
      </c>
      <c r="O37" s="33" t="str">
        <f t="shared" ca="1" si="5"/>
        <v/>
      </c>
      <c r="P37" s="35" t="str">
        <f t="shared" ca="1" si="6"/>
        <v/>
      </c>
      <c r="Q37" s="36" t="str">
        <f t="shared" ca="1" si="7"/>
        <v/>
      </c>
      <c r="R37" s="37" t="str">
        <f t="shared" ca="1" si="10"/>
        <v/>
      </c>
      <c r="T37" s="38" t="str">
        <f t="shared" si="11"/>
        <v>Sim</v>
      </c>
      <c r="U37" s="38" t="str">
        <f t="shared" si="12"/>
        <v/>
      </c>
      <c r="V37" s="38" t="str">
        <f>Cronogramas!T37</f>
        <v>Sim</v>
      </c>
      <c r="W37" s="38"/>
      <c r="X37" s="38">
        <f>COUNTIF(V$7:$V37,"Sim")</f>
        <v>10</v>
      </c>
      <c r="Y37" s="38">
        <f t="shared" si="13"/>
        <v>16</v>
      </c>
      <c r="Z37" s="39" t="str">
        <f t="shared" si="14"/>
        <v/>
      </c>
      <c r="AA37" s="40" t="str">
        <f t="shared" ca="1" si="8"/>
        <v/>
      </c>
      <c r="AB37" s="41">
        <f ca="1">_xlfn.IFNA(IF(V37="Sim",(IFERROR(SUM(OFFSET(AE37,1,,MATCH("Sim",V38:$V$66,0),1))-AC37,0)+IF(Y37-$W$7=1,SUM($AE$6:AE37)-$AF$7,0)+IF(SUM(Y38:$Y$66)=0,SUM(AE38:$AE$66)-AC37+Analítico!$BK$151)),0),0)</f>
        <v>19928797.108192839</v>
      </c>
      <c r="AC37" s="41">
        <f ca="1">IFERROR(IF(V37="Sim",IFERROR(SUM(OFFSET(AD37,1,,MATCH("Sim",T38:$T$66,0),1)),0)+IF(Y37-$W$7=1,SUM($AD$6:AD37),0)+IF(SUM(Y38:$Y$66)=0,SUM(AD38:$AD$66),0),0),0)</f>
        <v>0</v>
      </c>
      <c r="AD37" s="41">
        <f ca="1">SUM(OFFSET(Analítico!$B$10,0,A37,2,1))</f>
        <v>0</v>
      </c>
      <c r="AE37" s="41">
        <f ca="1">OFFSET(Analítico!$B$152,,A37)</f>
        <v>6656982.3693976132</v>
      </c>
      <c r="AH37" s="44">
        <f t="shared" si="9"/>
        <v>16</v>
      </c>
    </row>
    <row r="38" spans="1:34" ht="14.5">
      <c r="A38" s="28">
        <v>32</v>
      </c>
      <c r="B38" s="29">
        <f>IFERROR(IF(EDATE(B37,1)&gt;DATE(YEAR(Capa!$A$7),MONTH(Capa!$A$7),1),"",EDATE(B37,1)),"")</f>
        <v>46600</v>
      </c>
      <c r="C38" s="28">
        <f t="shared" si="15"/>
        <v>16</v>
      </c>
      <c r="D38" s="30"/>
      <c r="E38" s="28"/>
      <c r="F38" s="28"/>
      <c r="G38" s="28"/>
      <c r="H38" s="28"/>
      <c r="I38" s="28"/>
      <c r="K38" s="33" t="str">
        <f t="shared" si="2"/>
        <v/>
      </c>
      <c r="L38" s="33" t="str">
        <f t="shared" si="3"/>
        <v/>
      </c>
      <c r="M38" s="34" t="str">
        <f t="shared" ca="1" si="4"/>
        <v/>
      </c>
      <c r="O38" s="33" t="str">
        <f t="shared" ca="1" si="5"/>
        <v/>
      </c>
      <c r="P38" s="35" t="str">
        <f t="shared" ca="1" si="6"/>
        <v/>
      </c>
      <c r="Q38" s="36" t="str">
        <f t="shared" ca="1" si="7"/>
        <v/>
      </c>
      <c r="R38" s="37" t="str">
        <f ca="1">IF(P38="","",IFERROR(IF(Capa!$A$2="","Após a celebração do termo de parceria.","Realização da "&amp;OFFSET($Y$6,MATCH(A38,$X$7:$X$66,0),0)-1&amp;"ª reunião da CA e aprovação da liberação de parcela pelo supervisor."),""))</f>
        <v/>
      </c>
      <c r="T38" s="38" t="str">
        <f t="shared" si="11"/>
        <v>Não</v>
      </c>
      <c r="U38" s="38" t="str">
        <f t="shared" si="12"/>
        <v/>
      </c>
      <c r="V38" s="38" t="str">
        <f>Cronogramas!T38</f>
        <v>Não</v>
      </c>
      <c r="W38" s="38"/>
      <c r="X38" s="38">
        <f>COUNTIF(V$7:$V38,"Sim")</f>
        <v>10</v>
      </c>
      <c r="Y38" s="38" t="str">
        <f t="shared" si="13"/>
        <v/>
      </c>
      <c r="Z38" s="39" t="str">
        <f t="shared" si="14"/>
        <v/>
      </c>
      <c r="AA38" s="40" t="str">
        <f t="shared" ca="1" si="8"/>
        <v/>
      </c>
      <c r="AB38" s="41">
        <f ca="1">_xlfn.IFNA(IF(V38="Sim",(IFERROR(SUM(OFFSET(AE38,1,,MATCH("Sim",V39:$V$66,0),1))-AC38,0)+IF(Y38-$W$7=1,SUM($AE$6:AE38)-$AF$7,0)+IF(SUM(Y39:$Y$66)=0,SUM(AE39:$AE$66)-AC38+Analítico!$BK$151)),0),0)</f>
        <v>0</v>
      </c>
      <c r="AC38" s="41">
        <f ca="1">IFERROR(IF(V38="Sim",IFERROR(SUM(OFFSET(AD38,1,,MATCH("Sim",T39:$T$66,0),1)),0)+IF(Y38-$W$7=1,SUM($AD$6:AD38),0)+IF(SUM(Y39:$Y$66)=0,SUM(AD39:$AD$66),0),0),0)</f>
        <v>0</v>
      </c>
      <c r="AD38" s="41">
        <f ca="1">SUM(OFFSET(Analítico!$B$10,0,A38,2,1))</f>
        <v>0</v>
      </c>
      <c r="AE38" s="41">
        <f ca="1">OFFSET(Analítico!$B$152,,A38)</f>
        <v>6641032.3693976132</v>
      </c>
      <c r="AH38" s="44">
        <f t="shared" si="9"/>
        <v>16</v>
      </c>
    </row>
    <row r="39" spans="1:34" ht="14.5">
      <c r="A39" s="28">
        <v>33</v>
      </c>
      <c r="B39" s="29">
        <f>IFERROR(IF(EDATE(B38,1)&gt;DATE(YEAR(Capa!$A$7),MONTH(Capa!$A$7),1),"",EDATE(B38,1)),"")</f>
        <v>46631</v>
      </c>
      <c r="C39" s="28">
        <f t="shared" si="15"/>
        <v>16</v>
      </c>
      <c r="D39" s="30"/>
      <c r="E39" s="28"/>
      <c r="F39" s="28"/>
      <c r="G39" s="28"/>
      <c r="H39" s="28"/>
      <c r="I39" s="28"/>
      <c r="K39" s="33" t="str">
        <f t="shared" si="2"/>
        <v/>
      </c>
      <c r="L39" s="33" t="str">
        <f t="shared" si="3"/>
        <v/>
      </c>
      <c r="M39" s="34" t="str">
        <f t="shared" ca="1" si="4"/>
        <v/>
      </c>
      <c r="O39" s="38"/>
      <c r="P39" s="35"/>
      <c r="Q39" s="38"/>
      <c r="R39" s="37" t="str">
        <f ca="1">IF(P39="","",IFERROR(IF(Capa!$A$2="","Após a celebração do termo de parceria.","Realização da "&amp;OFFSET($Y$6,MATCH(A39,$X$7:$X$66,0),0)-1&amp;"ª reunião da CA e aprovação da liberação de parcela pelo supervisor."),""))</f>
        <v/>
      </c>
      <c r="T39" s="38" t="str">
        <f t="shared" si="11"/>
        <v>Não</v>
      </c>
      <c r="U39" s="38" t="str">
        <f t="shared" si="12"/>
        <v/>
      </c>
      <c r="V39" s="38" t="str">
        <f>Cronogramas!T39</f>
        <v>Não</v>
      </c>
      <c r="W39" s="38"/>
      <c r="X39" s="38">
        <f>COUNTIF(V$7:$V39,"Sim")</f>
        <v>10</v>
      </c>
      <c r="Y39" s="38" t="str">
        <f t="shared" si="13"/>
        <v/>
      </c>
      <c r="Z39" s="39" t="str">
        <f t="shared" si="14"/>
        <v/>
      </c>
      <c r="AA39" s="40" t="str">
        <f t="shared" ca="1" si="8"/>
        <v/>
      </c>
      <c r="AB39" s="41">
        <f ca="1">_xlfn.IFNA(IF(V39="Sim",(IFERROR(SUM(OFFSET(AE39,1,,MATCH("Sim",V40:$V$66,0),1))-AC39,0)+IF(Y39-$W$7=1,SUM($AE$6:AE39)-$AF$7,0)+IF(SUM(Y40:$Y$66)=0,SUM(AE40:$AE$66)-AC39+Analítico!$BK$151)),0),0)</f>
        <v>0</v>
      </c>
      <c r="AC39" s="41">
        <f ca="1">IFERROR(IF(V39="Sim",IFERROR(SUM(OFFSET(AD39,1,,MATCH("Sim",T40:$T$66,0),1)),0)+IF(Y39-$W$7=1,SUM($AD$6:AD39),0)+IF(SUM(Y40:$Y$66)=0,SUM(AD40:$AD$66),0),0),0)</f>
        <v>0</v>
      </c>
      <c r="AD39" s="41">
        <f ca="1">SUM(OFFSET(Analítico!$B$10,0,A39,2,1))</f>
        <v>0</v>
      </c>
      <c r="AE39" s="41">
        <f ca="1">OFFSET(Analítico!$B$152,,A39)</f>
        <v>6649232.3693976132</v>
      </c>
      <c r="AH39" s="44">
        <f t="shared" ref="AH39:AH66" si="16">IF(D39="",C39,D39)</f>
        <v>16</v>
      </c>
    </row>
    <row r="40" spans="1:34" ht="14.5">
      <c r="A40" s="28">
        <v>34</v>
      </c>
      <c r="B40" s="29">
        <f>IFERROR(IF(EDATE(B39,1)&gt;DATE(YEAR(Capa!$A$7),MONTH(Capa!$A$7),1),"",EDATE(B39,1)),"")</f>
        <v>46661</v>
      </c>
      <c r="C40" s="28">
        <f t="shared" si="15"/>
        <v>17</v>
      </c>
      <c r="D40" s="30"/>
      <c r="E40" s="28"/>
      <c r="F40" s="28"/>
      <c r="G40" s="28"/>
      <c r="H40" s="28"/>
      <c r="I40" s="28"/>
      <c r="O40" s="38"/>
      <c r="P40" s="38"/>
      <c r="Q40" s="38"/>
      <c r="R40" s="37" t="str">
        <f ca="1">IF(P40="","",IFERROR(IF(Capa!$A$2="","Após a celebração do termo de parceria.","Realização da "&amp;OFFSET($Y$6,MATCH(A40,$X$7:$X$66,0),0)-1&amp;"ª reunião da CA e aprovação da liberação de parcela pelo supervisor."),""))</f>
        <v/>
      </c>
      <c r="T40" s="38" t="str">
        <f t="shared" ref="T40:T66" si="17">IF(AH40="","Não",IF(AH40&gt;AH39,"Sim","Não"))</f>
        <v>Sim</v>
      </c>
      <c r="U40" s="38" t="str">
        <f t="shared" ref="U40:U66" si="18">IFERROR(IF(U39+1&gt;MAX(AH39:AH98),"",U39+1),"")</f>
        <v/>
      </c>
      <c r="V40" s="38" t="str">
        <f>Cronogramas!T40</f>
        <v>Sim</v>
      </c>
      <c r="W40" s="38"/>
      <c r="X40" s="38">
        <f>COUNTIF(V$7:$V40,"Sim")</f>
        <v>11</v>
      </c>
      <c r="Y40" s="38">
        <f t="shared" ref="Y40:Y66" si="19">IF(T40="Não","",AH40)</f>
        <v>17</v>
      </c>
      <c r="Z40" s="39"/>
      <c r="AA40" s="45"/>
      <c r="AB40" s="41">
        <f ca="1">_xlfn.IFNA(IF(V40="Sim",(IFERROR(SUM(OFFSET(AE40,1,,MATCH("Sim",V41:$V$66,0),1))-AC40,0)+IF(Y40-$W$7=1,SUM($AE$6:AE40)-$AF$7,0)+IF(SUM(Y41:$Y$66)=0,SUM(AE41:$AE$66)-AC40+Analítico!$BK$151)),0),0)</f>
        <v>19229880.081545778</v>
      </c>
      <c r="AC40" s="41">
        <f ca="1">IFERROR(IF(V40="Sim",IFERROR(SUM(OFFSET(AD40,1,,MATCH("Sim",T41:$T$66,0),1)),0)+IF(Y40-$W$7=1,SUM($AD$6:AD40),0)+IF(SUM(Y41:$Y$66)=0,SUM(AD41:$AD$66),0),0),0)</f>
        <v>0</v>
      </c>
      <c r="AD40" s="41">
        <f ca="1">SUM(OFFSET(Analítico!$B$10,0,A40,2,1))</f>
        <v>0</v>
      </c>
      <c r="AE40" s="41">
        <f ca="1">OFFSET(Analítico!$B$152,,A40)</f>
        <v>6638532.3693976132</v>
      </c>
      <c r="AH40" s="44">
        <f t="shared" si="16"/>
        <v>17</v>
      </c>
    </row>
    <row r="41" spans="1:34" ht="14.5">
      <c r="A41" s="28">
        <v>35</v>
      </c>
      <c r="B41" s="29">
        <f>IFERROR(IF(EDATE(B40,1)&gt;DATE(YEAR(Capa!$A$7),MONTH(Capa!$A$7),1),"",EDATE(B40,1)),"")</f>
        <v>46692</v>
      </c>
      <c r="C41" s="28">
        <f t="shared" si="15"/>
        <v>17</v>
      </c>
      <c r="D41" s="30"/>
      <c r="E41" s="28"/>
      <c r="F41" s="28"/>
      <c r="G41" s="28"/>
      <c r="H41" s="28"/>
      <c r="I41" s="28"/>
      <c r="R41" s="37" t="str">
        <f ca="1">IF(P41="","",IFERROR(IF(Capa!$A$2="","Após a celebração do termo de parceria.","Realização da "&amp;OFFSET($Y$6,MATCH(A41,$X$7:$X$66,0),0)-1&amp;"ª reunião da CA e aprovação da liberação de parcela pelo supervisor."),""))</f>
        <v/>
      </c>
      <c r="T41" s="38" t="str">
        <f t="shared" si="17"/>
        <v>Não</v>
      </c>
      <c r="U41" s="38" t="str">
        <f t="shared" si="18"/>
        <v/>
      </c>
      <c r="V41" s="38" t="str">
        <f>Cronogramas!T41</f>
        <v>Não</v>
      </c>
      <c r="W41" s="38"/>
      <c r="X41" s="38">
        <f>COUNTIF(V$7:$V41,"Sim")</f>
        <v>11</v>
      </c>
      <c r="Y41" s="38" t="str">
        <f t="shared" si="19"/>
        <v/>
      </c>
      <c r="Z41" s="39"/>
      <c r="AA41" s="45"/>
      <c r="AB41" s="41">
        <f ca="1">_xlfn.IFNA(IF(V41="Sim",(IFERROR(SUM(OFFSET(AE41,1,,MATCH("Sim",V42:$V$66,0),1))-AC41,0)+IF(Y41-$W$7=1,SUM($AE$6:AE41)-$AF$7,0)+IF(SUM(Y42:$Y$66)=0,SUM(AE42:$AE$66)-AC41+Analítico!$BK$151)),0),0)</f>
        <v>0</v>
      </c>
      <c r="AC41" s="41">
        <f ca="1">IFERROR(IF(V41="Sim",IFERROR(SUM(OFFSET(AD41,1,,MATCH("Sim",T42:$T$66,0),1)),0)+IF(Y41-$W$7=1,SUM($AD$6:AD41),0)+IF(SUM(Y42:$Y$66)=0,SUM(AD42:$AD$66),0),0),0)</f>
        <v>0</v>
      </c>
      <c r="AD41" s="41">
        <f ca="1">SUM(OFFSET(Analítico!$B$10,0,A41,2,1))</f>
        <v>0</v>
      </c>
      <c r="AE41" s="41">
        <f ca="1">OFFSET(Analítico!$B$152,,A41)</f>
        <v>6673190.2193976138</v>
      </c>
      <c r="AH41" s="44">
        <f t="shared" si="16"/>
        <v>17</v>
      </c>
    </row>
    <row r="42" spans="1:34" ht="14.5">
      <c r="A42" s="28">
        <v>36</v>
      </c>
      <c r="B42" s="29">
        <f>IFERROR(IF(EDATE(B41,1)&gt;DATE(YEAR(Capa!$A$7),MONTH(Capa!$A$7),1),"",EDATE(B41,1)),"")</f>
        <v>46722</v>
      </c>
      <c r="C42" s="28">
        <f t="shared" ref="C42:C66" si="20">IF(B42="","",C39+1)</f>
        <v>17</v>
      </c>
      <c r="D42" s="30"/>
      <c r="E42" s="28"/>
      <c r="F42" s="28"/>
      <c r="G42" s="28"/>
      <c r="H42" s="28"/>
      <c r="I42" s="28"/>
      <c r="R42" s="37" t="str">
        <f ca="1">IF(P42="","",IFERROR(IF(Capa!$A$2="","Após a celebração do termo de parceria.","Realização da "&amp;OFFSET($Y$6,MATCH(A42,$X$7:$X$66,0),0)-1&amp;"ª reunião da CA e aprovação da liberação de parcela pelo supervisor."),""))</f>
        <v/>
      </c>
      <c r="T42" s="38" t="str">
        <f t="shared" si="17"/>
        <v>Não</v>
      </c>
      <c r="U42" s="38" t="str">
        <f t="shared" si="18"/>
        <v/>
      </c>
      <c r="V42" s="38" t="str">
        <f>Cronogramas!T42</f>
        <v>Não</v>
      </c>
      <c r="W42" s="38"/>
      <c r="X42" s="38">
        <f>COUNTIF(V$7:$V42,"Sim")</f>
        <v>11</v>
      </c>
      <c r="Y42" s="38" t="str">
        <f t="shared" si="19"/>
        <v/>
      </c>
      <c r="Z42" s="39"/>
      <c r="AA42" s="45"/>
      <c r="AB42" s="41">
        <f ca="1">_xlfn.IFNA(IF(V42="Sim",(IFERROR(SUM(OFFSET(AE42,1,,MATCH("Sim",V43:$V$66,0),1))-AC42,0)+IF(Y42-$W$7=1,SUM($AE$6:AE42)-$AF$7,0)+IF(SUM(Y43:$Y$66)=0,SUM(AE43:$AE$66)-AC42+Analítico!$BK$151)),0),0)</f>
        <v>0</v>
      </c>
      <c r="AC42" s="41">
        <f ca="1">IFERROR(IF(V42="Sim",IFERROR(SUM(OFFSET(AD42,1,,MATCH("Sim",T43:$T$66,0),1)),0)+IF(Y42-$W$7=1,SUM($AD$6:AD42),0)+IF(SUM(Y43:$Y$66)=0,SUM(AD43:$AD$66),0),0),0)</f>
        <v>0</v>
      </c>
      <c r="AD42" s="41">
        <f ca="1">SUM(OFFSET(Analítico!$B$10,0,A42,2,1))</f>
        <v>0</v>
      </c>
      <c r="AE42" s="41">
        <f ca="1">OFFSET(Analítico!$B$152,,A42)</f>
        <v>6663016.3793976139</v>
      </c>
      <c r="AH42" s="44">
        <f t="shared" si="16"/>
        <v>17</v>
      </c>
    </row>
    <row r="43" spans="1:34" ht="14.5">
      <c r="A43" s="28">
        <v>37</v>
      </c>
      <c r="B43" s="29">
        <f>IFERROR(IF(EDATE(B42,1)&gt;DATE(YEAR(Capa!$A$7),MONTH(Capa!$A$7),1),"",EDATE(B42,1)),"")</f>
        <v>46753</v>
      </c>
      <c r="C43" s="28">
        <f t="shared" si="20"/>
        <v>18</v>
      </c>
      <c r="D43" s="30"/>
      <c r="E43" s="28"/>
      <c r="F43" s="28"/>
      <c r="G43" s="28"/>
      <c r="H43" s="28"/>
      <c r="I43" s="28"/>
      <c r="R43" s="37" t="str">
        <f ca="1">IF(P43="","",IFERROR(IF(Capa!$A$2="","Após a celebração do termo de parceria.","Realização da "&amp;OFFSET($Y$6,MATCH(A43,$X$7:$X$66,0),0)-1&amp;"ª reunião da CA e aprovação da liberação de parcela pelo supervisor."),""))</f>
        <v/>
      </c>
      <c r="T43" s="38" t="str">
        <f t="shared" si="17"/>
        <v>Sim</v>
      </c>
      <c r="U43" s="38" t="str">
        <f t="shared" si="18"/>
        <v/>
      </c>
      <c r="V43" s="38" t="str">
        <f>Cronogramas!T43</f>
        <v>Sim</v>
      </c>
      <c r="W43" s="38"/>
      <c r="X43" s="38">
        <f>COUNTIF(V$7:$V43,"Sim")</f>
        <v>12</v>
      </c>
      <c r="Y43" s="38">
        <f t="shared" si="19"/>
        <v>18</v>
      </c>
      <c r="Z43" s="45"/>
      <c r="AA43" s="45"/>
      <c r="AB43" s="41">
        <f ca="1">_xlfn.IFNA(IF(V43="Sim",(IFERROR(SUM(OFFSET(AE43,1,,MATCH("Sim",V44:$V$66,0),1))-AC43,0)+IF(Y43-$W$7=1,SUM($AE$6:AE43)-$AF$7,0)+IF(SUM(Y44:$Y$66)=0,SUM(AE44:$AE$66)-AC43+Analítico!$BK$151)),0),0)</f>
        <v>17602078.44825165</v>
      </c>
      <c r="AC43" s="41">
        <f ca="1">IFERROR(IF(V43="Sim",IFERROR(SUM(OFFSET(AD43,1,,MATCH("Sim",T44:$T$66,0),1)),0)+IF(Y43-$W$7=1,SUM($AD$6:AD43),0)+IF(SUM(Y44:$Y$66)=0,SUM(AD44:$AD$66),0),0),0)</f>
        <v>0</v>
      </c>
      <c r="AD43" s="41">
        <f ca="1">SUM(OFFSET(Analítico!$B$10,0,A43,2,1))</f>
        <v>0</v>
      </c>
      <c r="AE43" s="41">
        <f ca="1">OFFSET(Analítico!$B$152,,A43)</f>
        <v>5893673.4827505508</v>
      </c>
      <c r="AH43" s="44">
        <f t="shared" si="16"/>
        <v>18</v>
      </c>
    </row>
    <row r="44" spans="1:34" ht="14.5">
      <c r="A44" s="28">
        <v>38</v>
      </c>
      <c r="B44" s="29">
        <f>IFERROR(IF(EDATE(B43,1)&gt;DATE(YEAR(Capa!$A$7),MONTH(Capa!$A$7),1),"",EDATE(B43,1)),"")</f>
        <v>46784</v>
      </c>
      <c r="C44" s="28">
        <f t="shared" si="20"/>
        <v>18</v>
      </c>
      <c r="D44" s="30"/>
      <c r="E44" s="28"/>
      <c r="F44" s="28"/>
      <c r="G44" s="28"/>
      <c r="H44" s="28"/>
      <c r="I44" s="28"/>
      <c r="R44" s="37" t="str">
        <f ca="1">IF(P44="","",IFERROR(IF(Capa!$A$2="","Após a celebração do termo de parceria.","Realização da "&amp;OFFSET($Y$6,MATCH(A44,$X$7:$X$66,0),0)-1&amp;"ª reunião da CA e aprovação da liberação de parcela pelo supervisor."),""))</f>
        <v/>
      </c>
      <c r="T44" s="38" t="str">
        <f t="shared" si="17"/>
        <v>Não</v>
      </c>
      <c r="U44" s="38" t="str">
        <f t="shared" si="18"/>
        <v/>
      </c>
      <c r="V44" s="38" t="str">
        <f>Cronogramas!T44</f>
        <v>Não</v>
      </c>
      <c r="W44" s="38"/>
      <c r="X44" s="38">
        <f>COUNTIF(V$7:$V44,"Sim")</f>
        <v>12</v>
      </c>
      <c r="Y44" s="38" t="str">
        <f t="shared" si="19"/>
        <v/>
      </c>
      <c r="Z44" s="45"/>
      <c r="AA44" s="45"/>
      <c r="AB44" s="41">
        <f ca="1">_xlfn.IFNA(IF(V44="Sim",(IFERROR(SUM(OFFSET(AE44,1,,MATCH("Sim",V45:$V$66,0),1))-AC44,0)+IF(Y44-$W$7=1,SUM($AE$6:AE44)-$AF$7,0)+IF(SUM(Y45:$Y$66)=0,SUM(AE45:$AE$66)-AC44+Analítico!$BK$151)),0),0)</f>
        <v>0</v>
      </c>
      <c r="AC44" s="41">
        <f ca="1">IFERROR(IF(V44="Sim",IFERROR(SUM(OFFSET(AD44,1,,MATCH("Sim",T45:$T$66,0),1)),0)+IF(Y44-$W$7=1,SUM($AD$6:AD44),0)+IF(SUM(Y45:$Y$66)=0,SUM(AD45:$AD$66),0),0),0)</f>
        <v>0</v>
      </c>
      <c r="AD44" s="41">
        <f ca="1">SUM(OFFSET(Analítico!$B$10,0,A44,2,1))</f>
        <v>0</v>
      </c>
      <c r="AE44" s="41">
        <f ca="1">OFFSET(Analítico!$B$152,,A44)</f>
        <v>5851153.4827505499</v>
      </c>
      <c r="AH44" s="44">
        <f t="shared" si="16"/>
        <v>18</v>
      </c>
    </row>
    <row r="45" spans="1:34" ht="14.5">
      <c r="A45" s="28">
        <v>39</v>
      </c>
      <c r="B45" s="29">
        <f>IFERROR(IF(EDATE(B44,1)&gt;DATE(YEAR(Capa!$A$7),MONTH(Capa!$A$7),1),"",EDATE(B44,1)),"")</f>
        <v>46813</v>
      </c>
      <c r="C45" s="28">
        <f t="shared" si="20"/>
        <v>18</v>
      </c>
      <c r="D45" s="30"/>
      <c r="E45" s="28"/>
      <c r="F45" s="28"/>
      <c r="G45" s="28"/>
      <c r="H45" s="28"/>
      <c r="I45" s="28"/>
      <c r="R45" s="37" t="str">
        <f ca="1">IF(P45="","",IFERROR(IF(Capa!$A$2="","Após a celebração do termo de parceria.","Realização da "&amp;OFFSET($Y$6,MATCH(A45,$X$7:$X$66,0),0)-1&amp;"ª reunião da CA e aprovação da liberação de parcela pelo supervisor."),""))</f>
        <v/>
      </c>
      <c r="T45" s="38" t="str">
        <f t="shared" si="17"/>
        <v>Não</v>
      </c>
      <c r="U45" s="38" t="str">
        <f t="shared" si="18"/>
        <v/>
      </c>
      <c r="V45" s="38" t="str">
        <f>Cronogramas!T45</f>
        <v>Não</v>
      </c>
      <c r="W45" s="38"/>
      <c r="X45" s="38">
        <f>COUNTIF(V$7:$V45,"Sim")</f>
        <v>12</v>
      </c>
      <c r="Y45" s="38" t="str">
        <f t="shared" si="19"/>
        <v/>
      </c>
      <c r="Z45" s="45"/>
      <c r="AA45" s="45"/>
      <c r="AB45" s="41">
        <f ca="1">_xlfn.IFNA(IF(V45="Sim",(IFERROR(SUM(OFFSET(AE45,1,,MATCH("Sim",V46:$V$66,0),1))-AC45,0)+IF(Y45-$W$7=1,SUM($AE$6:AE45)-$AF$7,0)+IF(SUM(Y46:$Y$66)=0,SUM(AE46:$AE$66)-AC45+Analítico!$BK$151)),0),0)</f>
        <v>0</v>
      </c>
      <c r="AC45" s="41">
        <f ca="1">IFERROR(IF(V45="Sim",IFERROR(SUM(OFFSET(AD45,1,,MATCH("Sim",T46:$T$66,0),1)),0)+IF(Y45-$W$7=1,SUM($AD$6:AD45),0)+IF(SUM(Y46:$Y$66)=0,SUM(AD46:$AD$66),0),0),0)</f>
        <v>0</v>
      </c>
      <c r="AD45" s="41">
        <f ca="1">SUM(OFFSET(Analítico!$B$10,0,A45,2,1))</f>
        <v>0</v>
      </c>
      <c r="AE45" s="41">
        <f ca="1">OFFSET(Analítico!$B$152,,A45)</f>
        <v>5894977.4827505499</v>
      </c>
      <c r="AH45" s="44">
        <f t="shared" si="16"/>
        <v>18</v>
      </c>
    </row>
    <row r="46" spans="1:34" ht="14.5">
      <c r="A46" s="28">
        <v>40</v>
      </c>
      <c r="B46" s="29">
        <f>IFERROR(IF(EDATE(B45,1)&gt;DATE(YEAR(Capa!$A$7),MONTH(Capa!$A$7),1),"",EDATE(B45,1)),"")</f>
        <v>46844</v>
      </c>
      <c r="C46" s="28">
        <f t="shared" si="20"/>
        <v>19</v>
      </c>
      <c r="D46" s="30"/>
      <c r="E46" s="28"/>
      <c r="F46" s="28"/>
      <c r="G46" s="28"/>
      <c r="H46" s="28"/>
      <c r="I46" s="28"/>
      <c r="R46" s="37" t="str">
        <f ca="1">IF(P46="","",IFERROR(IF(Capa!$A$2="","Após a celebração do termo de parceria.","Realização da "&amp;OFFSET($Y$6,MATCH(A46,$X$7:$X$66,0),0)-1&amp;"ª reunião da CA e aprovação da liberação de parcela pelo supervisor."),""))</f>
        <v/>
      </c>
      <c r="T46" s="38" t="str">
        <f t="shared" si="17"/>
        <v>Sim</v>
      </c>
      <c r="U46" s="38" t="str">
        <f t="shared" si="18"/>
        <v/>
      </c>
      <c r="V46" s="38" t="str">
        <f>Cronogramas!T46</f>
        <v>Sim</v>
      </c>
      <c r="W46" s="38"/>
      <c r="X46" s="38">
        <f>COUNTIF(V$7:$V46,"Sim")</f>
        <v>13</v>
      </c>
      <c r="Y46" s="38">
        <f t="shared" si="19"/>
        <v>19</v>
      </c>
      <c r="Z46" s="45"/>
      <c r="AA46" s="45"/>
      <c r="AB46" s="41">
        <f ca="1">_xlfn.IFNA(IF(V46="Sim",(IFERROR(SUM(OFFSET(AE46,1,,MATCH("Sim",V47:$V$66,0),1))-AC46,0)+IF(Y46-$W$7=1,SUM($AE$6:AE46)-$AF$7,0)+IF(SUM(Y47:$Y$66)=0,SUM(AE47:$AE$66)-AC46+Analítico!$BK$151)),0),0)</f>
        <v>18358045.650228716</v>
      </c>
      <c r="AC46" s="41">
        <f ca="1">IFERROR(IF(V46="Sim",IFERROR(SUM(OFFSET(AD46,1,,MATCH("Sim",T47:$T$66,0),1)),0)+IF(Y46-$W$7=1,SUM($AD$6:AD46),0)+IF(SUM(Y47:$Y$66)=0,SUM(AD47:$AD$66),0),0),0)</f>
        <v>0</v>
      </c>
      <c r="AD46" s="41">
        <f ca="1">SUM(OFFSET(Analítico!$B$10,0,A46,2,1))</f>
        <v>0</v>
      </c>
      <c r="AE46" s="41">
        <f ca="1">OFFSET(Analítico!$B$152,,A46)</f>
        <v>5855947.4827505499</v>
      </c>
      <c r="AH46" s="44">
        <f t="shared" si="16"/>
        <v>19</v>
      </c>
    </row>
    <row r="47" spans="1:34" ht="14.5">
      <c r="A47" s="28">
        <v>41</v>
      </c>
      <c r="B47" s="29">
        <f>IFERROR(IF(EDATE(B46,1)&gt;DATE(YEAR(Capa!$A$7),MONTH(Capa!$A$7),1),"",EDATE(B46,1)),"")</f>
        <v>46874</v>
      </c>
      <c r="C47" s="28">
        <f t="shared" si="20"/>
        <v>19</v>
      </c>
      <c r="D47" s="30"/>
      <c r="E47" s="28"/>
      <c r="F47" s="28"/>
      <c r="G47" s="28"/>
      <c r="H47" s="28"/>
      <c r="I47" s="28"/>
      <c r="R47" s="37" t="str">
        <f ca="1">IF(P47="","",IFERROR(IF(Capa!$A$2="","Após a celebração do termo de parceria.","Realização da "&amp;OFFSET($Y$6,MATCH(A47,$X$7:$X$66,0),0)-1&amp;"ª reunião da CA e aprovação da liberação de parcela pelo supervisor."),""))</f>
        <v/>
      </c>
      <c r="T47" s="38" t="str">
        <f t="shared" si="17"/>
        <v>Não</v>
      </c>
      <c r="U47" s="38" t="str">
        <f t="shared" si="18"/>
        <v/>
      </c>
      <c r="V47" s="38" t="str">
        <f>Cronogramas!T47</f>
        <v>Não</v>
      </c>
      <c r="W47" s="38"/>
      <c r="X47" s="38">
        <f>COUNTIF(V$7:$V47,"Sim")</f>
        <v>13</v>
      </c>
      <c r="Y47" s="38" t="str">
        <f t="shared" si="19"/>
        <v/>
      </c>
      <c r="Z47" s="45"/>
      <c r="AA47" s="45"/>
      <c r="AB47" s="41">
        <f ca="1">_xlfn.IFNA(IF(V47="Sim",(IFERROR(SUM(OFFSET(AE47,1,,MATCH("Sim",V48:$V$66,0),1))-AC47,0)+IF(Y47-$W$7=1,SUM($AE$6:AE47)-$AF$7,0)+IF(SUM(Y48:$Y$66)=0,SUM(AE48:$AE$66)-AC47+Analítico!$BK$151)),0),0)</f>
        <v>0</v>
      </c>
      <c r="AC47" s="41">
        <f ca="1">IFERROR(IF(V47="Sim",IFERROR(SUM(OFFSET(AD47,1,,MATCH("Sim",T48:$T$66,0),1)),0)+IF(Y47-$W$7=1,SUM($AD$6:AD47),0)+IF(SUM(Y48:$Y$66)=0,SUM(AD48:$AD$66),0),0),0)</f>
        <v>0</v>
      </c>
      <c r="AD47" s="41">
        <f ca="1">SUM(OFFSET(Analítico!$B$10,0,A47,2,1))</f>
        <v>0</v>
      </c>
      <c r="AE47" s="41">
        <f ca="1">OFFSET(Analítico!$B$152,,A47)</f>
        <v>6116364.5534095727</v>
      </c>
      <c r="AH47" s="44">
        <f t="shared" si="16"/>
        <v>19</v>
      </c>
    </row>
    <row r="48" spans="1:34" ht="14.5">
      <c r="A48" s="28">
        <v>42</v>
      </c>
      <c r="B48" s="29">
        <f>IFERROR(IF(EDATE(B47,1)&gt;DATE(YEAR(Capa!$A$7),MONTH(Capa!$A$7),1),"",EDATE(B47,1)),"")</f>
        <v>46905</v>
      </c>
      <c r="C48" s="28">
        <f t="shared" si="20"/>
        <v>19</v>
      </c>
      <c r="D48" s="30"/>
      <c r="E48" s="28"/>
      <c r="F48" s="28"/>
      <c r="G48" s="28"/>
      <c r="H48" s="28"/>
      <c r="I48" s="28"/>
      <c r="R48" s="37" t="str">
        <f ca="1">IF(P48="","",IFERROR(IF(Capa!$A$2="","Após a celebração do termo de parceria.","Realização da "&amp;OFFSET($Y$6,MATCH(A48,$X$7:$X$66,0),0)-1&amp;"ª reunião da CA e aprovação da liberação de parcela pelo supervisor."),""))</f>
        <v/>
      </c>
      <c r="T48" s="38" t="str">
        <f t="shared" si="17"/>
        <v>Não</v>
      </c>
      <c r="U48" s="38" t="str">
        <f t="shared" si="18"/>
        <v/>
      </c>
      <c r="V48" s="38" t="str">
        <f>Cronogramas!T48</f>
        <v>Não</v>
      </c>
      <c r="W48" s="38"/>
      <c r="X48" s="38">
        <f>COUNTIF(V$7:$V48,"Sim")</f>
        <v>13</v>
      </c>
      <c r="Y48" s="38" t="str">
        <f t="shared" si="19"/>
        <v/>
      </c>
      <c r="Z48" s="45"/>
      <c r="AA48" s="45"/>
      <c r="AB48" s="41">
        <f ca="1">_xlfn.IFNA(IF(V48="Sim",(IFERROR(SUM(OFFSET(AE48,1,,MATCH("Sim",V49:$V$66,0),1))-AC48,0)+IF(Y48-$W$7=1,SUM($AE$6:AE48)-$AF$7,0)+IF(SUM(Y49:$Y$66)=0,SUM(AE49:$AE$66)-AC48+Analítico!$BK$151)),0),0)</f>
        <v>0</v>
      </c>
      <c r="AC48" s="41">
        <f ca="1">IFERROR(IF(V48="Sim",IFERROR(SUM(OFFSET(AD48,1,,MATCH("Sim",T49:$T$66,0),1)),0)+IF(Y48-$W$7=1,SUM($AD$6:AD48),0)+IF(SUM(Y49:$Y$66)=0,SUM(AD49:$AD$66),0),0),0)</f>
        <v>0</v>
      </c>
      <c r="AD48" s="41">
        <f ca="1">SUM(OFFSET(Analítico!$B$10,0,A48,2,1))</f>
        <v>0</v>
      </c>
      <c r="AE48" s="41">
        <f ca="1">OFFSET(Analítico!$B$152,,A48)</f>
        <v>6135606.5434095729</v>
      </c>
      <c r="AH48" s="44">
        <f t="shared" si="16"/>
        <v>19</v>
      </c>
    </row>
    <row r="49" spans="1:34" ht="14.5">
      <c r="A49" s="28">
        <v>43</v>
      </c>
      <c r="B49" s="29">
        <f>IFERROR(IF(EDATE(B48,1)&gt;DATE(YEAR(Capa!$A$7),MONTH(Capa!$A$7),1),"",EDATE(B48,1)),"")</f>
        <v>46935</v>
      </c>
      <c r="C49" s="28">
        <f t="shared" si="20"/>
        <v>20</v>
      </c>
      <c r="D49" s="30"/>
      <c r="E49" s="28"/>
      <c r="F49" s="28"/>
      <c r="G49" s="28"/>
      <c r="H49" s="28"/>
      <c r="I49" s="28"/>
      <c r="R49" s="37" t="str">
        <f ca="1">IF(P49="","",IFERROR(IF(Capa!$A$2="","Após a celebração do termo de parceria.","Realização da "&amp;OFFSET($Y$6,MATCH(A49,$X$7:$X$66,0),0)-1&amp;"ª reunião da CA e aprovação da liberação de parcela pelo supervisor."),""))</f>
        <v/>
      </c>
      <c r="T49" s="38" t="str">
        <f t="shared" si="17"/>
        <v>Sim</v>
      </c>
      <c r="U49" s="38" t="str">
        <f t="shared" si="18"/>
        <v/>
      </c>
      <c r="V49" s="38" t="str">
        <f>Cronogramas!T49</f>
        <v>Sim</v>
      </c>
      <c r="W49" s="38"/>
      <c r="X49" s="38">
        <f>COUNTIF(V$7:$V49,"Sim")</f>
        <v>14</v>
      </c>
      <c r="Y49" s="38">
        <f t="shared" si="19"/>
        <v>20</v>
      </c>
      <c r="Z49" s="45"/>
      <c r="AA49" s="45"/>
      <c r="AB49" s="41">
        <f ca="1">_xlfn.IFNA(IF(V49="Sim",(IFERROR(SUM(OFFSET(AE49,1,,MATCH("Sim",V50:$V$66,0),1))-AC49,0)+IF(Y49-$W$7=1,SUM($AE$6:AE49)-$AF$7,0)+IF(SUM(Y50:$Y$66)=0,SUM(AE50:$AE$66)-AC49+Analítico!$BK$151)),0),0)</f>
        <v>18347925.99022872</v>
      </c>
      <c r="AC49" s="41">
        <f ca="1">IFERROR(IF(V49="Sim",IFERROR(SUM(OFFSET(AD49,1,,MATCH("Sim",T50:$T$66,0),1)),0)+IF(Y49-$W$7=1,SUM($AD$6:AD49),0)+IF(SUM(Y50:$Y$66)=0,SUM(AD50:$AD$66),0),0),0)</f>
        <v>0</v>
      </c>
      <c r="AD49" s="41">
        <f ca="1">SUM(OFFSET(Analítico!$B$10,0,A49,2,1))</f>
        <v>0</v>
      </c>
      <c r="AE49" s="41">
        <f ca="1">OFFSET(Analítico!$B$152,,A49)</f>
        <v>6106074.5534095727</v>
      </c>
      <c r="AH49" s="44">
        <f t="shared" si="16"/>
        <v>20</v>
      </c>
    </row>
    <row r="50" spans="1:34" ht="14.5">
      <c r="A50" s="28">
        <v>44</v>
      </c>
      <c r="B50" s="29">
        <f>IFERROR(IF(EDATE(B49,1)&gt;DATE(YEAR(Capa!$A$7),MONTH(Capa!$A$7),1),"",EDATE(B49,1)),"")</f>
        <v>46966</v>
      </c>
      <c r="C50" s="28">
        <f t="shared" si="20"/>
        <v>20</v>
      </c>
      <c r="D50" s="30"/>
      <c r="E50" s="28"/>
      <c r="F50" s="28"/>
      <c r="G50" s="28"/>
      <c r="H50" s="28"/>
      <c r="I50" s="28"/>
      <c r="R50" s="37" t="str">
        <f ca="1">IF(P50="","",IFERROR(IF(Capa!$A$2="","Após a celebração do termo de parceria.","Realização da "&amp;OFFSET($Y$6,MATCH(A50,$X$7:$X$66,0),0)-1&amp;"ª reunião da CA e aprovação da liberação de parcela pelo supervisor."),""))</f>
        <v/>
      </c>
      <c r="T50" s="38" t="str">
        <f t="shared" si="17"/>
        <v>Não</v>
      </c>
      <c r="U50" s="38" t="str">
        <f t="shared" si="18"/>
        <v/>
      </c>
      <c r="V50" s="38" t="str">
        <f>Cronogramas!T50</f>
        <v>Não</v>
      </c>
      <c r="W50" s="38"/>
      <c r="X50" s="38">
        <f>COUNTIF(V$7:$V50,"Sim")</f>
        <v>14</v>
      </c>
      <c r="Y50" s="38" t="str">
        <f t="shared" si="19"/>
        <v/>
      </c>
      <c r="Z50" s="45"/>
      <c r="AA50" s="45"/>
      <c r="AB50" s="41">
        <f ca="1">_xlfn.IFNA(IF(V50="Sim",(IFERROR(SUM(OFFSET(AE50,1,,MATCH("Sim",V51:$V$66,0),1))-AC50,0)+IF(Y50-$W$7=1,SUM($AE$6:AE50)-$AF$7,0)+IF(SUM(Y51:$Y$66)=0,SUM(AE51:$AE$66)-AC50+Analítico!$BK$151)),0),0)</f>
        <v>0</v>
      </c>
      <c r="AC50" s="41">
        <f ca="1">IFERROR(IF(V50="Sim",IFERROR(SUM(OFFSET(AD50,1,,MATCH("Sim",T51:$T$66,0),1)),0)+IF(Y50-$W$7=1,SUM($AD$6:AD50),0)+IF(SUM(Y51:$Y$66)=0,SUM(AD51:$AD$66),0),0),0)</f>
        <v>0</v>
      </c>
      <c r="AD50" s="41">
        <f ca="1">SUM(OFFSET(Analítico!$B$10,0,A50,2,1))</f>
        <v>0</v>
      </c>
      <c r="AE50" s="41">
        <f ca="1">OFFSET(Analítico!$B$152,,A50)</f>
        <v>6105974.5534095727</v>
      </c>
      <c r="AH50" s="44">
        <f t="shared" si="16"/>
        <v>20</v>
      </c>
    </row>
    <row r="51" spans="1:34" ht="14.5">
      <c r="A51" s="28">
        <v>45</v>
      </c>
      <c r="B51" s="29">
        <f>IFERROR(IF(EDATE(B50,1)&gt;DATE(YEAR(Capa!$A$7),MONTH(Capa!$A$7),1),"",EDATE(B50,1)),"")</f>
        <v>46997</v>
      </c>
      <c r="C51" s="28">
        <f t="shared" si="20"/>
        <v>20</v>
      </c>
      <c r="D51" s="30"/>
      <c r="E51" s="28"/>
      <c r="F51" s="28"/>
      <c r="G51" s="28"/>
      <c r="H51" s="28"/>
      <c r="I51" s="28"/>
      <c r="R51" s="37" t="str">
        <f ca="1">IF(P51="","",IFERROR(IF(Capa!$A$2="","Após a celebração do termo de parceria.","Realização da "&amp;OFFSET($Y$6,MATCH(A51,$X$7:$X$66,0),0)-1&amp;"ª reunião da CA e aprovação da liberação de parcela pelo supervisor."),""))</f>
        <v/>
      </c>
      <c r="T51" s="38" t="str">
        <f t="shared" si="17"/>
        <v>Não</v>
      </c>
      <c r="U51" s="38" t="str">
        <f t="shared" si="18"/>
        <v/>
      </c>
      <c r="V51" s="38" t="str">
        <f>Cronogramas!T51</f>
        <v>Não</v>
      </c>
      <c r="W51" s="38"/>
      <c r="X51" s="38">
        <f>COUNTIF(V$7:$V51,"Sim")</f>
        <v>14</v>
      </c>
      <c r="Y51" s="38" t="str">
        <f t="shared" si="19"/>
        <v/>
      </c>
      <c r="Z51" s="45"/>
      <c r="AA51" s="45"/>
      <c r="AB51" s="41">
        <f ca="1">_xlfn.IFNA(IF(V51="Sim",(IFERROR(SUM(OFFSET(AE51,1,,MATCH("Sim",V52:$V$66,0),1))-AC51,0)+IF(Y51-$W$7=1,SUM($AE$6:AE51)-$AF$7,0)+IF(SUM(Y52:$Y$66)=0,SUM(AE52:$AE$66)-AC51+Analítico!$BK$151)),0),0)</f>
        <v>0</v>
      </c>
      <c r="AC51" s="41">
        <f ca="1">IFERROR(IF(V51="Sim",IFERROR(SUM(OFFSET(AD51,1,,MATCH("Sim",T52:$T$66,0),1)),0)+IF(Y51-$W$7=1,SUM($AD$6:AD51),0)+IF(SUM(Y52:$Y$66)=0,SUM(AD52:$AD$66),0),0),0)</f>
        <v>0</v>
      </c>
      <c r="AD51" s="41">
        <f ca="1">SUM(OFFSET(Analítico!$B$10,0,A51,2,1))</f>
        <v>0</v>
      </c>
      <c r="AE51" s="41">
        <f ca="1">OFFSET(Analítico!$B$152,,A51)</f>
        <v>6115073.833409573</v>
      </c>
      <c r="AH51" s="44">
        <f t="shared" si="16"/>
        <v>20</v>
      </c>
    </row>
    <row r="52" spans="1:34" ht="14.5">
      <c r="A52" s="28">
        <v>46</v>
      </c>
      <c r="B52" s="29">
        <f>IFERROR(IF(EDATE(B51,1)&gt;DATE(YEAR(Capa!$A$7),MONTH(Capa!$A$7),1),"",EDATE(B51,1)),"")</f>
        <v>47027</v>
      </c>
      <c r="C52" s="28">
        <f t="shared" si="20"/>
        <v>21</v>
      </c>
      <c r="D52" s="30"/>
      <c r="E52" s="28"/>
      <c r="F52" s="28"/>
      <c r="G52" s="28"/>
      <c r="H52" s="28"/>
      <c r="I52" s="28"/>
      <c r="R52" s="37" t="str">
        <f ca="1">IF(P52="","",IFERROR(IF(Capa!$A$2="","Após a celebração do termo de parceria.","Realização da "&amp;OFFSET($Y$6,MATCH(A52,$X$7:$X$66,0),0)-1&amp;"ª reunião da CA e aprovação da liberação de parcela pelo supervisor."),""))</f>
        <v/>
      </c>
      <c r="T52" s="38" t="str">
        <f t="shared" si="17"/>
        <v>Sim</v>
      </c>
      <c r="U52" s="38" t="str">
        <f t="shared" si="18"/>
        <v/>
      </c>
      <c r="V52" s="38" t="str">
        <f>Cronogramas!T52</f>
        <v>Sim</v>
      </c>
      <c r="W52" s="38"/>
      <c r="X52" s="38">
        <f>COUNTIF(V$7:$V52,"Sim")</f>
        <v>15</v>
      </c>
      <c r="Y52" s="38">
        <f t="shared" si="19"/>
        <v>21</v>
      </c>
      <c r="Z52" s="45"/>
      <c r="AA52" s="45"/>
      <c r="AB52" s="41">
        <f ca="1">_xlfn.IFNA(IF(V52="Sim",(IFERROR(SUM(OFFSET(AE52,1,,MATCH("Sim",V53:$V$66,0),1))-AC52,0)+IF(Y52-$W$7=1,SUM($AE$6:AE52)-$AF$7,0)+IF(SUM(Y53:$Y$66)=0,SUM(AE53:$AE$66)-AC52+Analítico!$BK$151)),0),0)</f>
        <v>6376110.6934095733</v>
      </c>
      <c r="AC52" s="41">
        <f ca="1">IFERROR(IF(V52="Sim",IFERROR(SUM(OFFSET(AD52,1,,MATCH("Sim",T53:$T$66,0),1)),0)+IF(Y52-$W$7=1,SUM($AD$6:AD52),0)+IF(SUM(Y53:$Y$66)=0,SUM(AD53:$AD$66),0),0),0)</f>
        <v>0</v>
      </c>
      <c r="AD52" s="41">
        <f ca="1">SUM(OFFSET(Analítico!$B$10,0,A52,2,1))</f>
        <v>0</v>
      </c>
      <c r="AE52" s="41">
        <f ca="1">OFFSET(Analítico!$B$152,,A52)</f>
        <v>6126877.6034095734</v>
      </c>
      <c r="AH52" s="44">
        <f t="shared" si="16"/>
        <v>21</v>
      </c>
    </row>
    <row r="53" spans="1:34" ht="14.5">
      <c r="A53" s="28">
        <v>47</v>
      </c>
      <c r="B53" s="29">
        <f>IFERROR(IF(EDATE(B52,1)&gt;DATE(YEAR(Capa!$A$7),MONTH(Capa!$A$7),1),"",EDATE(B52,1)),"")</f>
        <v>47058</v>
      </c>
      <c r="C53" s="28">
        <f t="shared" si="20"/>
        <v>21</v>
      </c>
      <c r="D53" s="30"/>
      <c r="E53" s="28"/>
      <c r="F53" s="28"/>
      <c r="G53" s="28"/>
      <c r="H53" s="28"/>
      <c r="I53" s="28"/>
      <c r="R53" s="37" t="str">
        <f ca="1">IF(P53="","",IFERROR(IF(Capa!$A$2="","Após a celebração do termo de parceria.","Realização da "&amp;OFFSET($Y$6,MATCH(A53,$X$7:$X$66,0),0)-1&amp;"ª reunião da CA e aprovação da liberação de parcela pelo supervisor."),""))</f>
        <v/>
      </c>
      <c r="T53" s="38" t="str">
        <f t="shared" si="17"/>
        <v>Não</v>
      </c>
      <c r="U53" s="38" t="str">
        <f t="shared" si="18"/>
        <v/>
      </c>
      <c r="V53" s="38" t="str">
        <f>Cronogramas!T53</f>
        <v>Não</v>
      </c>
      <c r="W53" s="38"/>
      <c r="X53" s="38">
        <f>COUNTIF(V$7:$V53,"Sim")</f>
        <v>15</v>
      </c>
      <c r="Y53" s="38" t="str">
        <f t="shared" si="19"/>
        <v/>
      </c>
      <c r="Z53" s="45"/>
      <c r="AA53" s="45"/>
      <c r="AB53" s="41">
        <f ca="1">_xlfn.IFNA(IF(V53="Sim",(IFERROR(SUM(OFFSET(AE53,1,,MATCH("Sim",V54:$V$66,0),1))-AC53,0)+IF(Y53-$W$7=1,SUM($AE$6:AE53)-$AF$7,0)+IF(SUM(Y54:$Y$66)=0,SUM(AE54:$AE$66)-AC53+Analítico!$BK$151)),0),0)</f>
        <v>0</v>
      </c>
      <c r="AC53" s="41">
        <f ca="1">IFERROR(IF(V53="Sim",IFERROR(SUM(OFFSET(AD53,1,,MATCH("Sim",T54:$T$66,0),1)),0)+IF(Y53-$W$7=1,SUM($AD$6:AD53),0)+IF(SUM(Y54:$Y$66)=0,SUM(AD54:$AD$66),0),0),0)</f>
        <v>0</v>
      </c>
      <c r="AD53" s="41">
        <f ca="1">SUM(OFFSET(Analítico!$B$10,0,A53,2,1))</f>
        <v>0</v>
      </c>
      <c r="AE53" s="41">
        <f ca="1">OFFSET(Analítico!$B$152,,A53)</f>
        <v>6136110.6934095733</v>
      </c>
      <c r="AH53" s="44">
        <f t="shared" si="16"/>
        <v>21</v>
      </c>
    </row>
    <row r="54" spans="1:34" ht="14.5">
      <c r="A54" s="28">
        <v>48</v>
      </c>
      <c r="B54" s="29" t="str">
        <f>IFERROR(IF(EDATE(B53,1)&gt;DATE(YEAR(Capa!$A$7),MONTH(Capa!$A$7),1),"",EDATE(B53,1)),"")</f>
        <v/>
      </c>
      <c r="C54" s="28" t="str">
        <f t="shared" si="20"/>
        <v/>
      </c>
      <c r="D54" s="30"/>
      <c r="E54" s="28"/>
      <c r="F54" s="28"/>
      <c r="G54" s="28"/>
      <c r="H54" s="28"/>
      <c r="I54" s="28"/>
      <c r="R54" s="37" t="str">
        <f ca="1">IF(P54="","",IFERROR(IF(Capa!$A$2="","Após a celebração do termo de parceria.","Realização da "&amp;OFFSET($Y$6,MATCH(A54,$X$7:$X$66,0),0)-1&amp;"ª reunião da CA e aprovação da liberação de parcela pelo supervisor."),""))</f>
        <v/>
      </c>
      <c r="T54" s="38" t="str">
        <f t="shared" si="17"/>
        <v>Não</v>
      </c>
      <c r="U54" s="38" t="str">
        <f t="shared" si="18"/>
        <v/>
      </c>
      <c r="V54" s="38" t="str">
        <f>Cronogramas!T54</f>
        <v>Não</v>
      </c>
      <c r="W54" s="38"/>
      <c r="X54" s="38">
        <f>COUNTIF(V$7:$V54,"Sim")</f>
        <v>15</v>
      </c>
      <c r="Y54" s="38" t="str">
        <f t="shared" si="19"/>
        <v/>
      </c>
      <c r="Z54" s="45"/>
      <c r="AA54" s="45"/>
      <c r="AB54" s="41">
        <f ca="1">_xlfn.IFNA(IF(V54="Sim",(IFERROR(SUM(OFFSET(AE54,1,,MATCH("Sim",V55:$V$66,0),1))-AC54,0)+IF(Y54-$W$7=1,SUM($AE$6:AE54)-$AF$7,0)+IF(SUM(Y55:$Y$66)=0,SUM(AE55:$AE$66)-AC54+Analítico!$BK$151)),0),0)</f>
        <v>0</v>
      </c>
      <c r="AC54" s="41">
        <f ca="1">IFERROR(IF(V54="Sim",IFERROR(SUM(OFFSET(AD54,1,,MATCH("Sim",T55:$T$66,0),1)),0)+IF(Y54-$W$7=1,SUM($AD$6:AD54),0)+IF(SUM(Y55:$Y$66)=0,SUM(AD55:$AD$66),0),0),0)</f>
        <v>0</v>
      </c>
      <c r="AD54" s="41">
        <f ca="1">SUM(OFFSET(Analítico!$B$10,0,A54,2,1))</f>
        <v>0</v>
      </c>
      <c r="AE54" s="41">
        <f ca="1">OFFSET(Analítico!$B$152,,A54)</f>
        <v>0</v>
      </c>
      <c r="AH54" s="44" t="str">
        <f t="shared" si="16"/>
        <v/>
      </c>
    </row>
    <row r="55" spans="1:34" ht="14.5">
      <c r="A55" s="28">
        <v>49</v>
      </c>
      <c r="B55" s="29" t="str">
        <f>IFERROR(IF(EDATE(B54,1)&gt;DATE(YEAR(Capa!$A$7),MONTH(Capa!$A$7),1),"",EDATE(B54,1)),"")</f>
        <v/>
      </c>
      <c r="C55" s="28" t="str">
        <f t="shared" si="20"/>
        <v/>
      </c>
      <c r="D55" s="30"/>
      <c r="E55" s="28"/>
      <c r="F55" s="28"/>
      <c r="G55" s="28"/>
      <c r="H55" s="28"/>
      <c r="I55" s="28"/>
      <c r="R55" s="37" t="str">
        <f ca="1">IF(P55="","",IFERROR(IF(Capa!$A$2="","Após a celebração do termo de parceria.","Realização da "&amp;OFFSET($Y$6,MATCH(A55,$X$7:$X$66,0),0)-1&amp;"ª reunião da CA e aprovação da liberação de parcela pelo supervisor."),""))</f>
        <v/>
      </c>
      <c r="T55" s="38" t="str">
        <f t="shared" si="17"/>
        <v>Não</v>
      </c>
      <c r="U55" s="38" t="str">
        <f t="shared" si="18"/>
        <v/>
      </c>
      <c r="V55" s="38" t="str">
        <f>Cronogramas!T55</f>
        <v>Não</v>
      </c>
      <c r="W55" s="38"/>
      <c r="X55" s="38">
        <f>COUNTIF(V$7:$V55,"Sim")</f>
        <v>15</v>
      </c>
      <c r="Y55" s="38" t="str">
        <f t="shared" si="19"/>
        <v/>
      </c>
      <c r="Z55" s="45"/>
      <c r="AA55" s="45"/>
      <c r="AB55" s="41">
        <f ca="1">_xlfn.IFNA(IF(V55="Sim",(IFERROR(SUM(OFFSET(AE55,1,,MATCH("Sim",V56:$V$66,0),1))-AC55,0)+IF(Y55-$W$7=1,SUM($AE$6:AE55)-$AF$7,0)+IF(SUM(Y56:$Y$66)=0,SUM(AE56:$AE$66)-AC55+Analítico!$BK$151)),0),0)</f>
        <v>0</v>
      </c>
      <c r="AC55" s="41">
        <f ca="1">IFERROR(IF(V55="Sim",IFERROR(SUM(OFFSET(AD55,1,,MATCH("Sim",T56:$T$66,0),1)),0)+IF(Y55-$W$7=1,SUM($AD$6:AD55),0)+IF(SUM(Y56:$Y$66)=0,SUM(AD56:$AD$66),0),0),0)</f>
        <v>0</v>
      </c>
      <c r="AD55" s="41">
        <f ca="1">SUM(OFFSET(Analítico!$B$10,0,A55,2,1))</f>
        <v>0</v>
      </c>
      <c r="AE55" s="41">
        <f ca="1">OFFSET(Analítico!$B$152,,A55)</f>
        <v>0</v>
      </c>
      <c r="AH55" s="44" t="str">
        <f t="shared" si="16"/>
        <v/>
      </c>
    </row>
    <row r="56" spans="1:34" ht="14.5">
      <c r="A56" s="28">
        <v>50</v>
      </c>
      <c r="B56" s="29" t="str">
        <f>IFERROR(IF(EDATE(B55,1)&gt;DATE(YEAR(Capa!$A$7),MONTH(Capa!$A$7),1),"",EDATE(B55,1)),"")</f>
        <v/>
      </c>
      <c r="C56" s="28" t="str">
        <f t="shared" si="20"/>
        <v/>
      </c>
      <c r="D56" s="30"/>
      <c r="E56" s="28"/>
      <c r="F56" s="28"/>
      <c r="G56" s="28"/>
      <c r="H56" s="28"/>
      <c r="I56" s="28"/>
      <c r="R56" s="37" t="str">
        <f ca="1">IF(P56="","",IFERROR(IF(Capa!$A$2="","Após a celebração do termo de parceria.","Realização da "&amp;OFFSET($Y$6,MATCH(A56,$X$7:$X$66,0),0)-1&amp;"ª reunião da CA e aprovação da liberação de parcela pelo supervisor."),""))</f>
        <v/>
      </c>
      <c r="T56" s="38" t="str">
        <f t="shared" si="17"/>
        <v>Não</v>
      </c>
      <c r="U56" s="38" t="str">
        <f t="shared" si="18"/>
        <v/>
      </c>
      <c r="V56" s="38" t="str">
        <f>Cronogramas!T56</f>
        <v>Não</v>
      </c>
      <c r="W56" s="38"/>
      <c r="X56" s="38">
        <f>COUNTIF(V$7:$V56,"Sim")</f>
        <v>15</v>
      </c>
      <c r="Y56" s="38" t="str">
        <f t="shared" si="19"/>
        <v/>
      </c>
      <c r="Z56" s="45"/>
      <c r="AA56" s="45"/>
      <c r="AB56" s="41">
        <f ca="1">_xlfn.IFNA(IF(V56="Sim",(IFERROR(SUM(OFFSET(AE56,1,,MATCH("Sim",V57:$V$66,0),1))-AC56,0)+IF(Y56-$W$7=1,SUM($AE$6:AE56)-$AF$7,0)+IF(SUM(Y57:$Y$66)=0,SUM(AE57:$AE$66)-AC56+Analítico!$BK$151)),0),0)</f>
        <v>0</v>
      </c>
      <c r="AC56" s="41">
        <f ca="1">IFERROR(IF(V56="Sim",IFERROR(SUM(OFFSET(AD56,1,,MATCH("Sim",T57:$T$66,0),1)),0)+IF(Y56-$W$7=1,SUM($AD$6:AD56),0)+IF(SUM(Y57:$Y$66)=0,SUM(AD57:$AD$66),0),0),0)</f>
        <v>0</v>
      </c>
      <c r="AD56" s="41">
        <f ca="1">SUM(OFFSET(Analítico!$B$10,0,A56,2,1))</f>
        <v>0</v>
      </c>
      <c r="AE56" s="41">
        <f ca="1">OFFSET(Analítico!$B$152,,A56)</f>
        <v>0</v>
      </c>
      <c r="AH56" s="44" t="str">
        <f t="shared" si="16"/>
        <v/>
      </c>
    </row>
    <row r="57" spans="1:34" ht="14.5">
      <c r="A57" s="28">
        <v>51</v>
      </c>
      <c r="B57" s="29" t="str">
        <f>IFERROR(IF(EDATE(B56,1)&gt;DATE(YEAR(Capa!$A$7),MONTH(Capa!$A$7),1),"",EDATE(B56,1)),"")</f>
        <v/>
      </c>
      <c r="C57" s="28" t="str">
        <f t="shared" si="20"/>
        <v/>
      </c>
      <c r="D57" s="30"/>
      <c r="E57" s="28"/>
      <c r="F57" s="28"/>
      <c r="G57" s="28"/>
      <c r="H57" s="28"/>
      <c r="I57" s="28"/>
      <c r="R57" s="37" t="str">
        <f ca="1">IF(P57="","",IFERROR(IF(Capa!$A$2="","Após a celebração do termo de parceria.","Realização da "&amp;OFFSET($Y$6,MATCH(A57,$X$7:$X$66,0),0)-1&amp;"ª reunião da CA e aprovação da liberação de parcela pelo supervisor."),""))</f>
        <v/>
      </c>
      <c r="T57" s="38" t="str">
        <f t="shared" si="17"/>
        <v>Não</v>
      </c>
      <c r="U57" s="38" t="str">
        <f t="shared" si="18"/>
        <v/>
      </c>
      <c r="V57" s="38" t="str">
        <f>Cronogramas!T57</f>
        <v>Não</v>
      </c>
      <c r="W57" s="38"/>
      <c r="X57" s="38">
        <f>COUNTIF(V$7:$V57,"Sim")</f>
        <v>15</v>
      </c>
      <c r="Y57" s="38" t="str">
        <f t="shared" si="19"/>
        <v/>
      </c>
      <c r="Z57" s="45"/>
      <c r="AA57" s="45"/>
      <c r="AB57" s="41">
        <f ca="1">_xlfn.IFNA(IF(V57="Sim",(IFERROR(SUM(OFFSET(AE57,1,,MATCH("Sim",V58:$V$66,0),1))-AC57,0)+IF(Y57-$W$7=1,SUM($AE$6:AE57)-$AF$7,0)+IF(SUM(Y58:$Y$66)=0,SUM(AE58:$AE$66)-AC57+Analítico!$BK$151)),0),0)</f>
        <v>0</v>
      </c>
      <c r="AC57" s="41">
        <f ca="1">IFERROR(IF(V57="Sim",IFERROR(SUM(OFFSET(AD57,1,,MATCH("Sim",T58:$T$66,0),1)),0)+IF(Y57-$W$7=1,SUM($AD$6:AD57),0)+IF(SUM(Y58:$Y$66)=0,SUM(AD58:$AD$66),0),0),0)</f>
        <v>0</v>
      </c>
      <c r="AD57" s="41">
        <f ca="1">SUM(OFFSET(Analítico!$B$10,0,A57,2,1))</f>
        <v>0</v>
      </c>
      <c r="AE57" s="41">
        <f ca="1">OFFSET(Analítico!$B$152,,A57)</f>
        <v>0</v>
      </c>
      <c r="AH57" s="44" t="str">
        <f t="shared" si="16"/>
        <v/>
      </c>
    </row>
    <row r="58" spans="1:34" ht="14.5">
      <c r="A58" s="28">
        <v>52</v>
      </c>
      <c r="B58" s="29" t="str">
        <f>IFERROR(IF(EDATE(B57,1)&gt;DATE(YEAR(Capa!$A$7),MONTH(Capa!$A$7),1),"",EDATE(B57,1)),"")</f>
        <v/>
      </c>
      <c r="C58" s="28" t="str">
        <f t="shared" si="20"/>
        <v/>
      </c>
      <c r="D58" s="30"/>
      <c r="E58" s="28"/>
      <c r="F58" s="28"/>
      <c r="G58" s="28"/>
      <c r="H58" s="28"/>
      <c r="I58" s="28"/>
      <c r="R58" s="37" t="str">
        <f ca="1">IF(P58="","",IFERROR(IF(Capa!$A$2="","Após a celebração do termo de parceria.","Realização da "&amp;OFFSET($Y$6,MATCH(A58,$X$7:$X$66,0),0)-1&amp;"ª reunião da CA e aprovação da liberação de parcela pelo supervisor."),""))</f>
        <v/>
      </c>
      <c r="T58" s="38" t="str">
        <f t="shared" si="17"/>
        <v>Não</v>
      </c>
      <c r="U58" s="38" t="str">
        <f t="shared" si="18"/>
        <v/>
      </c>
      <c r="V58" s="38" t="str">
        <f>Cronogramas!T58</f>
        <v>Não</v>
      </c>
      <c r="W58" s="38"/>
      <c r="X58" s="38">
        <f>COUNTIF(V$7:$V58,"Sim")</f>
        <v>15</v>
      </c>
      <c r="Y58" s="38" t="str">
        <f t="shared" si="19"/>
        <v/>
      </c>
      <c r="Z58" s="45"/>
      <c r="AA58" s="45"/>
      <c r="AB58" s="41">
        <f ca="1">_xlfn.IFNA(IF(V58="Sim",(IFERROR(SUM(OFFSET(AE58,1,,MATCH("Sim",V59:$V$66,0),1))-AC58,0)+IF(Y58-$W$7=1,SUM($AE$6:AE58)-$AF$7,0)+IF(SUM(Y59:$Y$66)=0,SUM(AE59:$AE$66)-AC58+Analítico!$BK$151)),0),0)</f>
        <v>0</v>
      </c>
      <c r="AC58" s="41">
        <f ca="1">IFERROR(IF(V58="Sim",IFERROR(SUM(OFFSET(AD58,1,,MATCH("Sim",T59:$T$66,0),1)),0)+IF(Y58-$W$7=1,SUM($AD$6:AD58),0)+IF(SUM(Y59:$Y$66)=0,SUM(AD59:$AD$66),0),0),0)</f>
        <v>0</v>
      </c>
      <c r="AD58" s="41">
        <f ca="1">SUM(OFFSET(Analítico!$B$10,0,A58,2,1))</f>
        <v>0</v>
      </c>
      <c r="AE58" s="41">
        <f ca="1">OFFSET(Analítico!$B$152,,A58)</f>
        <v>0</v>
      </c>
      <c r="AH58" s="44" t="str">
        <f t="shared" si="16"/>
        <v/>
      </c>
    </row>
    <row r="59" spans="1:34" ht="14.5">
      <c r="A59" s="28">
        <v>53</v>
      </c>
      <c r="B59" s="29" t="str">
        <f>IFERROR(IF(EDATE(B58,1)&gt;DATE(YEAR(Capa!$A$7),MONTH(Capa!$A$7),1),"",EDATE(B58,1)),"")</f>
        <v/>
      </c>
      <c r="C59" s="28" t="str">
        <f t="shared" si="20"/>
        <v/>
      </c>
      <c r="D59" s="30"/>
      <c r="E59" s="28"/>
      <c r="F59" s="28"/>
      <c r="G59" s="28"/>
      <c r="H59" s="28"/>
      <c r="I59" s="28"/>
      <c r="R59" s="37" t="str">
        <f ca="1">IF(P59="","",IFERROR(IF(Capa!$A$2="","Após a celebração do termo de parceria.","Realização da "&amp;OFFSET($Y$6,MATCH(A59,$X$7:$X$66,0),0)-1&amp;"ª reunião da CA e aprovação da liberação de parcela pelo supervisor."),""))</f>
        <v/>
      </c>
      <c r="T59" s="38" t="str">
        <f t="shared" si="17"/>
        <v>Não</v>
      </c>
      <c r="U59" s="38" t="str">
        <f t="shared" si="18"/>
        <v/>
      </c>
      <c r="V59" s="38" t="str">
        <f>Cronogramas!T59</f>
        <v>Não</v>
      </c>
      <c r="W59" s="38"/>
      <c r="X59" s="38">
        <f>COUNTIF(V$7:$V59,"Sim")</f>
        <v>15</v>
      </c>
      <c r="Y59" s="38" t="str">
        <f t="shared" si="19"/>
        <v/>
      </c>
      <c r="Z59" s="45"/>
      <c r="AA59" s="45"/>
      <c r="AB59" s="41">
        <f ca="1">_xlfn.IFNA(IF(V59="Sim",(IFERROR(SUM(OFFSET(AE59,1,,MATCH("Sim",V60:$V$66,0),1))-AC59,0)+IF(Y59-$W$7=1,SUM($AE$6:AE59)-$AF$7,0)+IF(SUM(Y60:$Y$66)=0,SUM(AE60:$AE$66)-AC59+Analítico!$BK$151)),0),0)</f>
        <v>0</v>
      </c>
      <c r="AC59" s="41">
        <f ca="1">IFERROR(IF(V59="Sim",IFERROR(SUM(OFFSET(AD59,1,,MATCH("Sim",T60:$T$66,0),1)),0)+IF(Y59-$W$7=1,SUM($AD$6:AD59),0)+IF(SUM(Y60:$Y$66)=0,SUM(AD60:$AD$66),0),0),0)</f>
        <v>0</v>
      </c>
      <c r="AD59" s="41">
        <f ca="1">SUM(OFFSET(Analítico!$B$10,0,A59,2,1))</f>
        <v>0</v>
      </c>
      <c r="AE59" s="41">
        <f ca="1">OFFSET(Analítico!$B$152,,A59)</f>
        <v>0</v>
      </c>
      <c r="AH59" s="44" t="str">
        <f t="shared" si="16"/>
        <v/>
      </c>
    </row>
    <row r="60" spans="1:34" ht="14.5">
      <c r="A60" s="28">
        <v>54</v>
      </c>
      <c r="B60" s="29" t="str">
        <f>IFERROR(IF(EDATE(B59,1)&gt;DATE(YEAR(Capa!$A$7),MONTH(Capa!$A$7),1),"",EDATE(B59,1)),"")</f>
        <v/>
      </c>
      <c r="C60" s="28" t="str">
        <f t="shared" si="20"/>
        <v/>
      </c>
      <c r="D60" s="30"/>
      <c r="E60" s="28"/>
      <c r="F60" s="28"/>
      <c r="G60" s="28"/>
      <c r="H60" s="28"/>
      <c r="I60" s="28"/>
      <c r="R60" s="37" t="str">
        <f ca="1">IF(P60="","",IFERROR(IF(Capa!$A$2="","Após a celebração do termo de parceria.","Realização da "&amp;OFFSET($Y$6,MATCH(A60,$X$7:$X$66,0),0)-1&amp;"ª reunião da CA e aprovação da liberação de parcela pelo supervisor."),""))</f>
        <v/>
      </c>
      <c r="T60" s="38" t="str">
        <f t="shared" si="17"/>
        <v>Não</v>
      </c>
      <c r="U60" s="38" t="str">
        <f t="shared" si="18"/>
        <v/>
      </c>
      <c r="V60" s="38" t="str">
        <f>Cronogramas!T60</f>
        <v>Não</v>
      </c>
      <c r="W60" s="38"/>
      <c r="X60" s="38">
        <f>COUNTIF(V$7:$V60,"Sim")</f>
        <v>15</v>
      </c>
      <c r="Y60" s="38" t="str">
        <f t="shared" si="19"/>
        <v/>
      </c>
      <c r="Z60" s="45"/>
      <c r="AA60" s="45"/>
      <c r="AB60" s="41">
        <f ca="1">_xlfn.IFNA(IF(V60="Sim",(IFERROR(SUM(OFFSET(AE60,1,,MATCH("Sim",V61:$V$66,0),1))-AC60,0)+IF(Y60-$W$7=1,SUM($AE$6:AE60)-$AF$7,0)+IF(SUM(Y61:$Y$66)=0,SUM(AE61:$AE$66)-AC60+Analítico!$BK$151)),0),0)</f>
        <v>0</v>
      </c>
      <c r="AC60" s="41">
        <f ca="1">IFERROR(IF(V60="Sim",IFERROR(SUM(OFFSET(AD60,1,,MATCH("Sim",T61:$T$66,0),1)),0)+IF(Y60-$W$7=1,SUM($AD$6:AD60),0)+IF(SUM(Y61:$Y$66)=0,SUM(AD61:$AD$66),0),0),0)</f>
        <v>0</v>
      </c>
      <c r="AD60" s="41">
        <f ca="1">SUM(OFFSET(Analítico!$B$10,0,A60,2,1))</f>
        <v>0</v>
      </c>
      <c r="AE60" s="41">
        <f ca="1">OFFSET(Analítico!$B$152,,A60)</f>
        <v>0</v>
      </c>
      <c r="AH60" s="44" t="str">
        <f t="shared" si="16"/>
        <v/>
      </c>
    </row>
    <row r="61" spans="1:34" ht="14.5">
      <c r="A61" s="28">
        <v>55</v>
      </c>
      <c r="B61" s="29" t="str">
        <f>IFERROR(IF(EDATE(B60,1)&gt;DATE(YEAR(Capa!$A$7),MONTH(Capa!$A$7),1),"",EDATE(B60,1)),"")</f>
        <v/>
      </c>
      <c r="C61" s="28" t="str">
        <f t="shared" si="20"/>
        <v/>
      </c>
      <c r="D61" s="30"/>
      <c r="E61" s="28"/>
      <c r="F61" s="28"/>
      <c r="G61" s="28"/>
      <c r="H61" s="28"/>
      <c r="I61" s="28"/>
      <c r="R61" s="37" t="str">
        <f ca="1">IF(P61="","",IFERROR(IF(Capa!$A$2="","Após a celebração do termo de parceria.","Realização da "&amp;OFFSET($Y$6,MATCH(A61,$X$7:$X$66,0),0)-1&amp;"ª reunião da CA e aprovação da liberação de parcela pelo supervisor."),""))</f>
        <v/>
      </c>
      <c r="T61" s="38" t="str">
        <f t="shared" si="17"/>
        <v>Não</v>
      </c>
      <c r="U61" s="38" t="str">
        <f t="shared" si="18"/>
        <v/>
      </c>
      <c r="V61" s="38" t="str">
        <f>Cronogramas!T61</f>
        <v>Não</v>
      </c>
      <c r="W61" s="38"/>
      <c r="X61" s="38">
        <f>COUNTIF(V$7:$V61,"Sim")</f>
        <v>15</v>
      </c>
      <c r="Y61" s="38" t="str">
        <f t="shared" si="19"/>
        <v/>
      </c>
      <c r="Z61" s="45"/>
      <c r="AA61" s="45"/>
      <c r="AB61" s="41">
        <f ca="1">_xlfn.IFNA(IF(V61="Sim",(IFERROR(SUM(OFFSET(AE61,1,,MATCH("Sim",V62:$V$66,0),1))-AC61,0)+IF(Y61-$W$7=1,SUM($AE$6:AE61)-$AF$7,0)+IF(SUM(Y62:$Y$66)=0,SUM(AE62:$AE$66)-AC61+Analítico!$BK$151)),0),0)</f>
        <v>0</v>
      </c>
      <c r="AC61" s="41">
        <f ca="1">IFERROR(IF(V61="Sim",IFERROR(SUM(OFFSET(AD61,1,,MATCH("Sim",T62:$T$66,0),1)),0)+IF(Y61-$W$7=1,SUM($AD$6:AD61),0)+IF(SUM(Y62:$Y$66)=0,SUM(AD62:$AD$66),0),0),0)</f>
        <v>0</v>
      </c>
      <c r="AD61" s="41">
        <f ca="1">SUM(OFFSET(Analítico!$B$10,0,A61,2,1))</f>
        <v>0</v>
      </c>
      <c r="AE61" s="41">
        <f ca="1">OFFSET(Analítico!$B$152,,A61)</f>
        <v>0</v>
      </c>
      <c r="AH61" s="44" t="str">
        <f t="shared" si="16"/>
        <v/>
      </c>
    </row>
    <row r="62" spans="1:34" ht="14.5">
      <c r="A62" s="28">
        <v>56</v>
      </c>
      <c r="B62" s="29" t="str">
        <f>IFERROR(IF(EDATE(B61,1)&gt;DATE(YEAR(Capa!$A$7),MONTH(Capa!$A$7),1),"",EDATE(B61,1)),"")</f>
        <v/>
      </c>
      <c r="C62" s="28" t="str">
        <f t="shared" si="20"/>
        <v/>
      </c>
      <c r="D62" s="30"/>
      <c r="E62" s="28"/>
      <c r="F62" s="28"/>
      <c r="G62" s="28"/>
      <c r="H62" s="28"/>
      <c r="I62" s="28"/>
      <c r="R62" s="37" t="str">
        <f ca="1">IF(P62="","",IFERROR(IF(Capa!$A$2="","Após a celebração do termo de parceria.","Realização da "&amp;OFFSET($Y$6,MATCH(A62,$X$7:$X$66,0),0)-1&amp;"ª reunião da CA e aprovação da liberação de parcela pelo supervisor."),""))</f>
        <v/>
      </c>
      <c r="T62" s="38" t="str">
        <f t="shared" si="17"/>
        <v>Não</v>
      </c>
      <c r="U62" s="38" t="str">
        <f t="shared" si="18"/>
        <v/>
      </c>
      <c r="V62" s="38" t="str">
        <f>Cronogramas!T62</f>
        <v>Não</v>
      </c>
      <c r="W62" s="38"/>
      <c r="X62" s="38">
        <f>COUNTIF(V$7:$V62,"Sim")</f>
        <v>15</v>
      </c>
      <c r="Y62" s="38" t="str">
        <f t="shared" si="19"/>
        <v/>
      </c>
      <c r="Z62" s="45"/>
      <c r="AA62" s="45"/>
      <c r="AB62" s="41">
        <f ca="1">_xlfn.IFNA(IF(V62="Sim",(IFERROR(SUM(OFFSET(AE62,1,,MATCH("Sim",V63:$V$66,0),1))-AC62,0)+IF(Y62-$W$7=1,SUM($AE$6:AE62)-$AF$7,0)+IF(SUM(Y63:$Y$66)=0,SUM(AE63:$AE$66)-AC62+Analítico!$BK$151)),0),0)</f>
        <v>0</v>
      </c>
      <c r="AC62" s="41">
        <f ca="1">IFERROR(IF(V62="Sim",IFERROR(SUM(OFFSET(AD62,1,,MATCH("Sim",T63:$T$66,0),1)),0)+IF(Y62-$W$7=1,SUM($AD$6:AD62),0)+IF(SUM(Y63:$Y$66)=0,SUM(AD63:$AD$66),0),0),0)</f>
        <v>0</v>
      </c>
      <c r="AD62" s="41">
        <f ca="1">SUM(OFFSET(Analítico!$B$10,0,A62,2,1))</f>
        <v>0</v>
      </c>
      <c r="AE62" s="41">
        <f ca="1">OFFSET(Analítico!$B$152,,A62)</f>
        <v>0</v>
      </c>
      <c r="AH62" s="44" t="str">
        <f t="shared" si="16"/>
        <v/>
      </c>
    </row>
    <row r="63" spans="1:34" ht="14.5">
      <c r="A63" s="28">
        <v>57</v>
      </c>
      <c r="B63" s="29" t="str">
        <f>IFERROR(IF(EDATE(B62,1)&gt;DATE(YEAR(Capa!$A$7),MONTH(Capa!$A$7),1),"",EDATE(B62,1)),"")</f>
        <v/>
      </c>
      <c r="C63" s="28" t="str">
        <f t="shared" si="20"/>
        <v/>
      </c>
      <c r="D63" s="30"/>
      <c r="E63" s="28"/>
      <c r="F63" s="28"/>
      <c r="G63" s="28"/>
      <c r="H63" s="28"/>
      <c r="I63" s="28"/>
      <c r="R63" s="37" t="str">
        <f ca="1">IF(P63="","",IFERROR(IF(Capa!$A$2="","Após a celebração do termo de parceria.","Realização da "&amp;OFFSET($Y$6,MATCH(A63,$X$7:$X$66,0),0)-1&amp;"ª reunião da CA e aprovação da liberação de parcela pelo supervisor."),""))</f>
        <v/>
      </c>
      <c r="T63" s="38" t="str">
        <f t="shared" si="17"/>
        <v>Não</v>
      </c>
      <c r="U63" s="38" t="str">
        <f t="shared" si="18"/>
        <v/>
      </c>
      <c r="V63" s="38" t="str">
        <f>Cronogramas!T63</f>
        <v>Não</v>
      </c>
      <c r="W63" s="38"/>
      <c r="X63" s="38">
        <f>COUNTIF(V$7:$V63,"Sim")</f>
        <v>15</v>
      </c>
      <c r="Y63" s="38" t="str">
        <f t="shared" si="19"/>
        <v/>
      </c>
      <c r="Z63" s="45"/>
      <c r="AA63" s="45"/>
      <c r="AB63" s="41">
        <f ca="1">_xlfn.IFNA(IF(V63="Sim",(IFERROR(SUM(OFFSET(AE63,1,,MATCH("Sim",V64:$V$66,0),1))-AC63,0)+IF(Y63-$W$7=1,SUM($AE$6:AE63)-$AF$7,0)+IF(SUM(Y64:$Y$66)=0,SUM(AE64:$AE$66)-AC63+Analítico!$BK$151)),0),0)</f>
        <v>0</v>
      </c>
      <c r="AC63" s="41">
        <f ca="1">IFERROR(IF(V63="Sim",IFERROR(SUM(OFFSET(AD63,1,,MATCH("Sim",T64:$T$66,0),1)),0)+IF(Y63-$W$7=1,SUM($AD$6:AD63),0)+IF(SUM(Y64:$Y$66)=0,SUM(AD64:$AD$66),0),0),0)</f>
        <v>0</v>
      </c>
      <c r="AD63" s="41">
        <f ca="1">SUM(OFFSET(Analítico!$B$10,0,A63,2,1))</f>
        <v>0</v>
      </c>
      <c r="AE63" s="41">
        <f ca="1">OFFSET(Analítico!$B$152,,A63)</f>
        <v>0</v>
      </c>
      <c r="AH63" s="44" t="str">
        <f t="shared" si="16"/>
        <v/>
      </c>
    </row>
    <row r="64" spans="1:34" ht="14.5">
      <c r="A64" s="28">
        <v>58</v>
      </c>
      <c r="B64" s="29" t="str">
        <f>IFERROR(IF(EDATE(B63,1)&gt;DATE(YEAR(Capa!$A$7),MONTH(Capa!$A$7),1),"",EDATE(B63,1)),"")</f>
        <v/>
      </c>
      <c r="C64" s="28" t="str">
        <f t="shared" si="20"/>
        <v/>
      </c>
      <c r="D64" s="30"/>
      <c r="E64" s="28"/>
      <c r="F64" s="28"/>
      <c r="G64" s="28"/>
      <c r="H64" s="28"/>
      <c r="I64" s="28"/>
      <c r="R64" s="37" t="str">
        <f ca="1">IF(P64="","",IFERROR(IF(Capa!$A$2="","Após a celebração do termo de parceria.","Realização da "&amp;OFFSET($Y$6,MATCH(A64,$X$7:$X$66,0),0)-1&amp;"ª reunião da CA e aprovação da liberação de parcela pelo supervisor."),""))</f>
        <v/>
      </c>
      <c r="T64" s="38" t="str">
        <f t="shared" si="17"/>
        <v>Não</v>
      </c>
      <c r="U64" s="38" t="str">
        <f t="shared" si="18"/>
        <v/>
      </c>
      <c r="V64" s="38" t="str">
        <f>Cronogramas!T64</f>
        <v>Não</v>
      </c>
      <c r="W64" s="38"/>
      <c r="X64" s="38">
        <f>COUNTIF(V$7:$V64,"Sim")</f>
        <v>15</v>
      </c>
      <c r="Y64" s="38" t="str">
        <f t="shared" si="19"/>
        <v/>
      </c>
      <c r="Z64" s="45"/>
      <c r="AA64" s="45"/>
      <c r="AB64" s="41">
        <f ca="1">_xlfn.IFNA(IF(V64="Sim",(IFERROR(SUM(OFFSET(AE64,1,,MATCH("Sim",V65:$V$66,0),1))-AC64,0)+IF(Y64-$W$7=1,SUM($AE$6:AE64)-$AF$7,0)+IF(SUM(Y65:$Y$66)=0,SUM(AE65:$AE$66)-AC64+Analítico!$BK$151)),0),0)</f>
        <v>0</v>
      </c>
      <c r="AC64" s="41">
        <f ca="1">IFERROR(IF(V64="Sim",IFERROR(SUM(OFFSET(AD64,1,,MATCH("Sim",T65:$T$66,0),1)),0)+IF(Y64-$W$7=1,SUM($AD$6:AD64),0)+IF(SUM(Y65:$Y$66)=0,SUM(AD65:$AD$66),0),0),0)</f>
        <v>0</v>
      </c>
      <c r="AD64" s="41">
        <f ca="1">SUM(OFFSET(Analítico!$B$10,0,A64,2,1))</f>
        <v>0</v>
      </c>
      <c r="AE64" s="41">
        <f ca="1">OFFSET(Analítico!$B$152,,A64)</f>
        <v>0</v>
      </c>
      <c r="AH64" s="44" t="str">
        <f t="shared" si="16"/>
        <v/>
      </c>
    </row>
    <row r="65" spans="1:34" ht="14.5">
      <c r="A65" s="28">
        <v>59</v>
      </c>
      <c r="B65" s="29" t="str">
        <f>IFERROR(IF(EDATE(B64,1)&gt;DATE(YEAR(Capa!$A$7),MONTH(Capa!$A$7),1),"",EDATE(B64,1)),"")</f>
        <v/>
      </c>
      <c r="C65" s="28" t="str">
        <f t="shared" si="20"/>
        <v/>
      </c>
      <c r="D65" s="30"/>
      <c r="E65" s="28"/>
      <c r="F65" s="28"/>
      <c r="G65" s="28"/>
      <c r="H65" s="28"/>
      <c r="I65" s="28"/>
      <c r="R65" s="37" t="str">
        <f ca="1">IF(P65="","",IFERROR(IF(Capa!$A$2="","Após a celebração do termo de parceria.","Realização da "&amp;OFFSET($Y$6,MATCH(A65,$X$7:$X$66,0),0)-1&amp;"ª reunião da CA e aprovação da liberação de parcela pelo supervisor."),""))</f>
        <v/>
      </c>
      <c r="T65" s="38" t="str">
        <f t="shared" si="17"/>
        <v>Não</v>
      </c>
      <c r="U65" s="38" t="str">
        <f t="shared" si="18"/>
        <v/>
      </c>
      <c r="V65" s="38" t="str">
        <f>Cronogramas!T65</f>
        <v>Não</v>
      </c>
      <c r="W65" s="38"/>
      <c r="X65" s="38">
        <f>COUNTIF(V$7:$V65,"Sim")</f>
        <v>15</v>
      </c>
      <c r="Y65" s="38" t="str">
        <f t="shared" si="19"/>
        <v/>
      </c>
      <c r="Z65" s="45"/>
      <c r="AA65" s="45"/>
      <c r="AB65" s="41">
        <f ca="1">_xlfn.IFNA(IF(V65="Sim",(IFERROR(SUM(OFFSET(AE65,1,,MATCH("Sim",V66:$V$66,0),1))-AC65,0)+IF(Y65-$W$7=1,SUM($AE$6:AE65)-$AF$7,0)+IF(SUM(Y66:$Y$66)=0,SUM(AE66:$AE$66)-AC65+Analítico!$BK$151)),0),0)</f>
        <v>0</v>
      </c>
      <c r="AC65" s="41">
        <f ca="1">IFERROR(IF(V65="Sim",IFERROR(SUM(OFFSET(AD65,1,,MATCH("Sim",T66:$T$66,0),1)),0)+IF(Y65-$W$7=1,SUM($AD$6:AD65),0)+IF(SUM(Y66:$Y$66)=0,SUM(AD66:$AD$66),0),0),0)</f>
        <v>0</v>
      </c>
      <c r="AD65" s="41">
        <f ca="1">SUM(OFFSET(Analítico!$B$10,0,A65,2,1))</f>
        <v>0</v>
      </c>
      <c r="AE65" s="41">
        <f ca="1">OFFSET(Analítico!$B$152,,A65)</f>
        <v>0</v>
      </c>
      <c r="AH65" s="44" t="str">
        <f t="shared" si="16"/>
        <v/>
      </c>
    </row>
    <row r="66" spans="1:34" ht="14.5">
      <c r="A66" s="46">
        <v>60</v>
      </c>
      <c r="B66" s="47" t="str">
        <f>IFERROR(IF(EDATE(B65,1)&gt;DATE(YEAR(Capa!$A$7),MONTH(Capa!$A$7),1),"",EDATE(B65,1)),"")</f>
        <v/>
      </c>
      <c r="C66" s="28" t="str">
        <f t="shared" si="20"/>
        <v/>
      </c>
      <c r="D66" s="30"/>
      <c r="E66" s="28"/>
      <c r="F66" s="28"/>
      <c r="G66" s="28"/>
      <c r="H66" s="28"/>
      <c r="I66" s="28"/>
      <c r="R66" s="37" t="str">
        <f ca="1">IF(P66="","",IFERROR(IF(Capa!$A$2="","Após a celebração do termo de parceria.","Realização da "&amp;OFFSET($Y$6,MATCH(A66,$X$7:$X$66,0),0)-1&amp;"ª reunião da CA e aprovação da liberação de parcela pelo supervisor."),""))</f>
        <v/>
      </c>
      <c r="T66" s="38" t="str">
        <f t="shared" si="17"/>
        <v>Não</v>
      </c>
      <c r="U66" s="38" t="str">
        <f t="shared" si="18"/>
        <v/>
      </c>
      <c r="V66" s="38" t="str">
        <f>Cronogramas!T66</f>
        <v>Não</v>
      </c>
      <c r="W66" s="38"/>
      <c r="X66" s="38">
        <f>COUNTIF(V$7:$V66,"Sim")</f>
        <v>15</v>
      </c>
      <c r="Y66" s="38" t="str">
        <f t="shared" si="19"/>
        <v/>
      </c>
      <c r="Z66" s="45"/>
      <c r="AA66" s="45"/>
      <c r="AB66" s="41">
        <f ca="1">_xlfn.IFNA(IF(V66="Sim",(IFERROR(SUM(OFFSET(AE66,1,,MATCH("Sim",V$66:$V67,0),1))-AC66,0)+IF(Y66-$W$7=1,SUM($AE$6:AE66)-$AF$7,0)+IF(SUM(Y$66:$Y67)=0,SUM(AE$66:$AE67)-AC66+Analítico!$BK$151)),0),0)</f>
        <v>0</v>
      </c>
      <c r="AC66" s="41">
        <f ca="1">IFERROR(IF(V66="Sim",IFERROR(SUM(OFFSET(AD66,1,,MATCH("Sim",T$66:$T67,0),1)),0)+IF(Y66-$W$7=1,SUM($AD$6:AD66),0)+IF(SUM(Y$66:$Y67)=0,SUM(AD$66:$AD67),0),0),0)</f>
        <v>0</v>
      </c>
      <c r="AD66" s="41">
        <f ca="1">SUM(OFFSET(Analítico!$B$10,0,A66,2,1))</f>
        <v>0</v>
      </c>
      <c r="AE66" s="41">
        <f ca="1">OFFSET(Analítico!$B$152,,A66)</f>
        <v>0</v>
      </c>
      <c r="AH66" s="44" t="str">
        <f t="shared" si="16"/>
        <v/>
      </c>
    </row>
  </sheetData>
  <sheetProtection algorithmName="SHA-512" hashValue="+Nb0fIEJZDXFoYWdiE7u7d9xJgB+DBXlPc4ELUIaR2YJrIt5Q2Nevaf0lEUgxAGoTdL2iGpR5RY1iKLgBQuZ0g==" saltValue="BsSRehuplniBeuYlgHLbpQ==" spinCount="100000" sheet="1" objects="1" scenarios="1"/>
  <mergeCells count="5">
    <mergeCell ref="A1:R1"/>
    <mergeCell ref="A5:D5"/>
    <mergeCell ref="F5:I5"/>
    <mergeCell ref="K5:M5"/>
    <mergeCell ref="O5:R5"/>
  </mergeCells>
  <conditionalFormatting sqref="K4:O4">
    <cfRule type="expression" dxfId="40" priority="2">
      <formula>$K$4="Preencher a capa antes de qualquer campo destas tabelas"</formula>
    </cfRule>
  </conditionalFormatting>
  <pageMargins left="0.51180555555555496" right="0.51180555555555496" top="0.78749999999999998" bottom="0.78749999999999998" header="0.51180555555555496" footer="0.51180555555555496"/>
  <pageSetup paperSize="9" scale="46" firstPageNumber="0" orientation="landscape" verticalDpi="3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MJ34"/>
  <sheetViews>
    <sheetView showGridLines="0" zoomScale="120" zoomScaleNormal="120" zoomScalePageLayoutView="85" workbookViewId="0">
      <pane xSplit="2" ySplit="3" topLeftCell="C22" activePane="bottomRight" state="frozen"/>
      <selection pane="topRight" activeCell="C1" sqref="C1"/>
      <selection pane="bottomLeft" activeCell="A4" sqref="A4"/>
      <selection pane="bottomRight" activeCell="D4" sqref="D4"/>
    </sheetView>
  </sheetViews>
  <sheetFormatPr defaultColWidth="17" defaultRowHeight="12.5"/>
  <cols>
    <col min="1" max="1" width="5.1796875" style="48" customWidth="1"/>
    <col min="2" max="2" width="18" style="48" customWidth="1"/>
    <col min="3" max="16" width="12.26953125" style="48" customWidth="1"/>
    <col min="17" max="28" width="12.54296875" style="48" customWidth="1"/>
    <col min="29" max="36" width="12.26953125" style="48" customWidth="1"/>
    <col min="37" max="46" width="12.54296875" style="48" customWidth="1"/>
    <col min="47" max="51" width="13" style="48" customWidth="1"/>
    <col min="52" max="56" width="13" style="48" hidden="1" customWidth="1"/>
    <col min="57" max="62" width="12.54296875" style="48" hidden="1" customWidth="1"/>
    <col min="63" max="63" width="14.7265625" style="49" customWidth="1"/>
    <col min="64" max="64" width="9" style="50" customWidth="1"/>
    <col min="65" max="67" width="17" style="48"/>
    <col min="68" max="68" width="17" style="51"/>
    <col min="69" max="1024" width="17" style="48"/>
  </cols>
  <sheetData>
    <row r="1" spans="1:68" s="52" customFormat="1" ht="42" customHeight="1">
      <c r="B1" s="53"/>
      <c r="C1" s="383" t="str">
        <f>Capa!A1</f>
        <v>Memória de Cálculo
Contrato de Gestão nº 10/2023 celebrado entre a Secretaria de Estado de Justiça e Segurança Pública - SEJUSP e  o Pólo de Evolução de Medidas Socioeducativas</v>
      </c>
      <c r="D1" s="383"/>
      <c r="E1" s="383"/>
      <c r="F1" s="383"/>
      <c r="G1" s="383"/>
      <c r="H1" s="383"/>
      <c r="I1" s="383"/>
      <c r="J1" s="383"/>
      <c r="K1" s="383"/>
      <c r="L1" s="383"/>
      <c r="M1" s="383"/>
      <c r="N1" s="383"/>
      <c r="O1" s="53"/>
      <c r="P1" s="53"/>
      <c r="Q1" s="53"/>
      <c r="R1" s="53"/>
      <c r="S1" s="53"/>
      <c r="T1" s="53"/>
      <c r="U1" s="53"/>
      <c r="V1" s="53"/>
      <c r="W1" s="53"/>
      <c r="X1" s="53"/>
      <c r="Y1" s="53"/>
      <c r="Z1" s="53"/>
      <c r="AA1" s="53"/>
      <c r="AB1" s="53"/>
      <c r="AC1" s="53"/>
      <c r="AD1" s="53"/>
      <c r="AE1" s="53"/>
      <c r="AF1" s="53"/>
      <c r="AG1" s="53"/>
      <c r="AH1" s="53"/>
      <c r="AI1" s="53"/>
      <c r="AJ1" s="53"/>
      <c r="AK1" s="53"/>
      <c r="AL1" s="53"/>
      <c r="AM1" s="53"/>
      <c r="AN1" s="53"/>
      <c r="AO1" s="53"/>
      <c r="AP1" s="53"/>
      <c r="AQ1" s="53"/>
      <c r="AR1" s="53"/>
      <c r="AS1" s="53"/>
      <c r="AT1" s="53"/>
      <c r="AU1" s="53"/>
      <c r="AV1" s="53"/>
      <c r="AW1" s="53"/>
      <c r="AX1" s="53"/>
      <c r="AY1" s="53"/>
      <c r="AZ1" s="53"/>
      <c r="BA1" s="53"/>
      <c r="BB1" s="53"/>
      <c r="BC1" s="53"/>
      <c r="BD1" s="53"/>
      <c r="BE1" s="53"/>
      <c r="BF1" s="53"/>
      <c r="BG1" s="53"/>
      <c r="BH1" s="53"/>
      <c r="BI1" s="53"/>
      <c r="BJ1" s="53"/>
      <c r="BK1" s="53"/>
      <c r="BL1" s="53"/>
      <c r="BM1" s="54"/>
      <c r="BN1" s="54"/>
      <c r="BO1" s="54"/>
      <c r="BP1" s="55"/>
    </row>
    <row r="2" spans="1:68" s="52" customFormat="1" ht="16.5" customHeight="1">
      <c r="A2" s="56"/>
      <c r="B2" s="57"/>
      <c r="C2" s="384" t="s">
        <v>59</v>
      </c>
      <c r="D2" s="384"/>
      <c r="E2" s="384"/>
      <c r="F2" s="384"/>
      <c r="G2" s="384"/>
      <c r="H2" s="384"/>
      <c r="I2" s="384"/>
      <c r="J2" s="384"/>
      <c r="K2" s="384"/>
      <c r="L2" s="384"/>
      <c r="M2" s="384"/>
      <c r="N2" s="384"/>
      <c r="O2" s="384" t="s">
        <v>59</v>
      </c>
      <c r="P2" s="384"/>
      <c r="Q2" s="384"/>
      <c r="R2" s="384"/>
      <c r="S2" s="384"/>
      <c r="T2" s="384"/>
      <c r="U2" s="384"/>
      <c r="V2" s="384"/>
      <c r="W2" s="384"/>
      <c r="X2" s="384"/>
      <c r="Y2" s="384"/>
      <c r="Z2" s="384"/>
      <c r="AA2" s="384" t="s">
        <v>59</v>
      </c>
      <c r="AB2" s="384"/>
      <c r="AC2" s="384"/>
      <c r="AD2" s="384"/>
      <c r="AE2" s="384"/>
      <c r="AF2" s="384"/>
      <c r="AG2" s="384"/>
      <c r="AH2" s="384"/>
      <c r="AI2" s="384"/>
      <c r="AJ2" s="384"/>
      <c r="AK2" s="384"/>
      <c r="AL2" s="384"/>
      <c r="AM2" s="384"/>
      <c r="AN2" s="384"/>
      <c r="AO2" s="384"/>
      <c r="AP2" s="384"/>
      <c r="AQ2" s="384"/>
      <c r="AR2" s="384"/>
      <c r="AS2" s="384"/>
      <c r="AT2" s="384"/>
      <c r="AU2" s="384"/>
      <c r="AV2" s="384"/>
      <c r="AW2" s="384"/>
      <c r="AX2" s="384"/>
      <c r="AY2" s="384"/>
      <c r="AZ2" s="384"/>
      <c r="BA2" s="384"/>
      <c r="BB2" s="384"/>
      <c r="BC2" s="384"/>
      <c r="BD2" s="384"/>
      <c r="BE2" s="384"/>
      <c r="BF2" s="384"/>
      <c r="BG2" s="384"/>
      <c r="BH2" s="384"/>
      <c r="BI2" s="384"/>
      <c r="BJ2" s="384"/>
      <c r="BK2" s="384"/>
      <c r="BL2" s="384"/>
      <c r="BM2" s="54"/>
      <c r="BN2" s="54"/>
      <c r="BO2" s="54"/>
      <c r="BP2" s="55"/>
    </row>
    <row r="3" spans="1:68" ht="21" customHeight="1">
      <c r="A3" s="58"/>
      <c r="B3" s="58"/>
      <c r="C3" s="59">
        <f>Analítico!C3</f>
        <v>45658</v>
      </c>
      <c r="D3" s="59">
        <f>Analítico!D3</f>
        <v>45689</v>
      </c>
      <c r="E3" s="59">
        <f>Analítico!E3</f>
        <v>45717</v>
      </c>
      <c r="F3" s="59">
        <f>Analítico!F3</f>
        <v>45748</v>
      </c>
      <c r="G3" s="59">
        <f>Analítico!G3</f>
        <v>45778</v>
      </c>
      <c r="H3" s="59">
        <f>Analítico!H3</f>
        <v>45809</v>
      </c>
      <c r="I3" s="59">
        <f>Analítico!I3</f>
        <v>45839</v>
      </c>
      <c r="J3" s="59">
        <f>Analítico!J3</f>
        <v>45870</v>
      </c>
      <c r="K3" s="59">
        <f>Analítico!K3</f>
        <v>45901</v>
      </c>
      <c r="L3" s="59">
        <f>Analítico!L3</f>
        <v>45931</v>
      </c>
      <c r="M3" s="59">
        <f>Analítico!M3</f>
        <v>45962</v>
      </c>
      <c r="N3" s="59">
        <f>Analítico!N3</f>
        <v>45992</v>
      </c>
      <c r="O3" s="59">
        <f>Analítico!O3</f>
        <v>46023</v>
      </c>
      <c r="P3" s="59">
        <f>Analítico!P3</f>
        <v>46054</v>
      </c>
      <c r="Q3" s="59">
        <f>Analítico!Q3</f>
        <v>46082</v>
      </c>
      <c r="R3" s="59">
        <f>Analítico!R3</f>
        <v>46113</v>
      </c>
      <c r="S3" s="59">
        <f>Analítico!S3</f>
        <v>46143</v>
      </c>
      <c r="T3" s="59">
        <f>Analítico!T3</f>
        <v>46174</v>
      </c>
      <c r="U3" s="59">
        <f>Analítico!U3</f>
        <v>46204</v>
      </c>
      <c r="V3" s="59">
        <f>Analítico!V3</f>
        <v>46235</v>
      </c>
      <c r="W3" s="59">
        <f>Analítico!W3</f>
        <v>46266</v>
      </c>
      <c r="X3" s="59">
        <f>Analítico!X3</f>
        <v>46296</v>
      </c>
      <c r="Y3" s="59">
        <f>Analítico!Y3</f>
        <v>46327</v>
      </c>
      <c r="Z3" s="59">
        <f>Analítico!Z3</f>
        <v>46357</v>
      </c>
      <c r="AA3" s="59">
        <f>Analítico!AA3</f>
        <v>46388</v>
      </c>
      <c r="AB3" s="59">
        <f>Analítico!AB3</f>
        <v>46419</v>
      </c>
      <c r="AC3" s="59">
        <f>Analítico!AC3</f>
        <v>46447</v>
      </c>
      <c r="AD3" s="59">
        <f>Analítico!AD3</f>
        <v>46478</v>
      </c>
      <c r="AE3" s="59">
        <f>Analítico!AE3</f>
        <v>46508</v>
      </c>
      <c r="AF3" s="59">
        <f>Analítico!AF3</f>
        <v>46539</v>
      </c>
      <c r="AG3" s="59">
        <f>Analítico!AG3</f>
        <v>46569</v>
      </c>
      <c r="AH3" s="59">
        <f>Analítico!AH3</f>
        <v>46600</v>
      </c>
      <c r="AI3" s="59">
        <f>Analítico!AI3</f>
        <v>46631</v>
      </c>
      <c r="AJ3" s="59">
        <f>Analítico!AJ3</f>
        <v>46661</v>
      </c>
      <c r="AK3" s="59">
        <f>Analítico!AK3</f>
        <v>46692</v>
      </c>
      <c r="AL3" s="59">
        <f>Analítico!AL3</f>
        <v>46722</v>
      </c>
      <c r="AM3" s="59">
        <f>Analítico!AM3</f>
        <v>46753</v>
      </c>
      <c r="AN3" s="59">
        <f>Analítico!AN3</f>
        <v>46784</v>
      </c>
      <c r="AO3" s="59">
        <f>Analítico!AO3</f>
        <v>46813</v>
      </c>
      <c r="AP3" s="59">
        <f>Analítico!AP3</f>
        <v>46844</v>
      </c>
      <c r="AQ3" s="59">
        <f>Analítico!AQ3</f>
        <v>46874</v>
      </c>
      <c r="AR3" s="59">
        <f>Analítico!AR3</f>
        <v>46905</v>
      </c>
      <c r="AS3" s="59">
        <f>Analítico!AS3</f>
        <v>46935</v>
      </c>
      <c r="AT3" s="59">
        <f>Analítico!AT3</f>
        <v>46966</v>
      </c>
      <c r="AU3" s="59">
        <f>Analítico!AU3</f>
        <v>46997</v>
      </c>
      <c r="AV3" s="59">
        <f>Analítico!AV3</f>
        <v>47027</v>
      </c>
      <c r="AW3" s="59">
        <f>Analítico!AW3</f>
        <v>47058</v>
      </c>
      <c r="AX3" s="59">
        <f>Analítico!AX3</f>
        <v>47088</v>
      </c>
      <c r="AY3" s="59">
        <f>Analítico!AY3</f>
        <v>47119</v>
      </c>
      <c r="AZ3" s="59">
        <f>Analítico!AZ3</f>
        <v>47150</v>
      </c>
      <c r="BA3" s="59">
        <f>Analítico!BA3</f>
        <v>47178</v>
      </c>
      <c r="BB3" s="59">
        <f>Analítico!BB3</f>
        <v>47209</v>
      </c>
      <c r="BC3" s="59">
        <f>Analítico!BC3</f>
        <v>47239</v>
      </c>
      <c r="BD3" s="59">
        <f>Analítico!BD3</f>
        <v>47270</v>
      </c>
      <c r="BE3" s="59">
        <f>Analítico!BE3</f>
        <v>47300</v>
      </c>
      <c r="BF3" s="59">
        <f>Analítico!BF3</f>
        <v>47331</v>
      </c>
      <c r="BG3" s="59">
        <f>Analítico!BG3</f>
        <v>47362</v>
      </c>
      <c r="BH3" s="59">
        <f>Analítico!BH3</f>
        <v>47392</v>
      </c>
      <c r="BI3" s="59">
        <f>Analítico!BI3</f>
        <v>47423</v>
      </c>
      <c r="BJ3" s="59">
        <f>Analítico!BJ3</f>
        <v>47453</v>
      </c>
      <c r="BK3" s="60" t="s">
        <v>60</v>
      </c>
      <c r="BL3" s="61" t="s">
        <v>61</v>
      </c>
    </row>
    <row r="4" spans="1:68" ht="16.5" customHeight="1">
      <c r="A4" s="62" t="s">
        <v>62</v>
      </c>
      <c r="B4" s="62" t="s">
        <v>63</v>
      </c>
      <c r="C4" s="63">
        <f>Analítico!C4</f>
        <v>26544231.18</v>
      </c>
      <c r="D4" s="63">
        <f>Analítico!D4</f>
        <v>0</v>
      </c>
      <c r="E4" s="63">
        <f>Analítico!E4</f>
        <v>0</v>
      </c>
      <c r="F4" s="63">
        <f>Analítico!F4</f>
        <v>0</v>
      </c>
      <c r="G4" s="63">
        <f>Analítico!G4</f>
        <v>0</v>
      </c>
      <c r="H4" s="63">
        <f>Analítico!H4</f>
        <v>0</v>
      </c>
      <c r="I4" s="63">
        <f>Analítico!I4</f>
        <v>0</v>
      </c>
      <c r="J4" s="63">
        <f>Analítico!J4</f>
        <v>0</v>
      </c>
      <c r="K4" s="63">
        <f>Analítico!K4</f>
        <v>0</v>
      </c>
      <c r="L4" s="63">
        <f>Analítico!L4</f>
        <v>0</v>
      </c>
      <c r="M4" s="63">
        <f>Analítico!M4</f>
        <v>0</v>
      </c>
      <c r="N4" s="63">
        <f>Analítico!N4</f>
        <v>0</v>
      </c>
      <c r="O4" s="63">
        <f>Analítico!O4</f>
        <v>0</v>
      </c>
      <c r="P4" s="63">
        <f>Analítico!P4</f>
        <v>0</v>
      </c>
      <c r="Q4" s="63">
        <f>Analítico!Q4</f>
        <v>0</v>
      </c>
      <c r="R4" s="63">
        <f>Analítico!R4</f>
        <v>0</v>
      </c>
      <c r="S4" s="63">
        <f>Analítico!S4</f>
        <v>0</v>
      </c>
      <c r="T4" s="63">
        <f>Analítico!T4</f>
        <v>0</v>
      </c>
      <c r="U4" s="63">
        <f>Analítico!U4</f>
        <v>0</v>
      </c>
      <c r="V4" s="63">
        <f>Analítico!V4</f>
        <v>0</v>
      </c>
      <c r="W4" s="63">
        <f>Analítico!W4</f>
        <v>0</v>
      </c>
      <c r="X4" s="63">
        <f>Analítico!X4</f>
        <v>0</v>
      </c>
      <c r="Y4" s="63">
        <f>Analítico!Y4</f>
        <v>0</v>
      </c>
      <c r="Z4" s="63">
        <f>Analítico!Z4</f>
        <v>0</v>
      </c>
      <c r="AA4" s="63">
        <f>Analítico!AA4</f>
        <v>0</v>
      </c>
      <c r="AB4" s="63">
        <f>Analítico!AB4</f>
        <v>0</v>
      </c>
      <c r="AC4" s="63">
        <f>Analítico!AC4</f>
        <v>0</v>
      </c>
      <c r="AD4" s="63">
        <f>Analítico!AD4</f>
        <v>0</v>
      </c>
      <c r="AE4" s="63">
        <f>Analítico!AE4</f>
        <v>0</v>
      </c>
      <c r="AF4" s="63">
        <f>Analítico!AF4</f>
        <v>0</v>
      </c>
      <c r="AG4" s="63">
        <f>Analítico!AG4</f>
        <v>0</v>
      </c>
      <c r="AH4" s="63">
        <f>Analítico!AH4</f>
        <v>0</v>
      </c>
      <c r="AI4" s="63">
        <f>Analítico!AI4</f>
        <v>0</v>
      </c>
      <c r="AJ4" s="63">
        <f>Analítico!AJ4</f>
        <v>0</v>
      </c>
      <c r="AK4" s="63">
        <f>Analítico!AK4</f>
        <v>0</v>
      </c>
      <c r="AL4" s="63">
        <f>Analítico!AL4</f>
        <v>0</v>
      </c>
      <c r="AM4" s="63">
        <f>Analítico!AM4</f>
        <v>0</v>
      </c>
      <c r="AN4" s="63">
        <f>Analítico!AN4</f>
        <v>0</v>
      </c>
      <c r="AO4" s="63">
        <f>Analítico!AO4</f>
        <v>0</v>
      </c>
      <c r="AP4" s="63">
        <f>Analítico!AP4</f>
        <v>0</v>
      </c>
      <c r="AQ4" s="63">
        <f>Analítico!AQ4</f>
        <v>0</v>
      </c>
      <c r="AR4" s="63">
        <f>Analítico!AR4</f>
        <v>0</v>
      </c>
      <c r="AS4" s="63">
        <f>Analítico!AS4</f>
        <v>0</v>
      </c>
      <c r="AT4" s="63">
        <f>Analítico!AT4</f>
        <v>0</v>
      </c>
      <c r="AU4" s="63">
        <f>Analítico!AU4</f>
        <v>0</v>
      </c>
      <c r="AV4" s="63">
        <f>Analítico!AV4</f>
        <v>0</v>
      </c>
      <c r="AW4" s="63">
        <f>Analítico!AW4</f>
        <v>0</v>
      </c>
      <c r="AX4" s="63">
        <f>Analítico!AX4</f>
        <v>0</v>
      </c>
      <c r="AY4" s="63">
        <f>Analítico!AY4</f>
        <v>0</v>
      </c>
      <c r="AZ4" s="63">
        <f>Analítico!AZ4</f>
        <v>0</v>
      </c>
      <c r="BA4" s="63">
        <f>Analítico!BA4</f>
        <v>0</v>
      </c>
      <c r="BB4" s="63">
        <f>Analítico!BB4</f>
        <v>0</v>
      </c>
      <c r="BC4" s="63">
        <f>Analítico!BC4</f>
        <v>0</v>
      </c>
      <c r="BD4" s="63">
        <f>Analítico!BD4</f>
        <v>0</v>
      </c>
      <c r="BE4" s="63">
        <f>Analítico!BE4</f>
        <v>0</v>
      </c>
      <c r="BF4" s="63">
        <f>Analítico!BF4</f>
        <v>0</v>
      </c>
      <c r="BG4" s="63">
        <f>Analítico!BG4</f>
        <v>0</v>
      </c>
      <c r="BH4" s="63">
        <f>Analítico!BH4</f>
        <v>0</v>
      </c>
      <c r="BI4" s="63">
        <f>Analítico!BI4</f>
        <v>0</v>
      </c>
      <c r="BJ4" s="63">
        <f>Analítico!BJ4</f>
        <v>0</v>
      </c>
      <c r="BK4" s="64">
        <f>C4</f>
        <v>26544231.18</v>
      </c>
      <c r="BL4" s="65">
        <f ca="1">IF($C$4=0,0,C4/$BK$15)</f>
        <v>9.1391737766569586E-2</v>
      </c>
    </row>
    <row r="5" spans="1:68" ht="7.5" customHeight="1">
      <c r="A5" s="385"/>
      <c r="B5" s="385"/>
      <c r="C5" s="66"/>
      <c r="D5" s="67"/>
      <c r="E5" s="67"/>
      <c r="F5" s="67"/>
      <c r="G5" s="67"/>
      <c r="H5" s="67"/>
      <c r="I5" s="67"/>
      <c r="J5" s="67"/>
      <c r="K5" s="67"/>
      <c r="L5" s="67"/>
      <c r="M5" s="67"/>
      <c r="N5" s="67"/>
      <c r="O5" s="67"/>
      <c r="P5" s="67"/>
      <c r="Q5" s="67"/>
      <c r="R5" s="67"/>
      <c r="S5" s="67"/>
      <c r="T5" s="67"/>
      <c r="U5" s="67"/>
      <c r="V5" s="67"/>
      <c r="W5" s="67"/>
      <c r="X5" s="67"/>
      <c r="Y5" s="67"/>
      <c r="Z5" s="67"/>
      <c r="AA5" s="67"/>
      <c r="AB5" s="67"/>
      <c r="AC5" s="67"/>
      <c r="AD5" s="67"/>
      <c r="AE5" s="67"/>
      <c r="AF5" s="67"/>
      <c r="AG5" s="67"/>
      <c r="AH5" s="67"/>
      <c r="AI5" s="67"/>
      <c r="AJ5" s="67"/>
      <c r="AK5" s="67"/>
      <c r="AL5" s="67"/>
      <c r="AM5" s="67"/>
      <c r="AN5" s="67"/>
      <c r="AO5" s="67"/>
      <c r="AP5" s="67"/>
      <c r="AQ5" s="67"/>
      <c r="AR5" s="67"/>
      <c r="AS5" s="67"/>
      <c r="AT5" s="67"/>
      <c r="AU5" s="67"/>
      <c r="AV5" s="67"/>
      <c r="AW5" s="67"/>
      <c r="AX5" s="67"/>
      <c r="AY5" s="67"/>
      <c r="AZ5" s="67"/>
      <c r="BA5" s="67"/>
      <c r="BB5" s="67"/>
      <c r="BC5" s="67"/>
      <c r="BD5" s="67"/>
      <c r="BE5" s="67"/>
      <c r="BF5" s="67"/>
      <c r="BG5" s="67"/>
      <c r="BH5" s="67"/>
      <c r="BI5" s="67"/>
      <c r="BJ5" s="67"/>
      <c r="BK5" s="68"/>
      <c r="BL5" s="69"/>
    </row>
    <row r="6" spans="1:68" ht="21" customHeight="1">
      <c r="A6" s="70">
        <v>1</v>
      </c>
      <c r="B6" s="70" t="s">
        <v>64</v>
      </c>
      <c r="C6" s="71"/>
      <c r="D6" s="71"/>
      <c r="E6" s="71"/>
      <c r="F6" s="71"/>
      <c r="G6" s="71"/>
      <c r="H6" s="71"/>
      <c r="I6" s="71"/>
      <c r="J6" s="71"/>
      <c r="K6" s="71"/>
      <c r="L6" s="71"/>
      <c r="M6" s="71"/>
      <c r="N6" s="71"/>
      <c r="O6" s="71"/>
      <c r="P6" s="71"/>
      <c r="Q6" s="71"/>
      <c r="R6" s="71"/>
      <c r="S6" s="71"/>
      <c r="T6" s="71"/>
      <c r="U6" s="71"/>
      <c r="V6" s="71"/>
      <c r="W6" s="71"/>
      <c r="X6" s="71"/>
      <c r="Y6" s="71"/>
      <c r="Z6" s="71"/>
      <c r="AA6" s="71"/>
      <c r="AB6" s="71"/>
      <c r="AC6" s="71"/>
      <c r="AD6" s="71"/>
      <c r="AE6" s="71"/>
      <c r="AF6" s="71"/>
      <c r="AG6" s="71"/>
      <c r="AH6" s="71"/>
      <c r="AI6" s="71"/>
      <c r="AJ6" s="71"/>
      <c r="AK6" s="71"/>
      <c r="AL6" s="71"/>
      <c r="AM6" s="71"/>
      <c r="AN6" s="71"/>
      <c r="AO6" s="71"/>
      <c r="AP6" s="71"/>
      <c r="AQ6" s="71"/>
      <c r="AR6" s="71"/>
      <c r="AS6" s="71"/>
      <c r="AT6" s="71"/>
      <c r="AU6" s="71"/>
      <c r="AV6" s="71"/>
      <c r="AW6" s="71"/>
      <c r="AX6" s="71"/>
      <c r="AY6" s="71"/>
      <c r="AZ6" s="71"/>
      <c r="BA6" s="71"/>
      <c r="BB6" s="71"/>
      <c r="BC6" s="71"/>
      <c r="BD6" s="71"/>
      <c r="BE6" s="71"/>
      <c r="BF6" s="71"/>
      <c r="BG6" s="71"/>
      <c r="BH6" s="71"/>
      <c r="BI6" s="71"/>
      <c r="BJ6" s="71"/>
      <c r="BK6" s="60"/>
      <c r="BL6" s="61"/>
    </row>
    <row r="7" spans="1:68" ht="21" customHeight="1">
      <c r="A7" s="72" t="s">
        <v>65</v>
      </c>
      <c r="B7" s="73" t="s">
        <v>36</v>
      </c>
      <c r="C7" s="74">
        <f ca="1">Analítico!C7</f>
        <v>0</v>
      </c>
      <c r="D7" s="74">
        <f ca="1">Analítico!D7</f>
        <v>0</v>
      </c>
      <c r="E7" s="74">
        <f ca="1">Analítico!E7</f>
        <v>0</v>
      </c>
      <c r="F7" s="74">
        <f ca="1">Analítico!F7</f>
        <v>12954344.005534168</v>
      </c>
      <c r="G7" s="74">
        <f ca="1">Analítico!G7</f>
        <v>0</v>
      </c>
      <c r="H7" s="74">
        <f ca="1">Analítico!H7</f>
        <v>0</v>
      </c>
      <c r="I7" s="74">
        <f ca="1">Analítico!I7</f>
        <v>17716703.716164842</v>
      </c>
      <c r="J7" s="74">
        <f ca="1">Analítico!J7</f>
        <v>0</v>
      </c>
      <c r="K7" s="74">
        <f ca="1">Analítico!K7</f>
        <v>0</v>
      </c>
      <c r="L7" s="74">
        <f ca="1">Analítico!L7</f>
        <v>18289322.559297673</v>
      </c>
      <c r="M7" s="74">
        <f ca="1">Analítico!M7</f>
        <v>0</v>
      </c>
      <c r="N7" s="74">
        <f ca="1">Analítico!N7</f>
        <v>0</v>
      </c>
      <c r="O7" s="74">
        <f ca="1">Analítico!O7</f>
        <v>18508106.360732958</v>
      </c>
      <c r="P7" s="74">
        <f ca="1">Analítico!P7</f>
        <v>0</v>
      </c>
      <c r="Q7" s="74">
        <f ca="1">Analítico!Q7</f>
        <v>0</v>
      </c>
      <c r="R7" s="74">
        <f ca="1">Analítico!R7</f>
        <v>19043296.534946188</v>
      </c>
      <c r="S7" s="74">
        <f ca="1">Analítico!S7</f>
        <v>0</v>
      </c>
      <c r="T7" s="74">
        <f ca="1">Analítico!T7</f>
        <v>0</v>
      </c>
      <c r="U7" s="74">
        <f ca="1">Analítico!U7</f>
        <v>18970366.97494619</v>
      </c>
      <c r="V7" s="74">
        <f ca="1">Analítico!V7</f>
        <v>0</v>
      </c>
      <c r="W7" s="74">
        <f ca="1">Analítico!W7</f>
        <v>0</v>
      </c>
      <c r="X7" s="74">
        <f ca="1">Analítico!X7</f>
        <v>19105368.522977002</v>
      </c>
      <c r="Y7" s="74">
        <f ca="1">Analítico!Y7</f>
        <v>0</v>
      </c>
      <c r="Z7" s="74">
        <f ca="1">Analítico!Z7</f>
        <v>0</v>
      </c>
      <c r="AA7" s="74">
        <f ca="1">Analítico!AA7</f>
        <v>19461074.459038623</v>
      </c>
      <c r="AB7" s="74">
        <f ca="1">Analítico!AB7</f>
        <v>0</v>
      </c>
      <c r="AC7" s="74">
        <f ca="1">Analítico!AC7</f>
        <v>0</v>
      </c>
      <c r="AD7" s="74">
        <f ca="1">Analítico!AD7</f>
        <v>20008887.108192839</v>
      </c>
      <c r="AE7" s="74">
        <f ca="1">Analítico!AE7</f>
        <v>0</v>
      </c>
      <c r="AF7" s="74">
        <f ca="1">Analítico!AF7</f>
        <v>0</v>
      </c>
      <c r="AG7" s="74">
        <f ca="1">Analítico!AG7</f>
        <v>19928797.108192839</v>
      </c>
      <c r="AH7" s="74">
        <f ca="1">Analítico!AH7</f>
        <v>0</v>
      </c>
      <c r="AI7" s="74">
        <f ca="1">Analítico!AI7</f>
        <v>0</v>
      </c>
      <c r="AJ7" s="74">
        <f ca="1">Analítico!AJ7</f>
        <v>19229880.081545778</v>
      </c>
      <c r="AK7" s="74">
        <f ca="1">Analítico!AK7</f>
        <v>0</v>
      </c>
      <c r="AL7" s="74">
        <f ca="1">Analítico!AL7</f>
        <v>0</v>
      </c>
      <c r="AM7" s="74">
        <f ca="1">Analítico!AM7</f>
        <v>17602078.44825165</v>
      </c>
      <c r="AN7" s="74">
        <f ca="1">Analítico!AN7</f>
        <v>0</v>
      </c>
      <c r="AO7" s="74">
        <f ca="1">Analítico!AO7</f>
        <v>0</v>
      </c>
      <c r="AP7" s="74">
        <f ca="1">Analítico!AP7</f>
        <v>18358045.650228716</v>
      </c>
      <c r="AQ7" s="74">
        <f ca="1">Analítico!AQ7</f>
        <v>0</v>
      </c>
      <c r="AR7" s="74">
        <f ca="1">Analítico!AR7</f>
        <v>0</v>
      </c>
      <c r="AS7" s="74">
        <f ca="1">Analítico!AS7</f>
        <v>18347925.99022872</v>
      </c>
      <c r="AT7" s="74">
        <f ca="1">Analítico!AT7</f>
        <v>0</v>
      </c>
      <c r="AU7" s="74">
        <f ca="1">Analítico!AU7</f>
        <v>0</v>
      </c>
      <c r="AV7" s="74">
        <f ca="1">Analítico!AV7</f>
        <v>6376110.6934095733</v>
      </c>
      <c r="AW7" s="74">
        <f ca="1">Analítico!AW7</f>
        <v>0</v>
      </c>
      <c r="AX7" s="74">
        <f ca="1">Analítico!AX7</f>
        <v>0</v>
      </c>
      <c r="AY7" s="74">
        <f ca="1">Analítico!AY7</f>
        <v>0</v>
      </c>
      <c r="AZ7" s="74">
        <f ca="1">Analítico!AZ7</f>
        <v>0</v>
      </c>
      <c r="BA7" s="74">
        <f ca="1">Analítico!BA7</f>
        <v>0</v>
      </c>
      <c r="BB7" s="74">
        <f ca="1">Analítico!BB7</f>
        <v>0</v>
      </c>
      <c r="BC7" s="74">
        <f ca="1">Analítico!BC7</f>
        <v>0</v>
      </c>
      <c r="BD7" s="74">
        <f ca="1">Analítico!BD7</f>
        <v>0</v>
      </c>
      <c r="BE7" s="74">
        <f ca="1">Analítico!BE7</f>
        <v>0</v>
      </c>
      <c r="BF7" s="74">
        <f ca="1">Analítico!BF7</f>
        <v>0</v>
      </c>
      <c r="BG7" s="74">
        <f ca="1">Analítico!BG7</f>
        <v>0</v>
      </c>
      <c r="BH7" s="74">
        <f ca="1">Analítico!BH7</f>
        <v>0</v>
      </c>
      <c r="BI7" s="74">
        <f ca="1">Analítico!BI7</f>
        <v>0</v>
      </c>
      <c r="BJ7" s="74">
        <f ca="1">Analítico!BJ7</f>
        <v>0</v>
      </c>
      <c r="BK7" s="74">
        <f ca="1">SUM(C7:BJ7)</f>
        <v>263900308.21368769</v>
      </c>
      <c r="BL7" s="75">
        <f ca="1">IF($BK$15=0,0,BK7/$BK$15)</f>
        <v>0.90860826223343027</v>
      </c>
    </row>
    <row r="8" spans="1:68" ht="21" customHeight="1">
      <c r="A8" s="76" t="s">
        <v>66</v>
      </c>
      <c r="B8" s="77" t="s">
        <v>67</v>
      </c>
      <c r="C8" s="78">
        <f>Analítico!C8</f>
        <v>0</v>
      </c>
      <c r="D8" s="78">
        <f>Analítico!D8</f>
        <v>0</v>
      </c>
      <c r="E8" s="78">
        <f>Analítico!E8</f>
        <v>0</v>
      </c>
      <c r="F8" s="78">
        <f>Analítico!F8</f>
        <v>0</v>
      </c>
      <c r="G8" s="78">
        <f>Analítico!G8</f>
        <v>0</v>
      </c>
      <c r="H8" s="78">
        <f>Analítico!H8</f>
        <v>0</v>
      </c>
      <c r="I8" s="78">
        <f>Analítico!I8</f>
        <v>0</v>
      </c>
      <c r="J8" s="78">
        <f>Analítico!J8</f>
        <v>0</v>
      </c>
      <c r="K8" s="78">
        <f>Analítico!K8</f>
        <v>0</v>
      </c>
      <c r="L8" s="78">
        <f>Analítico!L8</f>
        <v>0</v>
      </c>
      <c r="M8" s="78">
        <f>Analítico!M8</f>
        <v>0</v>
      </c>
      <c r="N8" s="78">
        <f>Analítico!N8</f>
        <v>0</v>
      </c>
      <c r="O8" s="78">
        <f>Analítico!O8</f>
        <v>0</v>
      </c>
      <c r="P8" s="78">
        <f>Analítico!P8</f>
        <v>0</v>
      </c>
      <c r="Q8" s="78">
        <f>Analítico!Q8</f>
        <v>0</v>
      </c>
      <c r="R8" s="78">
        <f>Analítico!R8</f>
        <v>0</v>
      </c>
      <c r="S8" s="78">
        <f>Analítico!S8</f>
        <v>0</v>
      </c>
      <c r="T8" s="78">
        <f>Analítico!T8</f>
        <v>0</v>
      </c>
      <c r="U8" s="78">
        <f>Analítico!U8</f>
        <v>0</v>
      </c>
      <c r="V8" s="78">
        <f>Analítico!V8</f>
        <v>0</v>
      </c>
      <c r="W8" s="78">
        <f>Analítico!W8</f>
        <v>0</v>
      </c>
      <c r="X8" s="78">
        <f>Analítico!X8</f>
        <v>0</v>
      </c>
      <c r="Y8" s="78">
        <f>Analítico!Y8</f>
        <v>0</v>
      </c>
      <c r="Z8" s="78">
        <f>Analítico!Z8</f>
        <v>0</v>
      </c>
      <c r="AA8" s="78">
        <f>Analítico!AA8</f>
        <v>0</v>
      </c>
      <c r="AB8" s="78">
        <f>Analítico!AB8</f>
        <v>0</v>
      </c>
      <c r="AC8" s="78">
        <f>Analítico!AC8</f>
        <v>0</v>
      </c>
      <c r="AD8" s="78">
        <f>Analítico!AD8</f>
        <v>0</v>
      </c>
      <c r="AE8" s="78">
        <f>Analítico!AE8</f>
        <v>0</v>
      </c>
      <c r="AF8" s="78">
        <f>Analítico!AF8</f>
        <v>0</v>
      </c>
      <c r="AG8" s="78">
        <f>Analítico!AG8</f>
        <v>0</v>
      </c>
      <c r="AH8" s="78">
        <f>Analítico!AH8</f>
        <v>0</v>
      </c>
      <c r="AI8" s="78">
        <f>Analítico!AI8</f>
        <v>0</v>
      </c>
      <c r="AJ8" s="78">
        <f>Analítico!AJ8</f>
        <v>0</v>
      </c>
      <c r="AK8" s="78">
        <f>Analítico!AK8</f>
        <v>0</v>
      </c>
      <c r="AL8" s="78">
        <f>Analítico!AL8</f>
        <v>0</v>
      </c>
      <c r="AM8" s="78">
        <f>Analítico!AM8</f>
        <v>0</v>
      </c>
      <c r="AN8" s="78">
        <f>Analítico!AN8</f>
        <v>0</v>
      </c>
      <c r="AO8" s="78">
        <f>Analítico!AO8</f>
        <v>0</v>
      </c>
      <c r="AP8" s="78">
        <f>Analítico!AP8</f>
        <v>0</v>
      </c>
      <c r="AQ8" s="78">
        <f>Analítico!AQ8</f>
        <v>0</v>
      </c>
      <c r="AR8" s="78">
        <f>Analítico!AR8</f>
        <v>0</v>
      </c>
      <c r="AS8" s="78">
        <f>Analítico!AS8</f>
        <v>0</v>
      </c>
      <c r="AT8" s="78">
        <f>Analítico!AT8</f>
        <v>0</v>
      </c>
      <c r="AU8" s="78">
        <f>Analítico!AU8</f>
        <v>0</v>
      </c>
      <c r="AV8" s="78">
        <f>Analítico!AV8</f>
        <v>0</v>
      </c>
      <c r="AW8" s="78">
        <f>Analítico!AW8</f>
        <v>0</v>
      </c>
      <c r="AX8" s="78">
        <f>Analítico!AX8</f>
        <v>0</v>
      </c>
      <c r="AY8" s="78">
        <f>Analítico!AY8</f>
        <v>0</v>
      </c>
      <c r="AZ8" s="78">
        <f>Analítico!AZ8</f>
        <v>0</v>
      </c>
      <c r="BA8" s="78">
        <f>Analítico!BA8</f>
        <v>0</v>
      </c>
      <c r="BB8" s="78">
        <f>Analítico!BB8</f>
        <v>0</v>
      </c>
      <c r="BC8" s="78">
        <f>Analítico!BC8</f>
        <v>0</v>
      </c>
      <c r="BD8" s="78">
        <f>Analítico!BD8</f>
        <v>0</v>
      </c>
      <c r="BE8" s="78">
        <f>Analítico!BE8</f>
        <v>0</v>
      </c>
      <c r="BF8" s="78">
        <f>Analítico!BF8</f>
        <v>0</v>
      </c>
      <c r="BG8" s="78">
        <f>Analítico!BG8</f>
        <v>0</v>
      </c>
      <c r="BH8" s="78">
        <f>Analítico!BH8</f>
        <v>0</v>
      </c>
      <c r="BI8" s="78">
        <f>Analítico!BI8</f>
        <v>0</v>
      </c>
      <c r="BJ8" s="78">
        <f>Analítico!BJ8</f>
        <v>0</v>
      </c>
      <c r="BK8" s="78">
        <f>SUM(C8:BJ8)</f>
        <v>0</v>
      </c>
      <c r="BL8" s="79">
        <f ca="1">IF($BK$15=0,0,BK8/$BK$15)</f>
        <v>0</v>
      </c>
    </row>
    <row r="9" spans="1:68">
      <c r="A9" s="80" t="s">
        <v>68</v>
      </c>
      <c r="B9" s="81" t="s">
        <v>37</v>
      </c>
      <c r="C9" s="82"/>
      <c r="D9" s="82"/>
      <c r="E9" s="82"/>
      <c r="F9" s="82"/>
      <c r="G9" s="82"/>
      <c r="H9" s="82"/>
      <c r="I9" s="82"/>
      <c r="J9" s="82"/>
      <c r="K9" s="82"/>
      <c r="L9" s="82"/>
      <c r="M9" s="82"/>
      <c r="N9" s="82"/>
      <c r="O9" s="82"/>
      <c r="P9" s="82"/>
      <c r="Q9" s="82"/>
      <c r="R9" s="82"/>
      <c r="S9" s="82"/>
      <c r="T9" s="82"/>
      <c r="U9" s="82"/>
      <c r="V9" s="82"/>
      <c r="W9" s="82"/>
      <c r="X9" s="82"/>
      <c r="Y9" s="82"/>
      <c r="Z9" s="82"/>
      <c r="AA9" s="82"/>
      <c r="AB9" s="82"/>
      <c r="AC9" s="82"/>
      <c r="AD9" s="82"/>
      <c r="AE9" s="82"/>
      <c r="AF9" s="82"/>
      <c r="AG9" s="82"/>
      <c r="AH9" s="82"/>
      <c r="AI9" s="82"/>
      <c r="AJ9" s="82"/>
      <c r="AK9" s="82"/>
      <c r="AL9" s="82"/>
      <c r="AM9" s="82"/>
      <c r="AN9" s="82"/>
      <c r="AO9" s="82"/>
      <c r="AP9" s="82"/>
      <c r="AQ9" s="82"/>
      <c r="AR9" s="82"/>
      <c r="AS9" s="82"/>
      <c r="AT9" s="82"/>
      <c r="AU9" s="82"/>
      <c r="AV9" s="82"/>
      <c r="AW9" s="82"/>
      <c r="AX9" s="82"/>
      <c r="AY9" s="82"/>
      <c r="AZ9" s="82"/>
      <c r="BA9" s="82"/>
      <c r="BB9" s="82"/>
      <c r="BC9" s="82"/>
      <c r="BD9" s="82"/>
      <c r="BE9" s="82"/>
      <c r="BF9" s="82"/>
      <c r="BG9" s="82"/>
      <c r="BH9" s="82"/>
      <c r="BI9" s="82"/>
      <c r="BJ9" s="82"/>
      <c r="BK9" s="82"/>
      <c r="BL9" s="83"/>
    </row>
    <row r="10" spans="1:68" ht="21.75" customHeight="1">
      <c r="A10" s="84" t="s">
        <v>69</v>
      </c>
      <c r="B10" s="81" t="s">
        <v>70</v>
      </c>
      <c r="C10" s="82">
        <f>Analítico!C10</f>
        <v>0</v>
      </c>
      <c r="D10" s="82">
        <f>Analítico!D10</f>
        <v>0</v>
      </c>
      <c r="E10" s="82">
        <f>Analítico!E10</f>
        <v>0</v>
      </c>
      <c r="F10" s="82">
        <f>Analítico!F10</f>
        <v>0</v>
      </c>
      <c r="G10" s="82">
        <f>Analítico!G10</f>
        <v>0</v>
      </c>
      <c r="H10" s="82">
        <f>Analítico!H10</f>
        <v>0</v>
      </c>
      <c r="I10" s="82">
        <f>Analítico!I10</f>
        <v>0</v>
      </c>
      <c r="J10" s="82">
        <f>Analítico!J10</f>
        <v>0</v>
      </c>
      <c r="K10" s="82">
        <f>Analítico!K10</f>
        <v>0</v>
      </c>
      <c r="L10" s="82">
        <f>Analítico!L10</f>
        <v>0</v>
      </c>
      <c r="M10" s="82">
        <f>Analítico!M10</f>
        <v>0</v>
      </c>
      <c r="N10" s="82">
        <f>Analítico!N10</f>
        <v>0</v>
      </c>
      <c r="O10" s="82">
        <f>Analítico!O10</f>
        <v>0</v>
      </c>
      <c r="P10" s="82">
        <f>Analítico!P10</f>
        <v>0</v>
      </c>
      <c r="Q10" s="82">
        <f>Analítico!Q10</f>
        <v>0</v>
      </c>
      <c r="R10" s="82">
        <f>Analítico!R10</f>
        <v>0</v>
      </c>
      <c r="S10" s="82">
        <f>Analítico!S10</f>
        <v>0</v>
      </c>
      <c r="T10" s="82">
        <f>Analítico!T10</f>
        <v>0</v>
      </c>
      <c r="U10" s="82">
        <f>Analítico!U10</f>
        <v>0</v>
      </c>
      <c r="V10" s="82">
        <f>Analítico!V10</f>
        <v>0</v>
      </c>
      <c r="W10" s="82">
        <f>Analítico!W10</f>
        <v>0</v>
      </c>
      <c r="X10" s="82">
        <f>Analítico!X10</f>
        <v>0</v>
      </c>
      <c r="Y10" s="82">
        <f>Analítico!Y10</f>
        <v>0</v>
      </c>
      <c r="Z10" s="82">
        <f>Analítico!Z10</f>
        <v>0</v>
      </c>
      <c r="AA10" s="82">
        <f>Analítico!AA10</f>
        <v>0</v>
      </c>
      <c r="AB10" s="82">
        <f>Analítico!AB10</f>
        <v>0</v>
      </c>
      <c r="AC10" s="82">
        <f>Analítico!AC10</f>
        <v>0</v>
      </c>
      <c r="AD10" s="82">
        <f>Analítico!AD10</f>
        <v>0</v>
      </c>
      <c r="AE10" s="82">
        <f>Analítico!AE10</f>
        <v>0</v>
      </c>
      <c r="AF10" s="82">
        <f>Analítico!AF10</f>
        <v>0</v>
      </c>
      <c r="AG10" s="82">
        <f>Analítico!AG10</f>
        <v>0</v>
      </c>
      <c r="AH10" s="82">
        <f>Analítico!AH10</f>
        <v>0</v>
      </c>
      <c r="AI10" s="82">
        <f>Analítico!AI10</f>
        <v>0</v>
      </c>
      <c r="AJ10" s="82">
        <f>Analítico!AJ10</f>
        <v>0</v>
      </c>
      <c r="AK10" s="82">
        <f>Analítico!AK10</f>
        <v>0</v>
      </c>
      <c r="AL10" s="82">
        <f>Analítico!AL10</f>
        <v>0</v>
      </c>
      <c r="AM10" s="82">
        <f>Analítico!AM10</f>
        <v>0</v>
      </c>
      <c r="AN10" s="82">
        <f>Analítico!AN10</f>
        <v>0</v>
      </c>
      <c r="AO10" s="82">
        <f>Analítico!AO10</f>
        <v>0</v>
      </c>
      <c r="AP10" s="82">
        <f>Analítico!AP10</f>
        <v>0</v>
      </c>
      <c r="AQ10" s="82">
        <f>Analítico!AQ10</f>
        <v>0</v>
      </c>
      <c r="AR10" s="82">
        <f>Analítico!AR10</f>
        <v>0</v>
      </c>
      <c r="AS10" s="82">
        <f>Analítico!AS10</f>
        <v>0</v>
      </c>
      <c r="AT10" s="82">
        <f>Analítico!AT10</f>
        <v>0</v>
      </c>
      <c r="AU10" s="82">
        <f>Analítico!AU10</f>
        <v>0</v>
      </c>
      <c r="AV10" s="82">
        <f>Analítico!AV10</f>
        <v>0</v>
      </c>
      <c r="AW10" s="82">
        <f>Analítico!AW10</f>
        <v>0</v>
      </c>
      <c r="AX10" s="82">
        <f>Analítico!AX10</f>
        <v>0</v>
      </c>
      <c r="AY10" s="82">
        <f>Analítico!AY10</f>
        <v>0</v>
      </c>
      <c r="AZ10" s="82">
        <f>Analítico!AZ10</f>
        <v>0</v>
      </c>
      <c r="BA10" s="82">
        <f>Analítico!BA10</f>
        <v>0</v>
      </c>
      <c r="BB10" s="82">
        <f>Analítico!BB10</f>
        <v>0</v>
      </c>
      <c r="BC10" s="82">
        <f>Analítico!BC10</f>
        <v>0</v>
      </c>
      <c r="BD10" s="82">
        <f>Analítico!BD10</f>
        <v>0</v>
      </c>
      <c r="BE10" s="82">
        <f>Analítico!BE10</f>
        <v>0</v>
      </c>
      <c r="BF10" s="82">
        <f>Analítico!BF10</f>
        <v>0</v>
      </c>
      <c r="BG10" s="82">
        <f>Analítico!BG10</f>
        <v>0</v>
      </c>
      <c r="BH10" s="82">
        <f>Analítico!BH10</f>
        <v>0</v>
      </c>
      <c r="BI10" s="82">
        <f>Analítico!BI10</f>
        <v>0</v>
      </c>
      <c r="BJ10" s="82">
        <f>Analítico!BJ10</f>
        <v>0</v>
      </c>
      <c r="BK10" s="82">
        <f t="shared" ref="BK10:BK15" si="0">SUM(C10:BJ10)</f>
        <v>0</v>
      </c>
      <c r="BL10" s="83">
        <f t="shared" ref="BL10:BL15" ca="1" si="1">IF($BK$15=0,0,BK10/$BK$15)</f>
        <v>0</v>
      </c>
    </row>
    <row r="11" spans="1:68" ht="21.75" customHeight="1">
      <c r="A11" s="84" t="s">
        <v>71</v>
      </c>
      <c r="B11" s="81" t="s">
        <v>72</v>
      </c>
      <c r="C11" s="82">
        <f>Analítico!C11</f>
        <v>0</v>
      </c>
      <c r="D11" s="82">
        <f>Analítico!D11</f>
        <v>0</v>
      </c>
      <c r="E11" s="82">
        <f>Analítico!E11</f>
        <v>0</v>
      </c>
      <c r="F11" s="82">
        <f>Analítico!F11</f>
        <v>0</v>
      </c>
      <c r="G11" s="82">
        <f>Analítico!G11</f>
        <v>0</v>
      </c>
      <c r="H11" s="82">
        <f>Analítico!H11</f>
        <v>0</v>
      </c>
      <c r="I11" s="82">
        <f>Analítico!I11</f>
        <v>0</v>
      </c>
      <c r="J11" s="82">
        <f>Analítico!J11</f>
        <v>0</v>
      </c>
      <c r="K11" s="82">
        <f>Analítico!K11</f>
        <v>0</v>
      </c>
      <c r="L11" s="82">
        <f>Analítico!L11</f>
        <v>0</v>
      </c>
      <c r="M11" s="82">
        <f>Analítico!M11</f>
        <v>0</v>
      </c>
      <c r="N11" s="82">
        <f>Analítico!N11</f>
        <v>0</v>
      </c>
      <c r="O11" s="82">
        <f>Analítico!O11</f>
        <v>0</v>
      </c>
      <c r="P11" s="82">
        <f>Analítico!P11</f>
        <v>0</v>
      </c>
      <c r="Q11" s="82">
        <f>Analítico!Q11</f>
        <v>0</v>
      </c>
      <c r="R11" s="82">
        <f>Analítico!R11</f>
        <v>0</v>
      </c>
      <c r="S11" s="82">
        <f>Analítico!S11</f>
        <v>0</v>
      </c>
      <c r="T11" s="82">
        <f>Analítico!T11</f>
        <v>0</v>
      </c>
      <c r="U11" s="82">
        <f>Analítico!U11</f>
        <v>0</v>
      </c>
      <c r="V11" s="82">
        <f>Analítico!V11</f>
        <v>0</v>
      </c>
      <c r="W11" s="82">
        <f>Analítico!W11</f>
        <v>0</v>
      </c>
      <c r="X11" s="82">
        <f>Analítico!X11</f>
        <v>0</v>
      </c>
      <c r="Y11" s="82">
        <f>Analítico!Y11</f>
        <v>0</v>
      </c>
      <c r="Z11" s="82">
        <f>Analítico!Z11</f>
        <v>0</v>
      </c>
      <c r="AA11" s="82">
        <f>Analítico!AA11</f>
        <v>0</v>
      </c>
      <c r="AB11" s="82">
        <f>Analítico!AB11</f>
        <v>0</v>
      </c>
      <c r="AC11" s="82">
        <f>Analítico!AC11</f>
        <v>0</v>
      </c>
      <c r="AD11" s="82">
        <f>Analítico!AD11</f>
        <v>0</v>
      </c>
      <c r="AE11" s="82">
        <f>Analítico!AE11</f>
        <v>0</v>
      </c>
      <c r="AF11" s="82">
        <f>Analítico!AF11</f>
        <v>0</v>
      </c>
      <c r="AG11" s="82">
        <f>Analítico!AG11</f>
        <v>0</v>
      </c>
      <c r="AH11" s="82">
        <f>Analítico!AH11</f>
        <v>0</v>
      </c>
      <c r="AI11" s="82">
        <f>Analítico!AI11</f>
        <v>0</v>
      </c>
      <c r="AJ11" s="82">
        <f>Analítico!AJ11</f>
        <v>0</v>
      </c>
      <c r="AK11" s="82">
        <f>Analítico!AK11</f>
        <v>0</v>
      </c>
      <c r="AL11" s="82">
        <f>Analítico!AL11</f>
        <v>0</v>
      </c>
      <c r="AM11" s="82">
        <f>Analítico!AM11</f>
        <v>0</v>
      </c>
      <c r="AN11" s="82">
        <f>Analítico!AN11</f>
        <v>0</v>
      </c>
      <c r="AO11" s="82">
        <f>Analítico!AO11</f>
        <v>0</v>
      </c>
      <c r="AP11" s="82">
        <f>Analítico!AP11</f>
        <v>0</v>
      </c>
      <c r="AQ11" s="82">
        <f>Analítico!AQ11</f>
        <v>0</v>
      </c>
      <c r="AR11" s="82">
        <f>Analítico!AR11</f>
        <v>0</v>
      </c>
      <c r="AS11" s="82">
        <f>Analítico!AS11</f>
        <v>0</v>
      </c>
      <c r="AT11" s="82">
        <f>Analítico!AT11</f>
        <v>0</v>
      </c>
      <c r="AU11" s="82">
        <f>Analítico!AU11</f>
        <v>0</v>
      </c>
      <c r="AV11" s="82">
        <f>Analítico!AV11</f>
        <v>0</v>
      </c>
      <c r="AW11" s="82">
        <f>Analítico!AW11</f>
        <v>0</v>
      </c>
      <c r="AX11" s="82">
        <f>Analítico!AX11</f>
        <v>0</v>
      </c>
      <c r="AY11" s="82">
        <f>Analítico!AY11</f>
        <v>0</v>
      </c>
      <c r="AZ11" s="82">
        <f>Analítico!AZ11</f>
        <v>0</v>
      </c>
      <c r="BA11" s="82">
        <f>Analítico!BA11</f>
        <v>0</v>
      </c>
      <c r="BB11" s="82">
        <f>Analítico!BB11</f>
        <v>0</v>
      </c>
      <c r="BC11" s="82">
        <f>Analítico!BC11</f>
        <v>0</v>
      </c>
      <c r="BD11" s="82">
        <f>Analítico!BD11</f>
        <v>0</v>
      </c>
      <c r="BE11" s="82">
        <f>Analítico!BE11</f>
        <v>0</v>
      </c>
      <c r="BF11" s="82">
        <f>Analítico!BF11</f>
        <v>0</v>
      </c>
      <c r="BG11" s="82">
        <f>Analítico!BG11</f>
        <v>0</v>
      </c>
      <c r="BH11" s="82">
        <f>Analítico!BH11</f>
        <v>0</v>
      </c>
      <c r="BI11" s="82">
        <f>Analítico!BI11</f>
        <v>0</v>
      </c>
      <c r="BJ11" s="82">
        <f>Analítico!BJ11</f>
        <v>0</v>
      </c>
      <c r="BK11" s="82">
        <f t="shared" si="0"/>
        <v>0</v>
      </c>
      <c r="BL11" s="83">
        <f t="shared" ca="1" si="1"/>
        <v>0</v>
      </c>
    </row>
    <row r="12" spans="1:68" ht="21.75" customHeight="1">
      <c r="A12" s="84" t="s">
        <v>73</v>
      </c>
      <c r="B12" s="85" t="s">
        <v>74</v>
      </c>
      <c r="C12" s="86">
        <f>Analítico!C12</f>
        <v>0</v>
      </c>
      <c r="D12" s="86">
        <f>Analítico!D12</f>
        <v>0</v>
      </c>
      <c r="E12" s="86">
        <f>Analítico!E12</f>
        <v>0</v>
      </c>
      <c r="F12" s="86">
        <f>Analítico!F12</f>
        <v>0</v>
      </c>
      <c r="G12" s="86">
        <f>Analítico!G12</f>
        <v>0</v>
      </c>
      <c r="H12" s="86">
        <f>Analítico!H12</f>
        <v>0</v>
      </c>
      <c r="I12" s="86">
        <f>Analítico!I12</f>
        <v>0</v>
      </c>
      <c r="J12" s="86">
        <f>Analítico!J12</f>
        <v>0</v>
      </c>
      <c r="K12" s="86">
        <f>Analítico!K12</f>
        <v>0</v>
      </c>
      <c r="L12" s="86">
        <f>Analítico!L12</f>
        <v>0</v>
      </c>
      <c r="M12" s="86">
        <f>Analítico!M12</f>
        <v>0</v>
      </c>
      <c r="N12" s="86">
        <f>Analítico!N12</f>
        <v>0</v>
      </c>
      <c r="O12" s="86">
        <f>Analítico!O12</f>
        <v>0</v>
      </c>
      <c r="P12" s="86">
        <f>Analítico!P12</f>
        <v>0</v>
      </c>
      <c r="Q12" s="86">
        <f>Analítico!Q12</f>
        <v>0</v>
      </c>
      <c r="R12" s="86">
        <f>Analítico!R12</f>
        <v>0</v>
      </c>
      <c r="S12" s="86">
        <f>Analítico!S12</f>
        <v>0</v>
      </c>
      <c r="T12" s="86">
        <f>Analítico!T12</f>
        <v>0</v>
      </c>
      <c r="U12" s="86">
        <f>Analítico!U12</f>
        <v>0</v>
      </c>
      <c r="V12" s="86">
        <f>Analítico!V12</f>
        <v>0</v>
      </c>
      <c r="W12" s="86">
        <f>Analítico!W12</f>
        <v>0</v>
      </c>
      <c r="X12" s="86">
        <f>Analítico!X12</f>
        <v>0</v>
      </c>
      <c r="Y12" s="86">
        <f>Analítico!Y12</f>
        <v>0</v>
      </c>
      <c r="Z12" s="86">
        <f>Analítico!Z12</f>
        <v>0</v>
      </c>
      <c r="AA12" s="86">
        <f>Analítico!AA12</f>
        <v>0</v>
      </c>
      <c r="AB12" s="86">
        <f>Analítico!AB12</f>
        <v>0</v>
      </c>
      <c r="AC12" s="86">
        <f>Analítico!AC12</f>
        <v>0</v>
      </c>
      <c r="AD12" s="86">
        <f>Analítico!AD12</f>
        <v>0</v>
      </c>
      <c r="AE12" s="86">
        <f>Analítico!AE12</f>
        <v>0</v>
      </c>
      <c r="AF12" s="86">
        <f>Analítico!AF12</f>
        <v>0</v>
      </c>
      <c r="AG12" s="86">
        <f>Analítico!AG12</f>
        <v>0</v>
      </c>
      <c r="AH12" s="86">
        <f>Analítico!AH12</f>
        <v>0</v>
      </c>
      <c r="AI12" s="86">
        <f>Analítico!AI12</f>
        <v>0</v>
      </c>
      <c r="AJ12" s="86">
        <f>Analítico!AJ12</f>
        <v>0</v>
      </c>
      <c r="AK12" s="86">
        <f>Analítico!AK12</f>
        <v>0</v>
      </c>
      <c r="AL12" s="86">
        <f>Analítico!AL12</f>
        <v>0</v>
      </c>
      <c r="AM12" s="86">
        <f>Analítico!AM12</f>
        <v>0</v>
      </c>
      <c r="AN12" s="86">
        <f>Analítico!AN12</f>
        <v>0</v>
      </c>
      <c r="AO12" s="86">
        <f>Analítico!AO12</f>
        <v>0</v>
      </c>
      <c r="AP12" s="86">
        <f>Analítico!AP12</f>
        <v>0</v>
      </c>
      <c r="AQ12" s="86">
        <f>Analítico!AQ12</f>
        <v>0</v>
      </c>
      <c r="AR12" s="86">
        <f>Analítico!AR12</f>
        <v>0</v>
      </c>
      <c r="AS12" s="86">
        <f>Analítico!AS12</f>
        <v>0</v>
      </c>
      <c r="AT12" s="86">
        <f>Analítico!AT12</f>
        <v>0</v>
      </c>
      <c r="AU12" s="86">
        <f>Analítico!AU12</f>
        <v>0</v>
      </c>
      <c r="AV12" s="86">
        <f>Analítico!AV12</f>
        <v>0</v>
      </c>
      <c r="AW12" s="86">
        <f>Analítico!AW12</f>
        <v>0</v>
      </c>
      <c r="AX12" s="86">
        <f>Analítico!AX12</f>
        <v>0</v>
      </c>
      <c r="AY12" s="86">
        <f>Analítico!AY12</f>
        <v>0</v>
      </c>
      <c r="AZ12" s="86">
        <f>Analítico!AZ12</f>
        <v>0</v>
      </c>
      <c r="BA12" s="86">
        <f>Analítico!BA12</f>
        <v>0</v>
      </c>
      <c r="BB12" s="86">
        <f>Analítico!BB12</f>
        <v>0</v>
      </c>
      <c r="BC12" s="86">
        <f>Analítico!BC12</f>
        <v>0</v>
      </c>
      <c r="BD12" s="86">
        <f>Analítico!BD12</f>
        <v>0</v>
      </c>
      <c r="BE12" s="86">
        <f>Analítico!BE12</f>
        <v>0</v>
      </c>
      <c r="BF12" s="86">
        <f>Analítico!BF12</f>
        <v>0</v>
      </c>
      <c r="BG12" s="86">
        <f>Analítico!BG12</f>
        <v>0</v>
      </c>
      <c r="BH12" s="86">
        <f>Analítico!BH12</f>
        <v>0</v>
      </c>
      <c r="BI12" s="86">
        <f>Analítico!BI12</f>
        <v>0</v>
      </c>
      <c r="BJ12" s="86">
        <f>Analítico!BJ12</f>
        <v>0</v>
      </c>
      <c r="BK12" s="86">
        <f t="shared" si="0"/>
        <v>0</v>
      </c>
      <c r="BL12" s="87">
        <f t="shared" ca="1" si="1"/>
        <v>0</v>
      </c>
    </row>
    <row r="13" spans="1:68" ht="21" customHeight="1">
      <c r="A13" s="382" t="s">
        <v>75</v>
      </c>
      <c r="B13" s="382"/>
      <c r="C13" s="88">
        <f t="shared" ref="C13:AH13" si="2">SUBTOTAL(109,C10:C12)</f>
        <v>0</v>
      </c>
      <c r="D13" s="88">
        <f t="shared" si="2"/>
        <v>0</v>
      </c>
      <c r="E13" s="88">
        <f t="shared" si="2"/>
        <v>0</v>
      </c>
      <c r="F13" s="88">
        <f t="shared" si="2"/>
        <v>0</v>
      </c>
      <c r="G13" s="88">
        <f t="shared" si="2"/>
        <v>0</v>
      </c>
      <c r="H13" s="88">
        <f t="shared" si="2"/>
        <v>0</v>
      </c>
      <c r="I13" s="88">
        <f t="shared" si="2"/>
        <v>0</v>
      </c>
      <c r="J13" s="88">
        <f t="shared" si="2"/>
        <v>0</v>
      </c>
      <c r="K13" s="88">
        <f t="shared" si="2"/>
        <v>0</v>
      </c>
      <c r="L13" s="88">
        <f t="shared" si="2"/>
        <v>0</v>
      </c>
      <c r="M13" s="88">
        <f t="shared" si="2"/>
        <v>0</v>
      </c>
      <c r="N13" s="88">
        <f t="shared" si="2"/>
        <v>0</v>
      </c>
      <c r="O13" s="88">
        <f t="shared" si="2"/>
        <v>0</v>
      </c>
      <c r="P13" s="88">
        <f t="shared" si="2"/>
        <v>0</v>
      </c>
      <c r="Q13" s="88">
        <f t="shared" si="2"/>
        <v>0</v>
      </c>
      <c r="R13" s="88">
        <f t="shared" si="2"/>
        <v>0</v>
      </c>
      <c r="S13" s="88">
        <f t="shared" si="2"/>
        <v>0</v>
      </c>
      <c r="T13" s="88">
        <f t="shared" si="2"/>
        <v>0</v>
      </c>
      <c r="U13" s="88">
        <f t="shared" si="2"/>
        <v>0</v>
      </c>
      <c r="V13" s="88">
        <f t="shared" si="2"/>
        <v>0</v>
      </c>
      <c r="W13" s="88">
        <f t="shared" si="2"/>
        <v>0</v>
      </c>
      <c r="X13" s="88">
        <f t="shared" si="2"/>
        <v>0</v>
      </c>
      <c r="Y13" s="88">
        <f t="shared" si="2"/>
        <v>0</v>
      </c>
      <c r="Z13" s="88">
        <f t="shared" si="2"/>
        <v>0</v>
      </c>
      <c r="AA13" s="88">
        <f t="shared" si="2"/>
        <v>0</v>
      </c>
      <c r="AB13" s="88">
        <f t="shared" si="2"/>
        <v>0</v>
      </c>
      <c r="AC13" s="88">
        <f t="shared" si="2"/>
        <v>0</v>
      </c>
      <c r="AD13" s="88">
        <f t="shared" si="2"/>
        <v>0</v>
      </c>
      <c r="AE13" s="88">
        <f t="shared" si="2"/>
        <v>0</v>
      </c>
      <c r="AF13" s="88">
        <f t="shared" si="2"/>
        <v>0</v>
      </c>
      <c r="AG13" s="88">
        <f t="shared" si="2"/>
        <v>0</v>
      </c>
      <c r="AH13" s="88">
        <f t="shared" si="2"/>
        <v>0</v>
      </c>
      <c r="AI13" s="88">
        <f t="shared" ref="AI13:BJ13" si="3">SUBTOTAL(109,AI10:AI12)</f>
        <v>0</v>
      </c>
      <c r="AJ13" s="88">
        <f t="shared" si="3"/>
        <v>0</v>
      </c>
      <c r="AK13" s="88">
        <f t="shared" si="3"/>
        <v>0</v>
      </c>
      <c r="AL13" s="88">
        <f t="shared" si="3"/>
        <v>0</v>
      </c>
      <c r="AM13" s="88">
        <f t="shared" si="3"/>
        <v>0</v>
      </c>
      <c r="AN13" s="88">
        <f t="shared" si="3"/>
        <v>0</v>
      </c>
      <c r="AO13" s="88">
        <f t="shared" si="3"/>
        <v>0</v>
      </c>
      <c r="AP13" s="88">
        <f t="shared" si="3"/>
        <v>0</v>
      </c>
      <c r="AQ13" s="88">
        <f t="shared" si="3"/>
        <v>0</v>
      </c>
      <c r="AR13" s="88">
        <f t="shared" si="3"/>
        <v>0</v>
      </c>
      <c r="AS13" s="88">
        <f t="shared" si="3"/>
        <v>0</v>
      </c>
      <c r="AT13" s="88">
        <f t="shared" si="3"/>
        <v>0</v>
      </c>
      <c r="AU13" s="88">
        <f t="shared" si="3"/>
        <v>0</v>
      </c>
      <c r="AV13" s="88">
        <f t="shared" si="3"/>
        <v>0</v>
      </c>
      <c r="AW13" s="88">
        <f t="shared" si="3"/>
        <v>0</v>
      </c>
      <c r="AX13" s="88">
        <f t="shared" si="3"/>
        <v>0</v>
      </c>
      <c r="AY13" s="88">
        <f t="shared" si="3"/>
        <v>0</v>
      </c>
      <c r="AZ13" s="88">
        <f t="shared" si="3"/>
        <v>0</v>
      </c>
      <c r="BA13" s="88">
        <f t="shared" si="3"/>
        <v>0</v>
      </c>
      <c r="BB13" s="88">
        <f t="shared" si="3"/>
        <v>0</v>
      </c>
      <c r="BC13" s="88">
        <f t="shared" si="3"/>
        <v>0</v>
      </c>
      <c r="BD13" s="88">
        <f t="shared" si="3"/>
        <v>0</v>
      </c>
      <c r="BE13" s="88">
        <f t="shared" si="3"/>
        <v>0</v>
      </c>
      <c r="BF13" s="88">
        <f t="shared" si="3"/>
        <v>0</v>
      </c>
      <c r="BG13" s="88">
        <f t="shared" si="3"/>
        <v>0</v>
      </c>
      <c r="BH13" s="88">
        <f t="shared" si="3"/>
        <v>0</v>
      </c>
      <c r="BI13" s="88">
        <f t="shared" si="3"/>
        <v>0</v>
      </c>
      <c r="BJ13" s="88">
        <f t="shared" si="3"/>
        <v>0</v>
      </c>
      <c r="BK13" s="88">
        <f t="shared" si="0"/>
        <v>0</v>
      </c>
      <c r="BL13" s="89">
        <f t="shared" ca="1" si="1"/>
        <v>0</v>
      </c>
    </row>
    <row r="14" spans="1:68" ht="21" customHeight="1">
      <c r="A14" s="386" t="s">
        <v>76</v>
      </c>
      <c r="B14" s="386"/>
      <c r="C14" s="90">
        <f t="shared" ref="C14:AH14" ca="1" si="4">SUBTOTAL(109,C7:C13)</f>
        <v>0</v>
      </c>
      <c r="D14" s="90">
        <f t="shared" ca="1" si="4"/>
        <v>0</v>
      </c>
      <c r="E14" s="90">
        <f t="shared" ca="1" si="4"/>
        <v>0</v>
      </c>
      <c r="F14" s="90">
        <f t="shared" ca="1" si="4"/>
        <v>12954344.005534168</v>
      </c>
      <c r="G14" s="90">
        <f t="shared" ca="1" si="4"/>
        <v>0</v>
      </c>
      <c r="H14" s="90">
        <f t="shared" ca="1" si="4"/>
        <v>0</v>
      </c>
      <c r="I14" s="90">
        <f t="shared" ca="1" si="4"/>
        <v>17716703.716164842</v>
      </c>
      <c r="J14" s="90">
        <f t="shared" ca="1" si="4"/>
        <v>0</v>
      </c>
      <c r="K14" s="90">
        <f t="shared" ca="1" si="4"/>
        <v>0</v>
      </c>
      <c r="L14" s="90">
        <f t="shared" ca="1" si="4"/>
        <v>18289322.559297673</v>
      </c>
      <c r="M14" s="90">
        <f t="shared" ca="1" si="4"/>
        <v>0</v>
      </c>
      <c r="N14" s="90">
        <f t="shared" ca="1" si="4"/>
        <v>0</v>
      </c>
      <c r="O14" s="90">
        <f t="shared" ca="1" si="4"/>
        <v>18508106.360732958</v>
      </c>
      <c r="P14" s="90">
        <f t="shared" ca="1" si="4"/>
        <v>0</v>
      </c>
      <c r="Q14" s="90">
        <f t="shared" ca="1" si="4"/>
        <v>0</v>
      </c>
      <c r="R14" s="90">
        <f t="shared" ca="1" si="4"/>
        <v>19043296.534946188</v>
      </c>
      <c r="S14" s="90">
        <f t="shared" ca="1" si="4"/>
        <v>0</v>
      </c>
      <c r="T14" s="90">
        <f t="shared" ca="1" si="4"/>
        <v>0</v>
      </c>
      <c r="U14" s="90">
        <f t="shared" ca="1" si="4"/>
        <v>18970366.97494619</v>
      </c>
      <c r="V14" s="90">
        <f t="shared" ca="1" si="4"/>
        <v>0</v>
      </c>
      <c r="W14" s="90">
        <f t="shared" ca="1" si="4"/>
        <v>0</v>
      </c>
      <c r="X14" s="90">
        <f t="shared" ca="1" si="4"/>
        <v>19105368.522977002</v>
      </c>
      <c r="Y14" s="90">
        <f t="shared" ca="1" si="4"/>
        <v>0</v>
      </c>
      <c r="Z14" s="90">
        <f t="shared" ca="1" si="4"/>
        <v>0</v>
      </c>
      <c r="AA14" s="90">
        <f t="shared" ca="1" si="4"/>
        <v>19461074.459038623</v>
      </c>
      <c r="AB14" s="90">
        <f t="shared" ca="1" si="4"/>
        <v>0</v>
      </c>
      <c r="AC14" s="90">
        <f t="shared" ca="1" si="4"/>
        <v>0</v>
      </c>
      <c r="AD14" s="90">
        <f t="shared" ca="1" si="4"/>
        <v>20008887.108192839</v>
      </c>
      <c r="AE14" s="90">
        <f t="shared" ca="1" si="4"/>
        <v>0</v>
      </c>
      <c r="AF14" s="90">
        <f t="shared" ca="1" si="4"/>
        <v>0</v>
      </c>
      <c r="AG14" s="90">
        <f t="shared" ca="1" si="4"/>
        <v>19928797.108192839</v>
      </c>
      <c r="AH14" s="90">
        <f t="shared" ca="1" si="4"/>
        <v>0</v>
      </c>
      <c r="AI14" s="90">
        <f t="shared" ref="AI14:BJ14" ca="1" si="5">SUBTOTAL(109,AI7:AI13)</f>
        <v>0</v>
      </c>
      <c r="AJ14" s="90">
        <f t="shared" ca="1" si="5"/>
        <v>19229880.081545778</v>
      </c>
      <c r="AK14" s="90">
        <f t="shared" ca="1" si="5"/>
        <v>0</v>
      </c>
      <c r="AL14" s="90">
        <f t="shared" ca="1" si="5"/>
        <v>0</v>
      </c>
      <c r="AM14" s="90">
        <f t="shared" ca="1" si="5"/>
        <v>17602078.44825165</v>
      </c>
      <c r="AN14" s="90">
        <f t="shared" ca="1" si="5"/>
        <v>0</v>
      </c>
      <c r="AO14" s="90">
        <f t="shared" ca="1" si="5"/>
        <v>0</v>
      </c>
      <c r="AP14" s="90">
        <f t="shared" ca="1" si="5"/>
        <v>18358045.650228716</v>
      </c>
      <c r="AQ14" s="90">
        <f t="shared" ca="1" si="5"/>
        <v>0</v>
      </c>
      <c r="AR14" s="90">
        <f t="shared" ca="1" si="5"/>
        <v>0</v>
      </c>
      <c r="AS14" s="90">
        <f t="shared" ca="1" si="5"/>
        <v>18347925.99022872</v>
      </c>
      <c r="AT14" s="90">
        <f t="shared" ca="1" si="5"/>
        <v>0</v>
      </c>
      <c r="AU14" s="90">
        <f t="shared" ca="1" si="5"/>
        <v>0</v>
      </c>
      <c r="AV14" s="90">
        <f t="shared" ca="1" si="5"/>
        <v>6376110.6934095733</v>
      </c>
      <c r="AW14" s="90">
        <f t="shared" ca="1" si="5"/>
        <v>0</v>
      </c>
      <c r="AX14" s="90">
        <f t="shared" ca="1" si="5"/>
        <v>0</v>
      </c>
      <c r="AY14" s="90">
        <f t="shared" ca="1" si="5"/>
        <v>0</v>
      </c>
      <c r="AZ14" s="90">
        <f t="shared" ca="1" si="5"/>
        <v>0</v>
      </c>
      <c r="BA14" s="90">
        <f t="shared" ca="1" si="5"/>
        <v>0</v>
      </c>
      <c r="BB14" s="90">
        <f t="shared" ca="1" si="5"/>
        <v>0</v>
      </c>
      <c r="BC14" s="90">
        <f t="shared" ca="1" si="5"/>
        <v>0</v>
      </c>
      <c r="BD14" s="90">
        <f t="shared" ca="1" si="5"/>
        <v>0</v>
      </c>
      <c r="BE14" s="90">
        <f t="shared" ca="1" si="5"/>
        <v>0</v>
      </c>
      <c r="BF14" s="90">
        <f t="shared" ca="1" si="5"/>
        <v>0</v>
      </c>
      <c r="BG14" s="90">
        <f t="shared" ca="1" si="5"/>
        <v>0</v>
      </c>
      <c r="BH14" s="90">
        <f t="shared" ca="1" si="5"/>
        <v>0</v>
      </c>
      <c r="BI14" s="90">
        <f t="shared" ca="1" si="5"/>
        <v>0</v>
      </c>
      <c r="BJ14" s="90">
        <f t="shared" ca="1" si="5"/>
        <v>0</v>
      </c>
      <c r="BK14" s="91">
        <f t="shared" ca="1" si="0"/>
        <v>263900308.21368769</v>
      </c>
      <c r="BL14" s="92">
        <f t="shared" ca="1" si="1"/>
        <v>0.90860826223343027</v>
      </c>
    </row>
    <row r="15" spans="1:68" ht="21" customHeight="1">
      <c r="A15" s="387" t="s">
        <v>77</v>
      </c>
      <c r="B15" s="387"/>
      <c r="C15" s="94">
        <f t="shared" ref="C15:AH15" ca="1" si="6">SUBTOTAL(109,C4:C14)</f>
        <v>26544231.18</v>
      </c>
      <c r="D15" s="94">
        <f t="shared" ca="1" si="6"/>
        <v>0</v>
      </c>
      <c r="E15" s="94">
        <f t="shared" ca="1" si="6"/>
        <v>0</v>
      </c>
      <c r="F15" s="94">
        <f t="shared" ca="1" si="6"/>
        <v>12954344.005534168</v>
      </c>
      <c r="G15" s="94">
        <f t="shared" ca="1" si="6"/>
        <v>0</v>
      </c>
      <c r="H15" s="94">
        <f t="shared" ca="1" si="6"/>
        <v>0</v>
      </c>
      <c r="I15" s="94">
        <f t="shared" ca="1" si="6"/>
        <v>17716703.716164842</v>
      </c>
      <c r="J15" s="94">
        <f t="shared" ca="1" si="6"/>
        <v>0</v>
      </c>
      <c r="K15" s="94">
        <f t="shared" ca="1" si="6"/>
        <v>0</v>
      </c>
      <c r="L15" s="94">
        <f t="shared" ca="1" si="6"/>
        <v>18289322.559297673</v>
      </c>
      <c r="M15" s="94">
        <f t="shared" ca="1" si="6"/>
        <v>0</v>
      </c>
      <c r="N15" s="94">
        <f t="shared" ca="1" si="6"/>
        <v>0</v>
      </c>
      <c r="O15" s="94">
        <f t="shared" ca="1" si="6"/>
        <v>18508106.360732958</v>
      </c>
      <c r="P15" s="94">
        <f t="shared" ca="1" si="6"/>
        <v>0</v>
      </c>
      <c r="Q15" s="94">
        <f t="shared" ca="1" si="6"/>
        <v>0</v>
      </c>
      <c r="R15" s="94">
        <f t="shared" ca="1" si="6"/>
        <v>19043296.534946188</v>
      </c>
      <c r="S15" s="94">
        <f t="shared" ca="1" si="6"/>
        <v>0</v>
      </c>
      <c r="T15" s="94">
        <f t="shared" ca="1" si="6"/>
        <v>0</v>
      </c>
      <c r="U15" s="94">
        <f t="shared" ca="1" si="6"/>
        <v>18970366.97494619</v>
      </c>
      <c r="V15" s="94">
        <f t="shared" ca="1" si="6"/>
        <v>0</v>
      </c>
      <c r="W15" s="94">
        <f t="shared" ca="1" si="6"/>
        <v>0</v>
      </c>
      <c r="X15" s="94">
        <f t="shared" ca="1" si="6"/>
        <v>19105368.522977002</v>
      </c>
      <c r="Y15" s="94">
        <f t="shared" ca="1" si="6"/>
        <v>0</v>
      </c>
      <c r="Z15" s="94">
        <f t="shared" ca="1" si="6"/>
        <v>0</v>
      </c>
      <c r="AA15" s="94">
        <f t="shared" ca="1" si="6"/>
        <v>19461074.459038623</v>
      </c>
      <c r="AB15" s="94">
        <f t="shared" ca="1" si="6"/>
        <v>0</v>
      </c>
      <c r="AC15" s="94">
        <f t="shared" ca="1" si="6"/>
        <v>0</v>
      </c>
      <c r="AD15" s="94">
        <f t="shared" ca="1" si="6"/>
        <v>20008887.108192839</v>
      </c>
      <c r="AE15" s="94">
        <f t="shared" ca="1" si="6"/>
        <v>0</v>
      </c>
      <c r="AF15" s="94">
        <f t="shared" ca="1" si="6"/>
        <v>0</v>
      </c>
      <c r="AG15" s="94">
        <f t="shared" ca="1" si="6"/>
        <v>19928797.108192839</v>
      </c>
      <c r="AH15" s="94">
        <f t="shared" ca="1" si="6"/>
        <v>0</v>
      </c>
      <c r="AI15" s="94">
        <f t="shared" ref="AI15:BJ15" ca="1" si="7">SUBTOTAL(109,AI4:AI14)</f>
        <v>0</v>
      </c>
      <c r="AJ15" s="94">
        <f t="shared" ca="1" si="7"/>
        <v>19229880.081545778</v>
      </c>
      <c r="AK15" s="94">
        <f t="shared" ca="1" si="7"/>
        <v>0</v>
      </c>
      <c r="AL15" s="94">
        <f t="shared" ca="1" si="7"/>
        <v>0</v>
      </c>
      <c r="AM15" s="94">
        <f t="shared" ca="1" si="7"/>
        <v>17602078.44825165</v>
      </c>
      <c r="AN15" s="94">
        <f t="shared" ca="1" si="7"/>
        <v>0</v>
      </c>
      <c r="AO15" s="94">
        <f t="shared" ca="1" si="7"/>
        <v>0</v>
      </c>
      <c r="AP15" s="94">
        <f t="shared" ca="1" si="7"/>
        <v>18358045.650228716</v>
      </c>
      <c r="AQ15" s="94">
        <f t="shared" ca="1" si="7"/>
        <v>0</v>
      </c>
      <c r="AR15" s="94">
        <f t="shared" ca="1" si="7"/>
        <v>0</v>
      </c>
      <c r="AS15" s="94">
        <f t="shared" ca="1" si="7"/>
        <v>18347925.99022872</v>
      </c>
      <c r="AT15" s="94">
        <f t="shared" ca="1" si="7"/>
        <v>0</v>
      </c>
      <c r="AU15" s="94">
        <f t="shared" ca="1" si="7"/>
        <v>0</v>
      </c>
      <c r="AV15" s="94">
        <f t="shared" ca="1" si="7"/>
        <v>6376110.6934095733</v>
      </c>
      <c r="AW15" s="94">
        <f t="shared" ca="1" si="7"/>
        <v>0</v>
      </c>
      <c r="AX15" s="94">
        <f t="shared" ca="1" si="7"/>
        <v>0</v>
      </c>
      <c r="AY15" s="94">
        <f t="shared" ca="1" si="7"/>
        <v>0</v>
      </c>
      <c r="AZ15" s="94">
        <f t="shared" ca="1" si="7"/>
        <v>0</v>
      </c>
      <c r="BA15" s="94">
        <f t="shared" ca="1" si="7"/>
        <v>0</v>
      </c>
      <c r="BB15" s="94">
        <f t="shared" ca="1" si="7"/>
        <v>0</v>
      </c>
      <c r="BC15" s="94">
        <f t="shared" ca="1" si="7"/>
        <v>0</v>
      </c>
      <c r="BD15" s="94">
        <f t="shared" ca="1" si="7"/>
        <v>0</v>
      </c>
      <c r="BE15" s="94">
        <f t="shared" ca="1" si="7"/>
        <v>0</v>
      </c>
      <c r="BF15" s="94">
        <f t="shared" ca="1" si="7"/>
        <v>0</v>
      </c>
      <c r="BG15" s="94">
        <f t="shared" ca="1" si="7"/>
        <v>0</v>
      </c>
      <c r="BH15" s="94">
        <f t="shared" ca="1" si="7"/>
        <v>0</v>
      </c>
      <c r="BI15" s="94">
        <f t="shared" ca="1" si="7"/>
        <v>0</v>
      </c>
      <c r="BJ15" s="94">
        <f t="shared" ca="1" si="7"/>
        <v>0</v>
      </c>
      <c r="BK15" s="94">
        <f t="shared" ca="1" si="0"/>
        <v>290444539.39368773</v>
      </c>
      <c r="BL15" s="95">
        <f t="shared" ca="1" si="1"/>
        <v>1</v>
      </c>
    </row>
    <row r="16" spans="1:68" ht="18" customHeight="1">
      <c r="A16" s="96"/>
      <c r="B16" s="97"/>
      <c r="C16" s="66"/>
      <c r="D16" s="66"/>
      <c r="E16" s="66"/>
      <c r="F16" s="66"/>
      <c r="G16" s="66"/>
      <c r="H16" s="66"/>
      <c r="I16" s="66"/>
      <c r="J16" s="66"/>
      <c r="K16" s="66"/>
      <c r="L16" s="66"/>
      <c r="M16" s="66"/>
      <c r="N16" s="66"/>
      <c r="O16" s="66"/>
      <c r="P16" s="66"/>
      <c r="Q16" s="66"/>
      <c r="R16" s="66"/>
      <c r="S16" s="66"/>
      <c r="T16" s="66"/>
      <c r="U16" s="66"/>
      <c r="V16" s="66"/>
      <c r="W16" s="66"/>
      <c r="X16" s="66"/>
      <c r="Y16" s="66"/>
      <c r="Z16" s="66"/>
      <c r="AA16" s="66"/>
      <c r="AB16" s="66"/>
      <c r="AC16" s="66"/>
      <c r="AD16" s="66"/>
      <c r="AE16" s="66"/>
      <c r="AF16" s="66"/>
      <c r="AG16" s="66"/>
      <c r="AH16" s="66"/>
      <c r="AI16" s="66"/>
      <c r="AJ16" s="66"/>
      <c r="AK16" s="66"/>
      <c r="AL16" s="66"/>
      <c r="AM16" s="66"/>
      <c r="AN16" s="66"/>
      <c r="AO16" s="66"/>
      <c r="AP16" s="66"/>
      <c r="AQ16" s="66"/>
      <c r="AR16" s="66"/>
      <c r="AS16" s="66"/>
      <c r="AT16" s="66"/>
      <c r="AU16" s="66"/>
      <c r="AV16" s="66"/>
      <c r="AW16" s="66"/>
      <c r="AX16" s="66"/>
      <c r="AY16" s="66"/>
      <c r="AZ16" s="66"/>
      <c r="BA16" s="66"/>
      <c r="BB16" s="66"/>
      <c r="BC16" s="66"/>
      <c r="BD16" s="66"/>
      <c r="BE16" s="66"/>
      <c r="BF16" s="66"/>
      <c r="BG16" s="66"/>
      <c r="BH16" s="66"/>
      <c r="BI16" s="66"/>
      <c r="BJ16" s="66"/>
      <c r="BK16" s="66"/>
      <c r="BL16" s="98"/>
    </row>
    <row r="17" spans="1:68" ht="21" customHeight="1">
      <c r="A17" s="70">
        <v>2</v>
      </c>
      <c r="B17" s="70" t="s">
        <v>78</v>
      </c>
      <c r="C17" s="71"/>
      <c r="D17" s="71"/>
      <c r="E17" s="71"/>
      <c r="F17" s="71"/>
      <c r="G17" s="71"/>
      <c r="H17" s="71"/>
      <c r="I17" s="71"/>
      <c r="J17" s="71"/>
      <c r="K17" s="71"/>
      <c r="L17" s="71"/>
      <c r="M17" s="71"/>
      <c r="N17" s="71"/>
      <c r="O17" s="71"/>
      <c r="P17" s="71"/>
      <c r="Q17" s="71"/>
      <c r="R17" s="71"/>
      <c r="S17" s="71"/>
      <c r="T17" s="71"/>
      <c r="U17" s="71"/>
      <c r="V17" s="71"/>
      <c r="W17" s="71"/>
      <c r="X17" s="71"/>
      <c r="Y17" s="71"/>
      <c r="Z17" s="71"/>
      <c r="AA17" s="71"/>
      <c r="AB17" s="71"/>
      <c r="AC17" s="71"/>
      <c r="AD17" s="71"/>
      <c r="AE17" s="71"/>
      <c r="AF17" s="71"/>
      <c r="AG17" s="71"/>
      <c r="AH17" s="71"/>
      <c r="AI17" s="71"/>
      <c r="AJ17" s="71"/>
      <c r="AK17" s="71"/>
      <c r="AL17" s="71"/>
      <c r="AM17" s="71"/>
      <c r="AN17" s="71"/>
      <c r="AO17" s="71"/>
      <c r="AP17" s="71"/>
      <c r="AQ17" s="71"/>
      <c r="AR17" s="71"/>
      <c r="AS17" s="71"/>
      <c r="AT17" s="71"/>
      <c r="AU17" s="71"/>
      <c r="AV17" s="71"/>
      <c r="AW17" s="71"/>
      <c r="AX17" s="71"/>
      <c r="AY17" s="71"/>
      <c r="AZ17" s="71"/>
      <c r="BA17" s="71"/>
      <c r="BB17" s="71"/>
      <c r="BC17" s="71"/>
      <c r="BD17" s="71"/>
      <c r="BE17" s="71"/>
      <c r="BF17" s="71"/>
      <c r="BG17" s="71"/>
      <c r="BH17" s="71"/>
      <c r="BI17" s="71"/>
      <c r="BJ17" s="71"/>
      <c r="BK17" s="71"/>
      <c r="BL17" s="61"/>
    </row>
    <row r="18" spans="1:68">
      <c r="A18" s="99" t="s">
        <v>79</v>
      </c>
      <c r="B18" s="100" t="s">
        <v>80</v>
      </c>
      <c r="C18" s="101"/>
      <c r="D18" s="101"/>
      <c r="E18" s="101"/>
      <c r="F18" s="101"/>
      <c r="G18" s="101"/>
      <c r="H18" s="101"/>
      <c r="I18" s="101"/>
      <c r="J18" s="101"/>
      <c r="K18" s="101"/>
      <c r="L18" s="101"/>
      <c r="M18" s="101"/>
      <c r="N18" s="101"/>
      <c r="O18" s="101"/>
      <c r="P18" s="101"/>
      <c r="Q18" s="101"/>
      <c r="R18" s="101"/>
      <c r="S18" s="101"/>
      <c r="T18" s="101"/>
      <c r="U18" s="101"/>
      <c r="V18" s="101"/>
      <c r="W18" s="101"/>
      <c r="X18" s="101"/>
      <c r="Y18" s="101"/>
      <c r="Z18" s="101"/>
      <c r="AA18" s="101"/>
      <c r="AB18" s="101"/>
      <c r="AC18" s="101"/>
      <c r="AD18" s="101"/>
      <c r="AE18" s="101"/>
      <c r="AF18" s="101"/>
      <c r="AG18" s="101"/>
      <c r="AH18" s="101"/>
      <c r="AI18" s="101"/>
      <c r="AJ18" s="101"/>
      <c r="AK18" s="101"/>
      <c r="AL18" s="101"/>
      <c r="AM18" s="101"/>
      <c r="AN18" s="101"/>
      <c r="AO18" s="101"/>
      <c r="AP18" s="101"/>
      <c r="AQ18" s="101"/>
      <c r="AR18" s="101"/>
      <c r="AS18" s="101"/>
      <c r="AT18" s="101"/>
      <c r="AU18" s="101"/>
      <c r="AV18" s="101"/>
      <c r="AW18" s="101"/>
      <c r="AX18" s="101"/>
      <c r="AY18" s="101"/>
      <c r="AZ18" s="101"/>
      <c r="BA18" s="101"/>
      <c r="BB18" s="101"/>
      <c r="BC18" s="101"/>
      <c r="BD18" s="101"/>
      <c r="BE18" s="101"/>
      <c r="BF18" s="101"/>
      <c r="BG18" s="101"/>
      <c r="BH18" s="101"/>
      <c r="BI18" s="101"/>
      <c r="BJ18" s="101"/>
      <c r="BK18" s="101"/>
      <c r="BL18" s="102"/>
    </row>
    <row r="19" spans="1:68" ht="15.75" customHeight="1">
      <c r="A19" s="103" t="s">
        <v>81</v>
      </c>
      <c r="B19" s="100" t="s">
        <v>82</v>
      </c>
      <c r="C19" s="82">
        <f ca="1">Analítico!C28</f>
        <v>1646754.3253966663</v>
      </c>
      <c r="D19" s="82">
        <f ca="1">Analítico!D28</f>
        <v>1655859.3253966663</v>
      </c>
      <c r="E19" s="82">
        <f ca="1">Analítico!E28</f>
        <v>1739203.5106366661</v>
      </c>
      <c r="F19" s="82">
        <f ca="1">Analítico!F28</f>
        <v>1751275.2846366663</v>
      </c>
      <c r="G19" s="82">
        <f ca="1">Analítico!G28</f>
        <v>1853549.7612594476</v>
      </c>
      <c r="H19" s="82">
        <f ca="1">Analítico!H28</f>
        <v>1941761.2469174636</v>
      </c>
      <c r="I19" s="82">
        <f ca="1">Analítico!I28</f>
        <v>1955284.1548838641</v>
      </c>
      <c r="J19" s="82">
        <f ca="1">Analítico!J28</f>
        <v>1955284.1548838641</v>
      </c>
      <c r="K19" s="82">
        <f ca="1">Analítico!K28</f>
        <v>2048647.1902738803</v>
      </c>
      <c r="L19" s="82">
        <f ca="1">Analítico!L28</f>
        <v>2062170.0982402808</v>
      </c>
      <c r="M19" s="82">
        <f ca="1">Analítico!M28</f>
        <v>2062170.0982402808</v>
      </c>
      <c r="N19" s="82">
        <f ca="1">Analítico!N28</f>
        <v>2155533.1336302976</v>
      </c>
      <c r="O19" s="82">
        <f ca="1">Analítico!O28</f>
        <v>2155533.1336302976</v>
      </c>
      <c r="P19" s="82">
        <f ca="1">Analítico!P28</f>
        <v>2155533.1336302976</v>
      </c>
      <c r="Q19" s="82">
        <f ca="1">Analítico!Q28</f>
        <v>2155533.1336302976</v>
      </c>
      <c r="R19" s="82">
        <f ca="1">Analítico!R28</f>
        <v>2155533.1336302976</v>
      </c>
      <c r="S19" s="82">
        <f ca="1">Analítico!S28</f>
        <v>2281416.2686343067</v>
      </c>
      <c r="T19" s="82">
        <f ca="1">Analítico!T28</f>
        <v>2281416.2686343067</v>
      </c>
      <c r="U19" s="82">
        <f ca="1">Analítico!U28</f>
        <v>2281416.2686343067</v>
      </c>
      <c r="V19" s="82">
        <f ca="1">Analítico!V28</f>
        <v>2281416.2686343067</v>
      </c>
      <c r="W19" s="82">
        <f ca="1">Analítico!W28</f>
        <v>2281416.2686343067</v>
      </c>
      <c r="X19" s="82">
        <f ca="1">Analítico!X28</f>
        <v>2281416.2686343067</v>
      </c>
      <c r="Y19" s="82">
        <f ca="1">Analítico!Y28</f>
        <v>2281416.2686343067</v>
      </c>
      <c r="Z19" s="82">
        <f ca="1">Analítico!Z28</f>
        <v>2281416.2686343067</v>
      </c>
      <c r="AA19" s="82">
        <f ca="1">Analítico!AA28</f>
        <v>2281416.2686343067</v>
      </c>
      <c r="AB19" s="82">
        <f ca="1">Analítico!AB28</f>
        <v>2281416.2686343067</v>
      </c>
      <c r="AC19" s="82">
        <f ca="1">Analítico!AC28</f>
        <v>2281416.2686343067</v>
      </c>
      <c r="AD19" s="82">
        <f ca="1">Analítico!AD28</f>
        <v>2281416.2686343067</v>
      </c>
      <c r="AE19" s="82">
        <f ca="1">Analítico!AE28</f>
        <v>2414650.9787225504</v>
      </c>
      <c r="AF19" s="82">
        <f ca="1">Analítico!AF28</f>
        <v>2414650.9787225504</v>
      </c>
      <c r="AG19" s="82">
        <f ca="1">Analítico!AG28</f>
        <v>2414650.9787225504</v>
      </c>
      <c r="AH19" s="82">
        <f ca="1">Analítico!AH28</f>
        <v>2414650.9787225504</v>
      </c>
      <c r="AI19" s="82">
        <f ca="1">Analítico!AI28</f>
        <v>2414650.9787225504</v>
      </c>
      <c r="AJ19" s="82">
        <f ca="1">Analítico!AJ28</f>
        <v>2414650.9787225504</v>
      </c>
      <c r="AK19" s="82">
        <f ca="1">Analítico!AK28</f>
        <v>2414650.9787225504</v>
      </c>
      <c r="AL19" s="82">
        <f ca="1">Analítico!AL28</f>
        <v>2414650.9787225504</v>
      </c>
      <c r="AM19" s="82">
        <f ca="1">Analítico!AM28</f>
        <v>2414650.9787225504</v>
      </c>
      <c r="AN19" s="82">
        <f ca="1">Analítico!AN28</f>
        <v>2414650.9787225504</v>
      </c>
      <c r="AO19" s="82">
        <f ca="1">Analítico!AO28</f>
        <v>2414650.9787225504</v>
      </c>
      <c r="AP19" s="82">
        <f ca="1">Analítico!AP28</f>
        <v>2414650.9787225504</v>
      </c>
      <c r="AQ19" s="82">
        <f ca="1">Analítico!AQ28</f>
        <v>2555666.5958799468</v>
      </c>
      <c r="AR19" s="82">
        <f ca="1">Analítico!AR28</f>
        <v>2555666.5958799468</v>
      </c>
      <c r="AS19" s="82">
        <f ca="1">Analítico!AS28</f>
        <v>2555666.5958799468</v>
      </c>
      <c r="AT19" s="82">
        <f ca="1">Analítico!AT28</f>
        <v>2555666.5958799468</v>
      </c>
      <c r="AU19" s="82">
        <f ca="1">Analítico!AU28</f>
        <v>2555666.5958799468</v>
      </c>
      <c r="AV19" s="82">
        <f ca="1">Analítico!AV28</f>
        <v>2555666.5958799468</v>
      </c>
      <c r="AW19" s="82">
        <f ca="1">Analítico!AW28</f>
        <v>2555666.5958799468</v>
      </c>
      <c r="AX19" s="82">
        <f ca="1">Analítico!AX28</f>
        <v>0</v>
      </c>
      <c r="AY19" s="82">
        <f ca="1">Analítico!AY28</f>
        <v>0</v>
      </c>
      <c r="AZ19" s="82">
        <f ca="1">Analítico!AZ28</f>
        <v>0</v>
      </c>
      <c r="BA19" s="82">
        <f ca="1">Analítico!BA28</f>
        <v>0</v>
      </c>
      <c r="BB19" s="82">
        <f ca="1">Analítico!BB28</f>
        <v>0</v>
      </c>
      <c r="BC19" s="82">
        <f ca="1">Analítico!BC28</f>
        <v>0</v>
      </c>
      <c r="BD19" s="82">
        <f ca="1">Analítico!BD28</f>
        <v>0</v>
      </c>
      <c r="BE19" s="82">
        <f ca="1">Analítico!BE28</f>
        <v>0</v>
      </c>
      <c r="BF19" s="82">
        <f ca="1">Analítico!BF28</f>
        <v>0</v>
      </c>
      <c r="BG19" s="82">
        <f ca="1">Analítico!BG28</f>
        <v>0</v>
      </c>
      <c r="BH19" s="82">
        <f ca="1">Analítico!BH28</f>
        <v>0</v>
      </c>
      <c r="BI19" s="82">
        <f ca="1">Analítico!BI28</f>
        <v>0</v>
      </c>
      <c r="BJ19" s="82">
        <f ca="1">Analítico!BJ28</f>
        <v>0</v>
      </c>
      <c r="BK19" s="66">
        <f t="shared" ref="BK19:BK26" ca="1" si="8">SUM(C19:BJ19)</f>
        <v>105692097.95835915</v>
      </c>
      <c r="BL19" s="83">
        <f t="shared" ref="BL19:BL28" ca="1" si="9">IF($BK$28=0,0,BK19/$BK$28)</f>
        <v>0.36389769344259248</v>
      </c>
    </row>
    <row r="20" spans="1:68" ht="15.75" customHeight="1">
      <c r="A20" s="103" t="s">
        <v>83</v>
      </c>
      <c r="B20" s="100" t="s">
        <v>84</v>
      </c>
      <c r="C20" s="82">
        <f ca="1">Analítico!C32</f>
        <v>0</v>
      </c>
      <c r="D20" s="82">
        <f ca="1">Analítico!D32</f>
        <v>0</v>
      </c>
      <c r="E20" s="82">
        <f ca="1">Analítico!E32</f>
        <v>0</v>
      </c>
      <c r="F20" s="82">
        <f ca="1">Analítico!F32</f>
        <v>0</v>
      </c>
      <c r="G20" s="82">
        <f ca="1">Analítico!G32</f>
        <v>0</v>
      </c>
      <c r="H20" s="82">
        <f ca="1">Analítico!H32</f>
        <v>0</v>
      </c>
      <c r="I20" s="82">
        <f ca="1">Analítico!I32</f>
        <v>0</v>
      </c>
      <c r="J20" s="82">
        <f ca="1">Analítico!J32</f>
        <v>0</v>
      </c>
      <c r="K20" s="82">
        <f ca="1">Analítico!K32</f>
        <v>0</v>
      </c>
      <c r="L20" s="82">
        <f ca="1">Analítico!L32</f>
        <v>0</v>
      </c>
      <c r="M20" s="82">
        <f ca="1">Analítico!M32</f>
        <v>0</v>
      </c>
      <c r="N20" s="82">
        <f ca="1">Analítico!N32</f>
        <v>0</v>
      </c>
      <c r="O20" s="82">
        <f ca="1">Analítico!O32</f>
        <v>0</v>
      </c>
      <c r="P20" s="82">
        <f ca="1">Analítico!P32</f>
        <v>0</v>
      </c>
      <c r="Q20" s="82">
        <f ca="1">Analítico!Q32</f>
        <v>0</v>
      </c>
      <c r="R20" s="82">
        <f ca="1">Analítico!R32</f>
        <v>0</v>
      </c>
      <c r="S20" s="82">
        <f ca="1">Analítico!S32</f>
        <v>0</v>
      </c>
      <c r="T20" s="82">
        <f ca="1">Analítico!T32</f>
        <v>0</v>
      </c>
      <c r="U20" s="82">
        <f ca="1">Analítico!U32</f>
        <v>0</v>
      </c>
      <c r="V20" s="82">
        <f ca="1">Analítico!V32</f>
        <v>0</v>
      </c>
      <c r="W20" s="82">
        <f ca="1">Analítico!W32</f>
        <v>0</v>
      </c>
      <c r="X20" s="82">
        <f ca="1">Analítico!X32</f>
        <v>0</v>
      </c>
      <c r="Y20" s="82">
        <f ca="1">Analítico!Y32</f>
        <v>0</v>
      </c>
      <c r="Z20" s="82">
        <f ca="1">Analítico!Z32</f>
        <v>0</v>
      </c>
      <c r="AA20" s="82">
        <f ca="1">Analítico!AA32</f>
        <v>0</v>
      </c>
      <c r="AB20" s="82">
        <f ca="1">Analítico!AB32</f>
        <v>0</v>
      </c>
      <c r="AC20" s="82">
        <f ca="1">Analítico!AC32</f>
        <v>0</v>
      </c>
      <c r="AD20" s="82">
        <f ca="1">Analítico!AD32</f>
        <v>0</v>
      </c>
      <c r="AE20" s="82">
        <f ca="1">Analítico!AE32</f>
        <v>0</v>
      </c>
      <c r="AF20" s="82">
        <f ca="1">Analítico!AF32</f>
        <v>0</v>
      </c>
      <c r="AG20" s="82">
        <f ca="1">Analítico!AG32</f>
        <v>0</v>
      </c>
      <c r="AH20" s="82">
        <f ca="1">Analítico!AH32</f>
        <v>0</v>
      </c>
      <c r="AI20" s="82">
        <f ca="1">Analítico!AI32</f>
        <v>0</v>
      </c>
      <c r="AJ20" s="82">
        <f ca="1">Analítico!AJ32</f>
        <v>0</v>
      </c>
      <c r="AK20" s="82">
        <f ca="1">Analítico!AK32</f>
        <v>0</v>
      </c>
      <c r="AL20" s="82">
        <f ca="1">Analítico!AL32</f>
        <v>0</v>
      </c>
      <c r="AM20" s="82">
        <f ca="1">Analítico!AM32</f>
        <v>0</v>
      </c>
      <c r="AN20" s="82">
        <f ca="1">Analítico!AN32</f>
        <v>0</v>
      </c>
      <c r="AO20" s="82">
        <f ca="1">Analítico!AO32</f>
        <v>0</v>
      </c>
      <c r="AP20" s="82">
        <f ca="1">Analítico!AP32</f>
        <v>0</v>
      </c>
      <c r="AQ20" s="82">
        <f ca="1">Analítico!AQ32</f>
        <v>0</v>
      </c>
      <c r="AR20" s="82">
        <f ca="1">Analítico!AR32</f>
        <v>0</v>
      </c>
      <c r="AS20" s="82">
        <f ca="1">Analítico!AS32</f>
        <v>0</v>
      </c>
      <c r="AT20" s="82">
        <f ca="1">Analítico!AT32</f>
        <v>0</v>
      </c>
      <c r="AU20" s="82">
        <f ca="1">Analítico!AU32</f>
        <v>0</v>
      </c>
      <c r="AV20" s="82">
        <f ca="1">Analítico!AV32</f>
        <v>0</v>
      </c>
      <c r="AW20" s="82">
        <f ca="1">Analítico!AW32</f>
        <v>0</v>
      </c>
      <c r="AX20" s="82">
        <f ca="1">Analítico!AX32</f>
        <v>0</v>
      </c>
      <c r="AY20" s="82">
        <f ca="1">Analítico!AY32</f>
        <v>0</v>
      </c>
      <c r="AZ20" s="82">
        <f ca="1">Analítico!AZ32</f>
        <v>0</v>
      </c>
      <c r="BA20" s="82">
        <f ca="1">Analítico!BA32</f>
        <v>0</v>
      </c>
      <c r="BB20" s="82">
        <f ca="1">Analítico!BB32</f>
        <v>0</v>
      </c>
      <c r="BC20" s="82">
        <f ca="1">Analítico!BC32</f>
        <v>0</v>
      </c>
      <c r="BD20" s="82">
        <f ca="1">Analítico!BD32</f>
        <v>0</v>
      </c>
      <c r="BE20" s="82">
        <f ca="1">Analítico!BE32</f>
        <v>0</v>
      </c>
      <c r="BF20" s="82">
        <f ca="1">Analítico!BF32</f>
        <v>0</v>
      </c>
      <c r="BG20" s="82">
        <f ca="1">Analítico!BG32</f>
        <v>0</v>
      </c>
      <c r="BH20" s="82">
        <f ca="1">Analítico!BH32</f>
        <v>0</v>
      </c>
      <c r="BI20" s="82">
        <f ca="1">Analítico!BI32</f>
        <v>0</v>
      </c>
      <c r="BJ20" s="82">
        <f ca="1">Analítico!BJ32</f>
        <v>0</v>
      </c>
      <c r="BK20" s="66">
        <f t="shared" ca="1" si="8"/>
        <v>0</v>
      </c>
      <c r="BL20" s="83">
        <f t="shared" ca="1" si="9"/>
        <v>0</v>
      </c>
    </row>
    <row r="21" spans="1:68" ht="15.75" customHeight="1">
      <c r="A21" s="103" t="s">
        <v>85</v>
      </c>
      <c r="B21" s="100" t="s">
        <v>86</v>
      </c>
      <c r="C21" s="82">
        <f ca="1">Analítico!C46</f>
        <v>1204069.9478217429</v>
      </c>
      <c r="D21" s="82">
        <f ca="1">Analítico!D46</f>
        <v>1232112.4478217429</v>
      </c>
      <c r="E21" s="82">
        <f ca="1">Analítico!E46</f>
        <v>1278233.9422334677</v>
      </c>
      <c r="F21" s="82">
        <f ca="1">Analítico!F46</f>
        <v>1287095.7827080791</v>
      </c>
      <c r="G21" s="82">
        <f ca="1">Analítico!G46</f>
        <v>1361882.5764182301</v>
      </c>
      <c r="H21" s="82">
        <f ca="1">Analítico!H46</f>
        <v>1426044.3661035998</v>
      </c>
      <c r="I21" s="82">
        <f ca="1">Analítico!I46</f>
        <v>1435971.4784718556</v>
      </c>
      <c r="J21" s="82">
        <f ca="1">Analítico!J46</f>
        <v>1435971.4784718556</v>
      </c>
      <c r="K21" s="82">
        <f ca="1">Analítico!K46</f>
        <v>1503649.7499112838</v>
      </c>
      <c r="L21" s="82">
        <f ca="1">Analítico!L46</f>
        <v>1513514.6821156726</v>
      </c>
      <c r="M21" s="82">
        <f ca="1">Analítico!M46</f>
        <v>1513514.6821156726</v>
      </c>
      <c r="N21" s="82">
        <f ca="1">Analítico!N46</f>
        <v>1582692.9535551013</v>
      </c>
      <c r="O21" s="82">
        <f ca="1">Analítico!O46</f>
        <v>1595697.0035551013</v>
      </c>
      <c r="P21" s="82">
        <f ca="1">Analítico!P46</f>
        <v>1597692.9535551013</v>
      </c>
      <c r="Q21" s="82">
        <f ca="1">Analítico!Q46</f>
        <v>1581192.9535551013</v>
      </c>
      <c r="R21" s="82">
        <f ca="1">Analítico!R46</f>
        <v>1581192.9535551013</v>
      </c>
      <c r="S21" s="82">
        <f ca="1">Analítico!S46</f>
        <v>1673155.0220427185</v>
      </c>
      <c r="T21" s="82">
        <f ca="1">Analítico!T46</f>
        <v>1673155.0220427185</v>
      </c>
      <c r="U21" s="82">
        <f ca="1">Analítico!U46</f>
        <v>1673155.0220427185</v>
      </c>
      <c r="V21" s="82">
        <f ca="1">Analítico!V46</f>
        <v>1673155.0220427185</v>
      </c>
      <c r="W21" s="82">
        <f ca="1">Analítico!W46</f>
        <v>1673155.0220427185</v>
      </c>
      <c r="X21" s="82">
        <f ca="1">Analítico!X46</f>
        <v>1673155.0220427185</v>
      </c>
      <c r="Y21" s="82">
        <f ca="1">Analítico!Y46</f>
        <v>1673155.0220427185</v>
      </c>
      <c r="Z21" s="82">
        <f ca="1">Analítico!Z46</f>
        <v>1673155.0220427185</v>
      </c>
      <c r="AA21" s="82">
        <f ca="1">Analítico!AA46</f>
        <v>1689655.0220427185</v>
      </c>
      <c r="AB21" s="82">
        <f ca="1">Analítico!AB46</f>
        <v>1672155.0220427185</v>
      </c>
      <c r="AC21" s="82">
        <f ca="1">Analítico!AC46</f>
        <v>1672155.0220427185</v>
      </c>
      <c r="AD21" s="82">
        <f ca="1">Analítico!AD46</f>
        <v>1672155.0220427185</v>
      </c>
      <c r="AE21" s="82">
        <f ca="1">Analítico!AE46</f>
        <v>1769487.6753300135</v>
      </c>
      <c r="AF21" s="82">
        <f ca="1">Analítico!AF46</f>
        <v>1769487.6753300135</v>
      </c>
      <c r="AG21" s="82">
        <f ca="1">Analítico!AG46</f>
        <v>1769487.6753300135</v>
      </c>
      <c r="AH21" s="82">
        <f ca="1">Analítico!AH46</f>
        <v>1769487.6753300135</v>
      </c>
      <c r="AI21" s="82">
        <f ca="1">Analítico!AI46</f>
        <v>1769487.6753300135</v>
      </c>
      <c r="AJ21" s="82">
        <f ca="1">Analítico!AJ46</f>
        <v>1769487.6753300135</v>
      </c>
      <c r="AK21" s="82">
        <f ca="1">Analítico!AK46</f>
        <v>1787516.6353300135</v>
      </c>
      <c r="AL21" s="82">
        <f ca="1">Analítico!AL46</f>
        <v>1781042.7953300136</v>
      </c>
      <c r="AM21" s="82">
        <f ca="1">Analítico!AM46</f>
        <v>1786987.6753300135</v>
      </c>
      <c r="AN21" s="82">
        <f ca="1">Analítico!AN46</f>
        <v>1767987.6753300135</v>
      </c>
      <c r="AO21" s="82">
        <f ca="1">Analítico!AO46</f>
        <v>1767987.6753300135</v>
      </c>
      <c r="AP21" s="82">
        <f ca="1">Analítico!AP46</f>
        <v>1767987.6753300135</v>
      </c>
      <c r="AQ21" s="82">
        <f ca="1">Analítico!AQ46</f>
        <v>1871004.5555692862</v>
      </c>
      <c r="AR21" s="82">
        <f ca="1">Analítico!AR46</f>
        <v>1871004.5555692862</v>
      </c>
      <c r="AS21" s="82">
        <f ca="1">Analítico!AS46</f>
        <v>1871004.5555692862</v>
      </c>
      <c r="AT21" s="82">
        <f ca="1">Analítico!AT46</f>
        <v>1871004.5555692862</v>
      </c>
      <c r="AU21" s="82">
        <f ca="1">Analítico!AU46</f>
        <v>1871004.5555692862</v>
      </c>
      <c r="AV21" s="82">
        <f ca="1">Analítico!AV46</f>
        <v>1891907.6055692863</v>
      </c>
      <c r="AW21" s="82">
        <f ca="1">Analítico!AW46</f>
        <v>1885055.6955692861</v>
      </c>
      <c r="AX21" s="82">
        <f ca="1">Analítico!AX46</f>
        <v>0</v>
      </c>
      <c r="AY21" s="82">
        <f ca="1">Analítico!AY46</f>
        <v>0</v>
      </c>
      <c r="AZ21" s="82">
        <f ca="1">Analítico!AZ46</f>
        <v>0</v>
      </c>
      <c r="BA21" s="82">
        <f ca="1">Analítico!BA46</f>
        <v>0</v>
      </c>
      <c r="BB21" s="82">
        <f ca="1">Analítico!BB46</f>
        <v>0</v>
      </c>
      <c r="BC21" s="82">
        <f ca="1">Analítico!BC46</f>
        <v>0</v>
      </c>
      <c r="BD21" s="82">
        <f ca="1">Analítico!BD46</f>
        <v>0</v>
      </c>
      <c r="BE21" s="82">
        <f ca="1">Analítico!BE46</f>
        <v>0</v>
      </c>
      <c r="BF21" s="82">
        <f ca="1">Analítico!BF46</f>
        <v>0</v>
      </c>
      <c r="BG21" s="82">
        <f ca="1">Analítico!BG46</f>
        <v>0</v>
      </c>
      <c r="BH21" s="82">
        <f ca="1">Analítico!BH46</f>
        <v>0</v>
      </c>
      <c r="BI21" s="82">
        <f ca="1">Analítico!BI46</f>
        <v>0</v>
      </c>
      <c r="BJ21" s="82">
        <f ca="1">Analítico!BJ46</f>
        <v>0</v>
      </c>
      <c r="BK21" s="66">
        <f t="shared" ca="1" si="8"/>
        <v>77630312.479426518</v>
      </c>
      <c r="BL21" s="83">
        <f t="shared" ca="1" si="9"/>
        <v>0.26728101909398017</v>
      </c>
    </row>
    <row r="22" spans="1:68" ht="15.75" customHeight="1">
      <c r="A22" s="103" t="s">
        <v>87</v>
      </c>
      <c r="B22" s="100" t="s">
        <v>88</v>
      </c>
      <c r="C22" s="82">
        <f ca="1">Analítico!C57</f>
        <v>514709.61000000045</v>
      </c>
      <c r="D22" s="82">
        <f ca="1">Analítico!D57</f>
        <v>516458.89000000048</v>
      </c>
      <c r="E22" s="82">
        <f ca="1">Analítico!E57</f>
        <v>544926.1400000006</v>
      </c>
      <c r="F22" s="82">
        <f ca="1">Analítico!F57</f>
        <v>546609.0400000005</v>
      </c>
      <c r="G22" s="82">
        <f ca="1">Analítico!G57</f>
        <v>567699.40809600055</v>
      </c>
      <c r="H22" s="82">
        <f ca="1">Analítico!H57</f>
        <v>597263.84809600073</v>
      </c>
      <c r="I22" s="82">
        <f ca="1">Analítico!I57</f>
        <v>599110.38777600066</v>
      </c>
      <c r="J22" s="82">
        <f ca="1">Analítico!J57</f>
        <v>599110.38777600066</v>
      </c>
      <c r="K22" s="82">
        <f ca="1">Analítico!K57</f>
        <v>631767.25777600089</v>
      </c>
      <c r="L22" s="82">
        <f ca="1">Analítico!L57</f>
        <v>633548.37777600088</v>
      </c>
      <c r="M22" s="82">
        <f ca="1">Analítico!M57</f>
        <v>633548.37777600088</v>
      </c>
      <c r="N22" s="82">
        <f ca="1">Analítico!N57</f>
        <v>663835.84777600097</v>
      </c>
      <c r="O22" s="82">
        <f ca="1">Analítico!O57</f>
        <v>663835.84777600097</v>
      </c>
      <c r="P22" s="82">
        <f ca="1">Analítico!P57</f>
        <v>663835.84777600097</v>
      </c>
      <c r="Q22" s="82">
        <f ca="1">Analítico!Q57</f>
        <v>663835.84777600097</v>
      </c>
      <c r="R22" s="82">
        <f ca="1">Analítico!R57</f>
        <v>663835.84777600097</v>
      </c>
      <c r="S22" s="82">
        <f ca="1">Analítico!S57</f>
        <v>689933.23902211932</v>
      </c>
      <c r="T22" s="82">
        <f ca="1">Analítico!T57</f>
        <v>689933.23902211932</v>
      </c>
      <c r="U22" s="82">
        <f ca="1">Analítico!U57</f>
        <v>689933.23902211932</v>
      </c>
      <c r="V22" s="82">
        <f ca="1">Analítico!V57</f>
        <v>689933.23902211932</v>
      </c>
      <c r="W22" s="82">
        <f ca="1">Analítico!W57</f>
        <v>689933.23902211932</v>
      </c>
      <c r="X22" s="82">
        <f ca="1">Analítico!X57</f>
        <v>689933.23902211932</v>
      </c>
      <c r="Y22" s="82">
        <f ca="1">Analítico!Y57</f>
        <v>689933.23902211932</v>
      </c>
      <c r="Z22" s="82">
        <f ca="1">Analítico!Z57</f>
        <v>689933.23902211932</v>
      </c>
      <c r="AA22" s="82">
        <f ca="1">Analítico!AA57</f>
        <v>689933.23902211932</v>
      </c>
      <c r="AB22" s="82">
        <f ca="1">Analítico!AB57</f>
        <v>689933.23902211932</v>
      </c>
      <c r="AC22" s="82">
        <f ca="1">Analítico!AC57</f>
        <v>689933.23902211932</v>
      </c>
      <c r="AD22" s="82">
        <f ca="1">Analítico!AD57</f>
        <v>689933.23902211932</v>
      </c>
      <c r="AE22" s="82">
        <f ca="1">Analítico!AE57</f>
        <v>713859.97203131905</v>
      </c>
      <c r="AF22" s="82">
        <f ca="1">Analítico!AF57</f>
        <v>713859.97203131905</v>
      </c>
      <c r="AG22" s="82">
        <f ca="1">Analítico!AG57</f>
        <v>713859.97203131905</v>
      </c>
      <c r="AH22" s="82">
        <f ca="1">Analítico!AH57</f>
        <v>713859.97203131905</v>
      </c>
      <c r="AI22" s="82">
        <f ca="1">Analítico!AI57</f>
        <v>713859.97203131905</v>
      </c>
      <c r="AJ22" s="82">
        <f ca="1">Analítico!AJ57</f>
        <v>713859.97203131905</v>
      </c>
      <c r="AK22" s="82">
        <f ca="1">Analítico!AK57</f>
        <v>713859.97203131905</v>
      </c>
      <c r="AL22" s="82">
        <f ca="1">Analítico!AL57</f>
        <v>713859.97203131905</v>
      </c>
      <c r="AM22" s="82">
        <f ca="1">Analítico!AM57</f>
        <v>713859.97203131905</v>
      </c>
      <c r="AN22" s="82">
        <f ca="1">Analítico!AN57</f>
        <v>713859.97203131905</v>
      </c>
      <c r="AO22" s="82">
        <f ca="1">Analítico!AO57</f>
        <v>713859.97203131905</v>
      </c>
      <c r="AP22" s="82">
        <f ca="1">Analítico!AP57</f>
        <v>713859.97203131905</v>
      </c>
      <c r="AQ22" s="82">
        <f ca="1">Analítico!AQ57</f>
        <v>743094.54529367248</v>
      </c>
      <c r="AR22" s="82">
        <f ca="1">Analítico!AR57</f>
        <v>743094.54529367248</v>
      </c>
      <c r="AS22" s="82">
        <f ca="1">Analítico!AS57</f>
        <v>743094.54529367248</v>
      </c>
      <c r="AT22" s="82">
        <f ca="1">Analítico!AT57</f>
        <v>743094.54529367248</v>
      </c>
      <c r="AU22" s="82">
        <f ca="1">Analítico!AU57</f>
        <v>743094.54529367248</v>
      </c>
      <c r="AV22" s="82">
        <f ca="1">Analítico!AV57</f>
        <v>743094.54529367248</v>
      </c>
      <c r="AW22" s="82">
        <f ca="1">Analítico!AW57</f>
        <v>743094.54529367248</v>
      </c>
      <c r="AX22" s="82">
        <f ca="1">Analítico!AX57</f>
        <v>0</v>
      </c>
      <c r="AY22" s="82">
        <f ca="1">Analítico!AY57</f>
        <v>0</v>
      </c>
      <c r="AZ22" s="82">
        <f ca="1">Analítico!AZ57</f>
        <v>0</v>
      </c>
      <c r="BA22" s="82">
        <f ca="1">Analítico!BA57</f>
        <v>0</v>
      </c>
      <c r="BB22" s="82">
        <f ca="1">Analítico!BB57</f>
        <v>0</v>
      </c>
      <c r="BC22" s="82">
        <f ca="1">Analítico!BC57</f>
        <v>0</v>
      </c>
      <c r="BD22" s="82">
        <f ca="1">Analítico!BD57</f>
        <v>0</v>
      </c>
      <c r="BE22" s="82">
        <f ca="1">Analítico!BE57</f>
        <v>0</v>
      </c>
      <c r="BF22" s="82">
        <f ca="1">Analítico!BF57</f>
        <v>0</v>
      </c>
      <c r="BG22" s="82">
        <f ca="1">Analítico!BG57</f>
        <v>0</v>
      </c>
      <c r="BH22" s="82">
        <f ca="1">Analítico!BH57</f>
        <v>0</v>
      </c>
      <c r="BI22" s="82">
        <f ca="1">Analítico!BI57</f>
        <v>0</v>
      </c>
      <c r="BJ22" s="82">
        <f ca="1">Analítico!BJ57</f>
        <v>0</v>
      </c>
      <c r="BK22" s="66">
        <f t="shared" ca="1" si="8"/>
        <v>31751111.313648973</v>
      </c>
      <c r="BL22" s="83">
        <f t="shared" ca="1" si="9"/>
        <v>0.10931901622227236</v>
      </c>
    </row>
    <row r="23" spans="1:68" ht="21" customHeight="1">
      <c r="A23" s="382" t="s">
        <v>89</v>
      </c>
      <c r="B23" s="382"/>
      <c r="C23" s="88">
        <f t="shared" ref="C23:AH23" ca="1" si="10">SUBTOTAL(109,C19:C22)</f>
        <v>3365533.8832184095</v>
      </c>
      <c r="D23" s="88">
        <f t="shared" ca="1" si="10"/>
        <v>3404430.6632184098</v>
      </c>
      <c r="E23" s="88">
        <f t="shared" ca="1" si="10"/>
        <v>3562363.5928701344</v>
      </c>
      <c r="F23" s="88">
        <f t="shared" ca="1" si="10"/>
        <v>3584980.1073447461</v>
      </c>
      <c r="G23" s="88">
        <f t="shared" ca="1" si="10"/>
        <v>3783131.7457736782</v>
      </c>
      <c r="H23" s="88">
        <f t="shared" ca="1" si="10"/>
        <v>3965069.4611170646</v>
      </c>
      <c r="I23" s="88">
        <f t="shared" ca="1" si="10"/>
        <v>3990366.0211317204</v>
      </c>
      <c r="J23" s="88">
        <f t="shared" ca="1" si="10"/>
        <v>3990366.0211317204</v>
      </c>
      <c r="K23" s="88">
        <f t="shared" ca="1" si="10"/>
        <v>4184064.1979611651</v>
      </c>
      <c r="L23" s="88">
        <f t="shared" ca="1" si="10"/>
        <v>4209233.1581319543</v>
      </c>
      <c r="M23" s="88">
        <f t="shared" ca="1" si="10"/>
        <v>4209233.1581319543</v>
      </c>
      <c r="N23" s="88">
        <f t="shared" ca="1" si="10"/>
        <v>4402061.9349614</v>
      </c>
      <c r="O23" s="88">
        <f t="shared" ca="1" si="10"/>
        <v>4415065.9849613998</v>
      </c>
      <c r="P23" s="88">
        <f t="shared" ca="1" si="10"/>
        <v>4417061.9349614</v>
      </c>
      <c r="Q23" s="88">
        <f t="shared" ca="1" si="10"/>
        <v>4400561.9349614</v>
      </c>
      <c r="R23" s="88">
        <f t="shared" ca="1" si="10"/>
        <v>4400561.9349614</v>
      </c>
      <c r="S23" s="88">
        <f t="shared" ca="1" si="10"/>
        <v>4644504.529699144</v>
      </c>
      <c r="T23" s="88">
        <f t="shared" ca="1" si="10"/>
        <v>4644504.529699144</v>
      </c>
      <c r="U23" s="88">
        <f t="shared" ca="1" si="10"/>
        <v>4644504.529699144</v>
      </c>
      <c r="V23" s="88">
        <f t="shared" ca="1" si="10"/>
        <v>4644504.529699144</v>
      </c>
      <c r="W23" s="88">
        <f t="shared" ca="1" si="10"/>
        <v>4644504.529699144</v>
      </c>
      <c r="X23" s="88">
        <f t="shared" ca="1" si="10"/>
        <v>4644504.529699144</v>
      </c>
      <c r="Y23" s="88">
        <f t="shared" ca="1" si="10"/>
        <v>4644504.529699144</v>
      </c>
      <c r="Z23" s="88">
        <f t="shared" ca="1" si="10"/>
        <v>4644504.529699144</v>
      </c>
      <c r="AA23" s="88">
        <f t="shared" ca="1" si="10"/>
        <v>4661004.529699144</v>
      </c>
      <c r="AB23" s="88">
        <f t="shared" ca="1" si="10"/>
        <v>4643504.529699144</v>
      </c>
      <c r="AC23" s="88">
        <f t="shared" ca="1" si="10"/>
        <v>4643504.529699144</v>
      </c>
      <c r="AD23" s="88">
        <f t="shared" ca="1" si="10"/>
        <v>4643504.529699144</v>
      </c>
      <c r="AE23" s="88">
        <f t="shared" ca="1" si="10"/>
        <v>4897998.6260838825</v>
      </c>
      <c r="AF23" s="88">
        <f t="shared" ca="1" si="10"/>
        <v>4897998.6260838825</v>
      </c>
      <c r="AG23" s="88">
        <f t="shared" ca="1" si="10"/>
        <v>4897998.6260838825</v>
      </c>
      <c r="AH23" s="88">
        <f t="shared" ca="1" si="10"/>
        <v>4897998.6260838825</v>
      </c>
      <c r="AI23" s="88">
        <f t="shared" ref="AI23:BJ23" ca="1" si="11">SUBTOTAL(109,AI19:AI22)</f>
        <v>4897998.6260838825</v>
      </c>
      <c r="AJ23" s="88">
        <f t="shared" ca="1" si="11"/>
        <v>4897998.6260838825</v>
      </c>
      <c r="AK23" s="88">
        <f t="shared" ca="1" si="11"/>
        <v>4916027.5860838834</v>
      </c>
      <c r="AL23" s="88">
        <f t="shared" ca="1" si="11"/>
        <v>4909553.7460838836</v>
      </c>
      <c r="AM23" s="88">
        <f t="shared" ca="1" si="11"/>
        <v>4915498.6260838825</v>
      </c>
      <c r="AN23" s="88">
        <f t="shared" ca="1" si="11"/>
        <v>4896498.6260838825</v>
      </c>
      <c r="AO23" s="88">
        <f t="shared" ca="1" si="11"/>
        <v>4896498.6260838825</v>
      </c>
      <c r="AP23" s="88">
        <f t="shared" ca="1" si="11"/>
        <v>4896498.6260838825</v>
      </c>
      <c r="AQ23" s="88">
        <f t="shared" ca="1" si="11"/>
        <v>5169765.6967429053</v>
      </c>
      <c r="AR23" s="88">
        <f t="shared" ca="1" si="11"/>
        <v>5169765.6967429053</v>
      </c>
      <c r="AS23" s="88">
        <f t="shared" ca="1" si="11"/>
        <v>5169765.6967429053</v>
      </c>
      <c r="AT23" s="88">
        <f t="shared" ca="1" si="11"/>
        <v>5169765.6967429053</v>
      </c>
      <c r="AU23" s="88">
        <f t="shared" ca="1" si="11"/>
        <v>5169765.6967429053</v>
      </c>
      <c r="AV23" s="88">
        <f t="shared" ca="1" si="11"/>
        <v>5190668.746742906</v>
      </c>
      <c r="AW23" s="88">
        <f t="shared" ca="1" si="11"/>
        <v>5183816.8367429059</v>
      </c>
      <c r="AX23" s="88">
        <f t="shared" ca="1" si="11"/>
        <v>0</v>
      </c>
      <c r="AY23" s="88">
        <f t="shared" ca="1" si="11"/>
        <v>0</v>
      </c>
      <c r="AZ23" s="88">
        <f t="shared" ca="1" si="11"/>
        <v>0</v>
      </c>
      <c r="BA23" s="88">
        <f t="shared" ca="1" si="11"/>
        <v>0</v>
      </c>
      <c r="BB23" s="88">
        <f t="shared" ca="1" si="11"/>
        <v>0</v>
      </c>
      <c r="BC23" s="88">
        <f t="shared" ca="1" si="11"/>
        <v>0</v>
      </c>
      <c r="BD23" s="88">
        <f t="shared" ca="1" si="11"/>
        <v>0</v>
      </c>
      <c r="BE23" s="88">
        <f t="shared" ca="1" si="11"/>
        <v>0</v>
      </c>
      <c r="BF23" s="88">
        <f t="shared" ca="1" si="11"/>
        <v>0</v>
      </c>
      <c r="BG23" s="88">
        <f t="shared" ca="1" si="11"/>
        <v>0</v>
      </c>
      <c r="BH23" s="88">
        <f t="shared" ca="1" si="11"/>
        <v>0</v>
      </c>
      <c r="BI23" s="88">
        <f t="shared" ca="1" si="11"/>
        <v>0</v>
      </c>
      <c r="BJ23" s="88">
        <f t="shared" ca="1" si="11"/>
        <v>0</v>
      </c>
      <c r="BK23" s="88">
        <f t="shared" ca="1" si="8"/>
        <v>215073521.75143459</v>
      </c>
      <c r="BL23" s="89">
        <f t="shared" ca="1" si="9"/>
        <v>0.74049772875884479</v>
      </c>
    </row>
    <row r="24" spans="1:68" ht="21" customHeight="1">
      <c r="A24" s="99" t="s">
        <v>90</v>
      </c>
      <c r="B24" s="100" t="s">
        <v>91</v>
      </c>
      <c r="C24" s="82">
        <f>Analítico!C133</f>
        <v>1731620.3554799999</v>
      </c>
      <c r="D24" s="82">
        <f>Analítico!D133</f>
        <v>1478526.3554799999</v>
      </c>
      <c r="E24" s="82">
        <f>Analítico!E133</f>
        <v>1529693.0654799999</v>
      </c>
      <c r="F24" s="82">
        <f>Analítico!F133</f>
        <v>1827089.0654799999</v>
      </c>
      <c r="G24" s="82">
        <f>Analítico!G133</f>
        <v>1809022.11298</v>
      </c>
      <c r="H24" s="82">
        <f>Analítico!H133</f>
        <v>1581022.11298</v>
      </c>
      <c r="I24" s="82">
        <f>Analítico!I133</f>
        <v>1874598.11298</v>
      </c>
      <c r="J24" s="82">
        <f>Analítico!J133</f>
        <v>1639848.11298</v>
      </c>
      <c r="K24" s="82">
        <f>Analítico!K133</f>
        <v>1638348.11298</v>
      </c>
      <c r="L24" s="82">
        <f>Analítico!L133</f>
        <v>1945744.11298</v>
      </c>
      <c r="M24" s="82">
        <f>Analítico!M133</f>
        <v>1738956.38298</v>
      </c>
      <c r="N24" s="82">
        <f>Analítico!N133</f>
        <v>1719906.38298</v>
      </c>
      <c r="O24" s="82">
        <f>Analítico!O133</f>
        <v>1731798.7152829168</v>
      </c>
      <c r="P24" s="82">
        <f>Analítico!P133</f>
        <v>1684960.9652829168</v>
      </c>
      <c r="Q24" s="82">
        <f>Analítico!Q133</f>
        <v>1732777.7952829166</v>
      </c>
      <c r="R24" s="82">
        <f>Analítico!R133</f>
        <v>1716481.7952829166</v>
      </c>
      <c r="S24" s="82">
        <f>Analítico!S133</f>
        <v>1692597.7952829166</v>
      </c>
      <c r="T24" s="82">
        <f>Analítico!T133</f>
        <v>1692297.7952829166</v>
      </c>
      <c r="U24" s="82">
        <f>Analítico!U133</f>
        <v>1679027.7952829166</v>
      </c>
      <c r="V24" s="82">
        <f>Analítico!V133</f>
        <v>1672777.7952829166</v>
      </c>
      <c r="W24" s="82">
        <f>Analítico!W133</f>
        <v>1672777.7952829166</v>
      </c>
      <c r="X24" s="82">
        <f>Analítico!X133</f>
        <v>1672777.7952829166</v>
      </c>
      <c r="Y24" s="82">
        <f>Analítico!Y133</f>
        <v>1695167.7752829166</v>
      </c>
      <c r="Z24" s="82">
        <f>Analítico!Z133</f>
        <v>1675467.7752829166</v>
      </c>
      <c r="AA24" s="82">
        <f>Analítico!AA133</f>
        <v>1768719.3833137292</v>
      </c>
      <c r="AB24" s="82">
        <f>Analítico!AB133</f>
        <v>1767015.3833137292</v>
      </c>
      <c r="AC24" s="82">
        <f>Analítico!AC133</f>
        <v>1795387.7433137291</v>
      </c>
      <c r="AD24" s="82">
        <f>Analítico!AD133</f>
        <v>1781437.7433137291</v>
      </c>
      <c r="AE24" s="82">
        <f>Analítico!AE133</f>
        <v>1757553.7433137291</v>
      </c>
      <c r="AF24" s="82">
        <f>Analítico!AF133</f>
        <v>1757253.7433137291</v>
      </c>
      <c r="AG24" s="82">
        <f>Analítico!AG133</f>
        <v>1743983.7433137291</v>
      </c>
      <c r="AH24" s="82">
        <f>Analítico!AH133</f>
        <v>1737733.7433137291</v>
      </c>
      <c r="AI24" s="82">
        <f>Analítico!AI133</f>
        <v>1737733.7433137291</v>
      </c>
      <c r="AJ24" s="82">
        <f>Analítico!AJ133</f>
        <v>1737733.7433137291</v>
      </c>
      <c r="AK24" s="82">
        <f>Analítico!AK133</f>
        <v>1757162.6333137292</v>
      </c>
      <c r="AL24" s="82">
        <f>Analítico!AL133</f>
        <v>1737462.6333137292</v>
      </c>
      <c r="AM24" s="82">
        <f>Analítico!AM133</f>
        <v>978174.85666666669</v>
      </c>
      <c r="AN24" s="82">
        <f>Analítico!AN133</f>
        <v>954654.85666666669</v>
      </c>
      <c r="AO24" s="82">
        <f>Analítico!AO133</f>
        <v>967478.85666666669</v>
      </c>
      <c r="AP24" s="82">
        <f>Analítico!AP133</f>
        <v>959448.85666666669</v>
      </c>
      <c r="AQ24" s="82">
        <f>Analítico!AQ133</f>
        <v>944398.85666666669</v>
      </c>
      <c r="AR24" s="82">
        <f>Analítico!AR133</f>
        <v>944098.85666666669</v>
      </c>
      <c r="AS24" s="82">
        <f>Analítico!AS133</f>
        <v>936308.85666666669</v>
      </c>
      <c r="AT24" s="82">
        <f>Analítico!AT133</f>
        <v>933408.85666666669</v>
      </c>
      <c r="AU24" s="82">
        <f>Analítico!AU133</f>
        <v>933408.85666666669</v>
      </c>
      <c r="AV24" s="82">
        <f>Analítico!AV133</f>
        <v>933408.85666666669</v>
      </c>
      <c r="AW24" s="82">
        <f>Analítico!AW133</f>
        <v>952293.85666666669</v>
      </c>
      <c r="AX24" s="82">
        <f>Analítico!AX133</f>
        <v>0</v>
      </c>
      <c r="AY24" s="82">
        <f>Analítico!AY133</f>
        <v>0</v>
      </c>
      <c r="AZ24" s="82">
        <f>Analítico!AZ133</f>
        <v>0</v>
      </c>
      <c r="BA24" s="82">
        <f>Analítico!BA133</f>
        <v>0</v>
      </c>
      <c r="BB24" s="82">
        <f>Analítico!BB133</f>
        <v>0</v>
      </c>
      <c r="BC24" s="82">
        <f>Analítico!BC133</f>
        <v>0</v>
      </c>
      <c r="BD24" s="82">
        <f>Analítico!BD133</f>
        <v>0</v>
      </c>
      <c r="BE24" s="82">
        <f>Analítico!BE133</f>
        <v>0</v>
      </c>
      <c r="BF24" s="82">
        <f>Analítico!BF133</f>
        <v>0</v>
      </c>
      <c r="BG24" s="82">
        <f>Analítico!BG133</f>
        <v>0</v>
      </c>
      <c r="BH24" s="82">
        <f>Analítico!BH133</f>
        <v>0</v>
      </c>
      <c r="BI24" s="82">
        <f>Analítico!BI133</f>
        <v>0</v>
      </c>
      <c r="BJ24" s="82">
        <f>Analítico!BJ133</f>
        <v>0</v>
      </c>
      <c r="BK24" s="66">
        <f t="shared" si="8"/>
        <v>72349548.282253116</v>
      </c>
      <c r="BL24" s="83">
        <f t="shared" ca="1" si="9"/>
        <v>0.24909935794725258</v>
      </c>
    </row>
    <row r="25" spans="1:68" s="48" customFormat="1" ht="21" customHeight="1">
      <c r="A25" s="104" t="s">
        <v>92</v>
      </c>
      <c r="B25" s="105" t="s">
        <v>93</v>
      </c>
      <c r="C25" s="78">
        <f>Analítico!C149</f>
        <v>322724</v>
      </c>
      <c r="D25" s="78">
        <f>Analítico!D149</f>
        <v>297233.8</v>
      </c>
      <c r="E25" s="78">
        <f>Analítico!E149</f>
        <v>871978.4</v>
      </c>
      <c r="F25" s="78">
        <f>Analítico!F149</f>
        <v>51881.13</v>
      </c>
      <c r="G25" s="78">
        <f>Analítico!G149</f>
        <v>413255</v>
      </c>
      <c r="H25" s="78">
        <f>Analítico!H149</f>
        <v>21556.2</v>
      </c>
      <c r="I25" s="78">
        <f>Analítico!I149</f>
        <v>32500</v>
      </c>
      <c r="J25" s="78">
        <f>Analítico!J149</f>
        <v>32800</v>
      </c>
      <c r="K25" s="78">
        <f>Analítico!K149</f>
        <v>33500</v>
      </c>
      <c r="L25" s="78">
        <f>Analítico!L149</f>
        <v>42800</v>
      </c>
      <c r="M25" s="78">
        <f>Analítico!M149</f>
        <v>30000</v>
      </c>
      <c r="N25" s="78">
        <f>Analítico!N149</f>
        <v>42300</v>
      </c>
      <c r="O25" s="78">
        <f>Analítico!O149</f>
        <v>0</v>
      </c>
      <c r="P25" s="78">
        <f>Analítico!P149</f>
        <v>15000</v>
      </c>
      <c r="Q25" s="78">
        <f>Analítico!Q149</f>
        <v>65450</v>
      </c>
      <c r="R25" s="78">
        <f>Analítico!R149</f>
        <v>75250</v>
      </c>
      <c r="S25" s="78">
        <f>Analítico!S149</f>
        <v>0</v>
      </c>
      <c r="T25" s="78">
        <f>Analítico!T149</f>
        <v>30859.559999999998</v>
      </c>
      <c r="U25" s="78">
        <f>Analítico!U149</f>
        <v>15000</v>
      </c>
      <c r="V25" s="78">
        <f>Analítico!V149</f>
        <v>2220</v>
      </c>
      <c r="W25" s="78">
        <f>Analítico!W149</f>
        <v>13500</v>
      </c>
      <c r="X25" s="78">
        <f>Analítico!X149</f>
        <v>2800</v>
      </c>
      <c r="Y25" s="78">
        <f>Analítico!Y149</f>
        <v>2500</v>
      </c>
      <c r="Z25" s="78">
        <f>Analítico!Z149</f>
        <v>13500</v>
      </c>
      <c r="AA25" s="78">
        <f>Analítico!AA149</f>
        <v>0</v>
      </c>
      <c r="AB25" s="78">
        <f>Analítico!AB149</f>
        <v>2500</v>
      </c>
      <c r="AC25" s="78">
        <f>Analítico!AC149</f>
        <v>13500</v>
      </c>
      <c r="AD25" s="78">
        <f>Analítico!AD149</f>
        <v>170720</v>
      </c>
      <c r="AE25" s="78">
        <f>Analítico!AE149</f>
        <v>0</v>
      </c>
      <c r="AF25" s="78">
        <f>Analítico!AF149</f>
        <v>41100</v>
      </c>
      <c r="AG25" s="78">
        <f>Analítico!AG149</f>
        <v>15000</v>
      </c>
      <c r="AH25" s="78">
        <f>Analítico!AH149</f>
        <v>5300</v>
      </c>
      <c r="AI25" s="78">
        <f>Analítico!AI149</f>
        <v>13500</v>
      </c>
      <c r="AJ25" s="78">
        <f>Analítico!AJ149</f>
        <v>2800</v>
      </c>
      <c r="AK25" s="78">
        <f>Analítico!AK149</f>
        <v>0</v>
      </c>
      <c r="AL25" s="78">
        <f>Analítico!AL149</f>
        <v>16000</v>
      </c>
      <c r="AM25" s="78">
        <f>Analítico!AM149</f>
        <v>0</v>
      </c>
      <c r="AN25" s="78">
        <f>Analítico!AN149</f>
        <v>0</v>
      </c>
      <c r="AO25" s="78">
        <f>Analítico!AO149</f>
        <v>31000</v>
      </c>
      <c r="AP25" s="78">
        <f>Analítico!AP149</f>
        <v>0</v>
      </c>
      <c r="AQ25" s="78">
        <f>Analítico!AQ149</f>
        <v>2200</v>
      </c>
      <c r="AR25" s="78">
        <f>Analítico!AR149</f>
        <v>21741.989999999998</v>
      </c>
      <c r="AS25" s="78">
        <f>Analítico!AS149</f>
        <v>0</v>
      </c>
      <c r="AT25" s="78">
        <f>Analítico!AT149</f>
        <v>2800</v>
      </c>
      <c r="AU25" s="78">
        <f>Analítico!AU149</f>
        <v>11899.279999999999</v>
      </c>
      <c r="AV25" s="78">
        <f>Analítico!AV149</f>
        <v>2800</v>
      </c>
      <c r="AW25" s="78">
        <f>Analítico!AW149</f>
        <v>0</v>
      </c>
      <c r="AX25" s="78">
        <f>Analítico!AX149</f>
        <v>0</v>
      </c>
      <c r="AY25" s="78">
        <f>Analítico!AY149</f>
        <v>0</v>
      </c>
      <c r="AZ25" s="78">
        <f>Analítico!AZ149</f>
        <v>0</v>
      </c>
      <c r="BA25" s="78">
        <f>Analítico!BA149</f>
        <v>0</v>
      </c>
      <c r="BB25" s="78">
        <f>Analítico!BB149</f>
        <v>0</v>
      </c>
      <c r="BC25" s="78">
        <f>Analítico!BC149</f>
        <v>0</v>
      </c>
      <c r="BD25" s="78">
        <f>Analítico!BD149</f>
        <v>0</v>
      </c>
      <c r="BE25" s="78">
        <f>Analítico!BE149</f>
        <v>0</v>
      </c>
      <c r="BF25" s="78">
        <f>Analítico!BF149</f>
        <v>0</v>
      </c>
      <c r="BG25" s="78">
        <f>Analítico!BG149</f>
        <v>0</v>
      </c>
      <c r="BH25" s="78">
        <f>Analítico!BH149</f>
        <v>0</v>
      </c>
      <c r="BI25" s="78">
        <f>Analítico!BI149</f>
        <v>0</v>
      </c>
      <c r="BJ25" s="78">
        <f>Analítico!BJ149</f>
        <v>0</v>
      </c>
      <c r="BK25" s="88">
        <f t="shared" si="8"/>
        <v>2781469.3600000003</v>
      </c>
      <c r="BL25" s="79">
        <f t="shared" ca="1" si="9"/>
        <v>9.5765937476614531E-3</v>
      </c>
    </row>
    <row r="26" spans="1:68" s="48" customFormat="1" ht="21" customHeight="1">
      <c r="A26" s="106" t="s">
        <v>94</v>
      </c>
      <c r="B26" s="107" t="s">
        <v>95</v>
      </c>
      <c r="C26" s="108">
        <f>Analítico!C150</f>
        <v>0</v>
      </c>
      <c r="D26" s="108">
        <f>Analítico!D150</f>
        <v>0</v>
      </c>
      <c r="E26" s="108">
        <f>Analítico!E150</f>
        <v>0</v>
      </c>
      <c r="F26" s="108">
        <f>Analítico!F150</f>
        <v>0</v>
      </c>
      <c r="G26" s="108">
        <f>Analítico!G150</f>
        <v>0</v>
      </c>
      <c r="H26" s="108">
        <f>Analítico!H150</f>
        <v>0</v>
      </c>
      <c r="I26" s="108">
        <f>Analítico!I150</f>
        <v>0</v>
      </c>
      <c r="J26" s="108">
        <f>Analítico!J150</f>
        <v>0</v>
      </c>
      <c r="K26" s="108">
        <f>Analítico!K150</f>
        <v>0</v>
      </c>
      <c r="L26" s="108">
        <f>Analítico!L150</f>
        <v>0</v>
      </c>
      <c r="M26" s="108">
        <f>Analítico!M150</f>
        <v>0</v>
      </c>
      <c r="N26" s="108">
        <f>Analítico!N150</f>
        <v>0</v>
      </c>
      <c r="O26" s="108">
        <f>Analítico!O150</f>
        <v>0</v>
      </c>
      <c r="P26" s="108">
        <f>Analítico!P150</f>
        <v>0</v>
      </c>
      <c r="Q26" s="108">
        <f>Analítico!Q150</f>
        <v>0</v>
      </c>
      <c r="R26" s="108">
        <f>Analítico!R150</f>
        <v>0</v>
      </c>
      <c r="S26" s="108">
        <f>Analítico!S150</f>
        <v>0</v>
      </c>
      <c r="T26" s="108">
        <f>Analítico!T150</f>
        <v>0</v>
      </c>
      <c r="U26" s="108">
        <f>Analítico!U150</f>
        <v>0</v>
      </c>
      <c r="V26" s="108">
        <f>Analítico!V150</f>
        <v>0</v>
      </c>
      <c r="W26" s="108">
        <f>Analítico!W150</f>
        <v>0</v>
      </c>
      <c r="X26" s="108">
        <f>Analítico!X150</f>
        <v>0</v>
      </c>
      <c r="Y26" s="108">
        <f>Analítico!Y150</f>
        <v>0</v>
      </c>
      <c r="Z26" s="108">
        <f>Analítico!Z150</f>
        <v>0</v>
      </c>
      <c r="AA26" s="108">
        <f>Analítico!AA150</f>
        <v>0</v>
      </c>
      <c r="AB26" s="108">
        <f>Analítico!AB150</f>
        <v>0</v>
      </c>
      <c r="AC26" s="108">
        <f>Analítico!AC150</f>
        <v>0</v>
      </c>
      <c r="AD26" s="108">
        <f>Analítico!AD150</f>
        <v>0</v>
      </c>
      <c r="AE26" s="108">
        <f>Analítico!AE150</f>
        <v>0</v>
      </c>
      <c r="AF26" s="108">
        <f>Analítico!AF150</f>
        <v>0</v>
      </c>
      <c r="AG26" s="108">
        <f>Analítico!AG150</f>
        <v>0</v>
      </c>
      <c r="AH26" s="108">
        <f>Analítico!AH150</f>
        <v>0</v>
      </c>
      <c r="AI26" s="108">
        <f>Analítico!AI150</f>
        <v>0</v>
      </c>
      <c r="AJ26" s="108">
        <f>Analítico!AJ150</f>
        <v>0</v>
      </c>
      <c r="AK26" s="108">
        <f>Analítico!AK150</f>
        <v>0</v>
      </c>
      <c r="AL26" s="108">
        <f>Analítico!AL150</f>
        <v>0</v>
      </c>
      <c r="AM26" s="108">
        <f>Analítico!AM150</f>
        <v>0</v>
      </c>
      <c r="AN26" s="108">
        <f>Analítico!AN150</f>
        <v>0</v>
      </c>
      <c r="AO26" s="108">
        <f>Analítico!AO150</f>
        <v>0</v>
      </c>
      <c r="AP26" s="108">
        <f>Analítico!AP150</f>
        <v>0</v>
      </c>
      <c r="AQ26" s="108">
        <f>Analítico!AQ150</f>
        <v>0</v>
      </c>
      <c r="AR26" s="108">
        <f>Analítico!AR150</f>
        <v>0</v>
      </c>
      <c r="AS26" s="108">
        <f>Analítico!AS150</f>
        <v>0</v>
      </c>
      <c r="AT26" s="108">
        <f>Analítico!AT150</f>
        <v>0</v>
      </c>
      <c r="AU26" s="108">
        <f>Analítico!AU150</f>
        <v>0</v>
      </c>
      <c r="AV26" s="108">
        <f>Analítico!AV150</f>
        <v>0</v>
      </c>
      <c r="AW26" s="108">
        <f>Analítico!AW150</f>
        <v>0</v>
      </c>
      <c r="AX26" s="108">
        <f>Analítico!AX150</f>
        <v>0</v>
      </c>
      <c r="AY26" s="108">
        <f>Analítico!AY150</f>
        <v>0</v>
      </c>
      <c r="AZ26" s="108">
        <f>Analítico!AZ150</f>
        <v>0</v>
      </c>
      <c r="BA26" s="108">
        <f>Analítico!BA150</f>
        <v>0</v>
      </c>
      <c r="BB26" s="108">
        <f>Analítico!BB150</f>
        <v>0</v>
      </c>
      <c r="BC26" s="108">
        <f>Analítico!BC150</f>
        <v>0</v>
      </c>
      <c r="BD26" s="108">
        <f>Analítico!BD150</f>
        <v>0</v>
      </c>
      <c r="BE26" s="108">
        <f>Analítico!BE150</f>
        <v>0</v>
      </c>
      <c r="BF26" s="108">
        <f>Analítico!BF150</f>
        <v>0</v>
      </c>
      <c r="BG26" s="108">
        <f>Analítico!BG150</f>
        <v>0</v>
      </c>
      <c r="BH26" s="108">
        <f>Analítico!BH150</f>
        <v>0</v>
      </c>
      <c r="BI26" s="108">
        <f>Analítico!BI150</f>
        <v>0</v>
      </c>
      <c r="BJ26" s="108">
        <f>Analítico!BJ150</f>
        <v>0</v>
      </c>
      <c r="BK26" s="67">
        <f t="shared" si="8"/>
        <v>0</v>
      </c>
      <c r="BL26" s="109">
        <f t="shared" ca="1" si="9"/>
        <v>0</v>
      </c>
    </row>
    <row r="27" spans="1:68" s="48" customFormat="1" ht="21" customHeight="1">
      <c r="A27" s="110" t="s">
        <v>96</v>
      </c>
      <c r="B27" s="111" t="s">
        <v>97</v>
      </c>
      <c r="C27" s="112"/>
      <c r="D27" s="112"/>
      <c r="E27" s="112"/>
      <c r="F27" s="112"/>
      <c r="G27" s="112"/>
      <c r="H27" s="112"/>
      <c r="I27" s="112"/>
      <c r="J27" s="112"/>
      <c r="K27" s="112"/>
      <c r="L27" s="112"/>
      <c r="M27" s="112"/>
      <c r="N27" s="112"/>
      <c r="O27" s="112"/>
      <c r="P27" s="112"/>
      <c r="Q27" s="112"/>
      <c r="R27" s="112"/>
      <c r="S27" s="112"/>
      <c r="T27" s="112"/>
      <c r="U27" s="112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  <c r="AF27" s="112"/>
      <c r="AG27" s="112"/>
      <c r="AH27" s="112"/>
      <c r="AI27" s="112"/>
      <c r="AJ27" s="112"/>
      <c r="AK27" s="112"/>
      <c r="AL27" s="112"/>
      <c r="AM27" s="112"/>
      <c r="AN27" s="112"/>
      <c r="AO27" s="112"/>
      <c r="AP27" s="112"/>
      <c r="AQ27" s="112"/>
      <c r="AR27" s="112"/>
      <c r="AS27" s="112"/>
      <c r="AT27" s="112"/>
      <c r="AU27" s="112"/>
      <c r="AV27" s="112"/>
      <c r="AW27" s="112"/>
      <c r="AX27" s="112"/>
      <c r="AY27" s="112"/>
      <c r="AZ27" s="112"/>
      <c r="BA27" s="112"/>
      <c r="BB27" s="112"/>
      <c r="BC27" s="112"/>
      <c r="BD27" s="112"/>
      <c r="BE27" s="112"/>
      <c r="BF27" s="112"/>
      <c r="BG27" s="112"/>
      <c r="BH27" s="112"/>
      <c r="BI27" s="112"/>
      <c r="BJ27" s="112"/>
      <c r="BK27" s="90">
        <f>Desmobilização!H24</f>
        <v>240000</v>
      </c>
      <c r="BL27" s="113">
        <f t="shared" ca="1" si="9"/>
        <v>8.2631954624110915E-4</v>
      </c>
    </row>
    <row r="28" spans="1:68" s="48" customFormat="1" ht="21" customHeight="1">
      <c r="A28" s="93" t="s">
        <v>98</v>
      </c>
      <c r="B28" s="60"/>
      <c r="C28" s="94">
        <f t="shared" ref="C28:AH28" ca="1" si="12">SUBTOTAL(109,C19:C27)</f>
        <v>5419878.2386984099</v>
      </c>
      <c r="D28" s="94">
        <f t="shared" ca="1" si="12"/>
        <v>5180190.818698409</v>
      </c>
      <c r="E28" s="94">
        <f t="shared" ca="1" si="12"/>
        <v>5964035.0583501346</v>
      </c>
      <c r="F28" s="94">
        <f t="shared" ca="1" si="12"/>
        <v>5463950.3028247459</v>
      </c>
      <c r="G28" s="94">
        <f t="shared" ca="1" si="12"/>
        <v>6005408.8587536784</v>
      </c>
      <c r="H28" s="94">
        <f t="shared" ca="1" si="12"/>
        <v>5567647.7740970645</v>
      </c>
      <c r="I28" s="94">
        <f t="shared" ca="1" si="12"/>
        <v>5897464.1341117201</v>
      </c>
      <c r="J28" s="94">
        <f t="shared" ca="1" si="12"/>
        <v>5663014.1341117201</v>
      </c>
      <c r="K28" s="94">
        <f t="shared" ca="1" si="12"/>
        <v>5855912.3109411653</v>
      </c>
      <c r="L28" s="94">
        <f t="shared" ca="1" si="12"/>
        <v>6197777.271111954</v>
      </c>
      <c r="M28" s="94">
        <f t="shared" ca="1" si="12"/>
        <v>5978189.5411119545</v>
      </c>
      <c r="N28" s="94">
        <f t="shared" ca="1" si="12"/>
        <v>6164268.3179414002</v>
      </c>
      <c r="O28" s="94">
        <f t="shared" ca="1" si="12"/>
        <v>6146864.7002443168</v>
      </c>
      <c r="P28" s="94">
        <f t="shared" ca="1" si="12"/>
        <v>6117022.900244317</v>
      </c>
      <c r="Q28" s="94">
        <f t="shared" ca="1" si="12"/>
        <v>6198789.7302443162</v>
      </c>
      <c r="R28" s="94">
        <f t="shared" ca="1" si="12"/>
        <v>6192293.7302443162</v>
      </c>
      <c r="S28" s="94">
        <f t="shared" ca="1" si="12"/>
        <v>6337102.3249820601</v>
      </c>
      <c r="T28" s="94">
        <f t="shared" ca="1" si="12"/>
        <v>6367661.8849820597</v>
      </c>
      <c r="U28" s="94">
        <f t="shared" ca="1" si="12"/>
        <v>6338532.3249820601</v>
      </c>
      <c r="V28" s="94">
        <f t="shared" ca="1" si="12"/>
        <v>6319502.3249820601</v>
      </c>
      <c r="W28" s="94">
        <f t="shared" ca="1" si="12"/>
        <v>6330782.3249820601</v>
      </c>
      <c r="X28" s="94">
        <f t="shared" ca="1" si="12"/>
        <v>6320082.3249820601</v>
      </c>
      <c r="Y28" s="94">
        <f t="shared" ca="1" si="12"/>
        <v>6342172.3049820606</v>
      </c>
      <c r="Z28" s="94">
        <f t="shared" ca="1" si="12"/>
        <v>6333472.3049820606</v>
      </c>
      <c r="AA28" s="94">
        <f t="shared" ca="1" si="12"/>
        <v>6429723.9130128734</v>
      </c>
      <c r="AB28" s="94">
        <f t="shared" ca="1" si="12"/>
        <v>6413019.9130128734</v>
      </c>
      <c r="AC28" s="94">
        <f t="shared" ca="1" si="12"/>
        <v>6452392.2730128728</v>
      </c>
      <c r="AD28" s="94">
        <f t="shared" ca="1" si="12"/>
        <v>6595662.2730128728</v>
      </c>
      <c r="AE28" s="94">
        <f t="shared" ca="1" si="12"/>
        <v>6655552.3693976114</v>
      </c>
      <c r="AF28" s="94">
        <f t="shared" ca="1" si="12"/>
        <v>6696352.3693976114</v>
      </c>
      <c r="AG28" s="94">
        <f t="shared" ca="1" si="12"/>
        <v>6656982.3693976114</v>
      </c>
      <c r="AH28" s="94">
        <f t="shared" ca="1" si="12"/>
        <v>6641032.3693976114</v>
      </c>
      <c r="AI28" s="94">
        <f t="shared" ref="AI28:BJ28" ca="1" si="13">SUBTOTAL(109,AI19:AI27)</f>
        <v>6649232.3693976114</v>
      </c>
      <c r="AJ28" s="94">
        <f t="shared" ca="1" si="13"/>
        <v>6638532.3693976114</v>
      </c>
      <c r="AK28" s="94">
        <f t="shared" ca="1" si="13"/>
        <v>6673190.2193976128</v>
      </c>
      <c r="AL28" s="94">
        <f t="shared" ca="1" si="13"/>
        <v>6663016.379397613</v>
      </c>
      <c r="AM28" s="94">
        <f t="shared" ca="1" si="13"/>
        <v>5893673.482750549</v>
      </c>
      <c r="AN28" s="94">
        <f t="shared" ca="1" si="13"/>
        <v>5851153.482750549</v>
      </c>
      <c r="AO28" s="94">
        <f t="shared" ca="1" si="13"/>
        <v>5894977.482750549</v>
      </c>
      <c r="AP28" s="94">
        <f t="shared" ca="1" si="13"/>
        <v>5855947.482750549</v>
      </c>
      <c r="AQ28" s="94">
        <f t="shared" ca="1" si="13"/>
        <v>6116364.5534095718</v>
      </c>
      <c r="AR28" s="94">
        <f t="shared" ca="1" si="13"/>
        <v>6135606.543409572</v>
      </c>
      <c r="AS28" s="94">
        <f t="shared" ca="1" si="13"/>
        <v>6106074.5534095718</v>
      </c>
      <c r="AT28" s="94">
        <f t="shared" ca="1" si="13"/>
        <v>6105974.5534095718</v>
      </c>
      <c r="AU28" s="94">
        <f t="shared" ca="1" si="13"/>
        <v>6115073.833409572</v>
      </c>
      <c r="AV28" s="94">
        <f t="shared" ca="1" si="13"/>
        <v>6126877.6034095725</v>
      </c>
      <c r="AW28" s="94">
        <f t="shared" ca="1" si="13"/>
        <v>6136110.6934095724</v>
      </c>
      <c r="AX28" s="94">
        <f t="shared" ca="1" si="13"/>
        <v>0</v>
      </c>
      <c r="AY28" s="94">
        <f t="shared" ca="1" si="13"/>
        <v>0</v>
      </c>
      <c r="AZ28" s="94">
        <f t="shared" ca="1" si="13"/>
        <v>0</v>
      </c>
      <c r="BA28" s="94">
        <f t="shared" ca="1" si="13"/>
        <v>0</v>
      </c>
      <c r="BB28" s="94">
        <f t="shared" ca="1" si="13"/>
        <v>0</v>
      </c>
      <c r="BC28" s="94">
        <f t="shared" ca="1" si="13"/>
        <v>0</v>
      </c>
      <c r="BD28" s="94">
        <f t="shared" ca="1" si="13"/>
        <v>0</v>
      </c>
      <c r="BE28" s="94">
        <f t="shared" ca="1" si="13"/>
        <v>0</v>
      </c>
      <c r="BF28" s="94">
        <f t="shared" ca="1" si="13"/>
        <v>0</v>
      </c>
      <c r="BG28" s="94">
        <f t="shared" ca="1" si="13"/>
        <v>0</v>
      </c>
      <c r="BH28" s="94">
        <f t="shared" ca="1" si="13"/>
        <v>0</v>
      </c>
      <c r="BI28" s="94">
        <f t="shared" ca="1" si="13"/>
        <v>0</v>
      </c>
      <c r="BJ28" s="94">
        <f t="shared" ca="1" si="13"/>
        <v>0</v>
      </c>
      <c r="BK28" s="94">
        <f ca="1">SUBTOTAL(109,BK23:BK27)</f>
        <v>290444539.39368773</v>
      </c>
      <c r="BL28" s="95">
        <f t="shared" ca="1" si="9"/>
        <v>1</v>
      </c>
    </row>
    <row r="29" spans="1:68" s="48" customFormat="1" ht="16.5" customHeight="1">
      <c r="A29" s="114"/>
      <c r="B29" s="114"/>
      <c r="C29" s="114"/>
      <c r="D29" s="114"/>
      <c r="E29" s="114"/>
      <c r="F29" s="114"/>
      <c r="G29" s="114"/>
      <c r="H29" s="114"/>
      <c r="I29" s="114"/>
      <c r="J29" s="114"/>
      <c r="K29" s="114"/>
      <c r="L29" s="114"/>
      <c r="M29" s="114"/>
      <c r="N29" s="114"/>
      <c r="O29" s="114"/>
      <c r="P29" s="114"/>
      <c r="Q29" s="114"/>
      <c r="R29" s="114"/>
      <c r="S29" s="114"/>
      <c r="T29" s="114"/>
      <c r="U29" s="114"/>
      <c r="V29" s="114"/>
      <c r="W29" s="114"/>
      <c r="X29" s="114"/>
      <c r="Y29" s="114"/>
      <c r="Z29" s="114"/>
      <c r="AA29" s="114"/>
      <c r="AB29" s="114"/>
      <c r="AC29" s="114"/>
      <c r="AD29" s="114"/>
      <c r="AE29" s="114"/>
      <c r="AF29" s="114"/>
      <c r="AG29" s="114"/>
      <c r="AH29" s="114"/>
      <c r="AI29" s="114"/>
      <c r="AJ29" s="114"/>
      <c r="AK29" s="114"/>
      <c r="AL29" s="114"/>
      <c r="AM29" s="114"/>
      <c r="AN29" s="114"/>
      <c r="AO29" s="114"/>
      <c r="AP29" s="114"/>
      <c r="AQ29" s="114"/>
      <c r="AR29" s="114"/>
      <c r="AS29" s="114"/>
      <c r="AT29" s="114"/>
      <c r="AU29" s="114"/>
      <c r="AV29" s="114"/>
      <c r="AW29" s="114"/>
      <c r="AX29" s="114"/>
      <c r="AY29" s="114"/>
      <c r="AZ29" s="114"/>
      <c r="BA29" s="114"/>
      <c r="BB29" s="114"/>
      <c r="BC29" s="114"/>
      <c r="BD29" s="114"/>
      <c r="BE29" s="114"/>
      <c r="BF29" s="114"/>
      <c r="BG29" s="114"/>
      <c r="BH29" s="114"/>
      <c r="BI29" s="114"/>
      <c r="BJ29" s="114"/>
      <c r="BK29" s="115"/>
      <c r="BL29" s="116"/>
    </row>
    <row r="30" spans="1:68" ht="15.5">
      <c r="A30" s="117"/>
      <c r="B30" s="117"/>
      <c r="C30" s="117"/>
      <c r="D30" s="117"/>
      <c r="E30" s="117"/>
      <c r="F30" s="117"/>
      <c r="G30" s="117"/>
      <c r="H30" s="117"/>
      <c r="I30" s="117"/>
      <c r="J30" s="117"/>
      <c r="K30" s="117"/>
      <c r="L30" s="117"/>
      <c r="M30" s="117"/>
      <c r="N30" s="117"/>
      <c r="O30" s="117"/>
      <c r="P30" s="117"/>
      <c r="Q30" s="117"/>
      <c r="R30" s="117"/>
      <c r="S30" s="117"/>
      <c r="T30" s="117"/>
      <c r="U30" s="117"/>
      <c r="V30" s="117"/>
      <c r="W30" s="117"/>
      <c r="X30" s="117"/>
      <c r="Y30" s="117"/>
      <c r="Z30" s="117"/>
      <c r="AA30" s="117"/>
      <c r="AB30" s="117"/>
      <c r="AC30" s="117"/>
      <c r="AD30" s="117"/>
      <c r="AE30" s="117"/>
      <c r="AF30" s="117"/>
      <c r="AG30" s="117"/>
      <c r="AH30" s="117"/>
      <c r="AI30" s="117"/>
      <c r="AJ30" s="117"/>
      <c r="AK30" s="117"/>
      <c r="AL30" s="117"/>
      <c r="AM30" s="117"/>
      <c r="AN30" s="117"/>
      <c r="AO30" s="117"/>
      <c r="AP30" s="117"/>
      <c r="AQ30" s="117"/>
      <c r="AR30" s="117"/>
      <c r="AS30" s="117"/>
      <c r="AT30" s="117"/>
      <c r="AU30" s="117"/>
      <c r="AV30" s="117"/>
      <c r="AW30" s="117"/>
      <c r="AX30" s="117"/>
      <c r="AY30" s="117"/>
      <c r="AZ30" s="117"/>
      <c r="BA30" s="117"/>
      <c r="BB30" s="117"/>
      <c r="BC30" s="117"/>
      <c r="BD30" s="117"/>
      <c r="BE30" s="117"/>
      <c r="BF30" s="117"/>
      <c r="BG30" s="117"/>
      <c r="BH30" s="117"/>
      <c r="BI30" s="117"/>
      <c r="BJ30" s="117"/>
      <c r="BK30" s="117"/>
      <c r="BP30" s="48"/>
    </row>
    <row r="31" spans="1:68" ht="15.5">
      <c r="A31" s="117"/>
      <c r="B31" s="117"/>
      <c r="C31" s="117"/>
      <c r="D31" s="117"/>
      <c r="E31" s="117"/>
      <c r="F31" s="117"/>
      <c r="G31" s="117"/>
      <c r="H31" s="117"/>
      <c r="I31" s="117"/>
      <c r="J31" s="117"/>
      <c r="K31" s="117"/>
      <c r="L31" s="117"/>
      <c r="M31" s="117"/>
      <c r="N31" s="117"/>
      <c r="O31" s="117"/>
      <c r="P31" s="117"/>
      <c r="Q31" s="117"/>
      <c r="R31" s="117"/>
      <c r="S31" s="117"/>
      <c r="T31" s="117"/>
      <c r="U31" s="117"/>
      <c r="V31" s="117"/>
      <c r="W31" s="117"/>
      <c r="X31" s="117"/>
      <c r="Y31" s="117"/>
      <c r="Z31" s="117"/>
      <c r="AA31" s="117"/>
      <c r="AB31" s="117"/>
      <c r="AC31" s="117"/>
      <c r="AD31" s="117"/>
      <c r="AE31" s="117"/>
      <c r="AF31" s="117"/>
      <c r="AG31" s="117"/>
      <c r="AH31" s="117"/>
      <c r="AI31" s="117"/>
      <c r="AJ31" s="117"/>
      <c r="AK31" s="117"/>
      <c r="AL31" s="117"/>
      <c r="AM31" s="117"/>
      <c r="AN31" s="117"/>
      <c r="AO31" s="117"/>
      <c r="AP31" s="117"/>
      <c r="AQ31" s="117"/>
      <c r="AR31" s="117"/>
      <c r="AS31" s="117"/>
      <c r="AT31" s="117"/>
      <c r="AU31" s="117"/>
      <c r="AV31" s="117"/>
      <c r="AW31" s="117"/>
      <c r="AX31" s="117"/>
      <c r="AY31" s="117"/>
      <c r="AZ31" s="117"/>
      <c r="BA31" s="117"/>
      <c r="BB31" s="117"/>
      <c r="BC31" s="117"/>
      <c r="BD31" s="117"/>
      <c r="BE31" s="117"/>
      <c r="BF31" s="117"/>
      <c r="BG31" s="117"/>
      <c r="BH31" s="117"/>
      <c r="BI31" s="117"/>
      <c r="BJ31" s="117"/>
      <c r="BK31" s="117"/>
      <c r="BP31" s="48"/>
    </row>
    <row r="32" spans="1:68" ht="15.5">
      <c r="A32" s="117"/>
      <c r="B32" s="117"/>
      <c r="C32" s="117"/>
      <c r="D32" s="117"/>
      <c r="E32" s="117"/>
      <c r="F32" s="117"/>
      <c r="G32" s="117"/>
      <c r="H32" s="117"/>
      <c r="I32" s="117"/>
      <c r="J32" s="117"/>
      <c r="K32" s="117"/>
      <c r="L32" s="117"/>
      <c r="M32" s="117"/>
      <c r="N32" s="117"/>
      <c r="O32" s="117"/>
      <c r="P32" s="117"/>
      <c r="Q32" s="117"/>
      <c r="R32" s="117"/>
      <c r="S32" s="117"/>
      <c r="T32" s="117"/>
      <c r="U32" s="117"/>
      <c r="V32" s="117"/>
      <c r="W32" s="117"/>
      <c r="X32" s="117"/>
      <c r="Y32" s="117"/>
      <c r="Z32" s="117"/>
      <c r="AA32" s="117"/>
      <c r="AB32" s="117"/>
      <c r="AC32" s="117"/>
      <c r="AD32" s="117"/>
      <c r="AE32" s="117"/>
      <c r="AF32" s="117"/>
      <c r="AG32" s="117"/>
      <c r="AH32" s="117"/>
      <c r="AI32" s="117"/>
      <c r="AJ32" s="117"/>
      <c r="AK32" s="117"/>
      <c r="AL32" s="117"/>
      <c r="AM32" s="117"/>
      <c r="AN32" s="117"/>
      <c r="AO32" s="117"/>
      <c r="AP32" s="117"/>
      <c r="AQ32" s="117"/>
      <c r="AR32" s="117"/>
      <c r="AS32" s="117"/>
      <c r="AT32" s="117"/>
      <c r="AU32" s="117"/>
      <c r="AV32" s="117"/>
      <c r="AW32" s="117"/>
      <c r="AX32" s="117"/>
      <c r="AY32" s="117"/>
      <c r="AZ32" s="117"/>
      <c r="BA32" s="117"/>
      <c r="BB32" s="117"/>
      <c r="BC32" s="117"/>
      <c r="BD32" s="117"/>
      <c r="BE32" s="117"/>
      <c r="BF32" s="117"/>
      <c r="BG32" s="117"/>
      <c r="BH32" s="117"/>
      <c r="BI32" s="117"/>
      <c r="BJ32" s="117"/>
      <c r="BK32" s="118"/>
      <c r="BP32" s="48"/>
    </row>
    <row r="33" spans="1:68" ht="15.5">
      <c r="A33" s="117"/>
      <c r="B33" s="117"/>
      <c r="C33" s="117"/>
      <c r="D33" s="117"/>
      <c r="E33" s="117"/>
      <c r="F33" s="117"/>
      <c r="G33" s="117"/>
      <c r="H33" s="117"/>
      <c r="I33" s="117"/>
      <c r="J33" s="117"/>
      <c r="K33" s="117"/>
      <c r="L33" s="117"/>
      <c r="M33" s="117"/>
      <c r="N33" s="117"/>
      <c r="O33" s="117"/>
      <c r="P33" s="117"/>
      <c r="Q33" s="117"/>
      <c r="R33" s="117"/>
      <c r="S33" s="117"/>
      <c r="T33" s="117"/>
      <c r="U33" s="117"/>
      <c r="V33" s="117"/>
      <c r="W33" s="117"/>
      <c r="X33" s="117"/>
      <c r="Y33" s="117"/>
      <c r="Z33" s="117"/>
      <c r="AA33" s="117"/>
      <c r="AB33" s="117"/>
      <c r="AC33" s="117"/>
      <c r="AD33" s="117"/>
      <c r="AE33" s="117"/>
      <c r="AF33" s="117"/>
      <c r="AG33" s="117"/>
      <c r="AH33" s="117"/>
      <c r="AI33" s="117"/>
      <c r="AJ33" s="117"/>
      <c r="AK33" s="117"/>
      <c r="AL33" s="117"/>
      <c r="AM33" s="117"/>
      <c r="AN33" s="117"/>
      <c r="AO33" s="117"/>
      <c r="AP33" s="117"/>
      <c r="AQ33" s="117"/>
      <c r="AR33" s="117"/>
      <c r="AS33" s="117"/>
      <c r="AT33" s="117"/>
      <c r="AU33" s="117"/>
      <c r="AV33" s="117"/>
      <c r="AW33" s="117"/>
      <c r="AX33" s="117"/>
      <c r="AY33" s="117"/>
      <c r="AZ33" s="117"/>
      <c r="BA33" s="117"/>
      <c r="BB33" s="117"/>
      <c r="BC33" s="117"/>
      <c r="BD33" s="117"/>
      <c r="BE33" s="117"/>
      <c r="BF33" s="117"/>
      <c r="BG33" s="117"/>
      <c r="BH33" s="117"/>
      <c r="BI33" s="117"/>
      <c r="BJ33" s="117"/>
      <c r="BK33" s="117"/>
      <c r="BP33" s="48"/>
    </row>
    <row r="34" spans="1:68" ht="15.5">
      <c r="BK34" s="117"/>
      <c r="BP34" s="48"/>
    </row>
  </sheetData>
  <sheetProtection formatColumns="0"/>
  <mergeCells count="9">
    <mergeCell ref="A23:B23"/>
    <mergeCell ref="C1:N1"/>
    <mergeCell ref="C2:N2"/>
    <mergeCell ref="O2:Z2"/>
    <mergeCell ref="AA2:BL2"/>
    <mergeCell ref="A5:B5"/>
    <mergeCell ref="A13:B13"/>
    <mergeCell ref="A14:B14"/>
    <mergeCell ref="A15:B15"/>
  </mergeCells>
  <pageMargins left="0.196527777777778" right="0.196527777777778" top="0.59027777777777801" bottom="0.59027777777777801" header="0.51180555555555496" footer="0"/>
  <pageSetup paperSize="9" scale="69" firstPageNumber="0" orientation="landscape" horizontalDpi="300" verticalDpi="300" r:id="rId1"/>
  <headerFooter>
    <oddFooter>&amp;CPágina &amp;P de &amp;N</oddFooter>
  </headerFooter>
  <colBreaks count="3" manualBreakCount="3">
    <brk id="14" max="1048575" man="1"/>
    <brk id="26" max="1048575" man="1"/>
    <brk id="50" max="10485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AMJ126"/>
  <sheetViews>
    <sheetView zoomScaleNormal="100"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D25" sqref="D25"/>
    </sheetView>
  </sheetViews>
  <sheetFormatPr defaultColWidth="9.1796875" defaultRowHeight="12.5"/>
  <cols>
    <col min="1" max="1" width="4.81640625" style="119" customWidth="1"/>
    <col min="2" max="2" width="65.7265625" style="120" customWidth="1"/>
    <col min="3" max="4" width="15.81640625" style="120" customWidth="1"/>
    <col min="5" max="8" width="12.453125" style="120" customWidth="1"/>
    <col min="9" max="9" width="13.54296875" style="120" customWidth="1"/>
    <col min="10" max="14" width="8.81640625" style="120" customWidth="1"/>
    <col min="15" max="15" width="8.453125" style="120" customWidth="1"/>
    <col min="16" max="16" width="11.54296875" style="120" hidden="1" customWidth="1"/>
    <col min="17" max="17" width="14.453125" style="120" hidden="1" customWidth="1"/>
    <col min="18" max="18" width="12.54296875" style="120" hidden="1" customWidth="1"/>
    <col min="19" max="75" width="13.81640625" style="120" hidden="1" customWidth="1"/>
    <col min="76" max="1024" width="9.1796875" style="120"/>
  </cols>
  <sheetData>
    <row r="1" spans="1:76" ht="35.25" customHeight="1">
      <c r="A1" s="383" t="str">
        <f>Capa!A1</f>
        <v>Memória de Cálculo
Contrato de Gestão nº 10/2023 celebrado entre a Secretaria de Estado de Justiça e Segurança Pública - SEJUSP e  o Pólo de Evolução de Medidas Socioeducativas</v>
      </c>
      <c r="B1" s="383"/>
      <c r="C1" s="383"/>
      <c r="D1" s="383"/>
      <c r="E1" s="383"/>
      <c r="F1" s="383"/>
      <c r="G1" s="383"/>
      <c r="H1" s="383"/>
      <c r="I1" s="383"/>
      <c r="J1" s="383"/>
      <c r="K1" s="383"/>
      <c r="L1" s="383"/>
      <c r="M1" s="383"/>
      <c r="N1" s="383"/>
      <c r="O1" s="383"/>
      <c r="P1" s="53"/>
      <c r="Q1" s="53"/>
      <c r="R1" s="53"/>
      <c r="S1" s="53"/>
      <c r="T1" s="53"/>
      <c r="U1" s="53"/>
      <c r="V1" s="53"/>
      <c r="W1" s="53"/>
      <c r="X1" s="53"/>
      <c r="Y1" s="53"/>
      <c r="Z1" s="53"/>
      <c r="AA1" s="53"/>
      <c r="AB1" s="53"/>
      <c r="AC1" s="53"/>
      <c r="AD1" s="53"/>
      <c r="AE1" s="53"/>
      <c r="AF1" s="53"/>
      <c r="AG1" s="53"/>
      <c r="AH1" s="53"/>
      <c r="AI1" s="53"/>
      <c r="AJ1" s="53"/>
      <c r="AK1" s="53"/>
      <c r="AL1" s="53"/>
      <c r="AM1" s="53"/>
      <c r="AN1" s="53"/>
      <c r="AO1" s="53"/>
      <c r="AP1" s="53"/>
      <c r="AQ1" s="53"/>
      <c r="AR1" s="53"/>
      <c r="AS1" s="53"/>
      <c r="AT1" s="53"/>
      <c r="AU1" s="53"/>
      <c r="AV1" s="53"/>
      <c r="AW1" s="53"/>
      <c r="AX1" s="53"/>
      <c r="AY1" s="53"/>
      <c r="AZ1" s="53"/>
      <c r="BA1" s="53"/>
      <c r="BB1" s="53"/>
      <c r="BC1" s="53"/>
      <c r="BD1" s="53"/>
      <c r="BE1" s="53"/>
      <c r="BF1" s="53"/>
      <c r="BG1" s="53"/>
      <c r="BH1" s="53"/>
      <c r="BI1" s="53"/>
      <c r="BJ1" s="53"/>
      <c r="BK1" s="53"/>
      <c r="BL1" s="53"/>
      <c r="BM1" s="53"/>
      <c r="BN1" s="53"/>
      <c r="BO1" s="53"/>
      <c r="BP1" s="53"/>
      <c r="BQ1" s="53"/>
      <c r="BR1" s="53"/>
      <c r="BS1" s="53"/>
      <c r="BT1" s="53"/>
      <c r="BU1" s="53"/>
      <c r="BV1" s="53"/>
      <c r="BW1" s="53"/>
      <c r="BX1" s="53"/>
    </row>
    <row r="2" spans="1:76" ht="15.75" customHeight="1">
      <c r="A2" s="388" t="s">
        <v>99</v>
      </c>
      <c r="B2" s="388"/>
      <c r="C2" s="388"/>
      <c r="D2" s="388"/>
      <c r="E2" s="388"/>
      <c r="F2" s="388"/>
      <c r="G2" s="388"/>
      <c r="H2" s="388"/>
      <c r="I2" s="388"/>
      <c r="J2" s="388"/>
      <c r="K2" s="388"/>
      <c r="L2" s="388"/>
      <c r="M2" s="388"/>
      <c r="N2" s="388"/>
      <c r="O2" s="388"/>
      <c r="P2" s="57"/>
      <c r="Q2" s="57"/>
      <c r="R2" s="57"/>
      <c r="S2" s="57"/>
      <c r="T2" s="57"/>
      <c r="U2" s="57"/>
      <c r="V2" s="57"/>
      <c r="W2" s="57"/>
      <c r="X2" s="57"/>
      <c r="Y2" s="57"/>
      <c r="Z2" s="57"/>
      <c r="AA2" s="57"/>
      <c r="AB2" s="57"/>
      <c r="AC2" s="57"/>
      <c r="AD2" s="57"/>
      <c r="AE2" s="57"/>
      <c r="AF2" s="57"/>
      <c r="AG2" s="57"/>
      <c r="AH2" s="57"/>
      <c r="AI2" s="57"/>
      <c r="AJ2" s="57"/>
      <c r="AK2" s="57"/>
      <c r="AL2" s="57"/>
      <c r="AM2" s="57"/>
      <c r="AN2" s="57"/>
      <c r="AO2" s="57"/>
      <c r="AP2" s="57"/>
      <c r="AQ2" s="57"/>
      <c r="AR2" s="57"/>
      <c r="AS2" s="57"/>
      <c r="AT2" s="57"/>
      <c r="AU2" s="57"/>
      <c r="AV2" s="57"/>
      <c r="AW2" s="57"/>
      <c r="AX2" s="57"/>
      <c r="AY2" s="57"/>
      <c r="AZ2" s="57"/>
      <c r="BA2" s="57"/>
      <c r="BB2" s="57"/>
      <c r="BC2" s="57"/>
      <c r="BD2" s="57"/>
      <c r="BE2" s="57"/>
      <c r="BF2" s="57"/>
      <c r="BG2" s="57"/>
      <c r="BH2" s="57"/>
      <c r="BI2" s="57"/>
      <c r="BJ2" s="57"/>
      <c r="BK2" s="57"/>
      <c r="BL2" s="57"/>
      <c r="BM2" s="57"/>
      <c r="BN2" s="57"/>
      <c r="BO2" s="57"/>
      <c r="BP2" s="57"/>
      <c r="BQ2" s="57"/>
      <c r="BR2" s="57"/>
      <c r="BS2" s="57"/>
      <c r="BT2" s="57"/>
      <c r="BU2" s="57"/>
      <c r="BV2" s="57"/>
      <c r="BW2" s="57"/>
      <c r="BX2" s="53"/>
    </row>
    <row r="3" spans="1:76" ht="31.5">
      <c r="A3" s="121" t="s">
        <v>31</v>
      </c>
      <c r="B3" s="122" t="s">
        <v>100</v>
      </c>
      <c r="C3" s="123" t="str">
        <f>TEXT(D3,"AAAA")&amp;"
(Planejado Anteriormente)"</f>
        <v>2025
(Planejado Anteriormente)</v>
      </c>
      <c r="D3" s="124">
        <f>DATE(YEAR(P3),1,1)</f>
        <v>45658</v>
      </c>
      <c r="E3" s="125">
        <f>DATE(YEAR(D3)+1,1,1)</f>
        <v>46023</v>
      </c>
      <c r="F3" s="125">
        <f>DATE(YEAR(E3)+1,1,1)</f>
        <v>46388</v>
      </c>
      <c r="G3" s="125">
        <f>DATE(YEAR(F3)+1,1,1)</f>
        <v>46753</v>
      </c>
      <c r="H3" s="125">
        <f>DATE(YEAR(G3)+1,1,1)</f>
        <v>47119</v>
      </c>
      <c r="I3" s="126" t="s">
        <v>60</v>
      </c>
      <c r="J3" s="124">
        <f>D3</f>
        <v>45658</v>
      </c>
      <c r="K3" s="125">
        <f>E3</f>
        <v>46023</v>
      </c>
      <c r="L3" s="125">
        <f>F3</f>
        <v>46388</v>
      </c>
      <c r="M3" s="125">
        <f>G3</f>
        <v>46753</v>
      </c>
      <c r="N3" s="127">
        <f>H3</f>
        <v>47119</v>
      </c>
      <c r="O3" s="128" t="s">
        <v>61</v>
      </c>
      <c r="P3" s="129">
        <f>Analítico!C3</f>
        <v>45658</v>
      </c>
      <c r="Q3" s="129">
        <f>Analítico!D3</f>
        <v>45689</v>
      </c>
      <c r="R3" s="129">
        <f>Analítico!E3</f>
        <v>45717</v>
      </c>
      <c r="S3" s="129">
        <f>Analítico!F3</f>
        <v>45748</v>
      </c>
      <c r="T3" s="129">
        <f>Analítico!G3</f>
        <v>45778</v>
      </c>
      <c r="U3" s="129">
        <f>Analítico!H3</f>
        <v>45809</v>
      </c>
      <c r="V3" s="129">
        <f>Analítico!I3</f>
        <v>45839</v>
      </c>
      <c r="W3" s="129">
        <f>Analítico!J3</f>
        <v>45870</v>
      </c>
      <c r="X3" s="129">
        <f>Analítico!K3</f>
        <v>45901</v>
      </c>
      <c r="Y3" s="129">
        <f>Analítico!L3</f>
        <v>45931</v>
      </c>
      <c r="Z3" s="129">
        <f>Analítico!M3</f>
        <v>45962</v>
      </c>
      <c r="AA3" s="129">
        <f>Analítico!N3</f>
        <v>45992</v>
      </c>
      <c r="AB3" s="129">
        <f>Analítico!O3</f>
        <v>46023</v>
      </c>
      <c r="AC3" s="129">
        <f>Analítico!P3</f>
        <v>46054</v>
      </c>
      <c r="AD3" s="129">
        <f>Analítico!Q3</f>
        <v>46082</v>
      </c>
      <c r="AE3" s="129">
        <f>Analítico!R3</f>
        <v>46113</v>
      </c>
      <c r="AF3" s="129">
        <f>Analítico!S3</f>
        <v>46143</v>
      </c>
      <c r="AG3" s="129">
        <f>Analítico!T3</f>
        <v>46174</v>
      </c>
      <c r="AH3" s="129">
        <f>Analítico!U3</f>
        <v>46204</v>
      </c>
      <c r="AI3" s="129">
        <f>Analítico!V3</f>
        <v>46235</v>
      </c>
      <c r="AJ3" s="129">
        <f>Analítico!W3</f>
        <v>46266</v>
      </c>
      <c r="AK3" s="129">
        <f>Analítico!X3</f>
        <v>46296</v>
      </c>
      <c r="AL3" s="129">
        <f>Analítico!Y3</f>
        <v>46327</v>
      </c>
      <c r="AM3" s="129">
        <f>Analítico!Z3</f>
        <v>46357</v>
      </c>
      <c r="AN3" s="129">
        <f>Analítico!AA3</f>
        <v>46388</v>
      </c>
      <c r="AO3" s="129">
        <f>Analítico!AB3</f>
        <v>46419</v>
      </c>
      <c r="AP3" s="129">
        <f>Analítico!AC3</f>
        <v>46447</v>
      </c>
      <c r="AQ3" s="129">
        <f>Analítico!AD3</f>
        <v>46478</v>
      </c>
      <c r="AR3" s="129">
        <f>Analítico!AE3</f>
        <v>46508</v>
      </c>
      <c r="AS3" s="129">
        <f>Analítico!AF3</f>
        <v>46539</v>
      </c>
      <c r="AT3" s="129">
        <f>Analítico!AG3</f>
        <v>46569</v>
      </c>
      <c r="AU3" s="129">
        <f>Analítico!AH3</f>
        <v>46600</v>
      </c>
      <c r="AV3" s="129">
        <f>Analítico!AI3</f>
        <v>46631</v>
      </c>
      <c r="AW3" s="129">
        <f>Analítico!AJ3</f>
        <v>46661</v>
      </c>
      <c r="AX3" s="129">
        <f>Analítico!AK3</f>
        <v>46692</v>
      </c>
      <c r="AY3" s="129">
        <f>Analítico!AL3</f>
        <v>46722</v>
      </c>
      <c r="AZ3" s="129">
        <f>Analítico!AM3</f>
        <v>46753</v>
      </c>
      <c r="BA3" s="129">
        <f>Analítico!AN3</f>
        <v>46784</v>
      </c>
      <c r="BB3" s="129">
        <f>Analítico!AO3</f>
        <v>46813</v>
      </c>
      <c r="BC3" s="129">
        <f>Analítico!AP3</f>
        <v>46844</v>
      </c>
      <c r="BD3" s="129">
        <f>Analítico!AQ3</f>
        <v>46874</v>
      </c>
      <c r="BE3" s="129">
        <f>Analítico!AR3</f>
        <v>46905</v>
      </c>
      <c r="BF3" s="129">
        <f>Analítico!AS3</f>
        <v>46935</v>
      </c>
      <c r="BG3" s="129">
        <f>Analítico!AT3</f>
        <v>46966</v>
      </c>
      <c r="BH3" s="129">
        <f>Analítico!AU3</f>
        <v>46997</v>
      </c>
      <c r="BI3" s="129">
        <f>Analítico!AV3</f>
        <v>47027</v>
      </c>
      <c r="BJ3" s="129">
        <f>Analítico!AW3</f>
        <v>47058</v>
      </c>
      <c r="BK3" s="129">
        <f>Analítico!AX3</f>
        <v>47088</v>
      </c>
      <c r="BL3" s="129">
        <f>Analítico!AY3</f>
        <v>47119</v>
      </c>
      <c r="BM3" s="129">
        <f>Analítico!AZ3</f>
        <v>47150</v>
      </c>
      <c r="BN3" s="129">
        <f>Analítico!BA3</f>
        <v>47178</v>
      </c>
      <c r="BO3" s="129">
        <f>Analítico!BB3</f>
        <v>47209</v>
      </c>
      <c r="BP3" s="129">
        <f>Analítico!BC3</f>
        <v>47239</v>
      </c>
      <c r="BQ3" s="129">
        <f>Analítico!BD3</f>
        <v>47270</v>
      </c>
      <c r="BR3" s="129">
        <f>Analítico!BE3</f>
        <v>47300</v>
      </c>
      <c r="BS3" s="129">
        <f>Analítico!BF3</f>
        <v>47331</v>
      </c>
      <c r="BT3" s="129">
        <f>Analítico!BG3</f>
        <v>47362</v>
      </c>
      <c r="BU3" s="129">
        <f>Analítico!BH3</f>
        <v>47392</v>
      </c>
      <c r="BV3" s="129">
        <f>Analítico!BI3</f>
        <v>47423</v>
      </c>
      <c r="BW3" s="129">
        <f>Analítico!BJ3</f>
        <v>47453</v>
      </c>
    </row>
    <row r="4" spans="1:76">
      <c r="A4" s="130">
        <v>1</v>
      </c>
      <c r="B4" s="131" t="s">
        <v>101</v>
      </c>
      <c r="C4" s="132">
        <v>0</v>
      </c>
      <c r="D4" s="133">
        <f t="shared" ref="D4:D33" si="0">SUMIFS($P4:$BW4,$P$3:$BW$3,"&gt;="&amp;D$3,$P$3:$BW$3,"&lt;"&amp;(DATE(YEAR(D$3)+1,1,1)-1))+C4</f>
        <v>2474078.4599999995</v>
      </c>
      <c r="E4" s="134">
        <f t="shared" ref="E4:H33" si="1">SUMIFS($P4:$BW4,$P$3:$BW$3,"&gt;="&amp;E$3,$P$3:$BW$3,"&lt;"&amp;(DATE(YEAR(E$3)+1,1,1)-1))</f>
        <v>2370234.0776000009</v>
      </c>
      <c r="F4" s="134">
        <f t="shared" si="1"/>
        <v>2442665.7076800005</v>
      </c>
      <c r="G4" s="134">
        <f t="shared" si="1"/>
        <v>1290812.4113333339</v>
      </c>
      <c r="H4" s="134">
        <f t="shared" si="1"/>
        <v>0</v>
      </c>
      <c r="I4" s="135">
        <f t="shared" ref="I4:I33" si="2">SUM(P4:BW4)</f>
        <v>8577790.6566133313</v>
      </c>
      <c r="J4" s="136">
        <f t="shared" ref="J4:J33" si="3">IF($I$34=0,0,D4/$I$34)</f>
        <v>3.4196183925682869E-2</v>
      </c>
      <c r="K4" s="136">
        <f t="shared" ref="K4:K33" si="4">IF($I$34=0,0,E4/$I$34)</f>
        <v>3.276086905688954E-2</v>
      </c>
      <c r="L4" s="136">
        <f t="shared" ref="L4:L33" si="5">IF($I$34=0,0,F4/$I$34)</f>
        <v>3.3762003573962487E-2</v>
      </c>
      <c r="M4" s="136">
        <f t="shared" ref="M4:M33" si="6">IF($I$34=0,0,G4/$I$34)</f>
        <v>1.7841333387425759E-2</v>
      </c>
      <c r="N4" s="136">
        <f t="shared" ref="N4:N33" si="7">IF($I$34=0,0,H4/$I$34)</f>
        <v>0</v>
      </c>
      <c r="O4" s="137">
        <f t="shared" ref="O4:O33" si="8">IF($I$34=0,0,I4/$I$34)</f>
        <v>0.11856038994396061</v>
      </c>
      <c r="P4" s="134">
        <f>IF($B4="",0,SUMPRODUCT(-('Gastos Gerais'!$F$4:$F$3143='Gastos das Atividades'!$B4),-('Gastos das Atividades'!P$3&gt;='Gastos Gerais'!$D$4:$D$3143),-('Gastos das Atividades'!P$3&lt;='Gastos Gerais'!$E$4:$E$3143),-('Gastos Gerais'!$C$4:$C$3143)))</f>
        <v>202415.87</v>
      </c>
      <c r="Q4" s="134">
        <f>IF($B4="",0,SUMPRODUCT(-('Gastos Gerais'!$F$4:$F$3143='Gastos das Atividades'!$B4),-('Gastos das Atividades'!Q$3&gt;='Gastos Gerais'!$D$4:$D$3143),-('Gastos das Atividades'!Q$3&lt;='Gastos Gerais'!$E$4:$E$3143),-('Gastos Gerais'!$C$4:$C$3143)))</f>
        <v>194665.87</v>
      </c>
      <c r="R4" s="134">
        <f>IF($B4="",0,SUMPRODUCT(-('Gastos Gerais'!$F$4:$F$3143='Gastos das Atividades'!$B4),-('Gastos das Atividades'!R$3&gt;='Gastos Gerais'!$D$4:$D$3143),-('Gastos das Atividades'!R$3&lt;='Gastos Gerais'!$E$4:$E$3143),-('Gastos Gerais'!$C$4:$C$3143)))</f>
        <v>201276.58</v>
      </c>
      <c r="S4" s="134">
        <f>IF($B4="",0,SUMPRODUCT(-('Gastos Gerais'!$F$4:$F$3143='Gastos das Atividades'!$B4),-('Gastos das Atividades'!S$3&gt;='Gastos Gerais'!$D$4:$D$3143),-('Gastos das Atividades'!S$3&lt;='Gastos Gerais'!$E$4:$E$3143),-('Gastos Gerais'!$C$4:$C$3143)))</f>
        <v>198526.58</v>
      </c>
      <c r="T4" s="134">
        <f>IF($B4="",0,SUMPRODUCT(-('Gastos Gerais'!$F$4:$F$3143='Gastos das Atividades'!$B4),-('Gastos das Atividades'!T$3&gt;='Gastos Gerais'!$D$4:$D$3143),-('Gastos das Atividades'!T$3&lt;='Gastos Gerais'!$E$4:$E$3143),-('Gastos Gerais'!$C$4:$C$3143)))</f>
        <v>206805.6275</v>
      </c>
      <c r="U4" s="134">
        <f>IF($B4="",0,SUMPRODUCT(-('Gastos Gerais'!$F$4:$F$3143='Gastos das Atividades'!$B4),-('Gastos das Atividades'!U$3&gt;='Gastos Gerais'!$D$4:$D$3143),-('Gastos das Atividades'!U$3&lt;='Gastos Gerais'!$E$4:$E$3143),-('Gastos Gerais'!$C$4:$C$3143)))</f>
        <v>207105.6275</v>
      </c>
      <c r="V4" s="134">
        <f>IF($B4="",0,SUMPRODUCT(-('Gastos Gerais'!$F$4:$F$3143='Gastos das Atividades'!$B4),-('Gastos das Atividades'!V$3&gt;='Gastos Gerais'!$D$4:$D$3143),-('Gastos das Atividades'!V$3&lt;='Gastos Gerais'!$E$4:$E$3143),-('Gastos Gerais'!$C$4:$C$3143)))</f>
        <v>207105.6275</v>
      </c>
      <c r="W4" s="134">
        <f>IF($B4="",0,SUMPRODUCT(-('Gastos Gerais'!$F$4:$F$3143='Gastos das Atividades'!$B4),-('Gastos das Atividades'!W$3&gt;='Gastos Gerais'!$D$4:$D$3143),-('Gastos das Atividades'!W$3&lt;='Gastos Gerais'!$E$4:$E$3143),-('Gastos Gerais'!$C$4:$C$3143)))</f>
        <v>207105.6275</v>
      </c>
      <c r="X4" s="134">
        <f>IF($B4="",0,SUMPRODUCT(-('Gastos Gerais'!$F$4:$F$3143='Gastos das Atividades'!$B4),-('Gastos das Atividades'!X$3&gt;='Gastos Gerais'!$D$4:$D$3143),-('Gastos das Atividades'!X$3&lt;='Gastos Gerais'!$E$4:$E$3143),-('Gastos Gerais'!$C$4:$C$3143)))</f>
        <v>207105.6275</v>
      </c>
      <c r="Y4" s="134">
        <f>IF($B4="",0,SUMPRODUCT(-('Gastos Gerais'!$F$4:$F$3143='Gastos das Atividades'!$B4),-('Gastos das Atividades'!Y$3&gt;='Gastos Gerais'!$D$4:$D$3143),-('Gastos das Atividades'!Y$3&lt;='Gastos Gerais'!$E$4:$E$3143),-('Gastos Gerais'!$C$4:$C$3143)))</f>
        <v>207105.6275</v>
      </c>
      <c r="Z4" s="134">
        <f>IF($B4="",0,SUMPRODUCT(-('Gastos Gerais'!$F$4:$F$3143='Gastos das Atividades'!$B4),-('Gastos das Atividades'!Z$3&gt;='Gastos Gerais'!$D$4:$D$3143),-('Gastos das Atividades'!Z$3&lt;='Gastos Gerais'!$E$4:$E$3143),-('Gastos Gerais'!$C$4:$C$3143)))</f>
        <v>227279.89749999996</v>
      </c>
      <c r="AA4" s="134">
        <f>IF($B4="",0,SUMPRODUCT(-('Gastos Gerais'!$F$4:$F$3143='Gastos das Atividades'!$B4),-('Gastos das Atividades'!AA$3&gt;='Gastos Gerais'!$D$4:$D$3143),-('Gastos das Atividades'!AA$3&lt;='Gastos Gerais'!$E$4:$E$3143),-('Gastos Gerais'!$C$4:$C$3143)))</f>
        <v>207579.89749999996</v>
      </c>
      <c r="AB4" s="134">
        <f>IF($B4="",0,SUMPRODUCT(-('Gastos Gerais'!$F$4:$F$3143='Gastos das Atividades'!$B4),-('Gastos das Atividades'!AB$3&gt;='Gastos Gerais'!$D$4:$D$3143),-('Gastos das Atividades'!AB$3&lt;='Gastos Gerais'!$E$4:$E$3143),-('Gastos Gerais'!$C$4:$C$3143)))</f>
        <v>149691.65146666672</v>
      </c>
      <c r="AC4" s="134">
        <f>IF($B4="",0,SUMPRODUCT(-('Gastos Gerais'!$F$4:$F$3143='Gastos das Atividades'!$B4),-('Gastos das Atividades'!AC$3&gt;='Gastos Gerais'!$D$4:$D$3143),-('Gastos das Atividades'!AC$3&lt;='Gastos Gerais'!$E$4:$E$3143),-('Gastos Gerais'!$C$4:$C$3143)))</f>
        <v>152241.65146666672</v>
      </c>
      <c r="AD4" s="134">
        <f>IF($B4="",0,SUMPRODUCT(-('Gastos Gerais'!$F$4:$F$3143='Gastos das Atividades'!$B4),-('Gastos das Atividades'!AD$3&gt;='Gastos Gerais'!$D$4:$D$3143),-('Gastos das Atividades'!AD$3&lt;='Gastos Gerais'!$E$4:$E$3143),-('Gastos Gerais'!$C$4:$C$3143)))</f>
        <v>205750.48146666674</v>
      </c>
      <c r="AE4" s="134">
        <f>IF($B4="",0,SUMPRODUCT(-('Gastos Gerais'!$F$4:$F$3143='Gastos das Atividades'!$B4),-('Gastos das Atividades'!AE$3&gt;='Gastos Gerais'!$D$4:$D$3143),-('Gastos das Atividades'!AE$3&lt;='Gastos Gerais'!$E$4:$E$3143),-('Gastos Gerais'!$C$4:$C$3143)))</f>
        <v>205750.48146666674</v>
      </c>
      <c r="AF4" s="134">
        <f>IF($B4="",0,SUMPRODUCT(-('Gastos Gerais'!$F$4:$F$3143='Gastos das Atividades'!$B4),-('Gastos das Atividades'!AF$3&gt;='Gastos Gerais'!$D$4:$D$3143),-('Gastos das Atividades'!AF$3&lt;='Gastos Gerais'!$E$4:$E$3143),-('Gastos Gerais'!$C$4:$C$3143)))</f>
        <v>204250.48146666674</v>
      </c>
      <c r="AG4" s="134">
        <f>IF($B4="",0,SUMPRODUCT(-('Gastos Gerais'!$F$4:$F$3143='Gastos das Atividades'!$B4),-('Gastos das Atividades'!AG$3&gt;='Gastos Gerais'!$D$4:$D$3143),-('Gastos das Atividades'!AG$3&lt;='Gastos Gerais'!$E$4:$E$3143),-('Gastos Gerais'!$C$4:$C$3143)))</f>
        <v>204550.48146666674</v>
      </c>
      <c r="AH4" s="134">
        <f>IF($B4="",0,SUMPRODUCT(-('Gastos Gerais'!$F$4:$F$3143='Gastos das Atividades'!$B4),-('Gastos das Atividades'!AH$3&gt;='Gastos Gerais'!$D$4:$D$3143),-('Gastos das Atividades'!AH$3&lt;='Gastos Gerais'!$E$4:$E$3143),-('Gastos Gerais'!$C$4:$C$3143)))</f>
        <v>204550.48146666674</v>
      </c>
      <c r="AI4" s="134">
        <f>IF($B4="",0,SUMPRODUCT(-('Gastos Gerais'!$F$4:$F$3143='Gastos das Atividades'!$B4),-('Gastos das Atividades'!AI$3&gt;='Gastos Gerais'!$D$4:$D$3143),-('Gastos das Atividades'!AI$3&lt;='Gastos Gerais'!$E$4:$E$3143),-('Gastos Gerais'!$C$4:$C$3143)))</f>
        <v>204550.48146666674</v>
      </c>
      <c r="AJ4" s="134">
        <f>IF($B4="",0,SUMPRODUCT(-('Gastos Gerais'!$F$4:$F$3143='Gastos das Atividades'!$B4),-('Gastos das Atividades'!AJ$3&gt;='Gastos Gerais'!$D$4:$D$3143),-('Gastos das Atividades'!AJ$3&lt;='Gastos Gerais'!$E$4:$E$3143),-('Gastos Gerais'!$C$4:$C$3143)))</f>
        <v>204550.48146666674</v>
      </c>
      <c r="AK4" s="134">
        <f>IF($B4="",0,SUMPRODUCT(-('Gastos Gerais'!$F$4:$F$3143='Gastos das Atividades'!$B4),-('Gastos das Atividades'!AK$3&gt;='Gastos Gerais'!$D$4:$D$3143),-('Gastos das Atividades'!AK$3&lt;='Gastos Gerais'!$E$4:$E$3143),-('Gastos Gerais'!$C$4:$C$3143)))</f>
        <v>204550.48146666674</v>
      </c>
      <c r="AL4" s="134">
        <f>IF($B4="",0,SUMPRODUCT(-('Gastos Gerais'!$F$4:$F$3143='Gastos das Atividades'!$B4),-('Gastos das Atividades'!AL$3&gt;='Gastos Gerais'!$D$4:$D$3143),-('Gastos das Atividades'!AL$3&lt;='Gastos Gerais'!$E$4:$E$3143),-('Gastos Gerais'!$C$4:$C$3143)))</f>
        <v>224748.46146666672</v>
      </c>
      <c r="AM4" s="134">
        <f>IF($B4="",0,SUMPRODUCT(-('Gastos Gerais'!$F$4:$F$3143='Gastos das Atividades'!$B4),-('Gastos das Atividades'!AM$3&gt;='Gastos Gerais'!$D$4:$D$3143),-('Gastos das Atividades'!AM$3&lt;='Gastos Gerais'!$E$4:$E$3143),-('Gastos Gerais'!$C$4:$C$3143)))</f>
        <v>205048.46146666672</v>
      </c>
      <c r="AN4" s="134">
        <f>IF($B4="",0,SUMPRODUCT(-('Gastos Gerais'!$F$4:$F$3143='Gastos das Atividades'!$B4),-('Gastos das Atividades'!AN$3&gt;='Gastos Gerais'!$D$4:$D$3143),-('Gastos das Atividades'!AN$3&lt;='Gastos Gerais'!$E$4:$E$3143),-('Gastos Gerais'!$C$4:$C$3143)))</f>
        <v>153360.52730666671</v>
      </c>
      <c r="AO4" s="134">
        <f>IF($B4="",0,SUMPRODUCT(-('Gastos Gerais'!$F$4:$F$3143='Gastos das Atividades'!$B4),-('Gastos das Atividades'!AO$3&gt;='Gastos Gerais'!$D$4:$D$3143),-('Gastos das Atividades'!AO$3&lt;='Gastos Gerais'!$E$4:$E$3143),-('Gastos Gerais'!$C$4:$C$3143)))</f>
        <v>155910.52730666671</v>
      </c>
      <c r="AP4" s="134">
        <f>IF($B4="",0,SUMPRODUCT(-('Gastos Gerais'!$F$4:$F$3143='Gastos das Atividades'!$B4),-('Gastos das Atividades'!AP$3&gt;='Gastos Gerais'!$D$4:$D$3143),-('Gastos das Atividades'!AP$3&lt;='Gastos Gerais'!$E$4:$E$3143),-('Gastos Gerais'!$C$4:$C$3143)))</f>
        <v>212782.8873066667</v>
      </c>
      <c r="AQ4" s="134">
        <f>IF($B4="",0,SUMPRODUCT(-('Gastos Gerais'!$F$4:$F$3143='Gastos das Atividades'!$B4),-('Gastos das Atividades'!AQ$3&gt;='Gastos Gerais'!$D$4:$D$3143),-('Gastos das Atividades'!AQ$3&lt;='Gastos Gerais'!$E$4:$E$3143),-('Gastos Gerais'!$C$4:$C$3143)))</f>
        <v>212782.8873066667</v>
      </c>
      <c r="AR4" s="134">
        <f>IF($B4="",0,SUMPRODUCT(-('Gastos Gerais'!$F$4:$F$3143='Gastos das Atividades'!$B4),-('Gastos das Atividades'!AR$3&gt;='Gastos Gerais'!$D$4:$D$3143),-('Gastos das Atividades'!AR$3&lt;='Gastos Gerais'!$E$4:$E$3143),-('Gastos Gerais'!$C$4:$C$3143)))</f>
        <v>211282.8873066667</v>
      </c>
      <c r="AS4" s="134">
        <f>IF($B4="",0,SUMPRODUCT(-('Gastos Gerais'!$F$4:$F$3143='Gastos das Atividades'!$B4),-('Gastos das Atividades'!AS$3&gt;='Gastos Gerais'!$D$4:$D$3143),-('Gastos das Atividades'!AS$3&lt;='Gastos Gerais'!$E$4:$E$3143),-('Gastos Gerais'!$C$4:$C$3143)))</f>
        <v>211582.8873066667</v>
      </c>
      <c r="AT4" s="134">
        <f>IF($B4="",0,SUMPRODUCT(-('Gastos Gerais'!$F$4:$F$3143='Gastos das Atividades'!$B4),-('Gastos das Atividades'!AT$3&gt;='Gastos Gerais'!$D$4:$D$3143),-('Gastos das Atividades'!AT$3&lt;='Gastos Gerais'!$E$4:$E$3143),-('Gastos Gerais'!$C$4:$C$3143)))</f>
        <v>211582.8873066667</v>
      </c>
      <c r="AU4" s="134">
        <f>IF($B4="",0,SUMPRODUCT(-('Gastos Gerais'!$F$4:$F$3143='Gastos das Atividades'!$B4),-('Gastos das Atividades'!AU$3&gt;='Gastos Gerais'!$D$4:$D$3143),-('Gastos das Atividades'!AU$3&lt;='Gastos Gerais'!$E$4:$E$3143),-('Gastos Gerais'!$C$4:$C$3143)))</f>
        <v>211582.8873066667</v>
      </c>
      <c r="AV4" s="134">
        <f>IF($B4="",0,SUMPRODUCT(-('Gastos Gerais'!$F$4:$F$3143='Gastos das Atividades'!$B4),-('Gastos das Atividades'!AV$3&gt;='Gastos Gerais'!$D$4:$D$3143),-('Gastos das Atividades'!AV$3&lt;='Gastos Gerais'!$E$4:$E$3143),-('Gastos Gerais'!$C$4:$C$3143)))</f>
        <v>211582.8873066667</v>
      </c>
      <c r="AW4" s="134">
        <f>IF($B4="",0,SUMPRODUCT(-('Gastos Gerais'!$F$4:$F$3143='Gastos das Atividades'!$B4),-('Gastos das Atividades'!AW$3&gt;='Gastos Gerais'!$D$4:$D$3143),-('Gastos das Atividades'!AW$3&lt;='Gastos Gerais'!$E$4:$E$3143),-('Gastos Gerais'!$C$4:$C$3143)))</f>
        <v>211582.8873066667</v>
      </c>
      <c r="AX4" s="134">
        <f>IF($B4="",0,SUMPRODUCT(-('Gastos Gerais'!$F$4:$F$3143='Gastos das Atividades'!$B4),-('Gastos das Atividades'!AX$3&gt;='Gastos Gerais'!$D$4:$D$3143),-('Gastos das Atividades'!AX$3&lt;='Gastos Gerais'!$E$4:$E$3143),-('Gastos Gerais'!$C$4:$C$3143)))</f>
        <v>229165.77730666671</v>
      </c>
      <c r="AY4" s="134">
        <f>IF($B4="",0,SUMPRODUCT(-('Gastos Gerais'!$F$4:$F$3143='Gastos das Atividades'!$B4),-('Gastos das Atividades'!AY$3&gt;='Gastos Gerais'!$D$4:$D$3143),-('Gastos das Atividades'!AY$3&lt;='Gastos Gerais'!$E$4:$E$3143),-('Gastos Gerais'!$C$4:$C$3143)))</f>
        <v>209465.77730666671</v>
      </c>
      <c r="AZ4" s="134">
        <f>IF($B4="",0,SUMPRODUCT(-('Gastos Gerais'!$F$4:$F$3143='Gastos das Atividades'!$B4),-('Gastos das Atividades'!AZ$3&gt;='Gastos Gerais'!$D$4:$D$3143),-('Gastos das Atividades'!AZ$3&lt;='Gastos Gerais'!$E$4:$E$3143),-('Gastos Gerais'!$C$4:$C$3143)))</f>
        <v>92484.764666666699</v>
      </c>
      <c r="BA4" s="134">
        <f>IF($B4="",0,SUMPRODUCT(-('Gastos Gerais'!$F$4:$F$3143='Gastos das Atividades'!$B4),-('Gastos das Atividades'!BA$3&gt;='Gastos Gerais'!$D$4:$D$3143),-('Gastos das Atividades'!BA$3&lt;='Gastos Gerais'!$E$4:$E$3143),-('Gastos Gerais'!$C$4:$C$3143)))</f>
        <v>93714.764666666699</v>
      </c>
      <c r="BB4" s="134">
        <f>IF($B4="",0,SUMPRODUCT(-('Gastos Gerais'!$F$4:$F$3143='Gastos das Atividades'!$B4),-('Gastos das Atividades'!BB$3&gt;='Gastos Gerais'!$D$4:$D$3143),-('Gastos das Atividades'!BB$3&lt;='Gastos Gerais'!$E$4:$E$3143),-('Gastos Gerais'!$C$4:$C$3143)))</f>
        <v>121034.7646666667</v>
      </c>
      <c r="BC4" s="134">
        <f>IF($B4="",0,SUMPRODUCT(-('Gastos Gerais'!$F$4:$F$3143='Gastos das Atividades'!$B4),-('Gastos das Atividades'!BC$3&gt;='Gastos Gerais'!$D$4:$D$3143),-('Gastos das Atividades'!BC$3&lt;='Gastos Gerais'!$E$4:$E$3143),-('Gastos Gerais'!$C$4:$C$3143)))</f>
        <v>121034.7646666667</v>
      </c>
      <c r="BD4" s="134">
        <f>IF($B4="",0,SUMPRODUCT(-('Gastos Gerais'!$F$4:$F$3143='Gastos das Atividades'!$B4),-('Gastos das Atividades'!BD$3&gt;='Gastos Gerais'!$D$4:$D$3143),-('Gastos das Atividades'!BD$3&lt;='Gastos Gerais'!$E$4:$E$3143),-('Gastos Gerais'!$C$4:$C$3143)))</f>
        <v>119534.7646666667</v>
      </c>
      <c r="BE4" s="134">
        <f>IF($B4="",0,SUMPRODUCT(-('Gastos Gerais'!$F$4:$F$3143='Gastos das Atividades'!$B4),-('Gastos das Atividades'!BE$3&gt;='Gastos Gerais'!$D$4:$D$3143),-('Gastos das Atividades'!BE$3&lt;='Gastos Gerais'!$E$4:$E$3143),-('Gastos Gerais'!$C$4:$C$3143)))</f>
        <v>119834.7646666667</v>
      </c>
      <c r="BF4" s="134">
        <f>IF($B4="",0,SUMPRODUCT(-('Gastos Gerais'!$F$4:$F$3143='Gastos das Atividades'!$B4),-('Gastos das Atividades'!BF$3&gt;='Gastos Gerais'!$D$4:$D$3143),-('Gastos das Atividades'!BF$3&lt;='Gastos Gerais'!$E$4:$E$3143),-('Gastos Gerais'!$C$4:$C$3143)))</f>
        <v>119834.7646666667</v>
      </c>
      <c r="BG4" s="134">
        <f>IF($B4="",0,SUMPRODUCT(-('Gastos Gerais'!$F$4:$F$3143='Gastos das Atividades'!$B4),-('Gastos das Atividades'!BG$3&gt;='Gastos Gerais'!$D$4:$D$3143),-('Gastos das Atividades'!BG$3&lt;='Gastos Gerais'!$E$4:$E$3143),-('Gastos Gerais'!$C$4:$C$3143)))</f>
        <v>120834.7646666667</v>
      </c>
      <c r="BH4" s="134">
        <f>IF($B4="",0,SUMPRODUCT(-('Gastos Gerais'!$F$4:$F$3143='Gastos das Atividades'!$B4),-('Gastos das Atividades'!BH$3&gt;='Gastos Gerais'!$D$4:$D$3143),-('Gastos das Atividades'!BH$3&lt;='Gastos Gerais'!$E$4:$E$3143),-('Gastos Gerais'!$C$4:$C$3143)))</f>
        <v>120834.7646666667</v>
      </c>
      <c r="BI4" s="134">
        <f>IF($B4="",0,SUMPRODUCT(-('Gastos Gerais'!$F$4:$F$3143='Gastos das Atividades'!$B4),-('Gastos das Atividades'!BI$3&gt;='Gastos Gerais'!$D$4:$D$3143),-('Gastos das Atividades'!BI$3&lt;='Gastos Gerais'!$E$4:$E$3143),-('Gastos Gerais'!$C$4:$C$3143)))</f>
        <v>120834.7646666667</v>
      </c>
      <c r="BJ4" s="134">
        <f>IF($B4="",0,SUMPRODUCT(-('Gastos Gerais'!$F$4:$F$3143='Gastos das Atividades'!$B4),-('Gastos das Atividades'!BJ$3&gt;='Gastos Gerais'!$D$4:$D$3143),-('Gastos das Atividades'!BJ$3&lt;='Gastos Gerais'!$E$4:$E$3143),-('Gastos Gerais'!$C$4:$C$3143)))</f>
        <v>140834.76466666671</v>
      </c>
      <c r="BK4" s="134">
        <f>IF($B4="",0,SUMPRODUCT(-('Gastos Gerais'!$F$4:$F$3143='Gastos das Atividades'!$B4),-('Gastos das Atividades'!BK$3&gt;='Gastos Gerais'!$D$4:$D$3143),-('Gastos das Atividades'!BK$3&lt;='Gastos Gerais'!$E$4:$E$3143),-('Gastos Gerais'!$C$4:$C$3143)))</f>
        <v>0</v>
      </c>
      <c r="BL4" s="134">
        <f>IF($B4="",0,SUMPRODUCT(-('Gastos Gerais'!$F$4:$F$3143='Gastos das Atividades'!$B4),-('Gastos das Atividades'!BL$3&gt;='Gastos Gerais'!$D$4:$D$3143),-('Gastos das Atividades'!BL$3&lt;='Gastos Gerais'!$E$4:$E$3143),-('Gastos Gerais'!$C$4:$C$3143)))</f>
        <v>0</v>
      </c>
      <c r="BM4" s="134">
        <f>IF($B4="",0,SUMPRODUCT(-('Gastos Gerais'!$F$4:$F$3143='Gastos das Atividades'!$B4),-('Gastos das Atividades'!BM$3&gt;='Gastos Gerais'!$D$4:$D$3143),-('Gastos das Atividades'!BM$3&lt;='Gastos Gerais'!$E$4:$E$3143),-('Gastos Gerais'!$C$4:$C$3143)))</f>
        <v>0</v>
      </c>
      <c r="BN4" s="134">
        <f>IF($B4="",0,SUMPRODUCT(-('Gastos Gerais'!$F$4:$F$3143='Gastos das Atividades'!$B4),-('Gastos das Atividades'!BN$3&gt;='Gastos Gerais'!$D$4:$D$3143),-('Gastos das Atividades'!BN$3&lt;='Gastos Gerais'!$E$4:$E$3143),-('Gastos Gerais'!$C$4:$C$3143)))</f>
        <v>0</v>
      </c>
      <c r="BO4" s="134">
        <f>IF($B4="",0,SUMPRODUCT(-('Gastos Gerais'!$F$4:$F$3143='Gastos das Atividades'!$B4),-('Gastos das Atividades'!BO$3&gt;='Gastos Gerais'!$D$4:$D$3143),-('Gastos das Atividades'!BO$3&lt;='Gastos Gerais'!$E$4:$E$3143),-('Gastos Gerais'!$C$4:$C$3143)))</f>
        <v>0</v>
      </c>
      <c r="BP4" s="134">
        <f>IF($B4="",0,SUMPRODUCT(-('Gastos Gerais'!$F$4:$F$3143='Gastos das Atividades'!$B4),-('Gastos das Atividades'!BP$3&gt;='Gastos Gerais'!$D$4:$D$3143),-('Gastos das Atividades'!BP$3&lt;='Gastos Gerais'!$E$4:$E$3143),-('Gastos Gerais'!$C$4:$C$3143)))</f>
        <v>0</v>
      </c>
      <c r="BQ4" s="134">
        <f>IF($B4="",0,SUMPRODUCT(-('Gastos Gerais'!$F$4:$F$3143='Gastos das Atividades'!$B4),-('Gastos das Atividades'!BQ$3&gt;='Gastos Gerais'!$D$4:$D$3143),-('Gastos das Atividades'!BQ$3&lt;='Gastos Gerais'!$E$4:$E$3143),-('Gastos Gerais'!$C$4:$C$3143)))</f>
        <v>0</v>
      </c>
      <c r="BR4" s="134">
        <f>IF($B4="",0,SUMPRODUCT(-('Gastos Gerais'!$F$4:$F$3143='Gastos das Atividades'!$B4),-('Gastos das Atividades'!BR$3&gt;='Gastos Gerais'!$D$4:$D$3143),-('Gastos das Atividades'!BR$3&lt;='Gastos Gerais'!$E$4:$E$3143),-('Gastos Gerais'!$C$4:$C$3143)))</f>
        <v>0</v>
      </c>
      <c r="BS4" s="134">
        <f>IF($B4="",0,SUMPRODUCT(-('Gastos Gerais'!$F$4:$F$3143='Gastos das Atividades'!$B4),-('Gastos das Atividades'!BS$3&gt;='Gastos Gerais'!$D$4:$D$3143),-('Gastos das Atividades'!BS$3&lt;='Gastos Gerais'!$E$4:$E$3143),-('Gastos Gerais'!$C$4:$C$3143)))</f>
        <v>0</v>
      </c>
      <c r="BT4" s="134">
        <f>IF($B4="",0,SUMPRODUCT(-('Gastos Gerais'!$F$4:$F$3143='Gastos das Atividades'!$B4),-('Gastos das Atividades'!BT$3&gt;='Gastos Gerais'!$D$4:$D$3143),-('Gastos das Atividades'!BT$3&lt;='Gastos Gerais'!$E$4:$E$3143),-('Gastos Gerais'!$C$4:$C$3143)))</f>
        <v>0</v>
      </c>
      <c r="BU4" s="134">
        <f>IF($B4="",0,SUMPRODUCT(-('Gastos Gerais'!$F$4:$F$3143='Gastos das Atividades'!$B4),-('Gastos das Atividades'!BU$3&gt;='Gastos Gerais'!$D$4:$D$3143),-('Gastos das Atividades'!BU$3&lt;='Gastos Gerais'!$E$4:$E$3143),-('Gastos Gerais'!$C$4:$C$3143)))</f>
        <v>0</v>
      </c>
      <c r="BV4" s="134">
        <f>IF($B4="",0,SUMPRODUCT(-('Gastos Gerais'!$F$4:$F$3143='Gastos das Atividades'!$B4),-('Gastos das Atividades'!BV$3&gt;='Gastos Gerais'!$D$4:$D$3143),-('Gastos das Atividades'!BV$3&lt;='Gastos Gerais'!$E$4:$E$3143),-('Gastos Gerais'!$C$4:$C$3143)))</f>
        <v>0</v>
      </c>
      <c r="BW4" s="134">
        <f>IF($B4="",0,SUMPRODUCT(-('Gastos Gerais'!$F$4:$F$3143='Gastos das Atividades'!$B4),-('Gastos das Atividades'!BW$3&gt;='Gastos Gerais'!$D$4:$D$3143),-('Gastos das Atividades'!BW$3&lt;='Gastos Gerais'!$E$4:$E$3143),-('Gastos Gerais'!$C$4:$C$3143)))</f>
        <v>0</v>
      </c>
    </row>
    <row r="5" spans="1:76">
      <c r="A5" s="138">
        <v>2</v>
      </c>
      <c r="B5" s="139" t="s">
        <v>598</v>
      </c>
      <c r="C5" s="132">
        <v>0</v>
      </c>
      <c r="D5" s="133">
        <f t="shared" si="0"/>
        <v>959933.24000000011</v>
      </c>
      <c r="E5" s="134">
        <f t="shared" si="1"/>
        <v>964525.12000000011</v>
      </c>
      <c r="F5" s="134">
        <f t="shared" si="1"/>
        <v>974286.60000000021</v>
      </c>
      <c r="G5" s="134">
        <f t="shared" si="1"/>
        <v>504245.01200000005</v>
      </c>
      <c r="H5" s="134">
        <f t="shared" si="1"/>
        <v>0</v>
      </c>
      <c r="I5" s="135">
        <f t="shared" si="2"/>
        <v>3402989.9720000005</v>
      </c>
      <c r="J5" s="136">
        <f t="shared" si="3"/>
        <v>1.3267992168452364E-2</v>
      </c>
      <c r="K5" s="136">
        <f t="shared" si="4"/>
        <v>1.3331460152828521E-2</v>
      </c>
      <c r="L5" s="136">
        <f t="shared" si="5"/>
        <v>1.3466381243999929E-2</v>
      </c>
      <c r="M5" s="136">
        <f t="shared" si="6"/>
        <v>6.9695668317488078E-3</v>
      </c>
      <c r="N5" s="136">
        <f t="shared" si="7"/>
        <v>0</v>
      </c>
      <c r="O5" s="137">
        <f t="shared" si="8"/>
        <v>4.7035400397029622E-2</v>
      </c>
      <c r="P5" s="134">
        <f>IF($B5="",0,SUMPRODUCT(-('Gastos Gerais'!$F$4:$F$3143='Gastos das Atividades'!$B5),-('Gastos das Atividades'!P$3&gt;='Gastos Gerais'!$D$4:$D$3143),-('Gastos das Atividades'!P$3&lt;='Gastos Gerais'!$E$4:$E$3143),-('Gastos Gerais'!$C$4:$C$3143)))</f>
        <v>83575.77</v>
      </c>
      <c r="Q5" s="134">
        <f>IF($B5="",0,SUMPRODUCT(-('Gastos Gerais'!$F$4:$F$3143='Gastos das Atividades'!$B5),-('Gastos das Atividades'!Q$3&gt;='Gastos Gerais'!$D$4:$D$3143),-('Gastos das Atividades'!Q$3&lt;='Gastos Gerais'!$E$4:$E$3143),-('Gastos Gerais'!$C$4:$C$3143)))</f>
        <v>82075.77</v>
      </c>
      <c r="R5" s="134">
        <f>IF($B5="",0,SUMPRODUCT(-('Gastos Gerais'!$F$4:$F$3143='Gastos das Atividades'!$B5),-('Gastos das Atividades'!R$3&gt;='Gastos Gerais'!$D$4:$D$3143),-('Gastos das Atividades'!R$3&lt;='Gastos Gerais'!$E$4:$E$3143),-('Gastos Gerais'!$C$4:$C$3143)))</f>
        <v>82075.77</v>
      </c>
      <c r="S5" s="134">
        <f>IF($B5="",0,SUMPRODUCT(-('Gastos Gerais'!$F$4:$F$3143='Gastos das Atividades'!$B5),-('Gastos das Atividades'!S$3&gt;='Gastos Gerais'!$D$4:$D$3143),-('Gastos das Atividades'!S$3&lt;='Gastos Gerais'!$E$4:$E$3143),-('Gastos Gerais'!$C$4:$C$3143)))</f>
        <v>84075.77</v>
      </c>
      <c r="T5" s="134">
        <f>IF($B5="",0,SUMPRODUCT(-('Gastos Gerais'!$F$4:$F$3143='Gastos das Atividades'!$B5),-('Gastos das Atividades'!T$3&gt;='Gastos Gerais'!$D$4:$D$3143),-('Gastos das Atividades'!T$3&lt;='Gastos Gerais'!$E$4:$E$3143),-('Gastos Gerais'!$C$4:$C$3143)))</f>
        <v>79325.77</v>
      </c>
      <c r="U5" s="134">
        <f>IF($B5="",0,SUMPRODUCT(-('Gastos Gerais'!$F$4:$F$3143='Gastos das Atividades'!$B5),-('Gastos das Atividades'!U$3&gt;='Gastos Gerais'!$D$4:$D$3143),-('Gastos das Atividades'!U$3&lt;='Gastos Gerais'!$E$4:$E$3143),-('Gastos Gerais'!$C$4:$C$3143)))</f>
        <v>79125.77</v>
      </c>
      <c r="V5" s="134">
        <f>IF($B5="",0,SUMPRODUCT(-('Gastos Gerais'!$F$4:$F$3143='Gastos das Atividades'!$B5),-('Gastos das Atividades'!V$3&gt;='Gastos Gerais'!$D$4:$D$3143),-('Gastos das Atividades'!V$3&lt;='Gastos Gerais'!$E$4:$E$3143),-('Gastos Gerais'!$C$4:$C$3143)))</f>
        <v>78279.77</v>
      </c>
      <c r="W5" s="134">
        <f>IF($B5="",0,SUMPRODUCT(-('Gastos Gerais'!$F$4:$F$3143='Gastos das Atividades'!$B5),-('Gastos das Atividades'!W$3&gt;='Gastos Gerais'!$D$4:$D$3143),-('Gastos das Atividades'!W$3&lt;='Gastos Gerais'!$E$4:$E$3143),-('Gastos Gerais'!$C$4:$C$3143)))</f>
        <v>78279.77</v>
      </c>
      <c r="X5" s="134">
        <f>IF($B5="",0,SUMPRODUCT(-('Gastos Gerais'!$F$4:$F$3143='Gastos das Atividades'!$B5),-('Gastos das Atividades'!X$3&gt;='Gastos Gerais'!$D$4:$D$3143),-('Gastos das Atividades'!X$3&lt;='Gastos Gerais'!$E$4:$E$3143),-('Gastos Gerais'!$C$4:$C$3143)))</f>
        <v>78279.77</v>
      </c>
      <c r="Y5" s="134">
        <f>IF($B5="",0,SUMPRODUCT(-('Gastos Gerais'!$F$4:$F$3143='Gastos das Atividades'!$B5),-('Gastos das Atividades'!Y$3&gt;='Gastos Gerais'!$D$4:$D$3143),-('Gastos das Atividades'!Y$3&lt;='Gastos Gerais'!$E$4:$E$3143),-('Gastos Gerais'!$C$4:$C$3143)))</f>
        <v>78279.77</v>
      </c>
      <c r="Z5" s="134">
        <f>IF($B5="",0,SUMPRODUCT(-('Gastos Gerais'!$F$4:$F$3143='Gastos das Atividades'!$B5),-('Gastos das Atividades'!Z$3&gt;='Gastos Gerais'!$D$4:$D$3143),-('Gastos das Atividades'!Z$3&lt;='Gastos Gerais'!$E$4:$E$3143),-('Gastos Gerais'!$C$4:$C$3143)))</f>
        <v>78279.77</v>
      </c>
      <c r="AA5" s="134">
        <f>IF($B5="",0,SUMPRODUCT(-('Gastos Gerais'!$F$4:$F$3143='Gastos das Atividades'!$B5),-('Gastos das Atividades'!AA$3&gt;='Gastos Gerais'!$D$4:$D$3143),-('Gastos das Atividades'!AA$3&lt;='Gastos Gerais'!$E$4:$E$3143),-('Gastos Gerais'!$C$4:$C$3143)))</f>
        <v>78279.77</v>
      </c>
      <c r="AB5" s="134">
        <f>IF($B5="",0,SUMPRODUCT(-('Gastos Gerais'!$F$4:$F$3143='Gastos das Atividades'!$B5),-('Gastos das Atividades'!AB$3&gt;='Gastos Gerais'!$D$4:$D$3143),-('Gastos das Atividades'!AB$3&lt;='Gastos Gerais'!$E$4:$E$3143),-('Gastos Gerais'!$C$4:$C$3143)))</f>
        <v>83991.760000000009</v>
      </c>
      <c r="AC5" s="134">
        <f>IF($B5="",0,SUMPRODUCT(-('Gastos Gerais'!$F$4:$F$3143='Gastos das Atividades'!$B5),-('Gastos das Atividades'!AC$3&gt;='Gastos Gerais'!$D$4:$D$3143),-('Gastos das Atividades'!AC$3&lt;='Gastos Gerais'!$E$4:$E$3143),-('Gastos Gerais'!$C$4:$C$3143)))</f>
        <v>82491.760000000009</v>
      </c>
      <c r="AD5" s="134">
        <f>IF($B5="",0,SUMPRODUCT(-('Gastos Gerais'!$F$4:$F$3143='Gastos das Atividades'!$B5),-('Gastos das Atividades'!AD$3&gt;='Gastos Gerais'!$D$4:$D$3143),-('Gastos das Atividades'!AD$3&lt;='Gastos Gerais'!$E$4:$E$3143),-('Gastos Gerais'!$C$4:$C$3143)))</f>
        <v>82491.760000000009</v>
      </c>
      <c r="AE5" s="134">
        <f>IF($B5="",0,SUMPRODUCT(-('Gastos Gerais'!$F$4:$F$3143='Gastos das Atividades'!$B5),-('Gastos das Atividades'!AE$3&gt;='Gastos Gerais'!$D$4:$D$3143),-('Gastos das Atividades'!AE$3&lt;='Gastos Gerais'!$E$4:$E$3143),-('Gastos Gerais'!$C$4:$C$3143)))</f>
        <v>82491.760000000009</v>
      </c>
      <c r="AF5" s="134">
        <f>IF($B5="",0,SUMPRODUCT(-('Gastos Gerais'!$F$4:$F$3143='Gastos das Atividades'!$B5),-('Gastos das Atividades'!AF$3&gt;='Gastos Gerais'!$D$4:$D$3143),-('Gastos das Atividades'!AF$3&lt;='Gastos Gerais'!$E$4:$E$3143),-('Gastos Gerais'!$C$4:$C$3143)))</f>
        <v>79941.760000000009</v>
      </c>
      <c r="AG5" s="134">
        <f>IF($B5="",0,SUMPRODUCT(-('Gastos Gerais'!$F$4:$F$3143='Gastos das Atividades'!$B5),-('Gastos das Atividades'!AG$3&gt;='Gastos Gerais'!$D$4:$D$3143),-('Gastos das Atividades'!AG$3&lt;='Gastos Gerais'!$E$4:$E$3143),-('Gastos Gerais'!$C$4:$C$3143)))</f>
        <v>79741.760000000009</v>
      </c>
      <c r="AH5" s="134">
        <f>IF($B5="",0,SUMPRODUCT(-('Gastos Gerais'!$F$4:$F$3143='Gastos das Atividades'!$B5),-('Gastos das Atividades'!AH$3&gt;='Gastos Gerais'!$D$4:$D$3143),-('Gastos das Atividades'!AH$3&lt;='Gastos Gerais'!$E$4:$E$3143),-('Gastos Gerais'!$C$4:$C$3143)))</f>
        <v>78895.760000000009</v>
      </c>
      <c r="AI5" s="134">
        <f>IF($B5="",0,SUMPRODUCT(-('Gastos Gerais'!$F$4:$F$3143='Gastos das Atividades'!$B5),-('Gastos das Atividades'!AI$3&gt;='Gastos Gerais'!$D$4:$D$3143),-('Gastos das Atividades'!AI$3&lt;='Gastos Gerais'!$E$4:$E$3143),-('Gastos Gerais'!$C$4:$C$3143)))</f>
        <v>78895.760000000009</v>
      </c>
      <c r="AJ5" s="134">
        <f>IF($B5="",0,SUMPRODUCT(-('Gastos Gerais'!$F$4:$F$3143='Gastos das Atividades'!$B5),-('Gastos das Atividades'!AJ$3&gt;='Gastos Gerais'!$D$4:$D$3143),-('Gastos das Atividades'!AJ$3&lt;='Gastos Gerais'!$E$4:$E$3143),-('Gastos Gerais'!$C$4:$C$3143)))</f>
        <v>78895.760000000009</v>
      </c>
      <c r="AK5" s="134">
        <f>IF($B5="",0,SUMPRODUCT(-('Gastos Gerais'!$F$4:$F$3143='Gastos das Atividades'!$B5),-('Gastos das Atividades'!AK$3&gt;='Gastos Gerais'!$D$4:$D$3143),-('Gastos das Atividades'!AK$3&lt;='Gastos Gerais'!$E$4:$E$3143),-('Gastos Gerais'!$C$4:$C$3143)))</f>
        <v>78895.760000000009</v>
      </c>
      <c r="AL5" s="134">
        <f>IF($B5="",0,SUMPRODUCT(-('Gastos Gerais'!$F$4:$F$3143='Gastos das Atividades'!$B5),-('Gastos das Atividades'!AL$3&gt;='Gastos Gerais'!$D$4:$D$3143),-('Gastos das Atividades'!AL$3&lt;='Gastos Gerais'!$E$4:$E$3143),-('Gastos Gerais'!$C$4:$C$3143)))</f>
        <v>78895.760000000009</v>
      </c>
      <c r="AM5" s="134">
        <f>IF($B5="",0,SUMPRODUCT(-('Gastos Gerais'!$F$4:$F$3143='Gastos das Atividades'!$B5),-('Gastos das Atividades'!AM$3&gt;='Gastos Gerais'!$D$4:$D$3143),-('Gastos das Atividades'!AM$3&lt;='Gastos Gerais'!$E$4:$E$3143),-('Gastos Gerais'!$C$4:$C$3143)))</f>
        <v>78895.760000000009</v>
      </c>
      <c r="AN5" s="134">
        <f>IF($B5="",0,SUMPRODUCT(-('Gastos Gerais'!$F$4:$F$3143='Gastos das Atividades'!$B5),-('Gastos das Atividades'!AN$3&gt;='Gastos Gerais'!$D$4:$D$3143),-('Gastos das Atividades'!AN$3&lt;='Gastos Gerais'!$E$4:$E$3143),-('Gastos Gerais'!$C$4:$C$3143)))</f>
        <v>84638.55</v>
      </c>
      <c r="AO5" s="134">
        <f>IF($B5="",0,SUMPRODUCT(-('Gastos Gerais'!$F$4:$F$3143='Gastos das Atividades'!$B5),-('Gastos das Atividades'!AO$3&gt;='Gastos Gerais'!$D$4:$D$3143),-('Gastos das Atividades'!AO$3&lt;='Gastos Gerais'!$E$4:$E$3143),-('Gastos Gerais'!$C$4:$C$3143)))</f>
        <v>85138.55</v>
      </c>
      <c r="AP5" s="134">
        <f>IF($B5="",0,SUMPRODUCT(-('Gastos Gerais'!$F$4:$F$3143='Gastos das Atividades'!$B5),-('Gastos das Atividades'!AP$3&gt;='Gastos Gerais'!$D$4:$D$3143),-('Gastos das Atividades'!AP$3&lt;='Gastos Gerais'!$E$4:$E$3143),-('Gastos Gerais'!$C$4:$C$3143)))</f>
        <v>83138.55</v>
      </c>
      <c r="AQ5" s="134">
        <f>IF($B5="",0,SUMPRODUCT(-('Gastos Gerais'!$F$4:$F$3143='Gastos das Atividades'!$B5),-('Gastos das Atividades'!AQ$3&gt;='Gastos Gerais'!$D$4:$D$3143),-('Gastos das Atividades'!AQ$3&lt;='Gastos Gerais'!$E$4:$E$3143),-('Gastos Gerais'!$C$4:$C$3143)))</f>
        <v>83138.55</v>
      </c>
      <c r="AR5" s="134">
        <f>IF($B5="",0,SUMPRODUCT(-('Gastos Gerais'!$F$4:$F$3143='Gastos das Atividades'!$B5),-('Gastos das Atividades'!AR$3&gt;='Gastos Gerais'!$D$4:$D$3143),-('Gastos das Atividades'!AR$3&lt;='Gastos Gerais'!$E$4:$E$3143),-('Gastos Gerais'!$C$4:$C$3143)))</f>
        <v>80588.55</v>
      </c>
      <c r="AS5" s="134">
        <f>IF($B5="",0,SUMPRODUCT(-('Gastos Gerais'!$F$4:$F$3143='Gastos das Atividades'!$B5),-('Gastos das Atividades'!AS$3&gt;='Gastos Gerais'!$D$4:$D$3143),-('Gastos das Atividades'!AS$3&lt;='Gastos Gerais'!$E$4:$E$3143),-('Gastos Gerais'!$C$4:$C$3143)))</f>
        <v>80388.55</v>
      </c>
      <c r="AT5" s="134">
        <f>IF($B5="",0,SUMPRODUCT(-('Gastos Gerais'!$F$4:$F$3143='Gastos das Atividades'!$B5),-('Gastos das Atividades'!AT$3&gt;='Gastos Gerais'!$D$4:$D$3143),-('Gastos das Atividades'!AT$3&lt;='Gastos Gerais'!$E$4:$E$3143),-('Gastos Gerais'!$C$4:$C$3143)))</f>
        <v>79542.55</v>
      </c>
      <c r="AU5" s="134">
        <f>IF($B5="",0,SUMPRODUCT(-('Gastos Gerais'!$F$4:$F$3143='Gastos das Atividades'!$B5),-('Gastos das Atividades'!AU$3&gt;='Gastos Gerais'!$D$4:$D$3143),-('Gastos das Atividades'!AU$3&lt;='Gastos Gerais'!$E$4:$E$3143),-('Gastos Gerais'!$C$4:$C$3143)))</f>
        <v>79542.55</v>
      </c>
      <c r="AV5" s="134">
        <f>IF($B5="",0,SUMPRODUCT(-('Gastos Gerais'!$F$4:$F$3143='Gastos das Atividades'!$B5),-('Gastos das Atividades'!AV$3&gt;='Gastos Gerais'!$D$4:$D$3143),-('Gastos das Atividades'!AV$3&lt;='Gastos Gerais'!$E$4:$E$3143),-('Gastos Gerais'!$C$4:$C$3143)))</f>
        <v>79542.55</v>
      </c>
      <c r="AW5" s="134">
        <f>IF($B5="",0,SUMPRODUCT(-('Gastos Gerais'!$F$4:$F$3143='Gastos das Atividades'!$B5),-('Gastos das Atividades'!AW$3&gt;='Gastos Gerais'!$D$4:$D$3143),-('Gastos das Atividades'!AW$3&lt;='Gastos Gerais'!$E$4:$E$3143),-('Gastos Gerais'!$C$4:$C$3143)))</f>
        <v>79542.55</v>
      </c>
      <c r="AX5" s="134">
        <f>IF($B5="",0,SUMPRODUCT(-('Gastos Gerais'!$F$4:$F$3143='Gastos das Atividades'!$B5),-('Gastos das Atividades'!AX$3&gt;='Gastos Gerais'!$D$4:$D$3143),-('Gastos das Atividades'!AX$3&lt;='Gastos Gerais'!$E$4:$E$3143),-('Gastos Gerais'!$C$4:$C$3143)))</f>
        <v>79542.55</v>
      </c>
      <c r="AY5" s="134">
        <f>IF($B5="",0,SUMPRODUCT(-('Gastos Gerais'!$F$4:$F$3143='Gastos das Atividades'!$B5),-('Gastos das Atividades'!AY$3&gt;='Gastos Gerais'!$D$4:$D$3143),-('Gastos das Atividades'!AY$3&lt;='Gastos Gerais'!$E$4:$E$3143),-('Gastos Gerais'!$C$4:$C$3143)))</f>
        <v>79542.55</v>
      </c>
      <c r="AZ5" s="134">
        <f>IF($B5="",0,SUMPRODUCT(-('Gastos Gerais'!$F$4:$F$3143='Gastos das Atividades'!$B5),-('Gastos das Atividades'!AZ$3&gt;='Gastos Gerais'!$D$4:$D$3143),-('Gastos das Atividades'!AZ$3&lt;='Gastos Gerais'!$E$4:$E$3143),-('Gastos Gerais'!$C$4:$C$3143)))</f>
        <v>48364.092000000004</v>
      </c>
      <c r="BA5" s="134">
        <f>IF($B5="",0,SUMPRODUCT(-('Gastos Gerais'!$F$4:$F$3143='Gastos das Atividades'!$B5),-('Gastos das Atividades'!BA$3&gt;='Gastos Gerais'!$D$4:$D$3143),-('Gastos das Atividades'!BA$3&lt;='Gastos Gerais'!$E$4:$E$3143),-('Gastos Gerais'!$C$4:$C$3143)))</f>
        <v>47614.092000000004</v>
      </c>
      <c r="BB5" s="134">
        <f>IF($B5="",0,SUMPRODUCT(-('Gastos Gerais'!$F$4:$F$3143='Gastos das Atividades'!$B5),-('Gastos das Atividades'!BB$3&gt;='Gastos Gerais'!$D$4:$D$3143),-('Gastos das Atividades'!BB$3&lt;='Gastos Gerais'!$E$4:$E$3143),-('Gastos Gerais'!$C$4:$C$3143)))</f>
        <v>46964.092000000004</v>
      </c>
      <c r="BC5" s="134">
        <f>IF($B5="",0,SUMPRODUCT(-('Gastos Gerais'!$F$4:$F$3143='Gastos das Atividades'!$B5),-('Gastos das Atividades'!BC$3&gt;='Gastos Gerais'!$D$4:$D$3143),-('Gastos das Atividades'!BC$3&lt;='Gastos Gerais'!$E$4:$E$3143),-('Gastos Gerais'!$C$4:$C$3143)))</f>
        <v>46964.092000000004</v>
      </c>
      <c r="BD5" s="134">
        <f>IF($B5="",0,SUMPRODUCT(-('Gastos Gerais'!$F$4:$F$3143='Gastos das Atividades'!$B5),-('Gastos das Atividades'!BD$3&gt;='Gastos Gerais'!$D$4:$D$3143),-('Gastos das Atividades'!BD$3&lt;='Gastos Gerais'!$E$4:$E$3143),-('Gastos Gerais'!$C$4:$C$3143)))</f>
        <v>45434.092000000004</v>
      </c>
      <c r="BE5" s="134">
        <f>IF($B5="",0,SUMPRODUCT(-('Gastos Gerais'!$F$4:$F$3143='Gastos das Atividades'!$B5),-('Gastos das Atividades'!BE$3&gt;='Gastos Gerais'!$D$4:$D$3143),-('Gastos das Atividades'!BE$3&lt;='Gastos Gerais'!$E$4:$E$3143),-('Gastos Gerais'!$C$4:$C$3143)))</f>
        <v>45234.092000000004</v>
      </c>
      <c r="BF5" s="134">
        <f>IF($B5="",0,SUMPRODUCT(-('Gastos Gerais'!$F$4:$F$3143='Gastos das Atividades'!$B5),-('Gastos das Atividades'!BF$3&gt;='Gastos Gerais'!$D$4:$D$3143),-('Gastos das Atividades'!BF$3&lt;='Gastos Gerais'!$E$4:$E$3143),-('Gastos Gerais'!$C$4:$C$3143)))</f>
        <v>44734.092000000004</v>
      </c>
      <c r="BG5" s="134">
        <f>IF($B5="",0,SUMPRODUCT(-('Gastos Gerais'!$F$4:$F$3143='Gastos das Atividades'!$B5),-('Gastos das Atividades'!BG$3&gt;='Gastos Gerais'!$D$4:$D$3143),-('Gastos das Atividades'!BG$3&lt;='Gastos Gerais'!$E$4:$E$3143),-('Gastos Gerais'!$C$4:$C$3143)))</f>
        <v>44734.092000000004</v>
      </c>
      <c r="BH5" s="134">
        <f>IF($B5="",0,SUMPRODUCT(-('Gastos Gerais'!$F$4:$F$3143='Gastos das Atividades'!$B5),-('Gastos das Atividades'!BH$3&gt;='Gastos Gerais'!$D$4:$D$3143),-('Gastos das Atividades'!BH$3&lt;='Gastos Gerais'!$E$4:$E$3143),-('Gastos Gerais'!$C$4:$C$3143)))</f>
        <v>44734.092000000004</v>
      </c>
      <c r="BI5" s="134">
        <f>IF($B5="",0,SUMPRODUCT(-('Gastos Gerais'!$F$4:$F$3143='Gastos das Atividades'!$B5),-('Gastos das Atividades'!BI$3&gt;='Gastos Gerais'!$D$4:$D$3143),-('Gastos das Atividades'!BI$3&lt;='Gastos Gerais'!$E$4:$E$3143),-('Gastos Gerais'!$C$4:$C$3143)))</f>
        <v>44734.092000000004</v>
      </c>
      <c r="BJ5" s="134">
        <f>IF($B5="",0,SUMPRODUCT(-('Gastos Gerais'!$F$4:$F$3143='Gastos das Atividades'!$B5),-('Gastos das Atividades'!BJ$3&gt;='Gastos Gerais'!$D$4:$D$3143),-('Gastos das Atividades'!BJ$3&lt;='Gastos Gerais'!$E$4:$E$3143),-('Gastos Gerais'!$C$4:$C$3143)))</f>
        <v>44734.092000000004</v>
      </c>
      <c r="BK5" s="134">
        <f>IF($B5="",0,SUMPRODUCT(-('Gastos Gerais'!$F$4:$F$3143='Gastos das Atividades'!$B5),-('Gastos das Atividades'!BK$3&gt;='Gastos Gerais'!$D$4:$D$3143),-('Gastos das Atividades'!BK$3&lt;='Gastos Gerais'!$E$4:$E$3143),-('Gastos Gerais'!$C$4:$C$3143)))</f>
        <v>0</v>
      </c>
      <c r="BL5" s="134">
        <f>IF($B5="",0,SUMPRODUCT(-('Gastos Gerais'!$F$4:$F$3143='Gastos das Atividades'!$B5),-('Gastos das Atividades'!BL$3&gt;='Gastos Gerais'!$D$4:$D$3143),-('Gastos das Atividades'!BL$3&lt;='Gastos Gerais'!$E$4:$E$3143),-('Gastos Gerais'!$C$4:$C$3143)))</f>
        <v>0</v>
      </c>
      <c r="BM5" s="134">
        <f>IF($B5="",0,SUMPRODUCT(-('Gastos Gerais'!$F$4:$F$3143='Gastos das Atividades'!$B5),-('Gastos das Atividades'!BM$3&gt;='Gastos Gerais'!$D$4:$D$3143),-('Gastos das Atividades'!BM$3&lt;='Gastos Gerais'!$E$4:$E$3143),-('Gastos Gerais'!$C$4:$C$3143)))</f>
        <v>0</v>
      </c>
      <c r="BN5" s="134">
        <f>IF($B5="",0,SUMPRODUCT(-('Gastos Gerais'!$F$4:$F$3143='Gastos das Atividades'!$B5),-('Gastos das Atividades'!BN$3&gt;='Gastos Gerais'!$D$4:$D$3143),-('Gastos das Atividades'!BN$3&lt;='Gastos Gerais'!$E$4:$E$3143),-('Gastos Gerais'!$C$4:$C$3143)))</f>
        <v>0</v>
      </c>
      <c r="BO5" s="134">
        <f>IF($B5="",0,SUMPRODUCT(-('Gastos Gerais'!$F$4:$F$3143='Gastos das Atividades'!$B5),-('Gastos das Atividades'!BO$3&gt;='Gastos Gerais'!$D$4:$D$3143),-('Gastos das Atividades'!BO$3&lt;='Gastos Gerais'!$E$4:$E$3143),-('Gastos Gerais'!$C$4:$C$3143)))</f>
        <v>0</v>
      </c>
      <c r="BP5" s="134">
        <f>IF($B5="",0,SUMPRODUCT(-('Gastos Gerais'!$F$4:$F$3143='Gastos das Atividades'!$B5),-('Gastos das Atividades'!BP$3&gt;='Gastos Gerais'!$D$4:$D$3143),-('Gastos das Atividades'!BP$3&lt;='Gastos Gerais'!$E$4:$E$3143),-('Gastos Gerais'!$C$4:$C$3143)))</f>
        <v>0</v>
      </c>
      <c r="BQ5" s="134">
        <f>IF($B5="",0,SUMPRODUCT(-('Gastos Gerais'!$F$4:$F$3143='Gastos das Atividades'!$B5),-('Gastos das Atividades'!BQ$3&gt;='Gastos Gerais'!$D$4:$D$3143),-('Gastos das Atividades'!BQ$3&lt;='Gastos Gerais'!$E$4:$E$3143),-('Gastos Gerais'!$C$4:$C$3143)))</f>
        <v>0</v>
      </c>
      <c r="BR5" s="134">
        <f>IF($B5="",0,SUMPRODUCT(-('Gastos Gerais'!$F$4:$F$3143='Gastos das Atividades'!$B5),-('Gastos das Atividades'!BR$3&gt;='Gastos Gerais'!$D$4:$D$3143),-('Gastos das Atividades'!BR$3&lt;='Gastos Gerais'!$E$4:$E$3143),-('Gastos Gerais'!$C$4:$C$3143)))</f>
        <v>0</v>
      </c>
      <c r="BS5" s="134">
        <f>IF($B5="",0,SUMPRODUCT(-('Gastos Gerais'!$F$4:$F$3143='Gastos das Atividades'!$B5),-('Gastos das Atividades'!BS$3&gt;='Gastos Gerais'!$D$4:$D$3143),-('Gastos das Atividades'!BS$3&lt;='Gastos Gerais'!$E$4:$E$3143),-('Gastos Gerais'!$C$4:$C$3143)))</f>
        <v>0</v>
      </c>
      <c r="BT5" s="134">
        <f>IF($B5="",0,SUMPRODUCT(-('Gastos Gerais'!$F$4:$F$3143='Gastos das Atividades'!$B5),-('Gastos das Atividades'!BT$3&gt;='Gastos Gerais'!$D$4:$D$3143),-('Gastos das Atividades'!BT$3&lt;='Gastos Gerais'!$E$4:$E$3143),-('Gastos Gerais'!$C$4:$C$3143)))</f>
        <v>0</v>
      </c>
      <c r="BU5" s="134">
        <f>IF($B5="",0,SUMPRODUCT(-('Gastos Gerais'!$F$4:$F$3143='Gastos das Atividades'!$B5),-('Gastos das Atividades'!BU$3&gt;='Gastos Gerais'!$D$4:$D$3143),-('Gastos das Atividades'!BU$3&lt;='Gastos Gerais'!$E$4:$E$3143),-('Gastos Gerais'!$C$4:$C$3143)))</f>
        <v>0</v>
      </c>
      <c r="BV5" s="134">
        <f>IF($B5="",0,SUMPRODUCT(-('Gastos Gerais'!$F$4:$F$3143='Gastos das Atividades'!$B5),-('Gastos das Atividades'!BV$3&gt;='Gastos Gerais'!$D$4:$D$3143),-('Gastos das Atividades'!BV$3&lt;='Gastos Gerais'!$E$4:$E$3143),-('Gastos Gerais'!$C$4:$C$3143)))</f>
        <v>0</v>
      </c>
      <c r="BW5" s="134">
        <f>IF($B5="",0,SUMPRODUCT(-('Gastos Gerais'!$F$4:$F$3143='Gastos das Atividades'!$B5),-('Gastos das Atividades'!BW$3&gt;='Gastos Gerais'!$D$4:$D$3143),-('Gastos das Atividades'!BW$3&lt;='Gastos Gerais'!$E$4:$E$3143),-('Gastos Gerais'!$C$4:$C$3143)))</f>
        <v>0</v>
      </c>
    </row>
    <row r="6" spans="1:76">
      <c r="A6" s="138">
        <v>3</v>
      </c>
      <c r="B6" s="139" t="s">
        <v>599</v>
      </c>
      <c r="C6" s="132">
        <v>0</v>
      </c>
      <c r="D6" s="133">
        <f t="shared" si="0"/>
        <v>931156.18776000012</v>
      </c>
      <c r="E6" s="134">
        <f t="shared" si="1"/>
        <v>932238.04000000015</v>
      </c>
      <c r="F6" s="134">
        <f t="shared" si="1"/>
        <v>939990.24000000011</v>
      </c>
      <c r="G6" s="134">
        <f t="shared" si="1"/>
        <v>489809</v>
      </c>
      <c r="H6" s="134">
        <f t="shared" si="1"/>
        <v>0</v>
      </c>
      <c r="I6" s="135">
        <f t="shared" si="2"/>
        <v>3293193.4677599994</v>
      </c>
      <c r="J6" s="136">
        <f t="shared" si="3"/>
        <v>1.2870241900161348E-2</v>
      </c>
      <c r="K6" s="136">
        <f t="shared" si="4"/>
        <v>1.28851950307017E-2</v>
      </c>
      <c r="L6" s="136">
        <f t="shared" si="5"/>
        <v>1.2992344282964571E-2</v>
      </c>
      <c r="M6" s="136">
        <f t="shared" si="6"/>
        <v>6.7700353579145597E-3</v>
      </c>
      <c r="N6" s="136">
        <f t="shared" si="7"/>
        <v>0</v>
      </c>
      <c r="O6" s="137">
        <f t="shared" si="8"/>
        <v>4.5517816571742163E-2</v>
      </c>
      <c r="P6" s="134">
        <f>IF($B6="",0,SUMPRODUCT(-('Gastos Gerais'!$F$4:$F$3143='Gastos das Atividades'!$B6),-('Gastos das Atividades'!P$3&gt;='Gastos Gerais'!$D$4:$D$3143),-('Gastos das Atividades'!P$3&lt;='Gastos Gerais'!$E$4:$E$3143),-('Gastos Gerais'!$C$4:$C$3143)))</f>
        <v>79959.34898000001</v>
      </c>
      <c r="Q6" s="134">
        <f>IF($B6="",0,SUMPRODUCT(-('Gastos Gerais'!$F$4:$F$3143='Gastos das Atividades'!$B6),-('Gastos das Atividades'!Q$3&gt;='Gastos Gerais'!$D$4:$D$3143),-('Gastos das Atividades'!Q$3&lt;='Gastos Gerais'!$E$4:$E$3143),-('Gastos Gerais'!$C$4:$C$3143)))</f>
        <v>78459.34898000001</v>
      </c>
      <c r="R6" s="134">
        <f>IF($B6="",0,SUMPRODUCT(-('Gastos Gerais'!$F$4:$F$3143='Gastos das Atividades'!$B6),-('Gastos das Atividades'!R$3&gt;='Gastos Gerais'!$D$4:$D$3143),-('Gastos das Atividades'!R$3&lt;='Gastos Gerais'!$E$4:$E$3143),-('Gastos Gerais'!$C$4:$C$3143)))</f>
        <v>78459.34898000001</v>
      </c>
      <c r="S6" s="134">
        <f>IF($B6="",0,SUMPRODUCT(-('Gastos Gerais'!$F$4:$F$3143='Gastos das Atividades'!$B6),-('Gastos das Atividades'!S$3&gt;='Gastos Gerais'!$D$4:$D$3143),-('Gastos das Atividades'!S$3&lt;='Gastos Gerais'!$E$4:$E$3143),-('Gastos Gerais'!$C$4:$C$3143)))</f>
        <v>79959.34898000001</v>
      </c>
      <c r="T6" s="134">
        <f>IF($B6="",0,SUMPRODUCT(-('Gastos Gerais'!$F$4:$F$3143='Gastos das Atividades'!$B6),-('Gastos das Atividades'!T$3&gt;='Gastos Gerais'!$D$4:$D$3143),-('Gastos das Atividades'!T$3&lt;='Gastos Gerais'!$E$4:$E$3143),-('Gastos Gerais'!$C$4:$C$3143)))</f>
        <v>77959.34898000001</v>
      </c>
      <c r="U6" s="134">
        <f>IF($B6="",0,SUMPRODUCT(-('Gastos Gerais'!$F$4:$F$3143='Gastos das Atividades'!$B6),-('Gastos das Atividades'!U$3&gt;='Gastos Gerais'!$D$4:$D$3143),-('Gastos das Atividades'!U$3&lt;='Gastos Gerais'!$E$4:$E$3143),-('Gastos Gerais'!$C$4:$C$3143)))</f>
        <v>77759.34898000001</v>
      </c>
      <c r="V6" s="134">
        <f>IF($B6="",0,SUMPRODUCT(-('Gastos Gerais'!$F$4:$F$3143='Gastos das Atividades'!$B6),-('Gastos das Atividades'!V$3&gt;='Gastos Gerais'!$D$4:$D$3143),-('Gastos das Atividades'!V$3&lt;='Gastos Gerais'!$E$4:$E$3143),-('Gastos Gerais'!$C$4:$C$3143)))</f>
        <v>76433.34898000001</v>
      </c>
      <c r="W6" s="134">
        <f>IF($B6="",0,SUMPRODUCT(-('Gastos Gerais'!$F$4:$F$3143='Gastos das Atividades'!$B6),-('Gastos das Atividades'!W$3&gt;='Gastos Gerais'!$D$4:$D$3143),-('Gastos das Atividades'!W$3&lt;='Gastos Gerais'!$E$4:$E$3143),-('Gastos Gerais'!$C$4:$C$3143)))</f>
        <v>76433.34898000001</v>
      </c>
      <c r="X6" s="134">
        <f>IF($B6="",0,SUMPRODUCT(-('Gastos Gerais'!$F$4:$F$3143='Gastos das Atividades'!$B6),-('Gastos das Atividades'!X$3&gt;='Gastos Gerais'!$D$4:$D$3143),-('Gastos das Atividades'!X$3&lt;='Gastos Gerais'!$E$4:$E$3143),-('Gastos Gerais'!$C$4:$C$3143)))</f>
        <v>76433.34898000001</v>
      </c>
      <c r="Y6" s="134">
        <f>IF($B6="",0,SUMPRODUCT(-('Gastos Gerais'!$F$4:$F$3143='Gastos das Atividades'!$B6),-('Gastos das Atividades'!Y$3&gt;='Gastos Gerais'!$D$4:$D$3143),-('Gastos das Atividades'!Y$3&lt;='Gastos Gerais'!$E$4:$E$3143),-('Gastos Gerais'!$C$4:$C$3143)))</f>
        <v>76433.34898000001</v>
      </c>
      <c r="Z6" s="134">
        <f>IF($B6="",0,SUMPRODUCT(-('Gastos Gerais'!$F$4:$F$3143='Gastos das Atividades'!$B6),-('Gastos das Atividades'!Z$3&gt;='Gastos Gerais'!$D$4:$D$3143),-('Gastos das Atividades'!Z$3&lt;='Gastos Gerais'!$E$4:$E$3143),-('Gastos Gerais'!$C$4:$C$3143)))</f>
        <v>76433.34898000001</v>
      </c>
      <c r="AA6" s="134">
        <f>IF($B6="",0,SUMPRODUCT(-('Gastos Gerais'!$F$4:$F$3143='Gastos das Atividades'!$B6),-('Gastos das Atividades'!AA$3&gt;='Gastos Gerais'!$D$4:$D$3143),-('Gastos das Atividades'!AA$3&lt;='Gastos Gerais'!$E$4:$E$3143),-('Gastos Gerais'!$C$4:$C$3143)))</f>
        <v>76433.34898000001</v>
      </c>
      <c r="AB6" s="134">
        <f>IF($B6="",0,SUMPRODUCT(-('Gastos Gerais'!$F$4:$F$3143='Gastos das Atividades'!$B6),-('Gastos das Atividades'!AB$3&gt;='Gastos Gerais'!$D$4:$D$3143),-('Gastos das Atividades'!AB$3&lt;='Gastos Gerais'!$E$4:$E$3143),-('Gastos Gerais'!$C$4:$C$3143)))</f>
        <v>80216.17</v>
      </c>
      <c r="AC6" s="134">
        <f>IF($B6="",0,SUMPRODUCT(-('Gastos Gerais'!$F$4:$F$3143='Gastos das Atividades'!$B6),-('Gastos das Atividades'!AC$3&gt;='Gastos Gerais'!$D$4:$D$3143),-('Gastos das Atividades'!AC$3&lt;='Gastos Gerais'!$E$4:$E$3143),-('Gastos Gerais'!$C$4:$C$3143)))</f>
        <v>78716.17</v>
      </c>
      <c r="AD6" s="134">
        <f>IF($B6="",0,SUMPRODUCT(-('Gastos Gerais'!$F$4:$F$3143='Gastos das Atividades'!$B6),-('Gastos das Atividades'!AD$3&gt;='Gastos Gerais'!$D$4:$D$3143),-('Gastos das Atividades'!AD$3&lt;='Gastos Gerais'!$E$4:$E$3143),-('Gastos Gerais'!$C$4:$C$3143)))</f>
        <v>78716.17</v>
      </c>
      <c r="AE6" s="134">
        <f>IF($B6="",0,SUMPRODUCT(-('Gastos Gerais'!$F$4:$F$3143='Gastos das Atividades'!$B6),-('Gastos das Atividades'!AE$3&gt;='Gastos Gerais'!$D$4:$D$3143),-('Gastos das Atividades'!AE$3&lt;='Gastos Gerais'!$E$4:$E$3143),-('Gastos Gerais'!$C$4:$C$3143)))</f>
        <v>78216.17</v>
      </c>
      <c r="AF6" s="134">
        <f>IF($B6="",0,SUMPRODUCT(-('Gastos Gerais'!$F$4:$F$3143='Gastos das Atividades'!$B6),-('Gastos das Atividades'!AF$3&gt;='Gastos Gerais'!$D$4:$D$3143),-('Gastos das Atividades'!AF$3&lt;='Gastos Gerais'!$E$4:$E$3143),-('Gastos Gerais'!$C$4:$C$3143)))</f>
        <v>78216.17</v>
      </c>
      <c r="AG6" s="134">
        <f>IF($B6="",0,SUMPRODUCT(-('Gastos Gerais'!$F$4:$F$3143='Gastos das Atividades'!$B6),-('Gastos das Atividades'!AG$3&gt;='Gastos Gerais'!$D$4:$D$3143),-('Gastos das Atividades'!AG$3&lt;='Gastos Gerais'!$E$4:$E$3143),-('Gastos Gerais'!$C$4:$C$3143)))</f>
        <v>78016.17</v>
      </c>
      <c r="AH6" s="134">
        <f>IF($B6="",0,SUMPRODUCT(-('Gastos Gerais'!$F$4:$F$3143='Gastos das Atividades'!$B6),-('Gastos das Atividades'!AH$3&gt;='Gastos Gerais'!$D$4:$D$3143),-('Gastos das Atividades'!AH$3&lt;='Gastos Gerais'!$E$4:$E$3143),-('Gastos Gerais'!$C$4:$C$3143)))</f>
        <v>76690.17</v>
      </c>
      <c r="AI6" s="134">
        <f>IF($B6="",0,SUMPRODUCT(-('Gastos Gerais'!$F$4:$F$3143='Gastos das Atividades'!$B6),-('Gastos das Atividades'!AI$3&gt;='Gastos Gerais'!$D$4:$D$3143),-('Gastos das Atividades'!AI$3&lt;='Gastos Gerais'!$E$4:$E$3143),-('Gastos Gerais'!$C$4:$C$3143)))</f>
        <v>76690.17</v>
      </c>
      <c r="AJ6" s="134">
        <f>IF($B6="",0,SUMPRODUCT(-('Gastos Gerais'!$F$4:$F$3143='Gastos das Atividades'!$B6),-('Gastos das Atividades'!AJ$3&gt;='Gastos Gerais'!$D$4:$D$3143),-('Gastos das Atividades'!AJ$3&lt;='Gastos Gerais'!$E$4:$E$3143),-('Gastos Gerais'!$C$4:$C$3143)))</f>
        <v>76690.17</v>
      </c>
      <c r="AK6" s="134">
        <f>IF($B6="",0,SUMPRODUCT(-('Gastos Gerais'!$F$4:$F$3143='Gastos das Atividades'!$B6),-('Gastos das Atividades'!AK$3&gt;='Gastos Gerais'!$D$4:$D$3143),-('Gastos das Atividades'!AK$3&lt;='Gastos Gerais'!$E$4:$E$3143),-('Gastos Gerais'!$C$4:$C$3143)))</f>
        <v>76690.17</v>
      </c>
      <c r="AL6" s="134">
        <f>IF($B6="",0,SUMPRODUCT(-('Gastos Gerais'!$F$4:$F$3143='Gastos das Atividades'!$B6),-('Gastos das Atividades'!AL$3&gt;='Gastos Gerais'!$D$4:$D$3143),-('Gastos das Atividades'!AL$3&lt;='Gastos Gerais'!$E$4:$E$3143),-('Gastos Gerais'!$C$4:$C$3143)))</f>
        <v>76690.17</v>
      </c>
      <c r="AM6" s="134">
        <f>IF($B6="",0,SUMPRODUCT(-('Gastos Gerais'!$F$4:$F$3143='Gastos das Atividades'!$B6),-('Gastos das Atividades'!AM$3&gt;='Gastos Gerais'!$D$4:$D$3143),-('Gastos das Atividades'!AM$3&lt;='Gastos Gerais'!$E$4:$E$3143),-('Gastos Gerais'!$C$4:$C$3143)))</f>
        <v>76690.17</v>
      </c>
      <c r="AN6" s="134">
        <f>IF($B6="",0,SUMPRODUCT(-('Gastos Gerais'!$F$4:$F$3143='Gastos das Atividades'!$B6),-('Gastos das Atividades'!AN$3&gt;='Gastos Gerais'!$D$4:$D$3143),-('Gastos das Atividades'!AN$3&lt;='Gastos Gerais'!$E$4:$E$3143),-('Gastos Gerais'!$C$4:$C$3143)))</f>
        <v>80695.520000000004</v>
      </c>
      <c r="AO6" s="134">
        <f>IF($B6="",0,SUMPRODUCT(-('Gastos Gerais'!$F$4:$F$3143='Gastos das Atividades'!$B6),-('Gastos das Atividades'!AO$3&gt;='Gastos Gerais'!$D$4:$D$3143),-('Gastos das Atividades'!AO$3&lt;='Gastos Gerais'!$E$4:$E$3143),-('Gastos Gerais'!$C$4:$C$3143)))</f>
        <v>81195.520000000004</v>
      </c>
      <c r="AP6" s="134">
        <f>IF($B6="",0,SUMPRODUCT(-('Gastos Gerais'!$F$4:$F$3143='Gastos das Atividades'!$B6),-('Gastos das Atividades'!AP$3&gt;='Gastos Gerais'!$D$4:$D$3143),-('Gastos das Atividades'!AP$3&lt;='Gastos Gerais'!$E$4:$E$3143),-('Gastos Gerais'!$C$4:$C$3143)))</f>
        <v>79195.520000000004</v>
      </c>
      <c r="AQ6" s="134">
        <f>IF($B6="",0,SUMPRODUCT(-('Gastos Gerais'!$F$4:$F$3143='Gastos das Atividades'!$B6),-('Gastos das Atividades'!AQ$3&gt;='Gastos Gerais'!$D$4:$D$3143),-('Gastos das Atividades'!AQ$3&lt;='Gastos Gerais'!$E$4:$E$3143),-('Gastos Gerais'!$C$4:$C$3143)))</f>
        <v>78695.520000000004</v>
      </c>
      <c r="AR6" s="134">
        <f>IF($B6="",0,SUMPRODUCT(-('Gastos Gerais'!$F$4:$F$3143='Gastos das Atividades'!$B6),-('Gastos das Atividades'!AR$3&gt;='Gastos Gerais'!$D$4:$D$3143),-('Gastos das Atividades'!AR$3&lt;='Gastos Gerais'!$E$4:$E$3143),-('Gastos Gerais'!$C$4:$C$3143)))</f>
        <v>78695.520000000004</v>
      </c>
      <c r="AS6" s="134">
        <f>IF($B6="",0,SUMPRODUCT(-('Gastos Gerais'!$F$4:$F$3143='Gastos das Atividades'!$B6),-('Gastos das Atividades'!AS$3&gt;='Gastos Gerais'!$D$4:$D$3143),-('Gastos das Atividades'!AS$3&lt;='Gastos Gerais'!$E$4:$E$3143),-('Gastos Gerais'!$C$4:$C$3143)))</f>
        <v>78495.520000000004</v>
      </c>
      <c r="AT6" s="134">
        <f>IF($B6="",0,SUMPRODUCT(-('Gastos Gerais'!$F$4:$F$3143='Gastos das Atividades'!$B6),-('Gastos das Atividades'!AT$3&gt;='Gastos Gerais'!$D$4:$D$3143),-('Gastos das Atividades'!AT$3&lt;='Gastos Gerais'!$E$4:$E$3143),-('Gastos Gerais'!$C$4:$C$3143)))</f>
        <v>77169.52</v>
      </c>
      <c r="AU6" s="134">
        <f>IF($B6="",0,SUMPRODUCT(-('Gastos Gerais'!$F$4:$F$3143='Gastos das Atividades'!$B6),-('Gastos das Atividades'!AU$3&gt;='Gastos Gerais'!$D$4:$D$3143),-('Gastos das Atividades'!AU$3&lt;='Gastos Gerais'!$E$4:$E$3143),-('Gastos Gerais'!$C$4:$C$3143)))</f>
        <v>77169.52</v>
      </c>
      <c r="AV6" s="134">
        <f>IF($B6="",0,SUMPRODUCT(-('Gastos Gerais'!$F$4:$F$3143='Gastos das Atividades'!$B6),-('Gastos das Atividades'!AV$3&gt;='Gastos Gerais'!$D$4:$D$3143),-('Gastos das Atividades'!AV$3&lt;='Gastos Gerais'!$E$4:$E$3143),-('Gastos Gerais'!$C$4:$C$3143)))</f>
        <v>77169.52</v>
      </c>
      <c r="AW6" s="134">
        <f>IF($B6="",0,SUMPRODUCT(-('Gastos Gerais'!$F$4:$F$3143='Gastos das Atividades'!$B6),-('Gastos das Atividades'!AW$3&gt;='Gastos Gerais'!$D$4:$D$3143),-('Gastos das Atividades'!AW$3&lt;='Gastos Gerais'!$E$4:$E$3143),-('Gastos Gerais'!$C$4:$C$3143)))</f>
        <v>77169.52</v>
      </c>
      <c r="AX6" s="134">
        <f>IF($B6="",0,SUMPRODUCT(-('Gastos Gerais'!$F$4:$F$3143='Gastos das Atividades'!$B6),-('Gastos das Atividades'!AX$3&gt;='Gastos Gerais'!$D$4:$D$3143),-('Gastos das Atividades'!AX$3&lt;='Gastos Gerais'!$E$4:$E$3143),-('Gastos Gerais'!$C$4:$C$3143)))</f>
        <v>77169.52</v>
      </c>
      <c r="AY6" s="134">
        <f>IF($B6="",0,SUMPRODUCT(-('Gastos Gerais'!$F$4:$F$3143='Gastos das Atividades'!$B6),-('Gastos das Atividades'!AY$3&gt;='Gastos Gerais'!$D$4:$D$3143),-('Gastos das Atividades'!AY$3&lt;='Gastos Gerais'!$E$4:$E$3143),-('Gastos Gerais'!$C$4:$C$3143)))</f>
        <v>77169.52</v>
      </c>
      <c r="AZ6" s="134">
        <f>IF($B6="",0,SUMPRODUCT(-('Gastos Gerais'!$F$4:$F$3143='Gastos das Atividades'!$B6),-('Gastos das Atividades'!AZ$3&gt;='Gastos Gerais'!$D$4:$D$3143),-('Gastos das Atividades'!AZ$3&lt;='Gastos Gerais'!$E$4:$E$3143),-('Gastos Gerais'!$C$4:$C$3143)))</f>
        <v>46369</v>
      </c>
      <c r="BA6" s="134">
        <f>IF($B6="",0,SUMPRODUCT(-('Gastos Gerais'!$F$4:$F$3143='Gastos das Atividades'!$B6),-('Gastos das Atividades'!BA$3&gt;='Gastos Gerais'!$D$4:$D$3143),-('Gastos das Atividades'!BA$3&lt;='Gastos Gerais'!$E$4:$E$3143),-('Gastos Gerais'!$C$4:$C$3143)))</f>
        <v>45619</v>
      </c>
      <c r="BB6" s="134">
        <f>IF($B6="",0,SUMPRODUCT(-('Gastos Gerais'!$F$4:$F$3143='Gastos das Atividades'!$B6),-('Gastos das Atividades'!BB$3&gt;='Gastos Gerais'!$D$4:$D$3143),-('Gastos das Atividades'!BB$3&lt;='Gastos Gerais'!$E$4:$E$3143),-('Gastos Gerais'!$C$4:$C$3143)))</f>
        <v>44969</v>
      </c>
      <c r="BC6" s="134">
        <f>IF($B6="",0,SUMPRODUCT(-('Gastos Gerais'!$F$4:$F$3143='Gastos das Atividades'!$B6),-('Gastos das Atividades'!BC$3&gt;='Gastos Gerais'!$D$4:$D$3143),-('Gastos das Atividades'!BC$3&lt;='Gastos Gerais'!$E$4:$E$3143),-('Gastos Gerais'!$C$4:$C$3143)))</f>
        <v>44719</v>
      </c>
      <c r="BD6" s="134">
        <f>IF($B6="",0,SUMPRODUCT(-('Gastos Gerais'!$F$4:$F$3143='Gastos das Atividades'!$B6),-('Gastos das Atividades'!BD$3&gt;='Gastos Gerais'!$D$4:$D$3143),-('Gastos das Atividades'!BD$3&lt;='Gastos Gerais'!$E$4:$E$3143),-('Gastos Gerais'!$C$4:$C$3143)))</f>
        <v>44719</v>
      </c>
      <c r="BE6" s="134">
        <f>IF($B6="",0,SUMPRODUCT(-('Gastos Gerais'!$F$4:$F$3143='Gastos das Atividades'!$B6),-('Gastos das Atividades'!BE$3&gt;='Gastos Gerais'!$D$4:$D$3143),-('Gastos das Atividades'!BE$3&lt;='Gastos Gerais'!$E$4:$E$3143),-('Gastos Gerais'!$C$4:$C$3143)))</f>
        <v>44519</v>
      </c>
      <c r="BF6" s="134">
        <f>IF($B6="",0,SUMPRODUCT(-('Gastos Gerais'!$F$4:$F$3143='Gastos das Atividades'!$B6),-('Gastos das Atividades'!BF$3&gt;='Gastos Gerais'!$D$4:$D$3143),-('Gastos das Atividades'!BF$3&lt;='Gastos Gerais'!$E$4:$E$3143),-('Gastos Gerais'!$C$4:$C$3143)))</f>
        <v>43779</v>
      </c>
      <c r="BG6" s="134">
        <f>IF($B6="",0,SUMPRODUCT(-('Gastos Gerais'!$F$4:$F$3143='Gastos das Atividades'!$B6),-('Gastos das Atividades'!BG$3&gt;='Gastos Gerais'!$D$4:$D$3143),-('Gastos das Atividades'!BG$3&lt;='Gastos Gerais'!$E$4:$E$3143),-('Gastos Gerais'!$C$4:$C$3143)))</f>
        <v>43779</v>
      </c>
      <c r="BH6" s="134">
        <f>IF($B6="",0,SUMPRODUCT(-('Gastos Gerais'!$F$4:$F$3143='Gastos das Atividades'!$B6),-('Gastos das Atividades'!BH$3&gt;='Gastos Gerais'!$D$4:$D$3143),-('Gastos das Atividades'!BH$3&lt;='Gastos Gerais'!$E$4:$E$3143),-('Gastos Gerais'!$C$4:$C$3143)))</f>
        <v>43779</v>
      </c>
      <c r="BI6" s="134">
        <f>IF($B6="",0,SUMPRODUCT(-('Gastos Gerais'!$F$4:$F$3143='Gastos das Atividades'!$B6),-('Gastos das Atividades'!BI$3&gt;='Gastos Gerais'!$D$4:$D$3143),-('Gastos das Atividades'!BI$3&lt;='Gastos Gerais'!$E$4:$E$3143),-('Gastos Gerais'!$C$4:$C$3143)))</f>
        <v>43779</v>
      </c>
      <c r="BJ6" s="134">
        <f>IF($B6="",0,SUMPRODUCT(-('Gastos Gerais'!$F$4:$F$3143='Gastos das Atividades'!$B6),-('Gastos das Atividades'!BJ$3&gt;='Gastos Gerais'!$D$4:$D$3143),-('Gastos das Atividades'!BJ$3&lt;='Gastos Gerais'!$E$4:$E$3143),-('Gastos Gerais'!$C$4:$C$3143)))</f>
        <v>43779</v>
      </c>
      <c r="BK6" s="134">
        <f>IF($B6="",0,SUMPRODUCT(-('Gastos Gerais'!$F$4:$F$3143='Gastos das Atividades'!$B6),-('Gastos das Atividades'!BK$3&gt;='Gastos Gerais'!$D$4:$D$3143),-('Gastos das Atividades'!BK$3&lt;='Gastos Gerais'!$E$4:$E$3143),-('Gastos Gerais'!$C$4:$C$3143)))</f>
        <v>0</v>
      </c>
      <c r="BL6" s="134">
        <f>IF($B6="",0,SUMPRODUCT(-('Gastos Gerais'!$F$4:$F$3143='Gastos das Atividades'!$B6),-('Gastos das Atividades'!BL$3&gt;='Gastos Gerais'!$D$4:$D$3143),-('Gastos das Atividades'!BL$3&lt;='Gastos Gerais'!$E$4:$E$3143),-('Gastos Gerais'!$C$4:$C$3143)))</f>
        <v>0</v>
      </c>
      <c r="BM6" s="134">
        <f>IF($B6="",0,SUMPRODUCT(-('Gastos Gerais'!$F$4:$F$3143='Gastos das Atividades'!$B6),-('Gastos das Atividades'!BM$3&gt;='Gastos Gerais'!$D$4:$D$3143),-('Gastos das Atividades'!BM$3&lt;='Gastos Gerais'!$E$4:$E$3143),-('Gastos Gerais'!$C$4:$C$3143)))</f>
        <v>0</v>
      </c>
      <c r="BN6" s="134">
        <f>IF($B6="",0,SUMPRODUCT(-('Gastos Gerais'!$F$4:$F$3143='Gastos das Atividades'!$B6),-('Gastos das Atividades'!BN$3&gt;='Gastos Gerais'!$D$4:$D$3143),-('Gastos das Atividades'!BN$3&lt;='Gastos Gerais'!$E$4:$E$3143),-('Gastos Gerais'!$C$4:$C$3143)))</f>
        <v>0</v>
      </c>
      <c r="BO6" s="134">
        <f>IF($B6="",0,SUMPRODUCT(-('Gastos Gerais'!$F$4:$F$3143='Gastos das Atividades'!$B6),-('Gastos das Atividades'!BO$3&gt;='Gastos Gerais'!$D$4:$D$3143),-('Gastos das Atividades'!BO$3&lt;='Gastos Gerais'!$E$4:$E$3143),-('Gastos Gerais'!$C$4:$C$3143)))</f>
        <v>0</v>
      </c>
      <c r="BP6" s="134">
        <f>IF($B6="",0,SUMPRODUCT(-('Gastos Gerais'!$F$4:$F$3143='Gastos das Atividades'!$B6),-('Gastos das Atividades'!BP$3&gt;='Gastos Gerais'!$D$4:$D$3143),-('Gastos das Atividades'!BP$3&lt;='Gastos Gerais'!$E$4:$E$3143),-('Gastos Gerais'!$C$4:$C$3143)))</f>
        <v>0</v>
      </c>
      <c r="BQ6" s="134">
        <f>IF($B6="",0,SUMPRODUCT(-('Gastos Gerais'!$F$4:$F$3143='Gastos das Atividades'!$B6),-('Gastos das Atividades'!BQ$3&gt;='Gastos Gerais'!$D$4:$D$3143),-('Gastos das Atividades'!BQ$3&lt;='Gastos Gerais'!$E$4:$E$3143),-('Gastos Gerais'!$C$4:$C$3143)))</f>
        <v>0</v>
      </c>
      <c r="BR6" s="134">
        <f>IF($B6="",0,SUMPRODUCT(-('Gastos Gerais'!$F$4:$F$3143='Gastos das Atividades'!$B6),-('Gastos das Atividades'!BR$3&gt;='Gastos Gerais'!$D$4:$D$3143),-('Gastos das Atividades'!BR$3&lt;='Gastos Gerais'!$E$4:$E$3143),-('Gastos Gerais'!$C$4:$C$3143)))</f>
        <v>0</v>
      </c>
      <c r="BS6" s="134">
        <f>IF($B6="",0,SUMPRODUCT(-('Gastos Gerais'!$F$4:$F$3143='Gastos das Atividades'!$B6),-('Gastos das Atividades'!BS$3&gt;='Gastos Gerais'!$D$4:$D$3143),-('Gastos das Atividades'!BS$3&lt;='Gastos Gerais'!$E$4:$E$3143),-('Gastos Gerais'!$C$4:$C$3143)))</f>
        <v>0</v>
      </c>
      <c r="BT6" s="134">
        <f>IF($B6="",0,SUMPRODUCT(-('Gastos Gerais'!$F$4:$F$3143='Gastos das Atividades'!$B6),-('Gastos das Atividades'!BT$3&gt;='Gastos Gerais'!$D$4:$D$3143),-('Gastos das Atividades'!BT$3&lt;='Gastos Gerais'!$E$4:$E$3143),-('Gastos Gerais'!$C$4:$C$3143)))</f>
        <v>0</v>
      </c>
      <c r="BU6" s="134">
        <f>IF($B6="",0,SUMPRODUCT(-('Gastos Gerais'!$F$4:$F$3143='Gastos das Atividades'!$B6),-('Gastos das Atividades'!BU$3&gt;='Gastos Gerais'!$D$4:$D$3143),-('Gastos das Atividades'!BU$3&lt;='Gastos Gerais'!$E$4:$E$3143),-('Gastos Gerais'!$C$4:$C$3143)))</f>
        <v>0</v>
      </c>
      <c r="BV6" s="134">
        <f>IF($B6="",0,SUMPRODUCT(-('Gastos Gerais'!$F$4:$F$3143='Gastos das Atividades'!$B6),-('Gastos das Atividades'!BV$3&gt;='Gastos Gerais'!$D$4:$D$3143),-('Gastos das Atividades'!BV$3&lt;='Gastos Gerais'!$E$4:$E$3143),-('Gastos Gerais'!$C$4:$C$3143)))</f>
        <v>0</v>
      </c>
      <c r="BW6" s="134">
        <f>IF($B6="",0,SUMPRODUCT(-('Gastos Gerais'!$F$4:$F$3143='Gastos das Atividades'!$B6),-('Gastos das Atividades'!BW$3&gt;='Gastos Gerais'!$D$4:$D$3143),-('Gastos das Atividades'!BW$3&lt;='Gastos Gerais'!$E$4:$E$3143),-('Gastos Gerais'!$C$4:$C$3143)))</f>
        <v>0</v>
      </c>
    </row>
    <row r="7" spans="1:76">
      <c r="A7" s="138">
        <v>4</v>
      </c>
      <c r="B7" s="139" t="s">
        <v>600</v>
      </c>
      <c r="C7" s="132">
        <v>0</v>
      </c>
      <c r="D7" s="133">
        <f t="shared" si="0"/>
        <v>923661.07999999973</v>
      </c>
      <c r="E7" s="134">
        <f t="shared" si="1"/>
        <v>924780.2799999998</v>
      </c>
      <c r="F7" s="134">
        <f t="shared" si="1"/>
        <v>930265.44</v>
      </c>
      <c r="G7" s="134">
        <f t="shared" si="1"/>
        <v>442319</v>
      </c>
      <c r="H7" s="134">
        <f t="shared" si="1"/>
        <v>0</v>
      </c>
      <c r="I7" s="135">
        <f t="shared" si="2"/>
        <v>3221025.8000000003</v>
      </c>
      <c r="J7" s="136">
        <f t="shared" si="3"/>
        <v>1.2766646121915986E-2</v>
      </c>
      <c r="K7" s="136">
        <f t="shared" si="4"/>
        <v>1.2782115465216289E-2</v>
      </c>
      <c r="L7" s="136">
        <f t="shared" si="5"/>
        <v>1.285793017491705E-2</v>
      </c>
      <c r="M7" s="136">
        <f t="shared" si="6"/>
        <v>6.1136387234154745E-3</v>
      </c>
      <c r="N7" s="136">
        <f t="shared" si="7"/>
        <v>0</v>
      </c>
      <c r="O7" s="137">
        <f t="shared" si="8"/>
        <v>4.4520330485464811E-2</v>
      </c>
      <c r="P7" s="134">
        <f>IF($B7="",0,SUMPRODUCT(-('Gastos Gerais'!$F$4:$F$3143='Gastos das Atividades'!$B7),-('Gastos das Atividades'!P$3&gt;='Gastos Gerais'!$D$4:$D$3143),-('Gastos das Atividades'!P$3&lt;='Gastos Gerais'!$E$4:$E$3143),-('Gastos Gerais'!$C$4:$C$3143)))</f>
        <v>80928.09</v>
      </c>
      <c r="Q7" s="134">
        <f>IF($B7="",0,SUMPRODUCT(-('Gastos Gerais'!$F$4:$F$3143='Gastos das Atividades'!$B7),-('Gastos das Atividades'!Q$3&gt;='Gastos Gerais'!$D$4:$D$3143),-('Gastos das Atividades'!Q$3&lt;='Gastos Gerais'!$E$4:$E$3143),-('Gastos Gerais'!$C$4:$C$3143)))</f>
        <v>79928.09</v>
      </c>
      <c r="R7" s="134">
        <f>IF($B7="",0,SUMPRODUCT(-('Gastos Gerais'!$F$4:$F$3143='Gastos das Atividades'!$B7),-('Gastos das Atividades'!R$3&gt;='Gastos Gerais'!$D$4:$D$3143),-('Gastos das Atividades'!R$3&lt;='Gastos Gerais'!$E$4:$E$3143),-('Gastos Gerais'!$C$4:$C$3143)))</f>
        <v>77928.09</v>
      </c>
      <c r="S7" s="134">
        <f>IF($B7="",0,SUMPRODUCT(-('Gastos Gerais'!$F$4:$F$3143='Gastos das Atividades'!$B7),-('Gastos das Atividades'!S$3&gt;='Gastos Gerais'!$D$4:$D$3143),-('Gastos das Atividades'!S$3&lt;='Gastos Gerais'!$E$4:$E$3143),-('Gastos Gerais'!$C$4:$C$3143)))</f>
        <v>77928.09</v>
      </c>
      <c r="T7" s="134">
        <f>IF($B7="",0,SUMPRODUCT(-('Gastos Gerais'!$F$4:$F$3143='Gastos das Atividades'!$B7),-('Gastos das Atividades'!T$3&gt;='Gastos Gerais'!$D$4:$D$3143),-('Gastos das Atividades'!T$3&lt;='Gastos Gerais'!$E$4:$E$3143),-('Gastos Gerais'!$C$4:$C$3143)))</f>
        <v>76678.09</v>
      </c>
      <c r="U7" s="134">
        <f>IF($B7="",0,SUMPRODUCT(-('Gastos Gerais'!$F$4:$F$3143='Gastos das Atividades'!$B7),-('Gastos das Atividades'!U$3&gt;='Gastos Gerais'!$D$4:$D$3143),-('Gastos das Atividades'!U$3&lt;='Gastos Gerais'!$E$4:$E$3143),-('Gastos Gerais'!$C$4:$C$3143)))</f>
        <v>76478.09</v>
      </c>
      <c r="V7" s="134">
        <f>IF($B7="",0,SUMPRODUCT(-('Gastos Gerais'!$F$4:$F$3143='Gastos das Atividades'!$B7),-('Gastos das Atividades'!V$3&gt;='Gastos Gerais'!$D$4:$D$3143),-('Gastos das Atividades'!V$3&lt;='Gastos Gerais'!$E$4:$E$3143),-('Gastos Gerais'!$C$4:$C$3143)))</f>
        <v>75632.09</v>
      </c>
      <c r="W7" s="134">
        <f>IF($B7="",0,SUMPRODUCT(-('Gastos Gerais'!$F$4:$F$3143='Gastos das Atividades'!$B7),-('Gastos das Atividades'!W$3&gt;='Gastos Gerais'!$D$4:$D$3143),-('Gastos das Atividades'!W$3&lt;='Gastos Gerais'!$E$4:$E$3143),-('Gastos Gerais'!$C$4:$C$3143)))</f>
        <v>75632.09</v>
      </c>
      <c r="X7" s="134">
        <f>IF($B7="",0,SUMPRODUCT(-('Gastos Gerais'!$F$4:$F$3143='Gastos das Atividades'!$B7),-('Gastos das Atividades'!X$3&gt;='Gastos Gerais'!$D$4:$D$3143),-('Gastos das Atividades'!X$3&lt;='Gastos Gerais'!$E$4:$E$3143),-('Gastos Gerais'!$C$4:$C$3143)))</f>
        <v>75632.09</v>
      </c>
      <c r="Y7" s="134">
        <f>IF($B7="",0,SUMPRODUCT(-('Gastos Gerais'!$F$4:$F$3143='Gastos das Atividades'!$B7),-('Gastos das Atividades'!Y$3&gt;='Gastos Gerais'!$D$4:$D$3143),-('Gastos das Atividades'!Y$3&lt;='Gastos Gerais'!$E$4:$E$3143),-('Gastos Gerais'!$C$4:$C$3143)))</f>
        <v>75632.09</v>
      </c>
      <c r="Z7" s="134">
        <f>IF($B7="",0,SUMPRODUCT(-('Gastos Gerais'!$F$4:$F$3143='Gastos das Atividades'!$B7),-('Gastos das Atividades'!Z$3&gt;='Gastos Gerais'!$D$4:$D$3143),-('Gastos das Atividades'!Z$3&lt;='Gastos Gerais'!$E$4:$E$3143),-('Gastos Gerais'!$C$4:$C$3143)))</f>
        <v>75632.09</v>
      </c>
      <c r="AA7" s="134">
        <f>IF($B7="",0,SUMPRODUCT(-('Gastos Gerais'!$F$4:$F$3143='Gastos das Atividades'!$B7),-('Gastos das Atividades'!AA$3&gt;='Gastos Gerais'!$D$4:$D$3143),-('Gastos das Atividades'!AA$3&lt;='Gastos Gerais'!$E$4:$E$3143),-('Gastos Gerais'!$C$4:$C$3143)))</f>
        <v>75632.09</v>
      </c>
      <c r="AB7" s="134">
        <f>IF($B7="",0,SUMPRODUCT(-('Gastos Gerais'!$F$4:$F$3143='Gastos das Atividades'!$B7),-('Gastos das Atividades'!AB$3&gt;='Gastos Gerais'!$D$4:$D$3143),-('Gastos das Atividades'!AB$3&lt;='Gastos Gerais'!$E$4:$E$3143),-('Gastos Gerais'!$C$4:$C$3143)))</f>
        <v>81004.69</v>
      </c>
      <c r="AC7" s="134">
        <f>IF($B7="",0,SUMPRODUCT(-('Gastos Gerais'!$F$4:$F$3143='Gastos das Atividades'!$B7),-('Gastos das Atividades'!AC$3&gt;='Gastos Gerais'!$D$4:$D$3143),-('Gastos das Atividades'!AC$3&lt;='Gastos Gerais'!$E$4:$E$3143),-('Gastos Gerais'!$C$4:$C$3143)))</f>
        <v>78204.69</v>
      </c>
      <c r="AD7" s="134">
        <f>IF($B7="",0,SUMPRODUCT(-('Gastos Gerais'!$F$4:$F$3143='Gastos das Atividades'!$B7),-('Gastos das Atividades'!AD$3&gt;='Gastos Gerais'!$D$4:$D$3143),-('Gastos das Atividades'!AD$3&lt;='Gastos Gerais'!$E$4:$E$3143),-('Gastos Gerais'!$C$4:$C$3143)))</f>
        <v>78204.69</v>
      </c>
      <c r="AE7" s="134">
        <f>IF($B7="",0,SUMPRODUCT(-('Gastos Gerais'!$F$4:$F$3143='Gastos das Atividades'!$B7),-('Gastos das Atividades'!AE$3&gt;='Gastos Gerais'!$D$4:$D$3143),-('Gastos das Atividades'!AE$3&lt;='Gastos Gerais'!$E$4:$E$3143),-('Gastos Gerais'!$C$4:$C$3143)))</f>
        <v>78204.69</v>
      </c>
      <c r="AF7" s="134">
        <f>IF($B7="",0,SUMPRODUCT(-('Gastos Gerais'!$F$4:$F$3143='Gastos das Atividades'!$B7),-('Gastos das Atividades'!AF$3&gt;='Gastos Gerais'!$D$4:$D$3143),-('Gastos das Atividades'!AF$3&lt;='Gastos Gerais'!$E$4:$E$3143),-('Gastos Gerais'!$C$4:$C$3143)))</f>
        <v>76954.69</v>
      </c>
      <c r="AG7" s="134">
        <f>IF($B7="",0,SUMPRODUCT(-('Gastos Gerais'!$F$4:$F$3143='Gastos das Atividades'!$B7),-('Gastos das Atividades'!AG$3&gt;='Gastos Gerais'!$D$4:$D$3143),-('Gastos das Atividades'!AG$3&lt;='Gastos Gerais'!$E$4:$E$3143),-('Gastos Gerais'!$C$4:$C$3143)))</f>
        <v>76754.69</v>
      </c>
      <c r="AH7" s="134">
        <f>IF($B7="",0,SUMPRODUCT(-('Gastos Gerais'!$F$4:$F$3143='Gastos das Atividades'!$B7),-('Gastos das Atividades'!AH$3&gt;='Gastos Gerais'!$D$4:$D$3143),-('Gastos das Atividades'!AH$3&lt;='Gastos Gerais'!$E$4:$E$3143),-('Gastos Gerais'!$C$4:$C$3143)))</f>
        <v>75908.69</v>
      </c>
      <c r="AI7" s="134">
        <f>IF($B7="",0,SUMPRODUCT(-('Gastos Gerais'!$F$4:$F$3143='Gastos das Atividades'!$B7),-('Gastos das Atividades'!AI$3&gt;='Gastos Gerais'!$D$4:$D$3143),-('Gastos das Atividades'!AI$3&lt;='Gastos Gerais'!$E$4:$E$3143),-('Gastos Gerais'!$C$4:$C$3143)))</f>
        <v>75908.69</v>
      </c>
      <c r="AJ7" s="134">
        <f>IF($B7="",0,SUMPRODUCT(-('Gastos Gerais'!$F$4:$F$3143='Gastos das Atividades'!$B7),-('Gastos das Atividades'!AJ$3&gt;='Gastos Gerais'!$D$4:$D$3143),-('Gastos das Atividades'!AJ$3&lt;='Gastos Gerais'!$E$4:$E$3143),-('Gastos Gerais'!$C$4:$C$3143)))</f>
        <v>75908.69</v>
      </c>
      <c r="AK7" s="134">
        <f>IF($B7="",0,SUMPRODUCT(-('Gastos Gerais'!$F$4:$F$3143='Gastos das Atividades'!$B7),-('Gastos das Atividades'!AK$3&gt;='Gastos Gerais'!$D$4:$D$3143),-('Gastos das Atividades'!AK$3&lt;='Gastos Gerais'!$E$4:$E$3143),-('Gastos Gerais'!$C$4:$C$3143)))</f>
        <v>75908.69</v>
      </c>
      <c r="AL7" s="134">
        <f>IF($B7="",0,SUMPRODUCT(-('Gastos Gerais'!$F$4:$F$3143='Gastos das Atividades'!$B7),-('Gastos das Atividades'!AL$3&gt;='Gastos Gerais'!$D$4:$D$3143),-('Gastos das Atividades'!AL$3&lt;='Gastos Gerais'!$E$4:$E$3143),-('Gastos Gerais'!$C$4:$C$3143)))</f>
        <v>75908.69</v>
      </c>
      <c r="AM7" s="134">
        <f>IF($B7="",0,SUMPRODUCT(-('Gastos Gerais'!$F$4:$F$3143='Gastos das Atividades'!$B7),-('Gastos das Atividades'!AM$3&gt;='Gastos Gerais'!$D$4:$D$3143),-('Gastos das Atividades'!AM$3&lt;='Gastos Gerais'!$E$4:$E$3143),-('Gastos Gerais'!$C$4:$C$3143)))</f>
        <v>75908.69</v>
      </c>
      <c r="AN7" s="134">
        <f>IF($B7="",0,SUMPRODUCT(-('Gastos Gerais'!$F$4:$F$3143='Gastos das Atividades'!$B7),-('Gastos das Atividades'!AN$3&gt;='Gastos Gerais'!$D$4:$D$3143),-('Gastos das Atividades'!AN$3&lt;='Gastos Gerais'!$E$4:$E$3143),-('Gastos Gerais'!$C$4:$C$3143)))</f>
        <v>81295.12</v>
      </c>
      <c r="AO7" s="134">
        <f>IF($B7="",0,SUMPRODUCT(-('Gastos Gerais'!$F$4:$F$3143='Gastos das Atividades'!$B7),-('Gastos das Atividades'!AO$3&gt;='Gastos Gerais'!$D$4:$D$3143),-('Gastos das Atividades'!AO$3&lt;='Gastos Gerais'!$E$4:$E$3143),-('Gastos Gerais'!$C$4:$C$3143)))</f>
        <v>80495.12</v>
      </c>
      <c r="AP7" s="134">
        <f>IF($B7="",0,SUMPRODUCT(-('Gastos Gerais'!$F$4:$F$3143='Gastos das Atividades'!$B7),-('Gastos das Atividades'!AP$3&gt;='Gastos Gerais'!$D$4:$D$3143),-('Gastos das Atividades'!AP$3&lt;='Gastos Gerais'!$E$4:$E$3143),-('Gastos Gerais'!$C$4:$C$3143)))</f>
        <v>78495.12</v>
      </c>
      <c r="AQ7" s="134">
        <f>IF($B7="",0,SUMPRODUCT(-('Gastos Gerais'!$F$4:$F$3143='Gastos das Atividades'!$B7),-('Gastos das Atividades'!AQ$3&gt;='Gastos Gerais'!$D$4:$D$3143),-('Gastos das Atividades'!AQ$3&lt;='Gastos Gerais'!$E$4:$E$3143),-('Gastos Gerais'!$C$4:$C$3143)))</f>
        <v>78495.12</v>
      </c>
      <c r="AR7" s="134">
        <f>IF($B7="",0,SUMPRODUCT(-('Gastos Gerais'!$F$4:$F$3143='Gastos das Atividades'!$B7),-('Gastos das Atividades'!AR$3&gt;='Gastos Gerais'!$D$4:$D$3143),-('Gastos das Atividades'!AR$3&lt;='Gastos Gerais'!$E$4:$E$3143),-('Gastos Gerais'!$C$4:$C$3143)))</f>
        <v>77245.119999999995</v>
      </c>
      <c r="AS7" s="134">
        <f>IF($B7="",0,SUMPRODUCT(-('Gastos Gerais'!$F$4:$F$3143='Gastos das Atividades'!$B7),-('Gastos das Atividades'!AS$3&gt;='Gastos Gerais'!$D$4:$D$3143),-('Gastos das Atividades'!AS$3&lt;='Gastos Gerais'!$E$4:$E$3143),-('Gastos Gerais'!$C$4:$C$3143)))</f>
        <v>77045.119999999995</v>
      </c>
      <c r="AT7" s="134">
        <f>IF($B7="",0,SUMPRODUCT(-('Gastos Gerais'!$F$4:$F$3143='Gastos das Atividades'!$B7),-('Gastos das Atividades'!AT$3&gt;='Gastos Gerais'!$D$4:$D$3143),-('Gastos das Atividades'!AT$3&lt;='Gastos Gerais'!$E$4:$E$3143),-('Gastos Gerais'!$C$4:$C$3143)))</f>
        <v>76199.12</v>
      </c>
      <c r="AU7" s="134">
        <f>IF($B7="",0,SUMPRODUCT(-('Gastos Gerais'!$F$4:$F$3143='Gastos das Atividades'!$B7),-('Gastos das Atividades'!AU$3&gt;='Gastos Gerais'!$D$4:$D$3143),-('Gastos das Atividades'!AU$3&lt;='Gastos Gerais'!$E$4:$E$3143),-('Gastos Gerais'!$C$4:$C$3143)))</f>
        <v>76199.12</v>
      </c>
      <c r="AV7" s="134">
        <f>IF($B7="",0,SUMPRODUCT(-('Gastos Gerais'!$F$4:$F$3143='Gastos das Atividades'!$B7),-('Gastos das Atividades'!AV$3&gt;='Gastos Gerais'!$D$4:$D$3143),-('Gastos das Atividades'!AV$3&lt;='Gastos Gerais'!$E$4:$E$3143),-('Gastos Gerais'!$C$4:$C$3143)))</f>
        <v>76199.12</v>
      </c>
      <c r="AW7" s="134">
        <f>IF($B7="",0,SUMPRODUCT(-('Gastos Gerais'!$F$4:$F$3143='Gastos das Atividades'!$B7),-('Gastos das Atividades'!AW$3&gt;='Gastos Gerais'!$D$4:$D$3143),-('Gastos das Atividades'!AW$3&lt;='Gastos Gerais'!$E$4:$E$3143),-('Gastos Gerais'!$C$4:$C$3143)))</f>
        <v>76199.12</v>
      </c>
      <c r="AX7" s="134">
        <f>IF($B7="",0,SUMPRODUCT(-('Gastos Gerais'!$F$4:$F$3143='Gastos das Atividades'!$B7),-('Gastos das Atividades'!AX$3&gt;='Gastos Gerais'!$D$4:$D$3143),-('Gastos das Atividades'!AX$3&lt;='Gastos Gerais'!$E$4:$E$3143),-('Gastos Gerais'!$C$4:$C$3143)))</f>
        <v>76199.12</v>
      </c>
      <c r="AY7" s="134">
        <f>IF($B7="",0,SUMPRODUCT(-('Gastos Gerais'!$F$4:$F$3143='Gastos das Atividades'!$B7),-('Gastos das Atividades'!AY$3&gt;='Gastos Gerais'!$D$4:$D$3143),-('Gastos das Atividades'!AY$3&lt;='Gastos Gerais'!$E$4:$E$3143),-('Gastos Gerais'!$C$4:$C$3143)))</f>
        <v>76199.12</v>
      </c>
      <c r="AZ7" s="134">
        <f>IF($B7="",0,SUMPRODUCT(-('Gastos Gerais'!$F$4:$F$3143='Gastos das Atividades'!$B7),-('Gastos das Atividades'!AZ$3&gt;='Gastos Gerais'!$D$4:$D$3143),-('Gastos das Atividades'!AZ$3&lt;='Gastos Gerais'!$E$4:$E$3143),-('Gastos Gerais'!$C$4:$C$3143)))</f>
        <v>42939</v>
      </c>
      <c r="BA7" s="134">
        <f>IF($B7="",0,SUMPRODUCT(-('Gastos Gerais'!$F$4:$F$3143='Gastos das Atividades'!$B7),-('Gastos das Atividades'!BA$3&gt;='Gastos Gerais'!$D$4:$D$3143),-('Gastos das Atividades'!BA$3&lt;='Gastos Gerais'!$E$4:$E$3143),-('Gastos Gerais'!$C$4:$C$3143)))</f>
        <v>41439</v>
      </c>
      <c r="BB7" s="134">
        <f>IF($B7="",0,SUMPRODUCT(-('Gastos Gerais'!$F$4:$F$3143='Gastos das Atividades'!$B7),-('Gastos das Atividades'!BB$3&gt;='Gastos Gerais'!$D$4:$D$3143),-('Gastos das Atividades'!BB$3&lt;='Gastos Gerais'!$E$4:$E$3143),-('Gastos Gerais'!$C$4:$C$3143)))</f>
        <v>40789</v>
      </c>
      <c r="BC7" s="134">
        <f>IF($B7="",0,SUMPRODUCT(-('Gastos Gerais'!$F$4:$F$3143='Gastos das Atividades'!$B7),-('Gastos das Atividades'!BC$3&gt;='Gastos Gerais'!$D$4:$D$3143),-('Gastos das Atividades'!BC$3&lt;='Gastos Gerais'!$E$4:$E$3143),-('Gastos Gerais'!$C$4:$C$3143)))</f>
        <v>40789</v>
      </c>
      <c r="BD7" s="134">
        <f>IF($B7="",0,SUMPRODUCT(-('Gastos Gerais'!$F$4:$F$3143='Gastos das Atividades'!$B7),-('Gastos das Atividades'!BD$3&gt;='Gastos Gerais'!$D$4:$D$3143),-('Gastos das Atividades'!BD$3&lt;='Gastos Gerais'!$E$4:$E$3143),-('Gastos Gerais'!$C$4:$C$3143)))</f>
        <v>40009</v>
      </c>
      <c r="BE7" s="134">
        <f>IF($B7="",0,SUMPRODUCT(-('Gastos Gerais'!$F$4:$F$3143='Gastos das Atividades'!$B7),-('Gastos das Atividades'!BE$3&gt;='Gastos Gerais'!$D$4:$D$3143),-('Gastos das Atividades'!BE$3&lt;='Gastos Gerais'!$E$4:$E$3143),-('Gastos Gerais'!$C$4:$C$3143)))</f>
        <v>39809</v>
      </c>
      <c r="BF7" s="134">
        <f>IF($B7="",0,SUMPRODUCT(-('Gastos Gerais'!$F$4:$F$3143='Gastos das Atividades'!$B7),-('Gastos das Atividades'!BF$3&gt;='Gastos Gerais'!$D$4:$D$3143),-('Gastos das Atividades'!BF$3&lt;='Gastos Gerais'!$E$4:$E$3143),-('Gastos Gerais'!$C$4:$C$3143)))</f>
        <v>39309</v>
      </c>
      <c r="BG7" s="134">
        <f>IF($B7="",0,SUMPRODUCT(-('Gastos Gerais'!$F$4:$F$3143='Gastos das Atividades'!$B7),-('Gastos das Atividades'!BG$3&gt;='Gastos Gerais'!$D$4:$D$3143),-('Gastos das Atividades'!BG$3&lt;='Gastos Gerais'!$E$4:$E$3143),-('Gastos Gerais'!$C$4:$C$3143)))</f>
        <v>39309</v>
      </c>
      <c r="BH7" s="134">
        <f>IF($B7="",0,SUMPRODUCT(-('Gastos Gerais'!$F$4:$F$3143='Gastos das Atividades'!$B7),-('Gastos das Atividades'!BH$3&gt;='Gastos Gerais'!$D$4:$D$3143),-('Gastos das Atividades'!BH$3&lt;='Gastos Gerais'!$E$4:$E$3143),-('Gastos Gerais'!$C$4:$C$3143)))</f>
        <v>39309</v>
      </c>
      <c r="BI7" s="134">
        <f>IF($B7="",0,SUMPRODUCT(-('Gastos Gerais'!$F$4:$F$3143='Gastos das Atividades'!$B7),-('Gastos das Atividades'!BI$3&gt;='Gastos Gerais'!$D$4:$D$3143),-('Gastos das Atividades'!BI$3&lt;='Gastos Gerais'!$E$4:$E$3143),-('Gastos Gerais'!$C$4:$C$3143)))</f>
        <v>39309</v>
      </c>
      <c r="BJ7" s="134">
        <f>IF($B7="",0,SUMPRODUCT(-('Gastos Gerais'!$F$4:$F$3143='Gastos das Atividades'!$B7),-('Gastos das Atividades'!BJ$3&gt;='Gastos Gerais'!$D$4:$D$3143),-('Gastos das Atividades'!BJ$3&lt;='Gastos Gerais'!$E$4:$E$3143),-('Gastos Gerais'!$C$4:$C$3143)))</f>
        <v>39309</v>
      </c>
      <c r="BK7" s="134">
        <f>IF($B7="",0,SUMPRODUCT(-('Gastos Gerais'!$F$4:$F$3143='Gastos das Atividades'!$B7),-('Gastos das Atividades'!BK$3&gt;='Gastos Gerais'!$D$4:$D$3143),-('Gastos das Atividades'!BK$3&lt;='Gastos Gerais'!$E$4:$E$3143),-('Gastos Gerais'!$C$4:$C$3143)))</f>
        <v>0</v>
      </c>
      <c r="BL7" s="134">
        <f>IF($B7="",0,SUMPRODUCT(-('Gastos Gerais'!$F$4:$F$3143='Gastos das Atividades'!$B7),-('Gastos das Atividades'!BL$3&gt;='Gastos Gerais'!$D$4:$D$3143),-('Gastos das Atividades'!BL$3&lt;='Gastos Gerais'!$E$4:$E$3143),-('Gastos Gerais'!$C$4:$C$3143)))</f>
        <v>0</v>
      </c>
      <c r="BM7" s="134">
        <f>IF($B7="",0,SUMPRODUCT(-('Gastos Gerais'!$F$4:$F$3143='Gastos das Atividades'!$B7),-('Gastos das Atividades'!BM$3&gt;='Gastos Gerais'!$D$4:$D$3143),-('Gastos das Atividades'!BM$3&lt;='Gastos Gerais'!$E$4:$E$3143),-('Gastos Gerais'!$C$4:$C$3143)))</f>
        <v>0</v>
      </c>
      <c r="BN7" s="134">
        <f>IF($B7="",0,SUMPRODUCT(-('Gastos Gerais'!$F$4:$F$3143='Gastos das Atividades'!$B7),-('Gastos das Atividades'!BN$3&gt;='Gastos Gerais'!$D$4:$D$3143),-('Gastos das Atividades'!BN$3&lt;='Gastos Gerais'!$E$4:$E$3143),-('Gastos Gerais'!$C$4:$C$3143)))</f>
        <v>0</v>
      </c>
      <c r="BO7" s="134">
        <f>IF($B7="",0,SUMPRODUCT(-('Gastos Gerais'!$F$4:$F$3143='Gastos das Atividades'!$B7),-('Gastos das Atividades'!BO$3&gt;='Gastos Gerais'!$D$4:$D$3143),-('Gastos das Atividades'!BO$3&lt;='Gastos Gerais'!$E$4:$E$3143),-('Gastos Gerais'!$C$4:$C$3143)))</f>
        <v>0</v>
      </c>
      <c r="BP7" s="134">
        <f>IF($B7="",0,SUMPRODUCT(-('Gastos Gerais'!$F$4:$F$3143='Gastos das Atividades'!$B7),-('Gastos das Atividades'!BP$3&gt;='Gastos Gerais'!$D$4:$D$3143),-('Gastos das Atividades'!BP$3&lt;='Gastos Gerais'!$E$4:$E$3143),-('Gastos Gerais'!$C$4:$C$3143)))</f>
        <v>0</v>
      </c>
      <c r="BQ7" s="134">
        <f>IF($B7="",0,SUMPRODUCT(-('Gastos Gerais'!$F$4:$F$3143='Gastos das Atividades'!$B7),-('Gastos das Atividades'!BQ$3&gt;='Gastos Gerais'!$D$4:$D$3143),-('Gastos das Atividades'!BQ$3&lt;='Gastos Gerais'!$E$4:$E$3143),-('Gastos Gerais'!$C$4:$C$3143)))</f>
        <v>0</v>
      </c>
      <c r="BR7" s="134">
        <f>IF($B7="",0,SUMPRODUCT(-('Gastos Gerais'!$F$4:$F$3143='Gastos das Atividades'!$B7),-('Gastos das Atividades'!BR$3&gt;='Gastos Gerais'!$D$4:$D$3143),-('Gastos das Atividades'!BR$3&lt;='Gastos Gerais'!$E$4:$E$3143),-('Gastos Gerais'!$C$4:$C$3143)))</f>
        <v>0</v>
      </c>
      <c r="BS7" s="134">
        <f>IF($B7="",0,SUMPRODUCT(-('Gastos Gerais'!$F$4:$F$3143='Gastos das Atividades'!$B7),-('Gastos das Atividades'!BS$3&gt;='Gastos Gerais'!$D$4:$D$3143),-('Gastos das Atividades'!BS$3&lt;='Gastos Gerais'!$E$4:$E$3143),-('Gastos Gerais'!$C$4:$C$3143)))</f>
        <v>0</v>
      </c>
      <c r="BT7" s="134">
        <f>IF($B7="",0,SUMPRODUCT(-('Gastos Gerais'!$F$4:$F$3143='Gastos das Atividades'!$B7),-('Gastos das Atividades'!BT$3&gt;='Gastos Gerais'!$D$4:$D$3143),-('Gastos das Atividades'!BT$3&lt;='Gastos Gerais'!$E$4:$E$3143),-('Gastos Gerais'!$C$4:$C$3143)))</f>
        <v>0</v>
      </c>
      <c r="BU7" s="134">
        <f>IF($B7="",0,SUMPRODUCT(-('Gastos Gerais'!$F$4:$F$3143='Gastos das Atividades'!$B7),-('Gastos das Atividades'!BU$3&gt;='Gastos Gerais'!$D$4:$D$3143),-('Gastos das Atividades'!BU$3&lt;='Gastos Gerais'!$E$4:$E$3143),-('Gastos Gerais'!$C$4:$C$3143)))</f>
        <v>0</v>
      </c>
      <c r="BV7" s="134">
        <f>IF($B7="",0,SUMPRODUCT(-('Gastos Gerais'!$F$4:$F$3143='Gastos das Atividades'!$B7),-('Gastos das Atividades'!BV$3&gt;='Gastos Gerais'!$D$4:$D$3143),-('Gastos das Atividades'!BV$3&lt;='Gastos Gerais'!$E$4:$E$3143),-('Gastos Gerais'!$C$4:$C$3143)))</f>
        <v>0</v>
      </c>
      <c r="BW7" s="134">
        <f>IF($B7="",0,SUMPRODUCT(-('Gastos Gerais'!$F$4:$F$3143='Gastos das Atividades'!$B7),-('Gastos das Atividades'!BW$3&gt;='Gastos Gerais'!$D$4:$D$3143),-('Gastos das Atividades'!BW$3&lt;='Gastos Gerais'!$E$4:$E$3143),-('Gastos Gerais'!$C$4:$C$3143)))</f>
        <v>0</v>
      </c>
    </row>
    <row r="8" spans="1:76">
      <c r="A8" s="138">
        <v>5</v>
      </c>
      <c r="B8" s="139" t="s">
        <v>601</v>
      </c>
      <c r="C8" s="132">
        <v>0</v>
      </c>
      <c r="D8" s="133">
        <f t="shared" si="0"/>
        <v>714420.68</v>
      </c>
      <c r="E8" s="134">
        <f t="shared" si="1"/>
        <v>716068.35589500004</v>
      </c>
      <c r="F8" s="134">
        <f t="shared" si="1"/>
        <v>719946.37368974974</v>
      </c>
      <c r="G8" s="134">
        <f t="shared" si="1"/>
        <v>344019</v>
      </c>
      <c r="H8" s="134">
        <f t="shared" si="1"/>
        <v>0</v>
      </c>
      <c r="I8" s="135">
        <f t="shared" si="2"/>
        <v>2494454.40958475</v>
      </c>
      <c r="J8" s="136">
        <f t="shared" si="3"/>
        <v>9.8745700140776584E-3</v>
      </c>
      <c r="K8" s="136">
        <f t="shared" si="4"/>
        <v>9.8973438382979843E-3</v>
      </c>
      <c r="L8" s="136">
        <f t="shared" si="5"/>
        <v>9.9509449717787423E-3</v>
      </c>
      <c r="M8" s="136">
        <f t="shared" si="6"/>
        <v>4.7549571236837401E-3</v>
      </c>
      <c r="N8" s="136">
        <f t="shared" si="7"/>
        <v>0</v>
      </c>
      <c r="O8" s="137">
        <f t="shared" si="8"/>
        <v>3.4477815947838129E-2</v>
      </c>
      <c r="P8" s="134">
        <f>IF($B8="",0,SUMPRODUCT(-('Gastos Gerais'!$F$4:$F$3143='Gastos das Atividades'!$B8),-('Gastos das Atividades'!P$3&gt;='Gastos Gerais'!$D$4:$D$3143),-('Gastos das Atividades'!P$3&lt;='Gastos Gerais'!$E$4:$E$3143),-('Gastos Gerais'!$C$4:$C$3143)))</f>
        <v>63025.39</v>
      </c>
      <c r="Q8" s="134">
        <f>IF($B8="",0,SUMPRODUCT(-('Gastos Gerais'!$F$4:$F$3143='Gastos das Atividades'!$B8),-('Gastos das Atividades'!Q$3&gt;='Gastos Gerais'!$D$4:$D$3143),-('Gastos das Atividades'!Q$3&lt;='Gastos Gerais'!$E$4:$E$3143),-('Gastos Gerais'!$C$4:$C$3143)))</f>
        <v>61525.39</v>
      </c>
      <c r="R8" s="134">
        <f>IF($B8="",0,SUMPRODUCT(-('Gastos Gerais'!$F$4:$F$3143='Gastos das Atividades'!$B8),-('Gastos das Atividades'!R$3&gt;='Gastos Gerais'!$D$4:$D$3143),-('Gastos das Atividades'!R$3&lt;='Gastos Gerais'!$E$4:$E$3143),-('Gastos Gerais'!$C$4:$C$3143)))</f>
        <v>61525.39</v>
      </c>
      <c r="S8" s="134">
        <f>IF($B8="",0,SUMPRODUCT(-('Gastos Gerais'!$F$4:$F$3143='Gastos das Atividades'!$B8),-('Gastos das Atividades'!S$3&gt;='Gastos Gerais'!$D$4:$D$3143),-('Gastos das Atividades'!S$3&lt;='Gastos Gerais'!$E$4:$E$3143),-('Gastos Gerais'!$C$4:$C$3143)))</f>
        <v>61525.39</v>
      </c>
      <c r="T8" s="134">
        <f>IF($B8="",0,SUMPRODUCT(-('Gastos Gerais'!$F$4:$F$3143='Gastos das Atividades'!$B8),-('Gastos das Atividades'!T$3&gt;='Gastos Gerais'!$D$4:$D$3143),-('Gastos das Atividades'!T$3&lt;='Gastos Gerais'!$E$4:$E$3143),-('Gastos Gerais'!$C$4:$C$3143)))</f>
        <v>58775.39</v>
      </c>
      <c r="U8" s="134">
        <f>IF($B8="",0,SUMPRODUCT(-('Gastos Gerais'!$F$4:$F$3143='Gastos das Atividades'!$B8),-('Gastos das Atividades'!U$3&gt;='Gastos Gerais'!$D$4:$D$3143),-('Gastos das Atividades'!U$3&lt;='Gastos Gerais'!$E$4:$E$3143),-('Gastos Gerais'!$C$4:$C$3143)))</f>
        <v>58775.39</v>
      </c>
      <c r="V8" s="134">
        <f>IF($B8="",0,SUMPRODUCT(-('Gastos Gerais'!$F$4:$F$3143='Gastos das Atividades'!$B8),-('Gastos das Atividades'!V$3&gt;='Gastos Gerais'!$D$4:$D$3143),-('Gastos das Atividades'!V$3&lt;='Gastos Gerais'!$E$4:$E$3143),-('Gastos Gerais'!$C$4:$C$3143)))</f>
        <v>57929.39</v>
      </c>
      <c r="W8" s="134">
        <f>IF($B8="",0,SUMPRODUCT(-('Gastos Gerais'!$F$4:$F$3143='Gastos das Atividades'!$B8),-('Gastos das Atividades'!W$3&gt;='Gastos Gerais'!$D$4:$D$3143),-('Gastos das Atividades'!W$3&lt;='Gastos Gerais'!$E$4:$E$3143),-('Gastos Gerais'!$C$4:$C$3143)))</f>
        <v>57929.39</v>
      </c>
      <c r="X8" s="134">
        <f>IF($B8="",0,SUMPRODUCT(-('Gastos Gerais'!$F$4:$F$3143='Gastos das Atividades'!$B8),-('Gastos das Atividades'!X$3&gt;='Gastos Gerais'!$D$4:$D$3143),-('Gastos das Atividades'!X$3&lt;='Gastos Gerais'!$E$4:$E$3143),-('Gastos Gerais'!$C$4:$C$3143)))</f>
        <v>57929.39</v>
      </c>
      <c r="Y8" s="134">
        <f>IF($B8="",0,SUMPRODUCT(-('Gastos Gerais'!$F$4:$F$3143='Gastos das Atividades'!$B8),-('Gastos das Atividades'!Y$3&gt;='Gastos Gerais'!$D$4:$D$3143),-('Gastos das Atividades'!Y$3&lt;='Gastos Gerais'!$E$4:$E$3143),-('Gastos Gerais'!$C$4:$C$3143)))</f>
        <v>57929.39</v>
      </c>
      <c r="Z8" s="134">
        <f>IF($B8="",0,SUMPRODUCT(-('Gastos Gerais'!$F$4:$F$3143='Gastos das Atividades'!$B8),-('Gastos das Atividades'!Z$3&gt;='Gastos Gerais'!$D$4:$D$3143),-('Gastos das Atividades'!Z$3&lt;='Gastos Gerais'!$E$4:$E$3143),-('Gastos Gerais'!$C$4:$C$3143)))</f>
        <v>58775.39</v>
      </c>
      <c r="AA8" s="134">
        <f>IF($B8="",0,SUMPRODUCT(-('Gastos Gerais'!$F$4:$F$3143='Gastos das Atividades'!$B8),-('Gastos das Atividades'!AA$3&gt;='Gastos Gerais'!$D$4:$D$3143),-('Gastos das Atividades'!AA$3&lt;='Gastos Gerais'!$E$4:$E$3143),-('Gastos Gerais'!$C$4:$C$3143)))</f>
        <v>58775.39</v>
      </c>
      <c r="AB8" s="134">
        <f>IF($B8="",0,SUMPRODUCT(-('Gastos Gerais'!$F$4:$F$3143='Gastos das Atividades'!$B8),-('Gastos das Atividades'!AB$3&gt;='Gastos Gerais'!$D$4:$D$3143),-('Gastos das Atividades'!AB$3&lt;='Gastos Gerais'!$E$4:$E$3143),-('Gastos Gerais'!$C$4:$C$3143)))</f>
        <v>63029.362991250004</v>
      </c>
      <c r="AC8" s="134">
        <f>IF($B8="",0,SUMPRODUCT(-('Gastos Gerais'!$F$4:$F$3143='Gastos das Atividades'!$B8),-('Gastos das Atividades'!AC$3&gt;='Gastos Gerais'!$D$4:$D$3143),-('Gastos das Atividades'!AC$3&lt;='Gastos Gerais'!$E$4:$E$3143),-('Gastos Gerais'!$C$4:$C$3143)))</f>
        <v>61529.362991250004</v>
      </c>
      <c r="AD8" s="134">
        <f>IF($B8="",0,SUMPRODUCT(-('Gastos Gerais'!$F$4:$F$3143='Gastos das Atividades'!$B8),-('Gastos das Atividades'!AD$3&gt;='Gastos Gerais'!$D$4:$D$3143),-('Gastos das Atividades'!AD$3&lt;='Gastos Gerais'!$E$4:$E$3143),-('Gastos Gerais'!$C$4:$C$3143)))</f>
        <v>61529.362991250004</v>
      </c>
      <c r="AE8" s="134">
        <f>IF($B8="",0,SUMPRODUCT(-('Gastos Gerais'!$F$4:$F$3143='Gastos das Atividades'!$B8),-('Gastos das Atividades'!AE$3&gt;='Gastos Gerais'!$D$4:$D$3143),-('Gastos das Atividades'!AE$3&lt;='Gastos Gerais'!$E$4:$E$3143),-('Gastos Gerais'!$C$4:$C$3143)))</f>
        <v>61529.362991250004</v>
      </c>
      <c r="AF8" s="134">
        <f>IF($B8="",0,SUMPRODUCT(-('Gastos Gerais'!$F$4:$F$3143='Gastos das Atividades'!$B8),-('Gastos das Atividades'!AF$3&gt;='Gastos Gerais'!$D$4:$D$3143),-('Gastos das Atividades'!AF$3&lt;='Gastos Gerais'!$E$4:$E$3143),-('Gastos Gerais'!$C$4:$C$3143)))</f>
        <v>58979.362991250004</v>
      </c>
      <c r="AG8" s="134">
        <f>IF($B8="",0,SUMPRODUCT(-('Gastos Gerais'!$F$4:$F$3143='Gastos das Atividades'!$B8),-('Gastos das Atividades'!AG$3&gt;='Gastos Gerais'!$D$4:$D$3143),-('Gastos das Atividades'!AG$3&lt;='Gastos Gerais'!$E$4:$E$3143),-('Gastos Gerais'!$C$4:$C$3143)))</f>
        <v>58979.362991250004</v>
      </c>
      <c r="AH8" s="134">
        <f>IF($B8="",0,SUMPRODUCT(-('Gastos Gerais'!$F$4:$F$3143='Gastos das Atividades'!$B8),-('Gastos das Atividades'!AH$3&gt;='Gastos Gerais'!$D$4:$D$3143),-('Gastos das Atividades'!AH$3&lt;='Gastos Gerais'!$E$4:$E$3143),-('Gastos Gerais'!$C$4:$C$3143)))</f>
        <v>58133.362991250004</v>
      </c>
      <c r="AI8" s="134">
        <f>IF($B8="",0,SUMPRODUCT(-('Gastos Gerais'!$F$4:$F$3143='Gastos das Atividades'!$B8),-('Gastos das Atividades'!AI$3&gt;='Gastos Gerais'!$D$4:$D$3143),-('Gastos das Atividades'!AI$3&lt;='Gastos Gerais'!$E$4:$E$3143),-('Gastos Gerais'!$C$4:$C$3143)))</f>
        <v>58133.362991250004</v>
      </c>
      <c r="AJ8" s="134">
        <f>IF($B8="",0,SUMPRODUCT(-('Gastos Gerais'!$F$4:$F$3143='Gastos das Atividades'!$B8),-('Gastos das Atividades'!AJ$3&gt;='Gastos Gerais'!$D$4:$D$3143),-('Gastos das Atividades'!AJ$3&lt;='Gastos Gerais'!$E$4:$E$3143),-('Gastos Gerais'!$C$4:$C$3143)))</f>
        <v>58133.362991250004</v>
      </c>
      <c r="AK8" s="134">
        <f>IF($B8="",0,SUMPRODUCT(-('Gastos Gerais'!$F$4:$F$3143='Gastos das Atividades'!$B8),-('Gastos das Atividades'!AK$3&gt;='Gastos Gerais'!$D$4:$D$3143),-('Gastos das Atividades'!AK$3&lt;='Gastos Gerais'!$E$4:$E$3143),-('Gastos Gerais'!$C$4:$C$3143)))</f>
        <v>58133.362991250004</v>
      </c>
      <c r="AL8" s="134">
        <f>IF($B8="",0,SUMPRODUCT(-('Gastos Gerais'!$F$4:$F$3143='Gastos das Atividades'!$B8),-('Gastos das Atividades'!AL$3&gt;='Gastos Gerais'!$D$4:$D$3143),-('Gastos das Atividades'!AL$3&lt;='Gastos Gerais'!$E$4:$E$3143),-('Gastos Gerais'!$C$4:$C$3143)))</f>
        <v>58979.362991250004</v>
      </c>
      <c r="AM8" s="134">
        <f>IF($B8="",0,SUMPRODUCT(-('Gastos Gerais'!$F$4:$F$3143='Gastos das Atividades'!$B8),-('Gastos das Atividades'!AM$3&gt;='Gastos Gerais'!$D$4:$D$3143),-('Gastos das Atividades'!AM$3&lt;='Gastos Gerais'!$E$4:$E$3143),-('Gastos Gerais'!$C$4:$C$3143)))</f>
        <v>58979.362991250004</v>
      </c>
      <c r="AN8" s="134">
        <f>IF($B8="",0,SUMPRODUCT(-('Gastos Gerais'!$F$4:$F$3143='Gastos das Atividades'!$B8),-('Gastos das Atividades'!AN$3&gt;='Gastos Gerais'!$D$4:$D$3143),-('Gastos das Atividades'!AN$3&lt;='Gastos Gerais'!$E$4:$E$3143),-('Gastos Gerais'!$C$4:$C$3143)))</f>
        <v>63243.531140812498</v>
      </c>
      <c r="AO8" s="134">
        <f>IF($B8="",0,SUMPRODUCT(-('Gastos Gerais'!$F$4:$F$3143='Gastos das Atividades'!$B8),-('Gastos das Atividades'!AO$3&gt;='Gastos Gerais'!$D$4:$D$3143),-('Gastos das Atividades'!AO$3&lt;='Gastos Gerais'!$E$4:$E$3143),-('Gastos Gerais'!$C$4:$C$3143)))</f>
        <v>63743.531140812498</v>
      </c>
      <c r="AP8" s="134">
        <f>IF($B8="",0,SUMPRODUCT(-('Gastos Gerais'!$F$4:$F$3143='Gastos das Atividades'!$B8),-('Gastos das Atividades'!AP$3&gt;='Gastos Gerais'!$D$4:$D$3143),-('Gastos das Atividades'!AP$3&lt;='Gastos Gerais'!$E$4:$E$3143),-('Gastos Gerais'!$C$4:$C$3143)))</f>
        <v>61743.531140812498</v>
      </c>
      <c r="AQ8" s="134">
        <f>IF($B8="",0,SUMPRODUCT(-('Gastos Gerais'!$F$4:$F$3143='Gastos das Atividades'!$B8),-('Gastos das Atividades'!AQ$3&gt;='Gastos Gerais'!$D$4:$D$3143),-('Gastos das Atividades'!AQ$3&lt;='Gastos Gerais'!$E$4:$E$3143),-('Gastos Gerais'!$C$4:$C$3143)))</f>
        <v>61743.531140812498</v>
      </c>
      <c r="AR8" s="134">
        <f>IF($B8="",0,SUMPRODUCT(-('Gastos Gerais'!$F$4:$F$3143='Gastos das Atividades'!$B8),-('Gastos das Atividades'!AR$3&gt;='Gastos Gerais'!$D$4:$D$3143),-('Gastos das Atividades'!AR$3&lt;='Gastos Gerais'!$E$4:$E$3143),-('Gastos Gerais'!$C$4:$C$3143)))</f>
        <v>59193.531140812498</v>
      </c>
      <c r="AS8" s="134">
        <f>IF($B8="",0,SUMPRODUCT(-('Gastos Gerais'!$F$4:$F$3143='Gastos das Atividades'!$B8),-('Gastos das Atividades'!AS$3&gt;='Gastos Gerais'!$D$4:$D$3143),-('Gastos das Atividades'!AS$3&lt;='Gastos Gerais'!$E$4:$E$3143),-('Gastos Gerais'!$C$4:$C$3143)))</f>
        <v>59193.531140812498</v>
      </c>
      <c r="AT8" s="134">
        <f>IF($B8="",0,SUMPRODUCT(-('Gastos Gerais'!$F$4:$F$3143='Gastos das Atividades'!$B8),-('Gastos das Atividades'!AT$3&gt;='Gastos Gerais'!$D$4:$D$3143),-('Gastos das Atividades'!AT$3&lt;='Gastos Gerais'!$E$4:$E$3143),-('Gastos Gerais'!$C$4:$C$3143)))</f>
        <v>58347.531140812498</v>
      </c>
      <c r="AU8" s="134">
        <f>IF($B8="",0,SUMPRODUCT(-('Gastos Gerais'!$F$4:$F$3143='Gastos das Atividades'!$B8),-('Gastos das Atividades'!AU$3&gt;='Gastos Gerais'!$D$4:$D$3143),-('Gastos das Atividades'!AU$3&lt;='Gastos Gerais'!$E$4:$E$3143),-('Gastos Gerais'!$C$4:$C$3143)))</f>
        <v>58347.531140812498</v>
      </c>
      <c r="AV8" s="134">
        <f>IF($B8="",0,SUMPRODUCT(-('Gastos Gerais'!$F$4:$F$3143='Gastos das Atividades'!$B8),-('Gastos das Atividades'!AV$3&gt;='Gastos Gerais'!$D$4:$D$3143),-('Gastos das Atividades'!AV$3&lt;='Gastos Gerais'!$E$4:$E$3143),-('Gastos Gerais'!$C$4:$C$3143)))</f>
        <v>58347.531140812498</v>
      </c>
      <c r="AW8" s="134">
        <f>IF($B8="",0,SUMPRODUCT(-('Gastos Gerais'!$F$4:$F$3143='Gastos das Atividades'!$B8),-('Gastos das Atividades'!AW$3&gt;='Gastos Gerais'!$D$4:$D$3143),-('Gastos das Atividades'!AW$3&lt;='Gastos Gerais'!$E$4:$E$3143),-('Gastos Gerais'!$C$4:$C$3143)))</f>
        <v>58347.531140812498</v>
      </c>
      <c r="AX8" s="134">
        <f>IF($B8="",0,SUMPRODUCT(-('Gastos Gerais'!$F$4:$F$3143='Gastos das Atividades'!$B8),-('Gastos das Atividades'!AX$3&gt;='Gastos Gerais'!$D$4:$D$3143),-('Gastos das Atividades'!AX$3&lt;='Gastos Gerais'!$E$4:$E$3143),-('Gastos Gerais'!$C$4:$C$3143)))</f>
        <v>58847.531140812498</v>
      </c>
      <c r="AY8" s="134">
        <f>IF($B8="",0,SUMPRODUCT(-('Gastos Gerais'!$F$4:$F$3143='Gastos das Atividades'!$B8),-('Gastos das Atividades'!AY$3&gt;='Gastos Gerais'!$D$4:$D$3143),-('Gastos das Atividades'!AY$3&lt;='Gastos Gerais'!$E$4:$E$3143),-('Gastos Gerais'!$C$4:$C$3143)))</f>
        <v>58847.531140812498</v>
      </c>
      <c r="AZ8" s="134">
        <f>IF($B8="",0,SUMPRODUCT(-('Gastos Gerais'!$F$4:$F$3143='Gastos das Atividades'!$B8),-('Gastos das Atividades'!AZ$3&gt;='Gastos Gerais'!$D$4:$D$3143),-('Gastos das Atividades'!AZ$3&lt;='Gastos Gerais'!$E$4:$E$3143),-('Gastos Gerais'!$C$4:$C$3143)))</f>
        <v>33689</v>
      </c>
      <c r="BA8" s="134">
        <f>IF($B8="",0,SUMPRODUCT(-('Gastos Gerais'!$F$4:$F$3143='Gastos das Atividades'!$B8),-('Gastos das Atividades'!BA$3&gt;='Gastos Gerais'!$D$4:$D$3143),-('Gastos das Atividades'!BA$3&lt;='Gastos Gerais'!$E$4:$E$3143),-('Gastos Gerais'!$C$4:$C$3143)))</f>
        <v>32939</v>
      </c>
      <c r="BB8" s="134">
        <f>IF($B8="",0,SUMPRODUCT(-('Gastos Gerais'!$F$4:$F$3143='Gastos das Atividades'!$B8),-('Gastos das Atividades'!BB$3&gt;='Gastos Gerais'!$D$4:$D$3143),-('Gastos das Atividades'!BB$3&lt;='Gastos Gerais'!$E$4:$E$3143),-('Gastos Gerais'!$C$4:$C$3143)))</f>
        <v>32289</v>
      </c>
      <c r="BC8" s="134">
        <f>IF($B8="",0,SUMPRODUCT(-('Gastos Gerais'!$F$4:$F$3143='Gastos das Atividades'!$B8),-('Gastos das Atividades'!BC$3&gt;='Gastos Gerais'!$D$4:$D$3143),-('Gastos das Atividades'!BC$3&lt;='Gastos Gerais'!$E$4:$E$3143),-('Gastos Gerais'!$C$4:$C$3143)))</f>
        <v>32289</v>
      </c>
      <c r="BD8" s="134">
        <f>IF($B8="",0,SUMPRODUCT(-('Gastos Gerais'!$F$4:$F$3143='Gastos das Atividades'!$B8),-('Gastos das Atividades'!BD$3&gt;='Gastos Gerais'!$D$4:$D$3143),-('Gastos das Atividades'!BD$3&lt;='Gastos Gerais'!$E$4:$E$3143),-('Gastos Gerais'!$C$4:$C$3143)))</f>
        <v>30759</v>
      </c>
      <c r="BE8" s="134">
        <f>IF($B8="",0,SUMPRODUCT(-('Gastos Gerais'!$F$4:$F$3143='Gastos das Atividades'!$B8),-('Gastos das Atividades'!BE$3&gt;='Gastos Gerais'!$D$4:$D$3143),-('Gastos das Atividades'!BE$3&lt;='Gastos Gerais'!$E$4:$E$3143),-('Gastos Gerais'!$C$4:$C$3143)))</f>
        <v>30759</v>
      </c>
      <c r="BF8" s="134">
        <f>IF($B8="",0,SUMPRODUCT(-('Gastos Gerais'!$F$4:$F$3143='Gastos das Atividades'!$B8),-('Gastos das Atividades'!BF$3&gt;='Gastos Gerais'!$D$4:$D$3143),-('Gastos das Atividades'!BF$3&lt;='Gastos Gerais'!$E$4:$E$3143),-('Gastos Gerais'!$C$4:$C$3143)))</f>
        <v>30259</v>
      </c>
      <c r="BG8" s="134">
        <f>IF($B8="",0,SUMPRODUCT(-('Gastos Gerais'!$F$4:$F$3143='Gastos das Atividades'!$B8),-('Gastos das Atividades'!BG$3&gt;='Gastos Gerais'!$D$4:$D$3143),-('Gastos das Atividades'!BG$3&lt;='Gastos Gerais'!$E$4:$E$3143),-('Gastos Gerais'!$C$4:$C$3143)))</f>
        <v>30259</v>
      </c>
      <c r="BH8" s="134">
        <f>IF($B8="",0,SUMPRODUCT(-('Gastos Gerais'!$F$4:$F$3143='Gastos das Atividades'!$B8),-('Gastos das Atividades'!BH$3&gt;='Gastos Gerais'!$D$4:$D$3143),-('Gastos das Atividades'!BH$3&lt;='Gastos Gerais'!$E$4:$E$3143),-('Gastos Gerais'!$C$4:$C$3143)))</f>
        <v>30259</v>
      </c>
      <c r="BI8" s="134">
        <f>IF($B8="",0,SUMPRODUCT(-('Gastos Gerais'!$F$4:$F$3143='Gastos das Atividades'!$B8),-('Gastos das Atividades'!BI$3&gt;='Gastos Gerais'!$D$4:$D$3143),-('Gastos das Atividades'!BI$3&lt;='Gastos Gerais'!$E$4:$E$3143),-('Gastos Gerais'!$C$4:$C$3143)))</f>
        <v>30259</v>
      </c>
      <c r="BJ8" s="134">
        <f>IF($B8="",0,SUMPRODUCT(-('Gastos Gerais'!$F$4:$F$3143='Gastos das Atividades'!$B8),-('Gastos das Atividades'!BJ$3&gt;='Gastos Gerais'!$D$4:$D$3143),-('Gastos das Atividades'!BJ$3&lt;='Gastos Gerais'!$E$4:$E$3143),-('Gastos Gerais'!$C$4:$C$3143)))</f>
        <v>30259</v>
      </c>
      <c r="BK8" s="134">
        <f>IF($B8="",0,SUMPRODUCT(-('Gastos Gerais'!$F$4:$F$3143='Gastos das Atividades'!$B8),-('Gastos das Atividades'!BK$3&gt;='Gastos Gerais'!$D$4:$D$3143),-('Gastos das Atividades'!BK$3&lt;='Gastos Gerais'!$E$4:$E$3143),-('Gastos Gerais'!$C$4:$C$3143)))</f>
        <v>0</v>
      </c>
      <c r="BL8" s="134">
        <f>IF($B8="",0,SUMPRODUCT(-('Gastos Gerais'!$F$4:$F$3143='Gastos das Atividades'!$B8),-('Gastos das Atividades'!BL$3&gt;='Gastos Gerais'!$D$4:$D$3143),-('Gastos das Atividades'!BL$3&lt;='Gastos Gerais'!$E$4:$E$3143),-('Gastos Gerais'!$C$4:$C$3143)))</f>
        <v>0</v>
      </c>
      <c r="BM8" s="134">
        <f>IF($B8="",0,SUMPRODUCT(-('Gastos Gerais'!$F$4:$F$3143='Gastos das Atividades'!$B8),-('Gastos das Atividades'!BM$3&gt;='Gastos Gerais'!$D$4:$D$3143),-('Gastos das Atividades'!BM$3&lt;='Gastos Gerais'!$E$4:$E$3143),-('Gastos Gerais'!$C$4:$C$3143)))</f>
        <v>0</v>
      </c>
      <c r="BN8" s="134">
        <f>IF($B8="",0,SUMPRODUCT(-('Gastos Gerais'!$F$4:$F$3143='Gastos das Atividades'!$B8),-('Gastos das Atividades'!BN$3&gt;='Gastos Gerais'!$D$4:$D$3143),-('Gastos das Atividades'!BN$3&lt;='Gastos Gerais'!$E$4:$E$3143),-('Gastos Gerais'!$C$4:$C$3143)))</f>
        <v>0</v>
      </c>
      <c r="BO8" s="134">
        <f>IF($B8="",0,SUMPRODUCT(-('Gastos Gerais'!$F$4:$F$3143='Gastos das Atividades'!$B8),-('Gastos das Atividades'!BO$3&gt;='Gastos Gerais'!$D$4:$D$3143),-('Gastos das Atividades'!BO$3&lt;='Gastos Gerais'!$E$4:$E$3143),-('Gastos Gerais'!$C$4:$C$3143)))</f>
        <v>0</v>
      </c>
      <c r="BP8" s="134">
        <f>IF($B8="",0,SUMPRODUCT(-('Gastos Gerais'!$F$4:$F$3143='Gastos das Atividades'!$B8),-('Gastos das Atividades'!BP$3&gt;='Gastos Gerais'!$D$4:$D$3143),-('Gastos das Atividades'!BP$3&lt;='Gastos Gerais'!$E$4:$E$3143),-('Gastos Gerais'!$C$4:$C$3143)))</f>
        <v>0</v>
      </c>
      <c r="BQ8" s="134">
        <f>IF($B8="",0,SUMPRODUCT(-('Gastos Gerais'!$F$4:$F$3143='Gastos das Atividades'!$B8),-('Gastos das Atividades'!BQ$3&gt;='Gastos Gerais'!$D$4:$D$3143),-('Gastos das Atividades'!BQ$3&lt;='Gastos Gerais'!$E$4:$E$3143),-('Gastos Gerais'!$C$4:$C$3143)))</f>
        <v>0</v>
      </c>
      <c r="BR8" s="134">
        <f>IF($B8="",0,SUMPRODUCT(-('Gastos Gerais'!$F$4:$F$3143='Gastos das Atividades'!$B8),-('Gastos das Atividades'!BR$3&gt;='Gastos Gerais'!$D$4:$D$3143),-('Gastos das Atividades'!BR$3&lt;='Gastos Gerais'!$E$4:$E$3143),-('Gastos Gerais'!$C$4:$C$3143)))</f>
        <v>0</v>
      </c>
      <c r="BS8" s="134">
        <f>IF($B8="",0,SUMPRODUCT(-('Gastos Gerais'!$F$4:$F$3143='Gastos das Atividades'!$B8),-('Gastos das Atividades'!BS$3&gt;='Gastos Gerais'!$D$4:$D$3143),-('Gastos das Atividades'!BS$3&lt;='Gastos Gerais'!$E$4:$E$3143),-('Gastos Gerais'!$C$4:$C$3143)))</f>
        <v>0</v>
      </c>
      <c r="BT8" s="134">
        <f>IF($B8="",0,SUMPRODUCT(-('Gastos Gerais'!$F$4:$F$3143='Gastos das Atividades'!$B8),-('Gastos das Atividades'!BT$3&gt;='Gastos Gerais'!$D$4:$D$3143),-('Gastos das Atividades'!BT$3&lt;='Gastos Gerais'!$E$4:$E$3143),-('Gastos Gerais'!$C$4:$C$3143)))</f>
        <v>0</v>
      </c>
      <c r="BU8" s="134">
        <f>IF($B8="",0,SUMPRODUCT(-('Gastos Gerais'!$F$4:$F$3143='Gastos das Atividades'!$B8),-('Gastos das Atividades'!BU$3&gt;='Gastos Gerais'!$D$4:$D$3143),-('Gastos das Atividades'!BU$3&lt;='Gastos Gerais'!$E$4:$E$3143),-('Gastos Gerais'!$C$4:$C$3143)))</f>
        <v>0</v>
      </c>
      <c r="BV8" s="134">
        <f>IF($B8="",0,SUMPRODUCT(-('Gastos Gerais'!$F$4:$F$3143='Gastos das Atividades'!$B8),-('Gastos das Atividades'!BV$3&gt;='Gastos Gerais'!$D$4:$D$3143),-('Gastos das Atividades'!BV$3&lt;='Gastos Gerais'!$E$4:$E$3143),-('Gastos Gerais'!$C$4:$C$3143)))</f>
        <v>0</v>
      </c>
      <c r="BW8" s="134">
        <f>IF($B8="",0,SUMPRODUCT(-('Gastos Gerais'!$F$4:$F$3143='Gastos das Atividades'!$B8),-('Gastos das Atividades'!BW$3&gt;='Gastos Gerais'!$D$4:$D$3143),-('Gastos das Atividades'!BW$3&lt;='Gastos Gerais'!$E$4:$E$3143),-('Gastos Gerais'!$C$4:$C$3143)))</f>
        <v>0</v>
      </c>
    </row>
    <row r="9" spans="1:76">
      <c r="A9" s="138">
        <v>6</v>
      </c>
      <c r="B9" s="139" t="s">
        <v>602</v>
      </c>
      <c r="C9" s="132">
        <v>0</v>
      </c>
      <c r="D9" s="133">
        <f t="shared" si="0"/>
        <v>863576</v>
      </c>
      <c r="E9" s="134">
        <f t="shared" si="1"/>
        <v>865296</v>
      </c>
      <c r="F9" s="134">
        <f t="shared" si="1"/>
        <v>869942</v>
      </c>
      <c r="G9" s="134">
        <f t="shared" si="1"/>
        <v>424869</v>
      </c>
      <c r="H9" s="134">
        <f t="shared" si="1"/>
        <v>0</v>
      </c>
      <c r="I9" s="135">
        <f t="shared" si="2"/>
        <v>3023683</v>
      </c>
      <c r="J9" s="136">
        <f t="shared" si="3"/>
        <v>1.1936162982400127E-2</v>
      </c>
      <c r="K9" s="136">
        <f t="shared" si="4"/>
        <v>1.1959936454948842E-2</v>
      </c>
      <c r="L9" s="136">
        <f t="shared" si="5"/>
        <v>1.20241524744031E-2</v>
      </c>
      <c r="M9" s="136">
        <f t="shared" si="6"/>
        <v>5.8724485513369524E-3</v>
      </c>
      <c r="N9" s="136">
        <f t="shared" si="7"/>
        <v>0</v>
      </c>
      <c r="O9" s="137">
        <f t="shared" si="8"/>
        <v>4.1792700463089021E-2</v>
      </c>
      <c r="P9" s="134">
        <f>IF($B9="",0,SUMPRODUCT(-('Gastos Gerais'!$F$4:$F$3143='Gastos das Atividades'!$B9),-('Gastos das Atividades'!P$3&gt;='Gastos Gerais'!$D$4:$D$3143),-('Gastos das Atividades'!P$3&lt;='Gastos Gerais'!$E$4:$E$3143),-('Gastos Gerais'!$C$4:$C$3143)))</f>
        <v>75596</v>
      </c>
      <c r="Q9" s="134">
        <f>IF($B9="",0,SUMPRODUCT(-('Gastos Gerais'!$F$4:$F$3143='Gastos das Atividades'!$B9),-('Gastos das Atividades'!Q$3&gt;='Gastos Gerais'!$D$4:$D$3143),-('Gastos das Atividades'!Q$3&lt;='Gastos Gerais'!$E$4:$E$3143),-('Gastos Gerais'!$C$4:$C$3143)))</f>
        <v>74096</v>
      </c>
      <c r="R9" s="134">
        <f>IF($B9="",0,SUMPRODUCT(-('Gastos Gerais'!$F$4:$F$3143='Gastos das Atividades'!$B9),-('Gastos das Atividades'!R$3&gt;='Gastos Gerais'!$D$4:$D$3143),-('Gastos das Atividades'!R$3&lt;='Gastos Gerais'!$E$4:$E$3143),-('Gastos Gerais'!$C$4:$C$3143)))</f>
        <v>74096</v>
      </c>
      <c r="S9" s="134">
        <f>IF($B9="",0,SUMPRODUCT(-('Gastos Gerais'!$F$4:$F$3143='Gastos das Atividades'!$B9),-('Gastos das Atividades'!S$3&gt;='Gastos Gerais'!$D$4:$D$3143),-('Gastos das Atividades'!S$3&lt;='Gastos Gerais'!$E$4:$E$3143),-('Gastos Gerais'!$C$4:$C$3143)))</f>
        <v>74096</v>
      </c>
      <c r="T9" s="134">
        <f>IF($B9="",0,SUMPRODUCT(-('Gastos Gerais'!$F$4:$F$3143='Gastos das Atividades'!$B9),-('Gastos das Atividades'!T$3&gt;='Gastos Gerais'!$D$4:$D$3143),-('Gastos das Atividades'!T$3&lt;='Gastos Gerais'!$E$4:$E$3143),-('Gastos Gerais'!$C$4:$C$3143)))</f>
        <v>71346</v>
      </c>
      <c r="U9" s="134">
        <f>IF($B9="",0,SUMPRODUCT(-('Gastos Gerais'!$F$4:$F$3143='Gastos das Atividades'!$B9),-('Gastos das Atividades'!U$3&gt;='Gastos Gerais'!$D$4:$D$3143),-('Gastos das Atividades'!U$3&lt;='Gastos Gerais'!$E$4:$E$3143),-('Gastos Gerais'!$C$4:$C$3143)))</f>
        <v>71346</v>
      </c>
      <c r="V9" s="134">
        <f>IF($B9="",0,SUMPRODUCT(-('Gastos Gerais'!$F$4:$F$3143='Gastos das Atividades'!$B9),-('Gastos das Atividades'!V$3&gt;='Gastos Gerais'!$D$4:$D$3143),-('Gastos das Atividades'!V$3&lt;='Gastos Gerais'!$E$4:$E$3143),-('Gastos Gerais'!$C$4:$C$3143)))</f>
        <v>70500</v>
      </c>
      <c r="W9" s="134">
        <f>IF($B9="",0,SUMPRODUCT(-('Gastos Gerais'!$F$4:$F$3143='Gastos das Atividades'!$B9),-('Gastos das Atividades'!W$3&gt;='Gastos Gerais'!$D$4:$D$3143),-('Gastos das Atividades'!W$3&lt;='Gastos Gerais'!$E$4:$E$3143),-('Gastos Gerais'!$C$4:$C$3143)))</f>
        <v>70500</v>
      </c>
      <c r="X9" s="134">
        <f>IF($B9="",0,SUMPRODUCT(-('Gastos Gerais'!$F$4:$F$3143='Gastos das Atividades'!$B9),-('Gastos das Atividades'!X$3&gt;='Gastos Gerais'!$D$4:$D$3143),-('Gastos das Atividades'!X$3&lt;='Gastos Gerais'!$E$4:$E$3143),-('Gastos Gerais'!$C$4:$C$3143)))</f>
        <v>70500</v>
      </c>
      <c r="Y9" s="134">
        <f>IF($B9="",0,SUMPRODUCT(-('Gastos Gerais'!$F$4:$F$3143='Gastos das Atividades'!$B9),-('Gastos das Atividades'!Y$3&gt;='Gastos Gerais'!$D$4:$D$3143),-('Gastos das Atividades'!Y$3&lt;='Gastos Gerais'!$E$4:$E$3143),-('Gastos Gerais'!$C$4:$C$3143)))</f>
        <v>70500</v>
      </c>
      <c r="Z9" s="134">
        <f>IF($B9="",0,SUMPRODUCT(-('Gastos Gerais'!$F$4:$F$3143='Gastos das Atividades'!$B9),-('Gastos das Atividades'!Z$3&gt;='Gastos Gerais'!$D$4:$D$3143),-('Gastos das Atividades'!Z$3&lt;='Gastos Gerais'!$E$4:$E$3143),-('Gastos Gerais'!$C$4:$C$3143)))</f>
        <v>70500</v>
      </c>
      <c r="AA9" s="134">
        <f>IF($B9="",0,SUMPRODUCT(-('Gastos Gerais'!$F$4:$F$3143='Gastos das Atividades'!$B9),-('Gastos das Atividades'!AA$3&gt;='Gastos Gerais'!$D$4:$D$3143),-('Gastos das Atividades'!AA$3&lt;='Gastos Gerais'!$E$4:$E$3143),-('Gastos Gerais'!$C$4:$C$3143)))</f>
        <v>70500</v>
      </c>
      <c r="AB9" s="134">
        <f>IF($B9="",0,SUMPRODUCT(-('Gastos Gerais'!$F$4:$F$3143='Gastos das Atividades'!$B9),-('Gastos das Atividades'!AB$3&gt;='Gastos Gerais'!$D$4:$D$3143),-('Gastos das Atividades'!AB$3&lt;='Gastos Gerais'!$E$4:$E$3143),-('Gastos Gerais'!$C$4:$C$3143)))</f>
        <v>75606</v>
      </c>
      <c r="AC9" s="134">
        <f>IF($B9="",0,SUMPRODUCT(-('Gastos Gerais'!$F$4:$F$3143='Gastos das Atividades'!$B9),-('Gastos das Atividades'!AC$3&gt;='Gastos Gerais'!$D$4:$D$3143),-('Gastos das Atividades'!AC$3&lt;='Gastos Gerais'!$E$4:$E$3143),-('Gastos Gerais'!$C$4:$C$3143)))</f>
        <v>74106</v>
      </c>
      <c r="AD9" s="134">
        <f>IF($B9="",0,SUMPRODUCT(-('Gastos Gerais'!$F$4:$F$3143='Gastos das Atividades'!$B9),-('Gastos das Atividades'!AD$3&gt;='Gastos Gerais'!$D$4:$D$3143),-('Gastos das Atividades'!AD$3&lt;='Gastos Gerais'!$E$4:$E$3143),-('Gastos Gerais'!$C$4:$C$3143)))</f>
        <v>74106</v>
      </c>
      <c r="AE9" s="134">
        <f>IF($B9="",0,SUMPRODUCT(-('Gastos Gerais'!$F$4:$F$3143='Gastos das Atividades'!$B9),-('Gastos das Atividades'!AE$3&gt;='Gastos Gerais'!$D$4:$D$3143),-('Gastos das Atividades'!AE$3&lt;='Gastos Gerais'!$E$4:$E$3143),-('Gastos Gerais'!$C$4:$C$3143)))</f>
        <v>74106</v>
      </c>
      <c r="AF9" s="134">
        <f>IF($B9="",0,SUMPRODUCT(-('Gastos Gerais'!$F$4:$F$3143='Gastos das Atividades'!$B9),-('Gastos das Atividades'!AF$3&gt;='Gastos Gerais'!$D$4:$D$3143),-('Gastos das Atividades'!AF$3&lt;='Gastos Gerais'!$E$4:$E$3143),-('Gastos Gerais'!$C$4:$C$3143)))</f>
        <v>71556</v>
      </c>
      <c r="AG9" s="134">
        <f>IF($B9="",0,SUMPRODUCT(-('Gastos Gerais'!$F$4:$F$3143='Gastos das Atividades'!$B9),-('Gastos das Atividades'!AG$3&gt;='Gastos Gerais'!$D$4:$D$3143),-('Gastos das Atividades'!AG$3&lt;='Gastos Gerais'!$E$4:$E$3143),-('Gastos Gerais'!$C$4:$C$3143)))</f>
        <v>71556</v>
      </c>
      <c r="AH9" s="134">
        <f>IF($B9="",0,SUMPRODUCT(-('Gastos Gerais'!$F$4:$F$3143='Gastos das Atividades'!$B9),-('Gastos das Atividades'!AH$3&gt;='Gastos Gerais'!$D$4:$D$3143),-('Gastos das Atividades'!AH$3&lt;='Gastos Gerais'!$E$4:$E$3143),-('Gastos Gerais'!$C$4:$C$3143)))</f>
        <v>70710</v>
      </c>
      <c r="AI9" s="134">
        <f>IF($B9="",0,SUMPRODUCT(-('Gastos Gerais'!$F$4:$F$3143='Gastos das Atividades'!$B9),-('Gastos das Atividades'!AI$3&gt;='Gastos Gerais'!$D$4:$D$3143),-('Gastos das Atividades'!AI$3&lt;='Gastos Gerais'!$E$4:$E$3143),-('Gastos Gerais'!$C$4:$C$3143)))</f>
        <v>70710</v>
      </c>
      <c r="AJ9" s="134">
        <f>IF($B9="",0,SUMPRODUCT(-('Gastos Gerais'!$F$4:$F$3143='Gastos das Atividades'!$B9),-('Gastos das Atividades'!AJ$3&gt;='Gastos Gerais'!$D$4:$D$3143),-('Gastos das Atividades'!AJ$3&lt;='Gastos Gerais'!$E$4:$E$3143),-('Gastos Gerais'!$C$4:$C$3143)))</f>
        <v>70710</v>
      </c>
      <c r="AK9" s="134">
        <f>IF($B9="",0,SUMPRODUCT(-('Gastos Gerais'!$F$4:$F$3143='Gastos das Atividades'!$B9),-('Gastos das Atividades'!AK$3&gt;='Gastos Gerais'!$D$4:$D$3143),-('Gastos das Atividades'!AK$3&lt;='Gastos Gerais'!$E$4:$E$3143),-('Gastos Gerais'!$C$4:$C$3143)))</f>
        <v>70710</v>
      </c>
      <c r="AL9" s="134">
        <f>IF($B9="",0,SUMPRODUCT(-('Gastos Gerais'!$F$4:$F$3143='Gastos das Atividades'!$B9),-('Gastos das Atividades'!AL$3&gt;='Gastos Gerais'!$D$4:$D$3143),-('Gastos das Atividades'!AL$3&lt;='Gastos Gerais'!$E$4:$E$3143),-('Gastos Gerais'!$C$4:$C$3143)))</f>
        <v>70710</v>
      </c>
      <c r="AM9" s="134">
        <f>IF($B9="",0,SUMPRODUCT(-('Gastos Gerais'!$F$4:$F$3143='Gastos das Atividades'!$B9),-('Gastos das Atividades'!AM$3&gt;='Gastos Gerais'!$D$4:$D$3143),-('Gastos das Atividades'!AM$3&lt;='Gastos Gerais'!$E$4:$E$3143),-('Gastos Gerais'!$C$4:$C$3143)))</f>
        <v>70710</v>
      </c>
      <c r="AN9" s="134">
        <f>IF($B9="",0,SUMPRODUCT(-('Gastos Gerais'!$F$4:$F$3143='Gastos das Atividades'!$B9),-('Gastos das Atividades'!AN$3&gt;='Gastos Gerais'!$D$4:$D$3143),-('Gastos das Atividades'!AN$3&lt;='Gastos Gerais'!$E$4:$E$3143),-('Gastos Gerais'!$C$4:$C$3143)))</f>
        <v>75826.5</v>
      </c>
      <c r="AO9" s="134">
        <f>IF($B9="",0,SUMPRODUCT(-('Gastos Gerais'!$F$4:$F$3143='Gastos das Atividades'!$B9),-('Gastos das Atividades'!AO$3&gt;='Gastos Gerais'!$D$4:$D$3143),-('Gastos das Atividades'!AO$3&lt;='Gastos Gerais'!$E$4:$E$3143),-('Gastos Gerais'!$C$4:$C$3143)))</f>
        <v>76326.5</v>
      </c>
      <c r="AP9" s="134">
        <f>IF($B9="",0,SUMPRODUCT(-('Gastos Gerais'!$F$4:$F$3143='Gastos das Atividades'!$B9),-('Gastos das Atividades'!AP$3&gt;='Gastos Gerais'!$D$4:$D$3143),-('Gastos das Atividades'!AP$3&lt;='Gastos Gerais'!$E$4:$E$3143),-('Gastos Gerais'!$C$4:$C$3143)))</f>
        <v>74326.5</v>
      </c>
      <c r="AQ9" s="134">
        <f>IF($B9="",0,SUMPRODUCT(-('Gastos Gerais'!$F$4:$F$3143='Gastos das Atividades'!$B9),-('Gastos das Atividades'!AQ$3&gt;='Gastos Gerais'!$D$4:$D$3143),-('Gastos das Atividades'!AQ$3&lt;='Gastos Gerais'!$E$4:$E$3143),-('Gastos Gerais'!$C$4:$C$3143)))</f>
        <v>74326.5</v>
      </c>
      <c r="AR9" s="134">
        <f>IF($B9="",0,SUMPRODUCT(-('Gastos Gerais'!$F$4:$F$3143='Gastos das Atividades'!$B9),-('Gastos das Atividades'!AR$3&gt;='Gastos Gerais'!$D$4:$D$3143),-('Gastos das Atividades'!AR$3&lt;='Gastos Gerais'!$E$4:$E$3143),-('Gastos Gerais'!$C$4:$C$3143)))</f>
        <v>71776.5</v>
      </c>
      <c r="AS9" s="134">
        <f>IF($B9="",0,SUMPRODUCT(-('Gastos Gerais'!$F$4:$F$3143='Gastos das Atividades'!$B9),-('Gastos das Atividades'!AS$3&gt;='Gastos Gerais'!$D$4:$D$3143),-('Gastos das Atividades'!AS$3&lt;='Gastos Gerais'!$E$4:$E$3143),-('Gastos Gerais'!$C$4:$C$3143)))</f>
        <v>71776.5</v>
      </c>
      <c r="AT9" s="134">
        <f>IF($B9="",0,SUMPRODUCT(-('Gastos Gerais'!$F$4:$F$3143='Gastos das Atividades'!$B9),-('Gastos das Atividades'!AT$3&gt;='Gastos Gerais'!$D$4:$D$3143),-('Gastos das Atividades'!AT$3&lt;='Gastos Gerais'!$E$4:$E$3143),-('Gastos Gerais'!$C$4:$C$3143)))</f>
        <v>70930.5</v>
      </c>
      <c r="AU9" s="134">
        <f>IF($B9="",0,SUMPRODUCT(-('Gastos Gerais'!$F$4:$F$3143='Gastos das Atividades'!$B9),-('Gastos das Atividades'!AU$3&gt;='Gastos Gerais'!$D$4:$D$3143),-('Gastos das Atividades'!AU$3&lt;='Gastos Gerais'!$E$4:$E$3143),-('Gastos Gerais'!$C$4:$C$3143)))</f>
        <v>70930.5</v>
      </c>
      <c r="AV9" s="134">
        <f>IF($B9="",0,SUMPRODUCT(-('Gastos Gerais'!$F$4:$F$3143='Gastos das Atividades'!$B9),-('Gastos das Atividades'!AV$3&gt;='Gastos Gerais'!$D$4:$D$3143),-('Gastos das Atividades'!AV$3&lt;='Gastos Gerais'!$E$4:$E$3143),-('Gastos Gerais'!$C$4:$C$3143)))</f>
        <v>70930.5</v>
      </c>
      <c r="AW9" s="134">
        <f>IF($B9="",0,SUMPRODUCT(-('Gastos Gerais'!$F$4:$F$3143='Gastos das Atividades'!$B9),-('Gastos das Atividades'!AW$3&gt;='Gastos Gerais'!$D$4:$D$3143),-('Gastos das Atividades'!AW$3&lt;='Gastos Gerais'!$E$4:$E$3143),-('Gastos Gerais'!$C$4:$C$3143)))</f>
        <v>70930.5</v>
      </c>
      <c r="AX9" s="134">
        <f>IF($B9="",0,SUMPRODUCT(-('Gastos Gerais'!$F$4:$F$3143='Gastos das Atividades'!$B9),-('Gastos das Atividades'!AX$3&gt;='Gastos Gerais'!$D$4:$D$3143),-('Gastos das Atividades'!AX$3&lt;='Gastos Gerais'!$E$4:$E$3143),-('Gastos Gerais'!$C$4:$C$3143)))</f>
        <v>70930.5</v>
      </c>
      <c r="AY9" s="134">
        <f>IF($B9="",0,SUMPRODUCT(-('Gastos Gerais'!$F$4:$F$3143='Gastos das Atividades'!$B9),-('Gastos das Atividades'!AY$3&gt;='Gastos Gerais'!$D$4:$D$3143),-('Gastos das Atividades'!AY$3&lt;='Gastos Gerais'!$E$4:$E$3143),-('Gastos Gerais'!$C$4:$C$3143)))</f>
        <v>70930.5</v>
      </c>
      <c r="AZ9" s="134">
        <f>IF($B9="",0,SUMPRODUCT(-('Gastos Gerais'!$F$4:$F$3143='Gastos das Atividades'!$B9),-('Gastos das Atividades'!AZ$3&gt;='Gastos Gerais'!$D$4:$D$3143),-('Gastos das Atividades'!AZ$3&lt;='Gastos Gerais'!$E$4:$E$3143),-('Gastos Gerais'!$C$4:$C$3143)))</f>
        <v>41039</v>
      </c>
      <c r="BA9" s="134">
        <f>IF($B9="",0,SUMPRODUCT(-('Gastos Gerais'!$F$4:$F$3143='Gastos das Atividades'!$B9),-('Gastos das Atividades'!BA$3&gt;='Gastos Gerais'!$D$4:$D$3143),-('Gastos das Atividades'!BA$3&lt;='Gastos Gerais'!$E$4:$E$3143),-('Gastos Gerais'!$C$4:$C$3143)))</f>
        <v>40289</v>
      </c>
      <c r="BB9" s="134">
        <f>IF($B9="",0,SUMPRODUCT(-('Gastos Gerais'!$F$4:$F$3143='Gastos das Atividades'!$B9),-('Gastos das Atividades'!BB$3&gt;='Gastos Gerais'!$D$4:$D$3143),-('Gastos das Atividades'!BB$3&lt;='Gastos Gerais'!$E$4:$E$3143),-('Gastos Gerais'!$C$4:$C$3143)))</f>
        <v>39639</v>
      </c>
      <c r="BC9" s="134">
        <f>IF($B9="",0,SUMPRODUCT(-('Gastos Gerais'!$F$4:$F$3143='Gastos das Atividades'!$B9),-('Gastos das Atividades'!BC$3&gt;='Gastos Gerais'!$D$4:$D$3143),-('Gastos das Atividades'!BC$3&lt;='Gastos Gerais'!$E$4:$E$3143),-('Gastos Gerais'!$C$4:$C$3143)))</f>
        <v>39639</v>
      </c>
      <c r="BD9" s="134">
        <f>IF($B9="",0,SUMPRODUCT(-('Gastos Gerais'!$F$4:$F$3143='Gastos das Atividades'!$B9),-('Gastos das Atividades'!BD$3&gt;='Gastos Gerais'!$D$4:$D$3143),-('Gastos das Atividades'!BD$3&lt;='Gastos Gerais'!$E$4:$E$3143),-('Gastos Gerais'!$C$4:$C$3143)))</f>
        <v>38109</v>
      </c>
      <c r="BE9" s="134">
        <f>IF($B9="",0,SUMPRODUCT(-('Gastos Gerais'!$F$4:$F$3143='Gastos das Atividades'!$B9),-('Gastos das Atividades'!BE$3&gt;='Gastos Gerais'!$D$4:$D$3143),-('Gastos das Atividades'!BE$3&lt;='Gastos Gerais'!$E$4:$E$3143),-('Gastos Gerais'!$C$4:$C$3143)))</f>
        <v>38109</v>
      </c>
      <c r="BF9" s="134">
        <f>IF($B9="",0,SUMPRODUCT(-('Gastos Gerais'!$F$4:$F$3143='Gastos das Atividades'!$B9),-('Gastos das Atividades'!BF$3&gt;='Gastos Gerais'!$D$4:$D$3143),-('Gastos das Atividades'!BF$3&lt;='Gastos Gerais'!$E$4:$E$3143),-('Gastos Gerais'!$C$4:$C$3143)))</f>
        <v>37609</v>
      </c>
      <c r="BG9" s="134">
        <f>IF($B9="",0,SUMPRODUCT(-('Gastos Gerais'!$F$4:$F$3143='Gastos das Atividades'!$B9),-('Gastos das Atividades'!BG$3&gt;='Gastos Gerais'!$D$4:$D$3143),-('Gastos das Atividades'!BG$3&lt;='Gastos Gerais'!$E$4:$E$3143),-('Gastos Gerais'!$C$4:$C$3143)))</f>
        <v>37609</v>
      </c>
      <c r="BH9" s="134">
        <f>IF($B9="",0,SUMPRODUCT(-('Gastos Gerais'!$F$4:$F$3143='Gastos das Atividades'!$B9),-('Gastos das Atividades'!BH$3&gt;='Gastos Gerais'!$D$4:$D$3143),-('Gastos das Atividades'!BH$3&lt;='Gastos Gerais'!$E$4:$E$3143),-('Gastos Gerais'!$C$4:$C$3143)))</f>
        <v>37609</v>
      </c>
      <c r="BI9" s="134">
        <f>IF($B9="",0,SUMPRODUCT(-('Gastos Gerais'!$F$4:$F$3143='Gastos das Atividades'!$B9),-('Gastos das Atividades'!BI$3&gt;='Gastos Gerais'!$D$4:$D$3143),-('Gastos das Atividades'!BI$3&lt;='Gastos Gerais'!$E$4:$E$3143),-('Gastos Gerais'!$C$4:$C$3143)))</f>
        <v>37609</v>
      </c>
      <c r="BJ9" s="134">
        <f>IF($B9="",0,SUMPRODUCT(-('Gastos Gerais'!$F$4:$F$3143='Gastos das Atividades'!$B9),-('Gastos das Atividades'!BJ$3&gt;='Gastos Gerais'!$D$4:$D$3143),-('Gastos das Atividades'!BJ$3&lt;='Gastos Gerais'!$E$4:$E$3143),-('Gastos Gerais'!$C$4:$C$3143)))</f>
        <v>37609</v>
      </c>
      <c r="BK9" s="134">
        <f>IF($B9="",0,SUMPRODUCT(-('Gastos Gerais'!$F$4:$F$3143='Gastos das Atividades'!$B9),-('Gastos das Atividades'!BK$3&gt;='Gastos Gerais'!$D$4:$D$3143),-('Gastos das Atividades'!BK$3&lt;='Gastos Gerais'!$E$4:$E$3143),-('Gastos Gerais'!$C$4:$C$3143)))</f>
        <v>0</v>
      </c>
      <c r="BL9" s="134">
        <f>IF($B9="",0,SUMPRODUCT(-('Gastos Gerais'!$F$4:$F$3143='Gastos das Atividades'!$B9),-('Gastos das Atividades'!BL$3&gt;='Gastos Gerais'!$D$4:$D$3143),-('Gastos das Atividades'!BL$3&lt;='Gastos Gerais'!$E$4:$E$3143),-('Gastos Gerais'!$C$4:$C$3143)))</f>
        <v>0</v>
      </c>
      <c r="BM9" s="134">
        <f>IF($B9="",0,SUMPRODUCT(-('Gastos Gerais'!$F$4:$F$3143='Gastos das Atividades'!$B9),-('Gastos das Atividades'!BM$3&gt;='Gastos Gerais'!$D$4:$D$3143),-('Gastos das Atividades'!BM$3&lt;='Gastos Gerais'!$E$4:$E$3143),-('Gastos Gerais'!$C$4:$C$3143)))</f>
        <v>0</v>
      </c>
      <c r="BN9" s="134">
        <f>IF($B9="",0,SUMPRODUCT(-('Gastos Gerais'!$F$4:$F$3143='Gastos das Atividades'!$B9),-('Gastos das Atividades'!BN$3&gt;='Gastos Gerais'!$D$4:$D$3143),-('Gastos das Atividades'!BN$3&lt;='Gastos Gerais'!$E$4:$E$3143),-('Gastos Gerais'!$C$4:$C$3143)))</f>
        <v>0</v>
      </c>
      <c r="BO9" s="134">
        <f>IF($B9="",0,SUMPRODUCT(-('Gastos Gerais'!$F$4:$F$3143='Gastos das Atividades'!$B9),-('Gastos das Atividades'!BO$3&gt;='Gastos Gerais'!$D$4:$D$3143),-('Gastos das Atividades'!BO$3&lt;='Gastos Gerais'!$E$4:$E$3143),-('Gastos Gerais'!$C$4:$C$3143)))</f>
        <v>0</v>
      </c>
      <c r="BP9" s="134">
        <f>IF($B9="",0,SUMPRODUCT(-('Gastos Gerais'!$F$4:$F$3143='Gastos das Atividades'!$B9),-('Gastos das Atividades'!BP$3&gt;='Gastos Gerais'!$D$4:$D$3143),-('Gastos das Atividades'!BP$3&lt;='Gastos Gerais'!$E$4:$E$3143),-('Gastos Gerais'!$C$4:$C$3143)))</f>
        <v>0</v>
      </c>
      <c r="BQ9" s="134">
        <f>IF($B9="",0,SUMPRODUCT(-('Gastos Gerais'!$F$4:$F$3143='Gastos das Atividades'!$B9),-('Gastos das Atividades'!BQ$3&gt;='Gastos Gerais'!$D$4:$D$3143),-('Gastos das Atividades'!BQ$3&lt;='Gastos Gerais'!$E$4:$E$3143),-('Gastos Gerais'!$C$4:$C$3143)))</f>
        <v>0</v>
      </c>
      <c r="BR9" s="134">
        <f>IF($B9="",0,SUMPRODUCT(-('Gastos Gerais'!$F$4:$F$3143='Gastos das Atividades'!$B9),-('Gastos das Atividades'!BR$3&gt;='Gastos Gerais'!$D$4:$D$3143),-('Gastos das Atividades'!BR$3&lt;='Gastos Gerais'!$E$4:$E$3143),-('Gastos Gerais'!$C$4:$C$3143)))</f>
        <v>0</v>
      </c>
      <c r="BS9" s="134">
        <f>IF($B9="",0,SUMPRODUCT(-('Gastos Gerais'!$F$4:$F$3143='Gastos das Atividades'!$B9),-('Gastos das Atividades'!BS$3&gt;='Gastos Gerais'!$D$4:$D$3143),-('Gastos das Atividades'!BS$3&lt;='Gastos Gerais'!$E$4:$E$3143),-('Gastos Gerais'!$C$4:$C$3143)))</f>
        <v>0</v>
      </c>
      <c r="BT9" s="134">
        <f>IF($B9="",0,SUMPRODUCT(-('Gastos Gerais'!$F$4:$F$3143='Gastos das Atividades'!$B9),-('Gastos das Atividades'!BT$3&gt;='Gastos Gerais'!$D$4:$D$3143),-('Gastos das Atividades'!BT$3&lt;='Gastos Gerais'!$E$4:$E$3143),-('Gastos Gerais'!$C$4:$C$3143)))</f>
        <v>0</v>
      </c>
      <c r="BU9" s="134">
        <f>IF($B9="",0,SUMPRODUCT(-('Gastos Gerais'!$F$4:$F$3143='Gastos das Atividades'!$B9),-('Gastos das Atividades'!BU$3&gt;='Gastos Gerais'!$D$4:$D$3143),-('Gastos das Atividades'!BU$3&lt;='Gastos Gerais'!$E$4:$E$3143),-('Gastos Gerais'!$C$4:$C$3143)))</f>
        <v>0</v>
      </c>
      <c r="BV9" s="134">
        <f>IF($B9="",0,SUMPRODUCT(-('Gastos Gerais'!$F$4:$F$3143='Gastos das Atividades'!$B9),-('Gastos das Atividades'!BV$3&gt;='Gastos Gerais'!$D$4:$D$3143),-('Gastos das Atividades'!BV$3&lt;='Gastos Gerais'!$E$4:$E$3143),-('Gastos Gerais'!$C$4:$C$3143)))</f>
        <v>0</v>
      </c>
      <c r="BW9" s="134">
        <f>IF($B9="",0,SUMPRODUCT(-('Gastos Gerais'!$F$4:$F$3143='Gastos das Atividades'!$B9),-('Gastos das Atividades'!BW$3&gt;='Gastos Gerais'!$D$4:$D$3143),-('Gastos das Atividades'!BW$3&lt;='Gastos Gerais'!$E$4:$E$3143),-('Gastos Gerais'!$C$4:$C$3143)))</f>
        <v>0</v>
      </c>
    </row>
    <row r="10" spans="1:76">
      <c r="A10" s="138">
        <v>7</v>
      </c>
      <c r="B10" s="139" t="s">
        <v>603</v>
      </c>
      <c r="C10" s="132">
        <v>0</v>
      </c>
      <c r="D10" s="133">
        <f t="shared" si="0"/>
        <v>950336</v>
      </c>
      <c r="E10" s="134">
        <f t="shared" si="1"/>
        <v>835543.75</v>
      </c>
      <c r="F10" s="134">
        <f t="shared" si="1"/>
        <v>960905.64999999979</v>
      </c>
      <c r="G10" s="134">
        <f t="shared" si="1"/>
        <v>465919</v>
      </c>
      <c r="H10" s="134">
        <f t="shared" si="1"/>
        <v>0</v>
      </c>
      <c r="I10" s="135">
        <f t="shared" si="2"/>
        <v>3212704.4000000013</v>
      </c>
      <c r="J10" s="136">
        <f t="shared" si="3"/>
        <v>1.313534116747363E-2</v>
      </c>
      <c r="K10" s="136">
        <f t="shared" si="4"/>
        <v>1.1548707211554959E-2</v>
      </c>
      <c r="L10" s="136">
        <f t="shared" si="5"/>
        <v>1.3281432611732065E-2</v>
      </c>
      <c r="M10" s="136">
        <f t="shared" si="6"/>
        <v>6.439832881642015E-3</v>
      </c>
      <c r="N10" s="136">
        <f t="shared" si="7"/>
        <v>0</v>
      </c>
      <c r="O10" s="137">
        <f t="shared" si="8"/>
        <v>4.4405313872402694E-2</v>
      </c>
      <c r="P10" s="134">
        <f>IF($B10="",0,SUMPRODUCT(-('Gastos Gerais'!$F$4:$F$3143='Gastos das Atividades'!$B10),-('Gastos das Atividades'!P$3&gt;='Gastos Gerais'!$D$4:$D$3143),-('Gastos das Atividades'!P$3&lt;='Gastos Gerais'!$E$4:$E$3143),-('Gastos Gerais'!$C$4:$C$3143)))</f>
        <v>82951</v>
      </c>
      <c r="Q10" s="134">
        <f>IF($B10="",0,SUMPRODUCT(-('Gastos Gerais'!$F$4:$F$3143='Gastos das Atividades'!$B10),-('Gastos das Atividades'!Q$3&gt;='Gastos Gerais'!$D$4:$D$3143),-('Gastos das Atividades'!Q$3&lt;='Gastos Gerais'!$E$4:$E$3143),-('Gastos Gerais'!$C$4:$C$3143)))</f>
        <v>81451</v>
      </c>
      <c r="R10" s="134">
        <f>IF($B10="",0,SUMPRODUCT(-('Gastos Gerais'!$F$4:$F$3143='Gastos das Atividades'!$B10),-('Gastos das Atividades'!R$3&gt;='Gastos Gerais'!$D$4:$D$3143),-('Gastos das Atividades'!R$3&lt;='Gastos Gerais'!$E$4:$E$3143),-('Gastos Gerais'!$C$4:$C$3143)))</f>
        <v>81451</v>
      </c>
      <c r="S10" s="134">
        <f>IF($B10="",0,SUMPRODUCT(-('Gastos Gerais'!$F$4:$F$3143='Gastos das Atividades'!$B10),-('Gastos das Atividades'!S$3&gt;='Gastos Gerais'!$D$4:$D$3143),-('Gastos das Atividades'!S$3&lt;='Gastos Gerais'!$E$4:$E$3143),-('Gastos Gerais'!$C$4:$C$3143)))</f>
        <v>79951</v>
      </c>
      <c r="T10" s="134">
        <f>IF($B10="",0,SUMPRODUCT(-('Gastos Gerais'!$F$4:$F$3143='Gastos das Atividades'!$B10),-('Gastos das Atividades'!T$3&gt;='Gastos Gerais'!$D$4:$D$3143),-('Gastos das Atividades'!T$3&lt;='Gastos Gerais'!$E$4:$E$3143),-('Gastos Gerais'!$C$4:$C$3143)))</f>
        <v>78701</v>
      </c>
      <c r="U10" s="134">
        <f>IF($B10="",0,SUMPRODUCT(-('Gastos Gerais'!$F$4:$F$3143='Gastos das Atividades'!$B10),-('Gastos das Atividades'!U$3&gt;='Gastos Gerais'!$D$4:$D$3143),-('Gastos das Atividades'!U$3&lt;='Gastos Gerais'!$E$4:$E$3143),-('Gastos Gerais'!$C$4:$C$3143)))</f>
        <v>78701</v>
      </c>
      <c r="V10" s="134">
        <f>IF($B10="",0,SUMPRODUCT(-('Gastos Gerais'!$F$4:$F$3143='Gastos das Atividades'!$B10),-('Gastos das Atividades'!V$3&gt;='Gastos Gerais'!$D$4:$D$3143),-('Gastos das Atividades'!V$3&lt;='Gastos Gerais'!$E$4:$E$3143),-('Gastos Gerais'!$C$4:$C$3143)))</f>
        <v>77855</v>
      </c>
      <c r="W10" s="134">
        <f>IF($B10="",0,SUMPRODUCT(-('Gastos Gerais'!$F$4:$F$3143='Gastos das Atividades'!$B10),-('Gastos das Atividades'!W$3&gt;='Gastos Gerais'!$D$4:$D$3143),-('Gastos das Atividades'!W$3&lt;='Gastos Gerais'!$E$4:$E$3143),-('Gastos Gerais'!$C$4:$C$3143)))</f>
        <v>77855</v>
      </c>
      <c r="X10" s="134">
        <f>IF($B10="",0,SUMPRODUCT(-('Gastos Gerais'!$F$4:$F$3143='Gastos das Atividades'!$B10),-('Gastos das Atividades'!X$3&gt;='Gastos Gerais'!$D$4:$D$3143),-('Gastos das Atividades'!X$3&lt;='Gastos Gerais'!$E$4:$E$3143),-('Gastos Gerais'!$C$4:$C$3143)))</f>
        <v>77855</v>
      </c>
      <c r="Y10" s="134">
        <f>IF($B10="",0,SUMPRODUCT(-('Gastos Gerais'!$F$4:$F$3143='Gastos das Atividades'!$B10),-('Gastos das Atividades'!Y$3&gt;='Gastos Gerais'!$D$4:$D$3143),-('Gastos das Atividades'!Y$3&lt;='Gastos Gerais'!$E$4:$E$3143),-('Gastos Gerais'!$C$4:$C$3143)))</f>
        <v>77855</v>
      </c>
      <c r="Z10" s="134">
        <f>IF($B10="",0,SUMPRODUCT(-('Gastos Gerais'!$F$4:$F$3143='Gastos das Atividades'!$B10),-('Gastos das Atividades'!Z$3&gt;='Gastos Gerais'!$D$4:$D$3143),-('Gastos das Atividades'!Z$3&lt;='Gastos Gerais'!$E$4:$E$3143),-('Gastos Gerais'!$C$4:$C$3143)))</f>
        <v>77855</v>
      </c>
      <c r="AA10" s="134">
        <f>IF($B10="",0,SUMPRODUCT(-('Gastos Gerais'!$F$4:$F$3143='Gastos das Atividades'!$B10),-('Gastos das Atividades'!AA$3&gt;='Gastos Gerais'!$D$4:$D$3143),-('Gastos das Atividades'!AA$3&lt;='Gastos Gerais'!$E$4:$E$3143),-('Gastos Gerais'!$C$4:$C$3143)))</f>
        <v>77855</v>
      </c>
      <c r="AB10" s="134">
        <f>IF($B10="",0,SUMPRODUCT(-('Gastos Gerais'!$F$4:$F$3143='Gastos das Atividades'!$B10),-('Gastos das Atividades'!AB$3&gt;='Gastos Gerais'!$D$4:$D$3143),-('Gastos das Atividades'!AB$3&lt;='Gastos Gerais'!$E$4:$E$3143),-('Gastos Gerais'!$C$4:$C$3143)))</f>
        <v>83123.75</v>
      </c>
      <c r="AC10" s="134">
        <f>IF($B10="",0,SUMPRODUCT(-('Gastos Gerais'!$F$4:$F$3143='Gastos das Atividades'!$B10),-('Gastos das Atividades'!AC$3&gt;='Gastos Gerais'!$D$4:$D$3143),-('Gastos das Atividades'!AC$3&lt;='Gastos Gerais'!$E$4:$E$3143),-('Gastos Gerais'!$C$4:$C$3143)))</f>
        <v>70836</v>
      </c>
      <c r="AD10" s="134">
        <f>IF($B10="",0,SUMPRODUCT(-('Gastos Gerais'!$F$4:$F$3143='Gastos das Atividades'!$B10),-('Gastos das Atividades'!AD$3&gt;='Gastos Gerais'!$D$4:$D$3143),-('Gastos das Atividades'!AD$3&lt;='Gastos Gerais'!$E$4:$E$3143),-('Gastos Gerais'!$C$4:$C$3143)))</f>
        <v>70836</v>
      </c>
      <c r="AE10" s="134">
        <f>IF($B10="",0,SUMPRODUCT(-('Gastos Gerais'!$F$4:$F$3143='Gastos das Atividades'!$B10),-('Gastos das Atividades'!AE$3&gt;='Gastos Gerais'!$D$4:$D$3143),-('Gastos das Atividades'!AE$3&lt;='Gastos Gerais'!$E$4:$E$3143),-('Gastos Gerais'!$C$4:$C$3143)))</f>
        <v>69536</v>
      </c>
      <c r="AF10" s="134">
        <f>IF($B10="",0,SUMPRODUCT(-('Gastos Gerais'!$F$4:$F$3143='Gastos das Atividades'!$B10),-('Gastos das Atividades'!AF$3&gt;='Gastos Gerais'!$D$4:$D$3143),-('Gastos das Atividades'!AF$3&lt;='Gastos Gerais'!$E$4:$E$3143),-('Gastos Gerais'!$C$4:$C$3143)))</f>
        <v>68286</v>
      </c>
      <c r="AG10" s="134">
        <f>IF($B10="",0,SUMPRODUCT(-('Gastos Gerais'!$F$4:$F$3143='Gastos das Atividades'!$B10),-('Gastos das Atividades'!AG$3&gt;='Gastos Gerais'!$D$4:$D$3143),-('Gastos das Atividades'!AG$3&lt;='Gastos Gerais'!$E$4:$E$3143),-('Gastos Gerais'!$C$4:$C$3143)))</f>
        <v>68286</v>
      </c>
      <c r="AH10" s="134">
        <f>IF($B10="",0,SUMPRODUCT(-('Gastos Gerais'!$F$4:$F$3143='Gastos das Atividades'!$B10),-('Gastos das Atividades'!AH$3&gt;='Gastos Gerais'!$D$4:$D$3143),-('Gastos das Atividades'!AH$3&lt;='Gastos Gerais'!$E$4:$E$3143),-('Gastos Gerais'!$C$4:$C$3143)))</f>
        <v>67440</v>
      </c>
      <c r="AI10" s="134">
        <f>IF($B10="",0,SUMPRODUCT(-('Gastos Gerais'!$F$4:$F$3143='Gastos das Atividades'!$B10),-('Gastos das Atividades'!AI$3&gt;='Gastos Gerais'!$D$4:$D$3143),-('Gastos das Atividades'!AI$3&lt;='Gastos Gerais'!$E$4:$E$3143),-('Gastos Gerais'!$C$4:$C$3143)))</f>
        <v>67440</v>
      </c>
      <c r="AJ10" s="134">
        <f>IF($B10="",0,SUMPRODUCT(-('Gastos Gerais'!$F$4:$F$3143='Gastos das Atividades'!$B10),-('Gastos das Atividades'!AJ$3&gt;='Gastos Gerais'!$D$4:$D$3143),-('Gastos das Atividades'!AJ$3&lt;='Gastos Gerais'!$E$4:$E$3143),-('Gastos Gerais'!$C$4:$C$3143)))</f>
        <v>67440</v>
      </c>
      <c r="AK10" s="134">
        <f>IF($B10="",0,SUMPRODUCT(-('Gastos Gerais'!$F$4:$F$3143='Gastos das Atividades'!$B10),-('Gastos das Atividades'!AK$3&gt;='Gastos Gerais'!$D$4:$D$3143),-('Gastos das Atividades'!AK$3&lt;='Gastos Gerais'!$E$4:$E$3143),-('Gastos Gerais'!$C$4:$C$3143)))</f>
        <v>67440</v>
      </c>
      <c r="AL10" s="134">
        <f>IF($B10="",0,SUMPRODUCT(-('Gastos Gerais'!$F$4:$F$3143='Gastos das Atividades'!$B10),-('Gastos das Atividades'!AL$3&gt;='Gastos Gerais'!$D$4:$D$3143),-('Gastos das Atividades'!AL$3&lt;='Gastos Gerais'!$E$4:$E$3143),-('Gastos Gerais'!$C$4:$C$3143)))</f>
        <v>67440</v>
      </c>
      <c r="AM10" s="134">
        <f>IF($B10="",0,SUMPRODUCT(-('Gastos Gerais'!$F$4:$F$3143='Gastos das Atividades'!$B10),-('Gastos das Atividades'!AM$3&gt;='Gastos Gerais'!$D$4:$D$3143),-('Gastos das Atividades'!AM$3&lt;='Gastos Gerais'!$E$4:$E$3143),-('Gastos Gerais'!$C$4:$C$3143)))</f>
        <v>67440</v>
      </c>
      <c r="AN10" s="134">
        <f>IF($B10="",0,SUMPRODUCT(-('Gastos Gerais'!$F$4:$F$3143='Gastos das Atividades'!$B10),-('Gastos das Atividades'!AN$3&gt;='Gastos Gerais'!$D$4:$D$3143),-('Gastos das Atividades'!AN$3&lt;='Gastos Gerais'!$E$4:$E$3143),-('Gastos Gerais'!$C$4:$C$3143)))</f>
        <v>83515.137499999997</v>
      </c>
      <c r="AO10" s="134">
        <f>IF($B10="",0,SUMPRODUCT(-('Gastos Gerais'!$F$4:$F$3143='Gastos das Atividades'!$B10),-('Gastos das Atividades'!AO$3&gt;='Gastos Gerais'!$D$4:$D$3143),-('Gastos das Atividades'!AO$3&lt;='Gastos Gerais'!$E$4:$E$3143),-('Gastos Gerais'!$C$4:$C$3143)))</f>
        <v>84015.137499999997</v>
      </c>
      <c r="AP10" s="134">
        <f>IF($B10="",0,SUMPRODUCT(-('Gastos Gerais'!$F$4:$F$3143='Gastos das Atividades'!$B10),-('Gastos das Atividades'!AP$3&gt;='Gastos Gerais'!$D$4:$D$3143),-('Gastos das Atividades'!AP$3&lt;='Gastos Gerais'!$E$4:$E$3143),-('Gastos Gerais'!$C$4:$C$3143)))</f>
        <v>82015.137499999997</v>
      </c>
      <c r="AQ10" s="134">
        <f>IF($B10="",0,SUMPRODUCT(-('Gastos Gerais'!$F$4:$F$3143='Gastos das Atividades'!$B10),-('Gastos das Atividades'!AQ$3&gt;='Gastos Gerais'!$D$4:$D$3143),-('Gastos das Atividades'!AQ$3&lt;='Gastos Gerais'!$E$4:$E$3143),-('Gastos Gerais'!$C$4:$C$3143)))</f>
        <v>80715.137499999997</v>
      </c>
      <c r="AR10" s="134">
        <f>IF($B10="",0,SUMPRODUCT(-('Gastos Gerais'!$F$4:$F$3143='Gastos das Atividades'!$B10),-('Gastos das Atividades'!AR$3&gt;='Gastos Gerais'!$D$4:$D$3143),-('Gastos das Atividades'!AR$3&lt;='Gastos Gerais'!$E$4:$E$3143),-('Gastos Gerais'!$C$4:$C$3143)))</f>
        <v>79465.137499999997</v>
      </c>
      <c r="AS10" s="134">
        <f>IF($B10="",0,SUMPRODUCT(-('Gastos Gerais'!$F$4:$F$3143='Gastos das Atividades'!$B10),-('Gastos das Atividades'!AS$3&gt;='Gastos Gerais'!$D$4:$D$3143),-('Gastos das Atividades'!AS$3&lt;='Gastos Gerais'!$E$4:$E$3143),-('Gastos Gerais'!$C$4:$C$3143)))</f>
        <v>79465.137499999997</v>
      </c>
      <c r="AT10" s="134">
        <f>IF($B10="",0,SUMPRODUCT(-('Gastos Gerais'!$F$4:$F$3143='Gastos das Atividades'!$B10),-('Gastos das Atividades'!AT$3&gt;='Gastos Gerais'!$D$4:$D$3143),-('Gastos das Atividades'!AT$3&lt;='Gastos Gerais'!$E$4:$E$3143),-('Gastos Gerais'!$C$4:$C$3143)))</f>
        <v>78619.137499999997</v>
      </c>
      <c r="AU10" s="134">
        <f>IF($B10="",0,SUMPRODUCT(-('Gastos Gerais'!$F$4:$F$3143='Gastos das Atividades'!$B10),-('Gastos das Atividades'!AU$3&gt;='Gastos Gerais'!$D$4:$D$3143),-('Gastos das Atividades'!AU$3&lt;='Gastos Gerais'!$E$4:$E$3143),-('Gastos Gerais'!$C$4:$C$3143)))</f>
        <v>78619.137499999997</v>
      </c>
      <c r="AV10" s="134">
        <f>IF($B10="",0,SUMPRODUCT(-('Gastos Gerais'!$F$4:$F$3143='Gastos das Atividades'!$B10),-('Gastos das Atividades'!AV$3&gt;='Gastos Gerais'!$D$4:$D$3143),-('Gastos das Atividades'!AV$3&lt;='Gastos Gerais'!$E$4:$E$3143),-('Gastos Gerais'!$C$4:$C$3143)))</f>
        <v>78619.137499999997</v>
      </c>
      <c r="AW10" s="134">
        <f>IF($B10="",0,SUMPRODUCT(-('Gastos Gerais'!$F$4:$F$3143='Gastos das Atividades'!$B10),-('Gastos das Atividades'!AW$3&gt;='Gastos Gerais'!$D$4:$D$3143),-('Gastos das Atividades'!AW$3&lt;='Gastos Gerais'!$E$4:$E$3143),-('Gastos Gerais'!$C$4:$C$3143)))</f>
        <v>78619.137499999997</v>
      </c>
      <c r="AX10" s="134">
        <f>IF($B10="",0,SUMPRODUCT(-('Gastos Gerais'!$F$4:$F$3143='Gastos das Atividades'!$B10),-('Gastos das Atividades'!AX$3&gt;='Gastos Gerais'!$D$4:$D$3143),-('Gastos das Atividades'!AX$3&lt;='Gastos Gerais'!$E$4:$E$3143),-('Gastos Gerais'!$C$4:$C$3143)))</f>
        <v>78619.137499999997</v>
      </c>
      <c r="AY10" s="134">
        <f>IF($B10="",0,SUMPRODUCT(-('Gastos Gerais'!$F$4:$F$3143='Gastos das Atividades'!$B10),-('Gastos das Atividades'!AY$3&gt;='Gastos Gerais'!$D$4:$D$3143),-('Gastos das Atividades'!AY$3&lt;='Gastos Gerais'!$E$4:$E$3143),-('Gastos Gerais'!$C$4:$C$3143)))</f>
        <v>78619.137499999997</v>
      </c>
      <c r="AZ10" s="134">
        <f>IF($B10="",0,SUMPRODUCT(-('Gastos Gerais'!$F$4:$F$3143='Gastos das Atividades'!$B10),-('Gastos das Atividades'!AZ$3&gt;='Gastos Gerais'!$D$4:$D$3143),-('Gastos das Atividades'!AZ$3&lt;='Gastos Gerais'!$E$4:$E$3143),-('Gastos Gerais'!$C$4:$C$3143)))</f>
        <v>44839</v>
      </c>
      <c r="BA10" s="134">
        <f>IF($B10="",0,SUMPRODUCT(-('Gastos Gerais'!$F$4:$F$3143='Gastos das Atividades'!$B10),-('Gastos das Atividades'!BA$3&gt;='Gastos Gerais'!$D$4:$D$3143),-('Gastos das Atividades'!BA$3&lt;='Gastos Gerais'!$E$4:$E$3143),-('Gastos Gerais'!$C$4:$C$3143)))</f>
        <v>44089</v>
      </c>
      <c r="BB10" s="134">
        <f>IF($B10="",0,SUMPRODUCT(-('Gastos Gerais'!$F$4:$F$3143='Gastos das Atividades'!$B10),-('Gastos das Atividades'!BB$3&gt;='Gastos Gerais'!$D$4:$D$3143),-('Gastos das Atividades'!BB$3&lt;='Gastos Gerais'!$E$4:$E$3143),-('Gastos Gerais'!$C$4:$C$3143)))</f>
        <v>43439</v>
      </c>
      <c r="BC10" s="134">
        <f>IF($B10="",0,SUMPRODUCT(-('Gastos Gerais'!$F$4:$F$3143='Gastos das Atividades'!$B10),-('Gastos das Atividades'!BC$3&gt;='Gastos Gerais'!$D$4:$D$3143),-('Gastos das Atividades'!BC$3&lt;='Gastos Gerais'!$E$4:$E$3143),-('Gastos Gerais'!$C$4:$C$3143)))</f>
        <v>42689</v>
      </c>
      <c r="BD10" s="134">
        <f>IF($B10="",0,SUMPRODUCT(-('Gastos Gerais'!$F$4:$F$3143='Gastos das Atividades'!$B10),-('Gastos das Atividades'!BD$3&gt;='Gastos Gerais'!$D$4:$D$3143),-('Gastos das Atividades'!BD$3&lt;='Gastos Gerais'!$E$4:$E$3143),-('Gastos Gerais'!$C$4:$C$3143)))</f>
        <v>41909</v>
      </c>
      <c r="BE10" s="134">
        <f>IF($B10="",0,SUMPRODUCT(-('Gastos Gerais'!$F$4:$F$3143='Gastos das Atividades'!$B10),-('Gastos das Atividades'!BE$3&gt;='Gastos Gerais'!$D$4:$D$3143),-('Gastos das Atividades'!BE$3&lt;='Gastos Gerais'!$E$4:$E$3143),-('Gastos Gerais'!$C$4:$C$3143)))</f>
        <v>41909</v>
      </c>
      <c r="BF10" s="134">
        <f>IF($B10="",0,SUMPRODUCT(-('Gastos Gerais'!$F$4:$F$3143='Gastos das Atividades'!$B10),-('Gastos das Atividades'!BF$3&gt;='Gastos Gerais'!$D$4:$D$3143),-('Gastos das Atividades'!BF$3&lt;='Gastos Gerais'!$E$4:$E$3143),-('Gastos Gerais'!$C$4:$C$3143)))</f>
        <v>41409</v>
      </c>
      <c r="BG10" s="134">
        <f>IF($B10="",0,SUMPRODUCT(-('Gastos Gerais'!$F$4:$F$3143='Gastos das Atividades'!$B10),-('Gastos das Atividades'!BG$3&gt;='Gastos Gerais'!$D$4:$D$3143),-('Gastos das Atividades'!BG$3&lt;='Gastos Gerais'!$E$4:$E$3143),-('Gastos Gerais'!$C$4:$C$3143)))</f>
        <v>41409</v>
      </c>
      <c r="BH10" s="134">
        <f>IF($B10="",0,SUMPRODUCT(-('Gastos Gerais'!$F$4:$F$3143='Gastos das Atividades'!$B10),-('Gastos das Atividades'!BH$3&gt;='Gastos Gerais'!$D$4:$D$3143),-('Gastos das Atividades'!BH$3&lt;='Gastos Gerais'!$E$4:$E$3143),-('Gastos Gerais'!$C$4:$C$3143)))</f>
        <v>41409</v>
      </c>
      <c r="BI10" s="134">
        <f>IF($B10="",0,SUMPRODUCT(-('Gastos Gerais'!$F$4:$F$3143='Gastos das Atividades'!$B10),-('Gastos das Atividades'!BI$3&gt;='Gastos Gerais'!$D$4:$D$3143),-('Gastos das Atividades'!BI$3&lt;='Gastos Gerais'!$E$4:$E$3143),-('Gastos Gerais'!$C$4:$C$3143)))</f>
        <v>41409</v>
      </c>
      <c r="BJ10" s="134">
        <f>IF($B10="",0,SUMPRODUCT(-('Gastos Gerais'!$F$4:$F$3143='Gastos das Atividades'!$B10),-('Gastos das Atividades'!BJ$3&gt;='Gastos Gerais'!$D$4:$D$3143),-('Gastos das Atividades'!BJ$3&lt;='Gastos Gerais'!$E$4:$E$3143),-('Gastos Gerais'!$C$4:$C$3143)))</f>
        <v>41409</v>
      </c>
      <c r="BK10" s="134">
        <f>IF($B10="",0,SUMPRODUCT(-('Gastos Gerais'!$F$4:$F$3143='Gastos das Atividades'!$B10),-('Gastos das Atividades'!BK$3&gt;='Gastos Gerais'!$D$4:$D$3143),-('Gastos das Atividades'!BK$3&lt;='Gastos Gerais'!$E$4:$E$3143),-('Gastos Gerais'!$C$4:$C$3143)))</f>
        <v>0</v>
      </c>
      <c r="BL10" s="134">
        <f>IF($B10="",0,SUMPRODUCT(-('Gastos Gerais'!$F$4:$F$3143='Gastos das Atividades'!$B10),-('Gastos das Atividades'!BL$3&gt;='Gastos Gerais'!$D$4:$D$3143),-('Gastos das Atividades'!BL$3&lt;='Gastos Gerais'!$E$4:$E$3143),-('Gastos Gerais'!$C$4:$C$3143)))</f>
        <v>0</v>
      </c>
      <c r="BM10" s="134">
        <f>IF($B10="",0,SUMPRODUCT(-('Gastos Gerais'!$F$4:$F$3143='Gastos das Atividades'!$B10),-('Gastos das Atividades'!BM$3&gt;='Gastos Gerais'!$D$4:$D$3143),-('Gastos das Atividades'!BM$3&lt;='Gastos Gerais'!$E$4:$E$3143),-('Gastos Gerais'!$C$4:$C$3143)))</f>
        <v>0</v>
      </c>
      <c r="BN10" s="134">
        <f>IF($B10="",0,SUMPRODUCT(-('Gastos Gerais'!$F$4:$F$3143='Gastos das Atividades'!$B10),-('Gastos das Atividades'!BN$3&gt;='Gastos Gerais'!$D$4:$D$3143),-('Gastos das Atividades'!BN$3&lt;='Gastos Gerais'!$E$4:$E$3143),-('Gastos Gerais'!$C$4:$C$3143)))</f>
        <v>0</v>
      </c>
      <c r="BO10" s="134">
        <f>IF($B10="",0,SUMPRODUCT(-('Gastos Gerais'!$F$4:$F$3143='Gastos das Atividades'!$B10),-('Gastos das Atividades'!BO$3&gt;='Gastos Gerais'!$D$4:$D$3143),-('Gastos das Atividades'!BO$3&lt;='Gastos Gerais'!$E$4:$E$3143),-('Gastos Gerais'!$C$4:$C$3143)))</f>
        <v>0</v>
      </c>
      <c r="BP10" s="134">
        <f>IF($B10="",0,SUMPRODUCT(-('Gastos Gerais'!$F$4:$F$3143='Gastos das Atividades'!$B10),-('Gastos das Atividades'!BP$3&gt;='Gastos Gerais'!$D$4:$D$3143),-('Gastos das Atividades'!BP$3&lt;='Gastos Gerais'!$E$4:$E$3143),-('Gastos Gerais'!$C$4:$C$3143)))</f>
        <v>0</v>
      </c>
      <c r="BQ10" s="134">
        <f>IF($B10="",0,SUMPRODUCT(-('Gastos Gerais'!$F$4:$F$3143='Gastos das Atividades'!$B10),-('Gastos das Atividades'!BQ$3&gt;='Gastos Gerais'!$D$4:$D$3143),-('Gastos das Atividades'!BQ$3&lt;='Gastos Gerais'!$E$4:$E$3143),-('Gastos Gerais'!$C$4:$C$3143)))</f>
        <v>0</v>
      </c>
      <c r="BR10" s="134">
        <f>IF($B10="",0,SUMPRODUCT(-('Gastos Gerais'!$F$4:$F$3143='Gastos das Atividades'!$B10),-('Gastos das Atividades'!BR$3&gt;='Gastos Gerais'!$D$4:$D$3143),-('Gastos das Atividades'!BR$3&lt;='Gastos Gerais'!$E$4:$E$3143),-('Gastos Gerais'!$C$4:$C$3143)))</f>
        <v>0</v>
      </c>
      <c r="BS10" s="134">
        <f>IF($B10="",0,SUMPRODUCT(-('Gastos Gerais'!$F$4:$F$3143='Gastos das Atividades'!$B10),-('Gastos das Atividades'!BS$3&gt;='Gastos Gerais'!$D$4:$D$3143),-('Gastos das Atividades'!BS$3&lt;='Gastos Gerais'!$E$4:$E$3143),-('Gastos Gerais'!$C$4:$C$3143)))</f>
        <v>0</v>
      </c>
      <c r="BT10" s="134">
        <f>IF($B10="",0,SUMPRODUCT(-('Gastos Gerais'!$F$4:$F$3143='Gastos das Atividades'!$B10),-('Gastos das Atividades'!BT$3&gt;='Gastos Gerais'!$D$4:$D$3143),-('Gastos das Atividades'!BT$3&lt;='Gastos Gerais'!$E$4:$E$3143),-('Gastos Gerais'!$C$4:$C$3143)))</f>
        <v>0</v>
      </c>
      <c r="BU10" s="134">
        <f>IF($B10="",0,SUMPRODUCT(-('Gastos Gerais'!$F$4:$F$3143='Gastos das Atividades'!$B10),-('Gastos das Atividades'!BU$3&gt;='Gastos Gerais'!$D$4:$D$3143),-('Gastos das Atividades'!BU$3&lt;='Gastos Gerais'!$E$4:$E$3143),-('Gastos Gerais'!$C$4:$C$3143)))</f>
        <v>0</v>
      </c>
      <c r="BV10" s="134">
        <f>IF($B10="",0,SUMPRODUCT(-('Gastos Gerais'!$F$4:$F$3143='Gastos das Atividades'!$B10),-('Gastos das Atividades'!BV$3&gt;='Gastos Gerais'!$D$4:$D$3143),-('Gastos das Atividades'!BV$3&lt;='Gastos Gerais'!$E$4:$E$3143),-('Gastos Gerais'!$C$4:$C$3143)))</f>
        <v>0</v>
      </c>
      <c r="BW10" s="134">
        <f>IF($B10="",0,SUMPRODUCT(-('Gastos Gerais'!$F$4:$F$3143='Gastos das Atividades'!$B10),-('Gastos das Atividades'!BW$3&gt;='Gastos Gerais'!$D$4:$D$3143),-('Gastos das Atividades'!BW$3&lt;='Gastos Gerais'!$E$4:$E$3143),-('Gastos Gerais'!$C$4:$C$3143)))</f>
        <v>0</v>
      </c>
    </row>
    <row r="11" spans="1:76">
      <c r="A11" s="138">
        <v>8</v>
      </c>
      <c r="B11" s="139" t="s">
        <v>604</v>
      </c>
      <c r="C11" s="132">
        <v>0</v>
      </c>
      <c r="D11" s="133">
        <f t="shared" si="0"/>
        <v>713032</v>
      </c>
      <c r="E11" s="134">
        <f t="shared" si="1"/>
        <v>713856</v>
      </c>
      <c r="F11" s="134">
        <f t="shared" si="1"/>
        <v>715431.19999999984</v>
      </c>
      <c r="G11" s="134">
        <f t="shared" si="1"/>
        <v>371769</v>
      </c>
      <c r="H11" s="134">
        <f t="shared" si="1"/>
        <v>0</v>
      </c>
      <c r="I11" s="135">
        <f t="shared" si="2"/>
        <v>2514088.2000000011</v>
      </c>
      <c r="J11" s="136">
        <f t="shared" si="3"/>
        <v>9.8553759757875718E-3</v>
      </c>
      <c r="K11" s="136">
        <f t="shared" si="4"/>
        <v>9.8667651277527697E-3</v>
      </c>
      <c r="L11" s="136">
        <f t="shared" si="5"/>
        <v>9.8885372056357525E-3</v>
      </c>
      <c r="M11" s="136">
        <f t="shared" si="6"/>
        <v>5.138511695327236E-3</v>
      </c>
      <c r="N11" s="136">
        <f t="shared" si="7"/>
        <v>0</v>
      </c>
      <c r="O11" s="137">
        <f t="shared" si="8"/>
        <v>3.4749190004503348E-2</v>
      </c>
      <c r="P11" s="134">
        <f>IF($B11="",0,SUMPRODUCT(-('Gastos Gerais'!$F$4:$F$3143='Gastos das Atividades'!$B11),-('Gastos das Atividades'!P$3&gt;='Gastos Gerais'!$D$4:$D$3143),-('Gastos das Atividades'!P$3&lt;='Gastos Gerais'!$E$4:$E$3143),-('Gastos Gerais'!$C$4:$C$3143)))</f>
        <v>62836</v>
      </c>
      <c r="Q11" s="134">
        <f>IF($B11="",0,SUMPRODUCT(-('Gastos Gerais'!$F$4:$F$3143='Gastos das Atividades'!$B11),-('Gastos das Atividades'!Q$3&gt;='Gastos Gerais'!$D$4:$D$3143),-('Gastos das Atividades'!Q$3&lt;='Gastos Gerais'!$E$4:$E$3143),-('Gastos Gerais'!$C$4:$C$3143)))</f>
        <v>61836</v>
      </c>
      <c r="R11" s="134">
        <f>IF($B11="",0,SUMPRODUCT(-('Gastos Gerais'!$F$4:$F$3143='Gastos das Atividades'!$B11),-('Gastos das Atividades'!R$3&gt;='Gastos Gerais'!$D$4:$D$3143),-('Gastos das Atividades'!R$3&lt;='Gastos Gerais'!$E$4:$E$3143),-('Gastos Gerais'!$C$4:$C$3143)))</f>
        <v>59836</v>
      </c>
      <c r="S11" s="134">
        <f>IF($B11="",0,SUMPRODUCT(-('Gastos Gerais'!$F$4:$F$3143='Gastos das Atividades'!$B11),-('Gastos das Atividades'!S$3&gt;='Gastos Gerais'!$D$4:$D$3143),-('Gastos das Atividades'!S$3&lt;='Gastos Gerais'!$E$4:$E$3143),-('Gastos Gerais'!$C$4:$C$3143)))</f>
        <v>59836</v>
      </c>
      <c r="T11" s="134">
        <f>IF($B11="",0,SUMPRODUCT(-('Gastos Gerais'!$F$4:$F$3143='Gastos das Atividades'!$B11),-('Gastos das Atividades'!T$3&gt;='Gastos Gerais'!$D$4:$D$3143),-('Gastos das Atividades'!T$3&lt;='Gastos Gerais'!$E$4:$E$3143),-('Gastos Gerais'!$C$4:$C$3143)))</f>
        <v>58586</v>
      </c>
      <c r="U11" s="134">
        <f>IF($B11="",0,SUMPRODUCT(-('Gastos Gerais'!$F$4:$F$3143='Gastos das Atividades'!$B11),-('Gastos das Atividades'!U$3&gt;='Gastos Gerais'!$D$4:$D$3143),-('Gastos das Atividades'!U$3&lt;='Gastos Gerais'!$E$4:$E$3143),-('Gastos Gerais'!$C$4:$C$3143)))</f>
        <v>58586</v>
      </c>
      <c r="V11" s="134">
        <f>IF($B11="",0,SUMPRODUCT(-('Gastos Gerais'!$F$4:$F$3143='Gastos das Atividades'!$B11),-('Gastos das Atividades'!V$3&gt;='Gastos Gerais'!$D$4:$D$3143),-('Gastos das Atividades'!V$3&lt;='Gastos Gerais'!$E$4:$E$3143),-('Gastos Gerais'!$C$4:$C$3143)))</f>
        <v>58586</v>
      </c>
      <c r="W11" s="134">
        <f>IF($B11="",0,SUMPRODUCT(-('Gastos Gerais'!$F$4:$F$3143='Gastos das Atividades'!$B11),-('Gastos das Atividades'!W$3&gt;='Gastos Gerais'!$D$4:$D$3143),-('Gastos das Atividades'!W$3&lt;='Gastos Gerais'!$E$4:$E$3143),-('Gastos Gerais'!$C$4:$C$3143)))</f>
        <v>58586</v>
      </c>
      <c r="X11" s="134">
        <f>IF($B11="",0,SUMPRODUCT(-('Gastos Gerais'!$F$4:$F$3143='Gastos das Atividades'!$B11),-('Gastos das Atividades'!X$3&gt;='Gastos Gerais'!$D$4:$D$3143),-('Gastos das Atividades'!X$3&lt;='Gastos Gerais'!$E$4:$E$3143),-('Gastos Gerais'!$C$4:$C$3143)))</f>
        <v>58586</v>
      </c>
      <c r="Y11" s="134">
        <f>IF($B11="",0,SUMPRODUCT(-('Gastos Gerais'!$F$4:$F$3143='Gastos das Atividades'!$B11),-('Gastos das Atividades'!Y$3&gt;='Gastos Gerais'!$D$4:$D$3143),-('Gastos das Atividades'!Y$3&lt;='Gastos Gerais'!$E$4:$E$3143),-('Gastos Gerais'!$C$4:$C$3143)))</f>
        <v>58586</v>
      </c>
      <c r="Z11" s="134">
        <f>IF($B11="",0,SUMPRODUCT(-('Gastos Gerais'!$F$4:$F$3143='Gastos das Atividades'!$B11),-('Gastos das Atividades'!Z$3&gt;='Gastos Gerais'!$D$4:$D$3143),-('Gastos das Atividades'!Z$3&lt;='Gastos Gerais'!$E$4:$E$3143),-('Gastos Gerais'!$C$4:$C$3143)))</f>
        <v>58586</v>
      </c>
      <c r="AA11" s="134">
        <f>IF($B11="",0,SUMPRODUCT(-('Gastos Gerais'!$F$4:$F$3143='Gastos das Atividades'!$B11),-('Gastos das Atividades'!AA$3&gt;='Gastos Gerais'!$D$4:$D$3143),-('Gastos das Atividades'!AA$3&lt;='Gastos Gerais'!$E$4:$E$3143),-('Gastos Gerais'!$C$4:$C$3143)))</f>
        <v>58586</v>
      </c>
      <c r="AB11" s="134">
        <f>IF($B11="",0,SUMPRODUCT(-('Gastos Gerais'!$F$4:$F$3143='Gastos das Atividades'!$B11),-('Gastos das Atividades'!AB$3&gt;='Gastos Gerais'!$D$4:$D$3143),-('Gastos das Atividades'!AB$3&lt;='Gastos Gerais'!$E$4:$E$3143),-('Gastos Gerais'!$C$4:$C$3143)))</f>
        <v>62888</v>
      </c>
      <c r="AC11" s="134">
        <f>IF($B11="",0,SUMPRODUCT(-('Gastos Gerais'!$F$4:$F$3143='Gastos das Atividades'!$B11),-('Gastos das Atividades'!AC$3&gt;='Gastos Gerais'!$D$4:$D$3143),-('Gastos das Atividades'!AC$3&lt;='Gastos Gerais'!$E$4:$E$3143),-('Gastos Gerais'!$C$4:$C$3143)))</f>
        <v>60088</v>
      </c>
      <c r="AD11" s="134">
        <f>IF($B11="",0,SUMPRODUCT(-('Gastos Gerais'!$F$4:$F$3143='Gastos das Atividades'!$B11),-('Gastos das Atividades'!AD$3&gt;='Gastos Gerais'!$D$4:$D$3143),-('Gastos das Atividades'!AD$3&lt;='Gastos Gerais'!$E$4:$E$3143),-('Gastos Gerais'!$C$4:$C$3143)))</f>
        <v>60088</v>
      </c>
      <c r="AE11" s="134">
        <f>IF($B11="",0,SUMPRODUCT(-('Gastos Gerais'!$F$4:$F$3143='Gastos das Atividades'!$B11),-('Gastos das Atividades'!AE$3&gt;='Gastos Gerais'!$D$4:$D$3143),-('Gastos das Atividades'!AE$3&lt;='Gastos Gerais'!$E$4:$E$3143),-('Gastos Gerais'!$C$4:$C$3143)))</f>
        <v>60088</v>
      </c>
      <c r="AF11" s="134">
        <f>IF($B11="",0,SUMPRODUCT(-('Gastos Gerais'!$F$4:$F$3143='Gastos das Atividades'!$B11),-('Gastos das Atividades'!AF$3&gt;='Gastos Gerais'!$D$4:$D$3143),-('Gastos das Atividades'!AF$3&lt;='Gastos Gerais'!$E$4:$E$3143),-('Gastos Gerais'!$C$4:$C$3143)))</f>
        <v>58838</v>
      </c>
      <c r="AG11" s="134">
        <f>IF($B11="",0,SUMPRODUCT(-('Gastos Gerais'!$F$4:$F$3143='Gastos das Atividades'!$B11),-('Gastos das Atividades'!AG$3&gt;='Gastos Gerais'!$D$4:$D$3143),-('Gastos das Atividades'!AG$3&lt;='Gastos Gerais'!$E$4:$E$3143),-('Gastos Gerais'!$C$4:$C$3143)))</f>
        <v>58838</v>
      </c>
      <c r="AH11" s="134">
        <f>IF($B11="",0,SUMPRODUCT(-('Gastos Gerais'!$F$4:$F$3143='Gastos das Atividades'!$B11),-('Gastos das Atividades'!AH$3&gt;='Gastos Gerais'!$D$4:$D$3143),-('Gastos das Atividades'!AH$3&lt;='Gastos Gerais'!$E$4:$E$3143),-('Gastos Gerais'!$C$4:$C$3143)))</f>
        <v>58838</v>
      </c>
      <c r="AI11" s="134">
        <f>IF($B11="",0,SUMPRODUCT(-('Gastos Gerais'!$F$4:$F$3143='Gastos das Atividades'!$B11),-('Gastos das Atividades'!AI$3&gt;='Gastos Gerais'!$D$4:$D$3143),-('Gastos das Atividades'!AI$3&lt;='Gastos Gerais'!$E$4:$E$3143),-('Gastos Gerais'!$C$4:$C$3143)))</f>
        <v>58838</v>
      </c>
      <c r="AJ11" s="134">
        <f>IF($B11="",0,SUMPRODUCT(-('Gastos Gerais'!$F$4:$F$3143='Gastos das Atividades'!$B11),-('Gastos das Atividades'!AJ$3&gt;='Gastos Gerais'!$D$4:$D$3143),-('Gastos das Atividades'!AJ$3&lt;='Gastos Gerais'!$E$4:$E$3143),-('Gastos Gerais'!$C$4:$C$3143)))</f>
        <v>58838</v>
      </c>
      <c r="AK11" s="134">
        <f>IF($B11="",0,SUMPRODUCT(-('Gastos Gerais'!$F$4:$F$3143='Gastos das Atividades'!$B11),-('Gastos das Atividades'!AK$3&gt;='Gastos Gerais'!$D$4:$D$3143),-('Gastos das Atividades'!AK$3&lt;='Gastos Gerais'!$E$4:$E$3143),-('Gastos Gerais'!$C$4:$C$3143)))</f>
        <v>58838</v>
      </c>
      <c r="AL11" s="134">
        <f>IF($B11="",0,SUMPRODUCT(-('Gastos Gerais'!$F$4:$F$3143='Gastos das Atividades'!$B11),-('Gastos das Atividades'!AL$3&gt;='Gastos Gerais'!$D$4:$D$3143),-('Gastos das Atividades'!AL$3&lt;='Gastos Gerais'!$E$4:$E$3143),-('Gastos Gerais'!$C$4:$C$3143)))</f>
        <v>58838</v>
      </c>
      <c r="AM11" s="134">
        <f>IF($B11="",0,SUMPRODUCT(-('Gastos Gerais'!$F$4:$F$3143='Gastos das Atividades'!$B11),-('Gastos das Atividades'!AM$3&gt;='Gastos Gerais'!$D$4:$D$3143),-('Gastos das Atividades'!AM$3&lt;='Gastos Gerais'!$E$4:$E$3143),-('Gastos Gerais'!$C$4:$C$3143)))</f>
        <v>58838</v>
      </c>
      <c r="AN11" s="134">
        <f>IF($B11="",0,SUMPRODUCT(-('Gastos Gerais'!$F$4:$F$3143='Gastos das Atividades'!$B11),-('Gastos das Atividades'!AN$3&gt;='Gastos Gerais'!$D$4:$D$3143),-('Gastos das Atividades'!AN$3&lt;='Gastos Gerais'!$E$4:$E$3143),-('Gastos Gerais'!$C$4:$C$3143)))</f>
        <v>62852.6</v>
      </c>
      <c r="AO11" s="134">
        <f>IF($B11="",0,SUMPRODUCT(-('Gastos Gerais'!$F$4:$F$3143='Gastos das Atividades'!$B11),-('Gastos das Atividades'!AO$3&gt;='Gastos Gerais'!$D$4:$D$3143),-('Gastos das Atividades'!AO$3&lt;='Gastos Gerais'!$E$4:$E$3143),-('Gastos Gerais'!$C$4:$C$3143)))</f>
        <v>62052.6</v>
      </c>
      <c r="AP11" s="134">
        <f>IF($B11="",0,SUMPRODUCT(-('Gastos Gerais'!$F$4:$F$3143='Gastos das Atividades'!$B11),-('Gastos das Atividades'!AP$3&gt;='Gastos Gerais'!$D$4:$D$3143),-('Gastos das Atividades'!AP$3&lt;='Gastos Gerais'!$E$4:$E$3143),-('Gastos Gerais'!$C$4:$C$3143)))</f>
        <v>60052.6</v>
      </c>
      <c r="AQ11" s="134">
        <f>IF($B11="",0,SUMPRODUCT(-('Gastos Gerais'!$F$4:$F$3143='Gastos das Atividades'!$B11),-('Gastos das Atividades'!AQ$3&gt;='Gastos Gerais'!$D$4:$D$3143),-('Gastos das Atividades'!AQ$3&lt;='Gastos Gerais'!$E$4:$E$3143),-('Gastos Gerais'!$C$4:$C$3143)))</f>
        <v>60052.6</v>
      </c>
      <c r="AR11" s="134">
        <f>IF($B11="",0,SUMPRODUCT(-('Gastos Gerais'!$F$4:$F$3143='Gastos das Atividades'!$B11),-('Gastos das Atividades'!AR$3&gt;='Gastos Gerais'!$D$4:$D$3143),-('Gastos das Atividades'!AR$3&lt;='Gastos Gerais'!$E$4:$E$3143),-('Gastos Gerais'!$C$4:$C$3143)))</f>
        <v>58802.6</v>
      </c>
      <c r="AS11" s="134">
        <f>IF($B11="",0,SUMPRODUCT(-('Gastos Gerais'!$F$4:$F$3143='Gastos das Atividades'!$B11),-('Gastos das Atividades'!AS$3&gt;='Gastos Gerais'!$D$4:$D$3143),-('Gastos das Atividades'!AS$3&lt;='Gastos Gerais'!$E$4:$E$3143),-('Gastos Gerais'!$C$4:$C$3143)))</f>
        <v>58802.6</v>
      </c>
      <c r="AT11" s="134">
        <f>IF($B11="",0,SUMPRODUCT(-('Gastos Gerais'!$F$4:$F$3143='Gastos das Atividades'!$B11),-('Gastos das Atividades'!AT$3&gt;='Gastos Gerais'!$D$4:$D$3143),-('Gastos das Atividades'!AT$3&lt;='Gastos Gerais'!$E$4:$E$3143),-('Gastos Gerais'!$C$4:$C$3143)))</f>
        <v>58802.6</v>
      </c>
      <c r="AU11" s="134">
        <f>IF($B11="",0,SUMPRODUCT(-('Gastos Gerais'!$F$4:$F$3143='Gastos das Atividades'!$B11),-('Gastos das Atividades'!AU$3&gt;='Gastos Gerais'!$D$4:$D$3143),-('Gastos das Atividades'!AU$3&lt;='Gastos Gerais'!$E$4:$E$3143),-('Gastos Gerais'!$C$4:$C$3143)))</f>
        <v>58802.6</v>
      </c>
      <c r="AV11" s="134">
        <f>IF($B11="",0,SUMPRODUCT(-('Gastos Gerais'!$F$4:$F$3143='Gastos das Atividades'!$B11),-('Gastos das Atividades'!AV$3&gt;='Gastos Gerais'!$D$4:$D$3143),-('Gastos das Atividades'!AV$3&lt;='Gastos Gerais'!$E$4:$E$3143),-('Gastos Gerais'!$C$4:$C$3143)))</f>
        <v>58802.6</v>
      </c>
      <c r="AW11" s="134">
        <f>IF($B11="",0,SUMPRODUCT(-('Gastos Gerais'!$F$4:$F$3143='Gastos das Atividades'!$B11),-('Gastos das Atividades'!AW$3&gt;='Gastos Gerais'!$D$4:$D$3143),-('Gastos das Atividades'!AW$3&lt;='Gastos Gerais'!$E$4:$E$3143),-('Gastos Gerais'!$C$4:$C$3143)))</f>
        <v>58802.6</v>
      </c>
      <c r="AX11" s="134">
        <f>IF($B11="",0,SUMPRODUCT(-('Gastos Gerais'!$F$4:$F$3143='Gastos das Atividades'!$B11),-('Gastos das Atividades'!AX$3&gt;='Gastos Gerais'!$D$4:$D$3143),-('Gastos das Atividades'!AX$3&lt;='Gastos Gerais'!$E$4:$E$3143),-('Gastos Gerais'!$C$4:$C$3143)))</f>
        <v>58802.6</v>
      </c>
      <c r="AY11" s="134">
        <f>IF($B11="",0,SUMPRODUCT(-('Gastos Gerais'!$F$4:$F$3143='Gastos das Atividades'!$B11),-('Gastos das Atividades'!AY$3&gt;='Gastos Gerais'!$D$4:$D$3143),-('Gastos das Atividades'!AY$3&lt;='Gastos Gerais'!$E$4:$E$3143),-('Gastos Gerais'!$C$4:$C$3143)))</f>
        <v>58802.6</v>
      </c>
      <c r="AZ11" s="134">
        <f>IF($B11="",0,SUMPRODUCT(-('Gastos Gerais'!$F$4:$F$3143='Gastos das Atividades'!$B11),-('Gastos das Atividades'!AZ$3&gt;='Gastos Gerais'!$D$4:$D$3143),-('Gastos das Atividades'!AZ$3&lt;='Gastos Gerais'!$E$4:$E$3143),-('Gastos Gerais'!$C$4:$C$3143)))</f>
        <v>36189</v>
      </c>
      <c r="BA11" s="134">
        <f>IF($B11="",0,SUMPRODUCT(-('Gastos Gerais'!$F$4:$F$3143='Gastos das Atividades'!$B11),-('Gastos das Atividades'!BA$3&gt;='Gastos Gerais'!$D$4:$D$3143),-('Gastos das Atividades'!BA$3&lt;='Gastos Gerais'!$E$4:$E$3143),-('Gastos Gerais'!$C$4:$C$3143)))</f>
        <v>34689</v>
      </c>
      <c r="BB11" s="134">
        <f>IF($B11="",0,SUMPRODUCT(-('Gastos Gerais'!$F$4:$F$3143='Gastos das Atividades'!$B11),-('Gastos das Atividades'!BB$3&gt;='Gastos Gerais'!$D$4:$D$3143),-('Gastos das Atividades'!BB$3&lt;='Gastos Gerais'!$E$4:$E$3143),-('Gastos Gerais'!$C$4:$C$3143)))</f>
        <v>34039</v>
      </c>
      <c r="BC11" s="134">
        <f>IF($B11="",0,SUMPRODUCT(-('Gastos Gerais'!$F$4:$F$3143='Gastos das Atividades'!$B11),-('Gastos das Atividades'!BC$3&gt;='Gastos Gerais'!$D$4:$D$3143),-('Gastos das Atividades'!BC$3&lt;='Gastos Gerais'!$E$4:$E$3143),-('Gastos Gerais'!$C$4:$C$3143)))</f>
        <v>34039</v>
      </c>
      <c r="BD11" s="134">
        <f>IF($B11="",0,SUMPRODUCT(-('Gastos Gerais'!$F$4:$F$3143='Gastos das Atividades'!$B11),-('Gastos das Atividades'!BD$3&gt;='Gastos Gerais'!$D$4:$D$3143),-('Gastos das Atividades'!BD$3&lt;='Gastos Gerais'!$E$4:$E$3143),-('Gastos Gerais'!$C$4:$C$3143)))</f>
        <v>33259</v>
      </c>
      <c r="BE11" s="134">
        <f>IF($B11="",0,SUMPRODUCT(-('Gastos Gerais'!$F$4:$F$3143='Gastos das Atividades'!$B11),-('Gastos das Atividades'!BE$3&gt;='Gastos Gerais'!$D$4:$D$3143),-('Gastos das Atividades'!BE$3&lt;='Gastos Gerais'!$E$4:$E$3143),-('Gastos Gerais'!$C$4:$C$3143)))</f>
        <v>33259</v>
      </c>
      <c r="BF11" s="134">
        <f>IF($B11="",0,SUMPRODUCT(-('Gastos Gerais'!$F$4:$F$3143='Gastos das Atividades'!$B11),-('Gastos das Atividades'!BF$3&gt;='Gastos Gerais'!$D$4:$D$3143),-('Gastos das Atividades'!BF$3&lt;='Gastos Gerais'!$E$4:$E$3143),-('Gastos Gerais'!$C$4:$C$3143)))</f>
        <v>33259</v>
      </c>
      <c r="BG11" s="134">
        <f>IF($B11="",0,SUMPRODUCT(-('Gastos Gerais'!$F$4:$F$3143='Gastos das Atividades'!$B11),-('Gastos das Atividades'!BG$3&gt;='Gastos Gerais'!$D$4:$D$3143),-('Gastos das Atividades'!BG$3&lt;='Gastos Gerais'!$E$4:$E$3143),-('Gastos Gerais'!$C$4:$C$3143)))</f>
        <v>33259</v>
      </c>
      <c r="BH11" s="134">
        <f>IF($B11="",0,SUMPRODUCT(-('Gastos Gerais'!$F$4:$F$3143='Gastos das Atividades'!$B11),-('Gastos das Atividades'!BH$3&gt;='Gastos Gerais'!$D$4:$D$3143),-('Gastos das Atividades'!BH$3&lt;='Gastos Gerais'!$E$4:$E$3143),-('Gastos Gerais'!$C$4:$C$3143)))</f>
        <v>33259</v>
      </c>
      <c r="BI11" s="134">
        <f>IF($B11="",0,SUMPRODUCT(-('Gastos Gerais'!$F$4:$F$3143='Gastos das Atividades'!$B11),-('Gastos das Atividades'!BI$3&gt;='Gastos Gerais'!$D$4:$D$3143),-('Gastos das Atividades'!BI$3&lt;='Gastos Gerais'!$E$4:$E$3143),-('Gastos Gerais'!$C$4:$C$3143)))</f>
        <v>33259</v>
      </c>
      <c r="BJ11" s="134">
        <f>IF($B11="",0,SUMPRODUCT(-('Gastos Gerais'!$F$4:$F$3143='Gastos das Atividades'!$B11),-('Gastos das Atividades'!BJ$3&gt;='Gastos Gerais'!$D$4:$D$3143),-('Gastos das Atividades'!BJ$3&lt;='Gastos Gerais'!$E$4:$E$3143),-('Gastos Gerais'!$C$4:$C$3143)))</f>
        <v>33259</v>
      </c>
      <c r="BK11" s="134">
        <f>IF($B11="",0,SUMPRODUCT(-('Gastos Gerais'!$F$4:$F$3143='Gastos das Atividades'!$B11),-('Gastos das Atividades'!BK$3&gt;='Gastos Gerais'!$D$4:$D$3143),-('Gastos das Atividades'!BK$3&lt;='Gastos Gerais'!$E$4:$E$3143),-('Gastos Gerais'!$C$4:$C$3143)))</f>
        <v>0</v>
      </c>
      <c r="BL11" s="134">
        <f>IF($B11="",0,SUMPRODUCT(-('Gastos Gerais'!$F$4:$F$3143='Gastos das Atividades'!$B11),-('Gastos das Atividades'!BL$3&gt;='Gastos Gerais'!$D$4:$D$3143),-('Gastos das Atividades'!BL$3&lt;='Gastos Gerais'!$E$4:$E$3143),-('Gastos Gerais'!$C$4:$C$3143)))</f>
        <v>0</v>
      </c>
      <c r="BM11" s="134">
        <f>IF($B11="",0,SUMPRODUCT(-('Gastos Gerais'!$F$4:$F$3143='Gastos das Atividades'!$B11),-('Gastos das Atividades'!BM$3&gt;='Gastos Gerais'!$D$4:$D$3143),-('Gastos das Atividades'!BM$3&lt;='Gastos Gerais'!$E$4:$E$3143),-('Gastos Gerais'!$C$4:$C$3143)))</f>
        <v>0</v>
      </c>
      <c r="BN11" s="134">
        <f>IF($B11="",0,SUMPRODUCT(-('Gastos Gerais'!$F$4:$F$3143='Gastos das Atividades'!$B11),-('Gastos das Atividades'!BN$3&gt;='Gastos Gerais'!$D$4:$D$3143),-('Gastos das Atividades'!BN$3&lt;='Gastos Gerais'!$E$4:$E$3143),-('Gastos Gerais'!$C$4:$C$3143)))</f>
        <v>0</v>
      </c>
      <c r="BO11" s="134">
        <f>IF($B11="",0,SUMPRODUCT(-('Gastos Gerais'!$F$4:$F$3143='Gastos das Atividades'!$B11),-('Gastos das Atividades'!BO$3&gt;='Gastos Gerais'!$D$4:$D$3143),-('Gastos das Atividades'!BO$3&lt;='Gastos Gerais'!$E$4:$E$3143),-('Gastos Gerais'!$C$4:$C$3143)))</f>
        <v>0</v>
      </c>
      <c r="BP11" s="134">
        <f>IF($B11="",0,SUMPRODUCT(-('Gastos Gerais'!$F$4:$F$3143='Gastos das Atividades'!$B11),-('Gastos das Atividades'!BP$3&gt;='Gastos Gerais'!$D$4:$D$3143),-('Gastos das Atividades'!BP$3&lt;='Gastos Gerais'!$E$4:$E$3143),-('Gastos Gerais'!$C$4:$C$3143)))</f>
        <v>0</v>
      </c>
      <c r="BQ11" s="134">
        <f>IF($B11="",0,SUMPRODUCT(-('Gastos Gerais'!$F$4:$F$3143='Gastos das Atividades'!$B11),-('Gastos das Atividades'!BQ$3&gt;='Gastos Gerais'!$D$4:$D$3143),-('Gastos das Atividades'!BQ$3&lt;='Gastos Gerais'!$E$4:$E$3143),-('Gastos Gerais'!$C$4:$C$3143)))</f>
        <v>0</v>
      </c>
      <c r="BR11" s="134">
        <f>IF($B11="",0,SUMPRODUCT(-('Gastos Gerais'!$F$4:$F$3143='Gastos das Atividades'!$B11),-('Gastos das Atividades'!BR$3&gt;='Gastos Gerais'!$D$4:$D$3143),-('Gastos das Atividades'!BR$3&lt;='Gastos Gerais'!$E$4:$E$3143),-('Gastos Gerais'!$C$4:$C$3143)))</f>
        <v>0</v>
      </c>
      <c r="BS11" s="134">
        <f>IF($B11="",0,SUMPRODUCT(-('Gastos Gerais'!$F$4:$F$3143='Gastos das Atividades'!$B11),-('Gastos das Atividades'!BS$3&gt;='Gastos Gerais'!$D$4:$D$3143),-('Gastos das Atividades'!BS$3&lt;='Gastos Gerais'!$E$4:$E$3143),-('Gastos Gerais'!$C$4:$C$3143)))</f>
        <v>0</v>
      </c>
      <c r="BT11" s="134">
        <f>IF($B11="",0,SUMPRODUCT(-('Gastos Gerais'!$F$4:$F$3143='Gastos das Atividades'!$B11),-('Gastos das Atividades'!BT$3&gt;='Gastos Gerais'!$D$4:$D$3143),-('Gastos das Atividades'!BT$3&lt;='Gastos Gerais'!$E$4:$E$3143),-('Gastos Gerais'!$C$4:$C$3143)))</f>
        <v>0</v>
      </c>
      <c r="BU11" s="134">
        <f>IF($B11="",0,SUMPRODUCT(-('Gastos Gerais'!$F$4:$F$3143='Gastos das Atividades'!$B11),-('Gastos das Atividades'!BU$3&gt;='Gastos Gerais'!$D$4:$D$3143),-('Gastos das Atividades'!BU$3&lt;='Gastos Gerais'!$E$4:$E$3143),-('Gastos Gerais'!$C$4:$C$3143)))</f>
        <v>0</v>
      </c>
      <c r="BV11" s="134">
        <f>IF($B11="",0,SUMPRODUCT(-('Gastos Gerais'!$F$4:$F$3143='Gastos das Atividades'!$B11),-('Gastos das Atividades'!BV$3&gt;='Gastos Gerais'!$D$4:$D$3143),-('Gastos das Atividades'!BV$3&lt;='Gastos Gerais'!$E$4:$E$3143),-('Gastos Gerais'!$C$4:$C$3143)))</f>
        <v>0</v>
      </c>
      <c r="BW11" s="134">
        <f>IF($B11="",0,SUMPRODUCT(-('Gastos Gerais'!$F$4:$F$3143='Gastos das Atividades'!$B11),-('Gastos das Atividades'!BW$3&gt;='Gastos Gerais'!$D$4:$D$3143),-('Gastos das Atividades'!BW$3&lt;='Gastos Gerais'!$E$4:$E$3143),-('Gastos Gerais'!$C$4:$C$3143)))</f>
        <v>0</v>
      </c>
    </row>
    <row r="12" spans="1:76">
      <c r="A12" s="138">
        <v>9</v>
      </c>
      <c r="B12" s="139" t="s">
        <v>605</v>
      </c>
      <c r="C12" s="132">
        <v>0</v>
      </c>
      <c r="D12" s="133">
        <f t="shared" si="0"/>
        <v>646876</v>
      </c>
      <c r="E12" s="134">
        <f t="shared" si="1"/>
        <v>643476</v>
      </c>
      <c r="F12" s="134">
        <f t="shared" si="1"/>
        <v>645476</v>
      </c>
      <c r="G12" s="134">
        <f t="shared" si="1"/>
        <v>314779</v>
      </c>
      <c r="H12" s="134">
        <f t="shared" si="1"/>
        <v>0</v>
      </c>
      <c r="I12" s="135">
        <f t="shared" si="2"/>
        <v>2250607</v>
      </c>
      <c r="J12" s="136">
        <f t="shared" si="3"/>
        <v>8.9409818769894765E-3</v>
      </c>
      <c r="K12" s="136">
        <f t="shared" si="4"/>
        <v>8.8939878033466712E-3</v>
      </c>
      <c r="L12" s="136">
        <f t="shared" si="5"/>
        <v>8.9216313760777325E-3</v>
      </c>
      <c r="M12" s="136">
        <f t="shared" si="6"/>
        <v>4.3508080903556026E-3</v>
      </c>
      <c r="N12" s="136">
        <f t="shared" si="7"/>
        <v>0</v>
      </c>
      <c r="O12" s="137">
        <f t="shared" si="8"/>
        <v>3.1107409146769485E-2</v>
      </c>
      <c r="P12" s="134">
        <f>IF($B12="",0,SUMPRODUCT(-('Gastos Gerais'!$F$4:$F$3143='Gastos das Atividades'!$B12),-('Gastos das Atividades'!P$3&gt;='Gastos Gerais'!$D$4:$D$3143),-('Gastos das Atividades'!P$3&lt;='Gastos Gerais'!$E$4:$E$3143),-('Gastos Gerais'!$C$4:$C$3143)))</f>
        <v>55996</v>
      </c>
      <c r="Q12" s="134">
        <f>IF($B12="",0,SUMPRODUCT(-('Gastos Gerais'!$F$4:$F$3143='Gastos das Atividades'!$B12),-('Gastos das Atividades'!Q$3&gt;='Gastos Gerais'!$D$4:$D$3143),-('Gastos das Atividades'!Q$3&lt;='Gastos Gerais'!$E$4:$E$3143),-('Gastos Gerais'!$C$4:$C$3143)))</f>
        <v>54496</v>
      </c>
      <c r="R12" s="134">
        <f>IF($B12="",0,SUMPRODUCT(-('Gastos Gerais'!$F$4:$F$3143='Gastos das Atividades'!$B12),-('Gastos das Atividades'!R$3&gt;='Gastos Gerais'!$D$4:$D$3143),-('Gastos das Atividades'!R$3&lt;='Gastos Gerais'!$E$4:$E$3143),-('Gastos Gerais'!$C$4:$C$3143)))</f>
        <v>54496</v>
      </c>
      <c r="S12" s="134">
        <f>IF($B12="",0,SUMPRODUCT(-('Gastos Gerais'!$F$4:$F$3143='Gastos das Atividades'!$B12),-('Gastos das Atividades'!S$3&gt;='Gastos Gerais'!$D$4:$D$3143),-('Gastos das Atividades'!S$3&lt;='Gastos Gerais'!$E$4:$E$3143),-('Gastos Gerais'!$C$4:$C$3143)))</f>
        <v>54496</v>
      </c>
      <c r="T12" s="134">
        <f>IF($B12="",0,SUMPRODUCT(-('Gastos Gerais'!$F$4:$F$3143='Gastos das Atividades'!$B12),-('Gastos das Atividades'!T$3&gt;='Gastos Gerais'!$D$4:$D$3143),-('Gastos das Atividades'!T$3&lt;='Gastos Gerais'!$E$4:$E$3143),-('Gastos Gerais'!$C$4:$C$3143)))</f>
        <v>54496</v>
      </c>
      <c r="U12" s="134">
        <f>IF($B12="",0,SUMPRODUCT(-('Gastos Gerais'!$F$4:$F$3143='Gastos das Atividades'!$B12),-('Gastos das Atividades'!U$3&gt;='Gastos Gerais'!$D$4:$D$3143),-('Gastos das Atividades'!U$3&lt;='Gastos Gerais'!$E$4:$E$3143),-('Gastos Gerais'!$C$4:$C$3143)))</f>
        <v>53996</v>
      </c>
      <c r="V12" s="134">
        <f>IF($B12="",0,SUMPRODUCT(-('Gastos Gerais'!$F$4:$F$3143='Gastos das Atividades'!$B12),-('Gastos das Atividades'!V$3&gt;='Gastos Gerais'!$D$4:$D$3143),-('Gastos das Atividades'!V$3&lt;='Gastos Gerais'!$E$4:$E$3143),-('Gastos Gerais'!$C$4:$C$3143)))</f>
        <v>53150</v>
      </c>
      <c r="W12" s="134">
        <f>IF($B12="",0,SUMPRODUCT(-('Gastos Gerais'!$F$4:$F$3143='Gastos das Atividades'!$B12),-('Gastos das Atividades'!W$3&gt;='Gastos Gerais'!$D$4:$D$3143),-('Gastos das Atividades'!W$3&lt;='Gastos Gerais'!$E$4:$E$3143),-('Gastos Gerais'!$C$4:$C$3143)))</f>
        <v>53150</v>
      </c>
      <c r="X12" s="134">
        <f>IF($B12="",0,SUMPRODUCT(-('Gastos Gerais'!$F$4:$F$3143='Gastos das Atividades'!$B12),-('Gastos das Atividades'!X$3&gt;='Gastos Gerais'!$D$4:$D$3143),-('Gastos das Atividades'!X$3&lt;='Gastos Gerais'!$E$4:$E$3143),-('Gastos Gerais'!$C$4:$C$3143)))</f>
        <v>53150</v>
      </c>
      <c r="Y12" s="134">
        <f>IF($B12="",0,SUMPRODUCT(-('Gastos Gerais'!$F$4:$F$3143='Gastos das Atividades'!$B12),-('Gastos das Atividades'!Y$3&gt;='Gastos Gerais'!$D$4:$D$3143),-('Gastos das Atividades'!Y$3&lt;='Gastos Gerais'!$E$4:$E$3143),-('Gastos Gerais'!$C$4:$C$3143)))</f>
        <v>53150</v>
      </c>
      <c r="Z12" s="134">
        <f>IF($B12="",0,SUMPRODUCT(-('Gastos Gerais'!$F$4:$F$3143='Gastos das Atividades'!$B12),-('Gastos das Atividades'!Z$3&gt;='Gastos Gerais'!$D$4:$D$3143),-('Gastos das Atividades'!Z$3&lt;='Gastos Gerais'!$E$4:$E$3143),-('Gastos Gerais'!$C$4:$C$3143)))</f>
        <v>53150</v>
      </c>
      <c r="AA12" s="134">
        <f>IF($B12="",0,SUMPRODUCT(-('Gastos Gerais'!$F$4:$F$3143='Gastos das Atividades'!$B12),-('Gastos das Atividades'!AA$3&gt;='Gastos Gerais'!$D$4:$D$3143),-('Gastos das Atividades'!AA$3&lt;='Gastos Gerais'!$E$4:$E$3143),-('Gastos Gerais'!$C$4:$C$3143)))</f>
        <v>53150</v>
      </c>
      <c r="AB12" s="134">
        <f>IF($B12="",0,SUMPRODUCT(-('Gastos Gerais'!$F$4:$F$3143='Gastos das Atividades'!$B12),-('Gastos das Atividades'!AB$3&gt;='Gastos Gerais'!$D$4:$D$3143),-('Gastos das Atividades'!AB$3&lt;='Gastos Gerais'!$E$4:$E$3143),-('Gastos Gerais'!$C$4:$C$3143)))</f>
        <v>55796</v>
      </c>
      <c r="AC12" s="134">
        <f>IF($B12="",0,SUMPRODUCT(-('Gastos Gerais'!$F$4:$F$3143='Gastos das Atividades'!$B12),-('Gastos das Atividades'!AC$3&gt;='Gastos Gerais'!$D$4:$D$3143),-('Gastos das Atividades'!AC$3&lt;='Gastos Gerais'!$E$4:$E$3143),-('Gastos Gerais'!$C$4:$C$3143)))</f>
        <v>54296</v>
      </c>
      <c r="AD12" s="134">
        <f>IF($B12="",0,SUMPRODUCT(-('Gastos Gerais'!$F$4:$F$3143='Gastos das Atividades'!$B12),-('Gastos das Atividades'!AD$3&gt;='Gastos Gerais'!$D$4:$D$3143),-('Gastos das Atividades'!AD$3&lt;='Gastos Gerais'!$E$4:$E$3143),-('Gastos Gerais'!$C$4:$C$3143)))</f>
        <v>54296</v>
      </c>
      <c r="AE12" s="134">
        <f>IF($B12="",0,SUMPRODUCT(-('Gastos Gerais'!$F$4:$F$3143='Gastos das Atividades'!$B12),-('Gastos das Atividades'!AE$3&gt;='Gastos Gerais'!$D$4:$D$3143),-('Gastos das Atividades'!AE$3&lt;='Gastos Gerais'!$E$4:$E$3143),-('Gastos Gerais'!$C$4:$C$3143)))</f>
        <v>53796</v>
      </c>
      <c r="AF12" s="134">
        <f>IF($B12="",0,SUMPRODUCT(-('Gastos Gerais'!$F$4:$F$3143='Gastos das Atividades'!$B12),-('Gastos das Atividades'!AF$3&gt;='Gastos Gerais'!$D$4:$D$3143),-('Gastos das Atividades'!AF$3&lt;='Gastos Gerais'!$E$4:$E$3143),-('Gastos Gerais'!$C$4:$C$3143)))</f>
        <v>53796</v>
      </c>
      <c r="AG12" s="134">
        <f>IF($B12="",0,SUMPRODUCT(-('Gastos Gerais'!$F$4:$F$3143='Gastos das Atividades'!$B12),-('Gastos das Atividades'!AG$3&gt;='Gastos Gerais'!$D$4:$D$3143),-('Gastos das Atividades'!AG$3&lt;='Gastos Gerais'!$E$4:$E$3143),-('Gastos Gerais'!$C$4:$C$3143)))</f>
        <v>53796</v>
      </c>
      <c r="AH12" s="134">
        <f>IF($B12="",0,SUMPRODUCT(-('Gastos Gerais'!$F$4:$F$3143='Gastos das Atividades'!$B12),-('Gastos das Atividades'!AH$3&gt;='Gastos Gerais'!$D$4:$D$3143),-('Gastos das Atividades'!AH$3&lt;='Gastos Gerais'!$E$4:$E$3143),-('Gastos Gerais'!$C$4:$C$3143)))</f>
        <v>52950</v>
      </c>
      <c r="AI12" s="134">
        <f>IF($B12="",0,SUMPRODUCT(-('Gastos Gerais'!$F$4:$F$3143='Gastos das Atividades'!$B12),-('Gastos das Atividades'!AI$3&gt;='Gastos Gerais'!$D$4:$D$3143),-('Gastos das Atividades'!AI$3&lt;='Gastos Gerais'!$E$4:$E$3143),-('Gastos Gerais'!$C$4:$C$3143)))</f>
        <v>52950</v>
      </c>
      <c r="AJ12" s="134">
        <f>IF($B12="",0,SUMPRODUCT(-('Gastos Gerais'!$F$4:$F$3143='Gastos das Atividades'!$B12),-('Gastos das Atividades'!AJ$3&gt;='Gastos Gerais'!$D$4:$D$3143),-('Gastos das Atividades'!AJ$3&lt;='Gastos Gerais'!$E$4:$E$3143),-('Gastos Gerais'!$C$4:$C$3143)))</f>
        <v>52950</v>
      </c>
      <c r="AK12" s="134">
        <f>IF($B12="",0,SUMPRODUCT(-('Gastos Gerais'!$F$4:$F$3143='Gastos das Atividades'!$B12),-('Gastos das Atividades'!AK$3&gt;='Gastos Gerais'!$D$4:$D$3143),-('Gastos das Atividades'!AK$3&lt;='Gastos Gerais'!$E$4:$E$3143),-('Gastos Gerais'!$C$4:$C$3143)))</f>
        <v>52950</v>
      </c>
      <c r="AL12" s="134">
        <f>IF($B12="",0,SUMPRODUCT(-('Gastos Gerais'!$F$4:$F$3143='Gastos das Atividades'!$B12),-('Gastos das Atividades'!AL$3&gt;='Gastos Gerais'!$D$4:$D$3143),-('Gastos das Atividades'!AL$3&lt;='Gastos Gerais'!$E$4:$E$3143),-('Gastos Gerais'!$C$4:$C$3143)))</f>
        <v>52950</v>
      </c>
      <c r="AM12" s="134">
        <f>IF($B12="",0,SUMPRODUCT(-('Gastos Gerais'!$F$4:$F$3143='Gastos das Atividades'!$B12),-('Gastos das Atividades'!AM$3&gt;='Gastos Gerais'!$D$4:$D$3143),-('Gastos das Atividades'!AM$3&lt;='Gastos Gerais'!$E$4:$E$3143),-('Gastos Gerais'!$C$4:$C$3143)))</f>
        <v>52950</v>
      </c>
      <c r="AN12" s="134">
        <f>IF($B12="",0,SUMPRODUCT(-('Gastos Gerais'!$F$4:$F$3143='Gastos das Atividades'!$B12),-('Gastos das Atividades'!AN$3&gt;='Gastos Gerais'!$D$4:$D$3143),-('Gastos das Atividades'!AN$3&lt;='Gastos Gerais'!$E$4:$E$3143),-('Gastos Gerais'!$C$4:$C$3143)))</f>
        <v>55796</v>
      </c>
      <c r="AO12" s="134">
        <f>IF($B12="",0,SUMPRODUCT(-('Gastos Gerais'!$F$4:$F$3143='Gastos das Atividades'!$B12),-('Gastos das Atividades'!AO$3&gt;='Gastos Gerais'!$D$4:$D$3143),-('Gastos das Atividades'!AO$3&lt;='Gastos Gerais'!$E$4:$E$3143),-('Gastos Gerais'!$C$4:$C$3143)))</f>
        <v>56296</v>
      </c>
      <c r="AP12" s="134">
        <f>IF($B12="",0,SUMPRODUCT(-('Gastos Gerais'!$F$4:$F$3143='Gastos das Atividades'!$B12),-('Gastos das Atividades'!AP$3&gt;='Gastos Gerais'!$D$4:$D$3143),-('Gastos das Atividades'!AP$3&lt;='Gastos Gerais'!$E$4:$E$3143),-('Gastos Gerais'!$C$4:$C$3143)))</f>
        <v>54296</v>
      </c>
      <c r="AQ12" s="134">
        <f>IF($B12="",0,SUMPRODUCT(-('Gastos Gerais'!$F$4:$F$3143='Gastos das Atividades'!$B12),-('Gastos das Atividades'!AQ$3&gt;='Gastos Gerais'!$D$4:$D$3143),-('Gastos das Atividades'!AQ$3&lt;='Gastos Gerais'!$E$4:$E$3143),-('Gastos Gerais'!$C$4:$C$3143)))</f>
        <v>53796</v>
      </c>
      <c r="AR12" s="134">
        <f>IF($B12="",0,SUMPRODUCT(-('Gastos Gerais'!$F$4:$F$3143='Gastos das Atividades'!$B12),-('Gastos das Atividades'!AR$3&gt;='Gastos Gerais'!$D$4:$D$3143),-('Gastos das Atividades'!AR$3&lt;='Gastos Gerais'!$E$4:$E$3143),-('Gastos Gerais'!$C$4:$C$3143)))</f>
        <v>53796</v>
      </c>
      <c r="AS12" s="134">
        <f>IF($B12="",0,SUMPRODUCT(-('Gastos Gerais'!$F$4:$F$3143='Gastos das Atividades'!$B12),-('Gastos das Atividades'!AS$3&gt;='Gastos Gerais'!$D$4:$D$3143),-('Gastos das Atividades'!AS$3&lt;='Gastos Gerais'!$E$4:$E$3143),-('Gastos Gerais'!$C$4:$C$3143)))</f>
        <v>53796</v>
      </c>
      <c r="AT12" s="134">
        <f>IF($B12="",0,SUMPRODUCT(-('Gastos Gerais'!$F$4:$F$3143='Gastos das Atividades'!$B12),-('Gastos das Atividades'!AT$3&gt;='Gastos Gerais'!$D$4:$D$3143),-('Gastos das Atividades'!AT$3&lt;='Gastos Gerais'!$E$4:$E$3143),-('Gastos Gerais'!$C$4:$C$3143)))</f>
        <v>52950</v>
      </c>
      <c r="AU12" s="134">
        <f>IF($B12="",0,SUMPRODUCT(-('Gastos Gerais'!$F$4:$F$3143='Gastos das Atividades'!$B12),-('Gastos das Atividades'!AU$3&gt;='Gastos Gerais'!$D$4:$D$3143),-('Gastos das Atividades'!AU$3&lt;='Gastos Gerais'!$E$4:$E$3143),-('Gastos Gerais'!$C$4:$C$3143)))</f>
        <v>52950</v>
      </c>
      <c r="AV12" s="134">
        <f>IF($B12="",0,SUMPRODUCT(-('Gastos Gerais'!$F$4:$F$3143='Gastos das Atividades'!$B12),-('Gastos das Atividades'!AV$3&gt;='Gastos Gerais'!$D$4:$D$3143),-('Gastos das Atividades'!AV$3&lt;='Gastos Gerais'!$E$4:$E$3143),-('Gastos Gerais'!$C$4:$C$3143)))</f>
        <v>52950</v>
      </c>
      <c r="AW12" s="134">
        <f>IF($B12="",0,SUMPRODUCT(-('Gastos Gerais'!$F$4:$F$3143='Gastos das Atividades'!$B12),-('Gastos das Atividades'!AW$3&gt;='Gastos Gerais'!$D$4:$D$3143),-('Gastos das Atividades'!AW$3&lt;='Gastos Gerais'!$E$4:$E$3143),-('Gastos Gerais'!$C$4:$C$3143)))</f>
        <v>52950</v>
      </c>
      <c r="AX12" s="134">
        <f>IF($B12="",0,SUMPRODUCT(-('Gastos Gerais'!$F$4:$F$3143='Gastos das Atividades'!$B12),-('Gastos das Atividades'!AX$3&gt;='Gastos Gerais'!$D$4:$D$3143),-('Gastos das Atividades'!AX$3&lt;='Gastos Gerais'!$E$4:$E$3143),-('Gastos Gerais'!$C$4:$C$3143)))</f>
        <v>52950</v>
      </c>
      <c r="AY12" s="134">
        <f>IF($B12="",0,SUMPRODUCT(-('Gastos Gerais'!$F$4:$F$3143='Gastos das Atividades'!$B12),-('Gastos das Atividades'!AY$3&gt;='Gastos Gerais'!$D$4:$D$3143),-('Gastos das Atividades'!AY$3&lt;='Gastos Gerais'!$E$4:$E$3143),-('Gastos Gerais'!$C$4:$C$3143)))</f>
        <v>52950</v>
      </c>
      <c r="AZ12" s="134">
        <f>IF($B12="",0,SUMPRODUCT(-('Gastos Gerais'!$F$4:$F$3143='Gastos das Atividades'!$B12),-('Gastos das Atividades'!AZ$3&gt;='Gastos Gerais'!$D$4:$D$3143),-('Gastos das Atividades'!AZ$3&lt;='Gastos Gerais'!$E$4:$E$3143),-('Gastos Gerais'!$C$4:$C$3143)))</f>
        <v>30239</v>
      </c>
      <c r="BA12" s="134">
        <f>IF($B12="",0,SUMPRODUCT(-('Gastos Gerais'!$F$4:$F$3143='Gastos das Atividades'!$B12),-('Gastos das Atividades'!BA$3&gt;='Gastos Gerais'!$D$4:$D$3143),-('Gastos das Atividades'!BA$3&lt;='Gastos Gerais'!$E$4:$E$3143),-('Gastos Gerais'!$C$4:$C$3143)))</f>
        <v>29489</v>
      </c>
      <c r="BB12" s="134">
        <f>IF($B12="",0,SUMPRODUCT(-('Gastos Gerais'!$F$4:$F$3143='Gastos das Atividades'!$B12),-('Gastos das Atividades'!BB$3&gt;='Gastos Gerais'!$D$4:$D$3143),-('Gastos das Atividades'!BB$3&lt;='Gastos Gerais'!$E$4:$E$3143),-('Gastos Gerais'!$C$4:$C$3143)))</f>
        <v>28839</v>
      </c>
      <c r="BC12" s="134">
        <f>IF($B12="",0,SUMPRODUCT(-('Gastos Gerais'!$F$4:$F$3143='Gastos das Atividades'!$B12),-('Gastos das Atividades'!BC$3&gt;='Gastos Gerais'!$D$4:$D$3143),-('Gastos das Atividades'!BC$3&lt;='Gastos Gerais'!$E$4:$E$3143),-('Gastos Gerais'!$C$4:$C$3143)))</f>
        <v>28589</v>
      </c>
      <c r="BD12" s="134">
        <f>IF($B12="",0,SUMPRODUCT(-('Gastos Gerais'!$F$4:$F$3143='Gastos das Atividades'!$B12),-('Gastos das Atividades'!BD$3&gt;='Gastos Gerais'!$D$4:$D$3143),-('Gastos das Atividades'!BD$3&lt;='Gastos Gerais'!$E$4:$E$3143),-('Gastos Gerais'!$C$4:$C$3143)))</f>
        <v>28589</v>
      </c>
      <c r="BE12" s="134">
        <f>IF($B12="",0,SUMPRODUCT(-('Gastos Gerais'!$F$4:$F$3143='Gastos das Atividades'!$B12),-('Gastos das Atividades'!BE$3&gt;='Gastos Gerais'!$D$4:$D$3143),-('Gastos das Atividades'!BE$3&lt;='Gastos Gerais'!$E$4:$E$3143),-('Gastos Gerais'!$C$4:$C$3143)))</f>
        <v>28589</v>
      </c>
      <c r="BF12" s="134">
        <f>IF($B12="",0,SUMPRODUCT(-('Gastos Gerais'!$F$4:$F$3143='Gastos das Atividades'!$B12),-('Gastos das Atividades'!BF$3&gt;='Gastos Gerais'!$D$4:$D$3143),-('Gastos das Atividades'!BF$3&lt;='Gastos Gerais'!$E$4:$E$3143),-('Gastos Gerais'!$C$4:$C$3143)))</f>
        <v>28089</v>
      </c>
      <c r="BG12" s="134">
        <f>IF($B12="",0,SUMPRODUCT(-('Gastos Gerais'!$F$4:$F$3143='Gastos das Atividades'!$B12),-('Gastos das Atividades'!BG$3&gt;='Gastos Gerais'!$D$4:$D$3143),-('Gastos das Atividades'!BG$3&lt;='Gastos Gerais'!$E$4:$E$3143),-('Gastos Gerais'!$C$4:$C$3143)))</f>
        <v>28089</v>
      </c>
      <c r="BH12" s="134">
        <f>IF($B12="",0,SUMPRODUCT(-('Gastos Gerais'!$F$4:$F$3143='Gastos das Atividades'!$B12),-('Gastos das Atividades'!BH$3&gt;='Gastos Gerais'!$D$4:$D$3143),-('Gastos das Atividades'!BH$3&lt;='Gastos Gerais'!$E$4:$E$3143),-('Gastos Gerais'!$C$4:$C$3143)))</f>
        <v>28089</v>
      </c>
      <c r="BI12" s="134">
        <f>IF($B12="",0,SUMPRODUCT(-('Gastos Gerais'!$F$4:$F$3143='Gastos das Atividades'!$B12),-('Gastos das Atividades'!BI$3&gt;='Gastos Gerais'!$D$4:$D$3143),-('Gastos das Atividades'!BI$3&lt;='Gastos Gerais'!$E$4:$E$3143),-('Gastos Gerais'!$C$4:$C$3143)))</f>
        <v>28089</v>
      </c>
      <c r="BJ12" s="134">
        <f>IF($B12="",0,SUMPRODUCT(-('Gastos Gerais'!$F$4:$F$3143='Gastos das Atividades'!$B12),-('Gastos das Atividades'!BJ$3&gt;='Gastos Gerais'!$D$4:$D$3143),-('Gastos das Atividades'!BJ$3&lt;='Gastos Gerais'!$E$4:$E$3143),-('Gastos Gerais'!$C$4:$C$3143)))</f>
        <v>28089</v>
      </c>
      <c r="BK12" s="134">
        <f>IF($B12="",0,SUMPRODUCT(-('Gastos Gerais'!$F$4:$F$3143='Gastos das Atividades'!$B12),-('Gastos das Atividades'!BK$3&gt;='Gastos Gerais'!$D$4:$D$3143),-('Gastos das Atividades'!BK$3&lt;='Gastos Gerais'!$E$4:$E$3143),-('Gastos Gerais'!$C$4:$C$3143)))</f>
        <v>0</v>
      </c>
      <c r="BL12" s="134">
        <f>IF($B12="",0,SUMPRODUCT(-('Gastos Gerais'!$F$4:$F$3143='Gastos das Atividades'!$B12),-('Gastos das Atividades'!BL$3&gt;='Gastos Gerais'!$D$4:$D$3143),-('Gastos das Atividades'!BL$3&lt;='Gastos Gerais'!$E$4:$E$3143),-('Gastos Gerais'!$C$4:$C$3143)))</f>
        <v>0</v>
      </c>
      <c r="BM12" s="134">
        <f>IF($B12="",0,SUMPRODUCT(-('Gastos Gerais'!$F$4:$F$3143='Gastos das Atividades'!$B12),-('Gastos das Atividades'!BM$3&gt;='Gastos Gerais'!$D$4:$D$3143),-('Gastos das Atividades'!BM$3&lt;='Gastos Gerais'!$E$4:$E$3143),-('Gastos Gerais'!$C$4:$C$3143)))</f>
        <v>0</v>
      </c>
      <c r="BN12" s="134">
        <f>IF($B12="",0,SUMPRODUCT(-('Gastos Gerais'!$F$4:$F$3143='Gastos das Atividades'!$B12),-('Gastos das Atividades'!BN$3&gt;='Gastos Gerais'!$D$4:$D$3143),-('Gastos das Atividades'!BN$3&lt;='Gastos Gerais'!$E$4:$E$3143),-('Gastos Gerais'!$C$4:$C$3143)))</f>
        <v>0</v>
      </c>
      <c r="BO12" s="134">
        <f>IF($B12="",0,SUMPRODUCT(-('Gastos Gerais'!$F$4:$F$3143='Gastos das Atividades'!$B12),-('Gastos das Atividades'!BO$3&gt;='Gastos Gerais'!$D$4:$D$3143),-('Gastos das Atividades'!BO$3&lt;='Gastos Gerais'!$E$4:$E$3143),-('Gastos Gerais'!$C$4:$C$3143)))</f>
        <v>0</v>
      </c>
      <c r="BP12" s="134">
        <f>IF($B12="",0,SUMPRODUCT(-('Gastos Gerais'!$F$4:$F$3143='Gastos das Atividades'!$B12),-('Gastos das Atividades'!BP$3&gt;='Gastos Gerais'!$D$4:$D$3143),-('Gastos das Atividades'!BP$3&lt;='Gastos Gerais'!$E$4:$E$3143),-('Gastos Gerais'!$C$4:$C$3143)))</f>
        <v>0</v>
      </c>
      <c r="BQ12" s="134">
        <f>IF($B12="",0,SUMPRODUCT(-('Gastos Gerais'!$F$4:$F$3143='Gastos das Atividades'!$B12),-('Gastos das Atividades'!BQ$3&gt;='Gastos Gerais'!$D$4:$D$3143),-('Gastos das Atividades'!BQ$3&lt;='Gastos Gerais'!$E$4:$E$3143),-('Gastos Gerais'!$C$4:$C$3143)))</f>
        <v>0</v>
      </c>
      <c r="BR12" s="134">
        <f>IF($B12="",0,SUMPRODUCT(-('Gastos Gerais'!$F$4:$F$3143='Gastos das Atividades'!$B12),-('Gastos das Atividades'!BR$3&gt;='Gastos Gerais'!$D$4:$D$3143),-('Gastos das Atividades'!BR$3&lt;='Gastos Gerais'!$E$4:$E$3143),-('Gastos Gerais'!$C$4:$C$3143)))</f>
        <v>0</v>
      </c>
      <c r="BS12" s="134">
        <f>IF($B12="",0,SUMPRODUCT(-('Gastos Gerais'!$F$4:$F$3143='Gastos das Atividades'!$B12),-('Gastos das Atividades'!BS$3&gt;='Gastos Gerais'!$D$4:$D$3143),-('Gastos das Atividades'!BS$3&lt;='Gastos Gerais'!$E$4:$E$3143),-('Gastos Gerais'!$C$4:$C$3143)))</f>
        <v>0</v>
      </c>
      <c r="BT12" s="134">
        <f>IF($B12="",0,SUMPRODUCT(-('Gastos Gerais'!$F$4:$F$3143='Gastos das Atividades'!$B12),-('Gastos das Atividades'!BT$3&gt;='Gastos Gerais'!$D$4:$D$3143),-('Gastos das Atividades'!BT$3&lt;='Gastos Gerais'!$E$4:$E$3143),-('Gastos Gerais'!$C$4:$C$3143)))</f>
        <v>0</v>
      </c>
      <c r="BU12" s="134">
        <f>IF($B12="",0,SUMPRODUCT(-('Gastos Gerais'!$F$4:$F$3143='Gastos das Atividades'!$B12),-('Gastos das Atividades'!BU$3&gt;='Gastos Gerais'!$D$4:$D$3143),-('Gastos das Atividades'!BU$3&lt;='Gastos Gerais'!$E$4:$E$3143),-('Gastos Gerais'!$C$4:$C$3143)))</f>
        <v>0</v>
      </c>
      <c r="BV12" s="134">
        <f>IF($B12="",0,SUMPRODUCT(-('Gastos Gerais'!$F$4:$F$3143='Gastos das Atividades'!$B12),-('Gastos das Atividades'!BV$3&gt;='Gastos Gerais'!$D$4:$D$3143),-('Gastos das Atividades'!BV$3&lt;='Gastos Gerais'!$E$4:$E$3143),-('Gastos Gerais'!$C$4:$C$3143)))</f>
        <v>0</v>
      </c>
      <c r="BW12" s="134">
        <f>IF($B12="",0,SUMPRODUCT(-('Gastos Gerais'!$F$4:$F$3143='Gastos das Atividades'!$B12),-('Gastos das Atividades'!BW$3&gt;='Gastos Gerais'!$D$4:$D$3143),-('Gastos das Atividades'!BW$3&lt;='Gastos Gerais'!$E$4:$E$3143),-('Gastos Gerais'!$C$4:$C$3143)))</f>
        <v>0</v>
      </c>
    </row>
    <row r="13" spans="1:76">
      <c r="A13" s="138">
        <v>10</v>
      </c>
      <c r="B13" s="139" t="s">
        <v>606</v>
      </c>
      <c r="C13" s="132">
        <v>0</v>
      </c>
      <c r="D13" s="133">
        <f t="shared" si="0"/>
        <v>923930</v>
      </c>
      <c r="E13" s="134">
        <f t="shared" si="1"/>
        <v>924570</v>
      </c>
      <c r="F13" s="134">
        <f t="shared" si="1"/>
        <v>931262</v>
      </c>
      <c r="G13" s="134">
        <f t="shared" si="1"/>
        <v>446399</v>
      </c>
      <c r="H13" s="134">
        <f t="shared" si="1"/>
        <v>0</v>
      </c>
      <c r="I13" s="135">
        <f t="shared" si="2"/>
        <v>3226161</v>
      </c>
      <c r="J13" s="136">
        <f t="shared" si="3"/>
        <v>1.2770363076705408E-2</v>
      </c>
      <c r="K13" s="136">
        <f t="shared" si="4"/>
        <v>1.2779209019979348E-2</v>
      </c>
      <c r="L13" s="136">
        <f t="shared" si="5"/>
        <v>1.2871704414337484E-2</v>
      </c>
      <c r="M13" s="136">
        <f t="shared" si="6"/>
        <v>6.1700316117868428E-3</v>
      </c>
      <c r="N13" s="136">
        <f t="shared" si="7"/>
        <v>0</v>
      </c>
      <c r="O13" s="137">
        <f t="shared" si="8"/>
        <v>4.4591308122809085E-2</v>
      </c>
      <c r="P13" s="134">
        <f>IF($B13="",0,SUMPRODUCT(-('Gastos Gerais'!$F$4:$F$3143='Gastos das Atividades'!$B13),-('Gastos das Atividades'!P$3&gt;='Gastos Gerais'!$D$4:$D$3143),-('Gastos das Atividades'!P$3&lt;='Gastos Gerais'!$E$4:$E$3143),-('Gastos Gerais'!$C$4:$C$3143)))</f>
        <v>77850</v>
      </c>
      <c r="Q13" s="134">
        <f>IF($B13="",0,SUMPRODUCT(-('Gastos Gerais'!$F$4:$F$3143='Gastos das Atividades'!$B13),-('Gastos das Atividades'!Q$3&gt;='Gastos Gerais'!$D$4:$D$3143),-('Gastos das Atividades'!Q$3&lt;='Gastos Gerais'!$E$4:$E$3143),-('Gastos Gerais'!$C$4:$C$3143)))</f>
        <v>79196</v>
      </c>
      <c r="R13" s="134">
        <f>IF($B13="",0,SUMPRODUCT(-('Gastos Gerais'!$F$4:$F$3143='Gastos das Atividades'!$B13),-('Gastos das Atividades'!R$3&gt;='Gastos Gerais'!$D$4:$D$3143),-('Gastos das Atividades'!R$3&lt;='Gastos Gerais'!$E$4:$E$3143),-('Gastos Gerais'!$C$4:$C$3143)))</f>
        <v>77196</v>
      </c>
      <c r="S13" s="134">
        <f>IF($B13="",0,SUMPRODUCT(-('Gastos Gerais'!$F$4:$F$3143='Gastos das Atividades'!$B13),-('Gastos das Atividades'!S$3&gt;='Gastos Gerais'!$D$4:$D$3143),-('Gastos das Atividades'!S$3&lt;='Gastos Gerais'!$E$4:$E$3143),-('Gastos Gerais'!$C$4:$C$3143)))</f>
        <v>77196</v>
      </c>
      <c r="T13" s="134">
        <f>IF($B13="",0,SUMPRODUCT(-('Gastos Gerais'!$F$4:$F$3143='Gastos das Atividades'!$B13),-('Gastos das Atividades'!T$3&gt;='Gastos Gerais'!$D$4:$D$3143),-('Gastos das Atividades'!T$3&lt;='Gastos Gerais'!$E$4:$E$3143),-('Gastos Gerais'!$C$4:$C$3143)))</f>
        <v>77196</v>
      </c>
      <c r="U13" s="134">
        <f>IF($B13="",0,SUMPRODUCT(-('Gastos Gerais'!$F$4:$F$3143='Gastos das Atividades'!$B13),-('Gastos das Atividades'!U$3&gt;='Gastos Gerais'!$D$4:$D$3143),-('Gastos das Atividades'!U$3&lt;='Gastos Gerais'!$E$4:$E$3143),-('Gastos Gerais'!$C$4:$C$3143)))</f>
        <v>77196</v>
      </c>
      <c r="V13" s="134">
        <f>IF($B13="",0,SUMPRODUCT(-('Gastos Gerais'!$F$4:$F$3143='Gastos das Atividades'!$B13),-('Gastos das Atividades'!V$3&gt;='Gastos Gerais'!$D$4:$D$3143),-('Gastos das Atividades'!V$3&lt;='Gastos Gerais'!$E$4:$E$3143),-('Gastos Gerais'!$C$4:$C$3143)))</f>
        <v>76350</v>
      </c>
      <c r="W13" s="134">
        <f>IF($B13="",0,SUMPRODUCT(-('Gastos Gerais'!$F$4:$F$3143='Gastos das Atividades'!$B13),-('Gastos das Atividades'!W$3&gt;='Gastos Gerais'!$D$4:$D$3143),-('Gastos das Atividades'!W$3&lt;='Gastos Gerais'!$E$4:$E$3143),-('Gastos Gerais'!$C$4:$C$3143)))</f>
        <v>76350</v>
      </c>
      <c r="X13" s="134">
        <f>IF($B13="",0,SUMPRODUCT(-('Gastos Gerais'!$F$4:$F$3143='Gastos das Atividades'!$B13),-('Gastos das Atividades'!X$3&gt;='Gastos Gerais'!$D$4:$D$3143),-('Gastos das Atividades'!X$3&lt;='Gastos Gerais'!$E$4:$E$3143),-('Gastos Gerais'!$C$4:$C$3143)))</f>
        <v>76350</v>
      </c>
      <c r="Y13" s="134">
        <f>IF($B13="",0,SUMPRODUCT(-('Gastos Gerais'!$F$4:$F$3143='Gastos das Atividades'!$B13),-('Gastos das Atividades'!Y$3&gt;='Gastos Gerais'!$D$4:$D$3143),-('Gastos das Atividades'!Y$3&lt;='Gastos Gerais'!$E$4:$E$3143),-('Gastos Gerais'!$C$4:$C$3143)))</f>
        <v>76350</v>
      </c>
      <c r="Z13" s="134">
        <f>IF($B13="",0,SUMPRODUCT(-('Gastos Gerais'!$F$4:$F$3143='Gastos das Atividades'!$B13),-('Gastos das Atividades'!Z$3&gt;='Gastos Gerais'!$D$4:$D$3143),-('Gastos das Atividades'!Z$3&lt;='Gastos Gerais'!$E$4:$E$3143),-('Gastos Gerais'!$C$4:$C$3143)))</f>
        <v>76350</v>
      </c>
      <c r="AA13" s="134">
        <f>IF($B13="",0,SUMPRODUCT(-('Gastos Gerais'!$F$4:$F$3143='Gastos das Atividades'!$B13),-('Gastos das Atividades'!AA$3&gt;='Gastos Gerais'!$D$4:$D$3143),-('Gastos das Atividades'!AA$3&lt;='Gastos Gerais'!$E$4:$E$3143),-('Gastos Gerais'!$C$4:$C$3143)))</f>
        <v>76350</v>
      </c>
      <c r="AB13" s="134">
        <f>IF($B13="",0,SUMPRODUCT(-('Gastos Gerais'!$F$4:$F$3143='Gastos das Atividades'!$B13),-('Gastos das Atividades'!AB$3&gt;='Gastos Gerais'!$D$4:$D$3143),-('Gastos das Atividades'!AB$3&lt;='Gastos Gerais'!$E$4:$E$3143),-('Gastos Gerais'!$C$4:$C$3143)))</f>
        <v>78070</v>
      </c>
      <c r="AC13" s="134">
        <f>IF($B13="",0,SUMPRODUCT(-('Gastos Gerais'!$F$4:$F$3143='Gastos das Atividades'!$B13),-('Gastos das Atividades'!AC$3&gt;='Gastos Gerais'!$D$4:$D$3143),-('Gastos das Atividades'!AC$3&lt;='Gastos Gerais'!$E$4:$E$3143),-('Gastos Gerais'!$C$4:$C$3143)))</f>
        <v>77416</v>
      </c>
      <c r="AD13" s="134">
        <f>IF($B13="",0,SUMPRODUCT(-('Gastos Gerais'!$F$4:$F$3143='Gastos das Atividades'!$B13),-('Gastos das Atividades'!AD$3&gt;='Gastos Gerais'!$D$4:$D$3143),-('Gastos das Atividades'!AD$3&lt;='Gastos Gerais'!$E$4:$E$3143),-('Gastos Gerais'!$C$4:$C$3143)))</f>
        <v>77416</v>
      </c>
      <c r="AE13" s="134">
        <f>IF($B13="",0,SUMPRODUCT(-('Gastos Gerais'!$F$4:$F$3143='Gastos das Atividades'!$B13),-('Gastos das Atividades'!AE$3&gt;='Gastos Gerais'!$D$4:$D$3143),-('Gastos das Atividades'!AE$3&lt;='Gastos Gerais'!$E$4:$E$3143),-('Gastos Gerais'!$C$4:$C$3143)))</f>
        <v>77416</v>
      </c>
      <c r="AF13" s="134">
        <f>IF($B13="",0,SUMPRODUCT(-('Gastos Gerais'!$F$4:$F$3143='Gastos das Atividades'!$B13),-('Gastos das Atividades'!AF$3&gt;='Gastos Gerais'!$D$4:$D$3143),-('Gastos das Atividades'!AF$3&lt;='Gastos Gerais'!$E$4:$E$3143),-('Gastos Gerais'!$C$4:$C$3143)))</f>
        <v>77416</v>
      </c>
      <c r="AG13" s="134">
        <f>IF($B13="",0,SUMPRODUCT(-('Gastos Gerais'!$F$4:$F$3143='Gastos das Atividades'!$B13),-('Gastos das Atividades'!AG$3&gt;='Gastos Gerais'!$D$4:$D$3143),-('Gastos das Atividades'!AG$3&lt;='Gastos Gerais'!$E$4:$E$3143),-('Gastos Gerais'!$C$4:$C$3143)))</f>
        <v>77416</v>
      </c>
      <c r="AH13" s="134">
        <f>IF($B13="",0,SUMPRODUCT(-('Gastos Gerais'!$F$4:$F$3143='Gastos das Atividades'!$B13),-('Gastos das Atividades'!AH$3&gt;='Gastos Gerais'!$D$4:$D$3143),-('Gastos das Atividades'!AH$3&lt;='Gastos Gerais'!$E$4:$E$3143),-('Gastos Gerais'!$C$4:$C$3143)))</f>
        <v>76570</v>
      </c>
      <c r="AI13" s="134">
        <f>IF($B13="",0,SUMPRODUCT(-('Gastos Gerais'!$F$4:$F$3143='Gastos das Atividades'!$B13),-('Gastos das Atividades'!AI$3&gt;='Gastos Gerais'!$D$4:$D$3143),-('Gastos das Atividades'!AI$3&lt;='Gastos Gerais'!$E$4:$E$3143),-('Gastos Gerais'!$C$4:$C$3143)))</f>
        <v>76570</v>
      </c>
      <c r="AJ13" s="134">
        <f>IF($B13="",0,SUMPRODUCT(-('Gastos Gerais'!$F$4:$F$3143='Gastos das Atividades'!$B13),-('Gastos das Atividades'!AJ$3&gt;='Gastos Gerais'!$D$4:$D$3143),-('Gastos das Atividades'!AJ$3&lt;='Gastos Gerais'!$E$4:$E$3143),-('Gastos Gerais'!$C$4:$C$3143)))</f>
        <v>76570</v>
      </c>
      <c r="AK13" s="134">
        <f>IF($B13="",0,SUMPRODUCT(-('Gastos Gerais'!$F$4:$F$3143='Gastos das Atividades'!$B13),-('Gastos das Atividades'!AK$3&gt;='Gastos Gerais'!$D$4:$D$3143),-('Gastos das Atividades'!AK$3&lt;='Gastos Gerais'!$E$4:$E$3143),-('Gastos Gerais'!$C$4:$C$3143)))</f>
        <v>76570</v>
      </c>
      <c r="AL13" s="134">
        <f>IF($B13="",0,SUMPRODUCT(-('Gastos Gerais'!$F$4:$F$3143='Gastos das Atividades'!$B13),-('Gastos das Atividades'!AL$3&gt;='Gastos Gerais'!$D$4:$D$3143),-('Gastos das Atividades'!AL$3&lt;='Gastos Gerais'!$E$4:$E$3143),-('Gastos Gerais'!$C$4:$C$3143)))</f>
        <v>76570</v>
      </c>
      <c r="AM13" s="134">
        <f>IF($B13="",0,SUMPRODUCT(-('Gastos Gerais'!$F$4:$F$3143='Gastos das Atividades'!$B13),-('Gastos das Atividades'!AM$3&gt;='Gastos Gerais'!$D$4:$D$3143),-('Gastos das Atividades'!AM$3&lt;='Gastos Gerais'!$E$4:$E$3143),-('Gastos Gerais'!$C$4:$C$3143)))</f>
        <v>76570</v>
      </c>
      <c r="AN13" s="134">
        <f>IF($B13="",0,SUMPRODUCT(-('Gastos Gerais'!$F$4:$F$3143='Gastos das Atividades'!$B13),-('Gastos das Atividades'!AN$3&gt;='Gastos Gerais'!$D$4:$D$3143),-('Gastos das Atividades'!AN$3&lt;='Gastos Gerais'!$E$4:$E$3143),-('Gastos Gerais'!$C$4:$C$3143)))</f>
        <v>78461</v>
      </c>
      <c r="AO13" s="134">
        <f>IF($B13="",0,SUMPRODUCT(-('Gastos Gerais'!$F$4:$F$3143='Gastos das Atividades'!$B13),-('Gastos das Atividades'!AO$3&gt;='Gastos Gerais'!$D$4:$D$3143),-('Gastos das Atividades'!AO$3&lt;='Gastos Gerais'!$E$4:$E$3143),-('Gastos Gerais'!$C$4:$C$3143)))</f>
        <v>79807</v>
      </c>
      <c r="AP13" s="134">
        <f>IF($B13="",0,SUMPRODUCT(-('Gastos Gerais'!$F$4:$F$3143='Gastos das Atividades'!$B13),-('Gastos das Atividades'!AP$3&gt;='Gastos Gerais'!$D$4:$D$3143),-('Gastos das Atividades'!AP$3&lt;='Gastos Gerais'!$E$4:$E$3143),-('Gastos Gerais'!$C$4:$C$3143)))</f>
        <v>77807</v>
      </c>
      <c r="AQ13" s="134">
        <f>IF($B13="",0,SUMPRODUCT(-('Gastos Gerais'!$F$4:$F$3143='Gastos das Atividades'!$B13),-('Gastos das Atividades'!AQ$3&gt;='Gastos Gerais'!$D$4:$D$3143),-('Gastos das Atividades'!AQ$3&lt;='Gastos Gerais'!$E$4:$E$3143),-('Gastos Gerais'!$C$4:$C$3143)))</f>
        <v>77807</v>
      </c>
      <c r="AR13" s="134">
        <f>IF($B13="",0,SUMPRODUCT(-('Gastos Gerais'!$F$4:$F$3143='Gastos das Atividades'!$B13),-('Gastos das Atividades'!AR$3&gt;='Gastos Gerais'!$D$4:$D$3143),-('Gastos das Atividades'!AR$3&lt;='Gastos Gerais'!$E$4:$E$3143),-('Gastos Gerais'!$C$4:$C$3143)))</f>
        <v>77807</v>
      </c>
      <c r="AS13" s="134">
        <f>IF($B13="",0,SUMPRODUCT(-('Gastos Gerais'!$F$4:$F$3143='Gastos das Atividades'!$B13),-('Gastos das Atividades'!AS$3&gt;='Gastos Gerais'!$D$4:$D$3143),-('Gastos das Atividades'!AS$3&lt;='Gastos Gerais'!$E$4:$E$3143),-('Gastos Gerais'!$C$4:$C$3143)))</f>
        <v>77807</v>
      </c>
      <c r="AT13" s="134">
        <f>IF($B13="",0,SUMPRODUCT(-('Gastos Gerais'!$F$4:$F$3143='Gastos das Atividades'!$B13),-('Gastos das Atividades'!AT$3&gt;='Gastos Gerais'!$D$4:$D$3143),-('Gastos das Atividades'!AT$3&lt;='Gastos Gerais'!$E$4:$E$3143),-('Gastos Gerais'!$C$4:$C$3143)))</f>
        <v>76961</v>
      </c>
      <c r="AU13" s="134">
        <f>IF($B13="",0,SUMPRODUCT(-('Gastos Gerais'!$F$4:$F$3143='Gastos das Atividades'!$B13),-('Gastos das Atividades'!AU$3&gt;='Gastos Gerais'!$D$4:$D$3143),-('Gastos das Atividades'!AU$3&lt;='Gastos Gerais'!$E$4:$E$3143),-('Gastos Gerais'!$C$4:$C$3143)))</f>
        <v>76961</v>
      </c>
      <c r="AV13" s="134">
        <f>IF($B13="",0,SUMPRODUCT(-('Gastos Gerais'!$F$4:$F$3143='Gastos das Atividades'!$B13),-('Gastos das Atividades'!AV$3&gt;='Gastos Gerais'!$D$4:$D$3143),-('Gastos das Atividades'!AV$3&lt;='Gastos Gerais'!$E$4:$E$3143),-('Gastos Gerais'!$C$4:$C$3143)))</f>
        <v>76961</v>
      </c>
      <c r="AW13" s="134">
        <f>IF($B13="",0,SUMPRODUCT(-('Gastos Gerais'!$F$4:$F$3143='Gastos das Atividades'!$B13),-('Gastos das Atividades'!AW$3&gt;='Gastos Gerais'!$D$4:$D$3143),-('Gastos das Atividades'!AW$3&lt;='Gastos Gerais'!$E$4:$E$3143),-('Gastos Gerais'!$C$4:$C$3143)))</f>
        <v>76961</v>
      </c>
      <c r="AX13" s="134">
        <f>IF($B13="",0,SUMPRODUCT(-('Gastos Gerais'!$F$4:$F$3143='Gastos das Atividades'!$B13),-('Gastos das Atividades'!AX$3&gt;='Gastos Gerais'!$D$4:$D$3143),-('Gastos das Atividades'!AX$3&lt;='Gastos Gerais'!$E$4:$E$3143),-('Gastos Gerais'!$C$4:$C$3143)))</f>
        <v>76961</v>
      </c>
      <c r="AY13" s="134">
        <f>IF($B13="",0,SUMPRODUCT(-('Gastos Gerais'!$F$4:$F$3143='Gastos das Atividades'!$B13),-('Gastos das Atividades'!AY$3&gt;='Gastos Gerais'!$D$4:$D$3143),-('Gastos das Atividades'!AY$3&lt;='Gastos Gerais'!$E$4:$E$3143),-('Gastos Gerais'!$C$4:$C$3143)))</f>
        <v>76961</v>
      </c>
      <c r="AZ13" s="134">
        <f>IF($B13="",0,SUMPRODUCT(-('Gastos Gerais'!$F$4:$F$3143='Gastos das Atividades'!$B13),-('Gastos das Atividades'!AZ$3&gt;='Gastos Gerais'!$D$4:$D$3143),-('Gastos das Atividades'!AZ$3&lt;='Gastos Gerais'!$E$4:$E$3143),-('Gastos Gerais'!$C$4:$C$3143)))</f>
        <v>41639</v>
      </c>
      <c r="BA13" s="134">
        <f>IF($B13="",0,SUMPRODUCT(-('Gastos Gerais'!$F$4:$F$3143='Gastos das Atividades'!$B13),-('Gastos das Atividades'!BA$3&gt;='Gastos Gerais'!$D$4:$D$3143),-('Gastos das Atividades'!BA$3&lt;='Gastos Gerais'!$E$4:$E$3143),-('Gastos Gerais'!$C$4:$C$3143)))</f>
        <v>41389</v>
      </c>
      <c r="BB13" s="134">
        <f>IF($B13="",0,SUMPRODUCT(-('Gastos Gerais'!$F$4:$F$3143='Gastos das Atividades'!$B13),-('Gastos das Atividades'!BB$3&gt;='Gastos Gerais'!$D$4:$D$3143),-('Gastos das Atividades'!BB$3&lt;='Gastos Gerais'!$E$4:$E$3143),-('Gastos Gerais'!$C$4:$C$3143)))</f>
        <v>40739</v>
      </c>
      <c r="BC13" s="134">
        <f>IF($B13="",0,SUMPRODUCT(-('Gastos Gerais'!$F$4:$F$3143='Gastos das Atividades'!$B13),-('Gastos das Atividades'!BC$3&gt;='Gastos Gerais'!$D$4:$D$3143),-('Gastos das Atividades'!BC$3&lt;='Gastos Gerais'!$E$4:$E$3143),-('Gastos Gerais'!$C$4:$C$3143)))</f>
        <v>40739</v>
      </c>
      <c r="BD13" s="134">
        <f>IF($B13="",0,SUMPRODUCT(-('Gastos Gerais'!$F$4:$F$3143='Gastos das Atividades'!$B13),-('Gastos das Atividades'!BD$3&gt;='Gastos Gerais'!$D$4:$D$3143),-('Gastos das Atividades'!BD$3&lt;='Gastos Gerais'!$E$4:$E$3143),-('Gastos Gerais'!$C$4:$C$3143)))</f>
        <v>40739</v>
      </c>
      <c r="BE13" s="134">
        <f>IF($B13="",0,SUMPRODUCT(-('Gastos Gerais'!$F$4:$F$3143='Gastos das Atividades'!$B13),-('Gastos das Atividades'!BE$3&gt;='Gastos Gerais'!$D$4:$D$3143),-('Gastos das Atividades'!BE$3&lt;='Gastos Gerais'!$E$4:$E$3143),-('Gastos Gerais'!$C$4:$C$3143)))</f>
        <v>40739</v>
      </c>
      <c r="BF13" s="134">
        <f>IF($B13="",0,SUMPRODUCT(-('Gastos Gerais'!$F$4:$F$3143='Gastos das Atividades'!$B13),-('Gastos das Atividades'!BF$3&gt;='Gastos Gerais'!$D$4:$D$3143),-('Gastos das Atividades'!BF$3&lt;='Gastos Gerais'!$E$4:$E$3143),-('Gastos Gerais'!$C$4:$C$3143)))</f>
        <v>40239</v>
      </c>
      <c r="BG13" s="134">
        <f>IF($B13="",0,SUMPRODUCT(-('Gastos Gerais'!$F$4:$F$3143='Gastos das Atividades'!$B13),-('Gastos das Atividades'!BG$3&gt;='Gastos Gerais'!$D$4:$D$3143),-('Gastos das Atividades'!BG$3&lt;='Gastos Gerais'!$E$4:$E$3143),-('Gastos Gerais'!$C$4:$C$3143)))</f>
        <v>40239</v>
      </c>
      <c r="BH13" s="134">
        <f>IF($B13="",0,SUMPRODUCT(-('Gastos Gerais'!$F$4:$F$3143='Gastos das Atividades'!$B13),-('Gastos das Atividades'!BH$3&gt;='Gastos Gerais'!$D$4:$D$3143),-('Gastos das Atividades'!BH$3&lt;='Gastos Gerais'!$E$4:$E$3143),-('Gastos Gerais'!$C$4:$C$3143)))</f>
        <v>40239</v>
      </c>
      <c r="BI13" s="134">
        <f>IF($B13="",0,SUMPRODUCT(-('Gastos Gerais'!$F$4:$F$3143='Gastos das Atividades'!$B13),-('Gastos das Atividades'!BI$3&gt;='Gastos Gerais'!$D$4:$D$3143),-('Gastos das Atividades'!BI$3&lt;='Gastos Gerais'!$E$4:$E$3143),-('Gastos Gerais'!$C$4:$C$3143)))</f>
        <v>40239</v>
      </c>
      <c r="BJ13" s="134">
        <f>IF($B13="",0,SUMPRODUCT(-('Gastos Gerais'!$F$4:$F$3143='Gastos das Atividades'!$B13),-('Gastos das Atividades'!BJ$3&gt;='Gastos Gerais'!$D$4:$D$3143),-('Gastos das Atividades'!BJ$3&lt;='Gastos Gerais'!$E$4:$E$3143),-('Gastos Gerais'!$C$4:$C$3143)))</f>
        <v>39459</v>
      </c>
      <c r="BK13" s="134">
        <f>IF($B13="",0,SUMPRODUCT(-('Gastos Gerais'!$F$4:$F$3143='Gastos das Atividades'!$B13),-('Gastos das Atividades'!BK$3&gt;='Gastos Gerais'!$D$4:$D$3143),-('Gastos das Atividades'!BK$3&lt;='Gastos Gerais'!$E$4:$E$3143),-('Gastos Gerais'!$C$4:$C$3143)))</f>
        <v>0</v>
      </c>
      <c r="BL13" s="134">
        <f>IF($B13="",0,SUMPRODUCT(-('Gastos Gerais'!$F$4:$F$3143='Gastos das Atividades'!$B13),-('Gastos das Atividades'!BL$3&gt;='Gastos Gerais'!$D$4:$D$3143),-('Gastos das Atividades'!BL$3&lt;='Gastos Gerais'!$E$4:$E$3143),-('Gastos Gerais'!$C$4:$C$3143)))</f>
        <v>0</v>
      </c>
      <c r="BM13" s="134">
        <f>IF($B13="",0,SUMPRODUCT(-('Gastos Gerais'!$F$4:$F$3143='Gastos das Atividades'!$B13),-('Gastos das Atividades'!BM$3&gt;='Gastos Gerais'!$D$4:$D$3143),-('Gastos das Atividades'!BM$3&lt;='Gastos Gerais'!$E$4:$E$3143),-('Gastos Gerais'!$C$4:$C$3143)))</f>
        <v>0</v>
      </c>
      <c r="BN13" s="134">
        <f>IF($B13="",0,SUMPRODUCT(-('Gastos Gerais'!$F$4:$F$3143='Gastos das Atividades'!$B13),-('Gastos das Atividades'!BN$3&gt;='Gastos Gerais'!$D$4:$D$3143),-('Gastos das Atividades'!BN$3&lt;='Gastos Gerais'!$E$4:$E$3143),-('Gastos Gerais'!$C$4:$C$3143)))</f>
        <v>0</v>
      </c>
      <c r="BO13" s="134">
        <f>IF($B13="",0,SUMPRODUCT(-('Gastos Gerais'!$F$4:$F$3143='Gastos das Atividades'!$B13),-('Gastos das Atividades'!BO$3&gt;='Gastos Gerais'!$D$4:$D$3143),-('Gastos das Atividades'!BO$3&lt;='Gastos Gerais'!$E$4:$E$3143),-('Gastos Gerais'!$C$4:$C$3143)))</f>
        <v>0</v>
      </c>
      <c r="BP13" s="134">
        <f>IF($B13="",0,SUMPRODUCT(-('Gastos Gerais'!$F$4:$F$3143='Gastos das Atividades'!$B13),-('Gastos das Atividades'!BP$3&gt;='Gastos Gerais'!$D$4:$D$3143),-('Gastos das Atividades'!BP$3&lt;='Gastos Gerais'!$E$4:$E$3143),-('Gastos Gerais'!$C$4:$C$3143)))</f>
        <v>0</v>
      </c>
      <c r="BQ13" s="134">
        <f>IF($B13="",0,SUMPRODUCT(-('Gastos Gerais'!$F$4:$F$3143='Gastos das Atividades'!$B13),-('Gastos das Atividades'!BQ$3&gt;='Gastos Gerais'!$D$4:$D$3143),-('Gastos das Atividades'!BQ$3&lt;='Gastos Gerais'!$E$4:$E$3143),-('Gastos Gerais'!$C$4:$C$3143)))</f>
        <v>0</v>
      </c>
      <c r="BR13" s="134">
        <f>IF($B13="",0,SUMPRODUCT(-('Gastos Gerais'!$F$4:$F$3143='Gastos das Atividades'!$B13),-('Gastos das Atividades'!BR$3&gt;='Gastos Gerais'!$D$4:$D$3143),-('Gastos das Atividades'!BR$3&lt;='Gastos Gerais'!$E$4:$E$3143),-('Gastos Gerais'!$C$4:$C$3143)))</f>
        <v>0</v>
      </c>
      <c r="BS13" s="134">
        <f>IF($B13="",0,SUMPRODUCT(-('Gastos Gerais'!$F$4:$F$3143='Gastos das Atividades'!$B13),-('Gastos das Atividades'!BS$3&gt;='Gastos Gerais'!$D$4:$D$3143),-('Gastos das Atividades'!BS$3&lt;='Gastos Gerais'!$E$4:$E$3143),-('Gastos Gerais'!$C$4:$C$3143)))</f>
        <v>0</v>
      </c>
      <c r="BT13" s="134">
        <f>IF($B13="",0,SUMPRODUCT(-('Gastos Gerais'!$F$4:$F$3143='Gastos das Atividades'!$B13),-('Gastos das Atividades'!BT$3&gt;='Gastos Gerais'!$D$4:$D$3143),-('Gastos das Atividades'!BT$3&lt;='Gastos Gerais'!$E$4:$E$3143),-('Gastos Gerais'!$C$4:$C$3143)))</f>
        <v>0</v>
      </c>
      <c r="BU13" s="134">
        <f>IF($B13="",0,SUMPRODUCT(-('Gastos Gerais'!$F$4:$F$3143='Gastos das Atividades'!$B13),-('Gastos das Atividades'!BU$3&gt;='Gastos Gerais'!$D$4:$D$3143),-('Gastos das Atividades'!BU$3&lt;='Gastos Gerais'!$E$4:$E$3143),-('Gastos Gerais'!$C$4:$C$3143)))</f>
        <v>0</v>
      </c>
      <c r="BV13" s="134">
        <f>IF($B13="",0,SUMPRODUCT(-('Gastos Gerais'!$F$4:$F$3143='Gastos das Atividades'!$B13),-('Gastos das Atividades'!BV$3&gt;='Gastos Gerais'!$D$4:$D$3143),-('Gastos das Atividades'!BV$3&lt;='Gastos Gerais'!$E$4:$E$3143),-('Gastos Gerais'!$C$4:$C$3143)))</f>
        <v>0</v>
      </c>
      <c r="BW13" s="134">
        <f>IF($B13="",0,SUMPRODUCT(-('Gastos Gerais'!$F$4:$F$3143='Gastos das Atividades'!$B13),-('Gastos das Atividades'!BW$3&gt;='Gastos Gerais'!$D$4:$D$3143),-('Gastos das Atividades'!BW$3&lt;='Gastos Gerais'!$E$4:$E$3143),-('Gastos Gerais'!$C$4:$C$3143)))</f>
        <v>0</v>
      </c>
    </row>
    <row r="14" spans="1:76">
      <c r="A14" s="138">
        <v>11</v>
      </c>
      <c r="B14" s="139" t="s">
        <v>607</v>
      </c>
      <c r="C14" s="132">
        <v>0</v>
      </c>
      <c r="D14" s="133">
        <f t="shared" si="0"/>
        <v>967126</v>
      </c>
      <c r="E14" s="134">
        <f t="shared" si="1"/>
        <v>969326</v>
      </c>
      <c r="F14" s="134">
        <f t="shared" si="1"/>
        <v>978256</v>
      </c>
      <c r="G14" s="134">
        <f t="shared" si="1"/>
        <v>467109</v>
      </c>
      <c r="H14" s="134">
        <f t="shared" si="1"/>
        <v>0</v>
      </c>
      <c r="I14" s="135">
        <f t="shared" si="2"/>
        <v>3381817</v>
      </c>
      <c r="J14" s="136">
        <f t="shared" si="3"/>
        <v>1.3367408960550902E-2</v>
      </c>
      <c r="K14" s="136">
        <f t="shared" si="4"/>
        <v>1.3397816890555071E-2</v>
      </c>
      <c r="L14" s="136">
        <f t="shared" si="5"/>
        <v>1.3521245442799265E-2</v>
      </c>
      <c r="M14" s="136">
        <f t="shared" si="6"/>
        <v>6.4562808074169978E-3</v>
      </c>
      <c r="N14" s="136">
        <f t="shared" si="7"/>
        <v>0</v>
      </c>
      <c r="O14" s="137">
        <f t="shared" si="8"/>
        <v>4.6742752101322234E-2</v>
      </c>
      <c r="P14" s="134">
        <f>IF($B14="",0,SUMPRODUCT(-('Gastos Gerais'!$F$4:$F$3143='Gastos das Atividades'!$B14),-('Gastos das Atividades'!P$3&gt;='Gastos Gerais'!$D$4:$D$3143),-('Gastos das Atividades'!P$3&lt;='Gastos Gerais'!$E$4:$E$3143),-('Gastos Gerais'!$C$4:$C$3143)))</f>
        <v>82746</v>
      </c>
      <c r="Q14" s="134">
        <f>IF($B14="",0,SUMPRODUCT(-('Gastos Gerais'!$F$4:$F$3143='Gastos das Atividades'!$B14),-('Gastos das Atividades'!Q$3&gt;='Gastos Gerais'!$D$4:$D$3143),-('Gastos das Atividades'!Q$3&lt;='Gastos Gerais'!$E$4:$E$3143),-('Gastos Gerais'!$C$4:$C$3143)))</f>
        <v>83246</v>
      </c>
      <c r="R14" s="134">
        <f>IF($B14="",0,SUMPRODUCT(-('Gastos Gerais'!$F$4:$F$3143='Gastos das Atividades'!$B14),-('Gastos das Atividades'!R$3&gt;='Gastos Gerais'!$D$4:$D$3143),-('Gastos das Atividades'!R$3&lt;='Gastos Gerais'!$E$4:$E$3143),-('Gastos Gerais'!$C$4:$C$3143)))</f>
        <v>81246</v>
      </c>
      <c r="S14" s="134">
        <f>IF($B14="",0,SUMPRODUCT(-('Gastos Gerais'!$F$4:$F$3143='Gastos das Atividades'!$B14),-('Gastos das Atividades'!S$3&gt;='Gastos Gerais'!$D$4:$D$3143),-('Gastos das Atividades'!S$3&lt;='Gastos Gerais'!$E$4:$E$3143),-('Gastos Gerais'!$C$4:$C$3143)))</f>
        <v>81246</v>
      </c>
      <c r="T14" s="134">
        <f>IF($B14="",0,SUMPRODUCT(-('Gastos Gerais'!$F$4:$F$3143='Gastos das Atividades'!$B14),-('Gastos das Atividades'!T$3&gt;='Gastos Gerais'!$D$4:$D$3143),-('Gastos das Atividades'!T$3&lt;='Gastos Gerais'!$E$4:$E$3143),-('Gastos Gerais'!$C$4:$C$3143)))</f>
        <v>81246</v>
      </c>
      <c r="U14" s="134">
        <f>IF($B14="",0,SUMPRODUCT(-('Gastos Gerais'!$F$4:$F$3143='Gastos das Atividades'!$B14),-('Gastos das Atividades'!U$3&gt;='Gastos Gerais'!$D$4:$D$3143),-('Gastos das Atividades'!U$3&lt;='Gastos Gerais'!$E$4:$E$3143),-('Gastos Gerais'!$C$4:$C$3143)))</f>
        <v>81246</v>
      </c>
      <c r="V14" s="134">
        <f>IF($B14="",0,SUMPRODUCT(-('Gastos Gerais'!$F$4:$F$3143='Gastos das Atividades'!$B14),-('Gastos das Atividades'!V$3&gt;='Gastos Gerais'!$D$4:$D$3143),-('Gastos das Atividades'!V$3&lt;='Gastos Gerais'!$E$4:$E$3143),-('Gastos Gerais'!$C$4:$C$3143)))</f>
        <v>80400</v>
      </c>
      <c r="W14" s="134">
        <f>IF($B14="",0,SUMPRODUCT(-('Gastos Gerais'!$F$4:$F$3143='Gastos das Atividades'!$B14),-('Gastos das Atividades'!W$3&gt;='Gastos Gerais'!$D$4:$D$3143),-('Gastos das Atividades'!W$3&lt;='Gastos Gerais'!$E$4:$E$3143),-('Gastos Gerais'!$C$4:$C$3143)))</f>
        <v>79150</v>
      </c>
      <c r="X14" s="134">
        <f>IF($B14="",0,SUMPRODUCT(-('Gastos Gerais'!$F$4:$F$3143='Gastos das Atividades'!$B14),-('Gastos das Atividades'!X$3&gt;='Gastos Gerais'!$D$4:$D$3143),-('Gastos das Atividades'!X$3&lt;='Gastos Gerais'!$E$4:$E$3143),-('Gastos Gerais'!$C$4:$C$3143)))</f>
        <v>79150</v>
      </c>
      <c r="Y14" s="134">
        <f>IF($B14="",0,SUMPRODUCT(-('Gastos Gerais'!$F$4:$F$3143='Gastos das Atividades'!$B14),-('Gastos das Atividades'!Y$3&gt;='Gastos Gerais'!$D$4:$D$3143),-('Gastos das Atividades'!Y$3&lt;='Gastos Gerais'!$E$4:$E$3143),-('Gastos Gerais'!$C$4:$C$3143)))</f>
        <v>79150</v>
      </c>
      <c r="Z14" s="134">
        <f>IF($B14="",0,SUMPRODUCT(-('Gastos Gerais'!$F$4:$F$3143='Gastos das Atividades'!$B14),-('Gastos das Atividades'!Z$3&gt;='Gastos Gerais'!$D$4:$D$3143),-('Gastos das Atividades'!Z$3&lt;='Gastos Gerais'!$E$4:$E$3143),-('Gastos Gerais'!$C$4:$C$3143)))</f>
        <v>79150</v>
      </c>
      <c r="AA14" s="134">
        <f>IF($B14="",0,SUMPRODUCT(-('Gastos Gerais'!$F$4:$F$3143='Gastos das Atividades'!$B14),-('Gastos das Atividades'!AA$3&gt;='Gastos Gerais'!$D$4:$D$3143),-('Gastos das Atividades'!AA$3&lt;='Gastos Gerais'!$E$4:$E$3143),-('Gastos Gerais'!$C$4:$C$3143)))</f>
        <v>79150</v>
      </c>
      <c r="AB14" s="134">
        <f>IF($B14="",0,SUMPRODUCT(-('Gastos Gerais'!$F$4:$F$3143='Gastos das Atividades'!$B14),-('Gastos das Atividades'!AB$3&gt;='Gastos Gerais'!$D$4:$D$3143),-('Gastos das Atividades'!AB$3&lt;='Gastos Gerais'!$E$4:$E$3143),-('Gastos Gerais'!$C$4:$C$3143)))</f>
        <v>83096</v>
      </c>
      <c r="AC14" s="134">
        <f>IF($B14="",0,SUMPRODUCT(-('Gastos Gerais'!$F$4:$F$3143='Gastos das Atividades'!$B14),-('Gastos das Atividades'!AC$3&gt;='Gastos Gerais'!$D$4:$D$3143),-('Gastos das Atividades'!AC$3&lt;='Gastos Gerais'!$E$4:$E$3143),-('Gastos Gerais'!$C$4:$C$3143)))</f>
        <v>81596</v>
      </c>
      <c r="AD14" s="134">
        <f>IF($B14="",0,SUMPRODUCT(-('Gastos Gerais'!$F$4:$F$3143='Gastos das Atividades'!$B14),-('Gastos das Atividades'!AD$3&gt;='Gastos Gerais'!$D$4:$D$3143),-('Gastos das Atividades'!AD$3&lt;='Gastos Gerais'!$E$4:$E$3143),-('Gastos Gerais'!$C$4:$C$3143)))</f>
        <v>81596</v>
      </c>
      <c r="AE14" s="134">
        <f>IF($B14="",0,SUMPRODUCT(-('Gastos Gerais'!$F$4:$F$3143='Gastos das Atividades'!$B14),-('Gastos das Atividades'!AE$3&gt;='Gastos Gerais'!$D$4:$D$3143),-('Gastos das Atividades'!AE$3&lt;='Gastos Gerais'!$E$4:$E$3143),-('Gastos Gerais'!$C$4:$C$3143)))</f>
        <v>81596</v>
      </c>
      <c r="AF14" s="134">
        <f>IF($B14="",0,SUMPRODUCT(-('Gastos Gerais'!$F$4:$F$3143='Gastos das Atividades'!$B14),-('Gastos das Atividades'!AF$3&gt;='Gastos Gerais'!$D$4:$D$3143),-('Gastos das Atividades'!AF$3&lt;='Gastos Gerais'!$E$4:$E$3143),-('Gastos Gerais'!$C$4:$C$3143)))</f>
        <v>81596</v>
      </c>
      <c r="AG14" s="134">
        <f>IF($B14="",0,SUMPRODUCT(-('Gastos Gerais'!$F$4:$F$3143='Gastos das Atividades'!$B14),-('Gastos das Atividades'!AG$3&gt;='Gastos Gerais'!$D$4:$D$3143),-('Gastos das Atividades'!AG$3&lt;='Gastos Gerais'!$E$4:$E$3143),-('Gastos Gerais'!$C$4:$C$3143)))</f>
        <v>81596</v>
      </c>
      <c r="AH14" s="134">
        <f>IF($B14="",0,SUMPRODUCT(-('Gastos Gerais'!$F$4:$F$3143='Gastos das Atividades'!$B14),-('Gastos das Atividades'!AH$3&gt;='Gastos Gerais'!$D$4:$D$3143),-('Gastos das Atividades'!AH$3&lt;='Gastos Gerais'!$E$4:$E$3143),-('Gastos Gerais'!$C$4:$C$3143)))</f>
        <v>80750</v>
      </c>
      <c r="AI14" s="134">
        <f>IF($B14="",0,SUMPRODUCT(-('Gastos Gerais'!$F$4:$F$3143='Gastos das Atividades'!$B14),-('Gastos das Atividades'!AI$3&gt;='Gastos Gerais'!$D$4:$D$3143),-('Gastos das Atividades'!AI$3&lt;='Gastos Gerais'!$E$4:$E$3143),-('Gastos Gerais'!$C$4:$C$3143)))</f>
        <v>79500</v>
      </c>
      <c r="AJ14" s="134">
        <f>IF($B14="",0,SUMPRODUCT(-('Gastos Gerais'!$F$4:$F$3143='Gastos das Atividades'!$B14),-('Gastos das Atividades'!AJ$3&gt;='Gastos Gerais'!$D$4:$D$3143),-('Gastos das Atividades'!AJ$3&lt;='Gastos Gerais'!$E$4:$E$3143),-('Gastos Gerais'!$C$4:$C$3143)))</f>
        <v>79500</v>
      </c>
      <c r="AK14" s="134">
        <f>IF($B14="",0,SUMPRODUCT(-('Gastos Gerais'!$F$4:$F$3143='Gastos das Atividades'!$B14),-('Gastos das Atividades'!AK$3&gt;='Gastos Gerais'!$D$4:$D$3143),-('Gastos das Atividades'!AK$3&lt;='Gastos Gerais'!$E$4:$E$3143),-('Gastos Gerais'!$C$4:$C$3143)))</f>
        <v>79500</v>
      </c>
      <c r="AL14" s="134">
        <f>IF($B14="",0,SUMPRODUCT(-('Gastos Gerais'!$F$4:$F$3143='Gastos das Atividades'!$B14),-('Gastos das Atividades'!AL$3&gt;='Gastos Gerais'!$D$4:$D$3143),-('Gastos das Atividades'!AL$3&lt;='Gastos Gerais'!$E$4:$E$3143),-('Gastos Gerais'!$C$4:$C$3143)))</f>
        <v>79500</v>
      </c>
      <c r="AM14" s="134">
        <f>IF($B14="",0,SUMPRODUCT(-('Gastos Gerais'!$F$4:$F$3143='Gastos das Atividades'!$B14),-('Gastos das Atividades'!AM$3&gt;='Gastos Gerais'!$D$4:$D$3143),-('Gastos das Atividades'!AM$3&lt;='Gastos Gerais'!$E$4:$E$3143),-('Gastos Gerais'!$C$4:$C$3143)))</f>
        <v>79500</v>
      </c>
      <c r="AN14" s="134">
        <f>IF($B14="",0,SUMPRODUCT(-('Gastos Gerais'!$F$4:$F$3143='Gastos das Atividades'!$B14),-('Gastos das Atividades'!AN$3&gt;='Gastos Gerais'!$D$4:$D$3143),-('Gastos das Atividades'!AN$3&lt;='Gastos Gerais'!$E$4:$E$3143),-('Gastos Gerais'!$C$4:$C$3143)))</f>
        <v>83673.5</v>
      </c>
      <c r="AO14" s="134">
        <f>IF($B14="",0,SUMPRODUCT(-('Gastos Gerais'!$F$4:$F$3143='Gastos das Atividades'!$B14),-('Gastos das Atividades'!AO$3&gt;='Gastos Gerais'!$D$4:$D$3143),-('Gastos das Atividades'!AO$3&lt;='Gastos Gerais'!$E$4:$E$3143),-('Gastos Gerais'!$C$4:$C$3143)))</f>
        <v>84173.5</v>
      </c>
      <c r="AP14" s="134">
        <f>IF($B14="",0,SUMPRODUCT(-('Gastos Gerais'!$F$4:$F$3143='Gastos das Atividades'!$B14),-('Gastos das Atividades'!AP$3&gt;='Gastos Gerais'!$D$4:$D$3143),-('Gastos das Atividades'!AP$3&lt;='Gastos Gerais'!$E$4:$E$3143),-('Gastos Gerais'!$C$4:$C$3143)))</f>
        <v>82173.5</v>
      </c>
      <c r="AQ14" s="134">
        <f>IF($B14="",0,SUMPRODUCT(-('Gastos Gerais'!$F$4:$F$3143='Gastos das Atividades'!$B14),-('Gastos das Atividades'!AQ$3&gt;='Gastos Gerais'!$D$4:$D$3143),-('Gastos das Atividades'!AQ$3&lt;='Gastos Gerais'!$E$4:$E$3143),-('Gastos Gerais'!$C$4:$C$3143)))</f>
        <v>82173.5</v>
      </c>
      <c r="AR14" s="134">
        <f>IF($B14="",0,SUMPRODUCT(-('Gastos Gerais'!$F$4:$F$3143='Gastos das Atividades'!$B14),-('Gastos das Atividades'!AR$3&gt;='Gastos Gerais'!$D$4:$D$3143),-('Gastos das Atividades'!AR$3&lt;='Gastos Gerais'!$E$4:$E$3143),-('Gastos Gerais'!$C$4:$C$3143)))</f>
        <v>82173.5</v>
      </c>
      <c r="AS14" s="134">
        <f>IF($B14="",0,SUMPRODUCT(-('Gastos Gerais'!$F$4:$F$3143='Gastos das Atividades'!$B14),-('Gastos das Atividades'!AS$3&gt;='Gastos Gerais'!$D$4:$D$3143),-('Gastos das Atividades'!AS$3&lt;='Gastos Gerais'!$E$4:$E$3143),-('Gastos Gerais'!$C$4:$C$3143)))</f>
        <v>82173.5</v>
      </c>
      <c r="AT14" s="134">
        <f>IF($B14="",0,SUMPRODUCT(-('Gastos Gerais'!$F$4:$F$3143='Gastos das Atividades'!$B14),-('Gastos das Atividades'!AT$3&gt;='Gastos Gerais'!$D$4:$D$3143),-('Gastos das Atividades'!AT$3&lt;='Gastos Gerais'!$E$4:$E$3143),-('Gastos Gerais'!$C$4:$C$3143)))</f>
        <v>81327.5</v>
      </c>
      <c r="AU14" s="134">
        <f>IF($B14="",0,SUMPRODUCT(-('Gastos Gerais'!$F$4:$F$3143='Gastos das Atividades'!$B14),-('Gastos das Atividades'!AU$3&gt;='Gastos Gerais'!$D$4:$D$3143),-('Gastos das Atividades'!AU$3&lt;='Gastos Gerais'!$E$4:$E$3143),-('Gastos Gerais'!$C$4:$C$3143)))</f>
        <v>80077.5</v>
      </c>
      <c r="AV14" s="134">
        <f>IF($B14="",0,SUMPRODUCT(-('Gastos Gerais'!$F$4:$F$3143='Gastos das Atividades'!$B14),-('Gastos das Atividades'!AV$3&gt;='Gastos Gerais'!$D$4:$D$3143),-('Gastos das Atividades'!AV$3&lt;='Gastos Gerais'!$E$4:$E$3143),-('Gastos Gerais'!$C$4:$C$3143)))</f>
        <v>80077.5</v>
      </c>
      <c r="AW14" s="134">
        <f>IF($B14="",0,SUMPRODUCT(-('Gastos Gerais'!$F$4:$F$3143='Gastos das Atividades'!$B14),-('Gastos das Atividades'!AW$3&gt;='Gastos Gerais'!$D$4:$D$3143),-('Gastos das Atividades'!AW$3&lt;='Gastos Gerais'!$E$4:$E$3143),-('Gastos Gerais'!$C$4:$C$3143)))</f>
        <v>80077.5</v>
      </c>
      <c r="AX14" s="134">
        <f>IF($B14="",0,SUMPRODUCT(-('Gastos Gerais'!$F$4:$F$3143='Gastos das Atividades'!$B14),-('Gastos das Atividades'!AX$3&gt;='Gastos Gerais'!$D$4:$D$3143),-('Gastos das Atividades'!AX$3&lt;='Gastos Gerais'!$E$4:$E$3143),-('Gastos Gerais'!$C$4:$C$3143)))</f>
        <v>80077.5</v>
      </c>
      <c r="AY14" s="134">
        <f>IF($B14="",0,SUMPRODUCT(-('Gastos Gerais'!$F$4:$F$3143='Gastos das Atividades'!$B14),-('Gastos das Atividades'!AY$3&gt;='Gastos Gerais'!$D$4:$D$3143),-('Gastos das Atividades'!AY$3&lt;='Gastos Gerais'!$E$4:$E$3143),-('Gastos Gerais'!$C$4:$C$3143)))</f>
        <v>80077.5</v>
      </c>
      <c r="AZ14" s="134">
        <f>IF($B14="",0,SUMPRODUCT(-('Gastos Gerais'!$F$4:$F$3143='Gastos das Atividades'!$B14),-('Gastos das Atividades'!AZ$3&gt;='Gastos Gerais'!$D$4:$D$3143),-('Gastos das Atividades'!AZ$3&lt;='Gastos Gerais'!$E$4:$E$3143),-('Gastos Gerais'!$C$4:$C$3143)))</f>
        <v>44189</v>
      </c>
      <c r="BA14" s="134">
        <f>IF($B14="",0,SUMPRODUCT(-('Gastos Gerais'!$F$4:$F$3143='Gastos das Atividades'!$B14),-('Gastos das Atividades'!BA$3&gt;='Gastos Gerais'!$D$4:$D$3143),-('Gastos das Atividades'!BA$3&lt;='Gastos Gerais'!$E$4:$E$3143),-('Gastos Gerais'!$C$4:$C$3143)))</f>
        <v>43439</v>
      </c>
      <c r="BB14" s="134">
        <f>IF($B14="",0,SUMPRODUCT(-('Gastos Gerais'!$F$4:$F$3143='Gastos das Atividades'!$B14),-('Gastos das Atividades'!BB$3&gt;='Gastos Gerais'!$D$4:$D$3143),-('Gastos das Atividades'!BB$3&lt;='Gastos Gerais'!$E$4:$E$3143),-('Gastos Gerais'!$C$4:$C$3143)))</f>
        <v>42789</v>
      </c>
      <c r="BC14" s="134">
        <f>IF($B14="",0,SUMPRODUCT(-('Gastos Gerais'!$F$4:$F$3143='Gastos das Atividades'!$B14),-('Gastos das Atividades'!BC$3&gt;='Gastos Gerais'!$D$4:$D$3143),-('Gastos das Atividades'!BC$3&lt;='Gastos Gerais'!$E$4:$E$3143),-('Gastos Gerais'!$C$4:$C$3143)))</f>
        <v>42789</v>
      </c>
      <c r="BD14" s="134">
        <f>IF($B14="",0,SUMPRODUCT(-('Gastos Gerais'!$F$4:$F$3143='Gastos das Atividades'!$B14),-('Gastos das Atividades'!BD$3&gt;='Gastos Gerais'!$D$4:$D$3143),-('Gastos das Atividades'!BD$3&lt;='Gastos Gerais'!$E$4:$E$3143),-('Gastos Gerais'!$C$4:$C$3143)))</f>
        <v>42789</v>
      </c>
      <c r="BE14" s="134">
        <f>IF($B14="",0,SUMPRODUCT(-('Gastos Gerais'!$F$4:$F$3143='Gastos das Atividades'!$B14),-('Gastos das Atividades'!BE$3&gt;='Gastos Gerais'!$D$4:$D$3143),-('Gastos das Atividades'!BE$3&lt;='Gastos Gerais'!$E$4:$E$3143),-('Gastos Gerais'!$C$4:$C$3143)))</f>
        <v>42789</v>
      </c>
      <c r="BF14" s="134">
        <f>IF($B14="",0,SUMPRODUCT(-('Gastos Gerais'!$F$4:$F$3143='Gastos das Atividades'!$B14),-('Gastos das Atividades'!BF$3&gt;='Gastos Gerais'!$D$4:$D$3143),-('Gastos das Atividades'!BF$3&lt;='Gastos Gerais'!$E$4:$E$3143),-('Gastos Gerais'!$C$4:$C$3143)))</f>
        <v>42289</v>
      </c>
      <c r="BG14" s="134">
        <f>IF($B14="",0,SUMPRODUCT(-('Gastos Gerais'!$F$4:$F$3143='Gastos das Atividades'!$B14),-('Gastos das Atividades'!BG$3&gt;='Gastos Gerais'!$D$4:$D$3143),-('Gastos das Atividades'!BG$3&lt;='Gastos Gerais'!$E$4:$E$3143),-('Gastos Gerais'!$C$4:$C$3143)))</f>
        <v>41509</v>
      </c>
      <c r="BH14" s="134">
        <f>IF($B14="",0,SUMPRODUCT(-('Gastos Gerais'!$F$4:$F$3143='Gastos das Atividades'!$B14),-('Gastos das Atividades'!BH$3&gt;='Gastos Gerais'!$D$4:$D$3143),-('Gastos das Atividades'!BH$3&lt;='Gastos Gerais'!$E$4:$E$3143),-('Gastos Gerais'!$C$4:$C$3143)))</f>
        <v>41509</v>
      </c>
      <c r="BI14" s="134">
        <f>IF($B14="",0,SUMPRODUCT(-('Gastos Gerais'!$F$4:$F$3143='Gastos das Atividades'!$B14),-('Gastos das Atividades'!BI$3&gt;='Gastos Gerais'!$D$4:$D$3143),-('Gastos das Atividades'!BI$3&lt;='Gastos Gerais'!$E$4:$E$3143),-('Gastos Gerais'!$C$4:$C$3143)))</f>
        <v>41509</v>
      </c>
      <c r="BJ14" s="134">
        <f>IF($B14="",0,SUMPRODUCT(-('Gastos Gerais'!$F$4:$F$3143='Gastos das Atividades'!$B14),-('Gastos das Atividades'!BJ$3&gt;='Gastos Gerais'!$D$4:$D$3143),-('Gastos das Atividades'!BJ$3&lt;='Gastos Gerais'!$E$4:$E$3143),-('Gastos Gerais'!$C$4:$C$3143)))</f>
        <v>41509</v>
      </c>
      <c r="BK14" s="134">
        <f>IF($B14="",0,SUMPRODUCT(-('Gastos Gerais'!$F$4:$F$3143='Gastos das Atividades'!$B14),-('Gastos das Atividades'!BK$3&gt;='Gastos Gerais'!$D$4:$D$3143),-('Gastos das Atividades'!BK$3&lt;='Gastos Gerais'!$E$4:$E$3143),-('Gastos Gerais'!$C$4:$C$3143)))</f>
        <v>0</v>
      </c>
      <c r="BL14" s="134">
        <f>IF($B14="",0,SUMPRODUCT(-('Gastos Gerais'!$F$4:$F$3143='Gastos das Atividades'!$B14),-('Gastos das Atividades'!BL$3&gt;='Gastos Gerais'!$D$4:$D$3143),-('Gastos das Atividades'!BL$3&lt;='Gastos Gerais'!$E$4:$E$3143),-('Gastos Gerais'!$C$4:$C$3143)))</f>
        <v>0</v>
      </c>
      <c r="BM14" s="134">
        <f>IF($B14="",0,SUMPRODUCT(-('Gastos Gerais'!$F$4:$F$3143='Gastos das Atividades'!$B14),-('Gastos das Atividades'!BM$3&gt;='Gastos Gerais'!$D$4:$D$3143),-('Gastos das Atividades'!BM$3&lt;='Gastos Gerais'!$E$4:$E$3143),-('Gastos Gerais'!$C$4:$C$3143)))</f>
        <v>0</v>
      </c>
      <c r="BN14" s="134">
        <f>IF($B14="",0,SUMPRODUCT(-('Gastos Gerais'!$F$4:$F$3143='Gastos das Atividades'!$B14),-('Gastos das Atividades'!BN$3&gt;='Gastos Gerais'!$D$4:$D$3143),-('Gastos das Atividades'!BN$3&lt;='Gastos Gerais'!$E$4:$E$3143),-('Gastos Gerais'!$C$4:$C$3143)))</f>
        <v>0</v>
      </c>
      <c r="BO14" s="134">
        <f>IF($B14="",0,SUMPRODUCT(-('Gastos Gerais'!$F$4:$F$3143='Gastos das Atividades'!$B14),-('Gastos das Atividades'!BO$3&gt;='Gastos Gerais'!$D$4:$D$3143),-('Gastos das Atividades'!BO$3&lt;='Gastos Gerais'!$E$4:$E$3143),-('Gastos Gerais'!$C$4:$C$3143)))</f>
        <v>0</v>
      </c>
      <c r="BP14" s="134">
        <f>IF($B14="",0,SUMPRODUCT(-('Gastos Gerais'!$F$4:$F$3143='Gastos das Atividades'!$B14),-('Gastos das Atividades'!BP$3&gt;='Gastos Gerais'!$D$4:$D$3143),-('Gastos das Atividades'!BP$3&lt;='Gastos Gerais'!$E$4:$E$3143),-('Gastos Gerais'!$C$4:$C$3143)))</f>
        <v>0</v>
      </c>
      <c r="BQ14" s="134">
        <f>IF($B14="",0,SUMPRODUCT(-('Gastos Gerais'!$F$4:$F$3143='Gastos das Atividades'!$B14),-('Gastos das Atividades'!BQ$3&gt;='Gastos Gerais'!$D$4:$D$3143),-('Gastos das Atividades'!BQ$3&lt;='Gastos Gerais'!$E$4:$E$3143),-('Gastos Gerais'!$C$4:$C$3143)))</f>
        <v>0</v>
      </c>
      <c r="BR14" s="134">
        <f>IF($B14="",0,SUMPRODUCT(-('Gastos Gerais'!$F$4:$F$3143='Gastos das Atividades'!$B14),-('Gastos das Atividades'!BR$3&gt;='Gastos Gerais'!$D$4:$D$3143),-('Gastos das Atividades'!BR$3&lt;='Gastos Gerais'!$E$4:$E$3143),-('Gastos Gerais'!$C$4:$C$3143)))</f>
        <v>0</v>
      </c>
      <c r="BS14" s="134">
        <f>IF($B14="",0,SUMPRODUCT(-('Gastos Gerais'!$F$4:$F$3143='Gastos das Atividades'!$B14),-('Gastos das Atividades'!BS$3&gt;='Gastos Gerais'!$D$4:$D$3143),-('Gastos das Atividades'!BS$3&lt;='Gastos Gerais'!$E$4:$E$3143),-('Gastos Gerais'!$C$4:$C$3143)))</f>
        <v>0</v>
      </c>
      <c r="BT14" s="134">
        <f>IF($B14="",0,SUMPRODUCT(-('Gastos Gerais'!$F$4:$F$3143='Gastos das Atividades'!$B14),-('Gastos das Atividades'!BT$3&gt;='Gastos Gerais'!$D$4:$D$3143),-('Gastos das Atividades'!BT$3&lt;='Gastos Gerais'!$E$4:$E$3143),-('Gastos Gerais'!$C$4:$C$3143)))</f>
        <v>0</v>
      </c>
      <c r="BU14" s="134">
        <f>IF($B14="",0,SUMPRODUCT(-('Gastos Gerais'!$F$4:$F$3143='Gastos das Atividades'!$B14),-('Gastos das Atividades'!BU$3&gt;='Gastos Gerais'!$D$4:$D$3143),-('Gastos das Atividades'!BU$3&lt;='Gastos Gerais'!$E$4:$E$3143),-('Gastos Gerais'!$C$4:$C$3143)))</f>
        <v>0</v>
      </c>
      <c r="BV14" s="134">
        <f>IF($B14="",0,SUMPRODUCT(-('Gastos Gerais'!$F$4:$F$3143='Gastos das Atividades'!$B14),-('Gastos das Atividades'!BV$3&gt;='Gastos Gerais'!$D$4:$D$3143),-('Gastos das Atividades'!BV$3&lt;='Gastos Gerais'!$E$4:$E$3143),-('Gastos Gerais'!$C$4:$C$3143)))</f>
        <v>0</v>
      </c>
      <c r="BW14" s="134">
        <f>IF($B14="",0,SUMPRODUCT(-('Gastos Gerais'!$F$4:$F$3143='Gastos das Atividades'!$B14),-('Gastos das Atividades'!BW$3&gt;='Gastos Gerais'!$D$4:$D$3143),-('Gastos das Atividades'!BW$3&lt;='Gastos Gerais'!$E$4:$E$3143),-('Gastos Gerais'!$C$4:$C$3143)))</f>
        <v>0</v>
      </c>
    </row>
    <row r="15" spans="1:76">
      <c r="A15" s="138">
        <v>12</v>
      </c>
      <c r="B15" s="139" t="s">
        <v>608</v>
      </c>
      <c r="C15" s="132">
        <v>0</v>
      </c>
      <c r="D15" s="133">
        <f t="shared" si="0"/>
        <v>910016</v>
      </c>
      <c r="E15" s="134">
        <f t="shared" si="1"/>
        <v>910744</v>
      </c>
      <c r="F15" s="134">
        <f t="shared" si="1"/>
        <v>916448.39999999979</v>
      </c>
      <c r="G15" s="134">
        <f t="shared" si="1"/>
        <v>446499</v>
      </c>
      <c r="H15" s="134">
        <f t="shared" si="1"/>
        <v>0</v>
      </c>
      <c r="I15" s="135">
        <f t="shared" si="2"/>
        <v>3183707.4000000013</v>
      </c>
      <c r="J15" s="136">
        <f t="shared" si="3"/>
        <v>1.2578046741215404E-2</v>
      </c>
      <c r="K15" s="136">
        <f t="shared" si="4"/>
        <v>1.2588109001689511E-2</v>
      </c>
      <c r="L15" s="136">
        <f t="shared" si="5"/>
        <v>1.2666953999833046E-2</v>
      </c>
      <c r="M15" s="136">
        <f t="shared" si="6"/>
        <v>6.1714137904233957E-3</v>
      </c>
      <c r="N15" s="136">
        <f t="shared" si="7"/>
        <v>0</v>
      </c>
      <c r="O15" s="137">
        <f t="shared" si="8"/>
        <v>4.400452353316138E-2</v>
      </c>
      <c r="P15" s="134">
        <f>IF($B15="",0,SUMPRODUCT(-('Gastos Gerais'!$F$4:$F$3143='Gastos das Atividades'!$B15),-('Gastos das Atividades'!P$3&gt;='Gastos Gerais'!$D$4:$D$3143),-('Gastos das Atividades'!P$3&lt;='Gastos Gerais'!$E$4:$E$3143),-('Gastos Gerais'!$C$4:$C$3143)))</f>
        <v>78466</v>
      </c>
      <c r="Q15" s="134">
        <f>IF($B15="",0,SUMPRODUCT(-('Gastos Gerais'!$F$4:$F$3143='Gastos das Atividades'!$B15),-('Gastos das Atividades'!Q$3&gt;='Gastos Gerais'!$D$4:$D$3143),-('Gastos das Atividades'!Q$3&lt;='Gastos Gerais'!$E$4:$E$3143),-('Gastos Gerais'!$C$4:$C$3143)))</f>
        <v>78966</v>
      </c>
      <c r="R15" s="134">
        <f>IF($B15="",0,SUMPRODUCT(-('Gastos Gerais'!$F$4:$F$3143='Gastos das Atividades'!$B15),-('Gastos das Atividades'!R$3&gt;='Gastos Gerais'!$D$4:$D$3143),-('Gastos das Atividades'!R$3&lt;='Gastos Gerais'!$E$4:$E$3143),-('Gastos Gerais'!$C$4:$C$3143)))</f>
        <v>76966</v>
      </c>
      <c r="S15" s="134">
        <f>IF($B15="",0,SUMPRODUCT(-('Gastos Gerais'!$F$4:$F$3143='Gastos das Atividades'!$B15),-('Gastos das Atividades'!S$3&gt;='Gastos Gerais'!$D$4:$D$3143),-('Gastos das Atividades'!S$3&lt;='Gastos Gerais'!$E$4:$E$3143),-('Gastos Gerais'!$C$4:$C$3143)))</f>
        <v>76966</v>
      </c>
      <c r="T15" s="134">
        <f>IF($B15="",0,SUMPRODUCT(-('Gastos Gerais'!$F$4:$F$3143='Gastos das Atividades'!$B15),-('Gastos das Atividades'!T$3&gt;='Gastos Gerais'!$D$4:$D$3143),-('Gastos das Atividades'!T$3&lt;='Gastos Gerais'!$E$4:$E$3143),-('Gastos Gerais'!$C$4:$C$3143)))</f>
        <v>75466</v>
      </c>
      <c r="U15" s="134">
        <f>IF($B15="",0,SUMPRODUCT(-('Gastos Gerais'!$F$4:$F$3143='Gastos das Atividades'!$B15),-('Gastos das Atividades'!U$3&gt;='Gastos Gerais'!$D$4:$D$3143),-('Gastos das Atividades'!U$3&lt;='Gastos Gerais'!$E$4:$E$3143),-('Gastos Gerais'!$C$4:$C$3143)))</f>
        <v>75466</v>
      </c>
      <c r="V15" s="134">
        <f>IF($B15="",0,SUMPRODUCT(-('Gastos Gerais'!$F$4:$F$3143='Gastos das Atividades'!$B15),-('Gastos das Atividades'!V$3&gt;='Gastos Gerais'!$D$4:$D$3143),-('Gastos das Atividades'!V$3&lt;='Gastos Gerais'!$E$4:$E$3143),-('Gastos Gerais'!$C$4:$C$3143)))</f>
        <v>74620</v>
      </c>
      <c r="W15" s="134">
        <f>IF($B15="",0,SUMPRODUCT(-('Gastos Gerais'!$F$4:$F$3143='Gastos das Atividades'!$B15),-('Gastos das Atividades'!W$3&gt;='Gastos Gerais'!$D$4:$D$3143),-('Gastos das Atividades'!W$3&lt;='Gastos Gerais'!$E$4:$E$3143),-('Gastos Gerais'!$C$4:$C$3143)))</f>
        <v>74620</v>
      </c>
      <c r="X15" s="134">
        <f>IF($B15="",0,SUMPRODUCT(-('Gastos Gerais'!$F$4:$F$3143='Gastos das Atividades'!$B15),-('Gastos das Atividades'!X$3&gt;='Gastos Gerais'!$D$4:$D$3143),-('Gastos das Atividades'!X$3&lt;='Gastos Gerais'!$E$4:$E$3143),-('Gastos Gerais'!$C$4:$C$3143)))</f>
        <v>74620</v>
      </c>
      <c r="Y15" s="134">
        <f>IF($B15="",0,SUMPRODUCT(-('Gastos Gerais'!$F$4:$F$3143='Gastos das Atividades'!$B15),-('Gastos das Atividades'!Y$3&gt;='Gastos Gerais'!$D$4:$D$3143),-('Gastos das Atividades'!Y$3&lt;='Gastos Gerais'!$E$4:$E$3143),-('Gastos Gerais'!$C$4:$C$3143)))</f>
        <v>74620</v>
      </c>
      <c r="Z15" s="134">
        <f>IF($B15="",0,SUMPRODUCT(-('Gastos Gerais'!$F$4:$F$3143='Gastos das Atividades'!$B15),-('Gastos das Atividades'!Z$3&gt;='Gastos Gerais'!$D$4:$D$3143),-('Gastos das Atividades'!Z$3&lt;='Gastos Gerais'!$E$4:$E$3143),-('Gastos Gerais'!$C$4:$C$3143)))</f>
        <v>74620</v>
      </c>
      <c r="AA15" s="134">
        <f>IF($B15="",0,SUMPRODUCT(-('Gastos Gerais'!$F$4:$F$3143='Gastos das Atividades'!$B15),-('Gastos das Atividades'!AA$3&gt;='Gastos Gerais'!$D$4:$D$3143),-('Gastos das Atividades'!AA$3&lt;='Gastos Gerais'!$E$4:$E$3143),-('Gastos Gerais'!$C$4:$C$3143)))</f>
        <v>74620</v>
      </c>
      <c r="AB15" s="134">
        <f>IF($B15="",0,SUMPRODUCT(-('Gastos Gerais'!$F$4:$F$3143='Gastos das Atividades'!$B15),-('Gastos das Atividades'!AB$3&gt;='Gastos Gerais'!$D$4:$D$3143),-('Gastos das Atividades'!AB$3&lt;='Gastos Gerais'!$E$4:$E$3143),-('Gastos Gerais'!$C$4:$C$3143)))</f>
        <v>78560</v>
      </c>
      <c r="AC15" s="134">
        <f>IF($B15="",0,SUMPRODUCT(-('Gastos Gerais'!$F$4:$F$3143='Gastos das Atividades'!$B15),-('Gastos das Atividades'!AC$3&gt;='Gastos Gerais'!$D$4:$D$3143),-('Gastos das Atividades'!AC$3&lt;='Gastos Gerais'!$E$4:$E$3143),-('Gastos Gerais'!$C$4:$C$3143)))</f>
        <v>77060</v>
      </c>
      <c r="AD15" s="134">
        <f>IF($B15="",0,SUMPRODUCT(-('Gastos Gerais'!$F$4:$F$3143='Gastos das Atividades'!$B15),-('Gastos das Atividades'!AD$3&gt;='Gastos Gerais'!$D$4:$D$3143),-('Gastos das Atividades'!AD$3&lt;='Gastos Gerais'!$E$4:$E$3143),-('Gastos Gerais'!$C$4:$C$3143)))</f>
        <v>77060</v>
      </c>
      <c r="AE15" s="134">
        <f>IF($B15="",0,SUMPRODUCT(-('Gastos Gerais'!$F$4:$F$3143='Gastos das Atividades'!$B15),-('Gastos das Atividades'!AE$3&gt;='Gastos Gerais'!$D$4:$D$3143),-('Gastos das Atividades'!AE$3&lt;='Gastos Gerais'!$E$4:$E$3143),-('Gastos Gerais'!$C$4:$C$3143)))</f>
        <v>77060</v>
      </c>
      <c r="AF15" s="134">
        <f>IF($B15="",0,SUMPRODUCT(-('Gastos Gerais'!$F$4:$F$3143='Gastos das Atividades'!$B15),-('Gastos das Atividades'!AF$3&gt;='Gastos Gerais'!$D$4:$D$3143),-('Gastos das Atividades'!AF$3&lt;='Gastos Gerais'!$E$4:$E$3143),-('Gastos Gerais'!$C$4:$C$3143)))</f>
        <v>75760</v>
      </c>
      <c r="AG15" s="134">
        <f>IF($B15="",0,SUMPRODUCT(-('Gastos Gerais'!$F$4:$F$3143='Gastos das Atividades'!$B15),-('Gastos das Atividades'!AG$3&gt;='Gastos Gerais'!$D$4:$D$3143),-('Gastos das Atividades'!AG$3&lt;='Gastos Gerais'!$E$4:$E$3143),-('Gastos Gerais'!$C$4:$C$3143)))</f>
        <v>75760</v>
      </c>
      <c r="AH15" s="134">
        <f>IF($B15="",0,SUMPRODUCT(-('Gastos Gerais'!$F$4:$F$3143='Gastos das Atividades'!$B15),-('Gastos das Atividades'!AH$3&gt;='Gastos Gerais'!$D$4:$D$3143),-('Gastos das Atividades'!AH$3&lt;='Gastos Gerais'!$E$4:$E$3143),-('Gastos Gerais'!$C$4:$C$3143)))</f>
        <v>74914</v>
      </c>
      <c r="AI15" s="134">
        <f>IF($B15="",0,SUMPRODUCT(-('Gastos Gerais'!$F$4:$F$3143='Gastos das Atividades'!$B15),-('Gastos das Atividades'!AI$3&gt;='Gastos Gerais'!$D$4:$D$3143),-('Gastos das Atividades'!AI$3&lt;='Gastos Gerais'!$E$4:$E$3143),-('Gastos Gerais'!$C$4:$C$3143)))</f>
        <v>74914</v>
      </c>
      <c r="AJ15" s="134">
        <f>IF($B15="",0,SUMPRODUCT(-('Gastos Gerais'!$F$4:$F$3143='Gastos das Atividades'!$B15),-('Gastos das Atividades'!AJ$3&gt;='Gastos Gerais'!$D$4:$D$3143),-('Gastos das Atividades'!AJ$3&lt;='Gastos Gerais'!$E$4:$E$3143),-('Gastos Gerais'!$C$4:$C$3143)))</f>
        <v>74914</v>
      </c>
      <c r="AK15" s="134">
        <f>IF($B15="",0,SUMPRODUCT(-('Gastos Gerais'!$F$4:$F$3143='Gastos das Atividades'!$B15),-('Gastos das Atividades'!AK$3&gt;='Gastos Gerais'!$D$4:$D$3143),-('Gastos das Atividades'!AK$3&lt;='Gastos Gerais'!$E$4:$E$3143),-('Gastos Gerais'!$C$4:$C$3143)))</f>
        <v>74914</v>
      </c>
      <c r="AL15" s="134">
        <f>IF($B15="",0,SUMPRODUCT(-('Gastos Gerais'!$F$4:$F$3143='Gastos das Atividades'!$B15),-('Gastos das Atividades'!AL$3&gt;='Gastos Gerais'!$D$4:$D$3143),-('Gastos das Atividades'!AL$3&lt;='Gastos Gerais'!$E$4:$E$3143),-('Gastos Gerais'!$C$4:$C$3143)))</f>
        <v>74914</v>
      </c>
      <c r="AM15" s="134">
        <f>IF($B15="",0,SUMPRODUCT(-('Gastos Gerais'!$F$4:$F$3143='Gastos das Atividades'!$B15),-('Gastos das Atividades'!AM$3&gt;='Gastos Gerais'!$D$4:$D$3143),-('Gastos das Atividades'!AM$3&lt;='Gastos Gerais'!$E$4:$E$3143),-('Gastos Gerais'!$C$4:$C$3143)))</f>
        <v>74914</v>
      </c>
      <c r="AN15" s="134">
        <f>IF($B15="",0,SUMPRODUCT(-('Gastos Gerais'!$F$4:$F$3143='Gastos das Atividades'!$B15),-('Gastos das Atividades'!AN$3&gt;='Gastos Gerais'!$D$4:$D$3143),-('Gastos das Atividades'!AN$3&lt;='Gastos Gerais'!$E$4:$E$3143),-('Gastos Gerais'!$C$4:$C$3143)))</f>
        <v>78868.7</v>
      </c>
      <c r="AO15" s="134">
        <f>IF($B15="",0,SUMPRODUCT(-('Gastos Gerais'!$F$4:$F$3143='Gastos das Atividades'!$B15),-('Gastos das Atividades'!AO$3&gt;='Gastos Gerais'!$D$4:$D$3143),-('Gastos das Atividades'!AO$3&lt;='Gastos Gerais'!$E$4:$E$3143),-('Gastos Gerais'!$C$4:$C$3143)))</f>
        <v>79368.7</v>
      </c>
      <c r="AP15" s="134">
        <f>IF($B15="",0,SUMPRODUCT(-('Gastos Gerais'!$F$4:$F$3143='Gastos das Atividades'!$B15),-('Gastos das Atividades'!AP$3&gt;='Gastos Gerais'!$D$4:$D$3143),-('Gastos das Atividades'!AP$3&lt;='Gastos Gerais'!$E$4:$E$3143),-('Gastos Gerais'!$C$4:$C$3143)))</f>
        <v>77368.7</v>
      </c>
      <c r="AQ15" s="134">
        <f>IF($B15="",0,SUMPRODUCT(-('Gastos Gerais'!$F$4:$F$3143='Gastos das Atividades'!$B15),-('Gastos das Atividades'!AQ$3&gt;='Gastos Gerais'!$D$4:$D$3143),-('Gastos das Atividades'!AQ$3&lt;='Gastos Gerais'!$E$4:$E$3143),-('Gastos Gerais'!$C$4:$C$3143)))</f>
        <v>77368.7</v>
      </c>
      <c r="AR15" s="134">
        <f>IF($B15="",0,SUMPRODUCT(-('Gastos Gerais'!$F$4:$F$3143='Gastos das Atividades'!$B15),-('Gastos das Atividades'!AR$3&gt;='Gastos Gerais'!$D$4:$D$3143),-('Gastos das Atividades'!AR$3&lt;='Gastos Gerais'!$E$4:$E$3143),-('Gastos Gerais'!$C$4:$C$3143)))</f>
        <v>76068.7</v>
      </c>
      <c r="AS15" s="134">
        <f>IF($B15="",0,SUMPRODUCT(-('Gastos Gerais'!$F$4:$F$3143='Gastos das Atividades'!$B15),-('Gastos das Atividades'!AS$3&gt;='Gastos Gerais'!$D$4:$D$3143),-('Gastos das Atividades'!AS$3&lt;='Gastos Gerais'!$E$4:$E$3143),-('Gastos Gerais'!$C$4:$C$3143)))</f>
        <v>76068.7</v>
      </c>
      <c r="AT15" s="134">
        <f>IF($B15="",0,SUMPRODUCT(-('Gastos Gerais'!$F$4:$F$3143='Gastos das Atividades'!$B15),-('Gastos das Atividades'!AT$3&gt;='Gastos Gerais'!$D$4:$D$3143),-('Gastos das Atividades'!AT$3&lt;='Gastos Gerais'!$E$4:$E$3143),-('Gastos Gerais'!$C$4:$C$3143)))</f>
        <v>75222.7</v>
      </c>
      <c r="AU15" s="134">
        <f>IF($B15="",0,SUMPRODUCT(-('Gastos Gerais'!$F$4:$F$3143='Gastos das Atividades'!$B15),-('Gastos das Atividades'!AU$3&gt;='Gastos Gerais'!$D$4:$D$3143),-('Gastos das Atividades'!AU$3&lt;='Gastos Gerais'!$E$4:$E$3143),-('Gastos Gerais'!$C$4:$C$3143)))</f>
        <v>75222.7</v>
      </c>
      <c r="AV15" s="134">
        <f>IF($B15="",0,SUMPRODUCT(-('Gastos Gerais'!$F$4:$F$3143='Gastos das Atividades'!$B15),-('Gastos das Atividades'!AV$3&gt;='Gastos Gerais'!$D$4:$D$3143),-('Gastos das Atividades'!AV$3&lt;='Gastos Gerais'!$E$4:$E$3143),-('Gastos Gerais'!$C$4:$C$3143)))</f>
        <v>75222.7</v>
      </c>
      <c r="AW15" s="134">
        <f>IF($B15="",0,SUMPRODUCT(-('Gastos Gerais'!$F$4:$F$3143='Gastos das Atividades'!$B15),-('Gastos das Atividades'!AW$3&gt;='Gastos Gerais'!$D$4:$D$3143),-('Gastos das Atividades'!AW$3&lt;='Gastos Gerais'!$E$4:$E$3143),-('Gastos Gerais'!$C$4:$C$3143)))</f>
        <v>75222.7</v>
      </c>
      <c r="AX15" s="134">
        <f>IF($B15="",0,SUMPRODUCT(-('Gastos Gerais'!$F$4:$F$3143='Gastos das Atividades'!$B15),-('Gastos das Atividades'!AX$3&gt;='Gastos Gerais'!$D$4:$D$3143),-('Gastos das Atividades'!AX$3&lt;='Gastos Gerais'!$E$4:$E$3143),-('Gastos Gerais'!$C$4:$C$3143)))</f>
        <v>75222.7</v>
      </c>
      <c r="AY15" s="134">
        <f>IF($B15="",0,SUMPRODUCT(-('Gastos Gerais'!$F$4:$F$3143='Gastos das Atividades'!$B15),-('Gastos das Atividades'!AY$3&gt;='Gastos Gerais'!$D$4:$D$3143),-('Gastos das Atividades'!AY$3&lt;='Gastos Gerais'!$E$4:$E$3143),-('Gastos Gerais'!$C$4:$C$3143)))</f>
        <v>75222.7</v>
      </c>
      <c r="AZ15" s="134">
        <f>IF($B15="",0,SUMPRODUCT(-('Gastos Gerais'!$F$4:$F$3143='Gastos das Atividades'!$B15),-('Gastos das Atividades'!AZ$3&gt;='Gastos Gerais'!$D$4:$D$3143),-('Gastos das Atividades'!AZ$3&lt;='Gastos Gerais'!$E$4:$E$3143),-('Gastos Gerais'!$C$4:$C$3143)))</f>
        <v>42509</v>
      </c>
      <c r="BA15" s="134">
        <f>IF($B15="",0,SUMPRODUCT(-('Gastos Gerais'!$F$4:$F$3143='Gastos das Atividades'!$B15),-('Gastos das Atividades'!BA$3&gt;='Gastos Gerais'!$D$4:$D$3143),-('Gastos das Atividades'!BA$3&lt;='Gastos Gerais'!$E$4:$E$3143),-('Gastos Gerais'!$C$4:$C$3143)))</f>
        <v>41759</v>
      </c>
      <c r="BB15" s="134">
        <f>IF($B15="",0,SUMPRODUCT(-('Gastos Gerais'!$F$4:$F$3143='Gastos das Atividades'!$B15),-('Gastos das Atividades'!BB$3&gt;='Gastos Gerais'!$D$4:$D$3143),-('Gastos das Atividades'!BB$3&lt;='Gastos Gerais'!$E$4:$E$3143),-('Gastos Gerais'!$C$4:$C$3143)))</f>
        <v>41109</v>
      </c>
      <c r="BC15" s="134">
        <f>IF($B15="",0,SUMPRODUCT(-('Gastos Gerais'!$F$4:$F$3143='Gastos das Atividades'!$B15),-('Gastos das Atividades'!BC$3&gt;='Gastos Gerais'!$D$4:$D$3143),-('Gastos das Atividades'!BC$3&lt;='Gastos Gerais'!$E$4:$E$3143),-('Gastos Gerais'!$C$4:$C$3143)))</f>
        <v>41109</v>
      </c>
      <c r="BD15" s="134">
        <f>IF($B15="",0,SUMPRODUCT(-('Gastos Gerais'!$F$4:$F$3143='Gastos das Atividades'!$B15),-('Gastos das Atividades'!BD$3&gt;='Gastos Gerais'!$D$4:$D$3143),-('Gastos das Atividades'!BD$3&lt;='Gastos Gerais'!$E$4:$E$3143),-('Gastos Gerais'!$C$4:$C$3143)))</f>
        <v>40359</v>
      </c>
      <c r="BE15" s="134">
        <f>IF($B15="",0,SUMPRODUCT(-('Gastos Gerais'!$F$4:$F$3143='Gastos das Atividades'!$B15),-('Gastos das Atividades'!BE$3&gt;='Gastos Gerais'!$D$4:$D$3143),-('Gastos das Atividades'!BE$3&lt;='Gastos Gerais'!$E$4:$E$3143),-('Gastos Gerais'!$C$4:$C$3143)))</f>
        <v>40359</v>
      </c>
      <c r="BF15" s="134">
        <f>IF($B15="",0,SUMPRODUCT(-('Gastos Gerais'!$F$4:$F$3143='Gastos das Atividades'!$B15),-('Gastos das Atividades'!BF$3&gt;='Gastos Gerais'!$D$4:$D$3143),-('Gastos das Atividades'!BF$3&lt;='Gastos Gerais'!$E$4:$E$3143),-('Gastos Gerais'!$C$4:$C$3143)))</f>
        <v>39859</v>
      </c>
      <c r="BG15" s="134">
        <f>IF($B15="",0,SUMPRODUCT(-('Gastos Gerais'!$F$4:$F$3143='Gastos das Atividades'!$B15),-('Gastos das Atividades'!BG$3&gt;='Gastos Gerais'!$D$4:$D$3143),-('Gastos das Atividades'!BG$3&lt;='Gastos Gerais'!$E$4:$E$3143),-('Gastos Gerais'!$C$4:$C$3143)))</f>
        <v>39859</v>
      </c>
      <c r="BH15" s="134">
        <f>IF($B15="",0,SUMPRODUCT(-('Gastos Gerais'!$F$4:$F$3143='Gastos das Atividades'!$B15),-('Gastos das Atividades'!BH$3&gt;='Gastos Gerais'!$D$4:$D$3143),-('Gastos das Atividades'!BH$3&lt;='Gastos Gerais'!$E$4:$E$3143),-('Gastos Gerais'!$C$4:$C$3143)))</f>
        <v>39859</v>
      </c>
      <c r="BI15" s="134">
        <f>IF($B15="",0,SUMPRODUCT(-('Gastos Gerais'!$F$4:$F$3143='Gastos das Atividades'!$B15),-('Gastos das Atividades'!BI$3&gt;='Gastos Gerais'!$D$4:$D$3143),-('Gastos das Atividades'!BI$3&lt;='Gastos Gerais'!$E$4:$E$3143),-('Gastos Gerais'!$C$4:$C$3143)))</f>
        <v>39859</v>
      </c>
      <c r="BJ15" s="134">
        <f>IF($B15="",0,SUMPRODUCT(-('Gastos Gerais'!$F$4:$F$3143='Gastos das Atividades'!$B15),-('Gastos das Atividades'!BJ$3&gt;='Gastos Gerais'!$D$4:$D$3143),-('Gastos das Atividades'!BJ$3&lt;='Gastos Gerais'!$E$4:$E$3143),-('Gastos Gerais'!$C$4:$C$3143)))</f>
        <v>39859</v>
      </c>
      <c r="BK15" s="134">
        <f>IF($B15="",0,SUMPRODUCT(-('Gastos Gerais'!$F$4:$F$3143='Gastos das Atividades'!$B15),-('Gastos das Atividades'!BK$3&gt;='Gastos Gerais'!$D$4:$D$3143),-('Gastos das Atividades'!BK$3&lt;='Gastos Gerais'!$E$4:$E$3143),-('Gastos Gerais'!$C$4:$C$3143)))</f>
        <v>0</v>
      </c>
      <c r="BL15" s="134">
        <f>IF($B15="",0,SUMPRODUCT(-('Gastos Gerais'!$F$4:$F$3143='Gastos das Atividades'!$B15),-('Gastos das Atividades'!BL$3&gt;='Gastos Gerais'!$D$4:$D$3143),-('Gastos das Atividades'!BL$3&lt;='Gastos Gerais'!$E$4:$E$3143),-('Gastos Gerais'!$C$4:$C$3143)))</f>
        <v>0</v>
      </c>
      <c r="BM15" s="134">
        <f>IF($B15="",0,SUMPRODUCT(-('Gastos Gerais'!$F$4:$F$3143='Gastos das Atividades'!$B15),-('Gastos das Atividades'!BM$3&gt;='Gastos Gerais'!$D$4:$D$3143),-('Gastos das Atividades'!BM$3&lt;='Gastos Gerais'!$E$4:$E$3143),-('Gastos Gerais'!$C$4:$C$3143)))</f>
        <v>0</v>
      </c>
      <c r="BN15" s="134">
        <f>IF($B15="",0,SUMPRODUCT(-('Gastos Gerais'!$F$4:$F$3143='Gastos das Atividades'!$B15),-('Gastos das Atividades'!BN$3&gt;='Gastos Gerais'!$D$4:$D$3143),-('Gastos das Atividades'!BN$3&lt;='Gastos Gerais'!$E$4:$E$3143),-('Gastos Gerais'!$C$4:$C$3143)))</f>
        <v>0</v>
      </c>
      <c r="BO15" s="134">
        <f>IF($B15="",0,SUMPRODUCT(-('Gastos Gerais'!$F$4:$F$3143='Gastos das Atividades'!$B15),-('Gastos das Atividades'!BO$3&gt;='Gastos Gerais'!$D$4:$D$3143),-('Gastos das Atividades'!BO$3&lt;='Gastos Gerais'!$E$4:$E$3143),-('Gastos Gerais'!$C$4:$C$3143)))</f>
        <v>0</v>
      </c>
      <c r="BP15" s="134">
        <f>IF($B15="",0,SUMPRODUCT(-('Gastos Gerais'!$F$4:$F$3143='Gastos das Atividades'!$B15),-('Gastos das Atividades'!BP$3&gt;='Gastos Gerais'!$D$4:$D$3143),-('Gastos das Atividades'!BP$3&lt;='Gastos Gerais'!$E$4:$E$3143),-('Gastos Gerais'!$C$4:$C$3143)))</f>
        <v>0</v>
      </c>
      <c r="BQ15" s="134">
        <f>IF($B15="",0,SUMPRODUCT(-('Gastos Gerais'!$F$4:$F$3143='Gastos das Atividades'!$B15),-('Gastos das Atividades'!BQ$3&gt;='Gastos Gerais'!$D$4:$D$3143),-('Gastos das Atividades'!BQ$3&lt;='Gastos Gerais'!$E$4:$E$3143),-('Gastos Gerais'!$C$4:$C$3143)))</f>
        <v>0</v>
      </c>
      <c r="BR15" s="134">
        <f>IF($B15="",0,SUMPRODUCT(-('Gastos Gerais'!$F$4:$F$3143='Gastos das Atividades'!$B15),-('Gastos das Atividades'!BR$3&gt;='Gastos Gerais'!$D$4:$D$3143),-('Gastos das Atividades'!BR$3&lt;='Gastos Gerais'!$E$4:$E$3143),-('Gastos Gerais'!$C$4:$C$3143)))</f>
        <v>0</v>
      </c>
      <c r="BS15" s="134">
        <f>IF($B15="",0,SUMPRODUCT(-('Gastos Gerais'!$F$4:$F$3143='Gastos das Atividades'!$B15),-('Gastos das Atividades'!BS$3&gt;='Gastos Gerais'!$D$4:$D$3143),-('Gastos das Atividades'!BS$3&lt;='Gastos Gerais'!$E$4:$E$3143),-('Gastos Gerais'!$C$4:$C$3143)))</f>
        <v>0</v>
      </c>
      <c r="BT15" s="134">
        <f>IF($B15="",0,SUMPRODUCT(-('Gastos Gerais'!$F$4:$F$3143='Gastos das Atividades'!$B15),-('Gastos das Atividades'!BT$3&gt;='Gastos Gerais'!$D$4:$D$3143),-('Gastos das Atividades'!BT$3&lt;='Gastos Gerais'!$E$4:$E$3143),-('Gastos Gerais'!$C$4:$C$3143)))</f>
        <v>0</v>
      </c>
      <c r="BU15" s="134">
        <f>IF($B15="",0,SUMPRODUCT(-('Gastos Gerais'!$F$4:$F$3143='Gastos das Atividades'!$B15),-('Gastos das Atividades'!BU$3&gt;='Gastos Gerais'!$D$4:$D$3143),-('Gastos das Atividades'!BU$3&lt;='Gastos Gerais'!$E$4:$E$3143),-('Gastos Gerais'!$C$4:$C$3143)))</f>
        <v>0</v>
      </c>
      <c r="BV15" s="134">
        <f>IF($B15="",0,SUMPRODUCT(-('Gastos Gerais'!$F$4:$F$3143='Gastos das Atividades'!$B15),-('Gastos das Atividades'!BV$3&gt;='Gastos Gerais'!$D$4:$D$3143),-('Gastos das Atividades'!BV$3&lt;='Gastos Gerais'!$E$4:$E$3143),-('Gastos Gerais'!$C$4:$C$3143)))</f>
        <v>0</v>
      </c>
      <c r="BW15" s="134">
        <f>IF($B15="",0,SUMPRODUCT(-('Gastos Gerais'!$F$4:$F$3143='Gastos das Atividades'!$B15),-('Gastos das Atividades'!BW$3&gt;='Gastos Gerais'!$D$4:$D$3143),-('Gastos das Atividades'!BW$3&lt;='Gastos Gerais'!$E$4:$E$3143),-('Gastos Gerais'!$C$4:$C$3143)))</f>
        <v>0</v>
      </c>
    </row>
    <row r="16" spans="1:76">
      <c r="A16" s="138">
        <v>13</v>
      </c>
      <c r="B16" s="139" t="s">
        <v>609</v>
      </c>
      <c r="C16" s="132">
        <v>0</v>
      </c>
      <c r="D16" s="133">
        <f t="shared" si="0"/>
        <v>997502</v>
      </c>
      <c r="E16" s="134">
        <f t="shared" si="1"/>
        <v>1011078.3000000002</v>
      </c>
      <c r="F16" s="134">
        <f t="shared" si="1"/>
        <v>1022345.9150000002</v>
      </c>
      <c r="G16" s="134">
        <f t="shared" si="1"/>
        <v>477404</v>
      </c>
      <c r="H16" s="134">
        <f t="shared" si="1"/>
        <v>0</v>
      </c>
      <c r="I16" s="135">
        <f t="shared" si="2"/>
        <v>3508330.214999998</v>
      </c>
      <c r="J16" s="136">
        <f t="shared" si="3"/>
        <v>1.3787259543190282E-2</v>
      </c>
      <c r="K16" s="136">
        <f t="shared" si="4"/>
        <v>1.3974908261424649E-2</v>
      </c>
      <c r="L16" s="136">
        <f t="shared" si="5"/>
        <v>1.4130646828803705E-2</v>
      </c>
      <c r="M16" s="136">
        <f t="shared" si="6"/>
        <v>6.5985760980501428E-3</v>
      </c>
      <c r="N16" s="136">
        <f t="shared" si="7"/>
        <v>0</v>
      </c>
      <c r="O16" s="137">
        <f t="shared" si="8"/>
        <v>4.8491390731468749E-2</v>
      </c>
      <c r="P16" s="134">
        <f>IF($B16="",0,SUMPRODUCT(-('Gastos Gerais'!$F$4:$F$3143='Gastos das Atividades'!$B16),-('Gastos das Atividades'!P$3&gt;='Gastos Gerais'!$D$4:$D$3143),-('Gastos das Atividades'!P$3&lt;='Gastos Gerais'!$E$4:$E$3143),-('Gastos Gerais'!$C$4:$C$3143)))</f>
        <v>85806.5</v>
      </c>
      <c r="Q16" s="134">
        <f>IF($B16="",0,SUMPRODUCT(-('Gastos Gerais'!$F$4:$F$3143='Gastos das Atividades'!$B16),-('Gastos das Atividades'!Q$3&gt;='Gastos Gerais'!$D$4:$D$3143),-('Gastos das Atividades'!Q$3&lt;='Gastos Gerais'!$E$4:$E$3143),-('Gastos Gerais'!$C$4:$C$3143)))</f>
        <v>84306.5</v>
      </c>
      <c r="R16" s="134">
        <f>IF($B16="",0,SUMPRODUCT(-('Gastos Gerais'!$F$4:$F$3143='Gastos das Atividades'!$B16),-('Gastos das Atividades'!R$3&gt;='Gastos Gerais'!$D$4:$D$3143),-('Gastos das Atividades'!R$3&lt;='Gastos Gerais'!$E$4:$E$3143),-('Gastos Gerais'!$C$4:$C$3143)))</f>
        <v>84306.5</v>
      </c>
      <c r="S16" s="134">
        <f>IF($B16="",0,SUMPRODUCT(-('Gastos Gerais'!$F$4:$F$3143='Gastos das Atividades'!$B16),-('Gastos das Atividades'!S$3&gt;='Gastos Gerais'!$D$4:$D$3143),-('Gastos das Atividades'!S$3&lt;='Gastos Gerais'!$E$4:$E$3143),-('Gastos Gerais'!$C$4:$C$3143)))</f>
        <v>83056.5</v>
      </c>
      <c r="T16" s="134">
        <f>IF($B16="",0,SUMPRODUCT(-('Gastos Gerais'!$F$4:$F$3143='Gastos das Atividades'!$B16),-('Gastos das Atividades'!T$3&gt;='Gastos Gerais'!$D$4:$D$3143),-('Gastos das Atividades'!T$3&lt;='Gastos Gerais'!$E$4:$E$3143),-('Gastos Gerais'!$C$4:$C$3143)))</f>
        <v>83056.5</v>
      </c>
      <c r="U16" s="134">
        <f>IF($B16="",0,SUMPRODUCT(-('Gastos Gerais'!$F$4:$F$3143='Gastos das Atividades'!$B16),-('Gastos das Atividades'!U$3&gt;='Gastos Gerais'!$D$4:$D$3143),-('Gastos das Atividades'!U$3&lt;='Gastos Gerais'!$E$4:$E$3143),-('Gastos Gerais'!$C$4:$C$3143)))</f>
        <v>83056.5</v>
      </c>
      <c r="V16" s="134">
        <f>IF($B16="",0,SUMPRODUCT(-('Gastos Gerais'!$F$4:$F$3143='Gastos das Atividades'!$B16),-('Gastos das Atividades'!V$3&gt;='Gastos Gerais'!$D$4:$D$3143),-('Gastos das Atividades'!V$3&lt;='Gastos Gerais'!$E$4:$E$3143),-('Gastos Gerais'!$C$4:$C$3143)))</f>
        <v>82210.5</v>
      </c>
      <c r="W16" s="134">
        <f>IF($B16="",0,SUMPRODUCT(-('Gastos Gerais'!$F$4:$F$3143='Gastos das Atividades'!$B16),-('Gastos das Atividades'!W$3&gt;='Gastos Gerais'!$D$4:$D$3143),-('Gastos das Atividades'!W$3&lt;='Gastos Gerais'!$E$4:$E$3143),-('Gastos Gerais'!$C$4:$C$3143)))</f>
        <v>82210.5</v>
      </c>
      <c r="X16" s="134">
        <f>IF($B16="",0,SUMPRODUCT(-('Gastos Gerais'!$F$4:$F$3143='Gastos das Atividades'!$B16),-('Gastos das Atividades'!X$3&gt;='Gastos Gerais'!$D$4:$D$3143),-('Gastos das Atividades'!X$3&lt;='Gastos Gerais'!$E$4:$E$3143),-('Gastos Gerais'!$C$4:$C$3143)))</f>
        <v>82210.5</v>
      </c>
      <c r="Y16" s="134">
        <f>IF($B16="",0,SUMPRODUCT(-('Gastos Gerais'!$F$4:$F$3143='Gastos das Atividades'!$B16),-('Gastos das Atividades'!Y$3&gt;='Gastos Gerais'!$D$4:$D$3143),-('Gastos das Atividades'!Y$3&lt;='Gastos Gerais'!$E$4:$E$3143),-('Gastos Gerais'!$C$4:$C$3143)))</f>
        <v>82210.5</v>
      </c>
      <c r="Z16" s="134">
        <f>IF($B16="",0,SUMPRODUCT(-('Gastos Gerais'!$F$4:$F$3143='Gastos das Atividades'!$B16),-('Gastos das Atividades'!Z$3&gt;='Gastos Gerais'!$D$4:$D$3143),-('Gastos das Atividades'!Z$3&lt;='Gastos Gerais'!$E$4:$E$3143),-('Gastos Gerais'!$C$4:$C$3143)))</f>
        <v>82210.5</v>
      </c>
      <c r="AA16" s="134">
        <f>IF($B16="",0,SUMPRODUCT(-('Gastos Gerais'!$F$4:$F$3143='Gastos das Atividades'!$B16),-('Gastos das Atividades'!AA$3&gt;='Gastos Gerais'!$D$4:$D$3143),-('Gastos das Atividades'!AA$3&lt;='Gastos Gerais'!$E$4:$E$3143),-('Gastos Gerais'!$C$4:$C$3143)))</f>
        <v>82860.5</v>
      </c>
      <c r="AB16" s="134">
        <f>IF($B16="",0,SUMPRODUCT(-('Gastos Gerais'!$F$4:$F$3143='Gastos das Atividades'!$B16),-('Gastos das Atividades'!AB$3&gt;='Gastos Gerais'!$D$4:$D$3143),-('Gastos das Atividades'!AB$3&lt;='Gastos Gerais'!$E$4:$E$3143),-('Gastos Gerais'!$C$4:$C$3143)))</f>
        <v>86992.024999999994</v>
      </c>
      <c r="AC16" s="134">
        <f>IF($B16="",0,SUMPRODUCT(-('Gastos Gerais'!$F$4:$F$3143='Gastos das Atividades'!$B16),-('Gastos das Atividades'!AC$3&gt;='Gastos Gerais'!$D$4:$D$3143),-('Gastos das Atividades'!AC$3&lt;='Gastos Gerais'!$E$4:$E$3143),-('Gastos Gerais'!$C$4:$C$3143)))</f>
        <v>85492.024999999994</v>
      </c>
      <c r="AD16" s="134">
        <f>IF($B16="",0,SUMPRODUCT(-('Gastos Gerais'!$F$4:$F$3143='Gastos das Atividades'!$B16),-('Gastos das Atividades'!AD$3&gt;='Gastos Gerais'!$D$4:$D$3143),-('Gastos das Atividades'!AD$3&lt;='Gastos Gerais'!$E$4:$E$3143),-('Gastos Gerais'!$C$4:$C$3143)))</f>
        <v>85492.024999999994</v>
      </c>
      <c r="AE16" s="134">
        <f>IF($B16="",0,SUMPRODUCT(-('Gastos Gerais'!$F$4:$F$3143='Gastos das Atividades'!$B16),-('Gastos das Atividades'!AE$3&gt;='Gastos Gerais'!$D$4:$D$3143),-('Gastos das Atividades'!AE$3&lt;='Gastos Gerais'!$E$4:$E$3143),-('Gastos Gerais'!$C$4:$C$3143)))</f>
        <v>84242.024999999994</v>
      </c>
      <c r="AF16" s="134">
        <f>IF($B16="",0,SUMPRODUCT(-('Gastos Gerais'!$F$4:$F$3143='Gastos das Atividades'!$B16),-('Gastos das Atividades'!AF$3&gt;='Gastos Gerais'!$D$4:$D$3143),-('Gastos das Atividades'!AF$3&lt;='Gastos Gerais'!$E$4:$E$3143),-('Gastos Gerais'!$C$4:$C$3143)))</f>
        <v>84242.024999999994</v>
      </c>
      <c r="AG16" s="134">
        <f>IF($B16="",0,SUMPRODUCT(-('Gastos Gerais'!$F$4:$F$3143='Gastos das Atividades'!$B16),-('Gastos das Atividades'!AG$3&gt;='Gastos Gerais'!$D$4:$D$3143),-('Gastos das Atividades'!AG$3&lt;='Gastos Gerais'!$E$4:$E$3143),-('Gastos Gerais'!$C$4:$C$3143)))</f>
        <v>84242.024999999994</v>
      </c>
      <c r="AH16" s="134">
        <f>IF($B16="",0,SUMPRODUCT(-('Gastos Gerais'!$F$4:$F$3143='Gastos das Atividades'!$B16),-('Gastos das Atividades'!AH$3&gt;='Gastos Gerais'!$D$4:$D$3143),-('Gastos das Atividades'!AH$3&lt;='Gastos Gerais'!$E$4:$E$3143),-('Gastos Gerais'!$C$4:$C$3143)))</f>
        <v>83396.024999999994</v>
      </c>
      <c r="AI16" s="134">
        <f>IF($B16="",0,SUMPRODUCT(-('Gastos Gerais'!$F$4:$F$3143='Gastos das Atividades'!$B16),-('Gastos das Atividades'!AI$3&gt;='Gastos Gerais'!$D$4:$D$3143),-('Gastos das Atividades'!AI$3&lt;='Gastos Gerais'!$E$4:$E$3143),-('Gastos Gerais'!$C$4:$C$3143)))</f>
        <v>83396.024999999994</v>
      </c>
      <c r="AJ16" s="134">
        <f>IF($B16="",0,SUMPRODUCT(-('Gastos Gerais'!$F$4:$F$3143='Gastos das Atividades'!$B16),-('Gastos das Atividades'!AJ$3&gt;='Gastos Gerais'!$D$4:$D$3143),-('Gastos das Atividades'!AJ$3&lt;='Gastos Gerais'!$E$4:$E$3143),-('Gastos Gerais'!$C$4:$C$3143)))</f>
        <v>83396.024999999994</v>
      </c>
      <c r="AK16" s="134">
        <f>IF($B16="",0,SUMPRODUCT(-('Gastos Gerais'!$F$4:$F$3143='Gastos das Atividades'!$B16),-('Gastos das Atividades'!AK$3&gt;='Gastos Gerais'!$D$4:$D$3143),-('Gastos das Atividades'!AK$3&lt;='Gastos Gerais'!$E$4:$E$3143),-('Gastos Gerais'!$C$4:$C$3143)))</f>
        <v>83396.024999999994</v>
      </c>
      <c r="AL16" s="134">
        <f>IF($B16="",0,SUMPRODUCT(-('Gastos Gerais'!$F$4:$F$3143='Gastos das Atividades'!$B16),-('Gastos das Atividades'!AL$3&gt;='Gastos Gerais'!$D$4:$D$3143),-('Gastos das Atividades'!AL$3&lt;='Gastos Gerais'!$E$4:$E$3143),-('Gastos Gerais'!$C$4:$C$3143)))</f>
        <v>83396.024999999994</v>
      </c>
      <c r="AM16" s="134">
        <f>IF($B16="",0,SUMPRODUCT(-('Gastos Gerais'!$F$4:$F$3143='Gastos das Atividades'!$B16),-('Gastos das Atividades'!AM$3&gt;='Gastos Gerais'!$D$4:$D$3143),-('Gastos das Atividades'!AM$3&lt;='Gastos Gerais'!$E$4:$E$3143),-('Gastos Gerais'!$C$4:$C$3143)))</f>
        <v>83396.024999999994</v>
      </c>
      <c r="AN16" s="134">
        <f>IF($B16="",0,SUMPRODUCT(-('Gastos Gerais'!$F$4:$F$3143='Gastos das Atividades'!$B16),-('Gastos das Atividades'!AN$3&gt;='Gastos Gerais'!$D$4:$D$3143),-('Gastos das Atividades'!AN$3&lt;='Gastos Gerais'!$E$4:$E$3143),-('Gastos Gerais'!$C$4:$C$3143)))</f>
        <v>87764.326249999998</v>
      </c>
      <c r="AO16" s="134">
        <f>IF($B16="",0,SUMPRODUCT(-('Gastos Gerais'!$F$4:$F$3143='Gastos das Atividades'!$B16),-('Gastos das Atividades'!AO$3&gt;='Gastos Gerais'!$D$4:$D$3143),-('Gastos das Atividades'!AO$3&lt;='Gastos Gerais'!$E$4:$E$3143),-('Gastos Gerais'!$C$4:$C$3143)))</f>
        <v>88264.326249999998</v>
      </c>
      <c r="AP16" s="134">
        <f>IF($B16="",0,SUMPRODUCT(-('Gastos Gerais'!$F$4:$F$3143='Gastos das Atividades'!$B16),-('Gastos das Atividades'!AP$3&gt;='Gastos Gerais'!$D$4:$D$3143),-('Gastos das Atividades'!AP$3&lt;='Gastos Gerais'!$E$4:$E$3143),-('Gastos Gerais'!$C$4:$C$3143)))</f>
        <v>86264.326249999998</v>
      </c>
      <c r="AQ16" s="134">
        <f>IF($B16="",0,SUMPRODUCT(-('Gastos Gerais'!$F$4:$F$3143='Gastos das Atividades'!$B16),-('Gastos das Atividades'!AQ$3&gt;='Gastos Gerais'!$D$4:$D$3143),-('Gastos das Atividades'!AQ$3&lt;='Gastos Gerais'!$E$4:$E$3143),-('Gastos Gerais'!$C$4:$C$3143)))</f>
        <v>85014.326249999998</v>
      </c>
      <c r="AR16" s="134">
        <f>IF($B16="",0,SUMPRODUCT(-('Gastos Gerais'!$F$4:$F$3143='Gastos das Atividades'!$B16),-('Gastos das Atividades'!AR$3&gt;='Gastos Gerais'!$D$4:$D$3143),-('Gastos das Atividades'!AR$3&lt;='Gastos Gerais'!$E$4:$E$3143),-('Gastos Gerais'!$C$4:$C$3143)))</f>
        <v>85014.326249999998</v>
      </c>
      <c r="AS16" s="134">
        <f>IF($B16="",0,SUMPRODUCT(-('Gastos Gerais'!$F$4:$F$3143='Gastos das Atividades'!$B16),-('Gastos das Atividades'!AS$3&gt;='Gastos Gerais'!$D$4:$D$3143),-('Gastos das Atividades'!AS$3&lt;='Gastos Gerais'!$E$4:$E$3143),-('Gastos Gerais'!$C$4:$C$3143)))</f>
        <v>85014.326249999998</v>
      </c>
      <c r="AT16" s="134">
        <f>IF($B16="",0,SUMPRODUCT(-('Gastos Gerais'!$F$4:$F$3143='Gastos das Atividades'!$B16),-('Gastos das Atividades'!AT$3&gt;='Gastos Gerais'!$D$4:$D$3143),-('Gastos das Atividades'!AT$3&lt;='Gastos Gerais'!$E$4:$E$3143),-('Gastos Gerais'!$C$4:$C$3143)))</f>
        <v>84168.326249999998</v>
      </c>
      <c r="AU16" s="134">
        <f>IF($B16="",0,SUMPRODUCT(-('Gastos Gerais'!$F$4:$F$3143='Gastos das Atividades'!$B16),-('Gastos das Atividades'!AU$3&gt;='Gastos Gerais'!$D$4:$D$3143),-('Gastos das Atividades'!AU$3&lt;='Gastos Gerais'!$E$4:$E$3143),-('Gastos Gerais'!$C$4:$C$3143)))</f>
        <v>84168.326249999998</v>
      </c>
      <c r="AV16" s="134">
        <f>IF($B16="",0,SUMPRODUCT(-('Gastos Gerais'!$F$4:$F$3143='Gastos das Atividades'!$B16),-('Gastos das Atividades'!AV$3&gt;='Gastos Gerais'!$D$4:$D$3143),-('Gastos das Atividades'!AV$3&lt;='Gastos Gerais'!$E$4:$E$3143),-('Gastos Gerais'!$C$4:$C$3143)))</f>
        <v>84168.326249999998</v>
      </c>
      <c r="AW16" s="134">
        <f>IF($B16="",0,SUMPRODUCT(-('Gastos Gerais'!$F$4:$F$3143='Gastos das Atividades'!$B16),-('Gastos das Atividades'!AW$3&gt;='Gastos Gerais'!$D$4:$D$3143),-('Gastos das Atividades'!AW$3&lt;='Gastos Gerais'!$E$4:$E$3143),-('Gastos Gerais'!$C$4:$C$3143)))</f>
        <v>84168.326249999998</v>
      </c>
      <c r="AX16" s="134">
        <f>IF($B16="",0,SUMPRODUCT(-('Gastos Gerais'!$F$4:$F$3143='Gastos das Atividades'!$B16),-('Gastos das Atividades'!AX$3&gt;='Gastos Gerais'!$D$4:$D$3143),-('Gastos das Atividades'!AX$3&lt;='Gastos Gerais'!$E$4:$E$3143),-('Gastos Gerais'!$C$4:$C$3143)))</f>
        <v>84168.326249999998</v>
      </c>
      <c r="AY16" s="134">
        <f>IF($B16="",0,SUMPRODUCT(-('Gastos Gerais'!$F$4:$F$3143='Gastos das Atividades'!$B16),-('Gastos das Atividades'!AY$3&gt;='Gastos Gerais'!$D$4:$D$3143),-('Gastos das Atividades'!AY$3&lt;='Gastos Gerais'!$E$4:$E$3143),-('Gastos Gerais'!$C$4:$C$3143)))</f>
        <v>84168.326249999998</v>
      </c>
      <c r="AZ16" s="134">
        <f>IF($B16="",0,SUMPRODUCT(-('Gastos Gerais'!$F$4:$F$3143='Gastos das Atividades'!$B16),-('Gastos das Atividades'!AZ$3&gt;='Gastos Gerais'!$D$4:$D$3143),-('Gastos das Atividades'!AZ$3&lt;='Gastos Gerais'!$E$4:$E$3143),-('Gastos Gerais'!$C$4:$C$3143)))</f>
        <v>45439</v>
      </c>
      <c r="BA16" s="134">
        <f>IF($B16="",0,SUMPRODUCT(-('Gastos Gerais'!$F$4:$F$3143='Gastos das Atividades'!$B16),-('Gastos das Atividades'!BA$3&gt;='Gastos Gerais'!$D$4:$D$3143),-('Gastos das Atividades'!BA$3&lt;='Gastos Gerais'!$E$4:$E$3143),-('Gastos Gerais'!$C$4:$C$3143)))</f>
        <v>44689</v>
      </c>
      <c r="BB16" s="134">
        <f>IF($B16="",0,SUMPRODUCT(-('Gastos Gerais'!$F$4:$F$3143='Gastos das Atividades'!$B16),-('Gastos das Atividades'!BB$3&gt;='Gastos Gerais'!$D$4:$D$3143),-('Gastos das Atividades'!BB$3&lt;='Gastos Gerais'!$E$4:$E$3143),-('Gastos Gerais'!$C$4:$C$3143)))</f>
        <v>44039</v>
      </c>
      <c r="BC16" s="134">
        <f>IF($B16="",0,SUMPRODUCT(-('Gastos Gerais'!$F$4:$F$3143='Gastos das Atividades'!$B16),-('Gastos das Atividades'!BC$3&gt;='Gastos Gerais'!$D$4:$D$3143),-('Gastos das Atividades'!BC$3&lt;='Gastos Gerais'!$E$4:$E$3143),-('Gastos Gerais'!$C$4:$C$3143)))</f>
        <v>43259</v>
      </c>
      <c r="BD16" s="134">
        <f>IF($B16="",0,SUMPRODUCT(-('Gastos Gerais'!$F$4:$F$3143='Gastos das Atividades'!$B16),-('Gastos das Atividades'!BD$3&gt;='Gastos Gerais'!$D$4:$D$3143),-('Gastos das Atividades'!BD$3&lt;='Gastos Gerais'!$E$4:$E$3143),-('Gastos Gerais'!$C$4:$C$3143)))</f>
        <v>43259</v>
      </c>
      <c r="BE16" s="134">
        <f>IF($B16="",0,SUMPRODUCT(-('Gastos Gerais'!$F$4:$F$3143='Gastos das Atividades'!$B16),-('Gastos das Atividades'!BE$3&gt;='Gastos Gerais'!$D$4:$D$3143),-('Gastos das Atividades'!BE$3&lt;='Gastos Gerais'!$E$4:$E$3143),-('Gastos Gerais'!$C$4:$C$3143)))</f>
        <v>43259</v>
      </c>
      <c r="BF16" s="134">
        <f>IF($B16="",0,SUMPRODUCT(-('Gastos Gerais'!$F$4:$F$3143='Gastos das Atividades'!$B16),-('Gastos das Atividades'!BF$3&gt;='Gastos Gerais'!$D$4:$D$3143),-('Gastos das Atividades'!BF$3&lt;='Gastos Gerais'!$E$4:$E$3143),-('Gastos Gerais'!$C$4:$C$3143)))</f>
        <v>42759</v>
      </c>
      <c r="BG16" s="134">
        <f>IF($B16="",0,SUMPRODUCT(-('Gastos Gerais'!$F$4:$F$3143='Gastos das Atividades'!$B16),-('Gastos das Atividades'!BG$3&gt;='Gastos Gerais'!$D$4:$D$3143),-('Gastos das Atividades'!BG$3&lt;='Gastos Gerais'!$E$4:$E$3143),-('Gastos Gerais'!$C$4:$C$3143)))</f>
        <v>42759</v>
      </c>
      <c r="BH16" s="134">
        <f>IF($B16="",0,SUMPRODUCT(-('Gastos Gerais'!$F$4:$F$3143='Gastos das Atividades'!$B16),-('Gastos das Atividades'!BH$3&gt;='Gastos Gerais'!$D$4:$D$3143),-('Gastos das Atividades'!BH$3&lt;='Gastos Gerais'!$E$4:$E$3143),-('Gastos Gerais'!$C$4:$C$3143)))</f>
        <v>42759</v>
      </c>
      <c r="BI16" s="134">
        <f>IF($B16="",0,SUMPRODUCT(-('Gastos Gerais'!$F$4:$F$3143='Gastos das Atividades'!$B16),-('Gastos das Atividades'!BI$3&gt;='Gastos Gerais'!$D$4:$D$3143),-('Gastos das Atividades'!BI$3&lt;='Gastos Gerais'!$E$4:$E$3143),-('Gastos Gerais'!$C$4:$C$3143)))</f>
        <v>42759</v>
      </c>
      <c r="BJ16" s="134">
        <f>IF($B16="",0,SUMPRODUCT(-('Gastos Gerais'!$F$4:$F$3143='Gastos das Atividades'!$B16),-('Gastos das Atividades'!BJ$3&gt;='Gastos Gerais'!$D$4:$D$3143),-('Gastos das Atividades'!BJ$3&lt;='Gastos Gerais'!$E$4:$E$3143),-('Gastos Gerais'!$C$4:$C$3143)))</f>
        <v>42424</v>
      </c>
      <c r="BK16" s="134">
        <f>IF($B16="",0,SUMPRODUCT(-('Gastos Gerais'!$F$4:$F$3143='Gastos das Atividades'!$B16),-('Gastos das Atividades'!BK$3&gt;='Gastos Gerais'!$D$4:$D$3143),-('Gastos das Atividades'!BK$3&lt;='Gastos Gerais'!$E$4:$E$3143),-('Gastos Gerais'!$C$4:$C$3143)))</f>
        <v>0</v>
      </c>
      <c r="BL16" s="134">
        <f>IF($B16="",0,SUMPRODUCT(-('Gastos Gerais'!$F$4:$F$3143='Gastos das Atividades'!$B16),-('Gastos das Atividades'!BL$3&gt;='Gastos Gerais'!$D$4:$D$3143),-('Gastos das Atividades'!BL$3&lt;='Gastos Gerais'!$E$4:$E$3143),-('Gastos Gerais'!$C$4:$C$3143)))</f>
        <v>0</v>
      </c>
      <c r="BM16" s="134">
        <f>IF($B16="",0,SUMPRODUCT(-('Gastos Gerais'!$F$4:$F$3143='Gastos das Atividades'!$B16),-('Gastos das Atividades'!BM$3&gt;='Gastos Gerais'!$D$4:$D$3143),-('Gastos das Atividades'!BM$3&lt;='Gastos Gerais'!$E$4:$E$3143),-('Gastos Gerais'!$C$4:$C$3143)))</f>
        <v>0</v>
      </c>
      <c r="BN16" s="134">
        <f>IF($B16="",0,SUMPRODUCT(-('Gastos Gerais'!$F$4:$F$3143='Gastos das Atividades'!$B16),-('Gastos das Atividades'!BN$3&gt;='Gastos Gerais'!$D$4:$D$3143),-('Gastos das Atividades'!BN$3&lt;='Gastos Gerais'!$E$4:$E$3143),-('Gastos Gerais'!$C$4:$C$3143)))</f>
        <v>0</v>
      </c>
      <c r="BO16" s="134">
        <f>IF($B16="",0,SUMPRODUCT(-('Gastos Gerais'!$F$4:$F$3143='Gastos das Atividades'!$B16),-('Gastos das Atividades'!BO$3&gt;='Gastos Gerais'!$D$4:$D$3143),-('Gastos das Atividades'!BO$3&lt;='Gastos Gerais'!$E$4:$E$3143),-('Gastos Gerais'!$C$4:$C$3143)))</f>
        <v>0</v>
      </c>
      <c r="BP16" s="134">
        <f>IF($B16="",0,SUMPRODUCT(-('Gastos Gerais'!$F$4:$F$3143='Gastos das Atividades'!$B16),-('Gastos das Atividades'!BP$3&gt;='Gastos Gerais'!$D$4:$D$3143),-('Gastos das Atividades'!BP$3&lt;='Gastos Gerais'!$E$4:$E$3143),-('Gastos Gerais'!$C$4:$C$3143)))</f>
        <v>0</v>
      </c>
      <c r="BQ16" s="134">
        <f>IF($B16="",0,SUMPRODUCT(-('Gastos Gerais'!$F$4:$F$3143='Gastos das Atividades'!$B16),-('Gastos das Atividades'!BQ$3&gt;='Gastos Gerais'!$D$4:$D$3143),-('Gastos das Atividades'!BQ$3&lt;='Gastos Gerais'!$E$4:$E$3143),-('Gastos Gerais'!$C$4:$C$3143)))</f>
        <v>0</v>
      </c>
      <c r="BR16" s="134">
        <f>IF($B16="",0,SUMPRODUCT(-('Gastos Gerais'!$F$4:$F$3143='Gastos das Atividades'!$B16),-('Gastos das Atividades'!BR$3&gt;='Gastos Gerais'!$D$4:$D$3143),-('Gastos das Atividades'!BR$3&lt;='Gastos Gerais'!$E$4:$E$3143),-('Gastos Gerais'!$C$4:$C$3143)))</f>
        <v>0</v>
      </c>
      <c r="BS16" s="134">
        <f>IF($B16="",0,SUMPRODUCT(-('Gastos Gerais'!$F$4:$F$3143='Gastos das Atividades'!$B16),-('Gastos das Atividades'!BS$3&gt;='Gastos Gerais'!$D$4:$D$3143),-('Gastos das Atividades'!BS$3&lt;='Gastos Gerais'!$E$4:$E$3143),-('Gastos Gerais'!$C$4:$C$3143)))</f>
        <v>0</v>
      </c>
      <c r="BT16" s="134">
        <f>IF($B16="",0,SUMPRODUCT(-('Gastos Gerais'!$F$4:$F$3143='Gastos das Atividades'!$B16),-('Gastos das Atividades'!BT$3&gt;='Gastos Gerais'!$D$4:$D$3143),-('Gastos das Atividades'!BT$3&lt;='Gastos Gerais'!$E$4:$E$3143),-('Gastos Gerais'!$C$4:$C$3143)))</f>
        <v>0</v>
      </c>
      <c r="BU16" s="134">
        <f>IF($B16="",0,SUMPRODUCT(-('Gastos Gerais'!$F$4:$F$3143='Gastos das Atividades'!$B16),-('Gastos das Atividades'!BU$3&gt;='Gastos Gerais'!$D$4:$D$3143),-('Gastos das Atividades'!BU$3&lt;='Gastos Gerais'!$E$4:$E$3143),-('Gastos Gerais'!$C$4:$C$3143)))</f>
        <v>0</v>
      </c>
      <c r="BV16" s="134">
        <f>IF($B16="",0,SUMPRODUCT(-('Gastos Gerais'!$F$4:$F$3143='Gastos das Atividades'!$B16),-('Gastos das Atividades'!BV$3&gt;='Gastos Gerais'!$D$4:$D$3143),-('Gastos das Atividades'!BV$3&lt;='Gastos Gerais'!$E$4:$E$3143),-('Gastos Gerais'!$C$4:$C$3143)))</f>
        <v>0</v>
      </c>
      <c r="BW16" s="134">
        <f>IF($B16="",0,SUMPRODUCT(-('Gastos Gerais'!$F$4:$F$3143='Gastos das Atividades'!$B16),-('Gastos das Atividades'!BW$3&gt;='Gastos Gerais'!$D$4:$D$3143),-('Gastos das Atividades'!BW$3&lt;='Gastos Gerais'!$E$4:$E$3143),-('Gastos Gerais'!$C$4:$C$3143)))</f>
        <v>0</v>
      </c>
    </row>
    <row r="17" spans="1:75">
      <c r="A17" s="138">
        <v>14</v>
      </c>
      <c r="B17" s="139" t="s">
        <v>610</v>
      </c>
      <c r="C17" s="132">
        <v>0</v>
      </c>
      <c r="D17" s="133">
        <f t="shared" si="0"/>
        <v>686676</v>
      </c>
      <c r="E17" s="134">
        <f t="shared" si="1"/>
        <v>893734</v>
      </c>
      <c r="F17" s="134">
        <f t="shared" si="1"/>
        <v>898034</v>
      </c>
      <c r="G17" s="134">
        <f t="shared" si="1"/>
        <v>435359</v>
      </c>
      <c r="H17" s="134">
        <f t="shared" si="1"/>
        <v>0</v>
      </c>
      <c r="I17" s="135">
        <f t="shared" si="2"/>
        <v>2913803</v>
      </c>
      <c r="J17" s="136">
        <f t="shared" si="3"/>
        <v>9.4910889743376262E-3</v>
      </c>
      <c r="K17" s="136">
        <f t="shared" si="4"/>
        <v>1.2353000415611822E-2</v>
      </c>
      <c r="L17" s="136">
        <f t="shared" si="5"/>
        <v>1.2412434096983607E-2</v>
      </c>
      <c r="M17" s="136">
        <f t="shared" si="6"/>
        <v>6.0174390903113759E-3</v>
      </c>
      <c r="N17" s="136">
        <f t="shared" si="7"/>
        <v>0</v>
      </c>
      <c r="O17" s="137">
        <f t="shared" si="8"/>
        <v>4.0273962577244429E-2</v>
      </c>
      <c r="P17" s="134">
        <f>IF($B17="",0,SUMPRODUCT(-('Gastos Gerais'!$F$4:$F$3143='Gastos das Atividades'!$B17),-('Gastos das Atividades'!P$3&gt;='Gastos Gerais'!$D$4:$D$3143),-('Gastos das Atividades'!P$3&lt;='Gastos Gerais'!$E$4:$E$3143),-('Gastos Gerais'!$C$4:$C$3143)))</f>
        <v>0</v>
      </c>
      <c r="Q17" s="134">
        <f>IF($B17="",0,SUMPRODUCT(-('Gastos Gerais'!$F$4:$F$3143='Gastos das Atividades'!$B17),-('Gastos das Atividades'!Q$3&gt;='Gastos Gerais'!$D$4:$D$3143),-('Gastos das Atividades'!Q$3&lt;='Gastos Gerais'!$E$4:$E$3143),-('Gastos Gerais'!$C$4:$C$3143)))</f>
        <v>0</v>
      </c>
      <c r="R17" s="134">
        <f>IF($B17="",0,SUMPRODUCT(-('Gastos Gerais'!$F$4:$F$3143='Gastos das Atividades'!$B17),-('Gastos das Atividades'!R$3&gt;='Gastos Gerais'!$D$4:$D$3143),-('Gastos das Atividades'!R$3&lt;='Gastos Gerais'!$E$4:$E$3143),-('Gastos Gerais'!$C$4:$C$3143)))</f>
        <v>0</v>
      </c>
      <c r="S17" s="134">
        <f>IF($B17="",0,SUMPRODUCT(-('Gastos Gerais'!$F$4:$F$3143='Gastos das Atividades'!$B17),-('Gastos das Atividades'!S$3&gt;='Gastos Gerais'!$D$4:$D$3143),-('Gastos das Atividades'!S$3&lt;='Gastos Gerais'!$E$4:$E$3143),-('Gastos Gerais'!$C$4:$C$3143)))</f>
        <v>0</v>
      </c>
      <c r="T17" s="134">
        <f>IF($B17="",0,SUMPRODUCT(-('Gastos Gerais'!$F$4:$F$3143='Gastos das Atividades'!$B17),-('Gastos das Atividades'!T$3&gt;='Gastos Gerais'!$D$4:$D$3143),-('Gastos das Atividades'!T$3&lt;='Gastos Gerais'!$E$4:$E$3143),-('Gastos Gerais'!$C$4:$C$3143)))</f>
        <v>0</v>
      </c>
      <c r="U17" s="134">
        <f>IF($B17="",0,SUMPRODUCT(-('Gastos Gerais'!$F$4:$F$3143='Gastos das Atividades'!$B17),-('Gastos das Atividades'!U$3&gt;='Gastos Gerais'!$D$4:$D$3143),-('Gastos das Atividades'!U$3&lt;='Gastos Gerais'!$E$4:$E$3143),-('Gastos Gerais'!$C$4:$C$3143)))</f>
        <v>0</v>
      </c>
      <c r="V17" s="134">
        <f>IF($B17="",0,SUMPRODUCT(-('Gastos Gerais'!$F$4:$F$3143='Gastos das Atividades'!$B17),-('Gastos das Atividades'!V$3&gt;='Gastos Gerais'!$D$4:$D$3143),-('Gastos das Atividades'!V$3&lt;='Gastos Gerais'!$E$4:$E$3143),-('Gastos Gerais'!$C$4:$C$3143)))</f>
        <v>306946</v>
      </c>
      <c r="W17" s="134">
        <f>IF($B17="",0,SUMPRODUCT(-('Gastos Gerais'!$F$4:$F$3143='Gastos das Atividades'!$B17),-('Gastos das Atividades'!W$3&gt;='Gastos Gerais'!$D$4:$D$3143),-('Gastos das Atividades'!W$3&lt;='Gastos Gerais'!$E$4:$E$3143),-('Gastos Gerais'!$C$4:$C$3143)))</f>
        <v>75946</v>
      </c>
      <c r="X17" s="134">
        <f>IF($B17="",0,SUMPRODUCT(-('Gastos Gerais'!$F$4:$F$3143='Gastos das Atividades'!$B17),-('Gastos das Atividades'!X$3&gt;='Gastos Gerais'!$D$4:$D$3143),-('Gastos das Atividades'!X$3&lt;='Gastos Gerais'!$E$4:$E$3143),-('Gastos Gerais'!$C$4:$C$3143)))</f>
        <v>75946</v>
      </c>
      <c r="Y17" s="134">
        <f>IF($B17="",0,SUMPRODUCT(-('Gastos Gerais'!$F$4:$F$3143='Gastos das Atividades'!$B17),-('Gastos das Atividades'!Y$3&gt;='Gastos Gerais'!$D$4:$D$3143),-('Gastos das Atividades'!Y$3&lt;='Gastos Gerais'!$E$4:$E$3143),-('Gastos Gerais'!$C$4:$C$3143)))</f>
        <v>75946</v>
      </c>
      <c r="Z17" s="134">
        <f>IF($B17="",0,SUMPRODUCT(-('Gastos Gerais'!$F$4:$F$3143='Gastos das Atividades'!$B17),-('Gastos das Atividades'!Z$3&gt;='Gastos Gerais'!$D$4:$D$3143),-('Gastos das Atividades'!Z$3&lt;='Gastos Gerais'!$E$4:$E$3143),-('Gastos Gerais'!$C$4:$C$3143)))</f>
        <v>75946</v>
      </c>
      <c r="AA17" s="134">
        <f>IF($B17="",0,SUMPRODUCT(-('Gastos Gerais'!$F$4:$F$3143='Gastos das Atividades'!$B17),-('Gastos das Atividades'!AA$3&gt;='Gastos Gerais'!$D$4:$D$3143),-('Gastos das Atividades'!AA$3&lt;='Gastos Gerais'!$E$4:$E$3143),-('Gastos Gerais'!$C$4:$C$3143)))</f>
        <v>75946</v>
      </c>
      <c r="AB17" s="134">
        <f>IF($B17="",0,SUMPRODUCT(-('Gastos Gerais'!$F$4:$F$3143='Gastos das Atividades'!$B17),-('Gastos das Atividades'!AB$3&gt;='Gastos Gerais'!$D$4:$D$3143),-('Gastos das Atividades'!AB$3&lt;='Gastos Gerais'!$E$4:$E$3143),-('Gastos Gerais'!$C$4:$C$3143)))</f>
        <v>77746</v>
      </c>
      <c r="AC17" s="134">
        <f>IF($B17="",0,SUMPRODUCT(-('Gastos Gerais'!$F$4:$F$3143='Gastos das Atividades'!$B17),-('Gastos das Atividades'!AC$3&gt;='Gastos Gerais'!$D$4:$D$3143),-('Gastos das Atividades'!AC$3&lt;='Gastos Gerais'!$E$4:$E$3143),-('Gastos Gerais'!$C$4:$C$3143)))</f>
        <v>78246</v>
      </c>
      <c r="AD17" s="134">
        <f>IF($B17="",0,SUMPRODUCT(-('Gastos Gerais'!$F$4:$F$3143='Gastos das Atividades'!$B17),-('Gastos das Atividades'!AD$3&gt;='Gastos Gerais'!$D$4:$D$3143),-('Gastos das Atividades'!AD$3&lt;='Gastos Gerais'!$E$4:$E$3143),-('Gastos Gerais'!$C$4:$C$3143)))</f>
        <v>76246</v>
      </c>
      <c r="AE17" s="134">
        <f>IF($B17="",0,SUMPRODUCT(-('Gastos Gerais'!$F$4:$F$3143='Gastos das Atividades'!$B17),-('Gastos das Atividades'!AE$3&gt;='Gastos Gerais'!$D$4:$D$3143),-('Gastos das Atividades'!AE$3&lt;='Gastos Gerais'!$E$4:$E$3143),-('Gastos Gerais'!$C$4:$C$3143)))</f>
        <v>74946</v>
      </c>
      <c r="AF17" s="134">
        <f>IF($B17="",0,SUMPRODUCT(-('Gastos Gerais'!$F$4:$F$3143='Gastos das Atividades'!$B17),-('Gastos das Atividades'!AF$3&gt;='Gastos Gerais'!$D$4:$D$3143),-('Gastos das Atividades'!AF$3&lt;='Gastos Gerais'!$E$4:$E$3143),-('Gastos Gerais'!$C$4:$C$3143)))</f>
        <v>74100</v>
      </c>
      <c r="AG17" s="134">
        <f>IF($B17="",0,SUMPRODUCT(-('Gastos Gerais'!$F$4:$F$3143='Gastos das Atividades'!$B17),-('Gastos das Atividades'!AG$3&gt;='Gastos Gerais'!$D$4:$D$3143),-('Gastos das Atividades'!AG$3&lt;='Gastos Gerais'!$E$4:$E$3143),-('Gastos Gerais'!$C$4:$C$3143)))</f>
        <v>74100</v>
      </c>
      <c r="AH17" s="134">
        <f>IF($B17="",0,SUMPRODUCT(-('Gastos Gerais'!$F$4:$F$3143='Gastos das Atividades'!$B17),-('Gastos das Atividades'!AH$3&gt;='Gastos Gerais'!$D$4:$D$3143),-('Gastos das Atividades'!AH$3&lt;='Gastos Gerais'!$E$4:$E$3143),-('Gastos Gerais'!$C$4:$C$3143)))</f>
        <v>74100</v>
      </c>
      <c r="AI17" s="134">
        <f>IF($B17="",0,SUMPRODUCT(-('Gastos Gerais'!$F$4:$F$3143='Gastos das Atividades'!$B17),-('Gastos das Atividades'!AI$3&gt;='Gastos Gerais'!$D$4:$D$3143),-('Gastos das Atividades'!AI$3&lt;='Gastos Gerais'!$E$4:$E$3143),-('Gastos Gerais'!$C$4:$C$3143)))</f>
        <v>72850</v>
      </c>
      <c r="AJ17" s="134">
        <f>IF($B17="",0,SUMPRODUCT(-('Gastos Gerais'!$F$4:$F$3143='Gastos das Atividades'!$B17),-('Gastos das Atividades'!AJ$3&gt;='Gastos Gerais'!$D$4:$D$3143),-('Gastos das Atividades'!AJ$3&lt;='Gastos Gerais'!$E$4:$E$3143),-('Gastos Gerais'!$C$4:$C$3143)))</f>
        <v>72850</v>
      </c>
      <c r="AK17" s="134">
        <f>IF($B17="",0,SUMPRODUCT(-('Gastos Gerais'!$F$4:$F$3143='Gastos das Atividades'!$B17),-('Gastos das Atividades'!AK$3&gt;='Gastos Gerais'!$D$4:$D$3143),-('Gastos das Atividades'!AK$3&lt;='Gastos Gerais'!$E$4:$E$3143),-('Gastos Gerais'!$C$4:$C$3143)))</f>
        <v>72850</v>
      </c>
      <c r="AL17" s="134">
        <f>IF($B17="",0,SUMPRODUCT(-('Gastos Gerais'!$F$4:$F$3143='Gastos das Atividades'!$B17),-('Gastos das Atividades'!AL$3&gt;='Gastos Gerais'!$D$4:$D$3143),-('Gastos das Atividades'!AL$3&lt;='Gastos Gerais'!$E$4:$E$3143),-('Gastos Gerais'!$C$4:$C$3143)))</f>
        <v>72850</v>
      </c>
      <c r="AM17" s="134">
        <f>IF($B17="",0,SUMPRODUCT(-('Gastos Gerais'!$F$4:$F$3143='Gastos das Atividades'!$B17),-('Gastos das Atividades'!AM$3&gt;='Gastos Gerais'!$D$4:$D$3143),-('Gastos das Atividades'!AM$3&lt;='Gastos Gerais'!$E$4:$E$3143),-('Gastos Gerais'!$C$4:$C$3143)))</f>
        <v>72850</v>
      </c>
      <c r="AN17" s="134">
        <f>IF($B17="",0,SUMPRODUCT(-('Gastos Gerais'!$F$4:$F$3143='Gastos das Atividades'!$B17),-('Gastos das Atividades'!AN$3&gt;='Gastos Gerais'!$D$4:$D$3143),-('Gastos das Atividades'!AN$3&lt;='Gastos Gerais'!$E$4:$E$3143),-('Gastos Gerais'!$C$4:$C$3143)))</f>
        <v>78271</v>
      </c>
      <c r="AO17" s="134">
        <f>IF($B17="",0,SUMPRODUCT(-('Gastos Gerais'!$F$4:$F$3143='Gastos das Atividades'!$B17),-('Gastos das Atividades'!AO$3&gt;='Gastos Gerais'!$D$4:$D$3143),-('Gastos das Atividades'!AO$3&lt;='Gastos Gerais'!$E$4:$E$3143),-('Gastos Gerais'!$C$4:$C$3143)))</f>
        <v>76771</v>
      </c>
      <c r="AP17" s="134">
        <f>IF($B17="",0,SUMPRODUCT(-('Gastos Gerais'!$F$4:$F$3143='Gastos das Atividades'!$B17),-('Gastos das Atividades'!AP$3&gt;='Gastos Gerais'!$D$4:$D$3143),-('Gastos das Atividades'!AP$3&lt;='Gastos Gerais'!$E$4:$E$3143),-('Gastos Gerais'!$C$4:$C$3143)))</f>
        <v>76771</v>
      </c>
      <c r="AQ17" s="134">
        <f>IF($B17="",0,SUMPRODUCT(-('Gastos Gerais'!$F$4:$F$3143='Gastos das Atividades'!$B17),-('Gastos das Atividades'!AQ$3&gt;='Gastos Gerais'!$D$4:$D$3143),-('Gastos das Atividades'!AQ$3&lt;='Gastos Gerais'!$E$4:$E$3143),-('Gastos Gerais'!$C$4:$C$3143)))</f>
        <v>75471</v>
      </c>
      <c r="AR17" s="134">
        <f>IF($B17="",0,SUMPRODUCT(-('Gastos Gerais'!$F$4:$F$3143='Gastos das Atividades'!$B17),-('Gastos das Atividades'!AR$3&gt;='Gastos Gerais'!$D$4:$D$3143),-('Gastos das Atividades'!AR$3&lt;='Gastos Gerais'!$E$4:$E$3143),-('Gastos Gerais'!$C$4:$C$3143)))</f>
        <v>74625</v>
      </c>
      <c r="AS17" s="134">
        <f>IF($B17="",0,SUMPRODUCT(-('Gastos Gerais'!$F$4:$F$3143='Gastos das Atividades'!$B17),-('Gastos das Atividades'!AS$3&gt;='Gastos Gerais'!$D$4:$D$3143),-('Gastos das Atividades'!AS$3&lt;='Gastos Gerais'!$E$4:$E$3143),-('Gastos Gerais'!$C$4:$C$3143)))</f>
        <v>74625</v>
      </c>
      <c r="AT17" s="134">
        <f>IF($B17="",0,SUMPRODUCT(-('Gastos Gerais'!$F$4:$F$3143='Gastos das Atividades'!$B17),-('Gastos das Atividades'!AT$3&gt;='Gastos Gerais'!$D$4:$D$3143),-('Gastos das Atividades'!AT$3&lt;='Gastos Gerais'!$E$4:$E$3143),-('Gastos Gerais'!$C$4:$C$3143)))</f>
        <v>74625</v>
      </c>
      <c r="AU17" s="134">
        <f>IF($B17="",0,SUMPRODUCT(-('Gastos Gerais'!$F$4:$F$3143='Gastos das Atividades'!$B17),-('Gastos das Atividades'!AU$3&gt;='Gastos Gerais'!$D$4:$D$3143),-('Gastos das Atividades'!AU$3&lt;='Gastos Gerais'!$E$4:$E$3143),-('Gastos Gerais'!$C$4:$C$3143)))</f>
        <v>73375</v>
      </c>
      <c r="AV17" s="134">
        <f>IF($B17="",0,SUMPRODUCT(-('Gastos Gerais'!$F$4:$F$3143='Gastos das Atividades'!$B17),-('Gastos das Atividades'!AV$3&gt;='Gastos Gerais'!$D$4:$D$3143),-('Gastos das Atividades'!AV$3&lt;='Gastos Gerais'!$E$4:$E$3143),-('Gastos Gerais'!$C$4:$C$3143)))</f>
        <v>73375</v>
      </c>
      <c r="AW17" s="134">
        <f>IF($B17="",0,SUMPRODUCT(-('Gastos Gerais'!$F$4:$F$3143='Gastos das Atividades'!$B17),-('Gastos das Atividades'!AW$3&gt;='Gastos Gerais'!$D$4:$D$3143),-('Gastos das Atividades'!AW$3&lt;='Gastos Gerais'!$E$4:$E$3143),-('Gastos Gerais'!$C$4:$C$3143)))</f>
        <v>73375</v>
      </c>
      <c r="AX17" s="134">
        <f>IF($B17="",0,SUMPRODUCT(-('Gastos Gerais'!$F$4:$F$3143='Gastos das Atividades'!$B17),-('Gastos das Atividades'!AX$3&gt;='Gastos Gerais'!$D$4:$D$3143),-('Gastos das Atividades'!AX$3&lt;='Gastos Gerais'!$E$4:$E$3143),-('Gastos Gerais'!$C$4:$C$3143)))</f>
        <v>73375</v>
      </c>
      <c r="AY17" s="134">
        <f>IF($B17="",0,SUMPRODUCT(-('Gastos Gerais'!$F$4:$F$3143='Gastos das Atividades'!$B17),-('Gastos das Atividades'!AY$3&gt;='Gastos Gerais'!$D$4:$D$3143),-('Gastos das Atividades'!AY$3&lt;='Gastos Gerais'!$E$4:$E$3143),-('Gastos Gerais'!$C$4:$C$3143)))</f>
        <v>73375</v>
      </c>
      <c r="AZ17" s="134">
        <f>IF($B17="",0,SUMPRODUCT(-('Gastos Gerais'!$F$4:$F$3143='Gastos das Atividades'!$B17),-('Gastos das Atividades'!AZ$3&gt;='Gastos Gerais'!$D$4:$D$3143),-('Gastos das Atividades'!AZ$3&lt;='Gastos Gerais'!$E$4:$E$3143),-('Gastos Gerais'!$C$4:$C$3143)))</f>
        <v>41939</v>
      </c>
      <c r="BA17" s="134">
        <f>IF($B17="",0,SUMPRODUCT(-('Gastos Gerais'!$F$4:$F$3143='Gastos das Atividades'!$B17),-('Gastos das Atividades'!BA$3&gt;='Gastos Gerais'!$D$4:$D$3143),-('Gastos das Atividades'!BA$3&lt;='Gastos Gerais'!$E$4:$E$3143),-('Gastos Gerais'!$C$4:$C$3143)))</f>
        <v>41189</v>
      </c>
      <c r="BB17" s="134">
        <f>IF($B17="",0,SUMPRODUCT(-('Gastos Gerais'!$F$4:$F$3143='Gastos das Atividades'!$B17),-('Gastos das Atividades'!BB$3&gt;='Gastos Gerais'!$D$4:$D$3143),-('Gastos das Atividades'!BB$3&lt;='Gastos Gerais'!$E$4:$E$3143),-('Gastos Gerais'!$C$4:$C$3143)))</f>
        <v>40539</v>
      </c>
      <c r="BC17" s="134">
        <f>IF($B17="",0,SUMPRODUCT(-('Gastos Gerais'!$F$4:$F$3143='Gastos das Atividades'!$B17),-('Gastos das Atividades'!BC$3&gt;='Gastos Gerais'!$D$4:$D$3143),-('Gastos das Atividades'!BC$3&lt;='Gastos Gerais'!$E$4:$E$3143),-('Gastos Gerais'!$C$4:$C$3143)))</f>
        <v>39789</v>
      </c>
      <c r="BD17" s="134">
        <f>IF($B17="",0,SUMPRODUCT(-('Gastos Gerais'!$F$4:$F$3143='Gastos das Atividades'!$B17),-('Gastos das Atividades'!BD$3&gt;='Gastos Gerais'!$D$4:$D$3143),-('Gastos das Atividades'!BD$3&lt;='Gastos Gerais'!$E$4:$E$3143),-('Gastos Gerais'!$C$4:$C$3143)))</f>
        <v>39289</v>
      </c>
      <c r="BE17" s="134">
        <f>IF($B17="",0,SUMPRODUCT(-('Gastos Gerais'!$F$4:$F$3143='Gastos das Atividades'!$B17),-('Gastos das Atividades'!BE$3&gt;='Gastos Gerais'!$D$4:$D$3143),-('Gastos das Atividades'!BE$3&lt;='Gastos Gerais'!$E$4:$E$3143),-('Gastos Gerais'!$C$4:$C$3143)))</f>
        <v>39289</v>
      </c>
      <c r="BF17" s="134">
        <f>IF($B17="",0,SUMPRODUCT(-('Gastos Gerais'!$F$4:$F$3143='Gastos das Atividades'!$B17),-('Gastos das Atividades'!BF$3&gt;='Gastos Gerais'!$D$4:$D$3143),-('Gastos das Atividades'!BF$3&lt;='Gastos Gerais'!$E$4:$E$3143),-('Gastos Gerais'!$C$4:$C$3143)))</f>
        <v>39289</v>
      </c>
      <c r="BG17" s="134">
        <f>IF($B17="",0,SUMPRODUCT(-('Gastos Gerais'!$F$4:$F$3143='Gastos das Atividades'!$B17),-('Gastos das Atividades'!BG$3&gt;='Gastos Gerais'!$D$4:$D$3143),-('Gastos das Atividades'!BG$3&lt;='Gastos Gerais'!$E$4:$E$3143),-('Gastos Gerais'!$C$4:$C$3143)))</f>
        <v>38509</v>
      </c>
      <c r="BH17" s="134">
        <f>IF($B17="",0,SUMPRODUCT(-('Gastos Gerais'!$F$4:$F$3143='Gastos das Atividades'!$B17),-('Gastos das Atividades'!BH$3&gt;='Gastos Gerais'!$D$4:$D$3143),-('Gastos das Atividades'!BH$3&lt;='Gastos Gerais'!$E$4:$E$3143),-('Gastos Gerais'!$C$4:$C$3143)))</f>
        <v>38509</v>
      </c>
      <c r="BI17" s="134">
        <f>IF($B17="",0,SUMPRODUCT(-('Gastos Gerais'!$F$4:$F$3143='Gastos das Atividades'!$B17),-('Gastos das Atividades'!BI$3&gt;='Gastos Gerais'!$D$4:$D$3143),-('Gastos das Atividades'!BI$3&lt;='Gastos Gerais'!$E$4:$E$3143),-('Gastos Gerais'!$C$4:$C$3143)))</f>
        <v>38509</v>
      </c>
      <c r="BJ17" s="134">
        <f>IF($B17="",0,SUMPRODUCT(-('Gastos Gerais'!$F$4:$F$3143='Gastos das Atividades'!$B17),-('Gastos das Atividades'!BJ$3&gt;='Gastos Gerais'!$D$4:$D$3143),-('Gastos das Atividades'!BJ$3&lt;='Gastos Gerais'!$E$4:$E$3143),-('Gastos Gerais'!$C$4:$C$3143)))</f>
        <v>38509</v>
      </c>
      <c r="BK17" s="134">
        <f>IF($B17="",0,SUMPRODUCT(-('Gastos Gerais'!$F$4:$F$3143='Gastos das Atividades'!$B17),-('Gastos das Atividades'!BK$3&gt;='Gastos Gerais'!$D$4:$D$3143),-('Gastos das Atividades'!BK$3&lt;='Gastos Gerais'!$E$4:$E$3143),-('Gastos Gerais'!$C$4:$C$3143)))</f>
        <v>0</v>
      </c>
      <c r="BL17" s="134">
        <f>IF($B17="",0,SUMPRODUCT(-('Gastos Gerais'!$F$4:$F$3143='Gastos das Atividades'!$B17),-('Gastos das Atividades'!BL$3&gt;='Gastos Gerais'!$D$4:$D$3143),-('Gastos das Atividades'!BL$3&lt;='Gastos Gerais'!$E$4:$E$3143),-('Gastos Gerais'!$C$4:$C$3143)))</f>
        <v>0</v>
      </c>
      <c r="BM17" s="134">
        <f>IF($B17="",0,SUMPRODUCT(-('Gastos Gerais'!$F$4:$F$3143='Gastos das Atividades'!$B17),-('Gastos das Atividades'!BM$3&gt;='Gastos Gerais'!$D$4:$D$3143),-('Gastos das Atividades'!BM$3&lt;='Gastos Gerais'!$E$4:$E$3143),-('Gastos Gerais'!$C$4:$C$3143)))</f>
        <v>0</v>
      </c>
      <c r="BN17" s="134">
        <f>IF($B17="",0,SUMPRODUCT(-('Gastos Gerais'!$F$4:$F$3143='Gastos das Atividades'!$B17),-('Gastos das Atividades'!BN$3&gt;='Gastos Gerais'!$D$4:$D$3143),-('Gastos das Atividades'!BN$3&lt;='Gastos Gerais'!$E$4:$E$3143),-('Gastos Gerais'!$C$4:$C$3143)))</f>
        <v>0</v>
      </c>
      <c r="BO17" s="134">
        <f>IF($B17="",0,SUMPRODUCT(-('Gastos Gerais'!$F$4:$F$3143='Gastos das Atividades'!$B17),-('Gastos das Atividades'!BO$3&gt;='Gastos Gerais'!$D$4:$D$3143),-('Gastos das Atividades'!BO$3&lt;='Gastos Gerais'!$E$4:$E$3143),-('Gastos Gerais'!$C$4:$C$3143)))</f>
        <v>0</v>
      </c>
      <c r="BP17" s="134">
        <f>IF($B17="",0,SUMPRODUCT(-('Gastos Gerais'!$F$4:$F$3143='Gastos das Atividades'!$B17),-('Gastos das Atividades'!BP$3&gt;='Gastos Gerais'!$D$4:$D$3143),-('Gastos das Atividades'!BP$3&lt;='Gastos Gerais'!$E$4:$E$3143),-('Gastos Gerais'!$C$4:$C$3143)))</f>
        <v>0</v>
      </c>
      <c r="BQ17" s="134">
        <f>IF($B17="",0,SUMPRODUCT(-('Gastos Gerais'!$F$4:$F$3143='Gastos das Atividades'!$B17),-('Gastos das Atividades'!BQ$3&gt;='Gastos Gerais'!$D$4:$D$3143),-('Gastos das Atividades'!BQ$3&lt;='Gastos Gerais'!$E$4:$E$3143),-('Gastos Gerais'!$C$4:$C$3143)))</f>
        <v>0</v>
      </c>
      <c r="BR17" s="134">
        <f>IF($B17="",0,SUMPRODUCT(-('Gastos Gerais'!$F$4:$F$3143='Gastos das Atividades'!$B17),-('Gastos das Atividades'!BR$3&gt;='Gastos Gerais'!$D$4:$D$3143),-('Gastos das Atividades'!BR$3&lt;='Gastos Gerais'!$E$4:$E$3143),-('Gastos Gerais'!$C$4:$C$3143)))</f>
        <v>0</v>
      </c>
      <c r="BS17" s="134">
        <f>IF($B17="",0,SUMPRODUCT(-('Gastos Gerais'!$F$4:$F$3143='Gastos das Atividades'!$B17),-('Gastos das Atividades'!BS$3&gt;='Gastos Gerais'!$D$4:$D$3143),-('Gastos das Atividades'!BS$3&lt;='Gastos Gerais'!$E$4:$E$3143),-('Gastos Gerais'!$C$4:$C$3143)))</f>
        <v>0</v>
      </c>
      <c r="BT17" s="134">
        <f>IF($B17="",0,SUMPRODUCT(-('Gastos Gerais'!$F$4:$F$3143='Gastos das Atividades'!$B17),-('Gastos das Atividades'!BT$3&gt;='Gastos Gerais'!$D$4:$D$3143),-('Gastos das Atividades'!BT$3&lt;='Gastos Gerais'!$E$4:$E$3143),-('Gastos Gerais'!$C$4:$C$3143)))</f>
        <v>0</v>
      </c>
      <c r="BU17" s="134">
        <f>IF($B17="",0,SUMPRODUCT(-('Gastos Gerais'!$F$4:$F$3143='Gastos das Atividades'!$B17),-('Gastos das Atividades'!BU$3&gt;='Gastos Gerais'!$D$4:$D$3143),-('Gastos das Atividades'!BU$3&lt;='Gastos Gerais'!$E$4:$E$3143),-('Gastos Gerais'!$C$4:$C$3143)))</f>
        <v>0</v>
      </c>
      <c r="BV17" s="134">
        <f>IF($B17="",0,SUMPRODUCT(-('Gastos Gerais'!$F$4:$F$3143='Gastos das Atividades'!$B17),-('Gastos das Atividades'!BV$3&gt;='Gastos Gerais'!$D$4:$D$3143),-('Gastos das Atividades'!BV$3&lt;='Gastos Gerais'!$E$4:$E$3143),-('Gastos Gerais'!$C$4:$C$3143)))</f>
        <v>0</v>
      </c>
      <c r="BW17" s="134">
        <f>IF($B17="",0,SUMPRODUCT(-('Gastos Gerais'!$F$4:$F$3143='Gastos das Atividades'!$B17),-('Gastos das Atividades'!BW$3&gt;='Gastos Gerais'!$D$4:$D$3143),-('Gastos das Atividades'!BW$3&lt;='Gastos Gerais'!$E$4:$E$3143),-('Gastos Gerais'!$C$4:$C$3143)))</f>
        <v>0</v>
      </c>
    </row>
    <row r="18" spans="1:75">
      <c r="A18" s="138">
        <v>15</v>
      </c>
      <c r="B18" s="139" t="s">
        <v>611</v>
      </c>
      <c r="C18" s="132">
        <v>0</v>
      </c>
      <c r="D18" s="133">
        <f t="shared" si="0"/>
        <v>467418</v>
      </c>
      <c r="E18" s="134">
        <f t="shared" si="1"/>
        <v>929968</v>
      </c>
      <c r="F18" s="134">
        <f t="shared" si="1"/>
        <v>930452</v>
      </c>
      <c r="G18" s="134">
        <f t="shared" si="1"/>
        <v>468421</v>
      </c>
      <c r="H18" s="134">
        <f t="shared" si="1"/>
        <v>0</v>
      </c>
      <c r="I18" s="135">
        <f t="shared" si="2"/>
        <v>2796259</v>
      </c>
      <c r="J18" s="136">
        <f t="shared" si="3"/>
        <v>6.4605517394039471E-3</v>
      </c>
      <c r="K18" s="136">
        <f t="shared" si="4"/>
        <v>1.2853819022780487E-2</v>
      </c>
      <c r="L18" s="136">
        <f t="shared" si="5"/>
        <v>1.2860508767381405E-2</v>
      </c>
      <c r="M18" s="136">
        <f t="shared" si="6"/>
        <v>6.4744149911285746E-3</v>
      </c>
      <c r="N18" s="136">
        <f t="shared" si="7"/>
        <v>0</v>
      </c>
      <c r="O18" s="137">
        <f t="shared" si="8"/>
        <v>3.8649294520694412E-2</v>
      </c>
      <c r="P18" s="134">
        <f>IF($B18="",0,SUMPRODUCT(-('Gastos Gerais'!$F$4:$F$3143='Gastos das Atividades'!$B18),-('Gastos das Atividades'!P$3&gt;='Gastos Gerais'!$D$4:$D$3143),-('Gastos das Atividades'!P$3&lt;='Gastos Gerais'!$E$4:$E$3143),-('Gastos Gerais'!$C$4:$C$3143)))</f>
        <v>0</v>
      </c>
      <c r="Q18" s="134">
        <f>IF($B18="",0,SUMPRODUCT(-('Gastos Gerais'!$F$4:$F$3143='Gastos das Atividades'!$B18),-('Gastos das Atividades'!Q$3&gt;='Gastos Gerais'!$D$4:$D$3143),-('Gastos das Atividades'!Q$3&lt;='Gastos Gerais'!$E$4:$E$3143),-('Gastos Gerais'!$C$4:$C$3143)))</f>
        <v>0</v>
      </c>
      <c r="R18" s="134">
        <f>IF($B18="",0,SUMPRODUCT(-('Gastos Gerais'!$F$4:$F$3143='Gastos das Atividades'!$B18),-('Gastos das Atividades'!R$3&gt;='Gastos Gerais'!$D$4:$D$3143),-('Gastos das Atividades'!R$3&lt;='Gastos Gerais'!$E$4:$E$3143),-('Gastos Gerais'!$C$4:$C$3143)))</f>
        <v>0</v>
      </c>
      <c r="S18" s="134">
        <f>IF($B18="",0,SUMPRODUCT(-('Gastos Gerais'!$F$4:$F$3143='Gastos das Atividades'!$B18),-('Gastos das Atividades'!S$3&gt;='Gastos Gerais'!$D$4:$D$3143),-('Gastos das Atividades'!S$3&lt;='Gastos Gerais'!$E$4:$E$3143),-('Gastos Gerais'!$C$4:$C$3143)))</f>
        <v>0</v>
      </c>
      <c r="T18" s="134">
        <f>IF($B18="",0,SUMPRODUCT(-('Gastos Gerais'!$F$4:$F$3143='Gastos das Atividades'!$B18),-('Gastos das Atividades'!T$3&gt;='Gastos Gerais'!$D$4:$D$3143),-('Gastos das Atividades'!T$3&lt;='Gastos Gerais'!$E$4:$E$3143),-('Gastos Gerais'!$C$4:$C$3143)))</f>
        <v>0</v>
      </c>
      <c r="U18" s="134">
        <f>IF($B18="",0,SUMPRODUCT(-('Gastos Gerais'!$F$4:$F$3143='Gastos das Atividades'!$B18),-('Gastos das Atividades'!U$3&gt;='Gastos Gerais'!$D$4:$D$3143),-('Gastos das Atividades'!U$3&lt;='Gastos Gerais'!$E$4:$E$3143),-('Gastos Gerais'!$C$4:$C$3143)))</f>
        <v>0</v>
      </c>
      <c r="V18" s="134">
        <f>IF($B18="",0,SUMPRODUCT(-('Gastos Gerais'!$F$4:$F$3143='Gastos das Atividades'!$B18),-('Gastos das Atividades'!V$3&gt;='Gastos Gerais'!$D$4:$D$3143),-('Gastos das Atividades'!V$3&lt;='Gastos Gerais'!$E$4:$E$3143),-('Gastos Gerais'!$C$4:$C$3143)))</f>
        <v>0</v>
      </c>
      <c r="W18" s="134">
        <f>IF($B18="",0,SUMPRODUCT(-('Gastos Gerais'!$F$4:$F$3143='Gastos das Atividades'!$B18),-('Gastos das Atividades'!W$3&gt;='Gastos Gerais'!$D$4:$D$3143),-('Gastos das Atividades'!W$3&lt;='Gastos Gerais'!$E$4:$E$3143),-('Gastos Gerais'!$C$4:$C$3143)))</f>
        <v>0</v>
      </c>
      <c r="X18" s="134">
        <f>IF($B18="",0,SUMPRODUCT(-('Gastos Gerais'!$F$4:$F$3143='Gastos das Atividades'!$B18),-('Gastos das Atividades'!X$3&gt;='Gastos Gerais'!$D$4:$D$3143),-('Gastos das Atividades'!X$3&lt;='Gastos Gerais'!$E$4:$E$3143),-('Gastos Gerais'!$C$4:$C$3143)))</f>
        <v>0</v>
      </c>
      <c r="Y18" s="134">
        <f>IF($B18="",0,SUMPRODUCT(-('Gastos Gerais'!$F$4:$F$3143='Gastos das Atividades'!$B18),-('Gastos das Atividades'!Y$3&gt;='Gastos Gerais'!$D$4:$D$3143),-('Gastos das Atividades'!Y$3&lt;='Gastos Gerais'!$E$4:$E$3143),-('Gastos Gerais'!$C$4:$C$3143)))</f>
        <v>308242</v>
      </c>
      <c r="Z18" s="134">
        <f>IF($B18="",0,SUMPRODUCT(-('Gastos Gerais'!$F$4:$F$3143='Gastos das Atividades'!$B18),-('Gastos das Atividades'!Z$3&gt;='Gastos Gerais'!$D$4:$D$3143),-('Gastos das Atividades'!Z$3&lt;='Gastos Gerais'!$E$4:$E$3143),-('Gastos Gerais'!$C$4:$C$3143)))</f>
        <v>79588</v>
      </c>
      <c r="AA18" s="134">
        <f>IF($B18="",0,SUMPRODUCT(-('Gastos Gerais'!$F$4:$F$3143='Gastos das Atividades'!$B18),-('Gastos das Atividades'!AA$3&gt;='Gastos Gerais'!$D$4:$D$3143),-('Gastos das Atividades'!AA$3&lt;='Gastos Gerais'!$E$4:$E$3143),-('Gastos Gerais'!$C$4:$C$3143)))</f>
        <v>79588</v>
      </c>
      <c r="AB18" s="134">
        <f>IF($B18="",0,SUMPRODUCT(-('Gastos Gerais'!$F$4:$F$3143='Gastos das Atividades'!$B18),-('Gastos das Atividades'!AB$3&gt;='Gastos Gerais'!$D$4:$D$3143),-('Gastos das Atividades'!AB$3&lt;='Gastos Gerais'!$E$4:$E$3143),-('Gastos Gerais'!$C$4:$C$3143)))</f>
        <v>82334</v>
      </c>
      <c r="AC18" s="134">
        <f>IF($B18="",0,SUMPRODUCT(-('Gastos Gerais'!$F$4:$F$3143='Gastos das Atividades'!$B18),-('Gastos das Atividades'!AC$3&gt;='Gastos Gerais'!$D$4:$D$3143),-('Gastos das Atividades'!AC$3&lt;='Gastos Gerais'!$E$4:$E$3143),-('Gastos Gerais'!$C$4:$C$3143)))</f>
        <v>81488</v>
      </c>
      <c r="AD18" s="134">
        <f>IF($B18="",0,SUMPRODUCT(-('Gastos Gerais'!$F$4:$F$3143='Gastos das Atividades'!$B18),-('Gastos das Atividades'!AD$3&gt;='Gastos Gerais'!$D$4:$D$3143),-('Gastos das Atividades'!AD$3&lt;='Gastos Gerais'!$E$4:$E$3143),-('Gastos Gerais'!$C$4:$C$3143)))</f>
        <v>79796</v>
      </c>
      <c r="AE18" s="134">
        <f>IF($B18="",0,SUMPRODUCT(-('Gastos Gerais'!$F$4:$F$3143='Gastos das Atividades'!$B18),-('Gastos das Atividades'!AE$3&gt;='Gastos Gerais'!$D$4:$D$3143),-('Gastos das Atividades'!AE$3&lt;='Gastos Gerais'!$E$4:$E$3143),-('Gastos Gerais'!$C$4:$C$3143)))</f>
        <v>76150</v>
      </c>
      <c r="AF18" s="134">
        <f>IF($B18="",0,SUMPRODUCT(-('Gastos Gerais'!$F$4:$F$3143='Gastos das Atividades'!$B18),-('Gastos das Atividades'!AF$3&gt;='Gastos Gerais'!$D$4:$D$3143),-('Gastos das Atividades'!AF$3&lt;='Gastos Gerais'!$E$4:$E$3143),-('Gastos Gerais'!$C$4:$C$3143)))</f>
        <v>76150</v>
      </c>
      <c r="AG18" s="134">
        <f>IF($B18="",0,SUMPRODUCT(-('Gastos Gerais'!$F$4:$F$3143='Gastos das Atividades'!$B18),-('Gastos das Atividades'!AG$3&gt;='Gastos Gerais'!$D$4:$D$3143),-('Gastos das Atividades'!AG$3&lt;='Gastos Gerais'!$E$4:$E$3143),-('Gastos Gerais'!$C$4:$C$3143)))</f>
        <v>76150</v>
      </c>
      <c r="AH18" s="134">
        <f>IF($B18="",0,SUMPRODUCT(-('Gastos Gerais'!$F$4:$F$3143='Gastos das Atividades'!$B18),-('Gastos das Atividades'!AH$3&gt;='Gastos Gerais'!$D$4:$D$3143),-('Gastos das Atividades'!AH$3&lt;='Gastos Gerais'!$E$4:$E$3143),-('Gastos Gerais'!$C$4:$C$3143)))</f>
        <v>76150</v>
      </c>
      <c r="AI18" s="134">
        <f>IF($B18="",0,SUMPRODUCT(-('Gastos Gerais'!$F$4:$F$3143='Gastos das Atividades'!$B18),-('Gastos das Atividades'!AI$3&gt;='Gastos Gerais'!$D$4:$D$3143),-('Gastos das Atividades'!AI$3&lt;='Gastos Gerais'!$E$4:$E$3143),-('Gastos Gerais'!$C$4:$C$3143)))</f>
        <v>76150</v>
      </c>
      <c r="AJ18" s="134">
        <f>IF($B18="",0,SUMPRODUCT(-('Gastos Gerais'!$F$4:$F$3143='Gastos das Atividades'!$B18),-('Gastos das Atividades'!AJ$3&gt;='Gastos Gerais'!$D$4:$D$3143),-('Gastos das Atividades'!AJ$3&lt;='Gastos Gerais'!$E$4:$E$3143),-('Gastos Gerais'!$C$4:$C$3143)))</f>
        <v>76150</v>
      </c>
      <c r="AK18" s="134">
        <f>IF($B18="",0,SUMPRODUCT(-('Gastos Gerais'!$F$4:$F$3143='Gastos das Atividades'!$B18),-('Gastos das Atividades'!AK$3&gt;='Gastos Gerais'!$D$4:$D$3143),-('Gastos das Atividades'!AK$3&lt;='Gastos Gerais'!$E$4:$E$3143),-('Gastos Gerais'!$C$4:$C$3143)))</f>
        <v>76150</v>
      </c>
      <c r="AL18" s="134">
        <f>IF($B18="",0,SUMPRODUCT(-('Gastos Gerais'!$F$4:$F$3143='Gastos das Atividades'!$B18),-('Gastos das Atividades'!AL$3&gt;='Gastos Gerais'!$D$4:$D$3143),-('Gastos das Atividades'!AL$3&lt;='Gastos Gerais'!$E$4:$E$3143),-('Gastos Gerais'!$C$4:$C$3143)))</f>
        <v>76650</v>
      </c>
      <c r="AM18" s="134">
        <f>IF($B18="",0,SUMPRODUCT(-('Gastos Gerais'!$F$4:$F$3143='Gastos das Atividades'!$B18),-('Gastos das Atividades'!AM$3&gt;='Gastos Gerais'!$D$4:$D$3143),-('Gastos das Atividades'!AM$3&lt;='Gastos Gerais'!$E$4:$E$3143),-('Gastos Gerais'!$C$4:$C$3143)))</f>
        <v>76650</v>
      </c>
      <c r="AN18" s="134">
        <f>IF($B18="",0,SUMPRODUCT(-('Gastos Gerais'!$F$4:$F$3143='Gastos das Atividades'!$B18),-('Gastos das Atividades'!AN$3&gt;='Gastos Gerais'!$D$4:$D$3143),-('Gastos das Atividades'!AN$3&lt;='Gastos Gerais'!$E$4:$E$3143),-('Gastos Gerais'!$C$4:$C$3143)))</f>
        <v>79080</v>
      </c>
      <c r="AO18" s="134">
        <f>IF($B18="",0,SUMPRODUCT(-('Gastos Gerais'!$F$4:$F$3143='Gastos das Atividades'!$B18),-('Gastos das Atividades'!AO$3&gt;='Gastos Gerais'!$D$4:$D$3143),-('Gastos das Atividades'!AO$3&lt;='Gastos Gerais'!$E$4:$E$3143),-('Gastos Gerais'!$C$4:$C$3143)))</f>
        <v>80580</v>
      </c>
      <c r="AP18" s="134">
        <f>IF($B18="",0,SUMPRODUCT(-('Gastos Gerais'!$F$4:$F$3143='Gastos das Atividades'!$B18),-('Gastos das Atividades'!AP$3&gt;='Gastos Gerais'!$D$4:$D$3143),-('Gastos das Atividades'!AP$3&lt;='Gastos Gerais'!$E$4:$E$3143),-('Gastos Gerais'!$C$4:$C$3143)))</f>
        <v>78080</v>
      </c>
      <c r="AQ18" s="134">
        <f>IF($B18="",0,SUMPRODUCT(-('Gastos Gerais'!$F$4:$F$3143='Gastos das Atividades'!$B18),-('Gastos das Atividades'!AQ$3&gt;='Gastos Gerais'!$D$4:$D$3143),-('Gastos das Atividades'!AQ$3&lt;='Gastos Gerais'!$E$4:$E$3143),-('Gastos Gerais'!$C$4:$C$3143)))</f>
        <v>76780</v>
      </c>
      <c r="AR18" s="134">
        <f>IF($B18="",0,SUMPRODUCT(-('Gastos Gerais'!$F$4:$F$3143='Gastos das Atividades'!$B18),-('Gastos das Atividades'!AR$3&gt;='Gastos Gerais'!$D$4:$D$3143),-('Gastos das Atividades'!AR$3&lt;='Gastos Gerais'!$E$4:$E$3143),-('Gastos Gerais'!$C$4:$C$3143)))</f>
        <v>76780</v>
      </c>
      <c r="AS18" s="134">
        <f>IF($B18="",0,SUMPRODUCT(-('Gastos Gerais'!$F$4:$F$3143='Gastos das Atividades'!$B18),-('Gastos das Atividades'!AS$3&gt;='Gastos Gerais'!$D$4:$D$3143),-('Gastos das Atividades'!AS$3&lt;='Gastos Gerais'!$E$4:$E$3143),-('Gastos Gerais'!$C$4:$C$3143)))</f>
        <v>76780</v>
      </c>
      <c r="AT18" s="134">
        <f>IF($B18="",0,SUMPRODUCT(-('Gastos Gerais'!$F$4:$F$3143='Gastos das Atividades'!$B18),-('Gastos das Atividades'!AT$3&gt;='Gastos Gerais'!$D$4:$D$3143),-('Gastos das Atividades'!AT$3&lt;='Gastos Gerais'!$E$4:$E$3143),-('Gastos Gerais'!$C$4:$C$3143)))</f>
        <v>76780</v>
      </c>
      <c r="AU18" s="134">
        <f>IF($B18="",0,SUMPRODUCT(-('Gastos Gerais'!$F$4:$F$3143='Gastos das Atividades'!$B18),-('Gastos das Atividades'!AU$3&gt;='Gastos Gerais'!$D$4:$D$3143),-('Gastos das Atividades'!AU$3&lt;='Gastos Gerais'!$E$4:$E$3143),-('Gastos Gerais'!$C$4:$C$3143)))</f>
        <v>76780</v>
      </c>
      <c r="AV18" s="134">
        <f>IF($B18="",0,SUMPRODUCT(-('Gastos Gerais'!$F$4:$F$3143='Gastos das Atividades'!$B18),-('Gastos das Atividades'!AV$3&gt;='Gastos Gerais'!$D$4:$D$3143),-('Gastos das Atividades'!AV$3&lt;='Gastos Gerais'!$E$4:$E$3143),-('Gastos Gerais'!$C$4:$C$3143)))</f>
        <v>76780</v>
      </c>
      <c r="AW18" s="134">
        <f>IF($B18="",0,SUMPRODUCT(-('Gastos Gerais'!$F$4:$F$3143='Gastos das Atividades'!$B18),-('Gastos das Atividades'!AW$3&gt;='Gastos Gerais'!$D$4:$D$3143),-('Gastos das Atividades'!AW$3&lt;='Gastos Gerais'!$E$4:$E$3143),-('Gastos Gerais'!$C$4:$C$3143)))</f>
        <v>76780</v>
      </c>
      <c r="AX18" s="134">
        <f>IF($B18="",0,SUMPRODUCT(-('Gastos Gerais'!$F$4:$F$3143='Gastos das Atividades'!$B18),-('Gastos das Atividades'!AX$3&gt;='Gastos Gerais'!$D$4:$D$3143),-('Gastos das Atividades'!AX$3&lt;='Gastos Gerais'!$E$4:$E$3143),-('Gastos Gerais'!$C$4:$C$3143)))</f>
        <v>77626</v>
      </c>
      <c r="AY18" s="134">
        <f>IF($B18="",0,SUMPRODUCT(-('Gastos Gerais'!$F$4:$F$3143='Gastos das Atividades'!$B18),-('Gastos das Atividades'!AY$3&gt;='Gastos Gerais'!$D$4:$D$3143),-('Gastos das Atividades'!AY$3&lt;='Gastos Gerais'!$E$4:$E$3143),-('Gastos Gerais'!$C$4:$C$3143)))</f>
        <v>77626</v>
      </c>
      <c r="AZ18" s="134">
        <f>IF($B18="",0,SUMPRODUCT(-('Gastos Gerais'!$F$4:$F$3143='Gastos das Atividades'!$B18),-('Gastos das Atividades'!AZ$3&gt;='Gastos Gerais'!$D$4:$D$3143),-('Gastos das Atividades'!AZ$3&lt;='Gastos Gerais'!$E$4:$E$3143),-('Gastos Gerais'!$C$4:$C$3143)))</f>
        <v>45035</v>
      </c>
      <c r="BA18" s="134">
        <f>IF($B18="",0,SUMPRODUCT(-('Gastos Gerais'!$F$4:$F$3143='Gastos das Atividades'!$B18),-('Gastos das Atividades'!BA$3&gt;='Gastos Gerais'!$D$4:$D$3143),-('Gastos das Atividades'!BA$3&lt;='Gastos Gerais'!$E$4:$E$3143),-('Gastos Gerais'!$C$4:$C$3143)))</f>
        <v>44285</v>
      </c>
      <c r="BB18" s="134">
        <f>IF($B18="",0,SUMPRODUCT(-('Gastos Gerais'!$F$4:$F$3143='Gastos das Atividades'!$B18),-('Gastos das Atividades'!BB$3&gt;='Gastos Gerais'!$D$4:$D$3143),-('Gastos das Atividades'!BB$3&lt;='Gastos Gerais'!$E$4:$E$3143),-('Gastos Gerais'!$C$4:$C$3143)))</f>
        <v>42789</v>
      </c>
      <c r="BC18" s="134">
        <f>IF($B18="",0,SUMPRODUCT(-('Gastos Gerais'!$F$4:$F$3143='Gastos das Atividades'!$B18),-('Gastos das Atividades'!BC$3&gt;='Gastos Gerais'!$D$4:$D$3143),-('Gastos das Atividades'!BC$3&lt;='Gastos Gerais'!$E$4:$E$3143),-('Gastos Gerais'!$C$4:$C$3143)))</f>
        <v>42039</v>
      </c>
      <c r="BD18" s="134">
        <f>IF($B18="",0,SUMPRODUCT(-('Gastos Gerais'!$F$4:$F$3143='Gastos das Atividades'!$B18),-('Gastos das Atividades'!BD$3&gt;='Gastos Gerais'!$D$4:$D$3143),-('Gastos das Atividades'!BD$3&lt;='Gastos Gerais'!$E$4:$E$3143),-('Gastos Gerais'!$C$4:$C$3143)))</f>
        <v>42039</v>
      </c>
      <c r="BE18" s="134">
        <f>IF($B18="",0,SUMPRODUCT(-('Gastos Gerais'!$F$4:$F$3143='Gastos das Atividades'!$B18),-('Gastos das Atividades'!BE$3&gt;='Gastos Gerais'!$D$4:$D$3143),-('Gastos das Atividades'!BE$3&lt;='Gastos Gerais'!$E$4:$E$3143),-('Gastos Gerais'!$C$4:$C$3143)))</f>
        <v>42039</v>
      </c>
      <c r="BF18" s="134">
        <f>IF($B18="",0,SUMPRODUCT(-('Gastos Gerais'!$F$4:$F$3143='Gastos das Atividades'!$B18),-('Gastos das Atividades'!BF$3&gt;='Gastos Gerais'!$D$4:$D$3143),-('Gastos das Atividades'!BF$3&lt;='Gastos Gerais'!$E$4:$E$3143),-('Gastos Gerais'!$C$4:$C$3143)))</f>
        <v>42039</v>
      </c>
      <c r="BG18" s="134">
        <f>IF($B18="",0,SUMPRODUCT(-('Gastos Gerais'!$F$4:$F$3143='Gastos das Atividades'!$B18),-('Gastos das Atividades'!BG$3&gt;='Gastos Gerais'!$D$4:$D$3143),-('Gastos das Atividades'!BG$3&lt;='Gastos Gerais'!$E$4:$E$3143),-('Gastos Gerais'!$C$4:$C$3143)))</f>
        <v>42039</v>
      </c>
      <c r="BH18" s="134">
        <f>IF($B18="",0,SUMPRODUCT(-('Gastos Gerais'!$F$4:$F$3143='Gastos das Atividades'!$B18),-('Gastos das Atividades'!BH$3&gt;='Gastos Gerais'!$D$4:$D$3143),-('Gastos das Atividades'!BH$3&lt;='Gastos Gerais'!$E$4:$E$3143),-('Gastos Gerais'!$C$4:$C$3143)))</f>
        <v>42039</v>
      </c>
      <c r="BI18" s="134">
        <f>IF($B18="",0,SUMPRODUCT(-('Gastos Gerais'!$F$4:$F$3143='Gastos das Atividades'!$B18),-('Gastos das Atividades'!BI$3&gt;='Gastos Gerais'!$D$4:$D$3143),-('Gastos das Atividades'!BI$3&lt;='Gastos Gerais'!$E$4:$E$3143),-('Gastos Gerais'!$C$4:$C$3143)))</f>
        <v>42039</v>
      </c>
      <c r="BJ18" s="134">
        <f>IF($B18="",0,SUMPRODUCT(-('Gastos Gerais'!$F$4:$F$3143='Gastos das Atividades'!$B18),-('Gastos das Atividades'!BJ$3&gt;='Gastos Gerais'!$D$4:$D$3143),-('Gastos das Atividades'!BJ$3&lt;='Gastos Gerais'!$E$4:$E$3143),-('Gastos Gerais'!$C$4:$C$3143)))</f>
        <v>42039</v>
      </c>
      <c r="BK18" s="134">
        <f>IF($B18="",0,SUMPRODUCT(-('Gastos Gerais'!$F$4:$F$3143='Gastos das Atividades'!$B18),-('Gastos das Atividades'!BK$3&gt;='Gastos Gerais'!$D$4:$D$3143),-('Gastos das Atividades'!BK$3&lt;='Gastos Gerais'!$E$4:$E$3143),-('Gastos Gerais'!$C$4:$C$3143)))</f>
        <v>0</v>
      </c>
      <c r="BL18" s="134">
        <f>IF($B18="",0,SUMPRODUCT(-('Gastos Gerais'!$F$4:$F$3143='Gastos das Atividades'!$B18),-('Gastos das Atividades'!BL$3&gt;='Gastos Gerais'!$D$4:$D$3143),-('Gastos das Atividades'!BL$3&lt;='Gastos Gerais'!$E$4:$E$3143),-('Gastos Gerais'!$C$4:$C$3143)))</f>
        <v>0</v>
      </c>
      <c r="BM18" s="134">
        <f>IF($B18="",0,SUMPRODUCT(-('Gastos Gerais'!$F$4:$F$3143='Gastos das Atividades'!$B18),-('Gastos das Atividades'!BM$3&gt;='Gastos Gerais'!$D$4:$D$3143),-('Gastos das Atividades'!BM$3&lt;='Gastos Gerais'!$E$4:$E$3143),-('Gastos Gerais'!$C$4:$C$3143)))</f>
        <v>0</v>
      </c>
      <c r="BN18" s="134">
        <f>IF($B18="",0,SUMPRODUCT(-('Gastos Gerais'!$F$4:$F$3143='Gastos das Atividades'!$B18),-('Gastos das Atividades'!BN$3&gt;='Gastos Gerais'!$D$4:$D$3143),-('Gastos das Atividades'!BN$3&lt;='Gastos Gerais'!$E$4:$E$3143),-('Gastos Gerais'!$C$4:$C$3143)))</f>
        <v>0</v>
      </c>
      <c r="BO18" s="134">
        <f>IF($B18="",0,SUMPRODUCT(-('Gastos Gerais'!$F$4:$F$3143='Gastos das Atividades'!$B18),-('Gastos das Atividades'!BO$3&gt;='Gastos Gerais'!$D$4:$D$3143),-('Gastos das Atividades'!BO$3&lt;='Gastos Gerais'!$E$4:$E$3143),-('Gastos Gerais'!$C$4:$C$3143)))</f>
        <v>0</v>
      </c>
      <c r="BP18" s="134">
        <f>IF($B18="",0,SUMPRODUCT(-('Gastos Gerais'!$F$4:$F$3143='Gastos das Atividades'!$B18),-('Gastos das Atividades'!BP$3&gt;='Gastos Gerais'!$D$4:$D$3143),-('Gastos das Atividades'!BP$3&lt;='Gastos Gerais'!$E$4:$E$3143),-('Gastos Gerais'!$C$4:$C$3143)))</f>
        <v>0</v>
      </c>
      <c r="BQ18" s="134">
        <f>IF($B18="",0,SUMPRODUCT(-('Gastos Gerais'!$F$4:$F$3143='Gastos das Atividades'!$B18),-('Gastos das Atividades'!BQ$3&gt;='Gastos Gerais'!$D$4:$D$3143),-('Gastos das Atividades'!BQ$3&lt;='Gastos Gerais'!$E$4:$E$3143),-('Gastos Gerais'!$C$4:$C$3143)))</f>
        <v>0</v>
      </c>
      <c r="BR18" s="134">
        <f>IF($B18="",0,SUMPRODUCT(-('Gastos Gerais'!$F$4:$F$3143='Gastos das Atividades'!$B18),-('Gastos das Atividades'!BR$3&gt;='Gastos Gerais'!$D$4:$D$3143),-('Gastos das Atividades'!BR$3&lt;='Gastos Gerais'!$E$4:$E$3143),-('Gastos Gerais'!$C$4:$C$3143)))</f>
        <v>0</v>
      </c>
      <c r="BS18" s="134">
        <f>IF($B18="",0,SUMPRODUCT(-('Gastos Gerais'!$F$4:$F$3143='Gastos das Atividades'!$B18),-('Gastos das Atividades'!BS$3&gt;='Gastos Gerais'!$D$4:$D$3143),-('Gastos das Atividades'!BS$3&lt;='Gastos Gerais'!$E$4:$E$3143),-('Gastos Gerais'!$C$4:$C$3143)))</f>
        <v>0</v>
      </c>
      <c r="BT18" s="134">
        <f>IF($B18="",0,SUMPRODUCT(-('Gastos Gerais'!$F$4:$F$3143='Gastos das Atividades'!$B18),-('Gastos das Atividades'!BT$3&gt;='Gastos Gerais'!$D$4:$D$3143),-('Gastos das Atividades'!BT$3&lt;='Gastos Gerais'!$E$4:$E$3143),-('Gastos Gerais'!$C$4:$C$3143)))</f>
        <v>0</v>
      </c>
      <c r="BU18" s="134">
        <f>IF($B18="",0,SUMPRODUCT(-('Gastos Gerais'!$F$4:$F$3143='Gastos das Atividades'!$B18),-('Gastos das Atividades'!BU$3&gt;='Gastos Gerais'!$D$4:$D$3143),-('Gastos das Atividades'!BU$3&lt;='Gastos Gerais'!$E$4:$E$3143),-('Gastos Gerais'!$C$4:$C$3143)))</f>
        <v>0</v>
      </c>
      <c r="BV18" s="134">
        <f>IF($B18="",0,SUMPRODUCT(-('Gastos Gerais'!$F$4:$F$3143='Gastos das Atividades'!$B18),-('Gastos das Atividades'!BV$3&gt;='Gastos Gerais'!$D$4:$D$3143),-('Gastos das Atividades'!BV$3&lt;='Gastos Gerais'!$E$4:$E$3143),-('Gastos Gerais'!$C$4:$C$3143)))</f>
        <v>0</v>
      </c>
      <c r="BW18" s="134">
        <f>IF($B18="",0,SUMPRODUCT(-('Gastos Gerais'!$F$4:$F$3143='Gastos das Atividades'!$B18),-('Gastos das Atividades'!BW$3&gt;='Gastos Gerais'!$D$4:$D$3143),-('Gastos das Atividades'!BW$3&lt;='Gastos Gerais'!$E$4:$E$3143),-('Gastos Gerais'!$C$4:$C$3143)))</f>
        <v>0</v>
      </c>
    </row>
    <row r="19" spans="1:75">
      <c r="A19" s="138">
        <v>16</v>
      </c>
      <c r="B19" s="139" t="s">
        <v>612</v>
      </c>
      <c r="C19" s="132">
        <v>0</v>
      </c>
      <c r="D19" s="133">
        <f t="shared" si="0"/>
        <v>757784</v>
      </c>
      <c r="E19" s="134">
        <f t="shared" si="1"/>
        <v>765484</v>
      </c>
      <c r="F19" s="134">
        <f t="shared" si="1"/>
        <v>770099</v>
      </c>
      <c r="G19" s="134">
        <f t="shared" si="1"/>
        <v>349719</v>
      </c>
      <c r="H19" s="134">
        <f t="shared" si="1"/>
        <v>0</v>
      </c>
      <c r="I19" s="135">
        <f t="shared" si="2"/>
        <v>2643086</v>
      </c>
      <c r="J19" s="136">
        <f t="shared" si="3"/>
        <v>1.0473928559217832E-2</v>
      </c>
      <c r="K19" s="136">
        <f t="shared" si="4"/>
        <v>1.0580356314232424E-2</v>
      </c>
      <c r="L19" s="136">
        <f t="shared" si="5"/>
        <v>1.0644143858309351E-2</v>
      </c>
      <c r="M19" s="136">
        <f t="shared" si="6"/>
        <v>4.8337413059672688E-3</v>
      </c>
      <c r="N19" s="136">
        <f t="shared" si="7"/>
        <v>0</v>
      </c>
      <c r="O19" s="137">
        <f t="shared" si="8"/>
        <v>3.6532170037726873E-2</v>
      </c>
      <c r="P19" s="134">
        <f>IF($B19="",0,SUMPRODUCT(-('Gastos Gerais'!$F$4:$F$3143='Gastos das Atividades'!$B19),-('Gastos das Atividades'!P$3&gt;='Gastos Gerais'!$D$4:$D$3143),-('Gastos das Atividades'!P$3&lt;='Gastos Gerais'!$E$4:$E$3143),-('Gastos Gerais'!$C$4:$C$3143)))</f>
        <v>67096</v>
      </c>
      <c r="Q19" s="134">
        <f>IF($B19="",0,SUMPRODUCT(-('Gastos Gerais'!$F$4:$F$3143='Gastos das Atividades'!$B19),-('Gastos das Atividades'!Q$3&gt;='Gastos Gerais'!$D$4:$D$3143),-('Gastos das Atividades'!Q$3&lt;='Gastos Gerais'!$E$4:$E$3143),-('Gastos Gerais'!$C$4:$C$3143)))</f>
        <v>65596</v>
      </c>
      <c r="R19" s="134">
        <f>IF($B19="",0,SUMPRODUCT(-('Gastos Gerais'!$F$4:$F$3143='Gastos das Atividades'!$B19),-('Gastos das Atividades'!R$3&gt;='Gastos Gerais'!$D$4:$D$3143),-('Gastos das Atividades'!R$3&lt;='Gastos Gerais'!$E$4:$E$3143),-('Gastos Gerais'!$C$4:$C$3143)))</f>
        <v>65596</v>
      </c>
      <c r="S19" s="134">
        <f>IF($B19="",0,SUMPRODUCT(-('Gastos Gerais'!$F$4:$F$3143='Gastos das Atividades'!$B19),-('Gastos das Atividades'!S$3&gt;='Gastos Gerais'!$D$4:$D$3143),-('Gastos das Atividades'!S$3&lt;='Gastos Gerais'!$E$4:$E$3143),-('Gastos Gerais'!$C$4:$C$3143)))</f>
        <v>64096</v>
      </c>
      <c r="T19" s="134">
        <f>IF($B19="",0,SUMPRODUCT(-('Gastos Gerais'!$F$4:$F$3143='Gastos das Atividades'!$B19),-('Gastos das Atividades'!T$3&gt;='Gastos Gerais'!$D$4:$D$3143),-('Gastos das Atividades'!T$3&lt;='Gastos Gerais'!$E$4:$E$3143),-('Gastos Gerais'!$C$4:$C$3143)))</f>
        <v>62000</v>
      </c>
      <c r="U19" s="134">
        <f>IF($B19="",0,SUMPRODUCT(-('Gastos Gerais'!$F$4:$F$3143='Gastos das Atividades'!$B19),-('Gastos das Atividades'!U$3&gt;='Gastos Gerais'!$D$4:$D$3143),-('Gastos das Atividades'!U$3&lt;='Gastos Gerais'!$E$4:$E$3143),-('Gastos Gerais'!$C$4:$C$3143)))</f>
        <v>62000</v>
      </c>
      <c r="V19" s="134">
        <f>IF($B19="",0,SUMPRODUCT(-('Gastos Gerais'!$F$4:$F$3143='Gastos das Atividades'!$B19),-('Gastos das Atividades'!V$3&gt;='Gastos Gerais'!$D$4:$D$3143),-('Gastos das Atividades'!V$3&lt;='Gastos Gerais'!$E$4:$E$3143),-('Gastos Gerais'!$C$4:$C$3143)))</f>
        <v>61900</v>
      </c>
      <c r="W19" s="134">
        <f>IF($B19="",0,SUMPRODUCT(-('Gastos Gerais'!$F$4:$F$3143='Gastos das Atividades'!$B19),-('Gastos das Atividades'!W$3&gt;='Gastos Gerais'!$D$4:$D$3143),-('Gastos das Atividades'!W$3&lt;='Gastos Gerais'!$E$4:$E$3143),-('Gastos Gerais'!$C$4:$C$3143)))</f>
        <v>61900</v>
      </c>
      <c r="X19" s="134">
        <f>IF($B19="",0,SUMPRODUCT(-('Gastos Gerais'!$F$4:$F$3143='Gastos das Atividades'!$B19),-('Gastos das Atividades'!X$3&gt;='Gastos Gerais'!$D$4:$D$3143),-('Gastos das Atividades'!X$3&lt;='Gastos Gerais'!$E$4:$E$3143),-('Gastos Gerais'!$C$4:$C$3143)))</f>
        <v>61900</v>
      </c>
      <c r="Y19" s="134">
        <f>IF($B19="",0,SUMPRODUCT(-('Gastos Gerais'!$F$4:$F$3143='Gastos das Atividades'!$B19),-('Gastos das Atividades'!Y$3&gt;='Gastos Gerais'!$D$4:$D$3143),-('Gastos das Atividades'!Y$3&lt;='Gastos Gerais'!$E$4:$E$3143),-('Gastos Gerais'!$C$4:$C$3143)))</f>
        <v>61900</v>
      </c>
      <c r="Z19" s="134">
        <f>IF($B19="",0,SUMPRODUCT(-('Gastos Gerais'!$F$4:$F$3143='Gastos das Atividades'!$B19),-('Gastos das Atividades'!Z$3&gt;='Gastos Gerais'!$D$4:$D$3143),-('Gastos das Atividades'!Z$3&lt;='Gastos Gerais'!$E$4:$E$3143),-('Gastos Gerais'!$C$4:$C$3143)))</f>
        <v>61900</v>
      </c>
      <c r="AA19" s="134">
        <f>IF($B19="",0,SUMPRODUCT(-('Gastos Gerais'!$F$4:$F$3143='Gastos das Atividades'!$B19),-('Gastos das Atividades'!AA$3&gt;='Gastos Gerais'!$D$4:$D$3143),-('Gastos das Atividades'!AA$3&lt;='Gastos Gerais'!$E$4:$E$3143),-('Gastos Gerais'!$C$4:$C$3143)))</f>
        <v>61900</v>
      </c>
      <c r="AB19" s="134">
        <f>IF($B19="",0,SUMPRODUCT(-('Gastos Gerais'!$F$4:$F$3143='Gastos das Atividades'!$B19),-('Gastos das Atividades'!AB$3&gt;='Gastos Gerais'!$D$4:$D$3143),-('Gastos das Atividades'!AB$3&lt;='Gastos Gerais'!$E$4:$E$3143),-('Gastos Gerais'!$C$4:$C$3143)))</f>
        <v>69421</v>
      </c>
      <c r="AC19" s="134">
        <f>IF($B19="",0,SUMPRODUCT(-('Gastos Gerais'!$F$4:$F$3143='Gastos das Atividades'!$B19),-('Gastos das Atividades'!AC$3&gt;='Gastos Gerais'!$D$4:$D$3143),-('Gastos das Atividades'!AC$3&lt;='Gastos Gerais'!$E$4:$E$3143),-('Gastos Gerais'!$C$4:$C$3143)))</f>
        <v>65921</v>
      </c>
      <c r="AD19" s="134">
        <f>IF($B19="",0,SUMPRODUCT(-('Gastos Gerais'!$F$4:$F$3143='Gastos das Atividades'!$B19),-('Gastos das Atividades'!AD$3&gt;='Gastos Gerais'!$D$4:$D$3143),-('Gastos das Atividades'!AD$3&lt;='Gastos Gerais'!$E$4:$E$3143),-('Gastos Gerais'!$C$4:$C$3143)))</f>
        <v>65921</v>
      </c>
      <c r="AE19" s="134">
        <f>IF($B19="",0,SUMPRODUCT(-('Gastos Gerais'!$F$4:$F$3143='Gastos das Atividades'!$B19),-('Gastos das Atividades'!AE$3&gt;='Gastos Gerais'!$D$4:$D$3143),-('Gastos das Atividades'!AE$3&lt;='Gastos Gerais'!$E$4:$E$3143),-('Gastos Gerais'!$C$4:$C$3143)))</f>
        <v>64621</v>
      </c>
      <c r="AF19" s="134">
        <f>IF($B19="",0,SUMPRODUCT(-('Gastos Gerais'!$F$4:$F$3143='Gastos das Atividades'!$B19),-('Gastos das Atividades'!AF$3&gt;='Gastos Gerais'!$D$4:$D$3143),-('Gastos das Atividades'!AF$3&lt;='Gastos Gerais'!$E$4:$E$3143),-('Gastos Gerais'!$C$4:$C$3143)))</f>
        <v>62525</v>
      </c>
      <c r="AG19" s="134">
        <f>IF($B19="",0,SUMPRODUCT(-('Gastos Gerais'!$F$4:$F$3143='Gastos das Atividades'!$B19),-('Gastos das Atividades'!AG$3&gt;='Gastos Gerais'!$D$4:$D$3143),-('Gastos das Atividades'!AG$3&lt;='Gastos Gerais'!$E$4:$E$3143),-('Gastos Gerais'!$C$4:$C$3143)))</f>
        <v>62525</v>
      </c>
      <c r="AH19" s="134">
        <f>IF($B19="",0,SUMPRODUCT(-('Gastos Gerais'!$F$4:$F$3143='Gastos das Atividades'!$B19),-('Gastos das Atividades'!AH$3&gt;='Gastos Gerais'!$D$4:$D$3143),-('Gastos das Atividades'!AH$3&lt;='Gastos Gerais'!$E$4:$E$3143),-('Gastos Gerais'!$C$4:$C$3143)))</f>
        <v>62425</v>
      </c>
      <c r="AI19" s="134">
        <f>IF($B19="",0,SUMPRODUCT(-('Gastos Gerais'!$F$4:$F$3143='Gastos das Atividades'!$B19),-('Gastos das Atividades'!AI$3&gt;='Gastos Gerais'!$D$4:$D$3143),-('Gastos das Atividades'!AI$3&lt;='Gastos Gerais'!$E$4:$E$3143),-('Gastos Gerais'!$C$4:$C$3143)))</f>
        <v>62425</v>
      </c>
      <c r="AJ19" s="134">
        <f>IF($B19="",0,SUMPRODUCT(-('Gastos Gerais'!$F$4:$F$3143='Gastos das Atividades'!$B19),-('Gastos das Atividades'!AJ$3&gt;='Gastos Gerais'!$D$4:$D$3143),-('Gastos das Atividades'!AJ$3&lt;='Gastos Gerais'!$E$4:$E$3143),-('Gastos Gerais'!$C$4:$C$3143)))</f>
        <v>62425</v>
      </c>
      <c r="AK19" s="134">
        <f>IF($B19="",0,SUMPRODUCT(-('Gastos Gerais'!$F$4:$F$3143='Gastos das Atividades'!$B19),-('Gastos das Atividades'!AK$3&gt;='Gastos Gerais'!$D$4:$D$3143),-('Gastos das Atividades'!AK$3&lt;='Gastos Gerais'!$E$4:$E$3143),-('Gastos Gerais'!$C$4:$C$3143)))</f>
        <v>62425</v>
      </c>
      <c r="AL19" s="134">
        <f>IF($B19="",0,SUMPRODUCT(-('Gastos Gerais'!$F$4:$F$3143='Gastos das Atividades'!$B19),-('Gastos das Atividades'!AL$3&gt;='Gastos Gerais'!$D$4:$D$3143),-('Gastos das Atividades'!AL$3&lt;='Gastos Gerais'!$E$4:$E$3143),-('Gastos Gerais'!$C$4:$C$3143)))</f>
        <v>62425</v>
      </c>
      <c r="AM19" s="134">
        <f>IF($B19="",0,SUMPRODUCT(-('Gastos Gerais'!$F$4:$F$3143='Gastos das Atividades'!$B19),-('Gastos das Atividades'!AM$3&gt;='Gastos Gerais'!$D$4:$D$3143),-('Gastos das Atividades'!AM$3&lt;='Gastos Gerais'!$E$4:$E$3143),-('Gastos Gerais'!$C$4:$C$3143)))</f>
        <v>62425</v>
      </c>
      <c r="AN19" s="134">
        <f>IF($B19="",0,SUMPRODUCT(-('Gastos Gerais'!$F$4:$F$3143='Gastos das Atividades'!$B19),-('Gastos das Atividades'!AN$3&gt;='Gastos Gerais'!$D$4:$D$3143),-('Gastos das Atividades'!AN$3&lt;='Gastos Gerais'!$E$4:$E$3143),-('Gastos Gerais'!$C$4:$C$3143)))</f>
        <v>67972.25</v>
      </c>
      <c r="AO19" s="134">
        <f>IF($B19="",0,SUMPRODUCT(-('Gastos Gerais'!$F$4:$F$3143='Gastos das Atividades'!$B19),-('Gastos das Atividades'!AO$3&gt;='Gastos Gerais'!$D$4:$D$3143),-('Gastos das Atividades'!AO$3&lt;='Gastos Gerais'!$E$4:$E$3143),-('Gastos Gerais'!$C$4:$C$3143)))</f>
        <v>66472.25</v>
      </c>
      <c r="AP19" s="134">
        <f>IF($B19="",0,SUMPRODUCT(-('Gastos Gerais'!$F$4:$F$3143='Gastos das Atividades'!$B19),-('Gastos das Atividades'!AP$3&gt;='Gastos Gerais'!$D$4:$D$3143),-('Gastos das Atividades'!AP$3&lt;='Gastos Gerais'!$E$4:$E$3143),-('Gastos Gerais'!$C$4:$C$3143)))</f>
        <v>66472.25</v>
      </c>
      <c r="AQ19" s="134">
        <f>IF($B19="",0,SUMPRODUCT(-('Gastos Gerais'!$F$4:$F$3143='Gastos das Atividades'!$B19),-('Gastos das Atividades'!AQ$3&gt;='Gastos Gerais'!$D$4:$D$3143),-('Gastos das Atividades'!AQ$3&lt;='Gastos Gerais'!$E$4:$E$3143),-('Gastos Gerais'!$C$4:$C$3143)))</f>
        <v>65172.25</v>
      </c>
      <c r="AR19" s="134">
        <f>IF($B19="",0,SUMPRODUCT(-('Gastos Gerais'!$F$4:$F$3143='Gastos das Atividades'!$B19),-('Gastos das Atividades'!AR$3&gt;='Gastos Gerais'!$D$4:$D$3143),-('Gastos das Atividades'!AR$3&lt;='Gastos Gerais'!$E$4:$E$3143),-('Gastos Gerais'!$C$4:$C$3143)))</f>
        <v>63076.25</v>
      </c>
      <c r="AS19" s="134">
        <f>IF($B19="",0,SUMPRODUCT(-('Gastos Gerais'!$F$4:$F$3143='Gastos das Atividades'!$B19),-('Gastos das Atividades'!AS$3&gt;='Gastos Gerais'!$D$4:$D$3143),-('Gastos das Atividades'!AS$3&lt;='Gastos Gerais'!$E$4:$E$3143),-('Gastos Gerais'!$C$4:$C$3143)))</f>
        <v>63076.25</v>
      </c>
      <c r="AT19" s="134">
        <f>IF($B19="",0,SUMPRODUCT(-('Gastos Gerais'!$F$4:$F$3143='Gastos das Atividades'!$B19),-('Gastos das Atividades'!AT$3&gt;='Gastos Gerais'!$D$4:$D$3143),-('Gastos das Atividades'!AT$3&lt;='Gastos Gerais'!$E$4:$E$3143),-('Gastos Gerais'!$C$4:$C$3143)))</f>
        <v>62976.25</v>
      </c>
      <c r="AU19" s="134">
        <f>IF($B19="",0,SUMPRODUCT(-('Gastos Gerais'!$F$4:$F$3143='Gastos das Atividades'!$B19),-('Gastos das Atividades'!AU$3&gt;='Gastos Gerais'!$D$4:$D$3143),-('Gastos das Atividades'!AU$3&lt;='Gastos Gerais'!$E$4:$E$3143),-('Gastos Gerais'!$C$4:$C$3143)))</f>
        <v>62976.25</v>
      </c>
      <c r="AV19" s="134">
        <f>IF($B19="",0,SUMPRODUCT(-('Gastos Gerais'!$F$4:$F$3143='Gastos das Atividades'!$B19),-('Gastos das Atividades'!AV$3&gt;='Gastos Gerais'!$D$4:$D$3143),-('Gastos das Atividades'!AV$3&lt;='Gastos Gerais'!$E$4:$E$3143),-('Gastos Gerais'!$C$4:$C$3143)))</f>
        <v>62976.25</v>
      </c>
      <c r="AW19" s="134">
        <f>IF($B19="",0,SUMPRODUCT(-('Gastos Gerais'!$F$4:$F$3143='Gastos das Atividades'!$B19),-('Gastos das Atividades'!AW$3&gt;='Gastos Gerais'!$D$4:$D$3143),-('Gastos das Atividades'!AW$3&lt;='Gastos Gerais'!$E$4:$E$3143),-('Gastos Gerais'!$C$4:$C$3143)))</f>
        <v>62976.25</v>
      </c>
      <c r="AX19" s="134">
        <f>IF($B19="",0,SUMPRODUCT(-('Gastos Gerais'!$F$4:$F$3143='Gastos das Atividades'!$B19),-('Gastos das Atividades'!AX$3&gt;='Gastos Gerais'!$D$4:$D$3143),-('Gastos das Atividades'!AX$3&lt;='Gastos Gerais'!$E$4:$E$3143),-('Gastos Gerais'!$C$4:$C$3143)))</f>
        <v>62976.25</v>
      </c>
      <c r="AY19" s="134">
        <f>IF($B19="",0,SUMPRODUCT(-('Gastos Gerais'!$F$4:$F$3143='Gastos das Atividades'!$B19),-('Gastos das Atividades'!AY$3&gt;='Gastos Gerais'!$D$4:$D$3143),-('Gastos das Atividades'!AY$3&lt;='Gastos Gerais'!$E$4:$E$3143),-('Gastos Gerais'!$C$4:$C$3143)))</f>
        <v>62976.25</v>
      </c>
      <c r="AZ19" s="134">
        <f>IF($B19="",0,SUMPRODUCT(-('Gastos Gerais'!$F$4:$F$3143='Gastos das Atividades'!$B19),-('Gastos das Atividades'!AZ$3&gt;='Gastos Gerais'!$D$4:$D$3143),-('Gastos das Atividades'!AZ$3&lt;='Gastos Gerais'!$E$4:$E$3143),-('Gastos Gerais'!$C$4:$C$3143)))</f>
        <v>34389</v>
      </c>
      <c r="BA19" s="134">
        <f>IF($B19="",0,SUMPRODUCT(-('Gastos Gerais'!$F$4:$F$3143='Gastos das Atividades'!$B19),-('Gastos das Atividades'!BA$3&gt;='Gastos Gerais'!$D$4:$D$3143),-('Gastos das Atividades'!BA$3&lt;='Gastos Gerais'!$E$4:$E$3143),-('Gastos Gerais'!$C$4:$C$3143)))</f>
        <v>33639</v>
      </c>
      <c r="BB19" s="134">
        <f>IF($B19="",0,SUMPRODUCT(-('Gastos Gerais'!$F$4:$F$3143='Gastos das Atividades'!$B19),-('Gastos das Atividades'!BB$3&gt;='Gastos Gerais'!$D$4:$D$3143),-('Gastos das Atividades'!BB$3&lt;='Gastos Gerais'!$E$4:$E$3143),-('Gastos Gerais'!$C$4:$C$3143)))</f>
        <v>32989</v>
      </c>
      <c r="BC19" s="134">
        <f>IF($B19="",0,SUMPRODUCT(-('Gastos Gerais'!$F$4:$F$3143='Gastos das Atividades'!$B19),-('Gastos das Atividades'!BC$3&gt;='Gastos Gerais'!$D$4:$D$3143),-('Gastos das Atividades'!BC$3&lt;='Gastos Gerais'!$E$4:$E$3143),-('Gastos Gerais'!$C$4:$C$3143)))</f>
        <v>32239</v>
      </c>
      <c r="BD19" s="134">
        <f>IF($B19="",0,SUMPRODUCT(-('Gastos Gerais'!$F$4:$F$3143='Gastos das Atividades'!$B19),-('Gastos das Atividades'!BD$3&gt;='Gastos Gerais'!$D$4:$D$3143),-('Gastos das Atividades'!BD$3&lt;='Gastos Gerais'!$E$4:$E$3143),-('Gastos Gerais'!$C$4:$C$3143)))</f>
        <v>30959</v>
      </c>
      <c r="BE19" s="134">
        <f>IF($B19="",0,SUMPRODUCT(-('Gastos Gerais'!$F$4:$F$3143='Gastos das Atividades'!$B19),-('Gastos das Atividades'!BE$3&gt;='Gastos Gerais'!$D$4:$D$3143),-('Gastos das Atividades'!BE$3&lt;='Gastos Gerais'!$E$4:$E$3143),-('Gastos Gerais'!$C$4:$C$3143)))</f>
        <v>30959</v>
      </c>
      <c r="BF19" s="134">
        <f>IF($B19="",0,SUMPRODUCT(-('Gastos Gerais'!$F$4:$F$3143='Gastos das Atividades'!$B19),-('Gastos das Atividades'!BF$3&gt;='Gastos Gerais'!$D$4:$D$3143),-('Gastos das Atividades'!BF$3&lt;='Gastos Gerais'!$E$4:$E$3143),-('Gastos Gerais'!$C$4:$C$3143)))</f>
        <v>30909</v>
      </c>
      <c r="BG19" s="134">
        <f>IF($B19="",0,SUMPRODUCT(-('Gastos Gerais'!$F$4:$F$3143='Gastos das Atividades'!$B19),-('Gastos das Atividades'!BG$3&gt;='Gastos Gerais'!$D$4:$D$3143),-('Gastos das Atividades'!BG$3&lt;='Gastos Gerais'!$E$4:$E$3143),-('Gastos Gerais'!$C$4:$C$3143)))</f>
        <v>30909</v>
      </c>
      <c r="BH19" s="134">
        <f>IF($B19="",0,SUMPRODUCT(-('Gastos Gerais'!$F$4:$F$3143='Gastos das Atividades'!$B19),-('Gastos das Atividades'!BH$3&gt;='Gastos Gerais'!$D$4:$D$3143),-('Gastos das Atividades'!BH$3&lt;='Gastos Gerais'!$E$4:$E$3143),-('Gastos Gerais'!$C$4:$C$3143)))</f>
        <v>30909</v>
      </c>
      <c r="BI19" s="134">
        <f>IF($B19="",0,SUMPRODUCT(-('Gastos Gerais'!$F$4:$F$3143='Gastos das Atividades'!$B19),-('Gastos das Atividades'!BI$3&gt;='Gastos Gerais'!$D$4:$D$3143),-('Gastos das Atividades'!BI$3&lt;='Gastos Gerais'!$E$4:$E$3143),-('Gastos Gerais'!$C$4:$C$3143)))</f>
        <v>30909</v>
      </c>
      <c r="BJ19" s="134">
        <f>IF($B19="",0,SUMPRODUCT(-('Gastos Gerais'!$F$4:$F$3143='Gastos das Atividades'!$B19),-('Gastos das Atividades'!BJ$3&gt;='Gastos Gerais'!$D$4:$D$3143),-('Gastos das Atividades'!BJ$3&lt;='Gastos Gerais'!$E$4:$E$3143),-('Gastos Gerais'!$C$4:$C$3143)))</f>
        <v>30909</v>
      </c>
      <c r="BK19" s="134">
        <f>IF($B19="",0,SUMPRODUCT(-('Gastos Gerais'!$F$4:$F$3143='Gastos das Atividades'!$B19),-('Gastos das Atividades'!BK$3&gt;='Gastos Gerais'!$D$4:$D$3143),-('Gastos das Atividades'!BK$3&lt;='Gastos Gerais'!$E$4:$E$3143),-('Gastos Gerais'!$C$4:$C$3143)))</f>
        <v>0</v>
      </c>
      <c r="BL19" s="134">
        <f>IF($B19="",0,SUMPRODUCT(-('Gastos Gerais'!$F$4:$F$3143='Gastos das Atividades'!$B19),-('Gastos das Atividades'!BL$3&gt;='Gastos Gerais'!$D$4:$D$3143),-('Gastos das Atividades'!BL$3&lt;='Gastos Gerais'!$E$4:$E$3143),-('Gastos Gerais'!$C$4:$C$3143)))</f>
        <v>0</v>
      </c>
      <c r="BM19" s="134">
        <f>IF($B19="",0,SUMPRODUCT(-('Gastos Gerais'!$F$4:$F$3143='Gastos das Atividades'!$B19),-('Gastos das Atividades'!BM$3&gt;='Gastos Gerais'!$D$4:$D$3143),-('Gastos das Atividades'!BM$3&lt;='Gastos Gerais'!$E$4:$E$3143),-('Gastos Gerais'!$C$4:$C$3143)))</f>
        <v>0</v>
      </c>
      <c r="BN19" s="134">
        <f>IF($B19="",0,SUMPRODUCT(-('Gastos Gerais'!$F$4:$F$3143='Gastos das Atividades'!$B19),-('Gastos das Atividades'!BN$3&gt;='Gastos Gerais'!$D$4:$D$3143),-('Gastos das Atividades'!BN$3&lt;='Gastos Gerais'!$E$4:$E$3143),-('Gastos Gerais'!$C$4:$C$3143)))</f>
        <v>0</v>
      </c>
      <c r="BO19" s="134">
        <f>IF($B19="",0,SUMPRODUCT(-('Gastos Gerais'!$F$4:$F$3143='Gastos das Atividades'!$B19),-('Gastos das Atividades'!BO$3&gt;='Gastos Gerais'!$D$4:$D$3143),-('Gastos das Atividades'!BO$3&lt;='Gastos Gerais'!$E$4:$E$3143),-('Gastos Gerais'!$C$4:$C$3143)))</f>
        <v>0</v>
      </c>
      <c r="BP19" s="134">
        <f>IF($B19="",0,SUMPRODUCT(-('Gastos Gerais'!$F$4:$F$3143='Gastos das Atividades'!$B19),-('Gastos das Atividades'!BP$3&gt;='Gastos Gerais'!$D$4:$D$3143),-('Gastos das Atividades'!BP$3&lt;='Gastos Gerais'!$E$4:$E$3143),-('Gastos Gerais'!$C$4:$C$3143)))</f>
        <v>0</v>
      </c>
      <c r="BQ19" s="134">
        <f>IF($B19="",0,SUMPRODUCT(-('Gastos Gerais'!$F$4:$F$3143='Gastos das Atividades'!$B19),-('Gastos das Atividades'!BQ$3&gt;='Gastos Gerais'!$D$4:$D$3143),-('Gastos das Atividades'!BQ$3&lt;='Gastos Gerais'!$E$4:$E$3143),-('Gastos Gerais'!$C$4:$C$3143)))</f>
        <v>0</v>
      </c>
      <c r="BR19" s="134">
        <f>IF($B19="",0,SUMPRODUCT(-('Gastos Gerais'!$F$4:$F$3143='Gastos das Atividades'!$B19),-('Gastos das Atividades'!BR$3&gt;='Gastos Gerais'!$D$4:$D$3143),-('Gastos das Atividades'!BR$3&lt;='Gastos Gerais'!$E$4:$E$3143),-('Gastos Gerais'!$C$4:$C$3143)))</f>
        <v>0</v>
      </c>
      <c r="BS19" s="134">
        <f>IF($B19="",0,SUMPRODUCT(-('Gastos Gerais'!$F$4:$F$3143='Gastos das Atividades'!$B19),-('Gastos das Atividades'!BS$3&gt;='Gastos Gerais'!$D$4:$D$3143),-('Gastos das Atividades'!BS$3&lt;='Gastos Gerais'!$E$4:$E$3143),-('Gastos Gerais'!$C$4:$C$3143)))</f>
        <v>0</v>
      </c>
      <c r="BT19" s="134">
        <f>IF($B19="",0,SUMPRODUCT(-('Gastos Gerais'!$F$4:$F$3143='Gastos das Atividades'!$B19),-('Gastos das Atividades'!BT$3&gt;='Gastos Gerais'!$D$4:$D$3143),-('Gastos das Atividades'!BT$3&lt;='Gastos Gerais'!$E$4:$E$3143),-('Gastos Gerais'!$C$4:$C$3143)))</f>
        <v>0</v>
      </c>
      <c r="BU19" s="134">
        <f>IF($B19="",0,SUMPRODUCT(-('Gastos Gerais'!$F$4:$F$3143='Gastos das Atividades'!$B19),-('Gastos das Atividades'!BU$3&gt;='Gastos Gerais'!$D$4:$D$3143),-('Gastos das Atividades'!BU$3&lt;='Gastos Gerais'!$E$4:$E$3143),-('Gastos Gerais'!$C$4:$C$3143)))</f>
        <v>0</v>
      </c>
      <c r="BV19" s="134">
        <f>IF($B19="",0,SUMPRODUCT(-('Gastos Gerais'!$F$4:$F$3143='Gastos das Atividades'!$B19),-('Gastos das Atividades'!BV$3&gt;='Gastos Gerais'!$D$4:$D$3143),-('Gastos das Atividades'!BV$3&lt;='Gastos Gerais'!$E$4:$E$3143),-('Gastos Gerais'!$C$4:$C$3143)))</f>
        <v>0</v>
      </c>
      <c r="BW19" s="134">
        <f>IF($B19="",0,SUMPRODUCT(-('Gastos Gerais'!$F$4:$F$3143='Gastos das Atividades'!$B19),-('Gastos das Atividades'!BW$3&gt;='Gastos Gerais'!$D$4:$D$3143),-('Gastos das Atividades'!BW$3&lt;='Gastos Gerais'!$E$4:$E$3143),-('Gastos Gerais'!$C$4:$C$3143)))</f>
        <v>0</v>
      </c>
    </row>
    <row r="20" spans="1:75">
      <c r="A20" s="138">
        <v>17</v>
      </c>
      <c r="B20" s="139" t="s">
        <v>613</v>
      </c>
      <c r="C20" s="132">
        <v>0</v>
      </c>
      <c r="D20" s="133">
        <f t="shared" si="0"/>
        <v>936996.63800000015</v>
      </c>
      <c r="E20" s="134">
        <f t="shared" si="1"/>
        <v>945167.66990000021</v>
      </c>
      <c r="F20" s="134">
        <f t="shared" si="1"/>
        <v>950487.25339499966</v>
      </c>
      <c r="G20" s="134">
        <f t="shared" si="1"/>
        <v>486269</v>
      </c>
      <c r="H20" s="134">
        <f t="shared" si="1"/>
        <v>0</v>
      </c>
      <c r="I20" s="135">
        <f t="shared" si="2"/>
        <v>3318920.5612950013</v>
      </c>
      <c r="J20" s="136">
        <f t="shared" si="3"/>
        <v>1.2950967355657145E-2</v>
      </c>
      <c r="K20" s="136">
        <f t="shared" si="4"/>
        <v>1.3063905612964888E-2</v>
      </c>
      <c r="L20" s="136">
        <f t="shared" si="5"/>
        <v>1.3137431759586376E-2</v>
      </c>
      <c r="M20" s="136">
        <f t="shared" si="6"/>
        <v>6.7211062341805787E-3</v>
      </c>
      <c r="N20" s="136">
        <f t="shared" si="7"/>
        <v>0</v>
      </c>
      <c r="O20" s="137">
        <f t="shared" si="8"/>
        <v>4.5873410962389005E-2</v>
      </c>
      <c r="P20" s="134">
        <f>IF($B20="",0,SUMPRODUCT(-('Gastos Gerais'!$F$4:$F$3143='Gastos das Atividades'!$B20),-('Gastos das Atividades'!P$3&gt;='Gastos Gerais'!$D$4:$D$3143),-('Gastos das Atividades'!P$3&lt;='Gastos Gerais'!$E$4:$E$3143),-('Gastos Gerais'!$C$4:$C$3143)))</f>
        <v>81714.386499999993</v>
      </c>
      <c r="Q20" s="134">
        <f>IF($B20="",0,SUMPRODUCT(-('Gastos Gerais'!$F$4:$F$3143='Gastos das Atividades'!$B20),-('Gastos das Atividades'!Q$3&gt;='Gastos Gerais'!$D$4:$D$3143),-('Gastos das Atividades'!Q$3&lt;='Gastos Gerais'!$E$4:$E$3143),-('Gastos Gerais'!$C$4:$C$3143)))</f>
        <v>80214.386499999993</v>
      </c>
      <c r="R20" s="134">
        <f>IF($B20="",0,SUMPRODUCT(-('Gastos Gerais'!$F$4:$F$3143='Gastos das Atividades'!$B20),-('Gastos das Atividades'!R$3&gt;='Gastos Gerais'!$D$4:$D$3143),-('Gastos das Atividades'!R$3&lt;='Gastos Gerais'!$E$4:$E$3143),-('Gastos Gerais'!$C$4:$C$3143)))</f>
        <v>80214.386499999993</v>
      </c>
      <c r="S20" s="134">
        <f>IF($B20="",0,SUMPRODUCT(-('Gastos Gerais'!$F$4:$F$3143='Gastos das Atividades'!$B20),-('Gastos das Atividades'!S$3&gt;='Gastos Gerais'!$D$4:$D$3143),-('Gastos das Atividades'!S$3&lt;='Gastos Gerais'!$E$4:$E$3143),-('Gastos Gerais'!$C$4:$C$3143)))</f>
        <v>80214.386499999993</v>
      </c>
      <c r="T20" s="134">
        <f>IF($B20="",0,SUMPRODUCT(-('Gastos Gerais'!$F$4:$F$3143='Gastos das Atividades'!$B20),-('Gastos das Atividades'!T$3&gt;='Gastos Gerais'!$D$4:$D$3143),-('Gastos das Atividades'!T$3&lt;='Gastos Gerais'!$E$4:$E$3143),-('Gastos Gerais'!$C$4:$C$3143)))</f>
        <v>77464.386499999993</v>
      </c>
      <c r="U20" s="134">
        <f>IF($B20="",0,SUMPRODUCT(-('Gastos Gerais'!$F$4:$F$3143='Gastos das Atividades'!$B20),-('Gastos das Atividades'!U$3&gt;='Gastos Gerais'!$D$4:$D$3143),-('Gastos das Atividades'!U$3&lt;='Gastos Gerais'!$E$4:$E$3143),-('Gastos Gerais'!$C$4:$C$3143)))</f>
        <v>77464.386499999993</v>
      </c>
      <c r="V20" s="134">
        <f>IF($B20="",0,SUMPRODUCT(-('Gastos Gerais'!$F$4:$F$3143='Gastos das Atividades'!$B20),-('Gastos das Atividades'!V$3&gt;='Gastos Gerais'!$D$4:$D$3143),-('Gastos das Atividades'!V$3&lt;='Gastos Gerais'!$E$4:$E$3143),-('Gastos Gerais'!$C$4:$C$3143)))</f>
        <v>76618.386499999993</v>
      </c>
      <c r="W20" s="134">
        <f>IF($B20="",0,SUMPRODUCT(-('Gastos Gerais'!$F$4:$F$3143='Gastos das Atividades'!$B20),-('Gastos das Atividades'!W$3&gt;='Gastos Gerais'!$D$4:$D$3143),-('Gastos das Atividades'!W$3&lt;='Gastos Gerais'!$E$4:$E$3143),-('Gastos Gerais'!$C$4:$C$3143)))</f>
        <v>76618.386499999993</v>
      </c>
      <c r="X20" s="134">
        <f>IF($B20="",0,SUMPRODUCT(-('Gastos Gerais'!$F$4:$F$3143='Gastos das Atividades'!$B20),-('Gastos das Atividades'!X$3&gt;='Gastos Gerais'!$D$4:$D$3143),-('Gastos das Atividades'!X$3&lt;='Gastos Gerais'!$E$4:$E$3143),-('Gastos Gerais'!$C$4:$C$3143)))</f>
        <v>76618.386499999993</v>
      </c>
      <c r="Y20" s="134">
        <f>IF($B20="",0,SUMPRODUCT(-('Gastos Gerais'!$F$4:$F$3143='Gastos das Atividades'!$B20),-('Gastos das Atividades'!Y$3&gt;='Gastos Gerais'!$D$4:$D$3143),-('Gastos das Atividades'!Y$3&lt;='Gastos Gerais'!$E$4:$E$3143),-('Gastos Gerais'!$C$4:$C$3143)))</f>
        <v>76618.386499999993</v>
      </c>
      <c r="Z20" s="134">
        <f>IF($B20="",0,SUMPRODUCT(-('Gastos Gerais'!$F$4:$F$3143='Gastos das Atividades'!$B20),-('Gastos das Atividades'!Z$3&gt;='Gastos Gerais'!$D$4:$D$3143),-('Gastos das Atividades'!Z$3&lt;='Gastos Gerais'!$E$4:$E$3143),-('Gastos Gerais'!$C$4:$C$3143)))</f>
        <v>76618.386499999993</v>
      </c>
      <c r="AA20" s="134">
        <f>IF($B20="",0,SUMPRODUCT(-('Gastos Gerais'!$F$4:$F$3143='Gastos das Atividades'!$B20),-('Gastos das Atividades'!AA$3&gt;='Gastos Gerais'!$D$4:$D$3143),-('Gastos das Atividades'!AA$3&lt;='Gastos Gerais'!$E$4:$E$3143),-('Gastos Gerais'!$C$4:$C$3143)))</f>
        <v>76618.386499999993</v>
      </c>
      <c r="AB20" s="134">
        <f>IF($B20="",0,SUMPRODUCT(-('Gastos Gerais'!$F$4:$F$3143='Gastos das Atividades'!$B20),-('Gastos das Atividades'!AB$3&gt;='Gastos Gerais'!$D$4:$D$3143),-('Gastos das Atividades'!AB$3&lt;='Gastos Gerais'!$E$4:$E$3143),-('Gastos Gerais'!$C$4:$C$3143)))</f>
        <v>84095.305825000003</v>
      </c>
      <c r="AC20" s="134">
        <f>IF($B20="",0,SUMPRODUCT(-('Gastos Gerais'!$F$4:$F$3143='Gastos das Atividades'!$B20),-('Gastos das Atividades'!AC$3&gt;='Gastos Gerais'!$D$4:$D$3143),-('Gastos das Atividades'!AC$3&lt;='Gastos Gerais'!$E$4:$E$3143),-('Gastos Gerais'!$C$4:$C$3143)))</f>
        <v>80595.305825000003</v>
      </c>
      <c r="AD20" s="134">
        <f>IF($B20="",0,SUMPRODUCT(-('Gastos Gerais'!$F$4:$F$3143='Gastos das Atividades'!$B20),-('Gastos das Atividades'!AD$3&gt;='Gastos Gerais'!$D$4:$D$3143),-('Gastos das Atividades'!AD$3&lt;='Gastos Gerais'!$E$4:$E$3143),-('Gastos Gerais'!$C$4:$C$3143)))</f>
        <v>80595.305825000003</v>
      </c>
      <c r="AE20" s="134">
        <f>IF($B20="",0,SUMPRODUCT(-('Gastos Gerais'!$F$4:$F$3143='Gastos das Atividades'!$B20),-('Gastos das Atividades'!AE$3&gt;='Gastos Gerais'!$D$4:$D$3143),-('Gastos das Atividades'!AE$3&lt;='Gastos Gerais'!$E$4:$E$3143),-('Gastos Gerais'!$C$4:$C$3143)))</f>
        <v>80595.305825000003</v>
      </c>
      <c r="AF20" s="134">
        <f>IF($B20="",0,SUMPRODUCT(-('Gastos Gerais'!$F$4:$F$3143='Gastos das Atividades'!$B20),-('Gastos das Atividades'!AF$3&gt;='Gastos Gerais'!$D$4:$D$3143),-('Gastos das Atividades'!AF$3&lt;='Gastos Gerais'!$E$4:$E$3143),-('Gastos Gerais'!$C$4:$C$3143)))</f>
        <v>78045.305825000003</v>
      </c>
      <c r="AG20" s="134">
        <f>IF($B20="",0,SUMPRODUCT(-('Gastos Gerais'!$F$4:$F$3143='Gastos das Atividades'!$B20),-('Gastos das Atividades'!AG$3&gt;='Gastos Gerais'!$D$4:$D$3143),-('Gastos das Atividades'!AG$3&lt;='Gastos Gerais'!$E$4:$E$3143),-('Gastos Gerais'!$C$4:$C$3143)))</f>
        <v>78045.305825000003</v>
      </c>
      <c r="AH20" s="134">
        <f>IF($B20="",0,SUMPRODUCT(-('Gastos Gerais'!$F$4:$F$3143='Gastos das Atividades'!$B20),-('Gastos das Atividades'!AH$3&gt;='Gastos Gerais'!$D$4:$D$3143),-('Gastos das Atividades'!AH$3&lt;='Gastos Gerais'!$E$4:$E$3143),-('Gastos Gerais'!$C$4:$C$3143)))</f>
        <v>77199.305825000003</v>
      </c>
      <c r="AI20" s="134">
        <f>IF($B20="",0,SUMPRODUCT(-('Gastos Gerais'!$F$4:$F$3143='Gastos das Atividades'!$B20),-('Gastos das Atividades'!AI$3&gt;='Gastos Gerais'!$D$4:$D$3143),-('Gastos das Atividades'!AI$3&lt;='Gastos Gerais'!$E$4:$E$3143),-('Gastos Gerais'!$C$4:$C$3143)))</f>
        <v>77199.305825000003</v>
      </c>
      <c r="AJ20" s="134">
        <f>IF($B20="",0,SUMPRODUCT(-('Gastos Gerais'!$F$4:$F$3143='Gastos das Atividades'!$B20),-('Gastos das Atividades'!AJ$3&gt;='Gastos Gerais'!$D$4:$D$3143),-('Gastos das Atividades'!AJ$3&lt;='Gastos Gerais'!$E$4:$E$3143),-('Gastos Gerais'!$C$4:$C$3143)))</f>
        <v>77199.305825000003</v>
      </c>
      <c r="AK20" s="134">
        <f>IF($B20="",0,SUMPRODUCT(-('Gastos Gerais'!$F$4:$F$3143='Gastos das Atividades'!$B20),-('Gastos das Atividades'!AK$3&gt;='Gastos Gerais'!$D$4:$D$3143),-('Gastos das Atividades'!AK$3&lt;='Gastos Gerais'!$E$4:$E$3143),-('Gastos Gerais'!$C$4:$C$3143)))</f>
        <v>77199.305825000003</v>
      </c>
      <c r="AL20" s="134">
        <f>IF($B20="",0,SUMPRODUCT(-('Gastos Gerais'!$F$4:$F$3143='Gastos das Atividades'!$B20),-('Gastos das Atividades'!AL$3&gt;='Gastos Gerais'!$D$4:$D$3143),-('Gastos das Atividades'!AL$3&lt;='Gastos Gerais'!$E$4:$E$3143),-('Gastos Gerais'!$C$4:$C$3143)))</f>
        <v>77199.305825000003</v>
      </c>
      <c r="AM20" s="134">
        <f>IF($B20="",0,SUMPRODUCT(-('Gastos Gerais'!$F$4:$F$3143='Gastos das Atividades'!$B20),-('Gastos das Atividades'!AM$3&gt;='Gastos Gerais'!$D$4:$D$3143),-('Gastos das Atividades'!AM$3&lt;='Gastos Gerais'!$E$4:$E$3143),-('Gastos Gerais'!$C$4:$C$3143)))</f>
        <v>77199.305825000003</v>
      </c>
      <c r="AN20" s="134">
        <f>IF($B20="",0,SUMPRODUCT(-('Gastos Gerais'!$F$4:$F$3143='Gastos das Atividades'!$B20),-('Gastos das Atividades'!AN$3&gt;='Gastos Gerais'!$D$4:$D$3143),-('Gastos das Atividades'!AN$3&lt;='Gastos Gerais'!$E$4:$E$3143),-('Gastos Gerais'!$C$4:$C$3143)))</f>
        <v>82705.271116249991</v>
      </c>
      <c r="AO20" s="134">
        <f>IF($B20="",0,SUMPRODUCT(-('Gastos Gerais'!$F$4:$F$3143='Gastos das Atividades'!$B20),-('Gastos das Atividades'!AO$3&gt;='Gastos Gerais'!$D$4:$D$3143),-('Gastos das Atividades'!AO$3&lt;='Gastos Gerais'!$E$4:$E$3143),-('Gastos Gerais'!$C$4:$C$3143)))</f>
        <v>81205.271116249991</v>
      </c>
      <c r="AP20" s="134">
        <f>IF($B20="",0,SUMPRODUCT(-('Gastos Gerais'!$F$4:$F$3143='Gastos das Atividades'!$B20),-('Gastos das Atividades'!AP$3&gt;='Gastos Gerais'!$D$4:$D$3143),-('Gastos das Atividades'!AP$3&lt;='Gastos Gerais'!$E$4:$E$3143),-('Gastos Gerais'!$C$4:$C$3143)))</f>
        <v>81205.271116249991</v>
      </c>
      <c r="AQ20" s="134">
        <f>IF($B20="",0,SUMPRODUCT(-('Gastos Gerais'!$F$4:$F$3143='Gastos das Atividades'!$B20),-('Gastos das Atividades'!AQ$3&gt;='Gastos Gerais'!$D$4:$D$3143),-('Gastos das Atividades'!AQ$3&lt;='Gastos Gerais'!$E$4:$E$3143),-('Gastos Gerais'!$C$4:$C$3143)))</f>
        <v>81205.271116249991</v>
      </c>
      <c r="AR20" s="134">
        <f>IF($B20="",0,SUMPRODUCT(-('Gastos Gerais'!$F$4:$F$3143='Gastos das Atividades'!$B20),-('Gastos das Atividades'!AR$3&gt;='Gastos Gerais'!$D$4:$D$3143),-('Gastos das Atividades'!AR$3&lt;='Gastos Gerais'!$E$4:$E$3143),-('Gastos Gerais'!$C$4:$C$3143)))</f>
        <v>78655.271116249991</v>
      </c>
      <c r="AS20" s="134">
        <f>IF($B20="",0,SUMPRODUCT(-('Gastos Gerais'!$F$4:$F$3143='Gastos das Atividades'!$B20),-('Gastos das Atividades'!AS$3&gt;='Gastos Gerais'!$D$4:$D$3143),-('Gastos das Atividades'!AS$3&lt;='Gastos Gerais'!$E$4:$E$3143),-('Gastos Gerais'!$C$4:$C$3143)))</f>
        <v>78655.271116249991</v>
      </c>
      <c r="AT20" s="134">
        <f>IF($B20="",0,SUMPRODUCT(-('Gastos Gerais'!$F$4:$F$3143='Gastos das Atividades'!$B20),-('Gastos das Atividades'!AT$3&gt;='Gastos Gerais'!$D$4:$D$3143),-('Gastos das Atividades'!AT$3&lt;='Gastos Gerais'!$E$4:$E$3143),-('Gastos Gerais'!$C$4:$C$3143)))</f>
        <v>77809.271116249991</v>
      </c>
      <c r="AU20" s="134">
        <f>IF($B20="",0,SUMPRODUCT(-('Gastos Gerais'!$F$4:$F$3143='Gastos das Atividades'!$B20),-('Gastos das Atividades'!AU$3&gt;='Gastos Gerais'!$D$4:$D$3143),-('Gastos das Atividades'!AU$3&lt;='Gastos Gerais'!$E$4:$E$3143),-('Gastos Gerais'!$C$4:$C$3143)))</f>
        <v>77809.271116249991</v>
      </c>
      <c r="AV20" s="134">
        <f>IF($B20="",0,SUMPRODUCT(-('Gastos Gerais'!$F$4:$F$3143='Gastos das Atividades'!$B20),-('Gastos das Atividades'!AV$3&gt;='Gastos Gerais'!$D$4:$D$3143),-('Gastos das Atividades'!AV$3&lt;='Gastos Gerais'!$E$4:$E$3143),-('Gastos Gerais'!$C$4:$C$3143)))</f>
        <v>77809.271116249991</v>
      </c>
      <c r="AW20" s="134">
        <f>IF($B20="",0,SUMPRODUCT(-('Gastos Gerais'!$F$4:$F$3143='Gastos das Atividades'!$B20),-('Gastos das Atividades'!AW$3&gt;='Gastos Gerais'!$D$4:$D$3143),-('Gastos das Atividades'!AW$3&lt;='Gastos Gerais'!$E$4:$E$3143),-('Gastos Gerais'!$C$4:$C$3143)))</f>
        <v>77809.271116249991</v>
      </c>
      <c r="AX20" s="134">
        <f>IF($B20="",0,SUMPRODUCT(-('Gastos Gerais'!$F$4:$F$3143='Gastos das Atividades'!$B20),-('Gastos das Atividades'!AX$3&gt;='Gastos Gerais'!$D$4:$D$3143),-('Gastos das Atividades'!AX$3&lt;='Gastos Gerais'!$E$4:$E$3143),-('Gastos Gerais'!$C$4:$C$3143)))</f>
        <v>77809.271116249991</v>
      </c>
      <c r="AY20" s="134">
        <f>IF($B20="",0,SUMPRODUCT(-('Gastos Gerais'!$F$4:$F$3143='Gastos das Atividades'!$B20),-('Gastos das Atividades'!AY$3&gt;='Gastos Gerais'!$D$4:$D$3143),-('Gastos das Atividades'!AY$3&lt;='Gastos Gerais'!$E$4:$E$3143),-('Gastos Gerais'!$C$4:$C$3143)))</f>
        <v>77809.271116249991</v>
      </c>
      <c r="AZ20" s="134">
        <f>IF($B20="",0,SUMPRODUCT(-('Gastos Gerais'!$F$4:$F$3143='Gastos das Atividades'!$B20),-('Gastos das Atividades'!AZ$3&gt;='Gastos Gerais'!$D$4:$D$3143),-('Gastos das Atividades'!AZ$3&lt;='Gastos Gerais'!$E$4:$E$3143),-('Gastos Gerais'!$C$4:$C$3143)))</f>
        <v>48439</v>
      </c>
      <c r="BA20" s="134">
        <f>IF($B20="",0,SUMPRODUCT(-('Gastos Gerais'!$F$4:$F$3143='Gastos das Atividades'!$B20),-('Gastos das Atividades'!BA$3&gt;='Gastos Gerais'!$D$4:$D$3143),-('Gastos das Atividades'!BA$3&lt;='Gastos Gerais'!$E$4:$E$3143),-('Gastos Gerais'!$C$4:$C$3143)))</f>
        <v>45689</v>
      </c>
      <c r="BB20" s="134">
        <f>IF($B20="",0,SUMPRODUCT(-('Gastos Gerais'!$F$4:$F$3143='Gastos das Atividades'!$B20),-('Gastos das Atividades'!BB$3&gt;='Gastos Gerais'!$D$4:$D$3143),-('Gastos das Atividades'!BB$3&lt;='Gastos Gerais'!$E$4:$E$3143),-('Gastos Gerais'!$C$4:$C$3143)))</f>
        <v>45039</v>
      </c>
      <c r="BC20" s="134">
        <f>IF($B20="",0,SUMPRODUCT(-('Gastos Gerais'!$F$4:$F$3143='Gastos das Atividades'!$B20),-('Gastos das Atividades'!BC$3&gt;='Gastos Gerais'!$D$4:$D$3143),-('Gastos das Atividades'!BC$3&lt;='Gastos Gerais'!$E$4:$E$3143),-('Gastos Gerais'!$C$4:$C$3143)))</f>
        <v>45039</v>
      </c>
      <c r="BD20" s="134">
        <f>IF($B20="",0,SUMPRODUCT(-('Gastos Gerais'!$F$4:$F$3143='Gastos das Atividades'!$B20),-('Gastos das Atividades'!BD$3&gt;='Gastos Gerais'!$D$4:$D$3143),-('Gastos das Atividades'!BD$3&lt;='Gastos Gerais'!$E$4:$E$3143),-('Gastos Gerais'!$C$4:$C$3143)))</f>
        <v>43509</v>
      </c>
      <c r="BE20" s="134">
        <f>IF($B20="",0,SUMPRODUCT(-('Gastos Gerais'!$F$4:$F$3143='Gastos das Atividades'!$B20),-('Gastos das Atividades'!BE$3&gt;='Gastos Gerais'!$D$4:$D$3143),-('Gastos das Atividades'!BE$3&lt;='Gastos Gerais'!$E$4:$E$3143),-('Gastos Gerais'!$C$4:$C$3143)))</f>
        <v>43509</v>
      </c>
      <c r="BF20" s="134">
        <f>IF($B20="",0,SUMPRODUCT(-('Gastos Gerais'!$F$4:$F$3143='Gastos das Atividades'!$B20),-('Gastos das Atividades'!BF$3&gt;='Gastos Gerais'!$D$4:$D$3143),-('Gastos das Atividades'!BF$3&lt;='Gastos Gerais'!$E$4:$E$3143),-('Gastos Gerais'!$C$4:$C$3143)))</f>
        <v>43009</v>
      </c>
      <c r="BG20" s="134">
        <f>IF($B20="",0,SUMPRODUCT(-('Gastos Gerais'!$F$4:$F$3143='Gastos das Atividades'!$B20),-('Gastos das Atividades'!BG$3&gt;='Gastos Gerais'!$D$4:$D$3143),-('Gastos das Atividades'!BG$3&lt;='Gastos Gerais'!$E$4:$E$3143),-('Gastos Gerais'!$C$4:$C$3143)))</f>
        <v>43009</v>
      </c>
      <c r="BH20" s="134">
        <f>IF($B20="",0,SUMPRODUCT(-('Gastos Gerais'!$F$4:$F$3143='Gastos das Atividades'!$B20),-('Gastos das Atividades'!BH$3&gt;='Gastos Gerais'!$D$4:$D$3143),-('Gastos das Atividades'!BH$3&lt;='Gastos Gerais'!$E$4:$E$3143),-('Gastos Gerais'!$C$4:$C$3143)))</f>
        <v>43009</v>
      </c>
      <c r="BI20" s="134">
        <f>IF($B20="",0,SUMPRODUCT(-('Gastos Gerais'!$F$4:$F$3143='Gastos das Atividades'!$B20),-('Gastos das Atividades'!BI$3&gt;='Gastos Gerais'!$D$4:$D$3143),-('Gastos das Atividades'!BI$3&lt;='Gastos Gerais'!$E$4:$E$3143),-('Gastos Gerais'!$C$4:$C$3143)))</f>
        <v>43009</v>
      </c>
      <c r="BJ20" s="134">
        <f>IF($B20="",0,SUMPRODUCT(-('Gastos Gerais'!$F$4:$F$3143='Gastos das Atividades'!$B20),-('Gastos das Atividades'!BJ$3&gt;='Gastos Gerais'!$D$4:$D$3143),-('Gastos das Atividades'!BJ$3&lt;='Gastos Gerais'!$E$4:$E$3143),-('Gastos Gerais'!$C$4:$C$3143)))</f>
        <v>43009</v>
      </c>
      <c r="BK20" s="134">
        <f>IF($B20="",0,SUMPRODUCT(-('Gastos Gerais'!$F$4:$F$3143='Gastos das Atividades'!$B20),-('Gastos das Atividades'!BK$3&gt;='Gastos Gerais'!$D$4:$D$3143),-('Gastos das Atividades'!BK$3&lt;='Gastos Gerais'!$E$4:$E$3143),-('Gastos Gerais'!$C$4:$C$3143)))</f>
        <v>0</v>
      </c>
      <c r="BL20" s="134">
        <f>IF($B20="",0,SUMPRODUCT(-('Gastos Gerais'!$F$4:$F$3143='Gastos das Atividades'!$B20),-('Gastos das Atividades'!BL$3&gt;='Gastos Gerais'!$D$4:$D$3143),-('Gastos das Atividades'!BL$3&lt;='Gastos Gerais'!$E$4:$E$3143),-('Gastos Gerais'!$C$4:$C$3143)))</f>
        <v>0</v>
      </c>
      <c r="BM20" s="134">
        <f>IF($B20="",0,SUMPRODUCT(-('Gastos Gerais'!$F$4:$F$3143='Gastos das Atividades'!$B20),-('Gastos das Atividades'!BM$3&gt;='Gastos Gerais'!$D$4:$D$3143),-('Gastos das Atividades'!BM$3&lt;='Gastos Gerais'!$E$4:$E$3143),-('Gastos Gerais'!$C$4:$C$3143)))</f>
        <v>0</v>
      </c>
      <c r="BN20" s="134">
        <f>IF($B20="",0,SUMPRODUCT(-('Gastos Gerais'!$F$4:$F$3143='Gastos das Atividades'!$B20),-('Gastos das Atividades'!BN$3&gt;='Gastos Gerais'!$D$4:$D$3143),-('Gastos das Atividades'!BN$3&lt;='Gastos Gerais'!$E$4:$E$3143),-('Gastos Gerais'!$C$4:$C$3143)))</f>
        <v>0</v>
      </c>
      <c r="BO20" s="134">
        <f>IF($B20="",0,SUMPRODUCT(-('Gastos Gerais'!$F$4:$F$3143='Gastos das Atividades'!$B20),-('Gastos das Atividades'!BO$3&gt;='Gastos Gerais'!$D$4:$D$3143),-('Gastos das Atividades'!BO$3&lt;='Gastos Gerais'!$E$4:$E$3143),-('Gastos Gerais'!$C$4:$C$3143)))</f>
        <v>0</v>
      </c>
      <c r="BP20" s="134">
        <f>IF($B20="",0,SUMPRODUCT(-('Gastos Gerais'!$F$4:$F$3143='Gastos das Atividades'!$B20),-('Gastos das Atividades'!BP$3&gt;='Gastos Gerais'!$D$4:$D$3143),-('Gastos das Atividades'!BP$3&lt;='Gastos Gerais'!$E$4:$E$3143),-('Gastos Gerais'!$C$4:$C$3143)))</f>
        <v>0</v>
      </c>
      <c r="BQ20" s="134">
        <f>IF($B20="",0,SUMPRODUCT(-('Gastos Gerais'!$F$4:$F$3143='Gastos das Atividades'!$B20),-('Gastos das Atividades'!BQ$3&gt;='Gastos Gerais'!$D$4:$D$3143),-('Gastos das Atividades'!BQ$3&lt;='Gastos Gerais'!$E$4:$E$3143),-('Gastos Gerais'!$C$4:$C$3143)))</f>
        <v>0</v>
      </c>
      <c r="BR20" s="134">
        <f>IF($B20="",0,SUMPRODUCT(-('Gastos Gerais'!$F$4:$F$3143='Gastos das Atividades'!$B20),-('Gastos das Atividades'!BR$3&gt;='Gastos Gerais'!$D$4:$D$3143),-('Gastos das Atividades'!BR$3&lt;='Gastos Gerais'!$E$4:$E$3143),-('Gastos Gerais'!$C$4:$C$3143)))</f>
        <v>0</v>
      </c>
      <c r="BS20" s="134">
        <f>IF($B20="",0,SUMPRODUCT(-('Gastos Gerais'!$F$4:$F$3143='Gastos das Atividades'!$B20),-('Gastos das Atividades'!BS$3&gt;='Gastos Gerais'!$D$4:$D$3143),-('Gastos das Atividades'!BS$3&lt;='Gastos Gerais'!$E$4:$E$3143),-('Gastos Gerais'!$C$4:$C$3143)))</f>
        <v>0</v>
      </c>
      <c r="BT20" s="134">
        <f>IF($B20="",0,SUMPRODUCT(-('Gastos Gerais'!$F$4:$F$3143='Gastos das Atividades'!$B20),-('Gastos das Atividades'!BT$3&gt;='Gastos Gerais'!$D$4:$D$3143),-('Gastos das Atividades'!BT$3&lt;='Gastos Gerais'!$E$4:$E$3143),-('Gastos Gerais'!$C$4:$C$3143)))</f>
        <v>0</v>
      </c>
      <c r="BU20" s="134">
        <f>IF($B20="",0,SUMPRODUCT(-('Gastos Gerais'!$F$4:$F$3143='Gastos das Atividades'!$B20),-('Gastos das Atividades'!BU$3&gt;='Gastos Gerais'!$D$4:$D$3143),-('Gastos das Atividades'!BU$3&lt;='Gastos Gerais'!$E$4:$E$3143),-('Gastos Gerais'!$C$4:$C$3143)))</f>
        <v>0</v>
      </c>
      <c r="BV20" s="134">
        <f>IF($B20="",0,SUMPRODUCT(-('Gastos Gerais'!$F$4:$F$3143='Gastos das Atividades'!$B20),-('Gastos das Atividades'!BV$3&gt;='Gastos Gerais'!$D$4:$D$3143),-('Gastos das Atividades'!BV$3&lt;='Gastos Gerais'!$E$4:$E$3143),-('Gastos Gerais'!$C$4:$C$3143)))</f>
        <v>0</v>
      </c>
      <c r="BW20" s="134">
        <f>IF($B20="",0,SUMPRODUCT(-('Gastos Gerais'!$F$4:$F$3143='Gastos das Atividades'!$B20),-('Gastos das Atividades'!BW$3&gt;='Gastos Gerais'!$D$4:$D$3143),-('Gastos das Atividades'!BW$3&lt;='Gastos Gerais'!$E$4:$E$3143),-('Gastos Gerais'!$C$4:$C$3143)))</f>
        <v>0</v>
      </c>
    </row>
    <row r="21" spans="1:75">
      <c r="A21" s="138">
        <v>18</v>
      </c>
      <c r="B21" s="139" t="s">
        <v>614</v>
      </c>
      <c r="C21" s="132">
        <v>0</v>
      </c>
      <c r="D21" s="133">
        <f t="shared" si="0"/>
        <v>834176</v>
      </c>
      <c r="E21" s="134">
        <f t="shared" si="1"/>
        <v>839041</v>
      </c>
      <c r="F21" s="134">
        <f t="shared" si="1"/>
        <v>840679.25</v>
      </c>
      <c r="G21" s="134">
        <f t="shared" si="1"/>
        <v>425569</v>
      </c>
      <c r="H21" s="134">
        <f t="shared" si="1"/>
        <v>0</v>
      </c>
      <c r="I21" s="135">
        <f t="shared" si="2"/>
        <v>2939465.25</v>
      </c>
      <c r="J21" s="136">
        <f t="shared" si="3"/>
        <v>1.1529802463253505E-2</v>
      </c>
      <c r="K21" s="136">
        <f t="shared" si="4"/>
        <v>1.1597045453921815E-2</v>
      </c>
      <c r="L21" s="136">
        <f t="shared" si="5"/>
        <v>1.1619688995435147E-2</v>
      </c>
      <c r="M21" s="136">
        <f t="shared" si="6"/>
        <v>5.8821238017928244E-3</v>
      </c>
      <c r="N21" s="136">
        <f t="shared" si="7"/>
        <v>0</v>
      </c>
      <c r="O21" s="137">
        <f t="shared" si="8"/>
        <v>4.062866071440329E-2</v>
      </c>
      <c r="P21" s="134">
        <f>IF($B21="",0,SUMPRODUCT(-('Gastos Gerais'!$F$4:$F$3143='Gastos das Atividades'!$B21),-('Gastos das Atividades'!P$3&gt;='Gastos Gerais'!$D$4:$D$3143),-('Gastos das Atividades'!P$3&lt;='Gastos Gerais'!$E$4:$E$3143),-('Gastos Gerais'!$C$4:$C$3143)))</f>
        <v>73271</v>
      </c>
      <c r="Q21" s="134">
        <f>IF($B21="",0,SUMPRODUCT(-('Gastos Gerais'!$F$4:$F$3143='Gastos das Atividades'!$B21),-('Gastos das Atividades'!Q$3&gt;='Gastos Gerais'!$D$4:$D$3143),-('Gastos das Atividades'!Q$3&lt;='Gastos Gerais'!$E$4:$E$3143),-('Gastos Gerais'!$C$4:$C$3143)))</f>
        <v>71771</v>
      </c>
      <c r="R21" s="134">
        <f>IF($B21="",0,SUMPRODUCT(-('Gastos Gerais'!$F$4:$F$3143='Gastos das Atividades'!$B21),-('Gastos das Atividades'!R$3&gt;='Gastos Gerais'!$D$4:$D$3143),-('Gastos das Atividades'!R$3&lt;='Gastos Gerais'!$E$4:$E$3143),-('Gastos Gerais'!$C$4:$C$3143)))</f>
        <v>71771</v>
      </c>
      <c r="S21" s="134">
        <f>IF($B21="",0,SUMPRODUCT(-('Gastos Gerais'!$F$4:$F$3143='Gastos das Atividades'!$B21),-('Gastos das Atividades'!S$3&gt;='Gastos Gerais'!$D$4:$D$3143),-('Gastos das Atividades'!S$3&lt;='Gastos Gerais'!$E$4:$E$3143),-('Gastos Gerais'!$C$4:$C$3143)))</f>
        <v>70271</v>
      </c>
      <c r="T21" s="134">
        <f>IF($B21="",0,SUMPRODUCT(-('Gastos Gerais'!$F$4:$F$3143='Gastos das Atividades'!$B21),-('Gastos das Atividades'!T$3&gt;='Gastos Gerais'!$D$4:$D$3143),-('Gastos das Atividades'!T$3&lt;='Gastos Gerais'!$E$4:$E$3143),-('Gastos Gerais'!$C$4:$C$3143)))</f>
        <v>69021</v>
      </c>
      <c r="U21" s="134">
        <f>IF($B21="",0,SUMPRODUCT(-('Gastos Gerais'!$F$4:$F$3143='Gastos das Atividades'!$B21),-('Gastos das Atividades'!U$3&gt;='Gastos Gerais'!$D$4:$D$3143),-('Gastos das Atividades'!U$3&lt;='Gastos Gerais'!$E$4:$E$3143),-('Gastos Gerais'!$C$4:$C$3143)))</f>
        <v>69021</v>
      </c>
      <c r="V21" s="134">
        <f>IF($B21="",0,SUMPRODUCT(-('Gastos Gerais'!$F$4:$F$3143='Gastos das Atividades'!$B21),-('Gastos das Atividades'!V$3&gt;='Gastos Gerais'!$D$4:$D$3143),-('Gastos das Atividades'!V$3&lt;='Gastos Gerais'!$E$4:$E$3143),-('Gastos Gerais'!$C$4:$C$3143)))</f>
        <v>68175</v>
      </c>
      <c r="W21" s="134">
        <f>IF($B21="",0,SUMPRODUCT(-('Gastos Gerais'!$F$4:$F$3143='Gastos das Atividades'!$B21),-('Gastos das Atividades'!W$3&gt;='Gastos Gerais'!$D$4:$D$3143),-('Gastos das Atividades'!W$3&lt;='Gastos Gerais'!$E$4:$E$3143),-('Gastos Gerais'!$C$4:$C$3143)))</f>
        <v>68175</v>
      </c>
      <c r="X21" s="134">
        <f>IF($B21="",0,SUMPRODUCT(-('Gastos Gerais'!$F$4:$F$3143='Gastos das Atividades'!$B21),-('Gastos das Atividades'!X$3&gt;='Gastos Gerais'!$D$4:$D$3143),-('Gastos das Atividades'!X$3&lt;='Gastos Gerais'!$E$4:$E$3143),-('Gastos Gerais'!$C$4:$C$3143)))</f>
        <v>68175</v>
      </c>
      <c r="Y21" s="134">
        <f>IF($B21="",0,SUMPRODUCT(-('Gastos Gerais'!$F$4:$F$3143='Gastos das Atividades'!$B21),-('Gastos das Atividades'!Y$3&gt;='Gastos Gerais'!$D$4:$D$3143),-('Gastos das Atividades'!Y$3&lt;='Gastos Gerais'!$E$4:$E$3143),-('Gastos Gerais'!$C$4:$C$3143)))</f>
        <v>68175</v>
      </c>
      <c r="Z21" s="134">
        <f>IF($B21="",0,SUMPRODUCT(-('Gastos Gerais'!$F$4:$F$3143='Gastos das Atividades'!$B21),-('Gastos das Atividades'!Z$3&gt;='Gastos Gerais'!$D$4:$D$3143),-('Gastos das Atividades'!Z$3&lt;='Gastos Gerais'!$E$4:$E$3143),-('Gastos Gerais'!$C$4:$C$3143)))</f>
        <v>68175</v>
      </c>
      <c r="AA21" s="134">
        <f>IF($B21="",0,SUMPRODUCT(-('Gastos Gerais'!$F$4:$F$3143='Gastos das Atividades'!$B21),-('Gastos das Atividades'!AA$3&gt;='Gastos Gerais'!$D$4:$D$3143),-('Gastos das Atividades'!AA$3&lt;='Gastos Gerais'!$E$4:$E$3143),-('Gastos Gerais'!$C$4:$C$3143)))</f>
        <v>68175</v>
      </c>
      <c r="AB21" s="134">
        <f>IF($B21="",0,SUMPRODUCT(-('Gastos Gerais'!$F$4:$F$3143='Gastos das Atividades'!$B21),-('Gastos das Atividades'!AB$3&gt;='Gastos Gerais'!$D$4:$D$3143),-('Gastos das Atividades'!AB$3&lt;='Gastos Gerais'!$E$4:$E$3143),-('Gastos Gerais'!$C$4:$C$3143)))</f>
        <v>75359.75</v>
      </c>
      <c r="AC21" s="134">
        <f>IF($B21="",0,SUMPRODUCT(-('Gastos Gerais'!$F$4:$F$3143='Gastos das Atividades'!$B21),-('Gastos das Atividades'!AC$3&gt;='Gastos Gerais'!$D$4:$D$3143),-('Gastos das Atividades'!AC$3&lt;='Gastos Gerais'!$E$4:$E$3143),-('Gastos Gerais'!$C$4:$C$3143)))</f>
        <v>71859.75</v>
      </c>
      <c r="AD21" s="134">
        <f>IF($B21="",0,SUMPRODUCT(-('Gastos Gerais'!$F$4:$F$3143='Gastos das Atividades'!$B21),-('Gastos das Atividades'!AD$3&gt;='Gastos Gerais'!$D$4:$D$3143),-('Gastos das Atividades'!AD$3&lt;='Gastos Gerais'!$E$4:$E$3143),-('Gastos Gerais'!$C$4:$C$3143)))</f>
        <v>71859.75</v>
      </c>
      <c r="AE21" s="134">
        <f>IF($B21="",0,SUMPRODUCT(-('Gastos Gerais'!$F$4:$F$3143='Gastos das Atividades'!$B21),-('Gastos das Atividades'!AE$3&gt;='Gastos Gerais'!$D$4:$D$3143),-('Gastos das Atividades'!AE$3&lt;='Gastos Gerais'!$E$4:$E$3143),-('Gastos Gerais'!$C$4:$C$3143)))</f>
        <v>70559.75</v>
      </c>
      <c r="AF21" s="134">
        <f>IF($B21="",0,SUMPRODUCT(-('Gastos Gerais'!$F$4:$F$3143='Gastos das Atividades'!$B21),-('Gastos das Atividades'!AF$3&gt;='Gastos Gerais'!$D$4:$D$3143),-('Gastos das Atividades'!AF$3&lt;='Gastos Gerais'!$E$4:$E$3143),-('Gastos Gerais'!$C$4:$C$3143)))</f>
        <v>69309.75</v>
      </c>
      <c r="AG21" s="134">
        <f>IF($B21="",0,SUMPRODUCT(-('Gastos Gerais'!$F$4:$F$3143='Gastos das Atividades'!$B21),-('Gastos das Atividades'!AG$3&gt;='Gastos Gerais'!$D$4:$D$3143),-('Gastos das Atividades'!AG$3&lt;='Gastos Gerais'!$E$4:$E$3143),-('Gastos Gerais'!$C$4:$C$3143)))</f>
        <v>69309.75</v>
      </c>
      <c r="AH21" s="134">
        <f>IF($B21="",0,SUMPRODUCT(-('Gastos Gerais'!$F$4:$F$3143='Gastos das Atividades'!$B21),-('Gastos das Atividades'!AH$3&gt;='Gastos Gerais'!$D$4:$D$3143),-('Gastos das Atividades'!AH$3&lt;='Gastos Gerais'!$E$4:$E$3143),-('Gastos Gerais'!$C$4:$C$3143)))</f>
        <v>68463.75</v>
      </c>
      <c r="AI21" s="134">
        <f>IF($B21="",0,SUMPRODUCT(-('Gastos Gerais'!$F$4:$F$3143='Gastos das Atividades'!$B21),-('Gastos das Atividades'!AI$3&gt;='Gastos Gerais'!$D$4:$D$3143),-('Gastos das Atividades'!AI$3&lt;='Gastos Gerais'!$E$4:$E$3143),-('Gastos Gerais'!$C$4:$C$3143)))</f>
        <v>68463.75</v>
      </c>
      <c r="AJ21" s="134">
        <f>IF($B21="",0,SUMPRODUCT(-('Gastos Gerais'!$F$4:$F$3143='Gastos das Atividades'!$B21),-('Gastos das Atividades'!AJ$3&gt;='Gastos Gerais'!$D$4:$D$3143),-('Gastos das Atividades'!AJ$3&lt;='Gastos Gerais'!$E$4:$E$3143),-('Gastos Gerais'!$C$4:$C$3143)))</f>
        <v>68463.75</v>
      </c>
      <c r="AK21" s="134">
        <f>IF($B21="",0,SUMPRODUCT(-('Gastos Gerais'!$F$4:$F$3143='Gastos das Atividades'!$B21),-('Gastos das Atividades'!AK$3&gt;='Gastos Gerais'!$D$4:$D$3143),-('Gastos das Atividades'!AK$3&lt;='Gastos Gerais'!$E$4:$E$3143),-('Gastos Gerais'!$C$4:$C$3143)))</f>
        <v>68463.75</v>
      </c>
      <c r="AL21" s="134">
        <f>IF($B21="",0,SUMPRODUCT(-('Gastos Gerais'!$F$4:$F$3143='Gastos das Atividades'!$B21),-('Gastos das Atividades'!AL$3&gt;='Gastos Gerais'!$D$4:$D$3143),-('Gastos das Atividades'!AL$3&lt;='Gastos Gerais'!$E$4:$E$3143),-('Gastos Gerais'!$C$4:$C$3143)))</f>
        <v>68463.75</v>
      </c>
      <c r="AM21" s="134">
        <f>IF($B21="",0,SUMPRODUCT(-('Gastos Gerais'!$F$4:$F$3143='Gastos das Atividades'!$B21),-('Gastos das Atividades'!AM$3&gt;='Gastos Gerais'!$D$4:$D$3143),-('Gastos das Atividades'!AM$3&lt;='Gastos Gerais'!$E$4:$E$3143),-('Gastos Gerais'!$C$4:$C$3143)))</f>
        <v>68463.75</v>
      </c>
      <c r="AN21" s="134">
        <f>IF($B21="",0,SUMPRODUCT(-('Gastos Gerais'!$F$4:$F$3143='Gastos das Atividades'!$B21),-('Gastos das Atividades'!AN$3&gt;='Gastos Gerais'!$D$4:$D$3143),-('Gastos das Atividades'!AN$3&lt;='Gastos Gerais'!$E$4:$E$3143),-('Gastos Gerais'!$C$4:$C$3143)))</f>
        <v>73662.9375</v>
      </c>
      <c r="AO21" s="134">
        <f>IF($B21="",0,SUMPRODUCT(-('Gastos Gerais'!$F$4:$F$3143='Gastos das Atividades'!$B21),-('Gastos das Atividades'!AO$3&gt;='Gastos Gerais'!$D$4:$D$3143),-('Gastos das Atividades'!AO$3&lt;='Gastos Gerais'!$E$4:$E$3143),-('Gastos Gerais'!$C$4:$C$3143)))</f>
        <v>72162.9375</v>
      </c>
      <c r="AP21" s="134">
        <f>IF($B21="",0,SUMPRODUCT(-('Gastos Gerais'!$F$4:$F$3143='Gastos das Atividades'!$B21),-('Gastos das Atividades'!AP$3&gt;='Gastos Gerais'!$D$4:$D$3143),-('Gastos das Atividades'!AP$3&lt;='Gastos Gerais'!$E$4:$E$3143),-('Gastos Gerais'!$C$4:$C$3143)))</f>
        <v>72162.9375</v>
      </c>
      <c r="AQ21" s="134">
        <f>IF($B21="",0,SUMPRODUCT(-('Gastos Gerais'!$F$4:$F$3143='Gastos das Atividades'!$B21),-('Gastos das Atividades'!AQ$3&gt;='Gastos Gerais'!$D$4:$D$3143),-('Gastos das Atividades'!AQ$3&lt;='Gastos Gerais'!$E$4:$E$3143),-('Gastos Gerais'!$C$4:$C$3143)))</f>
        <v>70862.9375</v>
      </c>
      <c r="AR21" s="134">
        <f>IF($B21="",0,SUMPRODUCT(-('Gastos Gerais'!$F$4:$F$3143='Gastos das Atividades'!$B21),-('Gastos das Atividades'!AR$3&gt;='Gastos Gerais'!$D$4:$D$3143),-('Gastos das Atividades'!AR$3&lt;='Gastos Gerais'!$E$4:$E$3143),-('Gastos Gerais'!$C$4:$C$3143)))</f>
        <v>69612.9375</v>
      </c>
      <c r="AS21" s="134">
        <f>IF($B21="",0,SUMPRODUCT(-('Gastos Gerais'!$F$4:$F$3143='Gastos das Atividades'!$B21),-('Gastos das Atividades'!AS$3&gt;='Gastos Gerais'!$D$4:$D$3143),-('Gastos das Atividades'!AS$3&lt;='Gastos Gerais'!$E$4:$E$3143),-('Gastos Gerais'!$C$4:$C$3143)))</f>
        <v>69612.9375</v>
      </c>
      <c r="AT21" s="134">
        <f>IF($B21="",0,SUMPRODUCT(-('Gastos Gerais'!$F$4:$F$3143='Gastos das Atividades'!$B21),-('Gastos das Atividades'!AT$3&gt;='Gastos Gerais'!$D$4:$D$3143),-('Gastos das Atividades'!AT$3&lt;='Gastos Gerais'!$E$4:$E$3143),-('Gastos Gerais'!$C$4:$C$3143)))</f>
        <v>68766.9375</v>
      </c>
      <c r="AU21" s="134">
        <f>IF($B21="",0,SUMPRODUCT(-('Gastos Gerais'!$F$4:$F$3143='Gastos das Atividades'!$B21),-('Gastos das Atividades'!AU$3&gt;='Gastos Gerais'!$D$4:$D$3143),-('Gastos das Atividades'!AU$3&lt;='Gastos Gerais'!$E$4:$E$3143),-('Gastos Gerais'!$C$4:$C$3143)))</f>
        <v>68766.9375</v>
      </c>
      <c r="AV21" s="134">
        <f>IF($B21="",0,SUMPRODUCT(-('Gastos Gerais'!$F$4:$F$3143='Gastos das Atividades'!$B21),-('Gastos das Atividades'!AV$3&gt;='Gastos Gerais'!$D$4:$D$3143),-('Gastos das Atividades'!AV$3&lt;='Gastos Gerais'!$E$4:$E$3143),-('Gastos Gerais'!$C$4:$C$3143)))</f>
        <v>68766.9375</v>
      </c>
      <c r="AW21" s="134">
        <f>IF($B21="",0,SUMPRODUCT(-('Gastos Gerais'!$F$4:$F$3143='Gastos das Atividades'!$B21),-('Gastos das Atividades'!AW$3&gt;='Gastos Gerais'!$D$4:$D$3143),-('Gastos das Atividades'!AW$3&lt;='Gastos Gerais'!$E$4:$E$3143),-('Gastos Gerais'!$C$4:$C$3143)))</f>
        <v>68766.9375</v>
      </c>
      <c r="AX21" s="134">
        <f>IF($B21="",0,SUMPRODUCT(-('Gastos Gerais'!$F$4:$F$3143='Gastos das Atividades'!$B21),-('Gastos das Atividades'!AX$3&gt;='Gastos Gerais'!$D$4:$D$3143),-('Gastos das Atividades'!AX$3&lt;='Gastos Gerais'!$E$4:$E$3143),-('Gastos Gerais'!$C$4:$C$3143)))</f>
        <v>68766.9375</v>
      </c>
      <c r="AY21" s="134">
        <f>IF($B21="",0,SUMPRODUCT(-('Gastos Gerais'!$F$4:$F$3143='Gastos das Atividades'!$B21),-('Gastos das Atividades'!AY$3&gt;='Gastos Gerais'!$D$4:$D$3143),-('Gastos das Atividades'!AY$3&lt;='Gastos Gerais'!$E$4:$E$3143),-('Gastos Gerais'!$C$4:$C$3143)))</f>
        <v>68766.9375</v>
      </c>
      <c r="AZ21" s="134">
        <f>IF($B21="",0,SUMPRODUCT(-('Gastos Gerais'!$F$4:$F$3143='Gastos das Atividades'!$B21),-('Gastos das Atividades'!AZ$3&gt;='Gastos Gerais'!$D$4:$D$3143),-('Gastos das Atividades'!AZ$3&lt;='Gastos Gerais'!$E$4:$E$3143),-('Gastos Gerais'!$C$4:$C$3143)))</f>
        <v>42989</v>
      </c>
      <c r="BA21" s="134">
        <f>IF($B21="",0,SUMPRODUCT(-('Gastos Gerais'!$F$4:$F$3143='Gastos das Atividades'!$B21),-('Gastos das Atividades'!BA$3&gt;='Gastos Gerais'!$D$4:$D$3143),-('Gastos das Atividades'!BA$3&lt;='Gastos Gerais'!$E$4:$E$3143),-('Gastos Gerais'!$C$4:$C$3143)))</f>
        <v>40239</v>
      </c>
      <c r="BB21" s="134">
        <f>IF($B21="",0,SUMPRODUCT(-('Gastos Gerais'!$F$4:$F$3143='Gastos das Atividades'!$B21),-('Gastos das Atividades'!BB$3&gt;='Gastos Gerais'!$D$4:$D$3143),-('Gastos das Atividades'!BB$3&lt;='Gastos Gerais'!$E$4:$E$3143),-('Gastos Gerais'!$C$4:$C$3143)))</f>
        <v>39589</v>
      </c>
      <c r="BC21" s="134">
        <f>IF($B21="",0,SUMPRODUCT(-('Gastos Gerais'!$F$4:$F$3143='Gastos das Atividades'!$B21),-('Gastos das Atividades'!BC$3&gt;='Gastos Gerais'!$D$4:$D$3143),-('Gastos das Atividades'!BC$3&lt;='Gastos Gerais'!$E$4:$E$3143),-('Gastos Gerais'!$C$4:$C$3143)))</f>
        <v>38839</v>
      </c>
      <c r="BD21" s="134">
        <f>IF($B21="",0,SUMPRODUCT(-('Gastos Gerais'!$F$4:$F$3143='Gastos das Atividades'!$B21),-('Gastos das Atividades'!BD$3&gt;='Gastos Gerais'!$D$4:$D$3143),-('Gastos das Atividades'!BD$3&lt;='Gastos Gerais'!$E$4:$E$3143),-('Gastos Gerais'!$C$4:$C$3143)))</f>
        <v>38059</v>
      </c>
      <c r="BE21" s="134">
        <f>IF($B21="",0,SUMPRODUCT(-('Gastos Gerais'!$F$4:$F$3143='Gastos das Atividades'!$B21),-('Gastos das Atividades'!BE$3&gt;='Gastos Gerais'!$D$4:$D$3143),-('Gastos das Atividades'!BE$3&lt;='Gastos Gerais'!$E$4:$E$3143),-('Gastos Gerais'!$C$4:$C$3143)))</f>
        <v>38059</v>
      </c>
      <c r="BF21" s="134">
        <f>IF($B21="",0,SUMPRODUCT(-('Gastos Gerais'!$F$4:$F$3143='Gastos das Atividades'!$B21),-('Gastos das Atividades'!BF$3&gt;='Gastos Gerais'!$D$4:$D$3143),-('Gastos das Atividades'!BF$3&lt;='Gastos Gerais'!$E$4:$E$3143),-('Gastos Gerais'!$C$4:$C$3143)))</f>
        <v>37559</v>
      </c>
      <c r="BG21" s="134">
        <f>IF($B21="",0,SUMPRODUCT(-('Gastos Gerais'!$F$4:$F$3143='Gastos das Atividades'!$B21),-('Gastos das Atividades'!BG$3&gt;='Gastos Gerais'!$D$4:$D$3143),-('Gastos das Atividades'!BG$3&lt;='Gastos Gerais'!$E$4:$E$3143),-('Gastos Gerais'!$C$4:$C$3143)))</f>
        <v>37559</v>
      </c>
      <c r="BH21" s="134">
        <f>IF($B21="",0,SUMPRODUCT(-('Gastos Gerais'!$F$4:$F$3143='Gastos das Atividades'!$B21),-('Gastos das Atividades'!BH$3&gt;='Gastos Gerais'!$D$4:$D$3143),-('Gastos das Atividades'!BH$3&lt;='Gastos Gerais'!$E$4:$E$3143),-('Gastos Gerais'!$C$4:$C$3143)))</f>
        <v>37559</v>
      </c>
      <c r="BI21" s="134">
        <f>IF($B21="",0,SUMPRODUCT(-('Gastos Gerais'!$F$4:$F$3143='Gastos das Atividades'!$B21),-('Gastos das Atividades'!BI$3&gt;='Gastos Gerais'!$D$4:$D$3143),-('Gastos das Atividades'!BI$3&lt;='Gastos Gerais'!$E$4:$E$3143),-('Gastos Gerais'!$C$4:$C$3143)))</f>
        <v>37559</v>
      </c>
      <c r="BJ21" s="134">
        <f>IF($B21="",0,SUMPRODUCT(-('Gastos Gerais'!$F$4:$F$3143='Gastos das Atividades'!$B21),-('Gastos das Atividades'!BJ$3&gt;='Gastos Gerais'!$D$4:$D$3143),-('Gastos das Atividades'!BJ$3&lt;='Gastos Gerais'!$E$4:$E$3143),-('Gastos Gerais'!$C$4:$C$3143)))</f>
        <v>37559</v>
      </c>
      <c r="BK21" s="134">
        <f>IF($B21="",0,SUMPRODUCT(-('Gastos Gerais'!$F$4:$F$3143='Gastos das Atividades'!$B21),-('Gastos das Atividades'!BK$3&gt;='Gastos Gerais'!$D$4:$D$3143),-('Gastos das Atividades'!BK$3&lt;='Gastos Gerais'!$E$4:$E$3143),-('Gastos Gerais'!$C$4:$C$3143)))</f>
        <v>0</v>
      </c>
      <c r="BL21" s="134">
        <f>IF($B21="",0,SUMPRODUCT(-('Gastos Gerais'!$F$4:$F$3143='Gastos das Atividades'!$B21),-('Gastos das Atividades'!BL$3&gt;='Gastos Gerais'!$D$4:$D$3143),-('Gastos das Atividades'!BL$3&lt;='Gastos Gerais'!$E$4:$E$3143),-('Gastos Gerais'!$C$4:$C$3143)))</f>
        <v>0</v>
      </c>
      <c r="BM21" s="134">
        <f>IF($B21="",0,SUMPRODUCT(-('Gastos Gerais'!$F$4:$F$3143='Gastos das Atividades'!$B21),-('Gastos das Atividades'!BM$3&gt;='Gastos Gerais'!$D$4:$D$3143),-('Gastos das Atividades'!BM$3&lt;='Gastos Gerais'!$E$4:$E$3143),-('Gastos Gerais'!$C$4:$C$3143)))</f>
        <v>0</v>
      </c>
      <c r="BN21" s="134">
        <f>IF($B21="",0,SUMPRODUCT(-('Gastos Gerais'!$F$4:$F$3143='Gastos das Atividades'!$B21),-('Gastos das Atividades'!BN$3&gt;='Gastos Gerais'!$D$4:$D$3143),-('Gastos das Atividades'!BN$3&lt;='Gastos Gerais'!$E$4:$E$3143),-('Gastos Gerais'!$C$4:$C$3143)))</f>
        <v>0</v>
      </c>
      <c r="BO21" s="134">
        <f>IF($B21="",0,SUMPRODUCT(-('Gastos Gerais'!$F$4:$F$3143='Gastos das Atividades'!$B21),-('Gastos das Atividades'!BO$3&gt;='Gastos Gerais'!$D$4:$D$3143),-('Gastos das Atividades'!BO$3&lt;='Gastos Gerais'!$E$4:$E$3143),-('Gastos Gerais'!$C$4:$C$3143)))</f>
        <v>0</v>
      </c>
      <c r="BP21" s="134">
        <f>IF($B21="",0,SUMPRODUCT(-('Gastos Gerais'!$F$4:$F$3143='Gastos das Atividades'!$B21),-('Gastos das Atividades'!BP$3&gt;='Gastos Gerais'!$D$4:$D$3143),-('Gastos das Atividades'!BP$3&lt;='Gastos Gerais'!$E$4:$E$3143),-('Gastos Gerais'!$C$4:$C$3143)))</f>
        <v>0</v>
      </c>
      <c r="BQ21" s="134">
        <f>IF($B21="",0,SUMPRODUCT(-('Gastos Gerais'!$F$4:$F$3143='Gastos das Atividades'!$B21),-('Gastos das Atividades'!BQ$3&gt;='Gastos Gerais'!$D$4:$D$3143),-('Gastos das Atividades'!BQ$3&lt;='Gastos Gerais'!$E$4:$E$3143),-('Gastos Gerais'!$C$4:$C$3143)))</f>
        <v>0</v>
      </c>
      <c r="BR21" s="134">
        <f>IF($B21="",0,SUMPRODUCT(-('Gastos Gerais'!$F$4:$F$3143='Gastos das Atividades'!$B21),-('Gastos das Atividades'!BR$3&gt;='Gastos Gerais'!$D$4:$D$3143),-('Gastos das Atividades'!BR$3&lt;='Gastos Gerais'!$E$4:$E$3143),-('Gastos Gerais'!$C$4:$C$3143)))</f>
        <v>0</v>
      </c>
      <c r="BS21" s="134">
        <f>IF($B21="",0,SUMPRODUCT(-('Gastos Gerais'!$F$4:$F$3143='Gastos das Atividades'!$B21),-('Gastos das Atividades'!BS$3&gt;='Gastos Gerais'!$D$4:$D$3143),-('Gastos das Atividades'!BS$3&lt;='Gastos Gerais'!$E$4:$E$3143),-('Gastos Gerais'!$C$4:$C$3143)))</f>
        <v>0</v>
      </c>
      <c r="BT21" s="134">
        <f>IF($B21="",0,SUMPRODUCT(-('Gastos Gerais'!$F$4:$F$3143='Gastos das Atividades'!$B21),-('Gastos das Atividades'!BT$3&gt;='Gastos Gerais'!$D$4:$D$3143),-('Gastos das Atividades'!BT$3&lt;='Gastos Gerais'!$E$4:$E$3143),-('Gastos Gerais'!$C$4:$C$3143)))</f>
        <v>0</v>
      </c>
      <c r="BU21" s="134">
        <f>IF($B21="",0,SUMPRODUCT(-('Gastos Gerais'!$F$4:$F$3143='Gastos das Atividades'!$B21),-('Gastos das Atividades'!BU$3&gt;='Gastos Gerais'!$D$4:$D$3143),-('Gastos das Atividades'!BU$3&lt;='Gastos Gerais'!$E$4:$E$3143),-('Gastos Gerais'!$C$4:$C$3143)))</f>
        <v>0</v>
      </c>
      <c r="BV21" s="134">
        <f>IF($B21="",0,SUMPRODUCT(-('Gastos Gerais'!$F$4:$F$3143='Gastos das Atividades'!$B21),-('Gastos das Atividades'!BV$3&gt;='Gastos Gerais'!$D$4:$D$3143),-('Gastos das Atividades'!BV$3&lt;='Gastos Gerais'!$E$4:$E$3143),-('Gastos Gerais'!$C$4:$C$3143)))</f>
        <v>0</v>
      </c>
      <c r="BW21" s="134">
        <f>IF($B21="",0,SUMPRODUCT(-('Gastos Gerais'!$F$4:$F$3143='Gastos das Atividades'!$B21),-('Gastos das Atividades'!BW$3&gt;='Gastos Gerais'!$D$4:$D$3143),-('Gastos das Atividades'!BW$3&lt;='Gastos Gerais'!$E$4:$E$3143),-('Gastos Gerais'!$C$4:$C$3143)))</f>
        <v>0</v>
      </c>
    </row>
    <row r="22" spans="1:75">
      <c r="A22" s="138">
        <v>19</v>
      </c>
      <c r="B22" s="139" t="s">
        <v>615</v>
      </c>
      <c r="C22" s="132">
        <v>0</v>
      </c>
      <c r="D22" s="133">
        <f t="shared" si="0"/>
        <v>908426</v>
      </c>
      <c r="E22" s="134">
        <f t="shared" si="1"/>
        <v>560356</v>
      </c>
      <c r="F22" s="134">
        <f t="shared" si="1"/>
        <v>1026912.5</v>
      </c>
      <c r="G22" s="134">
        <f t="shared" si="1"/>
        <v>464759</v>
      </c>
      <c r="H22" s="134">
        <f t="shared" si="1"/>
        <v>0</v>
      </c>
      <c r="I22" s="135">
        <f t="shared" si="2"/>
        <v>2960453.5</v>
      </c>
      <c r="J22" s="136">
        <f t="shared" si="3"/>
        <v>1.255607010089421E-2</v>
      </c>
      <c r="K22" s="136">
        <f t="shared" si="4"/>
        <v>7.7451209206437022E-3</v>
      </c>
      <c r="L22" s="136">
        <f t="shared" si="5"/>
        <v>1.4193765191093744E-2</v>
      </c>
      <c r="M22" s="136">
        <f t="shared" si="6"/>
        <v>6.4237996094579988E-3</v>
      </c>
      <c r="N22" s="136">
        <f t="shared" si="7"/>
        <v>0</v>
      </c>
      <c r="O22" s="137">
        <f t="shared" si="8"/>
        <v>4.0918755822089654E-2</v>
      </c>
      <c r="P22" s="134">
        <f>IF($B22="",0,SUMPRODUCT(-('Gastos Gerais'!$F$4:$F$3143='Gastos das Atividades'!$B22),-('Gastos das Atividades'!P$3&gt;='Gastos Gerais'!$D$4:$D$3143),-('Gastos das Atividades'!P$3&lt;='Gastos Gerais'!$E$4:$E$3143),-('Gastos Gerais'!$C$4:$C$3143)))</f>
        <v>79146</v>
      </c>
      <c r="Q22" s="134">
        <f>IF($B22="",0,SUMPRODUCT(-('Gastos Gerais'!$F$4:$F$3143='Gastos das Atividades'!$B22),-('Gastos das Atividades'!Q$3&gt;='Gastos Gerais'!$D$4:$D$3143),-('Gastos das Atividades'!Q$3&lt;='Gastos Gerais'!$E$4:$E$3143),-('Gastos Gerais'!$C$4:$C$3143)))</f>
        <v>77646</v>
      </c>
      <c r="R22" s="134">
        <f>IF($B22="",0,SUMPRODUCT(-('Gastos Gerais'!$F$4:$F$3143='Gastos das Atividades'!$B22),-('Gastos das Atividades'!R$3&gt;='Gastos Gerais'!$D$4:$D$3143),-('Gastos das Atividades'!R$3&lt;='Gastos Gerais'!$E$4:$E$3143),-('Gastos Gerais'!$C$4:$C$3143)))</f>
        <v>77646</v>
      </c>
      <c r="S22" s="134">
        <f>IF($B22="",0,SUMPRODUCT(-('Gastos Gerais'!$F$4:$F$3143='Gastos das Atividades'!$B22),-('Gastos das Atividades'!S$3&gt;='Gastos Gerais'!$D$4:$D$3143),-('Gastos das Atividades'!S$3&lt;='Gastos Gerais'!$E$4:$E$3143),-('Gastos Gerais'!$C$4:$C$3143)))</f>
        <v>76146</v>
      </c>
      <c r="T22" s="134">
        <f>IF($B22="",0,SUMPRODUCT(-('Gastos Gerais'!$F$4:$F$3143='Gastos das Atividades'!$B22),-('Gastos das Atividades'!T$3&gt;='Gastos Gerais'!$D$4:$D$3143),-('Gastos das Atividades'!T$3&lt;='Gastos Gerais'!$E$4:$E$3143),-('Gastos Gerais'!$C$4:$C$3143)))</f>
        <v>76146</v>
      </c>
      <c r="U22" s="134">
        <f>IF($B22="",0,SUMPRODUCT(-('Gastos Gerais'!$F$4:$F$3143='Gastos das Atividades'!$B22),-('Gastos das Atividades'!U$3&gt;='Gastos Gerais'!$D$4:$D$3143),-('Gastos das Atividades'!U$3&lt;='Gastos Gerais'!$E$4:$E$3143),-('Gastos Gerais'!$C$4:$C$3143)))</f>
        <v>76146</v>
      </c>
      <c r="V22" s="134">
        <f>IF($B22="",0,SUMPRODUCT(-('Gastos Gerais'!$F$4:$F$3143='Gastos das Atividades'!$B22),-('Gastos das Atividades'!V$3&gt;='Gastos Gerais'!$D$4:$D$3143),-('Gastos das Atividades'!V$3&lt;='Gastos Gerais'!$E$4:$E$3143),-('Gastos Gerais'!$C$4:$C$3143)))</f>
        <v>75300</v>
      </c>
      <c r="W22" s="134">
        <f>IF($B22="",0,SUMPRODUCT(-('Gastos Gerais'!$F$4:$F$3143='Gastos das Atividades'!$B22),-('Gastos das Atividades'!W$3&gt;='Gastos Gerais'!$D$4:$D$3143),-('Gastos das Atividades'!W$3&lt;='Gastos Gerais'!$E$4:$E$3143),-('Gastos Gerais'!$C$4:$C$3143)))</f>
        <v>74050</v>
      </c>
      <c r="X22" s="134">
        <f>IF($B22="",0,SUMPRODUCT(-('Gastos Gerais'!$F$4:$F$3143='Gastos das Atividades'!$B22),-('Gastos das Atividades'!X$3&gt;='Gastos Gerais'!$D$4:$D$3143),-('Gastos das Atividades'!X$3&lt;='Gastos Gerais'!$E$4:$E$3143),-('Gastos Gerais'!$C$4:$C$3143)))</f>
        <v>74050</v>
      </c>
      <c r="Y22" s="134">
        <f>IF($B22="",0,SUMPRODUCT(-('Gastos Gerais'!$F$4:$F$3143='Gastos das Atividades'!$B22),-('Gastos das Atividades'!Y$3&gt;='Gastos Gerais'!$D$4:$D$3143),-('Gastos das Atividades'!Y$3&lt;='Gastos Gerais'!$E$4:$E$3143),-('Gastos Gerais'!$C$4:$C$3143)))</f>
        <v>74050</v>
      </c>
      <c r="Z22" s="134">
        <f>IF($B22="",0,SUMPRODUCT(-('Gastos Gerais'!$F$4:$F$3143='Gastos das Atividades'!$B22),-('Gastos das Atividades'!Z$3&gt;='Gastos Gerais'!$D$4:$D$3143),-('Gastos das Atividades'!Z$3&lt;='Gastos Gerais'!$E$4:$E$3143),-('Gastos Gerais'!$C$4:$C$3143)))</f>
        <v>74050</v>
      </c>
      <c r="AA22" s="134">
        <f>IF($B22="",0,SUMPRODUCT(-('Gastos Gerais'!$F$4:$F$3143='Gastos das Atividades'!$B22),-('Gastos das Atividades'!AA$3&gt;='Gastos Gerais'!$D$4:$D$3143),-('Gastos das Atividades'!AA$3&lt;='Gastos Gerais'!$E$4:$E$3143),-('Gastos Gerais'!$C$4:$C$3143)))</f>
        <v>74050</v>
      </c>
      <c r="AB22" s="134">
        <f>IF($B22="",0,SUMPRODUCT(-('Gastos Gerais'!$F$4:$F$3143='Gastos das Atividades'!$B22),-('Gastos das Atividades'!AB$3&gt;='Gastos Gerais'!$D$4:$D$3143),-('Gastos das Atividades'!AB$3&lt;='Gastos Gerais'!$E$4:$E$3143),-('Gastos Gerais'!$C$4:$C$3143)))</f>
        <v>51823.5</v>
      </c>
      <c r="AC22" s="134">
        <f>IF($B22="",0,SUMPRODUCT(-('Gastos Gerais'!$F$4:$F$3143='Gastos das Atividades'!$B22),-('Gastos das Atividades'!AC$3&gt;='Gastos Gerais'!$D$4:$D$3143),-('Gastos das Atividades'!AC$3&lt;='Gastos Gerais'!$E$4:$E$3143),-('Gastos Gerais'!$C$4:$C$3143)))</f>
        <v>48323.5</v>
      </c>
      <c r="AD22" s="134">
        <f>IF($B22="",0,SUMPRODUCT(-('Gastos Gerais'!$F$4:$F$3143='Gastos das Atividades'!$B22),-('Gastos das Atividades'!AD$3&gt;='Gastos Gerais'!$D$4:$D$3143),-('Gastos das Atividades'!AD$3&lt;='Gastos Gerais'!$E$4:$E$3143),-('Gastos Gerais'!$C$4:$C$3143)))</f>
        <v>48323.5</v>
      </c>
      <c r="AE22" s="134">
        <f>IF($B22="",0,SUMPRODUCT(-('Gastos Gerais'!$F$4:$F$3143='Gastos das Atividades'!$B22),-('Gastos das Atividades'!AE$3&gt;='Gastos Gerais'!$D$4:$D$3143),-('Gastos das Atividades'!AE$3&lt;='Gastos Gerais'!$E$4:$E$3143),-('Gastos Gerais'!$C$4:$C$3143)))</f>
        <v>47023.5</v>
      </c>
      <c r="AF22" s="134">
        <f>IF($B22="",0,SUMPRODUCT(-('Gastos Gerais'!$F$4:$F$3143='Gastos das Atividades'!$B22),-('Gastos das Atividades'!AF$3&gt;='Gastos Gerais'!$D$4:$D$3143),-('Gastos das Atividades'!AF$3&lt;='Gastos Gerais'!$E$4:$E$3143),-('Gastos Gerais'!$C$4:$C$3143)))</f>
        <v>47023.5</v>
      </c>
      <c r="AG22" s="134">
        <f>IF($B22="",0,SUMPRODUCT(-('Gastos Gerais'!$F$4:$F$3143='Gastos das Atividades'!$B22),-('Gastos das Atividades'!AG$3&gt;='Gastos Gerais'!$D$4:$D$3143),-('Gastos das Atividades'!AG$3&lt;='Gastos Gerais'!$E$4:$E$3143),-('Gastos Gerais'!$C$4:$C$3143)))</f>
        <v>47023.5</v>
      </c>
      <c r="AH22" s="134">
        <f>IF($B22="",0,SUMPRODUCT(-('Gastos Gerais'!$F$4:$F$3143='Gastos das Atividades'!$B22),-('Gastos das Atividades'!AH$3&gt;='Gastos Gerais'!$D$4:$D$3143),-('Gastos das Atividades'!AH$3&lt;='Gastos Gerais'!$E$4:$E$3143),-('Gastos Gerais'!$C$4:$C$3143)))</f>
        <v>46177.5</v>
      </c>
      <c r="AI22" s="134">
        <f>IF($B22="",0,SUMPRODUCT(-('Gastos Gerais'!$F$4:$F$3143='Gastos das Atividades'!$B22),-('Gastos das Atividades'!AI$3&gt;='Gastos Gerais'!$D$4:$D$3143),-('Gastos das Atividades'!AI$3&lt;='Gastos Gerais'!$E$4:$E$3143),-('Gastos Gerais'!$C$4:$C$3143)))</f>
        <v>44927.5</v>
      </c>
      <c r="AJ22" s="134">
        <f>IF($B22="",0,SUMPRODUCT(-('Gastos Gerais'!$F$4:$F$3143='Gastos das Atividades'!$B22),-('Gastos das Atividades'!AJ$3&gt;='Gastos Gerais'!$D$4:$D$3143),-('Gastos das Atividades'!AJ$3&lt;='Gastos Gerais'!$E$4:$E$3143),-('Gastos Gerais'!$C$4:$C$3143)))</f>
        <v>44927.5</v>
      </c>
      <c r="AK22" s="134">
        <f>IF($B22="",0,SUMPRODUCT(-('Gastos Gerais'!$F$4:$F$3143='Gastos das Atividades'!$B22),-('Gastos das Atividades'!AK$3&gt;='Gastos Gerais'!$D$4:$D$3143),-('Gastos das Atividades'!AK$3&lt;='Gastos Gerais'!$E$4:$E$3143),-('Gastos Gerais'!$C$4:$C$3143)))</f>
        <v>44927.5</v>
      </c>
      <c r="AL22" s="134">
        <f>IF($B22="",0,SUMPRODUCT(-('Gastos Gerais'!$F$4:$F$3143='Gastos das Atividades'!$B22),-('Gastos das Atividades'!AL$3&gt;='Gastos Gerais'!$D$4:$D$3143),-('Gastos das Atividades'!AL$3&lt;='Gastos Gerais'!$E$4:$E$3143),-('Gastos Gerais'!$C$4:$C$3143)))</f>
        <v>44927.5</v>
      </c>
      <c r="AM22" s="134">
        <f>IF($B22="",0,SUMPRODUCT(-('Gastos Gerais'!$F$4:$F$3143='Gastos das Atividades'!$B22),-('Gastos das Atividades'!AM$3&gt;='Gastos Gerais'!$D$4:$D$3143),-('Gastos das Atividades'!AM$3&lt;='Gastos Gerais'!$E$4:$E$3143),-('Gastos Gerais'!$C$4:$C$3143)))</f>
        <v>44927.5</v>
      </c>
      <c r="AN22" s="134">
        <f>IF($B22="",0,SUMPRODUCT(-('Gastos Gerais'!$F$4:$F$3143='Gastos das Atividades'!$B22),-('Gastos das Atividades'!AN$3&gt;='Gastos Gerais'!$D$4:$D$3143),-('Gastos das Atividades'!AN$3&lt;='Gastos Gerais'!$E$4:$E$3143),-('Gastos Gerais'!$C$4:$C$3143)))</f>
        <v>88869.875</v>
      </c>
      <c r="AO22" s="134">
        <f>IF($B22="",0,SUMPRODUCT(-('Gastos Gerais'!$F$4:$F$3143='Gastos das Atividades'!$B22),-('Gastos das Atividades'!AO$3&gt;='Gastos Gerais'!$D$4:$D$3143),-('Gastos das Atividades'!AO$3&lt;='Gastos Gerais'!$E$4:$E$3143),-('Gastos Gerais'!$C$4:$C$3143)))</f>
        <v>87369.875</v>
      </c>
      <c r="AP22" s="134">
        <f>IF($B22="",0,SUMPRODUCT(-('Gastos Gerais'!$F$4:$F$3143='Gastos das Atividades'!$B22),-('Gastos das Atividades'!AP$3&gt;='Gastos Gerais'!$D$4:$D$3143),-('Gastos das Atividades'!AP$3&lt;='Gastos Gerais'!$E$4:$E$3143),-('Gastos Gerais'!$C$4:$C$3143)))</f>
        <v>87369.875</v>
      </c>
      <c r="AQ22" s="134">
        <f>IF($B22="",0,SUMPRODUCT(-('Gastos Gerais'!$F$4:$F$3143='Gastos das Atividades'!$B22),-('Gastos das Atividades'!AQ$3&gt;='Gastos Gerais'!$D$4:$D$3143),-('Gastos das Atividades'!AQ$3&lt;='Gastos Gerais'!$E$4:$E$3143),-('Gastos Gerais'!$C$4:$C$3143)))</f>
        <v>86069.875</v>
      </c>
      <c r="AR22" s="134">
        <f>IF($B22="",0,SUMPRODUCT(-('Gastos Gerais'!$F$4:$F$3143='Gastos das Atividades'!$B22),-('Gastos das Atividades'!AR$3&gt;='Gastos Gerais'!$D$4:$D$3143),-('Gastos das Atividades'!AR$3&lt;='Gastos Gerais'!$E$4:$E$3143),-('Gastos Gerais'!$C$4:$C$3143)))</f>
        <v>86069.875</v>
      </c>
      <c r="AS22" s="134">
        <f>IF($B22="",0,SUMPRODUCT(-('Gastos Gerais'!$F$4:$F$3143='Gastos das Atividades'!$B22),-('Gastos das Atividades'!AS$3&gt;='Gastos Gerais'!$D$4:$D$3143),-('Gastos das Atividades'!AS$3&lt;='Gastos Gerais'!$E$4:$E$3143),-('Gastos Gerais'!$C$4:$C$3143)))</f>
        <v>86069.875</v>
      </c>
      <c r="AT22" s="134">
        <f>IF($B22="",0,SUMPRODUCT(-('Gastos Gerais'!$F$4:$F$3143='Gastos das Atividades'!$B22),-('Gastos das Atividades'!AT$3&gt;='Gastos Gerais'!$D$4:$D$3143),-('Gastos das Atividades'!AT$3&lt;='Gastos Gerais'!$E$4:$E$3143),-('Gastos Gerais'!$C$4:$C$3143)))</f>
        <v>85223.875</v>
      </c>
      <c r="AU22" s="134">
        <f>IF($B22="",0,SUMPRODUCT(-('Gastos Gerais'!$F$4:$F$3143='Gastos das Atividades'!$B22),-('Gastos das Atividades'!AU$3&gt;='Gastos Gerais'!$D$4:$D$3143),-('Gastos das Atividades'!AU$3&lt;='Gastos Gerais'!$E$4:$E$3143),-('Gastos Gerais'!$C$4:$C$3143)))</f>
        <v>83973.875</v>
      </c>
      <c r="AV22" s="134">
        <f>IF($B22="",0,SUMPRODUCT(-('Gastos Gerais'!$F$4:$F$3143='Gastos das Atividades'!$B22),-('Gastos das Atividades'!AV$3&gt;='Gastos Gerais'!$D$4:$D$3143),-('Gastos das Atividades'!AV$3&lt;='Gastos Gerais'!$E$4:$E$3143),-('Gastos Gerais'!$C$4:$C$3143)))</f>
        <v>83973.875</v>
      </c>
      <c r="AW22" s="134">
        <f>IF($B22="",0,SUMPRODUCT(-('Gastos Gerais'!$F$4:$F$3143='Gastos das Atividades'!$B22),-('Gastos das Atividades'!AW$3&gt;='Gastos Gerais'!$D$4:$D$3143),-('Gastos das Atividades'!AW$3&lt;='Gastos Gerais'!$E$4:$E$3143),-('Gastos Gerais'!$C$4:$C$3143)))</f>
        <v>83973.875</v>
      </c>
      <c r="AX22" s="134">
        <f>IF($B22="",0,SUMPRODUCT(-('Gastos Gerais'!$F$4:$F$3143='Gastos das Atividades'!$B22),-('Gastos das Atividades'!AX$3&gt;='Gastos Gerais'!$D$4:$D$3143),-('Gastos das Atividades'!AX$3&lt;='Gastos Gerais'!$E$4:$E$3143),-('Gastos Gerais'!$C$4:$C$3143)))</f>
        <v>83973.875</v>
      </c>
      <c r="AY22" s="134">
        <f>IF($B22="",0,SUMPRODUCT(-('Gastos Gerais'!$F$4:$F$3143='Gastos das Atividades'!$B22),-('Gastos das Atividades'!AY$3&gt;='Gastos Gerais'!$D$4:$D$3143),-('Gastos das Atividades'!AY$3&lt;='Gastos Gerais'!$E$4:$E$3143),-('Gastos Gerais'!$C$4:$C$3143)))</f>
        <v>83973.875</v>
      </c>
      <c r="AZ22" s="134">
        <f>IF($B22="",0,SUMPRODUCT(-('Gastos Gerais'!$F$4:$F$3143='Gastos das Atividades'!$B22),-('Gastos das Atividades'!AZ$3&gt;='Gastos Gerais'!$D$4:$D$3143),-('Gastos das Atividades'!AZ$3&lt;='Gastos Gerais'!$E$4:$E$3143),-('Gastos Gerais'!$C$4:$C$3143)))</f>
        <v>46339</v>
      </c>
      <c r="BA22" s="134">
        <f>IF($B22="",0,SUMPRODUCT(-('Gastos Gerais'!$F$4:$F$3143='Gastos das Atividades'!$B22),-('Gastos das Atividades'!BA$3&gt;='Gastos Gerais'!$D$4:$D$3143),-('Gastos das Atividades'!BA$3&lt;='Gastos Gerais'!$E$4:$E$3143),-('Gastos Gerais'!$C$4:$C$3143)))</f>
        <v>43589</v>
      </c>
      <c r="BB22" s="134">
        <f>IF($B22="",0,SUMPRODUCT(-('Gastos Gerais'!$F$4:$F$3143='Gastos das Atividades'!$B22),-('Gastos das Atividades'!BB$3&gt;='Gastos Gerais'!$D$4:$D$3143),-('Gastos das Atividades'!BB$3&lt;='Gastos Gerais'!$E$4:$E$3143),-('Gastos Gerais'!$C$4:$C$3143)))</f>
        <v>42939</v>
      </c>
      <c r="BC22" s="134">
        <f>IF($B22="",0,SUMPRODUCT(-('Gastos Gerais'!$F$4:$F$3143='Gastos das Atividades'!$B22),-('Gastos das Atividades'!BC$3&gt;='Gastos Gerais'!$D$4:$D$3143),-('Gastos das Atividades'!BC$3&lt;='Gastos Gerais'!$E$4:$E$3143),-('Gastos Gerais'!$C$4:$C$3143)))</f>
        <v>42189</v>
      </c>
      <c r="BD22" s="134">
        <f>IF($B22="",0,SUMPRODUCT(-('Gastos Gerais'!$F$4:$F$3143='Gastos das Atividades'!$B22),-('Gastos das Atividades'!BD$3&gt;='Gastos Gerais'!$D$4:$D$3143),-('Gastos das Atividades'!BD$3&lt;='Gastos Gerais'!$E$4:$E$3143),-('Gastos Gerais'!$C$4:$C$3143)))</f>
        <v>42189</v>
      </c>
      <c r="BE22" s="134">
        <f>IF($B22="",0,SUMPRODUCT(-('Gastos Gerais'!$F$4:$F$3143='Gastos das Atividades'!$B22),-('Gastos das Atividades'!BE$3&gt;='Gastos Gerais'!$D$4:$D$3143),-('Gastos das Atividades'!BE$3&lt;='Gastos Gerais'!$E$4:$E$3143),-('Gastos Gerais'!$C$4:$C$3143)))</f>
        <v>42189</v>
      </c>
      <c r="BF22" s="134">
        <f>IF($B22="",0,SUMPRODUCT(-('Gastos Gerais'!$F$4:$F$3143='Gastos das Atividades'!$B22),-('Gastos das Atividades'!BF$3&gt;='Gastos Gerais'!$D$4:$D$3143),-('Gastos das Atividades'!BF$3&lt;='Gastos Gerais'!$E$4:$E$3143),-('Gastos Gerais'!$C$4:$C$3143)))</f>
        <v>41689</v>
      </c>
      <c r="BG22" s="134">
        <f>IF($B22="",0,SUMPRODUCT(-('Gastos Gerais'!$F$4:$F$3143='Gastos das Atividades'!$B22),-('Gastos das Atividades'!BG$3&gt;='Gastos Gerais'!$D$4:$D$3143),-('Gastos das Atividades'!BG$3&lt;='Gastos Gerais'!$E$4:$E$3143),-('Gastos Gerais'!$C$4:$C$3143)))</f>
        <v>40909</v>
      </c>
      <c r="BH22" s="134">
        <f>IF($B22="",0,SUMPRODUCT(-('Gastos Gerais'!$F$4:$F$3143='Gastos das Atividades'!$B22),-('Gastos das Atividades'!BH$3&gt;='Gastos Gerais'!$D$4:$D$3143),-('Gastos das Atividades'!BH$3&lt;='Gastos Gerais'!$E$4:$E$3143),-('Gastos Gerais'!$C$4:$C$3143)))</f>
        <v>40909</v>
      </c>
      <c r="BI22" s="134">
        <f>IF($B22="",0,SUMPRODUCT(-('Gastos Gerais'!$F$4:$F$3143='Gastos das Atividades'!$B22),-('Gastos das Atividades'!BI$3&gt;='Gastos Gerais'!$D$4:$D$3143),-('Gastos das Atividades'!BI$3&lt;='Gastos Gerais'!$E$4:$E$3143),-('Gastos Gerais'!$C$4:$C$3143)))</f>
        <v>40909</v>
      </c>
      <c r="BJ22" s="134">
        <f>IF($B22="",0,SUMPRODUCT(-('Gastos Gerais'!$F$4:$F$3143='Gastos das Atividades'!$B22),-('Gastos das Atividades'!BJ$3&gt;='Gastos Gerais'!$D$4:$D$3143),-('Gastos das Atividades'!BJ$3&lt;='Gastos Gerais'!$E$4:$E$3143),-('Gastos Gerais'!$C$4:$C$3143)))</f>
        <v>40909</v>
      </c>
      <c r="BK22" s="134">
        <f>IF($B22="",0,SUMPRODUCT(-('Gastos Gerais'!$F$4:$F$3143='Gastos das Atividades'!$B22),-('Gastos das Atividades'!BK$3&gt;='Gastos Gerais'!$D$4:$D$3143),-('Gastos das Atividades'!BK$3&lt;='Gastos Gerais'!$E$4:$E$3143),-('Gastos Gerais'!$C$4:$C$3143)))</f>
        <v>0</v>
      </c>
      <c r="BL22" s="134">
        <f>IF($B22="",0,SUMPRODUCT(-('Gastos Gerais'!$F$4:$F$3143='Gastos das Atividades'!$B22),-('Gastos das Atividades'!BL$3&gt;='Gastos Gerais'!$D$4:$D$3143),-('Gastos das Atividades'!BL$3&lt;='Gastos Gerais'!$E$4:$E$3143),-('Gastos Gerais'!$C$4:$C$3143)))</f>
        <v>0</v>
      </c>
      <c r="BM22" s="134">
        <f>IF($B22="",0,SUMPRODUCT(-('Gastos Gerais'!$F$4:$F$3143='Gastos das Atividades'!$B22),-('Gastos das Atividades'!BM$3&gt;='Gastos Gerais'!$D$4:$D$3143),-('Gastos das Atividades'!BM$3&lt;='Gastos Gerais'!$E$4:$E$3143),-('Gastos Gerais'!$C$4:$C$3143)))</f>
        <v>0</v>
      </c>
      <c r="BN22" s="134">
        <f>IF($B22="",0,SUMPRODUCT(-('Gastos Gerais'!$F$4:$F$3143='Gastos das Atividades'!$B22),-('Gastos das Atividades'!BN$3&gt;='Gastos Gerais'!$D$4:$D$3143),-('Gastos das Atividades'!BN$3&lt;='Gastos Gerais'!$E$4:$E$3143),-('Gastos Gerais'!$C$4:$C$3143)))</f>
        <v>0</v>
      </c>
      <c r="BO22" s="134">
        <f>IF($B22="",0,SUMPRODUCT(-('Gastos Gerais'!$F$4:$F$3143='Gastos das Atividades'!$B22),-('Gastos das Atividades'!BO$3&gt;='Gastos Gerais'!$D$4:$D$3143),-('Gastos das Atividades'!BO$3&lt;='Gastos Gerais'!$E$4:$E$3143),-('Gastos Gerais'!$C$4:$C$3143)))</f>
        <v>0</v>
      </c>
      <c r="BP22" s="134">
        <f>IF($B22="",0,SUMPRODUCT(-('Gastos Gerais'!$F$4:$F$3143='Gastos das Atividades'!$B22),-('Gastos das Atividades'!BP$3&gt;='Gastos Gerais'!$D$4:$D$3143),-('Gastos das Atividades'!BP$3&lt;='Gastos Gerais'!$E$4:$E$3143),-('Gastos Gerais'!$C$4:$C$3143)))</f>
        <v>0</v>
      </c>
      <c r="BQ22" s="134">
        <f>IF($B22="",0,SUMPRODUCT(-('Gastos Gerais'!$F$4:$F$3143='Gastos das Atividades'!$B22),-('Gastos das Atividades'!BQ$3&gt;='Gastos Gerais'!$D$4:$D$3143),-('Gastos das Atividades'!BQ$3&lt;='Gastos Gerais'!$E$4:$E$3143),-('Gastos Gerais'!$C$4:$C$3143)))</f>
        <v>0</v>
      </c>
      <c r="BR22" s="134">
        <f>IF($B22="",0,SUMPRODUCT(-('Gastos Gerais'!$F$4:$F$3143='Gastos das Atividades'!$B22),-('Gastos das Atividades'!BR$3&gt;='Gastos Gerais'!$D$4:$D$3143),-('Gastos das Atividades'!BR$3&lt;='Gastos Gerais'!$E$4:$E$3143),-('Gastos Gerais'!$C$4:$C$3143)))</f>
        <v>0</v>
      </c>
      <c r="BS22" s="134">
        <f>IF($B22="",0,SUMPRODUCT(-('Gastos Gerais'!$F$4:$F$3143='Gastos das Atividades'!$B22),-('Gastos das Atividades'!BS$3&gt;='Gastos Gerais'!$D$4:$D$3143),-('Gastos das Atividades'!BS$3&lt;='Gastos Gerais'!$E$4:$E$3143),-('Gastos Gerais'!$C$4:$C$3143)))</f>
        <v>0</v>
      </c>
      <c r="BT22" s="134">
        <f>IF($B22="",0,SUMPRODUCT(-('Gastos Gerais'!$F$4:$F$3143='Gastos das Atividades'!$B22),-('Gastos das Atividades'!BT$3&gt;='Gastos Gerais'!$D$4:$D$3143),-('Gastos das Atividades'!BT$3&lt;='Gastos Gerais'!$E$4:$E$3143),-('Gastos Gerais'!$C$4:$C$3143)))</f>
        <v>0</v>
      </c>
      <c r="BU22" s="134">
        <f>IF($B22="",0,SUMPRODUCT(-('Gastos Gerais'!$F$4:$F$3143='Gastos das Atividades'!$B22),-('Gastos das Atividades'!BU$3&gt;='Gastos Gerais'!$D$4:$D$3143),-('Gastos das Atividades'!BU$3&lt;='Gastos Gerais'!$E$4:$E$3143),-('Gastos Gerais'!$C$4:$C$3143)))</f>
        <v>0</v>
      </c>
      <c r="BV22" s="134">
        <f>IF($B22="",0,SUMPRODUCT(-('Gastos Gerais'!$F$4:$F$3143='Gastos das Atividades'!$B22),-('Gastos das Atividades'!BV$3&gt;='Gastos Gerais'!$D$4:$D$3143),-('Gastos das Atividades'!BV$3&lt;='Gastos Gerais'!$E$4:$E$3143),-('Gastos Gerais'!$C$4:$C$3143)))</f>
        <v>0</v>
      </c>
      <c r="BW22" s="134">
        <f>IF($B22="",0,SUMPRODUCT(-('Gastos Gerais'!$F$4:$F$3143='Gastos das Atividades'!$B22),-('Gastos das Atividades'!BW$3&gt;='Gastos Gerais'!$D$4:$D$3143),-('Gastos das Atividades'!BW$3&lt;='Gastos Gerais'!$E$4:$E$3143),-('Gastos Gerais'!$C$4:$C$3143)))</f>
        <v>0</v>
      </c>
    </row>
    <row r="23" spans="1:75">
      <c r="A23" s="138">
        <v>20</v>
      </c>
      <c r="B23" s="139" t="s">
        <v>616</v>
      </c>
      <c r="C23" s="132">
        <v>0</v>
      </c>
      <c r="D23" s="133">
        <f t="shared" si="0"/>
        <v>833348</v>
      </c>
      <c r="E23" s="134">
        <f t="shared" si="1"/>
        <v>838087</v>
      </c>
      <c r="F23" s="134">
        <f t="shared" si="1"/>
        <v>838900.94999999984</v>
      </c>
      <c r="G23" s="134">
        <f t="shared" si="1"/>
        <v>423369</v>
      </c>
      <c r="H23" s="134">
        <f t="shared" si="1"/>
        <v>0</v>
      </c>
      <c r="I23" s="135">
        <f t="shared" si="2"/>
        <v>2933704.9500000011</v>
      </c>
      <c r="J23" s="136">
        <f t="shared" si="3"/>
        <v>1.1518358024142845E-2</v>
      </c>
      <c r="K23" s="136">
        <f t="shared" si="4"/>
        <v>1.1583859469729098E-2</v>
      </c>
      <c r="L23" s="136">
        <f t="shared" si="5"/>
        <v>1.159510971274132E-2</v>
      </c>
      <c r="M23" s="136">
        <f t="shared" si="6"/>
        <v>5.8517158717886547E-3</v>
      </c>
      <c r="N23" s="136">
        <f t="shared" si="7"/>
        <v>0</v>
      </c>
      <c r="O23" s="137">
        <f t="shared" si="8"/>
        <v>4.0549043078401938E-2</v>
      </c>
      <c r="P23" s="134">
        <f>IF($B23="",0,SUMPRODUCT(-('Gastos Gerais'!$F$4:$F$3143='Gastos das Atividades'!$B23),-('Gastos das Atividades'!P$3&gt;='Gastos Gerais'!$D$4:$D$3143),-('Gastos das Atividades'!P$3&lt;='Gastos Gerais'!$E$4:$E$3143),-('Gastos Gerais'!$C$4:$C$3143)))</f>
        <v>73061</v>
      </c>
      <c r="Q23" s="134">
        <f>IF($B23="",0,SUMPRODUCT(-('Gastos Gerais'!$F$4:$F$3143='Gastos das Atividades'!$B23),-('Gastos das Atividades'!Q$3&gt;='Gastos Gerais'!$D$4:$D$3143),-('Gastos das Atividades'!Q$3&lt;='Gastos Gerais'!$E$4:$E$3143),-('Gastos Gerais'!$C$4:$C$3143)))</f>
        <v>71561</v>
      </c>
      <c r="R23" s="134">
        <f>IF($B23="",0,SUMPRODUCT(-('Gastos Gerais'!$F$4:$F$3143='Gastos das Atividades'!$B23),-('Gastos das Atividades'!R$3&gt;='Gastos Gerais'!$D$4:$D$3143),-('Gastos das Atividades'!R$3&lt;='Gastos Gerais'!$E$4:$E$3143),-('Gastos Gerais'!$C$4:$C$3143)))</f>
        <v>71561</v>
      </c>
      <c r="S23" s="134">
        <f>IF($B23="",0,SUMPRODUCT(-('Gastos Gerais'!$F$4:$F$3143='Gastos das Atividades'!$B23),-('Gastos das Atividades'!S$3&gt;='Gastos Gerais'!$D$4:$D$3143),-('Gastos das Atividades'!S$3&lt;='Gastos Gerais'!$E$4:$E$3143),-('Gastos Gerais'!$C$4:$C$3143)))</f>
        <v>70061</v>
      </c>
      <c r="T23" s="134">
        <f>IF($B23="",0,SUMPRODUCT(-('Gastos Gerais'!$F$4:$F$3143='Gastos das Atividades'!$B23),-('Gastos das Atividades'!T$3&gt;='Gastos Gerais'!$D$4:$D$3143),-('Gastos das Atividades'!T$3&lt;='Gastos Gerais'!$E$4:$E$3143),-('Gastos Gerais'!$C$4:$C$3143)))</f>
        <v>68811</v>
      </c>
      <c r="U23" s="134">
        <f>IF($B23="",0,SUMPRODUCT(-('Gastos Gerais'!$F$4:$F$3143='Gastos das Atividades'!$B23),-('Gastos das Atividades'!U$3&gt;='Gastos Gerais'!$D$4:$D$3143),-('Gastos das Atividades'!U$3&lt;='Gastos Gerais'!$E$4:$E$3143),-('Gastos Gerais'!$C$4:$C$3143)))</f>
        <v>68811</v>
      </c>
      <c r="V23" s="134">
        <f>IF($B23="",0,SUMPRODUCT(-('Gastos Gerais'!$F$4:$F$3143='Gastos das Atividades'!$B23),-('Gastos das Atividades'!V$3&gt;='Gastos Gerais'!$D$4:$D$3143),-('Gastos das Atividades'!V$3&lt;='Gastos Gerais'!$E$4:$E$3143),-('Gastos Gerais'!$C$4:$C$3143)))</f>
        <v>67965</v>
      </c>
      <c r="W23" s="134">
        <f>IF($B23="",0,SUMPRODUCT(-('Gastos Gerais'!$F$4:$F$3143='Gastos das Atividades'!$B23),-('Gastos das Atividades'!W$3&gt;='Gastos Gerais'!$D$4:$D$3143),-('Gastos das Atividades'!W$3&lt;='Gastos Gerais'!$E$4:$E$3143),-('Gastos Gerais'!$C$4:$C$3143)))</f>
        <v>67965</v>
      </c>
      <c r="X23" s="134">
        <f>IF($B23="",0,SUMPRODUCT(-('Gastos Gerais'!$F$4:$F$3143='Gastos das Atividades'!$B23),-('Gastos das Atividades'!X$3&gt;='Gastos Gerais'!$D$4:$D$3143),-('Gastos das Atividades'!X$3&lt;='Gastos Gerais'!$E$4:$E$3143),-('Gastos Gerais'!$C$4:$C$3143)))</f>
        <v>67965</v>
      </c>
      <c r="Y23" s="134">
        <f>IF($B23="",0,SUMPRODUCT(-('Gastos Gerais'!$F$4:$F$3143='Gastos das Atividades'!$B23),-('Gastos das Atividades'!Y$3&gt;='Gastos Gerais'!$D$4:$D$3143),-('Gastos das Atividades'!Y$3&lt;='Gastos Gerais'!$E$4:$E$3143),-('Gastos Gerais'!$C$4:$C$3143)))</f>
        <v>67965</v>
      </c>
      <c r="Z23" s="134">
        <f>IF($B23="",0,SUMPRODUCT(-('Gastos Gerais'!$F$4:$F$3143='Gastos das Atividades'!$B23),-('Gastos das Atividades'!Z$3&gt;='Gastos Gerais'!$D$4:$D$3143),-('Gastos das Atividades'!Z$3&lt;='Gastos Gerais'!$E$4:$E$3143),-('Gastos Gerais'!$C$4:$C$3143)))</f>
        <v>68811</v>
      </c>
      <c r="AA23" s="134">
        <f>IF($B23="",0,SUMPRODUCT(-('Gastos Gerais'!$F$4:$F$3143='Gastos das Atividades'!$B23),-('Gastos das Atividades'!AA$3&gt;='Gastos Gerais'!$D$4:$D$3143),-('Gastos das Atividades'!AA$3&lt;='Gastos Gerais'!$E$4:$E$3143),-('Gastos Gerais'!$C$4:$C$3143)))</f>
        <v>68811</v>
      </c>
      <c r="AB23" s="134">
        <f>IF($B23="",0,SUMPRODUCT(-('Gastos Gerais'!$F$4:$F$3143='Gastos das Atividades'!$B23),-('Gastos das Atividades'!AB$3&gt;='Gastos Gerais'!$D$4:$D$3143),-('Gastos das Atividades'!AB$3&lt;='Gastos Gerais'!$E$4:$E$3143),-('Gastos Gerais'!$C$4:$C$3143)))</f>
        <v>75139.25</v>
      </c>
      <c r="AC23" s="134">
        <f>IF($B23="",0,SUMPRODUCT(-('Gastos Gerais'!$F$4:$F$3143='Gastos das Atividades'!$B23),-('Gastos das Atividades'!AC$3&gt;='Gastos Gerais'!$D$4:$D$3143),-('Gastos das Atividades'!AC$3&lt;='Gastos Gerais'!$E$4:$E$3143),-('Gastos Gerais'!$C$4:$C$3143)))</f>
        <v>71639.25</v>
      </c>
      <c r="AD23" s="134">
        <f>IF($B23="",0,SUMPRODUCT(-('Gastos Gerais'!$F$4:$F$3143='Gastos das Atividades'!$B23),-('Gastos das Atividades'!AD$3&gt;='Gastos Gerais'!$D$4:$D$3143),-('Gastos das Atividades'!AD$3&lt;='Gastos Gerais'!$E$4:$E$3143),-('Gastos Gerais'!$C$4:$C$3143)))</f>
        <v>71639.25</v>
      </c>
      <c r="AE23" s="134">
        <f>IF($B23="",0,SUMPRODUCT(-('Gastos Gerais'!$F$4:$F$3143='Gastos das Atividades'!$B23),-('Gastos das Atividades'!AE$3&gt;='Gastos Gerais'!$D$4:$D$3143),-('Gastos das Atividades'!AE$3&lt;='Gastos Gerais'!$E$4:$E$3143),-('Gastos Gerais'!$C$4:$C$3143)))</f>
        <v>70339.25</v>
      </c>
      <c r="AF23" s="134">
        <f>IF($B23="",0,SUMPRODUCT(-('Gastos Gerais'!$F$4:$F$3143='Gastos das Atividades'!$B23),-('Gastos das Atividades'!AF$3&gt;='Gastos Gerais'!$D$4:$D$3143),-('Gastos das Atividades'!AF$3&lt;='Gastos Gerais'!$E$4:$E$3143),-('Gastos Gerais'!$C$4:$C$3143)))</f>
        <v>69089.25</v>
      </c>
      <c r="AG23" s="134">
        <f>IF($B23="",0,SUMPRODUCT(-('Gastos Gerais'!$F$4:$F$3143='Gastos das Atividades'!$B23),-('Gastos das Atividades'!AG$3&gt;='Gastos Gerais'!$D$4:$D$3143),-('Gastos das Atividades'!AG$3&lt;='Gastos Gerais'!$E$4:$E$3143),-('Gastos Gerais'!$C$4:$C$3143)))</f>
        <v>69089.25</v>
      </c>
      <c r="AH23" s="134">
        <f>IF($B23="",0,SUMPRODUCT(-('Gastos Gerais'!$F$4:$F$3143='Gastos das Atividades'!$B23),-('Gastos das Atividades'!AH$3&gt;='Gastos Gerais'!$D$4:$D$3143),-('Gastos das Atividades'!AH$3&lt;='Gastos Gerais'!$E$4:$E$3143),-('Gastos Gerais'!$C$4:$C$3143)))</f>
        <v>68243.25</v>
      </c>
      <c r="AI23" s="134">
        <f>IF($B23="",0,SUMPRODUCT(-('Gastos Gerais'!$F$4:$F$3143='Gastos das Atividades'!$B23),-('Gastos das Atividades'!AI$3&gt;='Gastos Gerais'!$D$4:$D$3143),-('Gastos das Atividades'!AI$3&lt;='Gastos Gerais'!$E$4:$E$3143),-('Gastos Gerais'!$C$4:$C$3143)))</f>
        <v>68243.25</v>
      </c>
      <c r="AJ23" s="134">
        <f>IF($B23="",0,SUMPRODUCT(-('Gastos Gerais'!$F$4:$F$3143='Gastos das Atividades'!$B23),-('Gastos das Atividades'!AJ$3&gt;='Gastos Gerais'!$D$4:$D$3143),-('Gastos das Atividades'!AJ$3&lt;='Gastos Gerais'!$E$4:$E$3143),-('Gastos Gerais'!$C$4:$C$3143)))</f>
        <v>68243.25</v>
      </c>
      <c r="AK23" s="134">
        <f>IF($B23="",0,SUMPRODUCT(-('Gastos Gerais'!$F$4:$F$3143='Gastos das Atividades'!$B23),-('Gastos das Atividades'!AK$3&gt;='Gastos Gerais'!$D$4:$D$3143),-('Gastos das Atividades'!AK$3&lt;='Gastos Gerais'!$E$4:$E$3143),-('Gastos Gerais'!$C$4:$C$3143)))</f>
        <v>68243.25</v>
      </c>
      <c r="AL23" s="134">
        <f>IF($B23="",0,SUMPRODUCT(-('Gastos Gerais'!$F$4:$F$3143='Gastos das Atividades'!$B23),-('Gastos das Atividades'!AL$3&gt;='Gastos Gerais'!$D$4:$D$3143),-('Gastos das Atividades'!AL$3&lt;='Gastos Gerais'!$E$4:$E$3143),-('Gastos Gerais'!$C$4:$C$3143)))</f>
        <v>69089.25</v>
      </c>
      <c r="AM23" s="134">
        <f>IF($B23="",0,SUMPRODUCT(-('Gastos Gerais'!$F$4:$F$3143='Gastos das Atividades'!$B23),-('Gastos das Atividades'!AM$3&gt;='Gastos Gerais'!$D$4:$D$3143),-('Gastos das Atividades'!AM$3&lt;='Gastos Gerais'!$E$4:$E$3143),-('Gastos Gerais'!$C$4:$C$3143)))</f>
        <v>69089.25</v>
      </c>
      <c r="AN23" s="134">
        <f>IF($B23="",0,SUMPRODUCT(-('Gastos Gerais'!$F$4:$F$3143='Gastos das Atividades'!$B23),-('Gastos das Atividades'!AN$3&gt;='Gastos Gerais'!$D$4:$D$3143),-('Gastos das Atividades'!AN$3&lt;='Gastos Gerais'!$E$4:$E$3143),-('Gastos Gerais'!$C$4:$C$3143)))</f>
        <v>73431.412500000006</v>
      </c>
      <c r="AO23" s="134">
        <f>IF($B23="",0,SUMPRODUCT(-('Gastos Gerais'!$F$4:$F$3143='Gastos das Atividades'!$B23),-('Gastos das Atividades'!AO$3&gt;='Gastos Gerais'!$D$4:$D$3143),-('Gastos das Atividades'!AO$3&lt;='Gastos Gerais'!$E$4:$E$3143),-('Gastos Gerais'!$C$4:$C$3143)))</f>
        <v>71931.412500000006</v>
      </c>
      <c r="AP23" s="134">
        <f>IF($B23="",0,SUMPRODUCT(-('Gastos Gerais'!$F$4:$F$3143='Gastos das Atividades'!$B23),-('Gastos das Atividades'!AP$3&gt;='Gastos Gerais'!$D$4:$D$3143),-('Gastos das Atividades'!AP$3&lt;='Gastos Gerais'!$E$4:$E$3143),-('Gastos Gerais'!$C$4:$C$3143)))</f>
        <v>71931.412500000006</v>
      </c>
      <c r="AQ23" s="134">
        <f>IF($B23="",0,SUMPRODUCT(-('Gastos Gerais'!$F$4:$F$3143='Gastos das Atividades'!$B23),-('Gastos das Atividades'!AQ$3&gt;='Gastos Gerais'!$D$4:$D$3143),-('Gastos das Atividades'!AQ$3&lt;='Gastos Gerais'!$E$4:$E$3143),-('Gastos Gerais'!$C$4:$C$3143)))</f>
        <v>70631.412500000006</v>
      </c>
      <c r="AR23" s="134">
        <f>IF($B23="",0,SUMPRODUCT(-('Gastos Gerais'!$F$4:$F$3143='Gastos das Atividades'!$B23),-('Gastos das Atividades'!AR$3&gt;='Gastos Gerais'!$D$4:$D$3143),-('Gastos das Atividades'!AR$3&lt;='Gastos Gerais'!$E$4:$E$3143),-('Gastos Gerais'!$C$4:$C$3143)))</f>
        <v>69381.412500000006</v>
      </c>
      <c r="AS23" s="134">
        <f>IF($B23="",0,SUMPRODUCT(-('Gastos Gerais'!$F$4:$F$3143='Gastos das Atividades'!$B23),-('Gastos das Atividades'!AS$3&gt;='Gastos Gerais'!$D$4:$D$3143),-('Gastos das Atividades'!AS$3&lt;='Gastos Gerais'!$E$4:$E$3143),-('Gastos Gerais'!$C$4:$C$3143)))</f>
        <v>69381.412500000006</v>
      </c>
      <c r="AT23" s="134">
        <f>IF($B23="",0,SUMPRODUCT(-('Gastos Gerais'!$F$4:$F$3143='Gastos das Atividades'!$B23),-('Gastos das Atividades'!AT$3&gt;='Gastos Gerais'!$D$4:$D$3143),-('Gastos das Atividades'!AT$3&lt;='Gastos Gerais'!$E$4:$E$3143),-('Gastos Gerais'!$C$4:$C$3143)))</f>
        <v>68535.412500000006</v>
      </c>
      <c r="AU23" s="134">
        <f>IF($B23="",0,SUMPRODUCT(-('Gastos Gerais'!$F$4:$F$3143='Gastos das Atividades'!$B23),-('Gastos das Atividades'!AU$3&gt;='Gastos Gerais'!$D$4:$D$3143),-('Gastos das Atividades'!AU$3&lt;='Gastos Gerais'!$E$4:$E$3143),-('Gastos Gerais'!$C$4:$C$3143)))</f>
        <v>68535.412500000006</v>
      </c>
      <c r="AV23" s="134">
        <f>IF($B23="",0,SUMPRODUCT(-('Gastos Gerais'!$F$4:$F$3143='Gastos das Atividades'!$B23),-('Gastos das Atividades'!AV$3&gt;='Gastos Gerais'!$D$4:$D$3143),-('Gastos das Atividades'!AV$3&lt;='Gastos Gerais'!$E$4:$E$3143),-('Gastos Gerais'!$C$4:$C$3143)))</f>
        <v>68535.412500000006</v>
      </c>
      <c r="AW23" s="134">
        <f>IF($B23="",0,SUMPRODUCT(-('Gastos Gerais'!$F$4:$F$3143='Gastos das Atividades'!$B23),-('Gastos das Atividades'!AW$3&gt;='Gastos Gerais'!$D$4:$D$3143),-('Gastos das Atividades'!AW$3&lt;='Gastos Gerais'!$E$4:$E$3143),-('Gastos Gerais'!$C$4:$C$3143)))</f>
        <v>68535.412500000006</v>
      </c>
      <c r="AX23" s="134">
        <f>IF($B23="",0,SUMPRODUCT(-('Gastos Gerais'!$F$4:$F$3143='Gastos das Atividades'!$B23),-('Gastos das Atividades'!AX$3&gt;='Gastos Gerais'!$D$4:$D$3143),-('Gastos das Atividades'!AX$3&lt;='Gastos Gerais'!$E$4:$E$3143),-('Gastos Gerais'!$C$4:$C$3143)))</f>
        <v>69035.412500000006</v>
      </c>
      <c r="AY23" s="134">
        <f>IF($B23="",0,SUMPRODUCT(-('Gastos Gerais'!$F$4:$F$3143='Gastos das Atividades'!$B23),-('Gastos das Atividades'!AY$3&gt;='Gastos Gerais'!$D$4:$D$3143),-('Gastos das Atividades'!AY$3&lt;='Gastos Gerais'!$E$4:$E$3143),-('Gastos Gerais'!$C$4:$C$3143)))</f>
        <v>69035.412500000006</v>
      </c>
      <c r="AZ23" s="134">
        <f>IF($B23="",0,SUMPRODUCT(-('Gastos Gerais'!$F$4:$F$3143='Gastos das Atividades'!$B23),-('Gastos das Atividades'!AZ$3&gt;='Gastos Gerais'!$D$4:$D$3143),-('Gastos das Atividades'!AZ$3&lt;='Gastos Gerais'!$E$4:$E$3143),-('Gastos Gerais'!$C$4:$C$3143)))</f>
        <v>42789</v>
      </c>
      <c r="BA23" s="134">
        <f>IF($B23="",0,SUMPRODUCT(-('Gastos Gerais'!$F$4:$F$3143='Gastos das Atividades'!$B23),-('Gastos das Atividades'!BA$3&gt;='Gastos Gerais'!$D$4:$D$3143),-('Gastos das Atividades'!BA$3&lt;='Gastos Gerais'!$E$4:$E$3143),-('Gastos Gerais'!$C$4:$C$3143)))</f>
        <v>40039</v>
      </c>
      <c r="BB23" s="134">
        <f>IF($B23="",0,SUMPRODUCT(-('Gastos Gerais'!$F$4:$F$3143='Gastos das Atividades'!$B23),-('Gastos das Atividades'!BB$3&gt;='Gastos Gerais'!$D$4:$D$3143),-('Gastos das Atividades'!BB$3&lt;='Gastos Gerais'!$E$4:$E$3143),-('Gastos Gerais'!$C$4:$C$3143)))</f>
        <v>39389</v>
      </c>
      <c r="BC23" s="134">
        <f>IF($B23="",0,SUMPRODUCT(-('Gastos Gerais'!$F$4:$F$3143='Gastos das Atividades'!$B23),-('Gastos das Atividades'!BC$3&gt;='Gastos Gerais'!$D$4:$D$3143),-('Gastos das Atividades'!BC$3&lt;='Gastos Gerais'!$E$4:$E$3143),-('Gastos Gerais'!$C$4:$C$3143)))</f>
        <v>38639</v>
      </c>
      <c r="BD23" s="134">
        <f>IF($B23="",0,SUMPRODUCT(-('Gastos Gerais'!$F$4:$F$3143='Gastos das Atividades'!$B23),-('Gastos das Atividades'!BD$3&gt;='Gastos Gerais'!$D$4:$D$3143),-('Gastos das Atividades'!BD$3&lt;='Gastos Gerais'!$E$4:$E$3143),-('Gastos Gerais'!$C$4:$C$3143)))</f>
        <v>37859</v>
      </c>
      <c r="BE23" s="134">
        <f>IF($B23="",0,SUMPRODUCT(-('Gastos Gerais'!$F$4:$F$3143='Gastos das Atividades'!$B23),-('Gastos das Atividades'!BE$3&gt;='Gastos Gerais'!$D$4:$D$3143),-('Gastos das Atividades'!BE$3&lt;='Gastos Gerais'!$E$4:$E$3143),-('Gastos Gerais'!$C$4:$C$3143)))</f>
        <v>37859</v>
      </c>
      <c r="BF23" s="134">
        <f>IF($B23="",0,SUMPRODUCT(-('Gastos Gerais'!$F$4:$F$3143='Gastos das Atividades'!$B23),-('Gastos das Atividades'!BF$3&gt;='Gastos Gerais'!$D$4:$D$3143),-('Gastos das Atividades'!BF$3&lt;='Gastos Gerais'!$E$4:$E$3143),-('Gastos Gerais'!$C$4:$C$3143)))</f>
        <v>37359</v>
      </c>
      <c r="BG23" s="134">
        <f>IF($B23="",0,SUMPRODUCT(-('Gastos Gerais'!$F$4:$F$3143='Gastos das Atividades'!$B23),-('Gastos das Atividades'!BG$3&gt;='Gastos Gerais'!$D$4:$D$3143),-('Gastos das Atividades'!BG$3&lt;='Gastos Gerais'!$E$4:$E$3143),-('Gastos Gerais'!$C$4:$C$3143)))</f>
        <v>37359</v>
      </c>
      <c r="BH23" s="134">
        <f>IF($B23="",0,SUMPRODUCT(-('Gastos Gerais'!$F$4:$F$3143='Gastos das Atividades'!$B23),-('Gastos das Atividades'!BH$3&gt;='Gastos Gerais'!$D$4:$D$3143),-('Gastos das Atividades'!BH$3&lt;='Gastos Gerais'!$E$4:$E$3143),-('Gastos Gerais'!$C$4:$C$3143)))</f>
        <v>37359</v>
      </c>
      <c r="BI23" s="134">
        <f>IF($B23="",0,SUMPRODUCT(-('Gastos Gerais'!$F$4:$F$3143='Gastos das Atividades'!$B23),-('Gastos das Atividades'!BI$3&gt;='Gastos Gerais'!$D$4:$D$3143),-('Gastos das Atividades'!BI$3&lt;='Gastos Gerais'!$E$4:$E$3143),-('Gastos Gerais'!$C$4:$C$3143)))</f>
        <v>37359</v>
      </c>
      <c r="BJ23" s="134">
        <f>IF($B23="",0,SUMPRODUCT(-('Gastos Gerais'!$F$4:$F$3143='Gastos das Atividades'!$B23),-('Gastos das Atividades'!BJ$3&gt;='Gastos Gerais'!$D$4:$D$3143),-('Gastos das Atividades'!BJ$3&lt;='Gastos Gerais'!$E$4:$E$3143),-('Gastos Gerais'!$C$4:$C$3143)))</f>
        <v>37359</v>
      </c>
      <c r="BK23" s="134">
        <f>IF($B23="",0,SUMPRODUCT(-('Gastos Gerais'!$F$4:$F$3143='Gastos das Atividades'!$B23),-('Gastos das Atividades'!BK$3&gt;='Gastos Gerais'!$D$4:$D$3143),-('Gastos das Atividades'!BK$3&lt;='Gastos Gerais'!$E$4:$E$3143),-('Gastos Gerais'!$C$4:$C$3143)))</f>
        <v>0</v>
      </c>
      <c r="BL23" s="134">
        <f>IF($B23="",0,SUMPRODUCT(-('Gastos Gerais'!$F$4:$F$3143='Gastos das Atividades'!$B23),-('Gastos das Atividades'!BL$3&gt;='Gastos Gerais'!$D$4:$D$3143),-('Gastos das Atividades'!BL$3&lt;='Gastos Gerais'!$E$4:$E$3143),-('Gastos Gerais'!$C$4:$C$3143)))</f>
        <v>0</v>
      </c>
      <c r="BM23" s="134">
        <f>IF($B23="",0,SUMPRODUCT(-('Gastos Gerais'!$F$4:$F$3143='Gastos das Atividades'!$B23),-('Gastos das Atividades'!BM$3&gt;='Gastos Gerais'!$D$4:$D$3143),-('Gastos das Atividades'!BM$3&lt;='Gastos Gerais'!$E$4:$E$3143),-('Gastos Gerais'!$C$4:$C$3143)))</f>
        <v>0</v>
      </c>
      <c r="BN23" s="134">
        <f>IF($B23="",0,SUMPRODUCT(-('Gastos Gerais'!$F$4:$F$3143='Gastos das Atividades'!$B23),-('Gastos das Atividades'!BN$3&gt;='Gastos Gerais'!$D$4:$D$3143),-('Gastos das Atividades'!BN$3&lt;='Gastos Gerais'!$E$4:$E$3143),-('Gastos Gerais'!$C$4:$C$3143)))</f>
        <v>0</v>
      </c>
      <c r="BO23" s="134">
        <f>IF($B23="",0,SUMPRODUCT(-('Gastos Gerais'!$F$4:$F$3143='Gastos das Atividades'!$B23),-('Gastos das Atividades'!BO$3&gt;='Gastos Gerais'!$D$4:$D$3143),-('Gastos das Atividades'!BO$3&lt;='Gastos Gerais'!$E$4:$E$3143),-('Gastos Gerais'!$C$4:$C$3143)))</f>
        <v>0</v>
      </c>
      <c r="BP23" s="134">
        <f>IF($B23="",0,SUMPRODUCT(-('Gastos Gerais'!$F$4:$F$3143='Gastos das Atividades'!$B23),-('Gastos das Atividades'!BP$3&gt;='Gastos Gerais'!$D$4:$D$3143),-('Gastos das Atividades'!BP$3&lt;='Gastos Gerais'!$E$4:$E$3143),-('Gastos Gerais'!$C$4:$C$3143)))</f>
        <v>0</v>
      </c>
      <c r="BQ23" s="134">
        <f>IF($B23="",0,SUMPRODUCT(-('Gastos Gerais'!$F$4:$F$3143='Gastos das Atividades'!$B23),-('Gastos das Atividades'!BQ$3&gt;='Gastos Gerais'!$D$4:$D$3143),-('Gastos das Atividades'!BQ$3&lt;='Gastos Gerais'!$E$4:$E$3143),-('Gastos Gerais'!$C$4:$C$3143)))</f>
        <v>0</v>
      </c>
      <c r="BR23" s="134">
        <f>IF($B23="",0,SUMPRODUCT(-('Gastos Gerais'!$F$4:$F$3143='Gastos das Atividades'!$B23),-('Gastos das Atividades'!BR$3&gt;='Gastos Gerais'!$D$4:$D$3143),-('Gastos das Atividades'!BR$3&lt;='Gastos Gerais'!$E$4:$E$3143),-('Gastos Gerais'!$C$4:$C$3143)))</f>
        <v>0</v>
      </c>
      <c r="BS23" s="134">
        <f>IF($B23="",0,SUMPRODUCT(-('Gastos Gerais'!$F$4:$F$3143='Gastos das Atividades'!$B23),-('Gastos das Atividades'!BS$3&gt;='Gastos Gerais'!$D$4:$D$3143),-('Gastos das Atividades'!BS$3&lt;='Gastos Gerais'!$E$4:$E$3143),-('Gastos Gerais'!$C$4:$C$3143)))</f>
        <v>0</v>
      </c>
      <c r="BT23" s="134">
        <f>IF($B23="",0,SUMPRODUCT(-('Gastos Gerais'!$F$4:$F$3143='Gastos das Atividades'!$B23),-('Gastos das Atividades'!BT$3&gt;='Gastos Gerais'!$D$4:$D$3143),-('Gastos das Atividades'!BT$3&lt;='Gastos Gerais'!$E$4:$E$3143),-('Gastos Gerais'!$C$4:$C$3143)))</f>
        <v>0</v>
      </c>
      <c r="BU23" s="134">
        <f>IF($B23="",0,SUMPRODUCT(-('Gastos Gerais'!$F$4:$F$3143='Gastos das Atividades'!$B23),-('Gastos das Atividades'!BU$3&gt;='Gastos Gerais'!$D$4:$D$3143),-('Gastos das Atividades'!BU$3&lt;='Gastos Gerais'!$E$4:$E$3143),-('Gastos Gerais'!$C$4:$C$3143)))</f>
        <v>0</v>
      </c>
      <c r="BV23" s="134">
        <f>IF($B23="",0,SUMPRODUCT(-('Gastos Gerais'!$F$4:$F$3143='Gastos das Atividades'!$B23),-('Gastos das Atividades'!BV$3&gt;='Gastos Gerais'!$D$4:$D$3143),-('Gastos das Atividades'!BV$3&lt;='Gastos Gerais'!$E$4:$E$3143),-('Gastos Gerais'!$C$4:$C$3143)))</f>
        <v>0</v>
      </c>
      <c r="BW23" s="134">
        <f>IF($B23="",0,SUMPRODUCT(-('Gastos Gerais'!$F$4:$F$3143='Gastos das Atividades'!$B23),-('Gastos das Atividades'!BW$3&gt;='Gastos Gerais'!$D$4:$D$3143),-('Gastos das Atividades'!BW$3&lt;='Gastos Gerais'!$E$4:$E$3143),-('Gastos Gerais'!$C$4:$C$3143)))</f>
        <v>0</v>
      </c>
    </row>
    <row r="24" spans="1:75">
      <c r="A24" s="138">
        <v>21</v>
      </c>
      <c r="B24" s="139" t="s">
        <v>688</v>
      </c>
      <c r="C24" s="132">
        <v>0</v>
      </c>
      <c r="D24" s="133">
        <f t="shared" si="0"/>
        <v>967392</v>
      </c>
      <c r="E24" s="134">
        <f t="shared" si="1"/>
        <v>862804</v>
      </c>
      <c r="F24" s="134">
        <f t="shared" si="1"/>
        <v>865557.5</v>
      </c>
      <c r="G24" s="134">
        <f t="shared" si="1"/>
        <v>461759</v>
      </c>
      <c r="H24" s="134">
        <f t="shared" si="1"/>
        <v>0</v>
      </c>
      <c r="I24" s="135">
        <f t="shared" si="2"/>
        <v>3157512.5</v>
      </c>
      <c r="J24" s="136">
        <f t="shared" si="3"/>
        <v>1.3371085555724133E-2</v>
      </c>
      <c r="K24" s="136">
        <f t="shared" si="4"/>
        <v>1.1925492563325937E-2</v>
      </c>
      <c r="L24" s="136">
        <f t="shared" si="5"/>
        <v>1.1963550852083428E-2</v>
      </c>
      <c r="M24" s="136">
        <f t="shared" si="6"/>
        <v>6.3823342503614043E-3</v>
      </c>
      <c r="N24" s="136">
        <f t="shared" si="7"/>
        <v>0</v>
      </c>
      <c r="O24" s="137">
        <f t="shared" si="8"/>
        <v>4.3642463221494905E-2</v>
      </c>
      <c r="P24" s="134">
        <f>IF($B24="",0,SUMPRODUCT(-('Gastos Gerais'!$F$4:$F$3143='Gastos das Atividades'!$B24),-('Gastos das Atividades'!P$3&gt;='Gastos Gerais'!$D$4:$D$3143),-('Gastos das Atividades'!P$3&lt;='Gastos Gerais'!$E$4:$E$3143),-('Gastos Gerais'!$C$4:$C$3143)))</f>
        <v>245180</v>
      </c>
      <c r="Q24" s="134">
        <f>IF($B24="",0,SUMPRODUCT(-('Gastos Gerais'!$F$4:$F$3143='Gastos das Atividades'!$B24),-('Gastos das Atividades'!Q$3&gt;='Gastos Gerais'!$D$4:$D$3143),-('Gastos das Atividades'!Q$3&lt;='Gastos Gerais'!$E$4:$E$3143),-('Gastos Gerais'!$C$4:$C$3143)))</f>
        <v>17490</v>
      </c>
      <c r="R24" s="134">
        <f>IF($B24="",0,SUMPRODUCT(-('Gastos Gerais'!$F$4:$F$3143='Gastos das Atividades'!$B24),-('Gastos das Atividades'!R$3&gt;='Gastos Gerais'!$D$4:$D$3143),-('Gastos das Atividades'!R$3&lt;='Gastos Gerais'!$E$4:$E$3143),-('Gastos Gerais'!$C$4:$C$3143)))</f>
        <v>72046</v>
      </c>
      <c r="S24" s="134">
        <f>IF($B24="",0,SUMPRODUCT(-('Gastos Gerais'!$F$4:$F$3143='Gastos das Atividades'!$B24),-('Gastos das Atividades'!S$3&gt;='Gastos Gerais'!$D$4:$D$3143),-('Gastos das Atividades'!S$3&lt;='Gastos Gerais'!$E$4:$E$3143),-('Gastos Gerais'!$C$4:$C$3143)))</f>
        <v>69096</v>
      </c>
      <c r="T24" s="134">
        <f>IF($B24="",0,SUMPRODUCT(-('Gastos Gerais'!$F$4:$F$3143='Gastos das Atividades'!$B24),-('Gastos das Atividades'!T$3&gt;='Gastos Gerais'!$D$4:$D$3143),-('Gastos das Atividades'!T$3&lt;='Gastos Gerais'!$E$4:$E$3143),-('Gastos Gerais'!$C$4:$C$3143)))</f>
        <v>69096</v>
      </c>
      <c r="U24" s="134">
        <f>IF($B24="",0,SUMPRODUCT(-('Gastos Gerais'!$F$4:$F$3143='Gastos das Atividades'!$B24),-('Gastos das Atividades'!U$3&gt;='Gastos Gerais'!$D$4:$D$3143),-('Gastos das Atividades'!U$3&lt;='Gastos Gerais'!$E$4:$E$3143),-('Gastos Gerais'!$C$4:$C$3143)))</f>
        <v>71896</v>
      </c>
      <c r="V24" s="134">
        <f>IF($B24="",0,SUMPRODUCT(-('Gastos Gerais'!$F$4:$F$3143='Gastos das Atividades'!$B24),-('Gastos das Atividades'!V$3&gt;='Gastos Gerais'!$D$4:$D$3143),-('Gastos das Atividades'!V$3&lt;='Gastos Gerais'!$E$4:$E$3143),-('Gastos Gerais'!$C$4:$C$3143)))</f>
        <v>71896</v>
      </c>
      <c r="W24" s="134">
        <f>IF($B24="",0,SUMPRODUCT(-('Gastos Gerais'!$F$4:$F$3143='Gastos das Atividades'!$B24),-('Gastos das Atividades'!W$3&gt;='Gastos Gerais'!$D$4:$D$3143),-('Gastos das Atividades'!W$3&lt;='Gastos Gerais'!$E$4:$E$3143),-('Gastos Gerais'!$C$4:$C$3143)))</f>
        <v>70646</v>
      </c>
      <c r="X24" s="134">
        <f>IF($B24="",0,SUMPRODUCT(-('Gastos Gerais'!$F$4:$F$3143='Gastos das Atividades'!$B24),-('Gastos das Atividades'!X$3&gt;='Gastos Gerais'!$D$4:$D$3143),-('Gastos das Atividades'!X$3&lt;='Gastos Gerais'!$E$4:$E$3143),-('Gastos Gerais'!$C$4:$C$3143)))</f>
        <v>70646</v>
      </c>
      <c r="Y24" s="134">
        <f>IF($B24="",0,SUMPRODUCT(-('Gastos Gerais'!$F$4:$F$3143='Gastos das Atividades'!$B24),-('Gastos das Atividades'!Y$3&gt;='Gastos Gerais'!$D$4:$D$3143),-('Gastos das Atividades'!Y$3&lt;='Gastos Gerais'!$E$4:$E$3143),-('Gastos Gerais'!$C$4:$C$3143)))</f>
        <v>69800</v>
      </c>
      <c r="Z24" s="134">
        <f>IF($B24="",0,SUMPRODUCT(-('Gastos Gerais'!$F$4:$F$3143='Gastos das Atividades'!$B24),-('Gastos das Atividades'!Z$3&gt;='Gastos Gerais'!$D$4:$D$3143),-('Gastos das Atividades'!Z$3&lt;='Gastos Gerais'!$E$4:$E$3143),-('Gastos Gerais'!$C$4:$C$3143)))</f>
        <v>69800</v>
      </c>
      <c r="AA24" s="134">
        <f>IF($B24="",0,SUMPRODUCT(-('Gastos Gerais'!$F$4:$F$3143='Gastos das Atividades'!$B24),-('Gastos das Atividades'!AA$3&gt;='Gastos Gerais'!$D$4:$D$3143),-('Gastos das Atividades'!AA$3&lt;='Gastos Gerais'!$E$4:$E$3143),-('Gastos Gerais'!$C$4:$C$3143)))</f>
        <v>69800</v>
      </c>
      <c r="AB24" s="134">
        <f>IF($B24="",0,SUMPRODUCT(-('Gastos Gerais'!$F$4:$F$3143='Gastos das Atividades'!$B24),-('Gastos das Atividades'!AB$3&gt;='Gastos Gerais'!$D$4:$D$3143),-('Gastos das Atividades'!AB$3&lt;='Gastos Gerais'!$E$4:$E$3143),-('Gastos Gerais'!$C$4:$C$3143)))</f>
        <v>75168.5</v>
      </c>
      <c r="AC24" s="134">
        <f>IF($B24="",0,SUMPRODUCT(-('Gastos Gerais'!$F$4:$F$3143='Gastos das Atividades'!$B24),-('Gastos das Atividades'!AC$3&gt;='Gastos Gerais'!$D$4:$D$3143),-('Gastos das Atividades'!AC$3&lt;='Gastos Gerais'!$E$4:$E$3143),-('Gastos Gerais'!$C$4:$C$3143)))</f>
        <v>75668.5</v>
      </c>
      <c r="AD24" s="134">
        <f>IF($B24="",0,SUMPRODUCT(-('Gastos Gerais'!$F$4:$F$3143='Gastos das Atividades'!$B24),-('Gastos das Atividades'!AD$3&gt;='Gastos Gerais'!$D$4:$D$3143),-('Gastos das Atividades'!AD$3&lt;='Gastos Gerais'!$E$4:$E$3143),-('Gastos Gerais'!$C$4:$C$3143)))</f>
        <v>73668.5</v>
      </c>
      <c r="AE24" s="134">
        <f>IF($B24="",0,SUMPRODUCT(-('Gastos Gerais'!$F$4:$F$3143='Gastos das Atividades'!$B24),-('Gastos das Atividades'!AE$3&gt;='Gastos Gerais'!$D$4:$D$3143),-('Gastos das Atividades'!AE$3&lt;='Gastos Gerais'!$E$4:$E$3143),-('Gastos Gerais'!$C$4:$C$3143)))</f>
        <v>72368.5</v>
      </c>
      <c r="AF24" s="134">
        <f>IF($B24="",0,SUMPRODUCT(-('Gastos Gerais'!$F$4:$F$3143='Gastos das Atividades'!$B24),-('Gastos das Atividades'!AF$3&gt;='Gastos Gerais'!$D$4:$D$3143),-('Gastos das Atividades'!AF$3&lt;='Gastos Gerais'!$E$4:$E$3143),-('Gastos Gerais'!$C$4:$C$3143)))</f>
        <v>71522.5</v>
      </c>
      <c r="AG24" s="134">
        <f>IF($B24="",0,SUMPRODUCT(-('Gastos Gerais'!$F$4:$F$3143='Gastos das Atividades'!$B24),-('Gastos das Atividades'!AG$3&gt;='Gastos Gerais'!$D$4:$D$3143),-('Gastos das Atividades'!AG$3&lt;='Gastos Gerais'!$E$4:$E$3143),-('Gastos Gerais'!$C$4:$C$3143)))</f>
        <v>71522.5</v>
      </c>
      <c r="AH24" s="134">
        <f>IF($B24="",0,SUMPRODUCT(-('Gastos Gerais'!$F$4:$F$3143='Gastos das Atividades'!$B24),-('Gastos das Atividades'!AH$3&gt;='Gastos Gerais'!$D$4:$D$3143),-('Gastos das Atividades'!AH$3&lt;='Gastos Gerais'!$E$4:$E$3143),-('Gastos Gerais'!$C$4:$C$3143)))</f>
        <v>71522.5</v>
      </c>
      <c r="AI24" s="134">
        <f>IF($B24="",0,SUMPRODUCT(-('Gastos Gerais'!$F$4:$F$3143='Gastos das Atividades'!$B24),-('Gastos das Atividades'!AI$3&gt;='Gastos Gerais'!$D$4:$D$3143),-('Gastos das Atividades'!AI$3&lt;='Gastos Gerais'!$E$4:$E$3143),-('Gastos Gerais'!$C$4:$C$3143)))</f>
        <v>70272.5</v>
      </c>
      <c r="AJ24" s="134">
        <f>IF($B24="",0,SUMPRODUCT(-('Gastos Gerais'!$F$4:$F$3143='Gastos das Atividades'!$B24),-('Gastos das Atividades'!AJ$3&gt;='Gastos Gerais'!$D$4:$D$3143),-('Gastos das Atividades'!AJ$3&lt;='Gastos Gerais'!$E$4:$E$3143),-('Gastos Gerais'!$C$4:$C$3143)))</f>
        <v>70272.5</v>
      </c>
      <c r="AK24" s="134">
        <f>IF($B24="",0,SUMPRODUCT(-('Gastos Gerais'!$F$4:$F$3143='Gastos das Atividades'!$B24),-('Gastos das Atividades'!AK$3&gt;='Gastos Gerais'!$D$4:$D$3143),-('Gastos das Atividades'!AK$3&lt;='Gastos Gerais'!$E$4:$E$3143),-('Gastos Gerais'!$C$4:$C$3143)))</f>
        <v>70272.5</v>
      </c>
      <c r="AL24" s="134">
        <f>IF($B24="",0,SUMPRODUCT(-('Gastos Gerais'!$F$4:$F$3143='Gastos das Atividades'!$B24),-('Gastos das Atividades'!AL$3&gt;='Gastos Gerais'!$D$4:$D$3143),-('Gastos das Atividades'!AL$3&lt;='Gastos Gerais'!$E$4:$E$3143),-('Gastos Gerais'!$C$4:$C$3143)))</f>
        <v>70272.5</v>
      </c>
      <c r="AM24" s="134">
        <f>IF($B24="",0,SUMPRODUCT(-('Gastos Gerais'!$F$4:$F$3143='Gastos das Atividades'!$B24),-('Gastos das Atividades'!AM$3&gt;='Gastos Gerais'!$D$4:$D$3143),-('Gastos das Atividades'!AM$3&lt;='Gastos Gerais'!$E$4:$E$3143),-('Gastos Gerais'!$C$4:$C$3143)))</f>
        <v>70272.5</v>
      </c>
      <c r="AN24" s="134">
        <f>IF($B24="",0,SUMPRODUCT(-('Gastos Gerais'!$F$4:$F$3143='Gastos das Atividades'!$B24),-('Gastos das Atividades'!AN$3&gt;='Gastos Gerais'!$D$4:$D$3143),-('Gastos das Atividades'!AN$3&lt;='Gastos Gerais'!$E$4:$E$3143),-('Gastos Gerais'!$C$4:$C$3143)))</f>
        <v>75564.625</v>
      </c>
      <c r="AO24" s="134">
        <f>IF($B24="",0,SUMPRODUCT(-('Gastos Gerais'!$F$4:$F$3143='Gastos das Atividades'!$B24),-('Gastos das Atividades'!AO$3&gt;='Gastos Gerais'!$D$4:$D$3143),-('Gastos das Atividades'!AO$3&lt;='Gastos Gerais'!$E$4:$E$3143),-('Gastos Gerais'!$C$4:$C$3143)))</f>
        <v>74064.625</v>
      </c>
      <c r="AP24" s="134">
        <f>IF($B24="",0,SUMPRODUCT(-('Gastos Gerais'!$F$4:$F$3143='Gastos das Atividades'!$B24),-('Gastos das Atividades'!AP$3&gt;='Gastos Gerais'!$D$4:$D$3143),-('Gastos das Atividades'!AP$3&lt;='Gastos Gerais'!$E$4:$E$3143),-('Gastos Gerais'!$C$4:$C$3143)))</f>
        <v>74064.625</v>
      </c>
      <c r="AQ24" s="134">
        <f>IF($B24="",0,SUMPRODUCT(-('Gastos Gerais'!$F$4:$F$3143='Gastos das Atividades'!$B24),-('Gastos das Atividades'!AQ$3&gt;='Gastos Gerais'!$D$4:$D$3143),-('Gastos das Atividades'!AQ$3&lt;='Gastos Gerais'!$E$4:$E$3143),-('Gastos Gerais'!$C$4:$C$3143)))</f>
        <v>72764.625</v>
      </c>
      <c r="AR24" s="134">
        <f>IF($B24="",0,SUMPRODUCT(-('Gastos Gerais'!$F$4:$F$3143='Gastos das Atividades'!$B24),-('Gastos das Atividades'!AR$3&gt;='Gastos Gerais'!$D$4:$D$3143),-('Gastos das Atividades'!AR$3&lt;='Gastos Gerais'!$E$4:$E$3143),-('Gastos Gerais'!$C$4:$C$3143)))</f>
        <v>71918.625</v>
      </c>
      <c r="AS24" s="134">
        <f>IF($B24="",0,SUMPRODUCT(-('Gastos Gerais'!$F$4:$F$3143='Gastos das Atividades'!$B24),-('Gastos das Atividades'!AS$3&gt;='Gastos Gerais'!$D$4:$D$3143),-('Gastos das Atividades'!AS$3&lt;='Gastos Gerais'!$E$4:$E$3143),-('Gastos Gerais'!$C$4:$C$3143)))</f>
        <v>71918.625</v>
      </c>
      <c r="AT24" s="134">
        <f>IF($B24="",0,SUMPRODUCT(-('Gastos Gerais'!$F$4:$F$3143='Gastos das Atividades'!$B24),-('Gastos das Atividades'!AT$3&gt;='Gastos Gerais'!$D$4:$D$3143),-('Gastos das Atividades'!AT$3&lt;='Gastos Gerais'!$E$4:$E$3143),-('Gastos Gerais'!$C$4:$C$3143)))</f>
        <v>71918.625</v>
      </c>
      <c r="AU24" s="134">
        <f>IF($B24="",0,SUMPRODUCT(-('Gastos Gerais'!$F$4:$F$3143='Gastos das Atividades'!$B24),-('Gastos das Atividades'!AU$3&gt;='Gastos Gerais'!$D$4:$D$3143),-('Gastos das Atividades'!AU$3&lt;='Gastos Gerais'!$E$4:$E$3143),-('Gastos Gerais'!$C$4:$C$3143)))</f>
        <v>70668.625</v>
      </c>
      <c r="AV24" s="134">
        <f>IF($B24="",0,SUMPRODUCT(-('Gastos Gerais'!$F$4:$F$3143='Gastos das Atividades'!$B24),-('Gastos das Atividades'!AV$3&gt;='Gastos Gerais'!$D$4:$D$3143),-('Gastos das Atividades'!AV$3&lt;='Gastos Gerais'!$E$4:$E$3143),-('Gastos Gerais'!$C$4:$C$3143)))</f>
        <v>70668.625</v>
      </c>
      <c r="AW24" s="134">
        <f>IF($B24="",0,SUMPRODUCT(-('Gastos Gerais'!$F$4:$F$3143='Gastos das Atividades'!$B24),-('Gastos das Atividades'!AW$3&gt;='Gastos Gerais'!$D$4:$D$3143),-('Gastos das Atividades'!AW$3&lt;='Gastos Gerais'!$E$4:$E$3143),-('Gastos Gerais'!$C$4:$C$3143)))</f>
        <v>70668.625</v>
      </c>
      <c r="AX24" s="134">
        <f>IF($B24="",0,SUMPRODUCT(-('Gastos Gerais'!$F$4:$F$3143='Gastos das Atividades'!$B24),-('Gastos das Atividades'!AX$3&gt;='Gastos Gerais'!$D$4:$D$3143),-('Gastos das Atividades'!AX$3&lt;='Gastos Gerais'!$E$4:$E$3143),-('Gastos Gerais'!$C$4:$C$3143)))</f>
        <v>70668.625</v>
      </c>
      <c r="AY24" s="134">
        <f>IF($B24="",0,SUMPRODUCT(-('Gastos Gerais'!$F$4:$F$3143='Gastos das Atividades'!$B24),-('Gastos das Atividades'!AY$3&gt;='Gastos Gerais'!$D$4:$D$3143),-('Gastos das Atividades'!AY$3&lt;='Gastos Gerais'!$E$4:$E$3143),-('Gastos Gerais'!$C$4:$C$3143)))</f>
        <v>70668.625</v>
      </c>
      <c r="AZ24" s="134">
        <f>IF($B24="",0,SUMPRODUCT(-('Gastos Gerais'!$F$4:$F$3143='Gastos das Atividades'!$B24),-('Gastos das Atividades'!AZ$3&gt;='Gastos Gerais'!$D$4:$D$3143),-('Gastos das Atividades'!AZ$3&lt;='Gastos Gerais'!$E$4:$E$3143),-('Gastos Gerais'!$C$4:$C$3143)))</f>
        <v>44339</v>
      </c>
      <c r="BA24" s="134">
        <f>IF($B24="",0,SUMPRODUCT(-('Gastos Gerais'!$F$4:$F$3143='Gastos das Atividades'!$B24),-('Gastos das Atividades'!BA$3&gt;='Gastos Gerais'!$D$4:$D$3143),-('Gastos das Atividades'!BA$3&lt;='Gastos Gerais'!$E$4:$E$3143),-('Gastos Gerais'!$C$4:$C$3143)))</f>
        <v>43589</v>
      </c>
      <c r="BB24" s="134">
        <f>IF($B24="",0,SUMPRODUCT(-('Gastos Gerais'!$F$4:$F$3143='Gastos das Atividades'!$B24),-('Gastos das Atividades'!BB$3&gt;='Gastos Gerais'!$D$4:$D$3143),-('Gastos das Atividades'!BB$3&lt;='Gastos Gerais'!$E$4:$E$3143),-('Gastos Gerais'!$C$4:$C$3143)))</f>
        <v>42939</v>
      </c>
      <c r="BC24" s="134">
        <f>IF($B24="",0,SUMPRODUCT(-('Gastos Gerais'!$F$4:$F$3143='Gastos das Atividades'!$B24),-('Gastos das Atividades'!BC$3&gt;='Gastos Gerais'!$D$4:$D$3143),-('Gastos das Atividades'!BC$3&lt;='Gastos Gerais'!$E$4:$E$3143),-('Gastos Gerais'!$C$4:$C$3143)))</f>
        <v>42189</v>
      </c>
      <c r="BD24" s="134">
        <f>IF($B24="",0,SUMPRODUCT(-('Gastos Gerais'!$F$4:$F$3143='Gastos das Atividades'!$B24),-('Gastos das Atividades'!BD$3&gt;='Gastos Gerais'!$D$4:$D$3143),-('Gastos das Atividades'!BD$3&lt;='Gastos Gerais'!$E$4:$E$3143),-('Gastos Gerais'!$C$4:$C$3143)))</f>
        <v>41689</v>
      </c>
      <c r="BE24" s="134">
        <f>IF($B24="",0,SUMPRODUCT(-('Gastos Gerais'!$F$4:$F$3143='Gastos das Atividades'!$B24),-('Gastos das Atividades'!BE$3&gt;='Gastos Gerais'!$D$4:$D$3143),-('Gastos das Atividades'!BE$3&lt;='Gastos Gerais'!$E$4:$E$3143),-('Gastos Gerais'!$C$4:$C$3143)))</f>
        <v>41689</v>
      </c>
      <c r="BF24" s="134">
        <f>IF($B24="",0,SUMPRODUCT(-('Gastos Gerais'!$F$4:$F$3143='Gastos das Atividades'!$B24),-('Gastos das Atividades'!BF$3&gt;='Gastos Gerais'!$D$4:$D$3143),-('Gastos das Atividades'!BF$3&lt;='Gastos Gerais'!$E$4:$E$3143),-('Gastos Gerais'!$C$4:$C$3143)))</f>
        <v>41689</v>
      </c>
      <c r="BG24" s="134">
        <f>IF($B24="",0,SUMPRODUCT(-('Gastos Gerais'!$F$4:$F$3143='Gastos das Atividades'!$B24),-('Gastos das Atividades'!BG$3&gt;='Gastos Gerais'!$D$4:$D$3143),-('Gastos das Atividades'!BG$3&lt;='Gastos Gerais'!$E$4:$E$3143),-('Gastos Gerais'!$C$4:$C$3143)))</f>
        <v>40909</v>
      </c>
      <c r="BH24" s="134">
        <f>IF($B24="",0,SUMPRODUCT(-('Gastos Gerais'!$F$4:$F$3143='Gastos das Atividades'!$B24),-('Gastos das Atividades'!BH$3&gt;='Gastos Gerais'!$D$4:$D$3143),-('Gastos das Atividades'!BH$3&lt;='Gastos Gerais'!$E$4:$E$3143),-('Gastos Gerais'!$C$4:$C$3143)))</f>
        <v>40909</v>
      </c>
      <c r="BI24" s="134">
        <f>IF($B24="",0,SUMPRODUCT(-('Gastos Gerais'!$F$4:$F$3143='Gastos das Atividades'!$B24),-('Gastos das Atividades'!BI$3&gt;='Gastos Gerais'!$D$4:$D$3143),-('Gastos das Atividades'!BI$3&lt;='Gastos Gerais'!$E$4:$E$3143),-('Gastos Gerais'!$C$4:$C$3143)))</f>
        <v>40909</v>
      </c>
      <c r="BJ24" s="134">
        <f>IF($B24="",0,SUMPRODUCT(-('Gastos Gerais'!$F$4:$F$3143='Gastos das Atividades'!$B24),-('Gastos das Atividades'!BJ$3&gt;='Gastos Gerais'!$D$4:$D$3143),-('Gastos das Atividades'!BJ$3&lt;='Gastos Gerais'!$E$4:$E$3143),-('Gastos Gerais'!$C$4:$C$3143)))</f>
        <v>40909</v>
      </c>
      <c r="BK24" s="134">
        <f>IF($B24="",0,SUMPRODUCT(-('Gastos Gerais'!$F$4:$F$3143='Gastos das Atividades'!$B24),-('Gastos das Atividades'!BK$3&gt;='Gastos Gerais'!$D$4:$D$3143),-('Gastos das Atividades'!BK$3&lt;='Gastos Gerais'!$E$4:$E$3143),-('Gastos Gerais'!$C$4:$C$3143)))</f>
        <v>0</v>
      </c>
      <c r="BL24" s="134">
        <f>IF($B24="",0,SUMPRODUCT(-('Gastos Gerais'!$F$4:$F$3143='Gastos das Atividades'!$B24),-('Gastos das Atividades'!BL$3&gt;='Gastos Gerais'!$D$4:$D$3143),-('Gastos das Atividades'!BL$3&lt;='Gastos Gerais'!$E$4:$E$3143),-('Gastos Gerais'!$C$4:$C$3143)))</f>
        <v>0</v>
      </c>
      <c r="BM24" s="134">
        <f>IF($B24="",0,SUMPRODUCT(-('Gastos Gerais'!$F$4:$F$3143='Gastos das Atividades'!$B24),-('Gastos das Atividades'!BM$3&gt;='Gastos Gerais'!$D$4:$D$3143),-('Gastos das Atividades'!BM$3&lt;='Gastos Gerais'!$E$4:$E$3143),-('Gastos Gerais'!$C$4:$C$3143)))</f>
        <v>0</v>
      </c>
      <c r="BN24" s="134">
        <f>IF($B24="",0,SUMPRODUCT(-('Gastos Gerais'!$F$4:$F$3143='Gastos das Atividades'!$B24),-('Gastos das Atividades'!BN$3&gt;='Gastos Gerais'!$D$4:$D$3143),-('Gastos das Atividades'!BN$3&lt;='Gastos Gerais'!$E$4:$E$3143),-('Gastos Gerais'!$C$4:$C$3143)))</f>
        <v>0</v>
      </c>
      <c r="BO24" s="134">
        <f>IF($B24="",0,SUMPRODUCT(-('Gastos Gerais'!$F$4:$F$3143='Gastos das Atividades'!$B24),-('Gastos das Atividades'!BO$3&gt;='Gastos Gerais'!$D$4:$D$3143),-('Gastos das Atividades'!BO$3&lt;='Gastos Gerais'!$E$4:$E$3143),-('Gastos Gerais'!$C$4:$C$3143)))</f>
        <v>0</v>
      </c>
      <c r="BP24" s="134">
        <f>IF($B24="",0,SUMPRODUCT(-('Gastos Gerais'!$F$4:$F$3143='Gastos das Atividades'!$B24),-('Gastos das Atividades'!BP$3&gt;='Gastos Gerais'!$D$4:$D$3143),-('Gastos das Atividades'!BP$3&lt;='Gastos Gerais'!$E$4:$E$3143),-('Gastos Gerais'!$C$4:$C$3143)))</f>
        <v>0</v>
      </c>
      <c r="BQ24" s="134">
        <f>IF($B24="",0,SUMPRODUCT(-('Gastos Gerais'!$F$4:$F$3143='Gastos das Atividades'!$B24),-('Gastos das Atividades'!BQ$3&gt;='Gastos Gerais'!$D$4:$D$3143),-('Gastos das Atividades'!BQ$3&lt;='Gastos Gerais'!$E$4:$E$3143),-('Gastos Gerais'!$C$4:$C$3143)))</f>
        <v>0</v>
      </c>
      <c r="BR24" s="134">
        <f>IF($B24="",0,SUMPRODUCT(-('Gastos Gerais'!$F$4:$F$3143='Gastos das Atividades'!$B24),-('Gastos das Atividades'!BR$3&gt;='Gastos Gerais'!$D$4:$D$3143),-('Gastos das Atividades'!BR$3&lt;='Gastos Gerais'!$E$4:$E$3143),-('Gastos Gerais'!$C$4:$C$3143)))</f>
        <v>0</v>
      </c>
      <c r="BS24" s="134">
        <f>IF($B24="",0,SUMPRODUCT(-('Gastos Gerais'!$F$4:$F$3143='Gastos das Atividades'!$B24),-('Gastos das Atividades'!BS$3&gt;='Gastos Gerais'!$D$4:$D$3143),-('Gastos das Atividades'!BS$3&lt;='Gastos Gerais'!$E$4:$E$3143),-('Gastos Gerais'!$C$4:$C$3143)))</f>
        <v>0</v>
      </c>
      <c r="BT24" s="134">
        <f>IF($B24="",0,SUMPRODUCT(-('Gastos Gerais'!$F$4:$F$3143='Gastos das Atividades'!$B24),-('Gastos das Atividades'!BT$3&gt;='Gastos Gerais'!$D$4:$D$3143),-('Gastos das Atividades'!BT$3&lt;='Gastos Gerais'!$E$4:$E$3143),-('Gastos Gerais'!$C$4:$C$3143)))</f>
        <v>0</v>
      </c>
      <c r="BU24" s="134">
        <f>IF($B24="",0,SUMPRODUCT(-('Gastos Gerais'!$F$4:$F$3143='Gastos das Atividades'!$B24),-('Gastos das Atividades'!BU$3&gt;='Gastos Gerais'!$D$4:$D$3143),-('Gastos das Atividades'!BU$3&lt;='Gastos Gerais'!$E$4:$E$3143),-('Gastos Gerais'!$C$4:$C$3143)))</f>
        <v>0</v>
      </c>
      <c r="BV24" s="134">
        <f>IF($B24="",0,SUMPRODUCT(-('Gastos Gerais'!$F$4:$F$3143='Gastos das Atividades'!$B24),-('Gastos das Atividades'!BV$3&gt;='Gastos Gerais'!$D$4:$D$3143),-('Gastos das Atividades'!BV$3&lt;='Gastos Gerais'!$E$4:$E$3143),-('Gastos Gerais'!$C$4:$C$3143)))</f>
        <v>0</v>
      </c>
      <c r="BW24" s="134">
        <f>IF($B24="",0,SUMPRODUCT(-('Gastos Gerais'!$F$4:$F$3143='Gastos das Atividades'!$B24),-('Gastos das Atividades'!BW$3&gt;='Gastos Gerais'!$D$4:$D$3143),-('Gastos das Atividades'!BW$3&lt;='Gastos Gerais'!$E$4:$E$3143),-('Gastos Gerais'!$C$4:$C$3143)))</f>
        <v>0</v>
      </c>
    </row>
    <row r="25" spans="1:75">
      <c r="A25" s="138">
        <v>22</v>
      </c>
      <c r="B25" s="139" t="s">
        <v>689</v>
      </c>
      <c r="C25" s="132">
        <v>0</v>
      </c>
      <c r="D25" s="133">
        <f t="shared" si="0"/>
        <v>1146514</v>
      </c>
      <c r="E25" s="134">
        <f t="shared" si="1"/>
        <v>902534</v>
      </c>
      <c r="F25" s="134">
        <f t="shared" si="1"/>
        <v>910834</v>
      </c>
      <c r="G25" s="134">
        <f t="shared" si="1"/>
        <v>435909</v>
      </c>
      <c r="H25" s="134">
        <f t="shared" si="1"/>
        <v>0</v>
      </c>
      <c r="I25" s="135">
        <f t="shared" si="2"/>
        <v>3395791</v>
      </c>
      <c r="J25" s="136">
        <f t="shared" si="3"/>
        <v>1.5846871573090844E-2</v>
      </c>
      <c r="K25" s="136">
        <f t="shared" si="4"/>
        <v>1.2474632135628499E-2</v>
      </c>
      <c r="L25" s="136">
        <f t="shared" si="5"/>
        <v>1.258935296246241E-2</v>
      </c>
      <c r="M25" s="136">
        <f t="shared" si="6"/>
        <v>6.0250410728124185E-3</v>
      </c>
      <c r="N25" s="136">
        <f t="shared" si="7"/>
        <v>0</v>
      </c>
      <c r="O25" s="137">
        <f t="shared" si="8"/>
        <v>4.6935897743994169E-2</v>
      </c>
      <c r="P25" s="134">
        <f>IF($B25="",0,SUMPRODUCT(-('Gastos Gerais'!$F$4:$F$3143='Gastos das Atividades'!$B25),-('Gastos das Atividades'!P$3&gt;='Gastos Gerais'!$D$4:$D$3143),-('Gastos das Atividades'!P$3&lt;='Gastos Gerais'!$E$4:$E$3143),-('Gastos Gerais'!$C$4:$C$3143)))</f>
        <v>0</v>
      </c>
      <c r="Q25" s="134">
        <f>IF($B25="",0,SUMPRODUCT(-('Gastos Gerais'!$F$4:$F$3143='Gastos das Atividades'!$B25),-('Gastos das Atividades'!Q$3&gt;='Gastos Gerais'!$D$4:$D$3143),-('Gastos das Atividades'!Q$3&lt;='Gastos Gerais'!$E$4:$E$3143),-('Gastos Gerais'!$C$4:$C$3143)))</f>
        <v>0</v>
      </c>
      <c r="R25" s="134">
        <f>IF($B25="",0,SUMPRODUCT(-('Gastos Gerais'!$F$4:$F$3143='Gastos das Atividades'!$B25),-('Gastos das Atividades'!R$3&gt;='Gastos Gerais'!$D$4:$D$3143),-('Gastos das Atividades'!R$3&lt;='Gastos Gerais'!$E$4:$E$3143),-('Gastos Gerais'!$C$4:$C$3143)))</f>
        <v>0</v>
      </c>
      <c r="S25" s="134">
        <f>IF($B25="",0,SUMPRODUCT(-('Gastos Gerais'!$F$4:$F$3143='Gastos das Atividades'!$B25),-('Gastos das Atividades'!S$3&gt;='Gastos Gerais'!$D$4:$D$3143),-('Gastos das Atividades'!S$3&lt;='Gastos Gerais'!$E$4:$E$3143),-('Gastos Gerais'!$C$4:$C$3143)))</f>
        <v>308346</v>
      </c>
      <c r="T25" s="134">
        <f>IF($B25="",0,SUMPRODUCT(-('Gastos Gerais'!$F$4:$F$3143='Gastos das Atividades'!$B25),-('Gastos das Atividades'!T$3&gt;='Gastos Gerais'!$D$4:$D$3143),-('Gastos das Atividades'!T$3&lt;='Gastos Gerais'!$E$4:$E$3143),-('Gastos Gerais'!$C$4:$C$3143)))</f>
        <v>306846</v>
      </c>
      <c r="U25" s="134">
        <f>IF($B25="",0,SUMPRODUCT(-('Gastos Gerais'!$F$4:$F$3143='Gastos das Atividades'!$B25),-('Gastos das Atividades'!U$3&gt;='Gastos Gerais'!$D$4:$D$3143),-('Gastos das Atividades'!U$3&lt;='Gastos Gerais'!$E$4:$E$3143),-('Gastos Gerais'!$C$4:$C$3143)))</f>
        <v>76846</v>
      </c>
      <c r="V25" s="134">
        <f>IF($B25="",0,SUMPRODUCT(-('Gastos Gerais'!$F$4:$F$3143='Gastos das Atividades'!$B25),-('Gastos das Atividades'!V$3&gt;='Gastos Gerais'!$D$4:$D$3143),-('Gastos das Atividades'!V$3&lt;='Gastos Gerais'!$E$4:$E$3143),-('Gastos Gerais'!$C$4:$C$3143)))</f>
        <v>76746</v>
      </c>
      <c r="W25" s="134">
        <f>IF($B25="",0,SUMPRODUCT(-('Gastos Gerais'!$F$4:$F$3143='Gastos das Atividades'!$B25),-('Gastos das Atividades'!W$3&gt;='Gastos Gerais'!$D$4:$D$3143),-('Gastos das Atividades'!W$3&lt;='Gastos Gerais'!$E$4:$E$3143),-('Gastos Gerais'!$C$4:$C$3143)))</f>
        <v>76746</v>
      </c>
      <c r="X25" s="134">
        <f>IF($B25="",0,SUMPRODUCT(-('Gastos Gerais'!$F$4:$F$3143='Gastos das Atividades'!$B25),-('Gastos das Atividades'!X$3&gt;='Gastos Gerais'!$D$4:$D$3143),-('Gastos das Atividades'!X$3&lt;='Gastos Gerais'!$E$4:$E$3143),-('Gastos Gerais'!$C$4:$C$3143)))</f>
        <v>75246</v>
      </c>
      <c r="Y25" s="134">
        <f>IF($B25="",0,SUMPRODUCT(-('Gastos Gerais'!$F$4:$F$3143='Gastos das Atividades'!$B25),-('Gastos das Atividades'!Y$3&gt;='Gastos Gerais'!$D$4:$D$3143),-('Gastos das Atividades'!Y$3&lt;='Gastos Gerais'!$E$4:$E$3143),-('Gastos Gerais'!$C$4:$C$3143)))</f>
        <v>75246</v>
      </c>
      <c r="Z25" s="134">
        <f>IF($B25="",0,SUMPRODUCT(-('Gastos Gerais'!$F$4:$F$3143='Gastos das Atividades'!$B25),-('Gastos das Atividades'!Z$3&gt;='Gastos Gerais'!$D$4:$D$3143),-('Gastos das Atividades'!Z$3&lt;='Gastos Gerais'!$E$4:$E$3143),-('Gastos Gerais'!$C$4:$C$3143)))</f>
        <v>75246</v>
      </c>
      <c r="AA25" s="134">
        <f>IF($B25="",0,SUMPRODUCT(-('Gastos Gerais'!$F$4:$F$3143='Gastos das Atividades'!$B25),-('Gastos das Atividades'!AA$3&gt;='Gastos Gerais'!$D$4:$D$3143),-('Gastos das Atividades'!AA$3&lt;='Gastos Gerais'!$E$4:$E$3143),-('Gastos Gerais'!$C$4:$C$3143)))</f>
        <v>75246</v>
      </c>
      <c r="AB25" s="134">
        <f>IF($B25="",0,SUMPRODUCT(-('Gastos Gerais'!$F$4:$F$3143='Gastos das Atividades'!$B25),-('Gastos das Atividades'!AB$3&gt;='Gastos Gerais'!$D$4:$D$3143),-('Gastos das Atividades'!AB$3&lt;='Gastos Gerais'!$E$4:$E$3143),-('Gastos Gerais'!$C$4:$C$3143)))</f>
        <v>78646</v>
      </c>
      <c r="AC25" s="134">
        <f>IF($B25="",0,SUMPRODUCT(-('Gastos Gerais'!$F$4:$F$3143='Gastos das Atividades'!$B25),-('Gastos das Atividades'!AC$3&gt;='Gastos Gerais'!$D$4:$D$3143),-('Gastos das Atividades'!AC$3&lt;='Gastos Gerais'!$E$4:$E$3143),-('Gastos Gerais'!$C$4:$C$3143)))</f>
        <v>77146</v>
      </c>
      <c r="AD25" s="134">
        <f>IF($B25="",0,SUMPRODUCT(-('Gastos Gerais'!$F$4:$F$3143='Gastos das Atividades'!$B25),-('Gastos das Atividades'!AD$3&gt;='Gastos Gerais'!$D$4:$D$3143),-('Gastos das Atividades'!AD$3&lt;='Gastos Gerais'!$E$4:$E$3143),-('Gastos Gerais'!$C$4:$C$3143)))</f>
        <v>77146</v>
      </c>
      <c r="AE25" s="134">
        <f>IF($B25="",0,SUMPRODUCT(-('Gastos Gerais'!$F$4:$F$3143='Gastos das Atividades'!$B25),-('Gastos das Atividades'!AE$3&gt;='Gastos Gerais'!$D$4:$D$3143),-('Gastos das Atividades'!AE$3&lt;='Gastos Gerais'!$E$4:$E$3143),-('Gastos Gerais'!$C$4:$C$3143)))</f>
        <v>75846</v>
      </c>
      <c r="AF25" s="134">
        <f>IF($B25="",0,SUMPRODUCT(-('Gastos Gerais'!$F$4:$F$3143='Gastos das Atividades'!$B25),-('Gastos das Atividades'!AF$3&gt;='Gastos Gerais'!$D$4:$D$3143),-('Gastos das Atividades'!AF$3&lt;='Gastos Gerais'!$E$4:$E$3143),-('Gastos Gerais'!$C$4:$C$3143)))</f>
        <v>75000</v>
      </c>
      <c r="AG25" s="134">
        <f>IF($B25="",0,SUMPRODUCT(-('Gastos Gerais'!$F$4:$F$3143='Gastos das Atividades'!$B25),-('Gastos das Atividades'!AG$3&gt;='Gastos Gerais'!$D$4:$D$3143),-('Gastos das Atividades'!AG$3&lt;='Gastos Gerais'!$E$4:$E$3143),-('Gastos Gerais'!$C$4:$C$3143)))</f>
        <v>75000</v>
      </c>
      <c r="AH25" s="134">
        <f>IF($B25="",0,SUMPRODUCT(-('Gastos Gerais'!$F$4:$F$3143='Gastos das Atividades'!$B25),-('Gastos das Atividades'!AH$3&gt;='Gastos Gerais'!$D$4:$D$3143),-('Gastos das Atividades'!AH$3&lt;='Gastos Gerais'!$E$4:$E$3143),-('Gastos Gerais'!$C$4:$C$3143)))</f>
        <v>75000</v>
      </c>
      <c r="AI25" s="134">
        <f>IF($B25="",0,SUMPRODUCT(-('Gastos Gerais'!$F$4:$F$3143='Gastos das Atividades'!$B25),-('Gastos das Atividades'!AI$3&gt;='Gastos Gerais'!$D$4:$D$3143),-('Gastos das Atividades'!AI$3&lt;='Gastos Gerais'!$E$4:$E$3143),-('Gastos Gerais'!$C$4:$C$3143)))</f>
        <v>73750</v>
      </c>
      <c r="AJ25" s="134">
        <f>IF($B25="",0,SUMPRODUCT(-('Gastos Gerais'!$F$4:$F$3143='Gastos das Atividades'!$B25),-('Gastos das Atividades'!AJ$3&gt;='Gastos Gerais'!$D$4:$D$3143),-('Gastos das Atividades'!AJ$3&lt;='Gastos Gerais'!$E$4:$E$3143),-('Gastos Gerais'!$C$4:$C$3143)))</f>
        <v>73750</v>
      </c>
      <c r="AK25" s="134">
        <f>IF($B25="",0,SUMPRODUCT(-('Gastos Gerais'!$F$4:$F$3143='Gastos das Atividades'!$B25),-('Gastos das Atividades'!AK$3&gt;='Gastos Gerais'!$D$4:$D$3143),-('Gastos das Atividades'!AK$3&lt;='Gastos Gerais'!$E$4:$E$3143),-('Gastos Gerais'!$C$4:$C$3143)))</f>
        <v>73750</v>
      </c>
      <c r="AL25" s="134">
        <f>IF($B25="",0,SUMPRODUCT(-('Gastos Gerais'!$F$4:$F$3143='Gastos das Atividades'!$B25),-('Gastos das Atividades'!AL$3&gt;='Gastos Gerais'!$D$4:$D$3143),-('Gastos das Atividades'!AL$3&lt;='Gastos Gerais'!$E$4:$E$3143),-('Gastos Gerais'!$C$4:$C$3143)))</f>
        <v>73750</v>
      </c>
      <c r="AM25" s="134">
        <f>IF($B25="",0,SUMPRODUCT(-('Gastos Gerais'!$F$4:$F$3143='Gastos das Atividades'!$B25),-('Gastos das Atividades'!AM$3&gt;='Gastos Gerais'!$D$4:$D$3143),-('Gastos das Atividades'!AM$3&lt;='Gastos Gerais'!$E$4:$E$3143),-('Gastos Gerais'!$C$4:$C$3143)))</f>
        <v>73750</v>
      </c>
      <c r="AN25" s="134">
        <f>IF($B25="",0,SUMPRODUCT(-('Gastos Gerais'!$F$4:$F$3143='Gastos das Atividades'!$B25),-('Gastos das Atividades'!AN$3&gt;='Gastos Gerais'!$D$4:$D$3143),-('Gastos das Atividades'!AN$3&lt;='Gastos Gerais'!$E$4:$E$3143),-('Gastos Gerais'!$C$4:$C$3143)))</f>
        <v>79171</v>
      </c>
      <c r="AO25" s="134">
        <f>IF($B25="",0,SUMPRODUCT(-('Gastos Gerais'!$F$4:$F$3143='Gastos das Atividades'!$B25),-('Gastos das Atividades'!AO$3&gt;='Gastos Gerais'!$D$4:$D$3143),-('Gastos das Atividades'!AO$3&lt;='Gastos Gerais'!$E$4:$E$3143),-('Gastos Gerais'!$C$4:$C$3143)))</f>
        <v>79671</v>
      </c>
      <c r="AP25" s="134">
        <f>IF($B25="",0,SUMPRODUCT(-('Gastos Gerais'!$F$4:$F$3143='Gastos das Atividades'!$B25),-('Gastos das Atividades'!AP$3&gt;='Gastos Gerais'!$D$4:$D$3143),-('Gastos das Atividades'!AP$3&lt;='Gastos Gerais'!$E$4:$E$3143),-('Gastos Gerais'!$C$4:$C$3143)))</f>
        <v>77671</v>
      </c>
      <c r="AQ25" s="134">
        <f>IF($B25="",0,SUMPRODUCT(-('Gastos Gerais'!$F$4:$F$3143='Gastos das Atividades'!$B25),-('Gastos das Atividades'!AQ$3&gt;='Gastos Gerais'!$D$4:$D$3143),-('Gastos das Atividades'!AQ$3&lt;='Gastos Gerais'!$E$4:$E$3143),-('Gastos Gerais'!$C$4:$C$3143)))</f>
        <v>76371</v>
      </c>
      <c r="AR25" s="134">
        <f>IF($B25="",0,SUMPRODUCT(-('Gastos Gerais'!$F$4:$F$3143='Gastos das Atividades'!$B25),-('Gastos das Atividades'!AR$3&gt;='Gastos Gerais'!$D$4:$D$3143),-('Gastos das Atividades'!AR$3&lt;='Gastos Gerais'!$E$4:$E$3143),-('Gastos Gerais'!$C$4:$C$3143)))</f>
        <v>75525</v>
      </c>
      <c r="AS25" s="134">
        <f>IF($B25="",0,SUMPRODUCT(-('Gastos Gerais'!$F$4:$F$3143='Gastos das Atividades'!$B25),-('Gastos das Atividades'!AS$3&gt;='Gastos Gerais'!$D$4:$D$3143),-('Gastos das Atividades'!AS$3&lt;='Gastos Gerais'!$E$4:$E$3143),-('Gastos Gerais'!$C$4:$C$3143)))</f>
        <v>75525</v>
      </c>
      <c r="AT25" s="134">
        <f>IF($B25="",0,SUMPRODUCT(-('Gastos Gerais'!$F$4:$F$3143='Gastos das Atividades'!$B25),-('Gastos das Atividades'!AT$3&gt;='Gastos Gerais'!$D$4:$D$3143),-('Gastos das Atividades'!AT$3&lt;='Gastos Gerais'!$E$4:$E$3143),-('Gastos Gerais'!$C$4:$C$3143)))</f>
        <v>75525</v>
      </c>
      <c r="AU25" s="134">
        <f>IF($B25="",0,SUMPRODUCT(-('Gastos Gerais'!$F$4:$F$3143='Gastos das Atividades'!$B25),-('Gastos das Atividades'!AU$3&gt;='Gastos Gerais'!$D$4:$D$3143),-('Gastos das Atividades'!AU$3&lt;='Gastos Gerais'!$E$4:$E$3143),-('Gastos Gerais'!$C$4:$C$3143)))</f>
        <v>74275</v>
      </c>
      <c r="AV25" s="134">
        <f>IF($B25="",0,SUMPRODUCT(-('Gastos Gerais'!$F$4:$F$3143='Gastos das Atividades'!$B25),-('Gastos das Atividades'!AV$3&gt;='Gastos Gerais'!$D$4:$D$3143),-('Gastos das Atividades'!AV$3&lt;='Gastos Gerais'!$E$4:$E$3143),-('Gastos Gerais'!$C$4:$C$3143)))</f>
        <v>74275</v>
      </c>
      <c r="AW25" s="134">
        <f>IF($B25="",0,SUMPRODUCT(-('Gastos Gerais'!$F$4:$F$3143='Gastos das Atividades'!$B25),-('Gastos das Atividades'!AW$3&gt;='Gastos Gerais'!$D$4:$D$3143),-('Gastos das Atividades'!AW$3&lt;='Gastos Gerais'!$E$4:$E$3143),-('Gastos Gerais'!$C$4:$C$3143)))</f>
        <v>74275</v>
      </c>
      <c r="AX25" s="134">
        <f>IF($B25="",0,SUMPRODUCT(-('Gastos Gerais'!$F$4:$F$3143='Gastos das Atividades'!$B25),-('Gastos das Atividades'!AX$3&gt;='Gastos Gerais'!$D$4:$D$3143),-('Gastos das Atividades'!AX$3&lt;='Gastos Gerais'!$E$4:$E$3143),-('Gastos Gerais'!$C$4:$C$3143)))</f>
        <v>74275</v>
      </c>
      <c r="AY25" s="134">
        <f>IF($B25="",0,SUMPRODUCT(-('Gastos Gerais'!$F$4:$F$3143='Gastos das Atividades'!$B25),-('Gastos das Atividades'!AY$3&gt;='Gastos Gerais'!$D$4:$D$3143),-('Gastos das Atividades'!AY$3&lt;='Gastos Gerais'!$E$4:$E$3143),-('Gastos Gerais'!$C$4:$C$3143)))</f>
        <v>74275</v>
      </c>
      <c r="AZ25" s="134">
        <f>IF($B25="",0,SUMPRODUCT(-('Gastos Gerais'!$F$4:$F$3143='Gastos das Atividades'!$B25),-('Gastos das Atividades'!AZ$3&gt;='Gastos Gerais'!$D$4:$D$3143),-('Gastos das Atividades'!AZ$3&lt;='Gastos Gerais'!$E$4:$E$3143),-('Gastos Gerais'!$C$4:$C$3143)))</f>
        <v>41989</v>
      </c>
      <c r="BA25" s="134">
        <f>IF($B25="",0,SUMPRODUCT(-('Gastos Gerais'!$F$4:$F$3143='Gastos das Atividades'!$B25),-('Gastos das Atividades'!BA$3&gt;='Gastos Gerais'!$D$4:$D$3143),-('Gastos das Atividades'!BA$3&lt;='Gastos Gerais'!$E$4:$E$3143),-('Gastos Gerais'!$C$4:$C$3143)))</f>
        <v>41239</v>
      </c>
      <c r="BB25" s="134">
        <f>IF($B25="",0,SUMPRODUCT(-('Gastos Gerais'!$F$4:$F$3143='Gastos das Atividades'!$B25),-('Gastos das Atividades'!BB$3&gt;='Gastos Gerais'!$D$4:$D$3143),-('Gastos das Atividades'!BB$3&lt;='Gastos Gerais'!$E$4:$E$3143),-('Gastos Gerais'!$C$4:$C$3143)))</f>
        <v>40589</v>
      </c>
      <c r="BC25" s="134">
        <f>IF($B25="",0,SUMPRODUCT(-('Gastos Gerais'!$F$4:$F$3143='Gastos das Atividades'!$B25),-('Gastos das Atividades'!BC$3&gt;='Gastos Gerais'!$D$4:$D$3143),-('Gastos das Atividades'!BC$3&lt;='Gastos Gerais'!$E$4:$E$3143),-('Gastos Gerais'!$C$4:$C$3143)))</f>
        <v>39839</v>
      </c>
      <c r="BD25" s="134">
        <f>IF($B25="",0,SUMPRODUCT(-('Gastos Gerais'!$F$4:$F$3143='Gastos das Atividades'!$B25),-('Gastos das Atividades'!BD$3&gt;='Gastos Gerais'!$D$4:$D$3143),-('Gastos das Atividades'!BD$3&lt;='Gastos Gerais'!$E$4:$E$3143),-('Gastos Gerais'!$C$4:$C$3143)))</f>
        <v>39339</v>
      </c>
      <c r="BE25" s="134">
        <f>IF($B25="",0,SUMPRODUCT(-('Gastos Gerais'!$F$4:$F$3143='Gastos das Atividades'!$B25),-('Gastos das Atividades'!BE$3&gt;='Gastos Gerais'!$D$4:$D$3143),-('Gastos das Atividades'!BE$3&lt;='Gastos Gerais'!$E$4:$E$3143),-('Gastos Gerais'!$C$4:$C$3143)))</f>
        <v>39339</v>
      </c>
      <c r="BF25" s="134">
        <f>IF($B25="",0,SUMPRODUCT(-('Gastos Gerais'!$F$4:$F$3143='Gastos das Atividades'!$B25),-('Gastos das Atividades'!BF$3&gt;='Gastos Gerais'!$D$4:$D$3143),-('Gastos das Atividades'!BF$3&lt;='Gastos Gerais'!$E$4:$E$3143),-('Gastos Gerais'!$C$4:$C$3143)))</f>
        <v>39339</v>
      </c>
      <c r="BG25" s="134">
        <f>IF($B25="",0,SUMPRODUCT(-('Gastos Gerais'!$F$4:$F$3143='Gastos das Atividades'!$B25),-('Gastos das Atividades'!BG$3&gt;='Gastos Gerais'!$D$4:$D$3143),-('Gastos das Atividades'!BG$3&lt;='Gastos Gerais'!$E$4:$E$3143),-('Gastos Gerais'!$C$4:$C$3143)))</f>
        <v>38559</v>
      </c>
      <c r="BH25" s="134">
        <f>IF($B25="",0,SUMPRODUCT(-('Gastos Gerais'!$F$4:$F$3143='Gastos das Atividades'!$B25),-('Gastos das Atividades'!BH$3&gt;='Gastos Gerais'!$D$4:$D$3143),-('Gastos das Atividades'!BH$3&lt;='Gastos Gerais'!$E$4:$E$3143),-('Gastos Gerais'!$C$4:$C$3143)))</f>
        <v>38559</v>
      </c>
      <c r="BI25" s="134">
        <f>IF($B25="",0,SUMPRODUCT(-('Gastos Gerais'!$F$4:$F$3143='Gastos das Atividades'!$B25),-('Gastos das Atividades'!BI$3&gt;='Gastos Gerais'!$D$4:$D$3143),-('Gastos das Atividades'!BI$3&lt;='Gastos Gerais'!$E$4:$E$3143),-('Gastos Gerais'!$C$4:$C$3143)))</f>
        <v>38559</v>
      </c>
      <c r="BJ25" s="134">
        <f>IF($B25="",0,SUMPRODUCT(-('Gastos Gerais'!$F$4:$F$3143='Gastos das Atividades'!$B25),-('Gastos das Atividades'!BJ$3&gt;='Gastos Gerais'!$D$4:$D$3143),-('Gastos das Atividades'!BJ$3&lt;='Gastos Gerais'!$E$4:$E$3143),-('Gastos Gerais'!$C$4:$C$3143)))</f>
        <v>38559</v>
      </c>
      <c r="BK25" s="134">
        <f>IF($B25="",0,SUMPRODUCT(-('Gastos Gerais'!$F$4:$F$3143='Gastos das Atividades'!$B25),-('Gastos das Atividades'!BK$3&gt;='Gastos Gerais'!$D$4:$D$3143),-('Gastos das Atividades'!BK$3&lt;='Gastos Gerais'!$E$4:$E$3143),-('Gastos Gerais'!$C$4:$C$3143)))</f>
        <v>0</v>
      </c>
      <c r="BL25" s="134">
        <f>IF($B25="",0,SUMPRODUCT(-('Gastos Gerais'!$F$4:$F$3143='Gastos das Atividades'!$B25),-('Gastos das Atividades'!BL$3&gt;='Gastos Gerais'!$D$4:$D$3143),-('Gastos das Atividades'!BL$3&lt;='Gastos Gerais'!$E$4:$E$3143),-('Gastos Gerais'!$C$4:$C$3143)))</f>
        <v>0</v>
      </c>
      <c r="BM25" s="134">
        <f>IF($B25="",0,SUMPRODUCT(-('Gastos Gerais'!$F$4:$F$3143='Gastos das Atividades'!$B25),-('Gastos das Atividades'!BM$3&gt;='Gastos Gerais'!$D$4:$D$3143),-('Gastos das Atividades'!BM$3&lt;='Gastos Gerais'!$E$4:$E$3143),-('Gastos Gerais'!$C$4:$C$3143)))</f>
        <v>0</v>
      </c>
      <c r="BN25" s="134">
        <f>IF($B25="",0,SUMPRODUCT(-('Gastos Gerais'!$F$4:$F$3143='Gastos das Atividades'!$B25),-('Gastos das Atividades'!BN$3&gt;='Gastos Gerais'!$D$4:$D$3143),-('Gastos das Atividades'!BN$3&lt;='Gastos Gerais'!$E$4:$E$3143),-('Gastos Gerais'!$C$4:$C$3143)))</f>
        <v>0</v>
      </c>
      <c r="BO25" s="134">
        <f>IF($B25="",0,SUMPRODUCT(-('Gastos Gerais'!$F$4:$F$3143='Gastos das Atividades'!$B25),-('Gastos das Atividades'!BO$3&gt;='Gastos Gerais'!$D$4:$D$3143),-('Gastos das Atividades'!BO$3&lt;='Gastos Gerais'!$E$4:$E$3143),-('Gastos Gerais'!$C$4:$C$3143)))</f>
        <v>0</v>
      </c>
      <c r="BP25" s="134">
        <f>IF($B25="",0,SUMPRODUCT(-('Gastos Gerais'!$F$4:$F$3143='Gastos das Atividades'!$B25),-('Gastos das Atividades'!BP$3&gt;='Gastos Gerais'!$D$4:$D$3143),-('Gastos das Atividades'!BP$3&lt;='Gastos Gerais'!$E$4:$E$3143),-('Gastos Gerais'!$C$4:$C$3143)))</f>
        <v>0</v>
      </c>
      <c r="BQ25" s="134">
        <f>IF($B25="",0,SUMPRODUCT(-('Gastos Gerais'!$F$4:$F$3143='Gastos das Atividades'!$B25),-('Gastos das Atividades'!BQ$3&gt;='Gastos Gerais'!$D$4:$D$3143),-('Gastos das Atividades'!BQ$3&lt;='Gastos Gerais'!$E$4:$E$3143),-('Gastos Gerais'!$C$4:$C$3143)))</f>
        <v>0</v>
      </c>
      <c r="BR25" s="134">
        <f>IF($B25="",0,SUMPRODUCT(-('Gastos Gerais'!$F$4:$F$3143='Gastos das Atividades'!$B25),-('Gastos das Atividades'!BR$3&gt;='Gastos Gerais'!$D$4:$D$3143),-('Gastos das Atividades'!BR$3&lt;='Gastos Gerais'!$E$4:$E$3143),-('Gastos Gerais'!$C$4:$C$3143)))</f>
        <v>0</v>
      </c>
      <c r="BS25" s="134">
        <f>IF($B25="",0,SUMPRODUCT(-('Gastos Gerais'!$F$4:$F$3143='Gastos das Atividades'!$B25),-('Gastos das Atividades'!BS$3&gt;='Gastos Gerais'!$D$4:$D$3143),-('Gastos das Atividades'!BS$3&lt;='Gastos Gerais'!$E$4:$E$3143),-('Gastos Gerais'!$C$4:$C$3143)))</f>
        <v>0</v>
      </c>
      <c r="BT25" s="134">
        <f>IF($B25="",0,SUMPRODUCT(-('Gastos Gerais'!$F$4:$F$3143='Gastos das Atividades'!$B25),-('Gastos das Atividades'!BT$3&gt;='Gastos Gerais'!$D$4:$D$3143),-('Gastos das Atividades'!BT$3&lt;='Gastos Gerais'!$E$4:$E$3143),-('Gastos Gerais'!$C$4:$C$3143)))</f>
        <v>0</v>
      </c>
      <c r="BU25" s="134">
        <f>IF($B25="",0,SUMPRODUCT(-('Gastos Gerais'!$F$4:$F$3143='Gastos das Atividades'!$B25),-('Gastos das Atividades'!BU$3&gt;='Gastos Gerais'!$D$4:$D$3143),-('Gastos das Atividades'!BU$3&lt;='Gastos Gerais'!$E$4:$E$3143),-('Gastos Gerais'!$C$4:$C$3143)))</f>
        <v>0</v>
      </c>
      <c r="BV25" s="134">
        <f>IF($B25="",0,SUMPRODUCT(-('Gastos Gerais'!$F$4:$F$3143='Gastos das Atividades'!$B25),-('Gastos das Atividades'!BV$3&gt;='Gastos Gerais'!$D$4:$D$3143),-('Gastos das Atividades'!BV$3&lt;='Gastos Gerais'!$E$4:$E$3143),-('Gastos Gerais'!$C$4:$C$3143)))</f>
        <v>0</v>
      </c>
      <c r="BW25" s="134">
        <f>IF($B25="",0,SUMPRODUCT(-('Gastos Gerais'!$F$4:$F$3143='Gastos das Atividades'!$B25),-('Gastos das Atividades'!BW$3&gt;='Gastos Gerais'!$D$4:$D$3143),-('Gastos das Atividades'!BW$3&lt;='Gastos Gerais'!$E$4:$E$3143),-('Gastos Gerais'!$C$4:$C$3143)))</f>
        <v>0</v>
      </c>
    </row>
    <row r="26" spans="1:75">
      <c r="A26" s="138">
        <v>23</v>
      </c>
      <c r="B26" s="139"/>
      <c r="C26" s="132">
        <v>0</v>
      </c>
      <c r="D26" s="133">
        <f t="shared" si="0"/>
        <v>0</v>
      </c>
      <c r="E26" s="134">
        <f t="shared" si="1"/>
        <v>0</v>
      </c>
      <c r="F26" s="134">
        <f t="shared" si="1"/>
        <v>0</v>
      </c>
      <c r="G26" s="134">
        <f t="shared" si="1"/>
        <v>0</v>
      </c>
      <c r="H26" s="134">
        <f t="shared" si="1"/>
        <v>0</v>
      </c>
      <c r="I26" s="135">
        <f t="shared" si="2"/>
        <v>0</v>
      </c>
      <c r="J26" s="136">
        <f t="shared" si="3"/>
        <v>0</v>
      </c>
      <c r="K26" s="136">
        <f t="shared" si="4"/>
        <v>0</v>
      </c>
      <c r="L26" s="136">
        <f t="shared" si="5"/>
        <v>0</v>
      </c>
      <c r="M26" s="136">
        <f t="shared" si="6"/>
        <v>0</v>
      </c>
      <c r="N26" s="136">
        <f t="shared" si="7"/>
        <v>0</v>
      </c>
      <c r="O26" s="137">
        <f t="shared" si="8"/>
        <v>0</v>
      </c>
      <c r="P26" s="134">
        <f>IF($B26="",0,SUMPRODUCT(-('Gastos Gerais'!$F$4:$F$3143='Gastos das Atividades'!$B26),-('Gastos das Atividades'!P$3&gt;='Gastos Gerais'!$D$4:$D$3143),-('Gastos das Atividades'!P$3&lt;='Gastos Gerais'!$E$4:$E$3143),-('Gastos Gerais'!$C$4:$C$3143)))</f>
        <v>0</v>
      </c>
      <c r="Q26" s="134">
        <f>IF($B26="",0,SUMPRODUCT(-('Gastos Gerais'!$F$4:$F$3143='Gastos das Atividades'!$B26),-('Gastos das Atividades'!Q$3&gt;='Gastos Gerais'!$D$4:$D$3143),-('Gastos das Atividades'!Q$3&lt;='Gastos Gerais'!$E$4:$E$3143),-('Gastos Gerais'!$C$4:$C$3143)))</f>
        <v>0</v>
      </c>
      <c r="R26" s="134">
        <f>IF($B26="",0,SUMPRODUCT(-('Gastos Gerais'!$F$4:$F$3143='Gastos das Atividades'!$B26),-('Gastos das Atividades'!R$3&gt;='Gastos Gerais'!$D$4:$D$3143),-('Gastos das Atividades'!R$3&lt;='Gastos Gerais'!$E$4:$E$3143),-('Gastos Gerais'!$C$4:$C$3143)))</f>
        <v>0</v>
      </c>
      <c r="S26" s="134">
        <f>IF($B26="",0,SUMPRODUCT(-('Gastos Gerais'!$F$4:$F$3143='Gastos das Atividades'!$B26),-('Gastos das Atividades'!S$3&gt;='Gastos Gerais'!$D$4:$D$3143),-('Gastos das Atividades'!S$3&lt;='Gastos Gerais'!$E$4:$E$3143),-('Gastos Gerais'!$C$4:$C$3143)))</f>
        <v>0</v>
      </c>
      <c r="T26" s="134">
        <f>IF($B26="",0,SUMPRODUCT(-('Gastos Gerais'!$F$4:$F$3143='Gastos das Atividades'!$B26),-('Gastos das Atividades'!T$3&gt;='Gastos Gerais'!$D$4:$D$3143),-('Gastos das Atividades'!T$3&lt;='Gastos Gerais'!$E$4:$E$3143),-('Gastos Gerais'!$C$4:$C$3143)))</f>
        <v>0</v>
      </c>
      <c r="U26" s="134">
        <f>IF($B26="",0,SUMPRODUCT(-('Gastos Gerais'!$F$4:$F$3143='Gastos das Atividades'!$B26),-('Gastos das Atividades'!U$3&gt;='Gastos Gerais'!$D$4:$D$3143),-('Gastos das Atividades'!U$3&lt;='Gastos Gerais'!$E$4:$E$3143),-('Gastos Gerais'!$C$4:$C$3143)))</f>
        <v>0</v>
      </c>
      <c r="V26" s="134">
        <f>IF($B26="",0,SUMPRODUCT(-('Gastos Gerais'!$F$4:$F$3143='Gastos das Atividades'!$B26),-('Gastos das Atividades'!V$3&gt;='Gastos Gerais'!$D$4:$D$3143),-('Gastos das Atividades'!V$3&lt;='Gastos Gerais'!$E$4:$E$3143),-('Gastos Gerais'!$C$4:$C$3143)))</f>
        <v>0</v>
      </c>
      <c r="W26" s="134">
        <f>IF($B26="",0,SUMPRODUCT(-('Gastos Gerais'!$F$4:$F$3143='Gastos das Atividades'!$B26),-('Gastos das Atividades'!W$3&gt;='Gastos Gerais'!$D$4:$D$3143),-('Gastos das Atividades'!W$3&lt;='Gastos Gerais'!$E$4:$E$3143),-('Gastos Gerais'!$C$4:$C$3143)))</f>
        <v>0</v>
      </c>
      <c r="X26" s="134">
        <f>IF($B26="",0,SUMPRODUCT(-('Gastos Gerais'!$F$4:$F$3143='Gastos das Atividades'!$B26),-('Gastos das Atividades'!X$3&gt;='Gastos Gerais'!$D$4:$D$3143),-('Gastos das Atividades'!X$3&lt;='Gastos Gerais'!$E$4:$E$3143),-('Gastos Gerais'!$C$4:$C$3143)))</f>
        <v>0</v>
      </c>
      <c r="Y26" s="134">
        <f>IF($B26="",0,SUMPRODUCT(-('Gastos Gerais'!$F$4:$F$3143='Gastos das Atividades'!$B26),-('Gastos das Atividades'!Y$3&gt;='Gastos Gerais'!$D$4:$D$3143),-('Gastos das Atividades'!Y$3&lt;='Gastos Gerais'!$E$4:$E$3143),-('Gastos Gerais'!$C$4:$C$3143)))</f>
        <v>0</v>
      </c>
      <c r="Z26" s="134">
        <f>IF($B26="",0,SUMPRODUCT(-('Gastos Gerais'!$F$4:$F$3143='Gastos das Atividades'!$B26),-('Gastos das Atividades'!Z$3&gt;='Gastos Gerais'!$D$4:$D$3143),-('Gastos das Atividades'!Z$3&lt;='Gastos Gerais'!$E$4:$E$3143),-('Gastos Gerais'!$C$4:$C$3143)))</f>
        <v>0</v>
      </c>
      <c r="AA26" s="134">
        <f>IF($B26="",0,SUMPRODUCT(-('Gastos Gerais'!$F$4:$F$3143='Gastos das Atividades'!$B26),-('Gastos das Atividades'!AA$3&gt;='Gastos Gerais'!$D$4:$D$3143),-('Gastos das Atividades'!AA$3&lt;='Gastos Gerais'!$E$4:$E$3143),-('Gastos Gerais'!$C$4:$C$3143)))</f>
        <v>0</v>
      </c>
      <c r="AB26" s="134">
        <f>IF($B26="",0,SUMPRODUCT(-('Gastos Gerais'!$F$4:$F$3143='Gastos das Atividades'!$B26),-('Gastos das Atividades'!AB$3&gt;='Gastos Gerais'!$D$4:$D$3143),-('Gastos das Atividades'!AB$3&lt;='Gastos Gerais'!$E$4:$E$3143),-('Gastos Gerais'!$C$4:$C$3143)))</f>
        <v>0</v>
      </c>
      <c r="AC26" s="134">
        <f>IF($B26="",0,SUMPRODUCT(-('Gastos Gerais'!$F$4:$F$3143='Gastos das Atividades'!$B26),-('Gastos das Atividades'!AC$3&gt;='Gastos Gerais'!$D$4:$D$3143),-('Gastos das Atividades'!AC$3&lt;='Gastos Gerais'!$E$4:$E$3143),-('Gastos Gerais'!$C$4:$C$3143)))</f>
        <v>0</v>
      </c>
      <c r="AD26" s="134">
        <f>IF($B26="",0,SUMPRODUCT(-('Gastos Gerais'!$F$4:$F$3143='Gastos das Atividades'!$B26),-('Gastos das Atividades'!AD$3&gt;='Gastos Gerais'!$D$4:$D$3143),-('Gastos das Atividades'!AD$3&lt;='Gastos Gerais'!$E$4:$E$3143),-('Gastos Gerais'!$C$4:$C$3143)))</f>
        <v>0</v>
      </c>
      <c r="AE26" s="134">
        <f>IF($B26="",0,SUMPRODUCT(-('Gastos Gerais'!$F$4:$F$3143='Gastos das Atividades'!$B26),-('Gastos das Atividades'!AE$3&gt;='Gastos Gerais'!$D$4:$D$3143),-('Gastos das Atividades'!AE$3&lt;='Gastos Gerais'!$E$4:$E$3143),-('Gastos Gerais'!$C$4:$C$3143)))</f>
        <v>0</v>
      </c>
      <c r="AF26" s="134">
        <f>IF($B26="",0,SUMPRODUCT(-('Gastos Gerais'!$F$4:$F$3143='Gastos das Atividades'!$B26),-('Gastos das Atividades'!AF$3&gt;='Gastos Gerais'!$D$4:$D$3143),-('Gastos das Atividades'!AF$3&lt;='Gastos Gerais'!$E$4:$E$3143),-('Gastos Gerais'!$C$4:$C$3143)))</f>
        <v>0</v>
      </c>
      <c r="AG26" s="134">
        <f>IF($B26="",0,SUMPRODUCT(-('Gastos Gerais'!$F$4:$F$3143='Gastos das Atividades'!$B26),-('Gastos das Atividades'!AG$3&gt;='Gastos Gerais'!$D$4:$D$3143),-('Gastos das Atividades'!AG$3&lt;='Gastos Gerais'!$E$4:$E$3143),-('Gastos Gerais'!$C$4:$C$3143)))</f>
        <v>0</v>
      </c>
      <c r="AH26" s="134">
        <f>IF($B26="",0,SUMPRODUCT(-('Gastos Gerais'!$F$4:$F$3143='Gastos das Atividades'!$B26),-('Gastos das Atividades'!AH$3&gt;='Gastos Gerais'!$D$4:$D$3143),-('Gastos das Atividades'!AH$3&lt;='Gastos Gerais'!$E$4:$E$3143),-('Gastos Gerais'!$C$4:$C$3143)))</f>
        <v>0</v>
      </c>
      <c r="AI26" s="134">
        <f>IF($B26="",0,SUMPRODUCT(-('Gastos Gerais'!$F$4:$F$3143='Gastos das Atividades'!$B26),-('Gastos das Atividades'!AI$3&gt;='Gastos Gerais'!$D$4:$D$3143),-('Gastos das Atividades'!AI$3&lt;='Gastos Gerais'!$E$4:$E$3143),-('Gastos Gerais'!$C$4:$C$3143)))</f>
        <v>0</v>
      </c>
      <c r="AJ26" s="134">
        <f>IF($B26="",0,SUMPRODUCT(-('Gastos Gerais'!$F$4:$F$3143='Gastos das Atividades'!$B26),-('Gastos das Atividades'!AJ$3&gt;='Gastos Gerais'!$D$4:$D$3143),-('Gastos das Atividades'!AJ$3&lt;='Gastos Gerais'!$E$4:$E$3143),-('Gastos Gerais'!$C$4:$C$3143)))</f>
        <v>0</v>
      </c>
      <c r="AK26" s="134">
        <f>IF($B26="",0,SUMPRODUCT(-('Gastos Gerais'!$F$4:$F$3143='Gastos das Atividades'!$B26),-('Gastos das Atividades'!AK$3&gt;='Gastos Gerais'!$D$4:$D$3143),-('Gastos das Atividades'!AK$3&lt;='Gastos Gerais'!$E$4:$E$3143),-('Gastos Gerais'!$C$4:$C$3143)))</f>
        <v>0</v>
      </c>
      <c r="AL26" s="134">
        <f>IF($B26="",0,SUMPRODUCT(-('Gastos Gerais'!$F$4:$F$3143='Gastos das Atividades'!$B26),-('Gastos das Atividades'!AL$3&gt;='Gastos Gerais'!$D$4:$D$3143),-('Gastos das Atividades'!AL$3&lt;='Gastos Gerais'!$E$4:$E$3143),-('Gastos Gerais'!$C$4:$C$3143)))</f>
        <v>0</v>
      </c>
      <c r="AM26" s="134">
        <f>IF($B26="",0,SUMPRODUCT(-('Gastos Gerais'!$F$4:$F$3143='Gastos das Atividades'!$B26),-('Gastos das Atividades'!AM$3&gt;='Gastos Gerais'!$D$4:$D$3143),-('Gastos das Atividades'!AM$3&lt;='Gastos Gerais'!$E$4:$E$3143),-('Gastos Gerais'!$C$4:$C$3143)))</f>
        <v>0</v>
      </c>
      <c r="AN26" s="134">
        <f>IF($B26="",0,SUMPRODUCT(-('Gastos Gerais'!$F$4:$F$3143='Gastos das Atividades'!$B26),-('Gastos das Atividades'!AN$3&gt;='Gastos Gerais'!$D$4:$D$3143),-('Gastos das Atividades'!AN$3&lt;='Gastos Gerais'!$E$4:$E$3143),-('Gastos Gerais'!$C$4:$C$3143)))</f>
        <v>0</v>
      </c>
      <c r="AO26" s="134">
        <f>IF($B26="",0,SUMPRODUCT(-('Gastos Gerais'!$F$4:$F$3143='Gastos das Atividades'!$B26),-('Gastos das Atividades'!AO$3&gt;='Gastos Gerais'!$D$4:$D$3143),-('Gastos das Atividades'!AO$3&lt;='Gastos Gerais'!$E$4:$E$3143),-('Gastos Gerais'!$C$4:$C$3143)))</f>
        <v>0</v>
      </c>
      <c r="AP26" s="134">
        <f>IF($B26="",0,SUMPRODUCT(-('Gastos Gerais'!$F$4:$F$3143='Gastos das Atividades'!$B26),-('Gastos das Atividades'!AP$3&gt;='Gastos Gerais'!$D$4:$D$3143),-('Gastos das Atividades'!AP$3&lt;='Gastos Gerais'!$E$4:$E$3143),-('Gastos Gerais'!$C$4:$C$3143)))</f>
        <v>0</v>
      </c>
      <c r="AQ26" s="134">
        <f>IF($B26="",0,SUMPRODUCT(-('Gastos Gerais'!$F$4:$F$3143='Gastos das Atividades'!$B26),-('Gastos das Atividades'!AQ$3&gt;='Gastos Gerais'!$D$4:$D$3143),-('Gastos das Atividades'!AQ$3&lt;='Gastos Gerais'!$E$4:$E$3143),-('Gastos Gerais'!$C$4:$C$3143)))</f>
        <v>0</v>
      </c>
      <c r="AR26" s="134">
        <f>IF($B26="",0,SUMPRODUCT(-('Gastos Gerais'!$F$4:$F$3143='Gastos das Atividades'!$B26),-('Gastos das Atividades'!AR$3&gt;='Gastos Gerais'!$D$4:$D$3143),-('Gastos das Atividades'!AR$3&lt;='Gastos Gerais'!$E$4:$E$3143),-('Gastos Gerais'!$C$4:$C$3143)))</f>
        <v>0</v>
      </c>
      <c r="AS26" s="134">
        <f>IF($B26="",0,SUMPRODUCT(-('Gastos Gerais'!$F$4:$F$3143='Gastos das Atividades'!$B26),-('Gastos das Atividades'!AS$3&gt;='Gastos Gerais'!$D$4:$D$3143),-('Gastos das Atividades'!AS$3&lt;='Gastos Gerais'!$E$4:$E$3143),-('Gastos Gerais'!$C$4:$C$3143)))</f>
        <v>0</v>
      </c>
      <c r="AT26" s="134">
        <f>IF($B26="",0,SUMPRODUCT(-('Gastos Gerais'!$F$4:$F$3143='Gastos das Atividades'!$B26),-('Gastos das Atividades'!AT$3&gt;='Gastos Gerais'!$D$4:$D$3143),-('Gastos das Atividades'!AT$3&lt;='Gastos Gerais'!$E$4:$E$3143),-('Gastos Gerais'!$C$4:$C$3143)))</f>
        <v>0</v>
      </c>
      <c r="AU26" s="134">
        <f>IF($B26="",0,SUMPRODUCT(-('Gastos Gerais'!$F$4:$F$3143='Gastos das Atividades'!$B26),-('Gastos das Atividades'!AU$3&gt;='Gastos Gerais'!$D$4:$D$3143),-('Gastos das Atividades'!AU$3&lt;='Gastos Gerais'!$E$4:$E$3143),-('Gastos Gerais'!$C$4:$C$3143)))</f>
        <v>0</v>
      </c>
      <c r="AV26" s="134">
        <f>IF($B26="",0,SUMPRODUCT(-('Gastos Gerais'!$F$4:$F$3143='Gastos das Atividades'!$B26),-('Gastos das Atividades'!AV$3&gt;='Gastos Gerais'!$D$4:$D$3143),-('Gastos das Atividades'!AV$3&lt;='Gastos Gerais'!$E$4:$E$3143),-('Gastos Gerais'!$C$4:$C$3143)))</f>
        <v>0</v>
      </c>
      <c r="AW26" s="134">
        <f>IF($B26="",0,SUMPRODUCT(-('Gastos Gerais'!$F$4:$F$3143='Gastos das Atividades'!$B26),-('Gastos das Atividades'!AW$3&gt;='Gastos Gerais'!$D$4:$D$3143),-('Gastos das Atividades'!AW$3&lt;='Gastos Gerais'!$E$4:$E$3143),-('Gastos Gerais'!$C$4:$C$3143)))</f>
        <v>0</v>
      </c>
      <c r="AX26" s="134">
        <f>IF($B26="",0,SUMPRODUCT(-('Gastos Gerais'!$F$4:$F$3143='Gastos das Atividades'!$B26),-('Gastos das Atividades'!AX$3&gt;='Gastos Gerais'!$D$4:$D$3143),-('Gastos das Atividades'!AX$3&lt;='Gastos Gerais'!$E$4:$E$3143),-('Gastos Gerais'!$C$4:$C$3143)))</f>
        <v>0</v>
      </c>
      <c r="AY26" s="134">
        <f>IF($B26="",0,SUMPRODUCT(-('Gastos Gerais'!$F$4:$F$3143='Gastos das Atividades'!$B26),-('Gastos das Atividades'!AY$3&gt;='Gastos Gerais'!$D$4:$D$3143),-('Gastos das Atividades'!AY$3&lt;='Gastos Gerais'!$E$4:$E$3143),-('Gastos Gerais'!$C$4:$C$3143)))</f>
        <v>0</v>
      </c>
      <c r="AZ26" s="134">
        <f>IF($B26="",0,SUMPRODUCT(-('Gastos Gerais'!$F$4:$F$3143='Gastos das Atividades'!$B26),-('Gastos das Atividades'!AZ$3&gt;='Gastos Gerais'!$D$4:$D$3143),-('Gastos das Atividades'!AZ$3&lt;='Gastos Gerais'!$E$4:$E$3143),-('Gastos Gerais'!$C$4:$C$3143)))</f>
        <v>0</v>
      </c>
      <c r="BA26" s="134">
        <f>IF($B26="",0,SUMPRODUCT(-('Gastos Gerais'!$F$4:$F$3143='Gastos das Atividades'!$B26),-('Gastos das Atividades'!BA$3&gt;='Gastos Gerais'!$D$4:$D$3143),-('Gastos das Atividades'!BA$3&lt;='Gastos Gerais'!$E$4:$E$3143),-('Gastos Gerais'!$C$4:$C$3143)))</f>
        <v>0</v>
      </c>
      <c r="BB26" s="134">
        <f>IF($B26="",0,SUMPRODUCT(-('Gastos Gerais'!$F$4:$F$3143='Gastos das Atividades'!$B26),-('Gastos das Atividades'!BB$3&gt;='Gastos Gerais'!$D$4:$D$3143),-('Gastos das Atividades'!BB$3&lt;='Gastos Gerais'!$E$4:$E$3143),-('Gastos Gerais'!$C$4:$C$3143)))</f>
        <v>0</v>
      </c>
      <c r="BC26" s="134">
        <f>IF($B26="",0,SUMPRODUCT(-('Gastos Gerais'!$F$4:$F$3143='Gastos das Atividades'!$B26),-('Gastos das Atividades'!BC$3&gt;='Gastos Gerais'!$D$4:$D$3143),-('Gastos das Atividades'!BC$3&lt;='Gastos Gerais'!$E$4:$E$3143),-('Gastos Gerais'!$C$4:$C$3143)))</f>
        <v>0</v>
      </c>
      <c r="BD26" s="134">
        <f>IF($B26="",0,SUMPRODUCT(-('Gastos Gerais'!$F$4:$F$3143='Gastos das Atividades'!$B26),-('Gastos das Atividades'!BD$3&gt;='Gastos Gerais'!$D$4:$D$3143),-('Gastos das Atividades'!BD$3&lt;='Gastos Gerais'!$E$4:$E$3143),-('Gastos Gerais'!$C$4:$C$3143)))</f>
        <v>0</v>
      </c>
      <c r="BE26" s="134">
        <f>IF($B26="",0,SUMPRODUCT(-('Gastos Gerais'!$F$4:$F$3143='Gastos das Atividades'!$B26),-('Gastos das Atividades'!BE$3&gt;='Gastos Gerais'!$D$4:$D$3143),-('Gastos das Atividades'!BE$3&lt;='Gastos Gerais'!$E$4:$E$3143),-('Gastos Gerais'!$C$4:$C$3143)))</f>
        <v>0</v>
      </c>
      <c r="BF26" s="134">
        <f>IF($B26="",0,SUMPRODUCT(-('Gastos Gerais'!$F$4:$F$3143='Gastos das Atividades'!$B26),-('Gastos das Atividades'!BF$3&gt;='Gastos Gerais'!$D$4:$D$3143),-('Gastos das Atividades'!BF$3&lt;='Gastos Gerais'!$E$4:$E$3143),-('Gastos Gerais'!$C$4:$C$3143)))</f>
        <v>0</v>
      </c>
      <c r="BG26" s="134">
        <f>IF($B26="",0,SUMPRODUCT(-('Gastos Gerais'!$F$4:$F$3143='Gastos das Atividades'!$B26),-('Gastos das Atividades'!BG$3&gt;='Gastos Gerais'!$D$4:$D$3143),-('Gastos das Atividades'!BG$3&lt;='Gastos Gerais'!$E$4:$E$3143),-('Gastos Gerais'!$C$4:$C$3143)))</f>
        <v>0</v>
      </c>
      <c r="BH26" s="134">
        <f>IF($B26="",0,SUMPRODUCT(-('Gastos Gerais'!$F$4:$F$3143='Gastos das Atividades'!$B26),-('Gastos das Atividades'!BH$3&gt;='Gastos Gerais'!$D$4:$D$3143),-('Gastos das Atividades'!BH$3&lt;='Gastos Gerais'!$E$4:$E$3143),-('Gastos Gerais'!$C$4:$C$3143)))</f>
        <v>0</v>
      </c>
      <c r="BI26" s="134">
        <f>IF($B26="",0,SUMPRODUCT(-('Gastos Gerais'!$F$4:$F$3143='Gastos das Atividades'!$B26),-('Gastos das Atividades'!BI$3&gt;='Gastos Gerais'!$D$4:$D$3143),-('Gastos das Atividades'!BI$3&lt;='Gastos Gerais'!$E$4:$E$3143),-('Gastos Gerais'!$C$4:$C$3143)))</f>
        <v>0</v>
      </c>
      <c r="BJ26" s="134">
        <f>IF($B26="",0,SUMPRODUCT(-('Gastos Gerais'!$F$4:$F$3143='Gastos das Atividades'!$B26),-('Gastos das Atividades'!BJ$3&gt;='Gastos Gerais'!$D$4:$D$3143),-('Gastos das Atividades'!BJ$3&lt;='Gastos Gerais'!$E$4:$E$3143),-('Gastos Gerais'!$C$4:$C$3143)))</f>
        <v>0</v>
      </c>
      <c r="BK26" s="134">
        <f>IF($B26="",0,SUMPRODUCT(-('Gastos Gerais'!$F$4:$F$3143='Gastos das Atividades'!$B26),-('Gastos das Atividades'!BK$3&gt;='Gastos Gerais'!$D$4:$D$3143),-('Gastos das Atividades'!BK$3&lt;='Gastos Gerais'!$E$4:$E$3143),-('Gastos Gerais'!$C$4:$C$3143)))</f>
        <v>0</v>
      </c>
      <c r="BL26" s="134">
        <f>IF($B26="",0,SUMPRODUCT(-('Gastos Gerais'!$F$4:$F$3143='Gastos das Atividades'!$B26),-('Gastos das Atividades'!BL$3&gt;='Gastos Gerais'!$D$4:$D$3143),-('Gastos das Atividades'!BL$3&lt;='Gastos Gerais'!$E$4:$E$3143),-('Gastos Gerais'!$C$4:$C$3143)))</f>
        <v>0</v>
      </c>
      <c r="BM26" s="134">
        <f>IF($B26="",0,SUMPRODUCT(-('Gastos Gerais'!$F$4:$F$3143='Gastos das Atividades'!$B26),-('Gastos das Atividades'!BM$3&gt;='Gastos Gerais'!$D$4:$D$3143),-('Gastos das Atividades'!BM$3&lt;='Gastos Gerais'!$E$4:$E$3143),-('Gastos Gerais'!$C$4:$C$3143)))</f>
        <v>0</v>
      </c>
      <c r="BN26" s="134">
        <f>IF($B26="",0,SUMPRODUCT(-('Gastos Gerais'!$F$4:$F$3143='Gastos das Atividades'!$B26),-('Gastos das Atividades'!BN$3&gt;='Gastos Gerais'!$D$4:$D$3143),-('Gastos das Atividades'!BN$3&lt;='Gastos Gerais'!$E$4:$E$3143),-('Gastos Gerais'!$C$4:$C$3143)))</f>
        <v>0</v>
      </c>
      <c r="BO26" s="134">
        <f>IF($B26="",0,SUMPRODUCT(-('Gastos Gerais'!$F$4:$F$3143='Gastos das Atividades'!$B26),-('Gastos das Atividades'!BO$3&gt;='Gastos Gerais'!$D$4:$D$3143),-('Gastos das Atividades'!BO$3&lt;='Gastos Gerais'!$E$4:$E$3143),-('Gastos Gerais'!$C$4:$C$3143)))</f>
        <v>0</v>
      </c>
      <c r="BP26" s="134">
        <f>IF($B26="",0,SUMPRODUCT(-('Gastos Gerais'!$F$4:$F$3143='Gastos das Atividades'!$B26),-('Gastos das Atividades'!BP$3&gt;='Gastos Gerais'!$D$4:$D$3143),-('Gastos das Atividades'!BP$3&lt;='Gastos Gerais'!$E$4:$E$3143),-('Gastos Gerais'!$C$4:$C$3143)))</f>
        <v>0</v>
      </c>
      <c r="BQ26" s="134">
        <f>IF($B26="",0,SUMPRODUCT(-('Gastos Gerais'!$F$4:$F$3143='Gastos das Atividades'!$B26),-('Gastos das Atividades'!BQ$3&gt;='Gastos Gerais'!$D$4:$D$3143),-('Gastos das Atividades'!BQ$3&lt;='Gastos Gerais'!$E$4:$E$3143),-('Gastos Gerais'!$C$4:$C$3143)))</f>
        <v>0</v>
      </c>
      <c r="BR26" s="134">
        <f>IF($B26="",0,SUMPRODUCT(-('Gastos Gerais'!$F$4:$F$3143='Gastos das Atividades'!$B26),-('Gastos das Atividades'!BR$3&gt;='Gastos Gerais'!$D$4:$D$3143),-('Gastos das Atividades'!BR$3&lt;='Gastos Gerais'!$E$4:$E$3143),-('Gastos Gerais'!$C$4:$C$3143)))</f>
        <v>0</v>
      </c>
      <c r="BS26" s="134">
        <f>IF($B26="",0,SUMPRODUCT(-('Gastos Gerais'!$F$4:$F$3143='Gastos das Atividades'!$B26),-('Gastos das Atividades'!BS$3&gt;='Gastos Gerais'!$D$4:$D$3143),-('Gastos das Atividades'!BS$3&lt;='Gastos Gerais'!$E$4:$E$3143),-('Gastos Gerais'!$C$4:$C$3143)))</f>
        <v>0</v>
      </c>
      <c r="BT26" s="134">
        <f>IF($B26="",0,SUMPRODUCT(-('Gastos Gerais'!$F$4:$F$3143='Gastos das Atividades'!$B26),-('Gastos das Atividades'!BT$3&gt;='Gastos Gerais'!$D$4:$D$3143),-('Gastos das Atividades'!BT$3&lt;='Gastos Gerais'!$E$4:$E$3143),-('Gastos Gerais'!$C$4:$C$3143)))</f>
        <v>0</v>
      </c>
      <c r="BU26" s="134">
        <f>IF($B26="",0,SUMPRODUCT(-('Gastos Gerais'!$F$4:$F$3143='Gastos das Atividades'!$B26),-('Gastos das Atividades'!BU$3&gt;='Gastos Gerais'!$D$4:$D$3143),-('Gastos das Atividades'!BU$3&lt;='Gastos Gerais'!$E$4:$E$3143),-('Gastos Gerais'!$C$4:$C$3143)))</f>
        <v>0</v>
      </c>
      <c r="BV26" s="134">
        <f>IF($B26="",0,SUMPRODUCT(-('Gastos Gerais'!$F$4:$F$3143='Gastos das Atividades'!$B26),-('Gastos das Atividades'!BV$3&gt;='Gastos Gerais'!$D$4:$D$3143),-('Gastos das Atividades'!BV$3&lt;='Gastos Gerais'!$E$4:$E$3143),-('Gastos Gerais'!$C$4:$C$3143)))</f>
        <v>0</v>
      </c>
      <c r="BW26" s="134">
        <f>IF($B26="",0,SUMPRODUCT(-('Gastos Gerais'!$F$4:$F$3143='Gastos das Atividades'!$B26),-('Gastos das Atividades'!BW$3&gt;='Gastos Gerais'!$D$4:$D$3143),-('Gastos das Atividades'!BW$3&lt;='Gastos Gerais'!$E$4:$E$3143),-('Gastos Gerais'!$C$4:$C$3143)))</f>
        <v>0</v>
      </c>
    </row>
    <row r="27" spans="1:75">
      <c r="A27" s="138">
        <v>24</v>
      </c>
      <c r="B27" s="139"/>
      <c r="C27" s="132">
        <v>0</v>
      </c>
      <c r="D27" s="133">
        <f t="shared" si="0"/>
        <v>0</v>
      </c>
      <c r="E27" s="134">
        <f t="shared" si="1"/>
        <v>0</v>
      </c>
      <c r="F27" s="134">
        <f t="shared" si="1"/>
        <v>0</v>
      </c>
      <c r="G27" s="134">
        <f t="shared" si="1"/>
        <v>0</v>
      </c>
      <c r="H27" s="134">
        <f t="shared" si="1"/>
        <v>0</v>
      </c>
      <c r="I27" s="135">
        <f t="shared" si="2"/>
        <v>0</v>
      </c>
      <c r="J27" s="136">
        <f t="shared" si="3"/>
        <v>0</v>
      </c>
      <c r="K27" s="136">
        <f t="shared" si="4"/>
        <v>0</v>
      </c>
      <c r="L27" s="136">
        <f t="shared" si="5"/>
        <v>0</v>
      </c>
      <c r="M27" s="136">
        <f t="shared" si="6"/>
        <v>0</v>
      </c>
      <c r="N27" s="136">
        <f t="shared" si="7"/>
        <v>0</v>
      </c>
      <c r="O27" s="137">
        <f t="shared" si="8"/>
        <v>0</v>
      </c>
      <c r="P27" s="134">
        <f>IF($B27="",0,SUMPRODUCT(-('Gastos Gerais'!$F$4:$F$3143='Gastos das Atividades'!$B27),-('Gastos das Atividades'!P$3&gt;='Gastos Gerais'!$D$4:$D$3143),-('Gastos das Atividades'!P$3&lt;='Gastos Gerais'!$E$4:$E$3143),-('Gastos Gerais'!$C$4:$C$3143)))</f>
        <v>0</v>
      </c>
      <c r="Q27" s="134">
        <f>IF($B27="",0,SUMPRODUCT(-('Gastos Gerais'!$F$4:$F$3143='Gastos das Atividades'!$B27),-('Gastos das Atividades'!Q$3&gt;='Gastos Gerais'!$D$4:$D$3143),-('Gastos das Atividades'!Q$3&lt;='Gastos Gerais'!$E$4:$E$3143),-('Gastos Gerais'!$C$4:$C$3143)))</f>
        <v>0</v>
      </c>
      <c r="R27" s="134">
        <f>IF($B27="",0,SUMPRODUCT(-('Gastos Gerais'!$F$4:$F$3143='Gastos das Atividades'!$B27),-('Gastos das Atividades'!R$3&gt;='Gastos Gerais'!$D$4:$D$3143),-('Gastos das Atividades'!R$3&lt;='Gastos Gerais'!$E$4:$E$3143),-('Gastos Gerais'!$C$4:$C$3143)))</f>
        <v>0</v>
      </c>
      <c r="S27" s="134">
        <f>IF($B27="",0,SUMPRODUCT(-('Gastos Gerais'!$F$4:$F$3143='Gastos das Atividades'!$B27),-('Gastos das Atividades'!S$3&gt;='Gastos Gerais'!$D$4:$D$3143),-('Gastos das Atividades'!S$3&lt;='Gastos Gerais'!$E$4:$E$3143),-('Gastos Gerais'!$C$4:$C$3143)))</f>
        <v>0</v>
      </c>
      <c r="T27" s="134">
        <f>IF($B27="",0,SUMPRODUCT(-('Gastos Gerais'!$F$4:$F$3143='Gastos das Atividades'!$B27),-('Gastos das Atividades'!T$3&gt;='Gastos Gerais'!$D$4:$D$3143),-('Gastos das Atividades'!T$3&lt;='Gastos Gerais'!$E$4:$E$3143),-('Gastos Gerais'!$C$4:$C$3143)))</f>
        <v>0</v>
      </c>
      <c r="U27" s="134">
        <f>IF($B27="",0,SUMPRODUCT(-('Gastos Gerais'!$F$4:$F$3143='Gastos das Atividades'!$B27),-('Gastos das Atividades'!U$3&gt;='Gastos Gerais'!$D$4:$D$3143),-('Gastos das Atividades'!U$3&lt;='Gastos Gerais'!$E$4:$E$3143),-('Gastos Gerais'!$C$4:$C$3143)))</f>
        <v>0</v>
      </c>
      <c r="V27" s="134">
        <f>IF($B27="",0,SUMPRODUCT(-('Gastos Gerais'!$F$4:$F$3143='Gastos das Atividades'!$B27),-('Gastos das Atividades'!V$3&gt;='Gastos Gerais'!$D$4:$D$3143),-('Gastos das Atividades'!V$3&lt;='Gastos Gerais'!$E$4:$E$3143),-('Gastos Gerais'!$C$4:$C$3143)))</f>
        <v>0</v>
      </c>
      <c r="W27" s="134">
        <f>IF($B27="",0,SUMPRODUCT(-('Gastos Gerais'!$F$4:$F$3143='Gastos das Atividades'!$B27),-('Gastos das Atividades'!W$3&gt;='Gastos Gerais'!$D$4:$D$3143),-('Gastos das Atividades'!W$3&lt;='Gastos Gerais'!$E$4:$E$3143),-('Gastos Gerais'!$C$4:$C$3143)))</f>
        <v>0</v>
      </c>
      <c r="X27" s="134">
        <f>IF($B27="",0,SUMPRODUCT(-('Gastos Gerais'!$F$4:$F$3143='Gastos das Atividades'!$B27),-('Gastos das Atividades'!X$3&gt;='Gastos Gerais'!$D$4:$D$3143),-('Gastos das Atividades'!X$3&lt;='Gastos Gerais'!$E$4:$E$3143),-('Gastos Gerais'!$C$4:$C$3143)))</f>
        <v>0</v>
      </c>
      <c r="Y27" s="134">
        <f>IF($B27="",0,SUMPRODUCT(-('Gastos Gerais'!$F$4:$F$3143='Gastos das Atividades'!$B27),-('Gastos das Atividades'!Y$3&gt;='Gastos Gerais'!$D$4:$D$3143),-('Gastos das Atividades'!Y$3&lt;='Gastos Gerais'!$E$4:$E$3143),-('Gastos Gerais'!$C$4:$C$3143)))</f>
        <v>0</v>
      </c>
      <c r="Z27" s="134">
        <f>IF($B27="",0,SUMPRODUCT(-('Gastos Gerais'!$F$4:$F$3143='Gastos das Atividades'!$B27),-('Gastos das Atividades'!Z$3&gt;='Gastos Gerais'!$D$4:$D$3143),-('Gastos das Atividades'!Z$3&lt;='Gastos Gerais'!$E$4:$E$3143),-('Gastos Gerais'!$C$4:$C$3143)))</f>
        <v>0</v>
      </c>
      <c r="AA27" s="134">
        <f>IF($B27="",0,SUMPRODUCT(-('Gastos Gerais'!$F$4:$F$3143='Gastos das Atividades'!$B27),-('Gastos das Atividades'!AA$3&gt;='Gastos Gerais'!$D$4:$D$3143),-('Gastos das Atividades'!AA$3&lt;='Gastos Gerais'!$E$4:$E$3143),-('Gastos Gerais'!$C$4:$C$3143)))</f>
        <v>0</v>
      </c>
      <c r="AB27" s="134">
        <f>IF($B27="",0,SUMPRODUCT(-('Gastos Gerais'!$F$4:$F$3143='Gastos das Atividades'!$B27),-('Gastos das Atividades'!AB$3&gt;='Gastos Gerais'!$D$4:$D$3143),-('Gastos das Atividades'!AB$3&lt;='Gastos Gerais'!$E$4:$E$3143),-('Gastos Gerais'!$C$4:$C$3143)))</f>
        <v>0</v>
      </c>
      <c r="AC27" s="134">
        <f>IF($B27="",0,SUMPRODUCT(-('Gastos Gerais'!$F$4:$F$3143='Gastos das Atividades'!$B27),-('Gastos das Atividades'!AC$3&gt;='Gastos Gerais'!$D$4:$D$3143),-('Gastos das Atividades'!AC$3&lt;='Gastos Gerais'!$E$4:$E$3143),-('Gastos Gerais'!$C$4:$C$3143)))</f>
        <v>0</v>
      </c>
      <c r="AD27" s="134">
        <f>IF($B27="",0,SUMPRODUCT(-('Gastos Gerais'!$F$4:$F$3143='Gastos das Atividades'!$B27),-('Gastos das Atividades'!AD$3&gt;='Gastos Gerais'!$D$4:$D$3143),-('Gastos das Atividades'!AD$3&lt;='Gastos Gerais'!$E$4:$E$3143),-('Gastos Gerais'!$C$4:$C$3143)))</f>
        <v>0</v>
      </c>
      <c r="AE27" s="134">
        <f>IF($B27="",0,SUMPRODUCT(-('Gastos Gerais'!$F$4:$F$3143='Gastos das Atividades'!$B27),-('Gastos das Atividades'!AE$3&gt;='Gastos Gerais'!$D$4:$D$3143),-('Gastos das Atividades'!AE$3&lt;='Gastos Gerais'!$E$4:$E$3143),-('Gastos Gerais'!$C$4:$C$3143)))</f>
        <v>0</v>
      </c>
      <c r="AF27" s="134">
        <f>IF($B27="",0,SUMPRODUCT(-('Gastos Gerais'!$F$4:$F$3143='Gastos das Atividades'!$B27),-('Gastos das Atividades'!AF$3&gt;='Gastos Gerais'!$D$4:$D$3143),-('Gastos das Atividades'!AF$3&lt;='Gastos Gerais'!$E$4:$E$3143),-('Gastos Gerais'!$C$4:$C$3143)))</f>
        <v>0</v>
      </c>
      <c r="AG27" s="134">
        <f>IF($B27="",0,SUMPRODUCT(-('Gastos Gerais'!$F$4:$F$3143='Gastos das Atividades'!$B27),-('Gastos das Atividades'!AG$3&gt;='Gastos Gerais'!$D$4:$D$3143),-('Gastos das Atividades'!AG$3&lt;='Gastos Gerais'!$E$4:$E$3143),-('Gastos Gerais'!$C$4:$C$3143)))</f>
        <v>0</v>
      </c>
      <c r="AH27" s="134">
        <f>IF($B27="",0,SUMPRODUCT(-('Gastos Gerais'!$F$4:$F$3143='Gastos das Atividades'!$B27),-('Gastos das Atividades'!AH$3&gt;='Gastos Gerais'!$D$4:$D$3143),-('Gastos das Atividades'!AH$3&lt;='Gastos Gerais'!$E$4:$E$3143),-('Gastos Gerais'!$C$4:$C$3143)))</f>
        <v>0</v>
      </c>
      <c r="AI27" s="134">
        <f>IF($B27="",0,SUMPRODUCT(-('Gastos Gerais'!$F$4:$F$3143='Gastos das Atividades'!$B27),-('Gastos das Atividades'!AI$3&gt;='Gastos Gerais'!$D$4:$D$3143),-('Gastos das Atividades'!AI$3&lt;='Gastos Gerais'!$E$4:$E$3143),-('Gastos Gerais'!$C$4:$C$3143)))</f>
        <v>0</v>
      </c>
      <c r="AJ27" s="134">
        <f>IF($B27="",0,SUMPRODUCT(-('Gastos Gerais'!$F$4:$F$3143='Gastos das Atividades'!$B27),-('Gastos das Atividades'!AJ$3&gt;='Gastos Gerais'!$D$4:$D$3143),-('Gastos das Atividades'!AJ$3&lt;='Gastos Gerais'!$E$4:$E$3143),-('Gastos Gerais'!$C$4:$C$3143)))</f>
        <v>0</v>
      </c>
      <c r="AK27" s="134">
        <f>IF($B27="",0,SUMPRODUCT(-('Gastos Gerais'!$F$4:$F$3143='Gastos das Atividades'!$B27),-('Gastos das Atividades'!AK$3&gt;='Gastos Gerais'!$D$4:$D$3143),-('Gastos das Atividades'!AK$3&lt;='Gastos Gerais'!$E$4:$E$3143),-('Gastos Gerais'!$C$4:$C$3143)))</f>
        <v>0</v>
      </c>
      <c r="AL27" s="134">
        <f>IF($B27="",0,SUMPRODUCT(-('Gastos Gerais'!$F$4:$F$3143='Gastos das Atividades'!$B27),-('Gastos das Atividades'!AL$3&gt;='Gastos Gerais'!$D$4:$D$3143),-('Gastos das Atividades'!AL$3&lt;='Gastos Gerais'!$E$4:$E$3143),-('Gastos Gerais'!$C$4:$C$3143)))</f>
        <v>0</v>
      </c>
      <c r="AM27" s="134">
        <f>IF($B27="",0,SUMPRODUCT(-('Gastos Gerais'!$F$4:$F$3143='Gastos das Atividades'!$B27),-('Gastos das Atividades'!AM$3&gt;='Gastos Gerais'!$D$4:$D$3143),-('Gastos das Atividades'!AM$3&lt;='Gastos Gerais'!$E$4:$E$3143),-('Gastos Gerais'!$C$4:$C$3143)))</f>
        <v>0</v>
      </c>
      <c r="AN27" s="134">
        <f>IF($B27="",0,SUMPRODUCT(-('Gastos Gerais'!$F$4:$F$3143='Gastos das Atividades'!$B27),-('Gastos das Atividades'!AN$3&gt;='Gastos Gerais'!$D$4:$D$3143),-('Gastos das Atividades'!AN$3&lt;='Gastos Gerais'!$E$4:$E$3143),-('Gastos Gerais'!$C$4:$C$3143)))</f>
        <v>0</v>
      </c>
      <c r="AO27" s="134">
        <f>IF($B27="",0,SUMPRODUCT(-('Gastos Gerais'!$F$4:$F$3143='Gastos das Atividades'!$B27),-('Gastos das Atividades'!AO$3&gt;='Gastos Gerais'!$D$4:$D$3143),-('Gastos das Atividades'!AO$3&lt;='Gastos Gerais'!$E$4:$E$3143),-('Gastos Gerais'!$C$4:$C$3143)))</f>
        <v>0</v>
      </c>
      <c r="AP27" s="134">
        <f>IF($B27="",0,SUMPRODUCT(-('Gastos Gerais'!$F$4:$F$3143='Gastos das Atividades'!$B27),-('Gastos das Atividades'!AP$3&gt;='Gastos Gerais'!$D$4:$D$3143),-('Gastos das Atividades'!AP$3&lt;='Gastos Gerais'!$E$4:$E$3143),-('Gastos Gerais'!$C$4:$C$3143)))</f>
        <v>0</v>
      </c>
      <c r="AQ27" s="134">
        <f>IF($B27="",0,SUMPRODUCT(-('Gastos Gerais'!$F$4:$F$3143='Gastos das Atividades'!$B27),-('Gastos das Atividades'!AQ$3&gt;='Gastos Gerais'!$D$4:$D$3143),-('Gastos das Atividades'!AQ$3&lt;='Gastos Gerais'!$E$4:$E$3143),-('Gastos Gerais'!$C$4:$C$3143)))</f>
        <v>0</v>
      </c>
      <c r="AR27" s="134">
        <f>IF($B27="",0,SUMPRODUCT(-('Gastos Gerais'!$F$4:$F$3143='Gastos das Atividades'!$B27),-('Gastos das Atividades'!AR$3&gt;='Gastos Gerais'!$D$4:$D$3143),-('Gastos das Atividades'!AR$3&lt;='Gastos Gerais'!$E$4:$E$3143),-('Gastos Gerais'!$C$4:$C$3143)))</f>
        <v>0</v>
      </c>
      <c r="AS27" s="134">
        <f>IF($B27="",0,SUMPRODUCT(-('Gastos Gerais'!$F$4:$F$3143='Gastos das Atividades'!$B27),-('Gastos das Atividades'!AS$3&gt;='Gastos Gerais'!$D$4:$D$3143),-('Gastos das Atividades'!AS$3&lt;='Gastos Gerais'!$E$4:$E$3143),-('Gastos Gerais'!$C$4:$C$3143)))</f>
        <v>0</v>
      </c>
      <c r="AT27" s="134">
        <f>IF($B27="",0,SUMPRODUCT(-('Gastos Gerais'!$F$4:$F$3143='Gastos das Atividades'!$B27),-('Gastos das Atividades'!AT$3&gt;='Gastos Gerais'!$D$4:$D$3143),-('Gastos das Atividades'!AT$3&lt;='Gastos Gerais'!$E$4:$E$3143),-('Gastos Gerais'!$C$4:$C$3143)))</f>
        <v>0</v>
      </c>
      <c r="AU27" s="134">
        <f>IF($B27="",0,SUMPRODUCT(-('Gastos Gerais'!$F$4:$F$3143='Gastos das Atividades'!$B27),-('Gastos das Atividades'!AU$3&gt;='Gastos Gerais'!$D$4:$D$3143),-('Gastos das Atividades'!AU$3&lt;='Gastos Gerais'!$E$4:$E$3143),-('Gastos Gerais'!$C$4:$C$3143)))</f>
        <v>0</v>
      </c>
      <c r="AV27" s="134">
        <f>IF($B27="",0,SUMPRODUCT(-('Gastos Gerais'!$F$4:$F$3143='Gastos das Atividades'!$B27),-('Gastos das Atividades'!AV$3&gt;='Gastos Gerais'!$D$4:$D$3143),-('Gastos das Atividades'!AV$3&lt;='Gastos Gerais'!$E$4:$E$3143),-('Gastos Gerais'!$C$4:$C$3143)))</f>
        <v>0</v>
      </c>
      <c r="AW27" s="134">
        <f>IF($B27="",0,SUMPRODUCT(-('Gastos Gerais'!$F$4:$F$3143='Gastos das Atividades'!$B27),-('Gastos das Atividades'!AW$3&gt;='Gastos Gerais'!$D$4:$D$3143),-('Gastos das Atividades'!AW$3&lt;='Gastos Gerais'!$E$4:$E$3143),-('Gastos Gerais'!$C$4:$C$3143)))</f>
        <v>0</v>
      </c>
      <c r="AX27" s="134">
        <f>IF($B27="",0,SUMPRODUCT(-('Gastos Gerais'!$F$4:$F$3143='Gastos das Atividades'!$B27),-('Gastos das Atividades'!AX$3&gt;='Gastos Gerais'!$D$4:$D$3143),-('Gastos das Atividades'!AX$3&lt;='Gastos Gerais'!$E$4:$E$3143),-('Gastos Gerais'!$C$4:$C$3143)))</f>
        <v>0</v>
      </c>
      <c r="AY27" s="134">
        <f>IF($B27="",0,SUMPRODUCT(-('Gastos Gerais'!$F$4:$F$3143='Gastos das Atividades'!$B27),-('Gastos das Atividades'!AY$3&gt;='Gastos Gerais'!$D$4:$D$3143),-('Gastos das Atividades'!AY$3&lt;='Gastos Gerais'!$E$4:$E$3143),-('Gastos Gerais'!$C$4:$C$3143)))</f>
        <v>0</v>
      </c>
      <c r="AZ27" s="134">
        <f>IF($B27="",0,SUMPRODUCT(-('Gastos Gerais'!$F$4:$F$3143='Gastos das Atividades'!$B27),-('Gastos das Atividades'!AZ$3&gt;='Gastos Gerais'!$D$4:$D$3143),-('Gastos das Atividades'!AZ$3&lt;='Gastos Gerais'!$E$4:$E$3143),-('Gastos Gerais'!$C$4:$C$3143)))</f>
        <v>0</v>
      </c>
      <c r="BA27" s="134">
        <f>IF($B27="",0,SUMPRODUCT(-('Gastos Gerais'!$F$4:$F$3143='Gastos das Atividades'!$B27),-('Gastos das Atividades'!BA$3&gt;='Gastos Gerais'!$D$4:$D$3143),-('Gastos das Atividades'!BA$3&lt;='Gastos Gerais'!$E$4:$E$3143),-('Gastos Gerais'!$C$4:$C$3143)))</f>
        <v>0</v>
      </c>
      <c r="BB27" s="134">
        <f>IF($B27="",0,SUMPRODUCT(-('Gastos Gerais'!$F$4:$F$3143='Gastos das Atividades'!$B27),-('Gastos das Atividades'!BB$3&gt;='Gastos Gerais'!$D$4:$D$3143),-('Gastos das Atividades'!BB$3&lt;='Gastos Gerais'!$E$4:$E$3143),-('Gastos Gerais'!$C$4:$C$3143)))</f>
        <v>0</v>
      </c>
      <c r="BC27" s="134">
        <f>IF($B27="",0,SUMPRODUCT(-('Gastos Gerais'!$F$4:$F$3143='Gastos das Atividades'!$B27),-('Gastos das Atividades'!BC$3&gt;='Gastos Gerais'!$D$4:$D$3143),-('Gastos das Atividades'!BC$3&lt;='Gastos Gerais'!$E$4:$E$3143),-('Gastos Gerais'!$C$4:$C$3143)))</f>
        <v>0</v>
      </c>
      <c r="BD27" s="134">
        <f>IF($B27="",0,SUMPRODUCT(-('Gastos Gerais'!$F$4:$F$3143='Gastos das Atividades'!$B27),-('Gastos das Atividades'!BD$3&gt;='Gastos Gerais'!$D$4:$D$3143),-('Gastos das Atividades'!BD$3&lt;='Gastos Gerais'!$E$4:$E$3143),-('Gastos Gerais'!$C$4:$C$3143)))</f>
        <v>0</v>
      </c>
      <c r="BE27" s="134">
        <f>IF($B27="",0,SUMPRODUCT(-('Gastos Gerais'!$F$4:$F$3143='Gastos das Atividades'!$B27),-('Gastos das Atividades'!BE$3&gt;='Gastos Gerais'!$D$4:$D$3143),-('Gastos das Atividades'!BE$3&lt;='Gastos Gerais'!$E$4:$E$3143),-('Gastos Gerais'!$C$4:$C$3143)))</f>
        <v>0</v>
      </c>
      <c r="BF27" s="134">
        <f>IF($B27="",0,SUMPRODUCT(-('Gastos Gerais'!$F$4:$F$3143='Gastos das Atividades'!$B27),-('Gastos das Atividades'!BF$3&gt;='Gastos Gerais'!$D$4:$D$3143),-('Gastos das Atividades'!BF$3&lt;='Gastos Gerais'!$E$4:$E$3143),-('Gastos Gerais'!$C$4:$C$3143)))</f>
        <v>0</v>
      </c>
      <c r="BG27" s="134">
        <f>IF($B27="",0,SUMPRODUCT(-('Gastos Gerais'!$F$4:$F$3143='Gastos das Atividades'!$B27),-('Gastos das Atividades'!BG$3&gt;='Gastos Gerais'!$D$4:$D$3143),-('Gastos das Atividades'!BG$3&lt;='Gastos Gerais'!$E$4:$E$3143),-('Gastos Gerais'!$C$4:$C$3143)))</f>
        <v>0</v>
      </c>
      <c r="BH27" s="134">
        <f>IF($B27="",0,SUMPRODUCT(-('Gastos Gerais'!$F$4:$F$3143='Gastos das Atividades'!$B27),-('Gastos das Atividades'!BH$3&gt;='Gastos Gerais'!$D$4:$D$3143),-('Gastos das Atividades'!BH$3&lt;='Gastos Gerais'!$E$4:$E$3143),-('Gastos Gerais'!$C$4:$C$3143)))</f>
        <v>0</v>
      </c>
      <c r="BI27" s="134">
        <f>IF($B27="",0,SUMPRODUCT(-('Gastos Gerais'!$F$4:$F$3143='Gastos das Atividades'!$B27),-('Gastos das Atividades'!BI$3&gt;='Gastos Gerais'!$D$4:$D$3143),-('Gastos das Atividades'!BI$3&lt;='Gastos Gerais'!$E$4:$E$3143),-('Gastos Gerais'!$C$4:$C$3143)))</f>
        <v>0</v>
      </c>
      <c r="BJ27" s="134">
        <f>IF($B27="",0,SUMPRODUCT(-('Gastos Gerais'!$F$4:$F$3143='Gastos das Atividades'!$B27),-('Gastos das Atividades'!BJ$3&gt;='Gastos Gerais'!$D$4:$D$3143),-('Gastos das Atividades'!BJ$3&lt;='Gastos Gerais'!$E$4:$E$3143),-('Gastos Gerais'!$C$4:$C$3143)))</f>
        <v>0</v>
      </c>
      <c r="BK27" s="134">
        <f>IF($B27="",0,SUMPRODUCT(-('Gastos Gerais'!$F$4:$F$3143='Gastos das Atividades'!$B27),-('Gastos das Atividades'!BK$3&gt;='Gastos Gerais'!$D$4:$D$3143),-('Gastos das Atividades'!BK$3&lt;='Gastos Gerais'!$E$4:$E$3143),-('Gastos Gerais'!$C$4:$C$3143)))</f>
        <v>0</v>
      </c>
      <c r="BL27" s="134">
        <f>IF($B27="",0,SUMPRODUCT(-('Gastos Gerais'!$F$4:$F$3143='Gastos das Atividades'!$B27),-('Gastos das Atividades'!BL$3&gt;='Gastos Gerais'!$D$4:$D$3143),-('Gastos das Atividades'!BL$3&lt;='Gastos Gerais'!$E$4:$E$3143),-('Gastos Gerais'!$C$4:$C$3143)))</f>
        <v>0</v>
      </c>
      <c r="BM27" s="134">
        <f>IF($B27="",0,SUMPRODUCT(-('Gastos Gerais'!$F$4:$F$3143='Gastos das Atividades'!$B27),-('Gastos das Atividades'!BM$3&gt;='Gastos Gerais'!$D$4:$D$3143),-('Gastos das Atividades'!BM$3&lt;='Gastos Gerais'!$E$4:$E$3143),-('Gastos Gerais'!$C$4:$C$3143)))</f>
        <v>0</v>
      </c>
      <c r="BN27" s="134">
        <f>IF($B27="",0,SUMPRODUCT(-('Gastos Gerais'!$F$4:$F$3143='Gastos das Atividades'!$B27),-('Gastos das Atividades'!BN$3&gt;='Gastos Gerais'!$D$4:$D$3143),-('Gastos das Atividades'!BN$3&lt;='Gastos Gerais'!$E$4:$E$3143),-('Gastos Gerais'!$C$4:$C$3143)))</f>
        <v>0</v>
      </c>
      <c r="BO27" s="134">
        <f>IF($B27="",0,SUMPRODUCT(-('Gastos Gerais'!$F$4:$F$3143='Gastos das Atividades'!$B27),-('Gastos das Atividades'!BO$3&gt;='Gastos Gerais'!$D$4:$D$3143),-('Gastos das Atividades'!BO$3&lt;='Gastos Gerais'!$E$4:$E$3143),-('Gastos Gerais'!$C$4:$C$3143)))</f>
        <v>0</v>
      </c>
      <c r="BP27" s="134">
        <f>IF($B27="",0,SUMPRODUCT(-('Gastos Gerais'!$F$4:$F$3143='Gastos das Atividades'!$B27),-('Gastos das Atividades'!BP$3&gt;='Gastos Gerais'!$D$4:$D$3143),-('Gastos das Atividades'!BP$3&lt;='Gastos Gerais'!$E$4:$E$3143),-('Gastos Gerais'!$C$4:$C$3143)))</f>
        <v>0</v>
      </c>
      <c r="BQ27" s="134">
        <f>IF($B27="",0,SUMPRODUCT(-('Gastos Gerais'!$F$4:$F$3143='Gastos das Atividades'!$B27),-('Gastos das Atividades'!BQ$3&gt;='Gastos Gerais'!$D$4:$D$3143),-('Gastos das Atividades'!BQ$3&lt;='Gastos Gerais'!$E$4:$E$3143),-('Gastos Gerais'!$C$4:$C$3143)))</f>
        <v>0</v>
      </c>
      <c r="BR27" s="134">
        <f>IF($B27="",0,SUMPRODUCT(-('Gastos Gerais'!$F$4:$F$3143='Gastos das Atividades'!$B27),-('Gastos das Atividades'!BR$3&gt;='Gastos Gerais'!$D$4:$D$3143),-('Gastos das Atividades'!BR$3&lt;='Gastos Gerais'!$E$4:$E$3143),-('Gastos Gerais'!$C$4:$C$3143)))</f>
        <v>0</v>
      </c>
      <c r="BS27" s="134">
        <f>IF($B27="",0,SUMPRODUCT(-('Gastos Gerais'!$F$4:$F$3143='Gastos das Atividades'!$B27),-('Gastos das Atividades'!BS$3&gt;='Gastos Gerais'!$D$4:$D$3143),-('Gastos das Atividades'!BS$3&lt;='Gastos Gerais'!$E$4:$E$3143),-('Gastos Gerais'!$C$4:$C$3143)))</f>
        <v>0</v>
      </c>
      <c r="BT27" s="134">
        <f>IF($B27="",0,SUMPRODUCT(-('Gastos Gerais'!$F$4:$F$3143='Gastos das Atividades'!$B27),-('Gastos das Atividades'!BT$3&gt;='Gastos Gerais'!$D$4:$D$3143),-('Gastos das Atividades'!BT$3&lt;='Gastos Gerais'!$E$4:$E$3143),-('Gastos Gerais'!$C$4:$C$3143)))</f>
        <v>0</v>
      </c>
      <c r="BU27" s="134">
        <f>IF($B27="",0,SUMPRODUCT(-('Gastos Gerais'!$F$4:$F$3143='Gastos das Atividades'!$B27),-('Gastos das Atividades'!BU$3&gt;='Gastos Gerais'!$D$4:$D$3143),-('Gastos das Atividades'!BU$3&lt;='Gastos Gerais'!$E$4:$E$3143),-('Gastos Gerais'!$C$4:$C$3143)))</f>
        <v>0</v>
      </c>
      <c r="BV27" s="134">
        <f>IF($B27="",0,SUMPRODUCT(-('Gastos Gerais'!$F$4:$F$3143='Gastos das Atividades'!$B27),-('Gastos das Atividades'!BV$3&gt;='Gastos Gerais'!$D$4:$D$3143),-('Gastos das Atividades'!BV$3&lt;='Gastos Gerais'!$E$4:$E$3143),-('Gastos Gerais'!$C$4:$C$3143)))</f>
        <v>0</v>
      </c>
      <c r="BW27" s="134">
        <f>IF($B27="",0,SUMPRODUCT(-('Gastos Gerais'!$F$4:$F$3143='Gastos das Atividades'!$B27),-('Gastos das Atividades'!BW$3&gt;='Gastos Gerais'!$D$4:$D$3143),-('Gastos das Atividades'!BW$3&lt;='Gastos Gerais'!$E$4:$E$3143),-('Gastos Gerais'!$C$4:$C$3143)))</f>
        <v>0</v>
      </c>
    </row>
    <row r="28" spans="1:75">
      <c r="A28" s="138">
        <v>25</v>
      </c>
      <c r="B28" s="139"/>
      <c r="C28" s="132">
        <v>0</v>
      </c>
      <c r="D28" s="133">
        <f t="shared" si="0"/>
        <v>0</v>
      </c>
      <c r="E28" s="134">
        <f t="shared" si="1"/>
        <v>0</v>
      </c>
      <c r="F28" s="134">
        <f t="shared" si="1"/>
        <v>0</v>
      </c>
      <c r="G28" s="134">
        <f t="shared" si="1"/>
        <v>0</v>
      </c>
      <c r="H28" s="134">
        <f t="shared" si="1"/>
        <v>0</v>
      </c>
      <c r="I28" s="135">
        <f t="shared" si="2"/>
        <v>0</v>
      </c>
      <c r="J28" s="136">
        <f t="shared" si="3"/>
        <v>0</v>
      </c>
      <c r="K28" s="136">
        <f t="shared" si="4"/>
        <v>0</v>
      </c>
      <c r="L28" s="136">
        <f t="shared" si="5"/>
        <v>0</v>
      </c>
      <c r="M28" s="136">
        <f t="shared" si="6"/>
        <v>0</v>
      </c>
      <c r="N28" s="136">
        <f t="shared" si="7"/>
        <v>0</v>
      </c>
      <c r="O28" s="137">
        <f t="shared" si="8"/>
        <v>0</v>
      </c>
      <c r="P28" s="134">
        <f>IF($B28="",0,SUMPRODUCT(-('Gastos Gerais'!$F$4:$F$3143='Gastos das Atividades'!$B28),-('Gastos das Atividades'!P$3&gt;='Gastos Gerais'!$D$4:$D$3143),-('Gastos das Atividades'!P$3&lt;='Gastos Gerais'!$E$4:$E$3143),-('Gastos Gerais'!$C$4:$C$3143)))</f>
        <v>0</v>
      </c>
      <c r="Q28" s="134">
        <f>IF($B28="",0,SUMPRODUCT(-('Gastos Gerais'!$F$4:$F$3143='Gastos das Atividades'!$B28),-('Gastos das Atividades'!Q$3&gt;='Gastos Gerais'!$D$4:$D$3143),-('Gastos das Atividades'!Q$3&lt;='Gastos Gerais'!$E$4:$E$3143),-('Gastos Gerais'!$C$4:$C$3143)))</f>
        <v>0</v>
      </c>
      <c r="R28" s="134">
        <f>IF($B28="",0,SUMPRODUCT(-('Gastos Gerais'!$F$4:$F$3143='Gastos das Atividades'!$B28),-('Gastos das Atividades'!R$3&gt;='Gastos Gerais'!$D$4:$D$3143),-('Gastos das Atividades'!R$3&lt;='Gastos Gerais'!$E$4:$E$3143),-('Gastos Gerais'!$C$4:$C$3143)))</f>
        <v>0</v>
      </c>
      <c r="S28" s="134">
        <f>IF($B28="",0,SUMPRODUCT(-('Gastos Gerais'!$F$4:$F$3143='Gastos das Atividades'!$B28),-('Gastos das Atividades'!S$3&gt;='Gastos Gerais'!$D$4:$D$3143),-('Gastos das Atividades'!S$3&lt;='Gastos Gerais'!$E$4:$E$3143),-('Gastos Gerais'!$C$4:$C$3143)))</f>
        <v>0</v>
      </c>
      <c r="T28" s="134">
        <f>IF($B28="",0,SUMPRODUCT(-('Gastos Gerais'!$F$4:$F$3143='Gastos das Atividades'!$B28),-('Gastos das Atividades'!T$3&gt;='Gastos Gerais'!$D$4:$D$3143),-('Gastos das Atividades'!T$3&lt;='Gastos Gerais'!$E$4:$E$3143),-('Gastos Gerais'!$C$4:$C$3143)))</f>
        <v>0</v>
      </c>
      <c r="U28" s="134">
        <f>IF($B28="",0,SUMPRODUCT(-('Gastos Gerais'!$F$4:$F$3143='Gastos das Atividades'!$B28),-('Gastos das Atividades'!U$3&gt;='Gastos Gerais'!$D$4:$D$3143),-('Gastos das Atividades'!U$3&lt;='Gastos Gerais'!$E$4:$E$3143),-('Gastos Gerais'!$C$4:$C$3143)))</f>
        <v>0</v>
      </c>
      <c r="V28" s="134">
        <f>IF($B28="",0,SUMPRODUCT(-('Gastos Gerais'!$F$4:$F$3143='Gastos das Atividades'!$B28),-('Gastos das Atividades'!V$3&gt;='Gastos Gerais'!$D$4:$D$3143),-('Gastos das Atividades'!V$3&lt;='Gastos Gerais'!$E$4:$E$3143),-('Gastos Gerais'!$C$4:$C$3143)))</f>
        <v>0</v>
      </c>
      <c r="W28" s="134">
        <f>IF($B28="",0,SUMPRODUCT(-('Gastos Gerais'!$F$4:$F$3143='Gastos das Atividades'!$B28),-('Gastos das Atividades'!W$3&gt;='Gastos Gerais'!$D$4:$D$3143),-('Gastos das Atividades'!W$3&lt;='Gastos Gerais'!$E$4:$E$3143),-('Gastos Gerais'!$C$4:$C$3143)))</f>
        <v>0</v>
      </c>
      <c r="X28" s="134">
        <f>IF($B28="",0,SUMPRODUCT(-('Gastos Gerais'!$F$4:$F$3143='Gastos das Atividades'!$B28),-('Gastos das Atividades'!X$3&gt;='Gastos Gerais'!$D$4:$D$3143),-('Gastos das Atividades'!X$3&lt;='Gastos Gerais'!$E$4:$E$3143),-('Gastos Gerais'!$C$4:$C$3143)))</f>
        <v>0</v>
      </c>
      <c r="Y28" s="134">
        <f>IF($B28="",0,SUMPRODUCT(-('Gastos Gerais'!$F$4:$F$3143='Gastos das Atividades'!$B28),-('Gastos das Atividades'!Y$3&gt;='Gastos Gerais'!$D$4:$D$3143),-('Gastos das Atividades'!Y$3&lt;='Gastos Gerais'!$E$4:$E$3143),-('Gastos Gerais'!$C$4:$C$3143)))</f>
        <v>0</v>
      </c>
      <c r="Z28" s="134">
        <f>IF($B28="",0,SUMPRODUCT(-('Gastos Gerais'!$F$4:$F$3143='Gastos das Atividades'!$B28),-('Gastos das Atividades'!Z$3&gt;='Gastos Gerais'!$D$4:$D$3143),-('Gastos das Atividades'!Z$3&lt;='Gastos Gerais'!$E$4:$E$3143),-('Gastos Gerais'!$C$4:$C$3143)))</f>
        <v>0</v>
      </c>
      <c r="AA28" s="134">
        <f>IF($B28="",0,SUMPRODUCT(-('Gastos Gerais'!$F$4:$F$3143='Gastos das Atividades'!$B28),-('Gastos das Atividades'!AA$3&gt;='Gastos Gerais'!$D$4:$D$3143),-('Gastos das Atividades'!AA$3&lt;='Gastos Gerais'!$E$4:$E$3143),-('Gastos Gerais'!$C$4:$C$3143)))</f>
        <v>0</v>
      </c>
      <c r="AB28" s="134">
        <f>IF($B28="",0,SUMPRODUCT(-('Gastos Gerais'!$F$4:$F$3143='Gastos das Atividades'!$B28),-('Gastos das Atividades'!AB$3&gt;='Gastos Gerais'!$D$4:$D$3143),-('Gastos das Atividades'!AB$3&lt;='Gastos Gerais'!$E$4:$E$3143),-('Gastos Gerais'!$C$4:$C$3143)))</f>
        <v>0</v>
      </c>
      <c r="AC28" s="134">
        <f>IF($B28="",0,SUMPRODUCT(-('Gastos Gerais'!$F$4:$F$3143='Gastos das Atividades'!$B28),-('Gastos das Atividades'!AC$3&gt;='Gastos Gerais'!$D$4:$D$3143),-('Gastos das Atividades'!AC$3&lt;='Gastos Gerais'!$E$4:$E$3143),-('Gastos Gerais'!$C$4:$C$3143)))</f>
        <v>0</v>
      </c>
      <c r="AD28" s="134">
        <f>IF($B28="",0,SUMPRODUCT(-('Gastos Gerais'!$F$4:$F$3143='Gastos das Atividades'!$B28),-('Gastos das Atividades'!AD$3&gt;='Gastos Gerais'!$D$4:$D$3143),-('Gastos das Atividades'!AD$3&lt;='Gastos Gerais'!$E$4:$E$3143),-('Gastos Gerais'!$C$4:$C$3143)))</f>
        <v>0</v>
      </c>
      <c r="AE28" s="134">
        <f>IF($B28="",0,SUMPRODUCT(-('Gastos Gerais'!$F$4:$F$3143='Gastos das Atividades'!$B28),-('Gastos das Atividades'!AE$3&gt;='Gastos Gerais'!$D$4:$D$3143),-('Gastos das Atividades'!AE$3&lt;='Gastos Gerais'!$E$4:$E$3143),-('Gastos Gerais'!$C$4:$C$3143)))</f>
        <v>0</v>
      </c>
      <c r="AF28" s="134">
        <f>IF($B28="",0,SUMPRODUCT(-('Gastos Gerais'!$F$4:$F$3143='Gastos das Atividades'!$B28),-('Gastos das Atividades'!AF$3&gt;='Gastos Gerais'!$D$4:$D$3143),-('Gastos das Atividades'!AF$3&lt;='Gastos Gerais'!$E$4:$E$3143),-('Gastos Gerais'!$C$4:$C$3143)))</f>
        <v>0</v>
      </c>
      <c r="AG28" s="134">
        <f>IF($B28="",0,SUMPRODUCT(-('Gastos Gerais'!$F$4:$F$3143='Gastos das Atividades'!$B28),-('Gastos das Atividades'!AG$3&gt;='Gastos Gerais'!$D$4:$D$3143),-('Gastos das Atividades'!AG$3&lt;='Gastos Gerais'!$E$4:$E$3143),-('Gastos Gerais'!$C$4:$C$3143)))</f>
        <v>0</v>
      </c>
      <c r="AH28" s="134">
        <f>IF($B28="",0,SUMPRODUCT(-('Gastos Gerais'!$F$4:$F$3143='Gastos das Atividades'!$B28),-('Gastos das Atividades'!AH$3&gt;='Gastos Gerais'!$D$4:$D$3143),-('Gastos das Atividades'!AH$3&lt;='Gastos Gerais'!$E$4:$E$3143),-('Gastos Gerais'!$C$4:$C$3143)))</f>
        <v>0</v>
      </c>
      <c r="AI28" s="134">
        <f>IF($B28="",0,SUMPRODUCT(-('Gastos Gerais'!$F$4:$F$3143='Gastos das Atividades'!$B28),-('Gastos das Atividades'!AI$3&gt;='Gastos Gerais'!$D$4:$D$3143),-('Gastos das Atividades'!AI$3&lt;='Gastos Gerais'!$E$4:$E$3143),-('Gastos Gerais'!$C$4:$C$3143)))</f>
        <v>0</v>
      </c>
      <c r="AJ28" s="134">
        <f>IF($B28="",0,SUMPRODUCT(-('Gastos Gerais'!$F$4:$F$3143='Gastos das Atividades'!$B28),-('Gastos das Atividades'!AJ$3&gt;='Gastos Gerais'!$D$4:$D$3143),-('Gastos das Atividades'!AJ$3&lt;='Gastos Gerais'!$E$4:$E$3143),-('Gastos Gerais'!$C$4:$C$3143)))</f>
        <v>0</v>
      </c>
      <c r="AK28" s="134">
        <f>IF($B28="",0,SUMPRODUCT(-('Gastos Gerais'!$F$4:$F$3143='Gastos das Atividades'!$B28),-('Gastos das Atividades'!AK$3&gt;='Gastos Gerais'!$D$4:$D$3143),-('Gastos das Atividades'!AK$3&lt;='Gastos Gerais'!$E$4:$E$3143),-('Gastos Gerais'!$C$4:$C$3143)))</f>
        <v>0</v>
      </c>
      <c r="AL28" s="134">
        <f>IF($B28="",0,SUMPRODUCT(-('Gastos Gerais'!$F$4:$F$3143='Gastos das Atividades'!$B28),-('Gastos das Atividades'!AL$3&gt;='Gastos Gerais'!$D$4:$D$3143),-('Gastos das Atividades'!AL$3&lt;='Gastos Gerais'!$E$4:$E$3143),-('Gastos Gerais'!$C$4:$C$3143)))</f>
        <v>0</v>
      </c>
      <c r="AM28" s="134">
        <f>IF($B28="",0,SUMPRODUCT(-('Gastos Gerais'!$F$4:$F$3143='Gastos das Atividades'!$B28),-('Gastos das Atividades'!AM$3&gt;='Gastos Gerais'!$D$4:$D$3143),-('Gastos das Atividades'!AM$3&lt;='Gastos Gerais'!$E$4:$E$3143),-('Gastos Gerais'!$C$4:$C$3143)))</f>
        <v>0</v>
      </c>
      <c r="AN28" s="134">
        <f>IF($B28="",0,SUMPRODUCT(-('Gastos Gerais'!$F$4:$F$3143='Gastos das Atividades'!$B28),-('Gastos das Atividades'!AN$3&gt;='Gastos Gerais'!$D$4:$D$3143),-('Gastos das Atividades'!AN$3&lt;='Gastos Gerais'!$E$4:$E$3143),-('Gastos Gerais'!$C$4:$C$3143)))</f>
        <v>0</v>
      </c>
      <c r="AO28" s="134">
        <f>IF($B28="",0,SUMPRODUCT(-('Gastos Gerais'!$F$4:$F$3143='Gastos das Atividades'!$B28),-('Gastos das Atividades'!AO$3&gt;='Gastos Gerais'!$D$4:$D$3143),-('Gastos das Atividades'!AO$3&lt;='Gastos Gerais'!$E$4:$E$3143),-('Gastos Gerais'!$C$4:$C$3143)))</f>
        <v>0</v>
      </c>
      <c r="AP28" s="134">
        <f>IF($B28="",0,SUMPRODUCT(-('Gastos Gerais'!$F$4:$F$3143='Gastos das Atividades'!$B28),-('Gastos das Atividades'!AP$3&gt;='Gastos Gerais'!$D$4:$D$3143),-('Gastos das Atividades'!AP$3&lt;='Gastos Gerais'!$E$4:$E$3143),-('Gastos Gerais'!$C$4:$C$3143)))</f>
        <v>0</v>
      </c>
      <c r="AQ28" s="134">
        <f>IF($B28="",0,SUMPRODUCT(-('Gastos Gerais'!$F$4:$F$3143='Gastos das Atividades'!$B28),-('Gastos das Atividades'!AQ$3&gt;='Gastos Gerais'!$D$4:$D$3143),-('Gastos das Atividades'!AQ$3&lt;='Gastos Gerais'!$E$4:$E$3143),-('Gastos Gerais'!$C$4:$C$3143)))</f>
        <v>0</v>
      </c>
      <c r="AR28" s="134">
        <f>IF($B28="",0,SUMPRODUCT(-('Gastos Gerais'!$F$4:$F$3143='Gastos das Atividades'!$B28),-('Gastos das Atividades'!AR$3&gt;='Gastos Gerais'!$D$4:$D$3143),-('Gastos das Atividades'!AR$3&lt;='Gastos Gerais'!$E$4:$E$3143),-('Gastos Gerais'!$C$4:$C$3143)))</f>
        <v>0</v>
      </c>
      <c r="AS28" s="134">
        <f>IF($B28="",0,SUMPRODUCT(-('Gastos Gerais'!$F$4:$F$3143='Gastos das Atividades'!$B28),-('Gastos das Atividades'!AS$3&gt;='Gastos Gerais'!$D$4:$D$3143),-('Gastos das Atividades'!AS$3&lt;='Gastos Gerais'!$E$4:$E$3143),-('Gastos Gerais'!$C$4:$C$3143)))</f>
        <v>0</v>
      </c>
      <c r="AT28" s="134">
        <f>IF($B28="",0,SUMPRODUCT(-('Gastos Gerais'!$F$4:$F$3143='Gastos das Atividades'!$B28),-('Gastos das Atividades'!AT$3&gt;='Gastos Gerais'!$D$4:$D$3143),-('Gastos das Atividades'!AT$3&lt;='Gastos Gerais'!$E$4:$E$3143),-('Gastos Gerais'!$C$4:$C$3143)))</f>
        <v>0</v>
      </c>
      <c r="AU28" s="134">
        <f>IF($B28="",0,SUMPRODUCT(-('Gastos Gerais'!$F$4:$F$3143='Gastos das Atividades'!$B28),-('Gastos das Atividades'!AU$3&gt;='Gastos Gerais'!$D$4:$D$3143),-('Gastos das Atividades'!AU$3&lt;='Gastos Gerais'!$E$4:$E$3143),-('Gastos Gerais'!$C$4:$C$3143)))</f>
        <v>0</v>
      </c>
      <c r="AV28" s="134">
        <f>IF($B28="",0,SUMPRODUCT(-('Gastos Gerais'!$F$4:$F$3143='Gastos das Atividades'!$B28),-('Gastos das Atividades'!AV$3&gt;='Gastos Gerais'!$D$4:$D$3143),-('Gastos das Atividades'!AV$3&lt;='Gastos Gerais'!$E$4:$E$3143),-('Gastos Gerais'!$C$4:$C$3143)))</f>
        <v>0</v>
      </c>
      <c r="AW28" s="134">
        <f>IF($B28="",0,SUMPRODUCT(-('Gastos Gerais'!$F$4:$F$3143='Gastos das Atividades'!$B28),-('Gastos das Atividades'!AW$3&gt;='Gastos Gerais'!$D$4:$D$3143),-('Gastos das Atividades'!AW$3&lt;='Gastos Gerais'!$E$4:$E$3143),-('Gastos Gerais'!$C$4:$C$3143)))</f>
        <v>0</v>
      </c>
      <c r="AX28" s="134">
        <f>IF($B28="",0,SUMPRODUCT(-('Gastos Gerais'!$F$4:$F$3143='Gastos das Atividades'!$B28),-('Gastos das Atividades'!AX$3&gt;='Gastos Gerais'!$D$4:$D$3143),-('Gastos das Atividades'!AX$3&lt;='Gastos Gerais'!$E$4:$E$3143),-('Gastos Gerais'!$C$4:$C$3143)))</f>
        <v>0</v>
      </c>
      <c r="AY28" s="134">
        <f>IF($B28="",0,SUMPRODUCT(-('Gastos Gerais'!$F$4:$F$3143='Gastos das Atividades'!$B28),-('Gastos das Atividades'!AY$3&gt;='Gastos Gerais'!$D$4:$D$3143),-('Gastos das Atividades'!AY$3&lt;='Gastos Gerais'!$E$4:$E$3143),-('Gastos Gerais'!$C$4:$C$3143)))</f>
        <v>0</v>
      </c>
      <c r="AZ28" s="134">
        <f>IF($B28="",0,SUMPRODUCT(-('Gastos Gerais'!$F$4:$F$3143='Gastos das Atividades'!$B28),-('Gastos das Atividades'!AZ$3&gt;='Gastos Gerais'!$D$4:$D$3143),-('Gastos das Atividades'!AZ$3&lt;='Gastos Gerais'!$E$4:$E$3143),-('Gastos Gerais'!$C$4:$C$3143)))</f>
        <v>0</v>
      </c>
      <c r="BA28" s="134">
        <f>IF($B28="",0,SUMPRODUCT(-('Gastos Gerais'!$F$4:$F$3143='Gastos das Atividades'!$B28),-('Gastos das Atividades'!BA$3&gt;='Gastos Gerais'!$D$4:$D$3143),-('Gastos das Atividades'!BA$3&lt;='Gastos Gerais'!$E$4:$E$3143),-('Gastos Gerais'!$C$4:$C$3143)))</f>
        <v>0</v>
      </c>
      <c r="BB28" s="134">
        <f>IF($B28="",0,SUMPRODUCT(-('Gastos Gerais'!$F$4:$F$3143='Gastos das Atividades'!$B28),-('Gastos das Atividades'!BB$3&gt;='Gastos Gerais'!$D$4:$D$3143),-('Gastos das Atividades'!BB$3&lt;='Gastos Gerais'!$E$4:$E$3143),-('Gastos Gerais'!$C$4:$C$3143)))</f>
        <v>0</v>
      </c>
      <c r="BC28" s="134">
        <f>IF($B28="",0,SUMPRODUCT(-('Gastos Gerais'!$F$4:$F$3143='Gastos das Atividades'!$B28),-('Gastos das Atividades'!BC$3&gt;='Gastos Gerais'!$D$4:$D$3143),-('Gastos das Atividades'!BC$3&lt;='Gastos Gerais'!$E$4:$E$3143),-('Gastos Gerais'!$C$4:$C$3143)))</f>
        <v>0</v>
      </c>
      <c r="BD28" s="134">
        <f>IF($B28="",0,SUMPRODUCT(-('Gastos Gerais'!$F$4:$F$3143='Gastos das Atividades'!$B28),-('Gastos das Atividades'!BD$3&gt;='Gastos Gerais'!$D$4:$D$3143),-('Gastos das Atividades'!BD$3&lt;='Gastos Gerais'!$E$4:$E$3143),-('Gastos Gerais'!$C$4:$C$3143)))</f>
        <v>0</v>
      </c>
      <c r="BE28" s="134">
        <f>IF($B28="",0,SUMPRODUCT(-('Gastos Gerais'!$F$4:$F$3143='Gastos das Atividades'!$B28),-('Gastos das Atividades'!BE$3&gt;='Gastos Gerais'!$D$4:$D$3143),-('Gastos das Atividades'!BE$3&lt;='Gastos Gerais'!$E$4:$E$3143),-('Gastos Gerais'!$C$4:$C$3143)))</f>
        <v>0</v>
      </c>
      <c r="BF28" s="134">
        <f>IF($B28="",0,SUMPRODUCT(-('Gastos Gerais'!$F$4:$F$3143='Gastos das Atividades'!$B28),-('Gastos das Atividades'!BF$3&gt;='Gastos Gerais'!$D$4:$D$3143),-('Gastos das Atividades'!BF$3&lt;='Gastos Gerais'!$E$4:$E$3143),-('Gastos Gerais'!$C$4:$C$3143)))</f>
        <v>0</v>
      </c>
      <c r="BG28" s="134">
        <f>IF($B28="",0,SUMPRODUCT(-('Gastos Gerais'!$F$4:$F$3143='Gastos das Atividades'!$B28),-('Gastos das Atividades'!BG$3&gt;='Gastos Gerais'!$D$4:$D$3143),-('Gastos das Atividades'!BG$3&lt;='Gastos Gerais'!$E$4:$E$3143),-('Gastos Gerais'!$C$4:$C$3143)))</f>
        <v>0</v>
      </c>
      <c r="BH28" s="134">
        <f>IF($B28="",0,SUMPRODUCT(-('Gastos Gerais'!$F$4:$F$3143='Gastos das Atividades'!$B28),-('Gastos das Atividades'!BH$3&gt;='Gastos Gerais'!$D$4:$D$3143),-('Gastos das Atividades'!BH$3&lt;='Gastos Gerais'!$E$4:$E$3143),-('Gastos Gerais'!$C$4:$C$3143)))</f>
        <v>0</v>
      </c>
      <c r="BI28" s="134">
        <f>IF($B28="",0,SUMPRODUCT(-('Gastos Gerais'!$F$4:$F$3143='Gastos das Atividades'!$B28),-('Gastos das Atividades'!BI$3&gt;='Gastos Gerais'!$D$4:$D$3143),-('Gastos das Atividades'!BI$3&lt;='Gastos Gerais'!$E$4:$E$3143),-('Gastos Gerais'!$C$4:$C$3143)))</f>
        <v>0</v>
      </c>
      <c r="BJ28" s="134">
        <f>IF($B28="",0,SUMPRODUCT(-('Gastos Gerais'!$F$4:$F$3143='Gastos das Atividades'!$B28),-('Gastos das Atividades'!BJ$3&gt;='Gastos Gerais'!$D$4:$D$3143),-('Gastos das Atividades'!BJ$3&lt;='Gastos Gerais'!$E$4:$E$3143),-('Gastos Gerais'!$C$4:$C$3143)))</f>
        <v>0</v>
      </c>
      <c r="BK28" s="134">
        <f>IF($B28="",0,SUMPRODUCT(-('Gastos Gerais'!$F$4:$F$3143='Gastos das Atividades'!$B28),-('Gastos das Atividades'!BK$3&gt;='Gastos Gerais'!$D$4:$D$3143),-('Gastos das Atividades'!BK$3&lt;='Gastos Gerais'!$E$4:$E$3143),-('Gastos Gerais'!$C$4:$C$3143)))</f>
        <v>0</v>
      </c>
      <c r="BL28" s="134">
        <f>IF($B28="",0,SUMPRODUCT(-('Gastos Gerais'!$F$4:$F$3143='Gastos das Atividades'!$B28),-('Gastos das Atividades'!BL$3&gt;='Gastos Gerais'!$D$4:$D$3143),-('Gastos das Atividades'!BL$3&lt;='Gastos Gerais'!$E$4:$E$3143),-('Gastos Gerais'!$C$4:$C$3143)))</f>
        <v>0</v>
      </c>
      <c r="BM28" s="134">
        <f>IF($B28="",0,SUMPRODUCT(-('Gastos Gerais'!$F$4:$F$3143='Gastos das Atividades'!$B28),-('Gastos das Atividades'!BM$3&gt;='Gastos Gerais'!$D$4:$D$3143),-('Gastos das Atividades'!BM$3&lt;='Gastos Gerais'!$E$4:$E$3143),-('Gastos Gerais'!$C$4:$C$3143)))</f>
        <v>0</v>
      </c>
      <c r="BN28" s="134">
        <f>IF($B28="",0,SUMPRODUCT(-('Gastos Gerais'!$F$4:$F$3143='Gastos das Atividades'!$B28),-('Gastos das Atividades'!BN$3&gt;='Gastos Gerais'!$D$4:$D$3143),-('Gastos das Atividades'!BN$3&lt;='Gastos Gerais'!$E$4:$E$3143),-('Gastos Gerais'!$C$4:$C$3143)))</f>
        <v>0</v>
      </c>
      <c r="BO28" s="134">
        <f>IF($B28="",0,SUMPRODUCT(-('Gastos Gerais'!$F$4:$F$3143='Gastos das Atividades'!$B28),-('Gastos das Atividades'!BO$3&gt;='Gastos Gerais'!$D$4:$D$3143),-('Gastos das Atividades'!BO$3&lt;='Gastos Gerais'!$E$4:$E$3143),-('Gastos Gerais'!$C$4:$C$3143)))</f>
        <v>0</v>
      </c>
      <c r="BP28" s="134">
        <f>IF($B28="",0,SUMPRODUCT(-('Gastos Gerais'!$F$4:$F$3143='Gastos das Atividades'!$B28),-('Gastos das Atividades'!BP$3&gt;='Gastos Gerais'!$D$4:$D$3143),-('Gastos das Atividades'!BP$3&lt;='Gastos Gerais'!$E$4:$E$3143),-('Gastos Gerais'!$C$4:$C$3143)))</f>
        <v>0</v>
      </c>
      <c r="BQ28" s="134">
        <f>IF($B28="",0,SUMPRODUCT(-('Gastos Gerais'!$F$4:$F$3143='Gastos das Atividades'!$B28),-('Gastos das Atividades'!BQ$3&gt;='Gastos Gerais'!$D$4:$D$3143),-('Gastos das Atividades'!BQ$3&lt;='Gastos Gerais'!$E$4:$E$3143),-('Gastos Gerais'!$C$4:$C$3143)))</f>
        <v>0</v>
      </c>
      <c r="BR28" s="134">
        <f>IF($B28="",0,SUMPRODUCT(-('Gastos Gerais'!$F$4:$F$3143='Gastos das Atividades'!$B28),-('Gastos das Atividades'!BR$3&gt;='Gastos Gerais'!$D$4:$D$3143),-('Gastos das Atividades'!BR$3&lt;='Gastos Gerais'!$E$4:$E$3143),-('Gastos Gerais'!$C$4:$C$3143)))</f>
        <v>0</v>
      </c>
      <c r="BS28" s="134">
        <f>IF($B28="",0,SUMPRODUCT(-('Gastos Gerais'!$F$4:$F$3143='Gastos das Atividades'!$B28),-('Gastos das Atividades'!BS$3&gt;='Gastos Gerais'!$D$4:$D$3143),-('Gastos das Atividades'!BS$3&lt;='Gastos Gerais'!$E$4:$E$3143),-('Gastos Gerais'!$C$4:$C$3143)))</f>
        <v>0</v>
      </c>
      <c r="BT28" s="134">
        <f>IF($B28="",0,SUMPRODUCT(-('Gastos Gerais'!$F$4:$F$3143='Gastos das Atividades'!$B28),-('Gastos das Atividades'!BT$3&gt;='Gastos Gerais'!$D$4:$D$3143),-('Gastos das Atividades'!BT$3&lt;='Gastos Gerais'!$E$4:$E$3143),-('Gastos Gerais'!$C$4:$C$3143)))</f>
        <v>0</v>
      </c>
      <c r="BU28" s="134">
        <f>IF($B28="",0,SUMPRODUCT(-('Gastos Gerais'!$F$4:$F$3143='Gastos das Atividades'!$B28),-('Gastos das Atividades'!BU$3&gt;='Gastos Gerais'!$D$4:$D$3143),-('Gastos das Atividades'!BU$3&lt;='Gastos Gerais'!$E$4:$E$3143),-('Gastos Gerais'!$C$4:$C$3143)))</f>
        <v>0</v>
      </c>
      <c r="BV28" s="134">
        <f>IF($B28="",0,SUMPRODUCT(-('Gastos Gerais'!$F$4:$F$3143='Gastos das Atividades'!$B28),-('Gastos das Atividades'!BV$3&gt;='Gastos Gerais'!$D$4:$D$3143),-('Gastos das Atividades'!BV$3&lt;='Gastos Gerais'!$E$4:$E$3143),-('Gastos Gerais'!$C$4:$C$3143)))</f>
        <v>0</v>
      </c>
      <c r="BW28" s="134">
        <f>IF($B28="",0,SUMPRODUCT(-('Gastos Gerais'!$F$4:$F$3143='Gastos das Atividades'!$B28),-('Gastos das Atividades'!BW$3&gt;='Gastos Gerais'!$D$4:$D$3143),-('Gastos das Atividades'!BW$3&lt;='Gastos Gerais'!$E$4:$E$3143),-('Gastos Gerais'!$C$4:$C$3143)))</f>
        <v>0</v>
      </c>
    </row>
    <row r="29" spans="1:75">
      <c r="A29" s="138">
        <v>26</v>
      </c>
      <c r="B29" s="139"/>
      <c r="C29" s="132">
        <v>0</v>
      </c>
      <c r="D29" s="133">
        <f t="shared" si="0"/>
        <v>0</v>
      </c>
      <c r="E29" s="134">
        <f t="shared" si="1"/>
        <v>0</v>
      </c>
      <c r="F29" s="134">
        <f t="shared" si="1"/>
        <v>0</v>
      </c>
      <c r="G29" s="134">
        <f t="shared" si="1"/>
        <v>0</v>
      </c>
      <c r="H29" s="134">
        <f t="shared" si="1"/>
        <v>0</v>
      </c>
      <c r="I29" s="135">
        <f t="shared" si="2"/>
        <v>0</v>
      </c>
      <c r="J29" s="136">
        <f t="shared" si="3"/>
        <v>0</v>
      </c>
      <c r="K29" s="136">
        <f t="shared" si="4"/>
        <v>0</v>
      </c>
      <c r="L29" s="136">
        <f t="shared" si="5"/>
        <v>0</v>
      </c>
      <c r="M29" s="136">
        <f t="shared" si="6"/>
        <v>0</v>
      </c>
      <c r="N29" s="136">
        <f t="shared" si="7"/>
        <v>0</v>
      </c>
      <c r="O29" s="137">
        <f t="shared" si="8"/>
        <v>0</v>
      </c>
      <c r="P29" s="134">
        <f>IF($B29="",0,SUMPRODUCT(-('Gastos Gerais'!$F$4:$F$3143='Gastos das Atividades'!$B29),-('Gastos das Atividades'!P$3&gt;='Gastos Gerais'!$D$4:$D$3143),-('Gastos das Atividades'!P$3&lt;='Gastos Gerais'!$E$4:$E$3143),-('Gastos Gerais'!$C$4:$C$3143)))</f>
        <v>0</v>
      </c>
      <c r="Q29" s="134">
        <f>IF($B29="",0,SUMPRODUCT(-('Gastos Gerais'!$F$4:$F$3143='Gastos das Atividades'!$B29),-('Gastos das Atividades'!Q$3&gt;='Gastos Gerais'!$D$4:$D$3143),-('Gastos das Atividades'!Q$3&lt;='Gastos Gerais'!$E$4:$E$3143),-('Gastos Gerais'!$C$4:$C$3143)))</f>
        <v>0</v>
      </c>
      <c r="R29" s="134">
        <f>IF($B29="",0,SUMPRODUCT(-('Gastos Gerais'!$F$4:$F$3143='Gastos das Atividades'!$B29),-('Gastos das Atividades'!R$3&gt;='Gastos Gerais'!$D$4:$D$3143),-('Gastos das Atividades'!R$3&lt;='Gastos Gerais'!$E$4:$E$3143),-('Gastos Gerais'!$C$4:$C$3143)))</f>
        <v>0</v>
      </c>
      <c r="S29" s="134">
        <f>IF($B29="",0,SUMPRODUCT(-('Gastos Gerais'!$F$4:$F$3143='Gastos das Atividades'!$B29),-('Gastos das Atividades'!S$3&gt;='Gastos Gerais'!$D$4:$D$3143),-('Gastos das Atividades'!S$3&lt;='Gastos Gerais'!$E$4:$E$3143),-('Gastos Gerais'!$C$4:$C$3143)))</f>
        <v>0</v>
      </c>
      <c r="T29" s="134">
        <f>IF($B29="",0,SUMPRODUCT(-('Gastos Gerais'!$F$4:$F$3143='Gastos das Atividades'!$B29),-('Gastos das Atividades'!T$3&gt;='Gastos Gerais'!$D$4:$D$3143),-('Gastos das Atividades'!T$3&lt;='Gastos Gerais'!$E$4:$E$3143),-('Gastos Gerais'!$C$4:$C$3143)))</f>
        <v>0</v>
      </c>
      <c r="U29" s="134">
        <f>IF($B29="",0,SUMPRODUCT(-('Gastos Gerais'!$F$4:$F$3143='Gastos das Atividades'!$B29),-('Gastos das Atividades'!U$3&gt;='Gastos Gerais'!$D$4:$D$3143),-('Gastos das Atividades'!U$3&lt;='Gastos Gerais'!$E$4:$E$3143),-('Gastos Gerais'!$C$4:$C$3143)))</f>
        <v>0</v>
      </c>
      <c r="V29" s="134">
        <f>IF($B29="",0,SUMPRODUCT(-('Gastos Gerais'!$F$4:$F$3143='Gastos das Atividades'!$B29),-('Gastos das Atividades'!V$3&gt;='Gastos Gerais'!$D$4:$D$3143),-('Gastos das Atividades'!V$3&lt;='Gastos Gerais'!$E$4:$E$3143),-('Gastos Gerais'!$C$4:$C$3143)))</f>
        <v>0</v>
      </c>
      <c r="W29" s="134">
        <f>IF($B29="",0,SUMPRODUCT(-('Gastos Gerais'!$F$4:$F$3143='Gastos das Atividades'!$B29),-('Gastos das Atividades'!W$3&gt;='Gastos Gerais'!$D$4:$D$3143),-('Gastos das Atividades'!W$3&lt;='Gastos Gerais'!$E$4:$E$3143),-('Gastos Gerais'!$C$4:$C$3143)))</f>
        <v>0</v>
      </c>
      <c r="X29" s="134">
        <f>IF($B29="",0,SUMPRODUCT(-('Gastos Gerais'!$F$4:$F$3143='Gastos das Atividades'!$B29),-('Gastos das Atividades'!X$3&gt;='Gastos Gerais'!$D$4:$D$3143),-('Gastos das Atividades'!X$3&lt;='Gastos Gerais'!$E$4:$E$3143),-('Gastos Gerais'!$C$4:$C$3143)))</f>
        <v>0</v>
      </c>
      <c r="Y29" s="134">
        <f>IF($B29="",0,SUMPRODUCT(-('Gastos Gerais'!$F$4:$F$3143='Gastos das Atividades'!$B29),-('Gastos das Atividades'!Y$3&gt;='Gastos Gerais'!$D$4:$D$3143),-('Gastos das Atividades'!Y$3&lt;='Gastos Gerais'!$E$4:$E$3143),-('Gastos Gerais'!$C$4:$C$3143)))</f>
        <v>0</v>
      </c>
      <c r="Z29" s="134">
        <f>IF($B29="",0,SUMPRODUCT(-('Gastos Gerais'!$F$4:$F$3143='Gastos das Atividades'!$B29),-('Gastos das Atividades'!Z$3&gt;='Gastos Gerais'!$D$4:$D$3143),-('Gastos das Atividades'!Z$3&lt;='Gastos Gerais'!$E$4:$E$3143),-('Gastos Gerais'!$C$4:$C$3143)))</f>
        <v>0</v>
      </c>
      <c r="AA29" s="134">
        <f>IF($B29="",0,SUMPRODUCT(-('Gastos Gerais'!$F$4:$F$3143='Gastos das Atividades'!$B29),-('Gastos das Atividades'!AA$3&gt;='Gastos Gerais'!$D$4:$D$3143),-('Gastos das Atividades'!AA$3&lt;='Gastos Gerais'!$E$4:$E$3143),-('Gastos Gerais'!$C$4:$C$3143)))</f>
        <v>0</v>
      </c>
      <c r="AB29" s="134">
        <f>IF($B29="",0,SUMPRODUCT(-('Gastos Gerais'!$F$4:$F$3143='Gastos das Atividades'!$B29),-('Gastos das Atividades'!AB$3&gt;='Gastos Gerais'!$D$4:$D$3143),-('Gastos das Atividades'!AB$3&lt;='Gastos Gerais'!$E$4:$E$3143),-('Gastos Gerais'!$C$4:$C$3143)))</f>
        <v>0</v>
      </c>
      <c r="AC29" s="134">
        <f>IF($B29="",0,SUMPRODUCT(-('Gastos Gerais'!$F$4:$F$3143='Gastos das Atividades'!$B29),-('Gastos das Atividades'!AC$3&gt;='Gastos Gerais'!$D$4:$D$3143),-('Gastos das Atividades'!AC$3&lt;='Gastos Gerais'!$E$4:$E$3143),-('Gastos Gerais'!$C$4:$C$3143)))</f>
        <v>0</v>
      </c>
      <c r="AD29" s="134">
        <f>IF($B29="",0,SUMPRODUCT(-('Gastos Gerais'!$F$4:$F$3143='Gastos das Atividades'!$B29),-('Gastos das Atividades'!AD$3&gt;='Gastos Gerais'!$D$4:$D$3143),-('Gastos das Atividades'!AD$3&lt;='Gastos Gerais'!$E$4:$E$3143),-('Gastos Gerais'!$C$4:$C$3143)))</f>
        <v>0</v>
      </c>
      <c r="AE29" s="134">
        <f>IF($B29="",0,SUMPRODUCT(-('Gastos Gerais'!$F$4:$F$3143='Gastos das Atividades'!$B29),-('Gastos das Atividades'!AE$3&gt;='Gastos Gerais'!$D$4:$D$3143),-('Gastos das Atividades'!AE$3&lt;='Gastos Gerais'!$E$4:$E$3143),-('Gastos Gerais'!$C$4:$C$3143)))</f>
        <v>0</v>
      </c>
      <c r="AF29" s="134">
        <f>IF($B29="",0,SUMPRODUCT(-('Gastos Gerais'!$F$4:$F$3143='Gastos das Atividades'!$B29),-('Gastos das Atividades'!AF$3&gt;='Gastos Gerais'!$D$4:$D$3143),-('Gastos das Atividades'!AF$3&lt;='Gastos Gerais'!$E$4:$E$3143),-('Gastos Gerais'!$C$4:$C$3143)))</f>
        <v>0</v>
      </c>
      <c r="AG29" s="134">
        <f>IF($B29="",0,SUMPRODUCT(-('Gastos Gerais'!$F$4:$F$3143='Gastos das Atividades'!$B29),-('Gastos das Atividades'!AG$3&gt;='Gastos Gerais'!$D$4:$D$3143),-('Gastos das Atividades'!AG$3&lt;='Gastos Gerais'!$E$4:$E$3143),-('Gastos Gerais'!$C$4:$C$3143)))</f>
        <v>0</v>
      </c>
      <c r="AH29" s="134">
        <f>IF($B29="",0,SUMPRODUCT(-('Gastos Gerais'!$F$4:$F$3143='Gastos das Atividades'!$B29),-('Gastos das Atividades'!AH$3&gt;='Gastos Gerais'!$D$4:$D$3143),-('Gastos das Atividades'!AH$3&lt;='Gastos Gerais'!$E$4:$E$3143),-('Gastos Gerais'!$C$4:$C$3143)))</f>
        <v>0</v>
      </c>
      <c r="AI29" s="134">
        <f>IF($B29="",0,SUMPRODUCT(-('Gastos Gerais'!$F$4:$F$3143='Gastos das Atividades'!$B29),-('Gastos das Atividades'!AI$3&gt;='Gastos Gerais'!$D$4:$D$3143),-('Gastos das Atividades'!AI$3&lt;='Gastos Gerais'!$E$4:$E$3143),-('Gastos Gerais'!$C$4:$C$3143)))</f>
        <v>0</v>
      </c>
      <c r="AJ29" s="134">
        <f>IF($B29="",0,SUMPRODUCT(-('Gastos Gerais'!$F$4:$F$3143='Gastos das Atividades'!$B29),-('Gastos das Atividades'!AJ$3&gt;='Gastos Gerais'!$D$4:$D$3143),-('Gastos das Atividades'!AJ$3&lt;='Gastos Gerais'!$E$4:$E$3143),-('Gastos Gerais'!$C$4:$C$3143)))</f>
        <v>0</v>
      </c>
      <c r="AK29" s="134">
        <f>IF($B29="",0,SUMPRODUCT(-('Gastos Gerais'!$F$4:$F$3143='Gastos das Atividades'!$B29),-('Gastos das Atividades'!AK$3&gt;='Gastos Gerais'!$D$4:$D$3143),-('Gastos das Atividades'!AK$3&lt;='Gastos Gerais'!$E$4:$E$3143),-('Gastos Gerais'!$C$4:$C$3143)))</f>
        <v>0</v>
      </c>
      <c r="AL29" s="134">
        <f>IF($B29="",0,SUMPRODUCT(-('Gastos Gerais'!$F$4:$F$3143='Gastos das Atividades'!$B29),-('Gastos das Atividades'!AL$3&gt;='Gastos Gerais'!$D$4:$D$3143),-('Gastos das Atividades'!AL$3&lt;='Gastos Gerais'!$E$4:$E$3143),-('Gastos Gerais'!$C$4:$C$3143)))</f>
        <v>0</v>
      </c>
      <c r="AM29" s="134">
        <f>IF($B29="",0,SUMPRODUCT(-('Gastos Gerais'!$F$4:$F$3143='Gastos das Atividades'!$B29),-('Gastos das Atividades'!AM$3&gt;='Gastos Gerais'!$D$4:$D$3143),-('Gastos das Atividades'!AM$3&lt;='Gastos Gerais'!$E$4:$E$3143),-('Gastos Gerais'!$C$4:$C$3143)))</f>
        <v>0</v>
      </c>
      <c r="AN29" s="134">
        <f>IF($B29="",0,SUMPRODUCT(-('Gastos Gerais'!$F$4:$F$3143='Gastos das Atividades'!$B29),-('Gastos das Atividades'!AN$3&gt;='Gastos Gerais'!$D$4:$D$3143),-('Gastos das Atividades'!AN$3&lt;='Gastos Gerais'!$E$4:$E$3143),-('Gastos Gerais'!$C$4:$C$3143)))</f>
        <v>0</v>
      </c>
      <c r="AO29" s="134">
        <f>IF($B29="",0,SUMPRODUCT(-('Gastos Gerais'!$F$4:$F$3143='Gastos das Atividades'!$B29),-('Gastos das Atividades'!AO$3&gt;='Gastos Gerais'!$D$4:$D$3143),-('Gastos das Atividades'!AO$3&lt;='Gastos Gerais'!$E$4:$E$3143),-('Gastos Gerais'!$C$4:$C$3143)))</f>
        <v>0</v>
      </c>
      <c r="AP29" s="134">
        <f>IF($B29="",0,SUMPRODUCT(-('Gastos Gerais'!$F$4:$F$3143='Gastos das Atividades'!$B29),-('Gastos das Atividades'!AP$3&gt;='Gastos Gerais'!$D$4:$D$3143),-('Gastos das Atividades'!AP$3&lt;='Gastos Gerais'!$E$4:$E$3143),-('Gastos Gerais'!$C$4:$C$3143)))</f>
        <v>0</v>
      </c>
      <c r="AQ29" s="134">
        <f>IF($B29="",0,SUMPRODUCT(-('Gastos Gerais'!$F$4:$F$3143='Gastos das Atividades'!$B29),-('Gastos das Atividades'!AQ$3&gt;='Gastos Gerais'!$D$4:$D$3143),-('Gastos das Atividades'!AQ$3&lt;='Gastos Gerais'!$E$4:$E$3143),-('Gastos Gerais'!$C$4:$C$3143)))</f>
        <v>0</v>
      </c>
      <c r="AR29" s="134">
        <f>IF($B29="",0,SUMPRODUCT(-('Gastos Gerais'!$F$4:$F$3143='Gastos das Atividades'!$B29),-('Gastos das Atividades'!AR$3&gt;='Gastos Gerais'!$D$4:$D$3143),-('Gastos das Atividades'!AR$3&lt;='Gastos Gerais'!$E$4:$E$3143),-('Gastos Gerais'!$C$4:$C$3143)))</f>
        <v>0</v>
      </c>
      <c r="AS29" s="134">
        <f>IF($B29="",0,SUMPRODUCT(-('Gastos Gerais'!$F$4:$F$3143='Gastos das Atividades'!$B29),-('Gastos das Atividades'!AS$3&gt;='Gastos Gerais'!$D$4:$D$3143),-('Gastos das Atividades'!AS$3&lt;='Gastos Gerais'!$E$4:$E$3143),-('Gastos Gerais'!$C$4:$C$3143)))</f>
        <v>0</v>
      </c>
      <c r="AT29" s="134">
        <f>IF($B29="",0,SUMPRODUCT(-('Gastos Gerais'!$F$4:$F$3143='Gastos das Atividades'!$B29),-('Gastos das Atividades'!AT$3&gt;='Gastos Gerais'!$D$4:$D$3143),-('Gastos das Atividades'!AT$3&lt;='Gastos Gerais'!$E$4:$E$3143),-('Gastos Gerais'!$C$4:$C$3143)))</f>
        <v>0</v>
      </c>
      <c r="AU29" s="134">
        <f>IF($B29="",0,SUMPRODUCT(-('Gastos Gerais'!$F$4:$F$3143='Gastos das Atividades'!$B29),-('Gastos das Atividades'!AU$3&gt;='Gastos Gerais'!$D$4:$D$3143),-('Gastos das Atividades'!AU$3&lt;='Gastos Gerais'!$E$4:$E$3143),-('Gastos Gerais'!$C$4:$C$3143)))</f>
        <v>0</v>
      </c>
      <c r="AV29" s="134">
        <f>IF($B29="",0,SUMPRODUCT(-('Gastos Gerais'!$F$4:$F$3143='Gastos das Atividades'!$B29),-('Gastos das Atividades'!AV$3&gt;='Gastos Gerais'!$D$4:$D$3143),-('Gastos das Atividades'!AV$3&lt;='Gastos Gerais'!$E$4:$E$3143),-('Gastos Gerais'!$C$4:$C$3143)))</f>
        <v>0</v>
      </c>
      <c r="AW29" s="134">
        <f>IF($B29="",0,SUMPRODUCT(-('Gastos Gerais'!$F$4:$F$3143='Gastos das Atividades'!$B29),-('Gastos das Atividades'!AW$3&gt;='Gastos Gerais'!$D$4:$D$3143),-('Gastos das Atividades'!AW$3&lt;='Gastos Gerais'!$E$4:$E$3143),-('Gastos Gerais'!$C$4:$C$3143)))</f>
        <v>0</v>
      </c>
      <c r="AX29" s="134">
        <f>IF($B29="",0,SUMPRODUCT(-('Gastos Gerais'!$F$4:$F$3143='Gastos das Atividades'!$B29),-('Gastos das Atividades'!AX$3&gt;='Gastos Gerais'!$D$4:$D$3143),-('Gastos das Atividades'!AX$3&lt;='Gastos Gerais'!$E$4:$E$3143),-('Gastos Gerais'!$C$4:$C$3143)))</f>
        <v>0</v>
      </c>
      <c r="AY29" s="134">
        <f>IF($B29="",0,SUMPRODUCT(-('Gastos Gerais'!$F$4:$F$3143='Gastos das Atividades'!$B29),-('Gastos das Atividades'!AY$3&gt;='Gastos Gerais'!$D$4:$D$3143),-('Gastos das Atividades'!AY$3&lt;='Gastos Gerais'!$E$4:$E$3143),-('Gastos Gerais'!$C$4:$C$3143)))</f>
        <v>0</v>
      </c>
      <c r="AZ29" s="134">
        <f>IF($B29="",0,SUMPRODUCT(-('Gastos Gerais'!$F$4:$F$3143='Gastos das Atividades'!$B29),-('Gastos das Atividades'!AZ$3&gt;='Gastos Gerais'!$D$4:$D$3143),-('Gastos das Atividades'!AZ$3&lt;='Gastos Gerais'!$E$4:$E$3143),-('Gastos Gerais'!$C$4:$C$3143)))</f>
        <v>0</v>
      </c>
      <c r="BA29" s="134">
        <f>IF($B29="",0,SUMPRODUCT(-('Gastos Gerais'!$F$4:$F$3143='Gastos das Atividades'!$B29),-('Gastos das Atividades'!BA$3&gt;='Gastos Gerais'!$D$4:$D$3143),-('Gastos das Atividades'!BA$3&lt;='Gastos Gerais'!$E$4:$E$3143),-('Gastos Gerais'!$C$4:$C$3143)))</f>
        <v>0</v>
      </c>
      <c r="BB29" s="134">
        <f>IF($B29="",0,SUMPRODUCT(-('Gastos Gerais'!$F$4:$F$3143='Gastos das Atividades'!$B29),-('Gastos das Atividades'!BB$3&gt;='Gastos Gerais'!$D$4:$D$3143),-('Gastos das Atividades'!BB$3&lt;='Gastos Gerais'!$E$4:$E$3143),-('Gastos Gerais'!$C$4:$C$3143)))</f>
        <v>0</v>
      </c>
      <c r="BC29" s="134">
        <f>IF($B29="",0,SUMPRODUCT(-('Gastos Gerais'!$F$4:$F$3143='Gastos das Atividades'!$B29),-('Gastos das Atividades'!BC$3&gt;='Gastos Gerais'!$D$4:$D$3143),-('Gastos das Atividades'!BC$3&lt;='Gastos Gerais'!$E$4:$E$3143),-('Gastos Gerais'!$C$4:$C$3143)))</f>
        <v>0</v>
      </c>
      <c r="BD29" s="134">
        <f>IF($B29="",0,SUMPRODUCT(-('Gastos Gerais'!$F$4:$F$3143='Gastos das Atividades'!$B29),-('Gastos das Atividades'!BD$3&gt;='Gastos Gerais'!$D$4:$D$3143),-('Gastos das Atividades'!BD$3&lt;='Gastos Gerais'!$E$4:$E$3143),-('Gastos Gerais'!$C$4:$C$3143)))</f>
        <v>0</v>
      </c>
      <c r="BE29" s="134">
        <f>IF($B29="",0,SUMPRODUCT(-('Gastos Gerais'!$F$4:$F$3143='Gastos das Atividades'!$B29),-('Gastos das Atividades'!BE$3&gt;='Gastos Gerais'!$D$4:$D$3143),-('Gastos das Atividades'!BE$3&lt;='Gastos Gerais'!$E$4:$E$3143),-('Gastos Gerais'!$C$4:$C$3143)))</f>
        <v>0</v>
      </c>
      <c r="BF29" s="134">
        <f>IF($B29="",0,SUMPRODUCT(-('Gastos Gerais'!$F$4:$F$3143='Gastos das Atividades'!$B29),-('Gastos das Atividades'!BF$3&gt;='Gastos Gerais'!$D$4:$D$3143),-('Gastos das Atividades'!BF$3&lt;='Gastos Gerais'!$E$4:$E$3143),-('Gastos Gerais'!$C$4:$C$3143)))</f>
        <v>0</v>
      </c>
      <c r="BG29" s="134">
        <f>IF($B29="",0,SUMPRODUCT(-('Gastos Gerais'!$F$4:$F$3143='Gastos das Atividades'!$B29),-('Gastos das Atividades'!BG$3&gt;='Gastos Gerais'!$D$4:$D$3143),-('Gastos das Atividades'!BG$3&lt;='Gastos Gerais'!$E$4:$E$3143),-('Gastos Gerais'!$C$4:$C$3143)))</f>
        <v>0</v>
      </c>
      <c r="BH29" s="134">
        <f>IF($B29="",0,SUMPRODUCT(-('Gastos Gerais'!$F$4:$F$3143='Gastos das Atividades'!$B29),-('Gastos das Atividades'!BH$3&gt;='Gastos Gerais'!$D$4:$D$3143),-('Gastos das Atividades'!BH$3&lt;='Gastos Gerais'!$E$4:$E$3143),-('Gastos Gerais'!$C$4:$C$3143)))</f>
        <v>0</v>
      </c>
      <c r="BI29" s="134">
        <f>IF($B29="",0,SUMPRODUCT(-('Gastos Gerais'!$F$4:$F$3143='Gastos das Atividades'!$B29),-('Gastos das Atividades'!BI$3&gt;='Gastos Gerais'!$D$4:$D$3143),-('Gastos das Atividades'!BI$3&lt;='Gastos Gerais'!$E$4:$E$3143),-('Gastos Gerais'!$C$4:$C$3143)))</f>
        <v>0</v>
      </c>
      <c r="BJ29" s="134">
        <f>IF($B29="",0,SUMPRODUCT(-('Gastos Gerais'!$F$4:$F$3143='Gastos das Atividades'!$B29),-('Gastos das Atividades'!BJ$3&gt;='Gastos Gerais'!$D$4:$D$3143),-('Gastos das Atividades'!BJ$3&lt;='Gastos Gerais'!$E$4:$E$3143),-('Gastos Gerais'!$C$4:$C$3143)))</f>
        <v>0</v>
      </c>
      <c r="BK29" s="134">
        <f>IF($B29="",0,SUMPRODUCT(-('Gastos Gerais'!$F$4:$F$3143='Gastos das Atividades'!$B29),-('Gastos das Atividades'!BK$3&gt;='Gastos Gerais'!$D$4:$D$3143),-('Gastos das Atividades'!BK$3&lt;='Gastos Gerais'!$E$4:$E$3143),-('Gastos Gerais'!$C$4:$C$3143)))</f>
        <v>0</v>
      </c>
      <c r="BL29" s="134">
        <f>IF($B29="",0,SUMPRODUCT(-('Gastos Gerais'!$F$4:$F$3143='Gastos das Atividades'!$B29),-('Gastos das Atividades'!BL$3&gt;='Gastos Gerais'!$D$4:$D$3143),-('Gastos das Atividades'!BL$3&lt;='Gastos Gerais'!$E$4:$E$3143),-('Gastos Gerais'!$C$4:$C$3143)))</f>
        <v>0</v>
      </c>
      <c r="BM29" s="134">
        <f>IF($B29="",0,SUMPRODUCT(-('Gastos Gerais'!$F$4:$F$3143='Gastos das Atividades'!$B29),-('Gastos das Atividades'!BM$3&gt;='Gastos Gerais'!$D$4:$D$3143),-('Gastos das Atividades'!BM$3&lt;='Gastos Gerais'!$E$4:$E$3143),-('Gastos Gerais'!$C$4:$C$3143)))</f>
        <v>0</v>
      </c>
      <c r="BN29" s="134">
        <f>IF($B29="",0,SUMPRODUCT(-('Gastos Gerais'!$F$4:$F$3143='Gastos das Atividades'!$B29),-('Gastos das Atividades'!BN$3&gt;='Gastos Gerais'!$D$4:$D$3143),-('Gastos das Atividades'!BN$3&lt;='Gastos Gerais'!$E$4:$E$3143),-('Gastos Gerais'!$C$4:$C$3143)))</f>
        <v>0</v>
      </c>
      <c r="BO29" s="134">
        <f>IF($B29="",0,SUMPRODUCT(-('Gastos Gerais'!$F$4:$F$3143='Gastos das Atividades'!$B29),-('Gastos das Atividades'!BO$3&gt;='Gastos Gerais'!$D$4:$D$3143),-('Gastos das Atividades'!BO$3&lt;='Gastos Gerais'!$E$4:$E$3143),-('Gastos Gerais'!$C$4:$C$3143)))</f>
        <v>0</v>
      </c>
      <c r="BP29" s="134">
        <f>IF($B29="",0,SUMPRODUCT(-('Gastos Gerais'!$F$4:$F$3143='Gastos das Atividades'!$B29),-('Gastos das Atividades'!BP$3&gt;='Gastos Gerais'!$D$4:$D$3143),-('Gastos das Atividades'!BP$3&lt;='Gastos Gerais'!$E$4:$E$3143),-('Gastos Gerais'!$C$4:$C$3143)))</f>
        <v>0</v>
      </c>
      <c r="BQ29" s="134">
        <f>IF($B29="",0,SUMPRODUCT(-('Gastos Gerais'!$F$4:$F$3143='Gastos das Atividades'!$B29),-('Gastos das Atividades'!BQ$3&gt;='Gastos Gerais'!$D$4:$D$3143),-('Gastos das Atividades'!BQ$3&lt;='Gastos Gerais'!$E$4:$E$3143),-('Gastos Gerais'!$C$4:$C$3143)))</f>
        <v>0</v>
      </c>
      <c r="BR29" s="134">
        <f>IF($B29="",0,SUMPRODUCT(-('Gastos Gerais'!$F$4:$F$3143='Gastos das Atividades'!$B29),-('Gastos das Atividades'!BR$3&gt;='Gastos Gerais'!$D$4:$D$3143),-('Gastos das Atividades'!BR$3&lt;='Gastos Gerais'!$E$4:$E$3143),-('Gastos Gerais'!$C$4:$C$3143)))</f>
        <v>0</v>
      </c>
      <c r="BS29" s="134">
        <f>IF($B29="",0,SUMPRODUCT(-('Gastos Gerais'!$F$4:$F$3143='Gastos das Atividades'!$B29),-('Gastos das Atividades'!BS$3&gt;='Gastos Gerais'!$D$4:$D$3143),-('Gastos das Atividades'!BS$3&lt;='Gastos Gerais'!$E$4:$E$3143),-('Gastos Gerais'!$C$4:$C$3143)))</f>
        <v>0</v>
      </c>
      <c r="BT29" s="134">
        <f>IF($B29="",0,SUMPRODUCT(-('Gastos Gerais'!$F$4:$F$3143='Gastos das Atividades'!$B29),-('Gastos das Atividades'!BT$3&gt;='Gastos Gerais'!$D$4:$D$3143),-('Gastos das Atividades'!BT$3&lt;='Gastos Gerais'!$E$4:$E$3143),-('Gastos Gerais'!$C$4:$C$3143)))</f>
        <v>0</v>
      </c>
      <c r="BU29" s="134">
        <f>IF($B29="",0,SUMPRODUCT(-('Gastos Gerais'!$F$4:$F$3143='Gastos das Atividades'!$B29),-('Gastos das Atividades'!BU$3&gt;='Gastos Gerais'!$D$4:$D$3143),-('Gastos das Atividades'!BU$3&lt;='Gastos Gerais'!$E$4:$E$3143),-('Gastos Gerais'!$C$4:$C$3143)))</f>
        <v>0</v>
      </c>
      <c r="BV29" s="134">
        <f>IF($B29="",0,SUMPRODUCT(-('Gastos Gerais'!$F$4:$F$3143='Gastos das Atividades'!$B29),-('Gastos das Atividades'!BV$3&gt;='Gastos Gerais'!$D$4:$D$3143),-('Gastos das Atividades'!BV$3&lt;='Gastos Gerais'!$E$4:$E$3143),-('Gastos Gerais'!$C$4:$C$3143)))</f>
        <v>0</v>
      </c>
      <c r="BW29" s="134">
        <f>IF($B29="",0,SUMPRODUCT(-('Gastos Gerais'!$F$4:$F$3143='Gastos das Atividades'!$B29),-('Gastos das Atividades'!BW$3&gt;='Gastos Gerais'!$D$4:$D$3143),-('Gastos das Atividades'!BW$3&lt;='Gastos Gerais'!$E$4:$E$3143),-('Gastos Gerais'!$C$4:$C$3143)))</f>
        <v>0</v>
      </c>
    </row>
    <row r="30" spans="1:75">
      <c r="A30" s="138">
        <v>27</v>
      </c>
      <c r="B30" s="139"/>
      <c r="C30" s="132">
        <v>0</v>
      </c>
      <c r="D30" s="133">
        <f t="shared" si="0"/>
        <v>0</v>
      </c>
      <c r="E30" s="134">
        <f t="shared" si="1"/>
        <v>0</v>
      </c>
      <c r="F30" s="134">
        <f t="shared" si="1"/>
        <v>0</v>
      </c>
      <c r="G30" s="134">
        <f t="shared" si="1"/>
        <v>0</v>
      </c>
      <c r="H30" s="134">
        <f t="shared" si="1"/>
        <v>0</v>
      </c>
      <c r="I30" s="135">
        <f t="shared" si="2"/>
        <v>0</v>
      </c>
      <c r="J30" s="136">
        <f t="shared" si="3"/>
        <v>0</v>
      </c>
      <c r="K30" s="136">
        <f t="shared" si="4"/>
        <v>0</v>
      </c>
      <c r="L30" s="136">
        <f t="shared" si="5"/>
        <v>0</v>
      </c>
      <c r="M30" s="136">
        <f t="shared" si="6"/>
        <v>0</v>
      </c>
      <c r="N30" s="136">
        <f t="shared" si="7"/>
        <v>0</v>
      </c>
      <c r="O30" s="137">
        <f t="shared" si="8"/>
        <v>0</v>
      </c>
      <c r="P30" s="134">
        <f>IF($B30="",0,SUMPRODUCT(-('Gastos Gerais'!$F$4:$F$3143='Gastos das Atividades'!$B30),-('Gastos das Atividades'!P$3&gt;='Gastos Gerais'!$D$4:$D$3143),-('Gastos das Atividades'!P$3&lt;='Gastos Gerais'!$E$4:$E$3143),-('Gastos Gerais'!$C$4:$C$3143)))</f>
        <v>0</v>
      </c>
      <c r="Q30" s="134">
        <f>IF($B30="",0,SUMPRODUCT(-('Gastos Gerais'!$F$4:$F$3143='Gastos das Atividades'!$B30),-('Gastos das Atividades'!Q$3&gt;='Gastos Gerais'!$D$4:$D$3143),-('Gastos das Atividades'!Q$3&lt;='Gastos Gerais'!$E$4:$E$3143),-('Gastos Gerais'!$C$4:$C$3143)))</f>
        <v>0</v>
      </c>
      <c r="R30" s="134">
        <f>IF($B30="",0,SUMPRODUCT(-('Gastos Gerais'!$F$4:$F$3143='Gastos das Atividades'!$B30),-('Gastos das Atividades'!R$3&gt;='Gastos Gerais'!$D$4:$D$3143),-('Gastos das Atividades'!R$3&lt;='Gastos Gerais'!$E$4:$E$3143),-('Gastos Gerais'!$C$4:$C$3143)))</f>
        <v>0</v>
      </c>
      <c r="S30" s="134">
        <f>IF($B30="",0,SUMPRODUCT(-('Gastos Gerais'!$F$4:$F$3143='Gastos das Atividades'!$B30),-('Gastos das Atividades'!S$3&gt;='Gastos Gerais'!$D$4:$D$3143),-('Gastos das Atividades'!S$3&lt;='Gastos Gerais'!$E$4:$E$3143),-('Gastos Gerais'!$C$4:$C$3143)))</f>
        <v>0</v>
      </c>
      <c r="T30" s="134">
        <f>IF($B30="",0,SUMPRODUCT(-('Gastos Gerais'!$F$4:$F$3143='Gastos das Atividades'!$B30),-('Gastos das Atividades'!T$3&gt;='Gastos Gerais'!$D$4:$D$3143),-('Gastos das Atividades'!T$3&lt;='Gastos Gerais'!$E$4:$E$3143),-('Gastos Gerais'!$C$4:$C$3143)))</f>
        <v>0</v>
      </c>
      <c r="U30" s="134">
        <f>IF($B30="",0,SUMPRODUCT(-('Gastos Gerais'!$F$4:$F$3143='Gastos das Atividades'!$B30),-('Gastos das Atividades'!U$3&gt;='Gastos Gerais'!$D$4:$D$3143),-('Gastos das Atividades'!U$3&lt;='Gastos Gerais'!$E$4:$E$3143),-('Gastos Gerais'!$C$4:$C$3143)))</f>
        <v>0</v>
      </c>
      <c r="V30" s="134">
        <f>IF($B30="",0,SUMPRODUCT(-('Gastos Gerais'!$F$4:$F$3143='Gastos das Atividades'!$B30),-('Gastos das Atividades'!V$3&gt;='Gastos Gerais'!$D$4:$D$3143),-('Gastos das Atividades'!V$3&lt;='Gastos Gerais'!$E$4:$E$3143),-('Gastos Gerais'!$C$4:$C$3143)))</f>
        <v>0</v>
      </c>
      <c r="W30" s="134">
        <f>IF($B30="",0,SUMPRODUCT(-('Gastos Gerais'!$F$4:$F$3143='Gastos das Atividades'!$B30),-('Gastos das Atividades'!W$3&gt;='Gastos Gerais'!$D$4:$D$3143),-('Gastos das Atividades'!W$3&lt;='Gastos Gerais'!$E$4:$E$3143),-('Gastos Gerais'!$C$4:$C$3143)))</f>
        <v>0</v>
      </c>
      <c r="X30" s="134">
        <f>IF($B30="",0,SUMPRODUCT(-('Gastos Gerais'!$F$4:$F$3143='Gastos das Atividades'!$B30),-('Gastos das Atividades'!X$3&gt;='Gastos Gerais'!$D$4:$D$3143),-('Gastos das Atividades'!X$3&lt;='Gastos Gerais'!$E$4:$E$3143),-('Gastos Gerais'!$C$4:$C$3143)))</f>
        <v>0</v>
      </c>
      <c r="Y30" s="134">
        <f>IF($B30="",0,SUMPRODUCT(-('Gastos Gerais'!$F$4:$F$3143='Gastos das Atividades'!$B30),-('Gastos das Atividades'!Y$3&gt;='Gastos Gerais'!$D$4:$D$3143),-('Gastos das Atividades'!Y$3&lt;='Gastos Gerais'!$E$4:$E$3143),-('Gastos Gerais'!$C$4:$C$3143)))</f>
        <v>0</v>
      </c>
      <c r="Z30" s="134">
        <f>IF($B30="",0,SUMPRODUCT(-('Gastos Gerais'!$F$4:$F$3143='Gastos das Atividades'!$B30),-('Gastos das Atividades'!Z$3&gt;='Gastos Gerais'!$D$4:$D$3143),-('Gastos das Atividades'!Z$3&lt;='Gastos Gerais'!$E$4:$E$3143),-('Gastos Gerais'!$C$4:$C$3143)))</f>
        <v>0</v>
      </c>
      <c r="AA30" s="134">
        <f>IF($B30="",0,SUMPRODUCT(-('Gastos Gerais'!$F$4:$F$3143='Gastos das Atividades'!$B30),-('Gastos das Atividades'!AA$3&gt;='Gastos Gerais'!$D$4:$D$3143),-('Gastos das Atividades'!AA$3&lt;='Gastos Gerais'!$E$4:$E$3143),-('Gastos Gerais'!$C$4:$C$3143)))</f>
        <v>0</v>
      </c>
      <c r="AB30" s="134">
        <f>IF($B30="",0,SUMPRODUCT(-('Gastos Gerais'!$F$4:$F$3143='Gastos das Atividades'!$B30),-('Gastos das Atividades'!AB$3&gt;='Gastos Gerais'!$D$4:$D$3143),-('Gastos das Atividades'!AB$3&lt;='Gastos Gerais'!$E$4:$E$3143),-('Gastos Gerais'!$C$4:$C$3143)))</f>
        <v>0</v>
      </c>
      <c r="AC30" s="134">
        <f>IF($B30="",0,SUMPRODUCT(-('Gastos Gerais'!$F$4:$F$3143='Gastos das Atividades'!$B30),-('Gastos das Atividades'!AC$3&gt;='Gastos Gerais'!$D$4:$D$3143),-('Gastos das Atividades'!AC$3&lt;='Gastos Gerais'!$E$4:$E$3143),-('Gastos Gerais'!$C$4:$C$3143)))</f>
        <v>0</v>
      </c>
      <c r="AD30" s="134">
        <f>IF($B30="",0,SUMPRODUCT(-('Gastos Gerais'!$F$4:$F$3143='Gastos das Atividades'!$B30),-('Gastos das Atividades'!AD$3&gt;='Gastos Gerais'!$D$4:$D$3143),-('Gastos das Atividades'!AD$3&lt;='Gastos Gerais'!$E$4:$E$3143),-('Gastos Gerais'!$C$4:$C$3143)))</f>
        <v>0</v>
      </c>
      <c r="AE30" s="134">
        <f>IF($B30="",0,SUMPRODUCT(-('Gastos Gerais'!$F$4:$F$3143='Gastos das Atividades'!$B30),-('Gastos das Atividades'!AE$3&gt;='Gastos Gerais'!$D$4:$D$3143),-('Gastos das Atividades'!AE$3&lt;='Gastos Gerais'!$E$4:$E$3143),-('Gastos Gerais'!$C$4:$C$3143)))</f>
        <v>0</v>
      </c>
      <c r="AF30" s="134">
        <f>IF($B30="",0,SUMPRODUCT(-('Gastos Gerais'!$F$4:$F$3143='Gastos das Atividades'!$B30),-('Gastos das Atividades'!AF$3&gt;='Gastos Gerais'!$D$4:$D$3143),-('Gastos das Atividades'!AF$3&lt;='Gastos Gerais'!$E$4:$E$3143),-('Gastos Gerais'!$C$4:$C$3143)))</f>
        <v>0</v>
      </c>
      <c r="AG30" s="134">
        <f>IF($B30="",0,SUMPRODUCT(-('Gastos Gerais'!$F$4:$F$3143='Gastos das Atividades'!$B30),-('Gastos das Atividades'!AG$3&gt;='Gastos Gerais'!$D$4:$D$3143),-('Gastos das Atividades'!AG$3&lt;='Gastos Gerais'!$E$4:$E$3143),-('Gastos Gerais'!$C$4:$C$3143)))</f>
        <v>0</v>
      </c>
      <c r="AH30" s="134">
        <f>IF($B30="",0,SUMPRODUCT(-('Gastos Gerais'!$F$4:$F$3143='Gastos das Atividades'!$B30),-('Gastos das Atividades'!AH$3&gt;='Gastos Gerais'!$D$4:$D$3143),-('Gastos das Atividades'!AH$3&lt;='Gastos Gerais'!$E$4:$E$3143),-('Gastos Gerais'!$C$4:$C$3143)))</f>
        <v>0</v>
      </c>
      <c r="AI30" s="134">
        <f>IF($B30="",0,SUMPRODUCT(-('Gastos Gerais'!$F$4:$F$3143='Gastos das Atividades'!$B30),-('Gastos das Atividades'!AI$3&gt;='Gastos Gerais'!$D$4:$D$3143),-('Gastos das Atividades'!AI$3&lt;='Gastos Gerais'!$E$4:$E$3143),-('Gastos Gerais'!$C$4:$C$3143)))</f>
        <v>0</v>
      </c>
      <c r="AJ30" s="134">
        <f>IF($B30="",0,SUMPRODUCT(-('Gastos Gerais'!$F$4:$F$3143='Gastos das Atividades'!$B30),-('Gastos das Atividades'!AJ$3&gt;='Gastos Gerais'!$D$4:$D$3143),-('Gastos das Atividades'!AJ$3&lt;='Gastos Gerais'!$E$4:$E$3143),-('Gastos Gerais'!$C$4:$C$3143)))</f>
        <v>0</v>
      </c>
      <c r="AK30" s="134">
        <f>IF($B30="",0,SUMPRODUCT(-('Gastos Gerais'!$F$4:$F$3143='Gastos das Atividades'!$B30),-('Gastos das Atividades'!AK$3&gt;='Gastos Gerais'!$D$4:$D$3143),-('Gastos das Atividades'!AK$3&lt;='Gastos Gerais'!$E$4:$E$3143),-('Gastos Gerais'!$C$4:$C$3143)))</f>
        <v>0</v>
      </c>
      <c r="AL30" s="134">
        <f>IF($B30="",0,SUMPRODUCT(-('Gastos Gerais'!$F$4:$F$3143='Gastos das Atividades'!$B30),-('Gastos das Atividades'!AL$3&gt;='Gastos Gerais'!$D$4:$D$3143),-('Gastos das Atividades'!AL$3&lt;='Gastos Gerais'!$E$4:$E$3143),-('Gastos Gerais'!$C$4:$C$3143)))</f>
        <v>0</v>
      </c>
      <c r="AM30" s="134">
        <f>IF($B30="",0,SUMPRODUCT(-('Gastos Gerais'!$F$4:$F$3143='Gastos das Atividades'!$B30),-('Gastos das Atividades'!AM$3&gt;='Gastos Gerais'!$D$4:$D$3143),-('Gastos das Atividades'!AM$3&lt;='Gastos Gerais'!$E$4:$E$3143),-('Gastos Gerais'!$C$4:$C$3143)))</f>
        <v>0</v>
      </c>
      <c r="AN30" s="134">
        <f>IF($B30="",0,SUMPRODUCT(-('Gastos Gerais'!$F$4:$F$3143='Gastos das Atividades'!$B30),-('Gastos das Atividades'!AN$3&gt;='Gastos Gerais'!$D$4:$D$3143),-('Gastos das Atividades'!AN$3&lt;='Gastos Gerais'!$E$4:$E$3143),-('Gastos Gerais'!$C$4:$C$3143)))</f>
        <v>0</v>
      </c>
      <c r="AO30" s="134">
        <f>IF($B30="",0,SUMPRODUCT(-('Gastos Gerais'!$F$4:$F$3143='Gastos das Atividades'!$B30),-('Gastos das Atividades'!AO$3&gt;='Gastos Gerais'!$D$4:$D$3143),-('Gastos das Atividades'!AO$3&lt;='Gastos Gerais'!$E$4:$E$3143),-('Gastos Gerais'!$C$4:$C$3143)))</f>
        <v>0</v>
      </c>
      <c r="AP30" s="134">
        <f>IF($B30="",0,SUMPRODUCT(-('Gastos Gerais'!$F$4:$F$3143='Gastos das Atividades'!$B30),-('Gastos das Atividades'!AP$3&gt;='Gastos Gerais'!$D$4:$D$3143),-('Gastos das Atividades'!AP$3&lt;='Gastos Gerais'!$E$4:$E$3143),-('Gastos Gerais'!$C$4:$C$3143)))</f>
        <v>0</v>
      </c>
      <c r="AQ30" s="134">
        <f>IF($B30="",0,SUMPRODUCT(-('Gastos Gerais'!$F$4:$F$3143='Gastos das Atividades'!$B30),-('Gastos das Atividades'!AQ$3&gt;='Gastos Gerais'!$D$4:$D$3143),-('Gastos das Atividades'!AQ$3&lt;='Gastos Gerais'!$E$4:$E$3143),-('Gastos Gerais'!$C$4:$C$3143)))</f>
        <v>0</v>
      </c>
      <c r="AR30" s="134">
        <f>IF($B30="",0,SUMPRODUCT(-('Gastos Gerais'!$F$4:$F$3143='Gastos das Atividades'!$B30),-('Gastos das Atividades'!AR$3&gt;='Gastos Gerais'!$D$4:$D$3143),-('Gastos das Atividades'!AR$3&lt;='Gastos Gerais'!$E$4:$E$3143),-('Gastos Gerais'!$C$4:$C$3143)))</f>
        <v>0</v>
      </c>
      <c r="AS30" s="134">
        <f>IF($B30="",0,SUMPRODUCT(-('Gastos Gerais'!$F$4:$F$3143='Gastos das Atividades'!$B30),-('Gastos das Atividades'!AS$3&gt;='Gastos Gerais'!$D$4:$D$3143),-('Gastos das Atividades'!AS$3&lt;='Gastos Gerais'!$E$4:$E$3143),-('Gastos Gerais'!$C$4:$C$3143)))</f>
        <v>0</v>
      </c>
      <c r="AT30" s="134">
        <f>IF($B30="",0,SUMPRODUCT(-('Gastos Gerais'!$F$4:$F$3143='Gastos das Atividades'!$B30),-('Gastos das Atividades'!AT$3&gt;='Gastos Gerais'!$D$4:$D$3143),-('Gastos das Atividades'!AT$3&lt;='Gastos Gerais'!$E$4:$E$3143),-('Gastos Gerais'!$C$4:$C$3143)))</f>
        <v>0</v>
      </c>
      <c r="AU30" s="134">
        <f>IF($B30="",0,SUMPRODUCT(-('Gastos Gerais'!$F$4:$F$3143='Gastos das Atividades'!$B30),-('Gastos das Atividades'!AU$3&gt;='Gastos Gerais'!$D$4:$D$3143),-('Gastos das Atividades'!AU$3&lt;='Gastos Gerais'!$E$4:$E$3143),-('Gastos Gerais'!$C$4:$C$3143)))</f>
        <v>0</v>
      </c>
      <c r="AV30" s="134">
        <f>IF($B30="",0,SUMPRODUCT(-('Gastos Gerais'!$F$4:$F$3143='Gastos das Atividades'!$B30),-('Gastos das Atividades'!AV$3&gt;='Gastos Gerais'!$D$4:$D$3143),-('Gastos das Atividades'!AV$3&lt;='Gastos Gerais'!$E$4:$E$3143),-('Gastos Gerais'!$C$4:$C$3143)))</f>
        <v>0</v>
      </c>
      <c r="AW30" s="134">
        <f>IF($B30="",0,SUMPRODUCT(-('Gastos Gerais'!$F$4:$F$3143='Gastos das Atividades'!$B30),-('Gastos das Atividades'!AW$3&gt;='Gastos Gerais'!$D$4:$D$3143),-('Gastos das Atividades'!AW$3&lt;='Gastos Gerais'!$E$4:$E$3143),-('Gastos Gerais'!$C$4:$C$3143)))</f>
        <v>0</v>
      </c>
      <c r="AX30" s="134">
        <f>IF($B30="",0,SUMPRODUCT(-('Gastos Gerais'!$F$4:$F$3143='Gastos das Atividades'!$B30),-('Gastos das Atividades'!AX$3&gt;='Gastos Gerais'!$D$4:$D$3143),-('Gastos das Atividades'!AX$3&lt;='Gastos Gerais'!$E$4:$E$3143),-('Gastos Gerais'!$C$4:$C$3143)))</f>
        <v>0</v>
      </c>
      <c r="AY30" s="134">
        <f>IF($B30="",0,SUMPRODUCT(-('Gastos Gerais'!$F$4:$F$3143='Gastos das Atividades'!$B30),-('Gastos das Atividades'!AY$3&gt;='Gastos Gerais'!$D$4:$D$3143),-('Gastos das Atividades'!AY$3&lt;='Gastos Gerais'!$E$4:$E$3143),-('Gastos Gerais'!$C$4:$C$3143)))</f>
        <v>0</v>
      </c>
      <c r="AZ30" s="134">
        <f>IF($B30="",0,SUMPRODUCT(-('Gastos Gerais'!$F$4:$F$3143='Gastos das Atividades'!$B30),-('Gastos das Atividades'!AZ$3&gt;='Gastos Gerais'!$D$4:$D$3143),-('Gastos das Atividades'!AZ$3&lt;='Gastos Gerais'!$E$4:$E$3143),-('Gastos Gerais'!$C$4:$C$3143)))</f>
        <v>0</v>
      </c>
      <c r="BA30" s="134">
        <f>IF($B30="",0,SUMPRODUCT(-('Gastos Gerais'!$F$4:$F$3143='Gastos das Atividades'!$B30),-('Gastos das Atividades'!BA$3&gt;='Gastos Gerais'!$D$4:$D$3143),-('Gastos das Atividades'!BA$3&lt;='Gastos Gerais'!$E$4:$E$3143),-('Gastos Gerais'!$C$4:$C$3143)))</f>
        <v>0</v>
      </c>
      <c r="BB30" s="134">
        <f>IF($B30="",0,SUMPRODUCT(-('Gastos Gerais'!$F$4:$F$3143='Gastos das Atividades'!$B30),-('Gastos das Atividades'!BB$3&gt;='Gastos Gerais'!$D$4:$D$3143),-('Gastos das Atividades'!BB$3&lt;='Gastos Gerais'!$E$4:$E$3143),-('Gastos Gerais'!$C$4:$C$3143)))</f>
        <v>0</v>
      </c>
      <c r="BC30" s="134">
        <f>IF($B30="",0,SUMPRODUCT(-('Gastos Gerais'!$F$4:$F$3143='Gastos das Atividades'!$B30),-('Gastos das Atividades'!BC$3&gt;='Gastos Gerais'!$D$4:$D$3143),-('Gastos das Atividades'!BC$3&lt;='Gastos Gerais'!$E$4:$E$3143),-('Gastos Gerais'!$C$4:$C$3143)))</f>
        <v>0</v>
      </c>
      <c r="BD30" s="134">
        <f>IF($B30="",0,SUMPRODUCT(-('Gastos Gerais'!$F$4:$F$3143='Gastos das Atividades'!$B30),-('Gastos das Atividades'!BD$3&gt;='Gastos Gerais'!$D$4:$D$3143),-('Gastos das Atividades'!BD$3&lt;='Gastos Gerais'!$E$4:$E$3143),-('Gastos Gerais'!$C$4:$C$3143)))</f>
        <v>0</v>
      </c>
      <c r="BE30" s="134">
        <f>IF($B30="",0,SUMPRODUCT(-('Gastos Gerais'!$F$4:$F$3143='Gastos das Atividades'!$B30),-('Gastos das Atividades'!BE$3&gt;='Gastos Gerais'!$D$4:$D$3143),-('Gastos das Atividades'!BE$3&lt;='Gastos Gerais'!$E$4:$E$3143),-('Gastos Gerais'!$C$4:$C$3143)))</f>
        <v>0</v>
      </c>
      <c r="BF30" s="134">
        <f>IF($B30="",0,SUMPRODUCT(-('Gastos Gerais'!$F$4:$F$3143='Gastos das Atividades'!$B30),-('Gastos das Atividades'!BF$3&gt;='Gastos Gerais'!$D$4:$D$3143),-('Gastos das Atividades'!BF$3&lt;='Gastos Gerais'!$E$4:$E$3143),-('Gastos Gerais'!$C$4:$C$3143)))</f>
        <v>0</v>
      </c>
      <c r="BG30" s="134">
        <f>IF($B30="",0,SUMPRODUCT(-('Gastos Gerais'!$F$4:$F$3143='Gastos das Atividades'!$B30),-('Gastos das Atividades'!BG$3&gt;='Gastos Gerais'!$D$4:$D$3143),-('Gastos das Atividades'!BG$3&lt;='Gastos Gerais'!$E$4:$E$3143),-('Gastos Gerais'!$C$4:$C$3143)))</f>
        <v>0</v>
      </c>
      <c r="BH30" s="134">
        <f>IF($B30="",0,SUMPRODUCT(-('Gastos Gerais'!$F$4:$F$3143='Gastos das Atividades'!$B30),-('Gastos das Atividades'!BH$3&gt;='Gastos Gerais'!$D$4:$D$3143),-('Gastos das Atividades'!BH$3&lt;='Gastos Gerais'!$E$4:$E$3143),-('Gastos Gerais'!$C$4:$C$3143)))</f>
        <v>0</v>
      </c>
      <c r="BI30" s="134">
        <f>IF($B30="",0,SUMPRODUCT(-('Gastos Gerais'!$F$4:$F$3143='Gastos das Atividades'!$B30),-('Gastos das Atividades'!BI$3&gt;='Gastos Gerais'!$D$4:$D$3143),-('Gastos das Atividades'!BI$3&lt;='Gastos Gerais'!$E$4:$E$3143),-('Gastos Gerais'!$C$4:$C$3143)))</f>
        <v>0</v>
      </c>
      <c r="BJ30" s="134">
        <f>IF($B30="",0,SUMPRODUCT(-('Gastos Gerais'!$F$4:$F$3143='Gastos das Atividades'!$B30),-('Gastos das Atividades'!BJ$3&gt;='Gastos Gerais'!$D$4:$D$3143),-('Gastos das Atividades'!BJ$3&lt;='Gastos Gerais'!$E$4:$E$3143),-('Gastos Gerais'!$C$4:$C$3143)))</f>
        <v>0</v>
      </c>
      <c r="BK30" s="134">
        <f>IF($B30="",0,SUMPRODUCT(-('Gastos Gerais'!$F$4:$F$3143='Gastos das Atividades'!$B30),-('Gastos das Atividades'!BK$3&gt;='Gastos Gerais'!$D$4:$D$3143),-('Gastos das Atividades'!BK$3&lt;='Gastos Gerais'!$E$4:$E$3143),-('Gastos Gerais'!$C$4:$C$3143)))</f>
        <v>0</v>
      </c>
      <c r="BL30" s="134">
        <f>IF($B30="",0,SUMPRODUCT(-('Gastos Gerais'!$F$4:$F$3143='Gastos das Atividades'!$B30),-('Gastos das Atividades'!BL$3&gt;='Gastos Gerais'!$D$4:$D$3143),-('Gastos das Atividades'!BL$3&lt;='Gastos Gerais'!$E$4:$E$3143),-('Gastos Gerais'!$C$4:$C$3143)))</f>
        <v>0</v>
      </c>
      <c r="BM30" s="134">
        <f>IF($B30="",0,SUMPRODUCT(-('Gastos Gerais'!$F$4:$F$3143='Gastos das Atividades'!$B30),-('Gastos das Atividades'!BM$3&gt;='Gastos Gerais'!$D$4:$D$3143),-('Gastos das Atividades'!BM$3&lt;='Gastos Gerais'!$E$4:$E$3143),-('Gastos Gerais'!$C$4:$C$3143)))</f>
        <v>0</v>
      </c>
      <c r="BN30" s="134">
        <f>IF($B30="",0,SUMPRODUCT(-('Gastos Gerais'!$F$4:$F$3143='Gastos das Atividades'!$B30),-('Gastos das Atividades'!BN$3&gt;='Gastos Gerais'!$D$4:$D$3143),-('Gastos das Atividades'!BN$3&lt;='Gastos Gerais'!$E$4:$E$3143),-('Gastos Gerais'!$C$4:$C$3143)))</f>
        <v>0</v>
      </c>
      <c r="BO30" s="134">
        <f>IF($B30="",0,SUMPRODUCT(-('Gastos Gerais'!$F$4:$F$3143='Gastos das Atividades'!$B30),-('Gastos das Atividades'!BO$3&gt;='Gastos Gerais'!$D$4:$D$3143),-('Gastos das Atividades'!BO$3&lt;='Gastos Gerais'!$E$4:$E$3143),-('Gastos Gerais'!$C$4:$C$3143)))</f>
        <v>0</v>
      </c>
      <c r="BP30" s="134">
        <f>IF($B30="",0,SUMPRODUCT(-('Gastos Gerais'!$F$4:$F$3143='Gastos das Atividades'!$B30),-('Gastos das Atividades'!BP$3&gt;='Gastos Gerais'!$D$4:$D$3143),-('Gastos das Atividades'!BP$3&lt;='Gastos Gerais'!$E$4:$E$3143),-('Gastos Gerais'!$C$4:$C$3143)))</f>
        <v>0</v>
      </c>
      <c r="BQ30" s="134">
        <f>IF($B30="",0,SUMPRODUCT(-('Gastos Gerais'!$F$4:$F$3143='Gastos das Atividades'!$B30),-('Gastos das Atividades'!BQ$3&gt;='Gastos Gerais'!$D$4:$D$3143),-('Gastos das Atividades'!BQ$3&lt;='Gastos Gerais'!$E$4:$E$3143),-('Gastos Gerais'!$C$4:$C$3143)))</f>
        <v>0</v>
      </c>
      <c r="BR30" s="134">
        <f>IF($B30="",0,SUMPRODUCT(-('Gastos Gerais'!$F$4:$F$3143='Gastos das Atividades'!$B30),-('Gastos das Atividades'!BR$3&gt;='Gastos Gerais'!$D$4:$D$3143),-('Gastos das Atividades'!BR$3&lt;='Gastos Gerais'!$E$4:$E$3143),-('Gastos Gerais'!$C$4:$C$3143)))</f>
        <v>0</v>
      </c>
      <c r="BS30" s="134">
        <f>IF($B30="",0,SUMPRODUCT(-('Gastos Gerais'!$F$4:$F$3143='Gastos das Atividades'!$B30),-('Gastos das Atividades'!BS$3&gt;='Gastos Gerais'!$D$4:$D$3143),-('Gastos das Atividades'!BS$3&lt;='Gastos Gerais'!$E$4:$E$3143),-('Gastos Gerais'!$C$4:$C$3143)))</f>
        <v>0</v>
      </c>
      <c r="BT30" s="134">
        <f>IF($B30="",0,SUMPRODUCT(-('Gastos Gerais'!$F$4:$F$3143='Gastos das Atividades'!$B30),-('Gastos das Atividades'!BT$3&gt;='Gastos Gerais'!$D$4:$D$3143),-('Gastos das Atividades'!BT$3&lt;='Gastos Gerais'!$E$4:$E$3143),-('Gastos Gerais'!$C$4:$C$3143)))</f>
        <v>0</v>
      </c>
      <c r="BU30" s="134">
        <f>IF($B30="",0,SUMPRODUCT(-('Gastos Gerais'!$F$4:$F$3143='Gastos das Atividades'!$B30),-('Gastos das Atividades'!BU$3&gt;='Gastos Gerais'!$D$4:$D$3143),-('Gastos das Atividades'!BU$3&lt;='Gastos Gerais'!$E$4:$E$3143),-('Gastos Gerais'!$C$4:$C$3143)))</f>
        <v>0</v>
      </c>
      <c r="BV30" s="134">
        <f>IF($B30="",0,SUMPRODUCT(-('Gastos Gerais'!$F$4:$F$3143='Gastos das Atividades'!$B30),-('Gastos das Atividades'!BV$3&gt;='Gastos Gerais'!$D$4:$D$3143),-('Gastos das Atividades'!BV$3&lt;='Gastos Gerais'!$E$4:$E$3143),-('Gastos Gerais'!$C$4:$C$3143)))</f>
        <v>0</v>
      </c>
      <c r="BW30" s="134">
        <f>IF($B30="",0,SUMPRODUCT(-('Gastos Gerais'!$F$4:$F$3143='Gastos das Atividades'!$B30),-('Gastos das Atividades'!BW$3&gt;='Gastos Gerais'!$D$4:$D$3143),-('Gastos das Atividades'!BW$3&lt;='Gastos Gerais'!$E$4:$E$3143),-('Gastos Gerais'!$C$4:$C$3143)))</f>
        <v>0</v>
      </c>
    </row>
    <row r="31" spans="1:75">
      <c r="A31" s="138">
        <v>28</v>
      </c>
      <c r="B31" s="139"/>
      <c r="C31" s="132">
        <v>0</v>
      </c>
      <c r="D31" s="133">
        <f t="shared" si="0"/>
        <v>0</v>
      </c>
      <c r="E31" s="134">
        <f t="shared" si="1"/>
        <v>0</v>
      </c>
      <c r="F31" s="134">
        <f t="shared" si="1"/>
        <v>0</v>
      </c>
      <c r="G31" s="134">
        <f t="shared" si="1"/>
        <v>0</v>
      </c>
      <c r="H31" s="134">
        <f t="shared" si="1"/>
        <v>0</v>
      </c>
      <c r="I31" s="135">
        <f t="shared" si="2"/>
        <v>0</v>
      </c>
      <c r="J31" s="136">
        <f t="shared" si="3"/>
        <v>0</v>
      </c>
      <c r="K31" s="136">
        <f t="shared" si="4"/>
        <v>0</v>
      </c>
      <c r="L31" s="136">
        <f t="shared" si="5"/>
        <v>0</v>
      </c>
      <c r="M31" s="136">
        <f t="shared" si="6"/>
        <v>0</v>
      </c>
      <c r="N31" s="136">
        <f t="shared" si="7"/>
        <v>0</v>
      </c>
      <c r="O31" s="137">
        <f t="shared" si="8"/>
        <v>0</v>
      </c>
      <c r="P31" s="134">
        <f>IF($B31="",0,SUMPRODUCT(-('Gastos Gerais'!$F$4:$F$3143='Gastos das Atividades'!$B31),-('Gastos das Atividades'!P$3&gt;='Gastos Gerais'!$D$4:$D$3143),-('Gastos das Atividades'!P$3&lt;='Gastos Gerais'!$E$4:$E$3143),-('Gastos Gerais'!$C$4:$C$3143)))</f>
        <v>0</v>
      </c>
      <c r="Q31" s="134">
        <f>IF($B31="",0,SUMPRODUCT(-('Gastos Gerais'!$F$4:$F$3143='Gastos das Atividades'!$B31),-('Gastos das Atividades'!Q$3&gt;='Gastos Gerais'!$D$4:$D$3143),-('Gastos das Atividades'!Q$3&lt;='Gastos Gerais'!$E$4:$E$3143),-('Gastos Gerais'!$C$4:$C$3143)))</f>
        <v>0</v>
      </c>
      <c r="R31" s="134">
        <f>IF($B31="",0,SUMPRODUCT(-('Gastos Gerais'!$F$4:$F$3143='Gastos das Atividades'!$B31),-('Gastos das Atividades'!R$3&gt;='Gastos Gerais'!$D$4:$D$3143),-('Gastos das Atividades'!R$3&lt;='Gastos Gerais'!$E$4:$E$3143),-('Gastos Gerais'!$C$4:$C$3143)))</f>
        <v>0</v>
      </c>
      <c r="S31" s="134">
        <f>IF($B31="",0,SUMPRODUCT(-('Gastos Gerais'!$F$4:$F$3143='Gastos das Atividades'!$B31),-('Gastos das Atividades'!S$3&gt;='Gastos Gerais'!$D$4:$D$3143),-('Gastos das Atividades'!S$3&lt;='Gastos Gerais'!$E$4:$E$3143),-('Gastos Gerais'!$C$4:$C$3143)))</f>
        <v>0</v>
      </c>
      <c r="T31" s="134">
        <f>IF($B31="",0,SUMPRODUCT(-('Gastos Gerais'!$F$4:$F$3143='Gastos das Atividades'!$B31),-('Gastos das Atividades'!T$3&gt;='Gastos Gerais'!$D$4:$D$3143),-('Gastos das Atividades'!T$3&lt;='Gastos Gerais'!$E$4:$E$3143),-('Gastos Gerais'!$C$4:$C$3143)))</f>
        <v>0</v>
      </c>
      <c r="U31" s="134">
        <f>IF($B31="",0,SUMPRODUCT(-('Gastos Gerais'!$F$4:$F$3143='Gastos das Atividades'!$B31),-('Gastos das Atividades'!U$3&gt;='Gastos Gerais'!$D$4:$D$3143),-('Gastos das Atividades'!U$3&lt;='Gastos Gerais'!$E$4:$E$3143),-('Gastos Gerais'!$C$4:$C$3143)))</f>
        <v>0</v>
      </c>
      <c r="V31" s="134">
        <f>IF($B31="",0,SUMPRODUCT(-('Gastos Gerais'!$F$4:$F$3143='Gastos das Atividades'!$B31),-('Gastos das Atividades'!V$3&gt;='Gastos Gerais'!$D$4:$D$3143),-('Gastos das Atividades'!V$3&lt;='Gastos Gerais'!$E$4:$E$3143),-('Gastos Gerais'!$C$4:$C$3143)))</f>
        <v>0</v>
      </c>
      <c r="W31" s="134">
        <f>IF($B31="",0,SUMPRODUCT(-('Gastos Gerais'!$F$4:$F$3143='Gastos das Atividades'!$B31),-('Gastos das Atividades'!W$3&gt;='Gastos Gerais'!$D$4:$D$3143),-('Gastos das Atividades'!W$3&lt;='Gastos Gerais'!$E$4:$E$3143),-('Gastos Gerais'!$C$4:$C$3143)))</f>
        <v>0</v>
      </c>
      <c r="X31" s="134">
        <f>IF($B31="",0,SUMPRODUCT(-('Gastos Gerais'!$F$4:$F$3143='Gastos das Atividades'!$B31),-('Gastos das Atividades'!X$3&gt;='Gastos Gerais'!$D$4:$D$3143),-('Gastos das Atividades'!X$3&lt;='Gastos Gerais'!$E$4:$E$3143),-('Gastos Gerais'!$C$4:$C$3143)))</f>
        <v>0</v>
      </c>
      <c r="Y31" s="134">
        <f>IF($B31="",0,SUMPRODUCT(-('Gastos Gerais'!$F$4:$F$3143='Gastos das Atividades'!$B31),-('Gastos das Atividades'!Y$3&gt;='Gastos Gerais'!$D$4:$D$3143),-('Gastos das Atividades'!Y$3&lt;='Gastos Gerais'!$E$4:$E$3143),-('Gastos Gerais'!$C$4:$C$3143)))</f>
        <v>0</v>
      </c>
      <c r="Z31" s="134">
        <f>IF($B31="",0,SUMPRODUCT(-('Gastos Gerais'!$F$4:$F$3143='Gastos das Atividades'!$B31),-('Gastos das Atividades'!Z$3&gt;='Gastos Gerais'!$D$4:$D$3143),-('Gastos das Atividades'!Z$3&lt;='Gastos Gerais'!$E$4:$E$3143),-('Gastos Gerais'!$C$4:$C$3143)))</f>
        <v>0</v>
      </c>
      <c r="AA31" s="134">
        <f>IF($B31="",0,SUMPRODUCT(-('Gastos Gerais'!$F$4:$F$3143='Gastos das Atividades'!$B31),-('Gastos das Atividades'!AA$3&gt;='Gastos Gerais'!$D$4:$D$3143),-('Gastos das Atividades'!AA$3&lt;='Gastos Gerais'!$E$4:$E$3143),-('Gastos Gerais'!$C$4:$C$3143)))</f>
        <v>0</v>
      </c>
      <c r="AB31" s="134">
        <f>IF($B31="",0,SUMPRODUCT(-('Gastos Gerais'!$F$4:$F$3143='Gastos das Atividades'!$B31),-('Gastos das Atividades'!AB$3&gt;='Gastos Gerais'!$D$4:$D$3143),-('Gastos das Atividades'!AB$3&lt;='Gastos Gerais'!$E$4:$E$3143),-('Gastos Gerais'!$C$4:$C$3143)))</f>
        <v>0</v>
      </c>
      <c r="AC31" s="134">
        <f>IF($B31="",0,SUMPRODUCT(-('Gastos Gerais'!$F$4:$F$3143='Gastos das Atividades'!$B31),-('Gastos das Atividades'!AC$3&gt;='Gastos Gerais'!$D$4:$D$3143),-('Gastos das Atividades'!AC$3&lt;='Gastos Gerais'!$E$4:$E$3143),-('Gastos Gerais'!$C$4:$C$3143)))</f>
        <v>0</v>
      </c>
      <c r="AD31" s="134">
        <f>IF($B31="",0,SUMPRODUCT(-('Gastos Gerais'!$F$4:$F$3143='Gastos das Atividades'!$B31),-('Gastos das Atividades'!AD$3&gt;='Gastos Gerais'!$D$4:$D$3143),-('Gastos das Atividades'!AD$3&lt;='Gastos Gerais'!$E$4:$E$3143),-('Gastos Gerais'!$C$4:$C$3143)))</f>
        <v>0</v>
      </c>
      <c r="AE31" s="134">
        <f>IF($B31="",0,SUMPRODUCT(-('Gastos Gerais'!$F$4:$F$3143='Gastos das Atividades'!$B31),-('Gastos das Atividades'!AE$3&gt;='Gastos Gerais'!$D$4:$D$3143),-('Gastos das Atividades'!AE$3&lt;='Gastos Gerais'!$E$4:$E$3143),-('Gastos Gerais'!$C$4:$C$3143)))</f>
        <v>0</v>
      </c>
      <c r="AF31" s="134">
        <f>IF($B31="",0,SUMPRODUCT(-('Gastos Gerais'!$F$4:$F$3143='Gastos das Atividades'!$B31),-('Gastos das Atividades'!AF$3&gt;='Gastos Gerais'!$D$4:$D$3143),-('Gastos das Atividades'!AF$3&lt;='Gastos Gerais'!$E$4:$E$3143),-('Gastos Gerais'!$C$4:$C$3143)))</f>
        <v>0</v>
      </c>
      <c r="AG31" s="134">
        <f>IF($B31="",0,SUMPRODUCT(-('Gastos Gerais'!$F$4:$F$3143='Gastos das Atividades'!$B31),-('Gastos das Atividades'!AG$3&gt;='Gastos Gerais'!$D$4:$D$3143),-('Gastos das Atividades'!AG$3&lt;='Gastos Gerais'!$E$4:$E$3143),-('Gastos Gerais'!$C$4:$C$3143)))</f>
        <v>0</v>
      </c>
      <c r="AH31" s="134">
        <f>IF($B31="",0,SUMPRODUCT(-('Gastos Gerais'!$F$4:$F$3143='Gastos das Atividades'!$B31),-('Gastos das Atividades'!AH$3&gt;='Gastos Gerais'!$D$4:$D$3143),-('Gastos das Atividades'!AH$3&lt;='Gastos Gerais'!$E$4:$E$3143),-('Gastos Gerais'!$C$4:$C$3143)))</f>
        <v>0</v>
      </c>
      <c r="AI31" s="134">
        <f>IF($B31="",0,SUMPRODUCT(-('Gastos Gerais'!$F$4:$F$3143='Gastos das Atividades'!$B31),-('Gastos das Atividades'!AI$3&gt;='Gastos Gerais'!$D$4:$D$3143),-('Gastos das Atividades'!AI$3&lt;='Gastos Gerais'!$E$4:$E$3143),-('Gastos Gerais'!$C$4:$C$3143)))</f>
        <v>0</v>
      </c>
      <c r="AJ31" s="134">
        <f>IF($B31="",0,SUMPRODUCT(-('Gastos Gerais'!$F$4:$F$3143='Gastos das Atividades'!$B31),-('Gastos das Atividades'!AJ$3&gt;='Gastos Gerais'!$D$4:$D$3143),-('Gastos das Atividades'!AJ$3&lt;='Gastos Gerais'!$E$4:$E$3143),-('Gastos Gerais'!$C$4:$C$3143)))</f>
        <v>0</v>
      </c>
      <c r="AK31" s="134">
        <f>IF($B31="",0,SUMPRODUCT(-('Gastos Gerais'!$F$4:$F$3143='Gastos das Atividades'!$B31),-('Gastos das Atividades'!AK$3&gt;='Gastos Gerais'!$D$4:$D$3143),-('Gastos das Atividades'!AK$3&lt;='Gastos Gerais'!$E$4:$E$3143),-('Gastos Gerais'!$C$4:$C$3143)))</f>
        <v>0</v>
      </c>
      <c r="AL31" s="134">
        <f>IF($B31="",0,SUMPRODUCT(-('Gastos Gerais'!$F$4:$F$3143='Gastos das Atividades'!$B31),-('Gastos das Atividades'!AL$3&gt;='Gastos Gerais'!$D$4:$D$3143),-('Gastos das Atividades'!AL$3&lt;='Gastos Gerais'!$E$4:$E$3143),-('Gastos Gerais'!$C$4:$C$3143)))</f>
        <v>0</v>
      </c>
      <c r="AM31" s="134">
        <f>IF($B31="",0,SUMPRODUCT(-('Gastos Gerais'!$F$4:$F$3143='Gastos das Atividades'!$B31),-('Gastos das Atividades'!AM$3&gt;='Gastos Gerais'!$D$4:$D$3143),-('Gastos das Atividades'!AM$3&lt;='Gastos Gerais'!$E$4:$E$3143),-('Gastos Gerais'!$C$4:$C$3143)))</f>
        <v>0</v>
      </c>
      <c r="AN31" s="134">
        <f>IF($B31="",0,SUMPRODUCT(-('Gastos Gerais'!$F$4:$F$3143='Gastos das Atividades'!$B31),-('Gastos das Atividades'!AN$3&gt;='Gastos Gerais'!$D$4:$D$3143),-('Gastos das Atividades'!AN$3&lt;='Gastos Gerais'!$E$4:$E$3143),-('Gastos Gerais'!$C$4:$C$3143)))</f>
        <v>0</v>
      </c>
      <c r="AO31" s="134">
        <f>IF($B31="",0,SUMPRODUCT(-('Gastos Gerais'!$F$4:$F$3143='Gastos das Atividades'!$B31),-('Gastos das Atividades'!AO$3&gt;='Gastos Gerais'!$D$4:$D$3143),-('Gastos das Atividades'!AO$3&lt;='Gastos Gerais'!$E$4:$E$3143),-('Gastos Gerais'!$C$4:$C$3143)))</f>
        <v>0</v>
      </c>
      <c r="AP31" s="134">
        <f>IF($B31="",0,SUMPRODUCT(-('Gastos Gerais'!$F$4:$F$3143='Gastos das Atividades'!$B31),-('Gastos das Atividades'!AP$3&gt;='Gastos Gerais'!$D$4:$D$3143),-('Gastos das Atividades'!AP$3&lt;='Gastos Gerais'!$E$4:$E$3143),-('Gastos Gerais'!$C$4:$C$3143)))</f>
        <v>0</v>
      </c>
      <c r="AQ31" s="134">
        <f>IF($B31="",0,SUMPRODUCT(-('Gastos Gerais'!$F$4:$F$3143='Gastos das Atividades'!$B31),-('Gastos das Atividades'!AQ$3&gt;='Gastos Gerais'!$D$4:$D$3143),-('Gastos das Atividades'!AQ$3&lt;='Gastos Gerais'!$E$4:$E$3143),-('Gastos Gerais'!$C$4:$C$3143)))</f>
        <v>0</v>
      </c>
      <c r="AR31" s="134">
        <f>IF($B31="",0,SUMPRODUCT(-('Gastos Gerais'!$F$4:$F$3143='Gastos das Atividades'!$B31),-('Gastos das Atividades'!AR$3&gt;='Gastos Gerais'!$D$4:$D$3143),-('Gastos das Atividades'!AR$3&lt;='Gastos Gerais'!$E$4:$E$3143),-('Gastos Gerais'!$C$4:$C$3143)))</f>
        <v>0</v>
      </c>
      <c r="AS31" s="134">
        <f>IF($B31="",0,SUMPRODUCT(-('Gastos Gerais'!$F$4:$F$3143='Gastos das Atividades'!$B31),-('Gastos das Atividades'!AS$3&gt;='Gastos Gerais'!$D$4:$D$3143),-('Gastos das Atividades'!AS$3&lt;='Gastos Gerais'!$E$4:$E$3143),-('Gastos Gerais'!$C$4:$C$3143)))</f>
        <v>0</v>
      </c>
      <c r="AT31" s="134">
        <f>IF($B31="",0,SUMPRODUCT(-('Gastos Gerais'!$F$4:$F$3143='Gastos das Atividades'!$B31),-('Gastos das Atividades'!AT$3&gt;='Gastos Gerais'!$D$4:$D$3143),-('Gastos das Atividades'!AT$3&lt;='Gastos Gerais'!$E$4:$E$3143),-('Gastos Gerais'!$C$4:$C$3143)))</f>
        <v>0</v>
      </c>
      <c r="AU31" s="134">
        <f>IF($B31="",0,SUMPRODUCT(-('Gastos Gerais'!$F$4:$F$3143='Gastos das Atividades'!$B31),-('Gastos das Atividades'!AU$3&gt;='Gastos Gerais'!$D$4:$D$3143),-('Gastos das Atividades'!AU$3&lt;='Gastos Gerais'!$E$4:$E$3143),-('Gastos Gerais'!$C$4:$C$3143)))</f>
        <v>0</v>
      </c>
      <c r="AV31" s="134">
        <f>IF($B31="",0,SUMPRODUCT(-('Gastos Gerais'!$F$4:$F$3143='Gastos das Atividades'!$B31),-('Gastos das Atividades'!AV$3&gt;='Gastos Gerais'!$D$4:$D$3143),-('Gastos das Atividades'!AV$3&lt;='Gastos Gerais'!$E$4:$E$3143),-('Gastos Gerais'!$C$4:$C$3143)))</f>
        <v>0</v>
      </c>
      <c r="AW31" s="134">
        <f>IF($B31="",0,SUMPRODUCT(-('Gastos Gerais'!$F$4:$F$3143='Gastos das Atividades'!$B31),-('Gastos das Atividades'!AW$3&gt;='Gastos Gerais'!$D$4:$D$3143),-('Gastos das Atividades'!AW$3&lt;='Gastos Gerais'!$E$4:$E$3143),-('Gastos Gerais'!$C$4:$C$3143)))</f>
        <v>0</v>
      </c>
      <c r="AX31" s="134">
        <f>IF($B31="",0,SUMPRODUCT(-('Gastos Gerais'!$F$4:$F$3143='Gastos das Atividades'!$B31),-('Gastos das Atividades'!AX$3&gt;='Gastos Gerais'!$D$4:$D$3143),-('Gastos das Atividades'!AX$3&lt;='Gastos Gerais'!$E$4:$E$3143),-('Gastos Gerais'!$C$4:$C$3143)))</f>
        <v>0</v>
      </c>
      <c r="AY31" s="134">
        <f>IF($B31="",0,SUMPRODUCT(-('Gastos Gerais'!$F$4:$F$3143='Gastos das Atividades'!$B31),-('Gastos das Atividades'!AY$3&gt;='Gastos Gerais'!$D$4:$D$3143),-('Gastos das Atividades'!AY$3&lt;='Gastos Gerais'!$E$4:$E$3143),-('Gastos Gerais'!$C$4:$C$3143)))</f>
        <v>0</v>
      </c>
      <c r="AZ31" s="134">
        <f>IF($B31="",0,SUMPRODUCT(-('Gastos Gerais'!$F$4:$F$3143='Gastos das Atividades'!$B31),-('Gastos das Atividades'!AZ$3&gt;='Gastos Gerais'!$D$4:$D$3143),-('Gastos das Atividades'!AZ$3&lt;='Gastos Gerais'!$E$4:$E$3143),-('Gastos Gerais'!$C$4:$C$3143)))</f>
        <v>0</v>
      </c>
      <c r="BA31" s="134">
        <f>IF($B31="",0,SUMPRODUCT(-('Gastos Gerais'!$F$4:$F$3143='Gastos das Atividades'!$B31),-('Gastos das Atividades'!BA$3&gt;='Gastos Gerais'!$D$4:$D$3143),-('Gastos das Atividades'!BA$3&lt;='Gastos Gerais'!$E$4:$E$3143),-('Gastos Gerais'!$C$4:$C$3143)))</f>
        <v>0</v>
      </c>
      <c r="BB31" s="134">
        <f>IF($B31="",0,SUMPRODUCT(-('Gastos Gerais'!$F$4:$F$3143='Gastos das Atividades'!$B31),-('Gastos das Atividades'!BB$3&gt;='Gastos Gerais'!$D$4:$D$3143),-('Gastos das Atividades'!BB$3&lt;='Gastos Gerais'!$E$4:$E$3143),-('Gastos Gerais'!$C$4:$C$3143)))</f>
        <v>0</v>
      </c>
      <c r="BC31" s="134">
        <f>IF($B31="",0,SUMPRODUCT(-('Gastos Gerais'!$F$4:$F$3143='Gastos das Atividades'!$B31),-('Gastos das Atividades'!BC$3&gt;='Gastos Gerais'!$D$4:$D$3143),-('Gastos das Atividades'!BC$3&lt;='Gastos Gerais'!$E$4:$E$3143),-('Gastos Gerais'!$C$4:$C$3143)))</f>
        <v>0</v>
      </c>
      <c r="BD31" s="134">
        <f>IF($B31="",0,SUMPRODUCT(-('Gastos Gerais'!$F$4:$F$3143='Gastos das Atividades'!$B31),-('Gastos das Atividades'!BD$3&gt;='Gastos Gerais'!$D$4:$D$3143),-('Gastos das Atividades'!BD$3&lt;='Gastos Gerais'!$E$4:$E$3143),-('Gastos Gerais'!$C$4:$C$3143)))</f>
        <v>0</v>
      </c>
      <c r="BE31" s="134">
        <f>IF($B31="",0,SUMPRODUCT(-('Gastos Gerais'!$F$4:$F$3143='Gastos das Atividades'!$B31),-('Gastos das Atividades'!BE$3&gt;='Gastos Gerais'!$D$4:$D$3143),-('Gastos das Atividades'!BE$3&lt;='Gastos Gerais'!$E$4:$E$3143),-('Gastos Gerais'!$C$4:$C$3143)))</f>
        <v>0</v>
      </c>
      <c r="BF31" s="134">
        <f>IF($B31="",0,SUMPRODUCT(-('Gastos Gerais'!$F$4:$F$3143='Gastos das Atividades'!$B31),-('Gastos das Atividades'!BF$3&gt;='Gastos Gerais'!$D$4:$D$3143),-('Gastos das Atividades'!BF$3&lt;='Gastos Gerais'!$E$4:$E$3143),-('Gastos Gerais'!$C$4:$C$3143)))</f>
        <v>0</v>
      </c>
      <c r="BG31" s="134">
        <f>IF($B31="",0,SUMPRODUCT(-('Gastos Gerais'!$F$4:$F$3143='Gastos das Atividades'!$B31),-('Gastos das Atividades'!BG$3&gt;='Gastos Gerais'!$D$4:$D$3143),-('Gastos das Atividades'!BG$3&lt;='Gastos Gerais'!$E$4:$E$3143),-('Gastos Gerais'!$C$4:$C$3143)))</f>
        <v>0</v>
      </c>
      <c r="BH31" s="134">
        <f>IF($B31="",0,SUMPRODUCT(-('Gastos Gerais'!$F$4:$F$3143='Gastos das Atividades'!$B31),-('Gastos das Atividades'!BH$3&gt;='Gastos Gerais'!$D$4:$D$3143),-('Gastos das Atividades'!BH$3&lt;='Gastos Gerais'!$E$4:$E$3143),-('Gastos Gerais'!$C$4:$C$3143)))</f>
        <v>0</v>
      </c>
      <c r="BI31" s="134">
        <f>IF($B31="",0,SUMPRODUCT(-('Gastos Gerais'!$F$4:$F$3143='Gastos das Atividades'!$B31),-('Gastos das Atividades'!BI$3&gt;='Gastos Gerais'!$D$4:$D$3143),-('Gastos das Atividades'!BI$3&lt;='Gastos Gerais'!$E$4:$E$3143),-('Gastos Gerais'!$C$4:$C$3143)))</f>
        <v>0</v>
      </c>
      <c r="BJ31" s="134">
        <f>IF($B31="",0,SUMPRODUCT(-('Gastos Gerais'!$F$4:$F$3143='Gastos das Atividades'!$B31),-('Gastos das Atividades'!BJ$3&gt;='Gastos Gerais'!$D$4:$D$3143),-('Gastos das Atividades'!BJ$3&lt;='Gastos Gerais'!$E$4:$E$3143),-('Gastos Gerais'!$C$4:$C$3143)))</f>
        <v>0</v>
      </c>
      <c r="BK31" s="134">
        <f>IF($B31="",0,SUMPRODUCT(-('Gastos Gerais'!$F$4:$F$3143='Gastos das Atividades'!$B31),-('Gastos das Atividades'!BK$3&gt;='Gastos Gerais'!$D$4:$D$3143),-('Gastos das Atividades'!BK$3&lt;='Gastos Gerais'!$E$4:$E$3143),-('Gastos Gerais'!$C$4:$C$3143)))</f>
        <v>0</v>
      </c>
      <c r="BL31" s="134">
        <f>IF($B31="",0,SUMPRODUCT(-('Gastos Gerais'!$F$4:$F$3143='Gastos das Atividades'!$B31),-('Gastos das Atividades'!BL$3&gt;='Gastos Gerais'!$D$4:$D$3143),-('Gastos das Atividades'!BL$3&lt;='Gastos Gerais'!$E$4:$E$3143),-('Gastos Gerais'!$C$4:$C$3143)))</f>
        <v>0</v>
      </c>
      <c r="BM31" s="134">
        <f>IF($B31="",0,SUMPRODUCT(-('Gastos Gerais'!$F$4:$F$3143='Gastos das Atividades'!$B31),-('Gastos das Atividades'!BM$3&gt;='Gastos Gerais'!$D$4:$D$3143),-('Gastos das Atividades'!BM$3&lt;='Gastos Gerais'!$E$4:$E$3143),-('Gastos Gerais'!$C$4:$C$3143)))</f>
        <v>0</v>
      </c>
      <c r="BN31" s="134">
        <f>IF($B31="",0,SUMPRODUCT(-('Gastos Gerais'!$F$4:$F$3143='Gastos das Atividades'!$B31),-('Gastos das Atividades'!BN$3&gt;='Gastos Gerais'!$D$4:$D$3143),-('Gastos das Atividades'!BN$3&lt;='Gastos Gerais'!$E$4:$E$3143),-('Gastos Gerais'!$C$4:$C$3143)))</f>
        <v>0</v>
      </c>
      <c r="BO31" s="134">
        <f>IF($B31="",0,SUMPRODUCT(-('Gastos Gerais'!$F$4:$F$3143='Gastos das Atividades'!$B31),-('Gastos das Atividades'!BO$3&gt;='Gastos Gerais'!$D$4:$D$3143),-('Gastos das Atividades'!BO$3&lt;='Gastos Gerais'!$E$4:$E$3143),-('Gastos Gerais'!$C$4:$C$3143)))</f>
        <v>0</v>
      </c>
      <c r="BP31" s="134">
        <f>IF($B31="",0,SUMPRODUCT(-('Gastos Gerais'!$F$4:$F$3143='Gastos das Atividades'!$B31),-('Gastos das Atividades'!BP$3&gt;='Gastos Gerais'!$D$4:$D$3143),-('Gastos das Atividades'!BP$3&lt;='Gastos Gerais'!$E$4:$E$3143),-('Gastos Gerais'!$C$4:$C$3143)))</f>
        <v>0</v>
      </c>
      <c r="BQ31" s="134">
        <f>IF($B31="",0,SUMPRODUCT(-('Gastos Gerais'!$F$4:$F$3143='Gastos das Atividades'!$B31),-('Gastos das Atividades'!BQ$3&gt;='Gastos Gerais'!$D$4:$D$3143),-('Gastos das Atividades'!BQ$3&lt;='Gastos Gerais'!$E$4:$E$3143),-('Gastos Gerais'!$C$4:$C$3143)))</f>
        <v>0</v>
      </c>
      <c r="BR31" s="134">
        <f>IF($B31="",0,SUMPRODUCT(-('Gastos Gerais'!$F$4:$F$3143='Gastos das Atividades'!$B31),-('Gastos das Atividades'!BR$3&gt;='Gastos Gerais'!$D$4:$D$3143),-('Gastos das Atividades'!BR$3&lt;='Gastos Gerais'!$E$4:$E$3143),-('Gastos Gerais'!$C$4:$C$3143)))</f>
        <v>0</v>
      </c>
      <c r="BS31" s="134">
        <f>IF($B31="",0,SUMPRODUCT(-('Gastos Gerais'!$F$4:$F$3143='Gastos das Atividades'!$B31),-('Gastos das Atividades'!BS$3&gt;='Gastos Gerais'!$D$4:$D$3143),-('Gastos das Atividades'!BS$3&lt;='Gastos Gerais'!$E$4:$E$3143),-('Gastos Gerais'!$C$4:$C$3143)))</f>
        <v>0</v>
      </c>
      <c r="BT31" s="134">
        <f>IF($B31="",0,SUMPRODUCT(-('Gastos Gerais'!$F$4:$F$3143='Gastos das Atividades'!$B31),-('Gastos das Atividades'!BT$3&gt;='Gastos Gerais'!$D$4:$D$3143),-('Gastos das Atividades'!BT$3&lt;='Gastos Gerais'!$E$4:$E$3143),-('Gastos Gerais'!$C$4:$C$3143)))</f>
        <v>0</v>
      </c>
      <c r="BU31" s="134">
        <f>IF($B31="",0,SUMPRODUCT(-('Gastos Gerais'!$F$4:$F$3143='Gastos das Atividades'!$B31),-('Gastos das Atividades'!BU$3&gt;='Gastos Gerais'!$D$4:$D$3143),-('Gastos das Atividades'!BU$3&lt;='Gastos Gerais'!$E$4:$E$3143),-('Gastos Gerais'!$C$4:$C$3143)))</f>
        <v>0</v>
      </c>
      <c r="BV31" s="134">
        <f>IF($B31="",0,SUMPRODUCT(-('Gastos Gerais'!$F$4:$F$3143='Gastos das Atividades'!$B31),-('Gastos das Atividades'!BV$3&gt;='Gastos Gerais'!$D$4:$D$3143),-('Gastos das Atividades'!BV$3&lt;='Gastos Gerais'!$E$4:$E$3143),-('Gastos Gerais'!$C$4:$C$3143)))</f>
        <v>0</v>
      </c>
      <c r="BW31" s="134">
        <f>IF($B31="",0,SUMPRODUCT(-('Gastos Gerais'!$F$4:$F$3143='Gastos das Atividades'!$B31),-('Gastos das Atividades'!BW$3&gt;='Gastos Gerais'!$D$4:$D$3143),-('Gastos das Atividades'!BW$3&lt;='Gastos Gerais'!$E$4:$E$3143),-('Gastos Gerais'!$C$4:$C$3143)))</f>
        <v>0</v>
      </c>
    </row>
    <row r="32" spans="1:75">
      <c r="A32" s="138">
        <v>29</v>
      </c>
      <c r="B32" s="139"/>
      <c r="C32" s="132">
        <v>0</v>
      </c>
      <c r="D32" s="133">
        <f t="shared" si="0"/>
        <v>0</v>
      </c>
      <c r="E32" s="134">
        <f t="shared" si="1"/>
        <v>0</v>
      </c>
      <c r="F32" s="134">
        <f t="shared" si="1"/>
        <v>0</v>
      </c>
      <c r="G32" s="134">
        <f t="shared" si="1"/>
        <v>0</v>
      </c>
      <c r="H32" s="134">
        <f t="shared" si="1"/>
        <v>0</v>
      </c>
      <c r="I32" s="135">
        <f t="shared" si="2"/>
        <v>0</v>
      </c>
      <c r="J32" s="136">
        <f t="shared" si="3"/>
        <v>0</v>
      </c>
      <c r="K32" s="136">
        <f t="shared" si="4"/>
        <v>0</v>
      </c>
      <c r="L32" s="136">
        <f t="shared" si="5"/>
        <v>0</v>
      </c>
      <c r="M32" s="136">
        <f t="shared" si="6"/>
        <v>0</v>
      </c>
      <c r="N32" s="136">
        <f t="shared" si="7"/>
        <v>0</v>
      </c>
      <c r="O32" s="137">
        <f t="shared" si="8"/>
        <v>0</v>
      </c>
      <c r="P32" s="134">
        <f>IF($B32="",0,SUMPRODUCT(-('Gastos Gerais'!$F$4:$F$3143='Gastos das Atividades'!$B32),-('Gastos das Atividades'!P$3&gt;='Gastos Gerais'!$D$4:$D$3143),-('Gastos das Atividades'!P$3&lt;='Gastos Gerais'!$E$4:$E$3143),-('Gastos Gerais'!$C$4:$C$3143)))</f>
        <v>0</v>
      </c>
      <c r="Q32" s="134">
        <f>IF($B32="",0,SUMPRODUCT(-('Gastos Gerais'!$F$4:$F$3143='Gastos das Atividades'!$B32),-('Gastos das Atividades'!Q$3&gt;='Gastos Gerais'!$D$4:$D$3143),-('Gastos das Atividades'!Q$3&lt;='Gastos Gerais'!$E$4:$E$3143),-('Gastos Gerais'!$C$4:$C$3143)))</f>
        <v>0</v>
      </c>
      <c r="R32" s="134">
        <f>IF($B32="",0,SUMPRODUCT(-('Gastos Gerais'!$F$4:$F$3143='Gastos das Atividades'!$B32),-('Gastos das Atividades'!R$3&gt;='Gastos Gerais'!$D$4:$D$3143),-('Gastos das Atividades'!R$3&lt;='Gastos Gerais'!$E$4:$E$3143),-('Gastos Gerais'!$C$4:$C$3143)))</f>
        <v>0</v>
      </c>
      <c r="S32" s="134">
        <f>IF($B32="",0,SUMPRODUCT(-('Gastos Gerais'!$F$4:$F$3143='Gastos das Atividades'!$B32),-('Gastos das Atividades'!S$3&gt;='Gastos Gerais'!$D$4:$D$3143),-('Gastos das Atividades'!S$3&lt;='Gastos Gerais'!$E$4:$E$3143),-('Gastos Gerais'!$C$4:$C$3143)))</f>
        <v>0</v>
      </c>
      <c r="T32" s="134">
        <f>IF($B32="",0,SUMPRODUCT(-('Gastos Gerais'!$F$4:$F$3143='Gastos das Atividades'!$B32),-('Gastos das Atividades'!T$3&gt;='Gastos Gerais'!$D$4:$D$3143),-('Gastos das Atividades'!T$3&lt;='Gastos Gerais'!$E$4:$E$3143),-('Gastos Gerais'!$C$4:$C$3143)))</f>
        <v>0</v>
      </c>
      <c r="U32" s="134">
        <f>IF($B32="",0,SUMPRODUCT(-('Gastos Gerais'!$F$4:$F$3143='Gastos das Atividades'!$B32),-('Gastos das Atividades'!U$3&gt;='Gastos Gerais'!$D$4:$D$3143),-('Gastos das Atividades'!U$3&lt;='Gastos Gerais'!$E$4:$E$3143),-('Gastos Gerais'!$C$4:$C$3143)))</f>
        <v>0</v>
      </c>
      <c r="V32" s="134">
        <f>IF($B32="",0,SUMPRODUCT(-('Gastos Gerais'!$F$4:$F$3143='Gastos das Atividades'!$B32),-('Gastos das Atividades'!V$3&gt;='Gastos Gerais'!$D$4:$D$3143),-('Gastos das Atividades'!V$3&lt;='Gastos Gerais'!$E$4:$E$3143),-('Gastos Gerais'!$C$4:$C$3143)))</f>
        <v>0</v>
      </c>
      <c r="W32" s="134">
        <f>IF($B32="",0,SUMPRODUCT(-('Gastos Gerais'!$F$4:$F$3143='Gastos das Atividades'!$B32),-('Gastos das Atividades'!W$3&gt;='Gastos Gerais'!$D$4:$D$3143),-('Gastos das Atividades'!W$3&lt;='Gastos Gerais'!$E$4:$E$3143),-('Gastos Gerais'!$C$4:$C$3143)))</f>
        <v>0</v>
      </c>
      <c r="X32" s="134">
        <f>IF($B32="",0,SUMPRODUCT(-('Gastos Gerais'!$F$4:$F$3143='Gastos das Atividades'!$B32),-('Gastos das Atividades'!X$3&gt;='Gastos Gerais'!$D$4:$D$3143),-('Gastos das Atividades'!X$3&lt;='Gastos Gerais'!$E$4:$E$3143),-('Gastos Gerais'!$C$4:$C$3143)))</f>
        <v>0</v>
      </c>
      <c r="Y32" s="134">
        <f>IF($B32="",0,SUMPRODUCT(-('Gastos Gerais'!$F$4:$F$3143='Gastos das Atividades'!$B32),-('Gastos das Atividades'!Y$3&gt;='Gastos Gerais'!$D$4:$D$3143),-('Gastos das Atividades'!Y$3&lt;='Gastos Gerais'!$E$4:$E$3143),-('Gastos Gerais'!$C$4:$C$3143)))</f>
        <v>0</v>
      </c>
      <c r="Z32" s="134">
        <f>IF($B32="",0,SUMPRODUCT(-('Gastos Gerais'!$F$4:$F$3143='Gastos das Atividades'!$B32),-('Gastos das Atividades'!Z$3&gt;='Gastos Gerais'!$D$4:$D$3143),-('Gastos das Atividades'!Z$3&lt;='Gastos Gerais'!$E$4:$E$3143),-('Gastos Gerais'!$C$4:$C$3143)))</f>
        <v>0</v>
      </c>
      <c r="AA32" s="134">
        <f>IF($B32="",0,SUMPRODUCT(-('Gastos Gerais'!$F$4:$F$3143='Gastos das Atividades'!$B32),-('Gastos das Atividades'!AA$3&gt;='Gastos Gerais'!$D$4:$D$3143),-('Gastos das Atividades'!AA$3&lt;='Gastos Gerais'!$E$4:$E$3143),-('Gastos Gerais'!$C$4:$C$3143)))</f>
        <v>0</v>
      </c>
      <c r="AB32" s="134">
        <f>IF($B32="",0,SUMPRODUCT(-('Gastos Gerais'!$F$4:$F$3143='Gastos das Atividades'!$B32),-('Gastos das Atividades'!AB$3&gt;='Gastos Gerais'!$D$4:$D$3143),-('Gastos das Atividades'!AB$3&lt;='Gastos Gerais'!$E$4:$E$3143),-('Gastos Gerais'!$C$4:$C$3143)))</f>
        <v>0</v>
      </c>
      <c r="AC32" s="134">
        <f>IF($B32="",0,SUMPRODUCT(-('Gastos Gerais'!$F$4:$F$3143='Gastos das Atividades'!$B32),-('Gastos das Atividades'!AC$3&gt;='Gastos Gerais'!$D$4:$D$3143),-('Gastos das Atividades'!AC$3&lt;='Gastos Gerais'!$E$4:$E$3143),-('Gastos Gerais'!$C$4:$C$3143)))</f>
        <v>0</v>
      </c>
      <c r="AD32" s="134">
        <f>IF($B32="",0,SUMPRODUCT(-('Gastos Gerais'!$F$4:$F$3143='Gastos das Atividades'!$B32),-('Gastos das Atividades'!AD$3&gt;='Gastos Gerais'!$D$4:$D$3143),-('Gastos das Atividades'!AD$3&lt;='Gastos Gerais'!$E$4:$E$3143),-('Gastos Gerais'!$C$4:$C$3143)))</f>
        <v>0</v>
      </c>
      <c r="AE32" s="134">
        <f>IF($B32="",0,SUMPRODUCT(-('Gastos Gerais'!$F$4:$F$3143='Gastos das Atividades'!$B32),-('Gastos das Atividades'!AE$3&gt;='Gastos Gerais'!$D$4:$D$3143),-('Gastos das Atividades'!AE$3&lt;='Gastos Gerais'!$E$4:$E$3143),-('Gastos Gerais'!$C$4:$C$3143)))</f>
        <v>0</v>
      </c>
      <c r="AF32" s="134">
        <f>IF($B32="",0,SUMPRODUCT(-('Gastos Gerais'!$F$4:$F$3143='Gastos das Atividades'!$B32),-('Gastos das Atividades'!AF$3&gt;='Gastos Gerais'!$D$4:$D$3143),-('Gastos das Atividades'!AF$3&lt;='Gastos Gerais'!$E$4:$E$3143),-('Gastos Gerais'!$C$4:$C$3143)))</f>
        <v>0</v>
      </c>
      <c r="AG32" s="134">
        <f>IF($B32="",0,SUMPRODUCT(-('Gastos Gerais'!$F$4:$F$3143='Gastos das Atividades'!$B32),-('Gastos das Atividades'!AG$3&gt;='Gastos Gerais'!$D$4:$D$3143),-('Gastos das Atividades'!AG$3&lt;='Gastos Gerais'!$E$4:$E$3143),-('Gastos Gerais'!$C$4:$C$3143)))</f>
        <v>0</v>
      </c>
      <c r="AH32" s="134">
        <f>IF($B32="",0,SUMPRODUCT(-('Gastos Gerais'!$F$4:$F$3143='Gastos das Atividades'!$B32),-('Gastos das Atividades'!AH$3&gt;='Gastos Gerais'!$D$4:$D$3143),-('Gastos das Atividades'!AH$3&lt;='Gastos Gerais'!$E$4:$E$3143),-('Gastos Gerais'!$C$4:$C$3143)))</f>
        <v>0</v>
      </c>
      <c r="AI32" s="134">
        <f>IF($B32="",0,SUMPRODUCT(-('Gastos Gerais'!$F$4:$F$3143='Gastos das Atividades'!$B32),-('Gastos das Atividades'!AI$3&gt;='Gastos Gerais'!$D$4:$D$3143),-('Gastos das Atividades'!AI$3&lt;='Gastos Gerais'!$E$4:$E$3143),-('Gastos Gerais'!$C$4:$C$3143)))</f>
        <v>0</v>
      </c>
      <c r="AJ32" s="134">
        <f>IF($B32="",0,SUMPRODUCT(-('Gastos Gerais'!$F$4:$F$3143='Gastos das Atividades'!$B32),-('Gastos das Atividades'!AJ$3&gt;='Gastos Gerais'!$D$4:$D$3143),-('Gastos das Atividades'!AJ$3&lt;='Gastos Gerais'!$E$4:$E$3143),-('Gastos Gerais'!$C$4:$C$3143)))</f>
        <v>0</v>
      </c>
      <c r="AK32" s="134">
        <f>IF($B32="",0,SUMPRODUCT(-('Gastos Gerais'!$F$4:$F$3143='Gastos das Atividades'!$B32),-('Gastos das Atividades'!AK$3&gt;='Gastos Gerais'!$D$4:$D$3143),-('Gastos das Atividades'!AK$3&lt;='Gastos Gerais'!$E$4:$E$3143),-('Gastos Gerais'!$C$4:$C$3143)))</f>
        <v>0</v>
      </c>
      <c r="AL32" s="134">
        <f>IF($B32="",0,SUMPRODUCT(-('Gastos Gerais'!$F$4:$F$3143='Gastos das Atividades'!$B32),-('Gastos das Atividades'!AL$3&gt;='Gastos Gerais'!$D$4:$D$3143),-('Gastos das Atividades'!AL$3&lt;='Gastos Gerais'!$E$4:$E$3143),-('Gastos Gerais'!$C$4:$C$3143)))</f>
        <v>0</v>
      </c>
      <c r="AM32" s="134">
        <f>IF($B32="",0,SUMPRODUCT(-('Gastos Gerais'!$F$4:$F$3143='Gastos das Atividades'!$B32),-('Gastos das Atividades'!AM$3&gt;='Gastos Gerais'!$D$4:$D$3143),-('Gastos das Atividades'!AM$3&lt;='Gastos Gerais'!$E$4:$E$3143),-('Gastos Gerais'!$C$4:$C$3143)))</f>
        <v>0</v>
      </c>
      <c r="AN32" s="134">
        <f>IF($B32="",0,SUMPRODUCT(-('Gastos Gerais'!$F$4:$F$3143='Gastos das Atividades'!$B32),-('Gastos das Atividades'!AN$3&gt;='Gastos Gerais'!$D$4:$D$3143),-('Gastos das Atividades'!AN$3&lt;='Gastos Gerais'!$E$4:$E$3143),-('Gastos Gerais'!$C$4:$C$3143)))</f>
        <v>0</v>
      </c>
      <c r="AO32" s="134">
        <f>IF($B32="",0,SUMPRODUCT(-('Gastos Gerais'!$F$4:$F$3143='Gastos das Atividades'!$B32),-('Gastos das Atividades'!AO$3&gt;='Gastos Gerais'!$D$4:$D$3143),-('Gastos das Atividades'!AO$3&lt;='Gastos Gerais'!$E$4:$E$3143),-('Gastos Gerais'!$C$4:$C$3143)))</f>
        <v>0</v>
      </c>
      <c r="AP32" s="134">
        <f>IF($B32="",0,SUMPRODUCT(-('Gastos Gerais'!$F$4:$F$3143='Gastos das Atividades'!$B32),-('Gastos das Atividades'!AP$3&gt;='Gastos Gerais'!$D$4:$D$3143),-('Gastos das Atividades'!AP$3&lt;='Gastos Gerais'!$E$4:$E$3143),-('Gastos Gerais'!$C$4:$C$3143)))</f>
        <v>0</v>
      </c>
      <c r="AQ32" s="134">
        <f>IF($B32="",0,SUMPRODUCT(-('Gastos Gerais'!$F$4:$F$3143='Gastos das Atividades'!$B32),-('Gastos das Atividades'!AQ$3&gt;='Gastos Gerais'!$D$4:$D$3143),-('Gastos das Atividades'!AQ$3&lt;='Gastos Gerais'!$E$4:$E$3143),-('Gastos Gerais'!$C$4:$C$3143)))</f>
        <v>0</v>
      </c>
      <c r="AR32" s="134">
        <f>IF($B32="",0,SUMPRODUCT(-('Gastos Gerais'!$F$4:$F$3143='Gastos das Atividades'!$B32),-('Gastos das Atividades'!AR$3&gt;='Gastos Gerais'!$D$4:$D$3143),-('Gastos das Atividades'!AR$3&lt;='Gastos Gerais'!$E$4:$E$3143),-('Gastos Gerais'!$C$4:$C$3143)))</f>
        <v>0</v>
      </c>
      <c r="AS32" s="134">
        <f>IF($B32="",0,SUMPRODUCT(-('Gastos Gerais'!$F$4:$F$3143='Gastos das Atividades'!$B32),-('Gastos das Atividades'!AS$3&gt;='Gastos Gerais'!$D$4:$D$3143),-('Gastos das Atividades'!AS$3&lt;='Gastos Gerais'!$E$4:$E$3143),-('Gastos Gerais'!$C$4:$C$3143)))</f>
        <v>0</v>
      </c>
      <c r="AT32" s="134">
        <f>IF($B32="",0,SUMPRODUCT(-('Gastos Gerais'!$F$4:$F$3143='Gastos das Atividades'!$B32),-('Gastos das Atividades'!AT$3&gt;='Gastos Gerais'!$D$4:$D$3143),-('Gastos das Atividades'!AT$3&lt;='Gastos Gerais'!$E$4:$E$3143),-('Gastos Gerais'!$C$4:$C$3143)))</f>
        <v>0</v>
      </c>
      <c r="AU32" s="134">
        <f>IF($B32="",0,SUMPRODUCT(-('Gastos Gerais'!$F$4:$F$3143='Gastos das Atividades'!$B32),-('Gastos das Atividades'!AU$3&gt;='Gastos Gerais'!$D$4:$D$3143),-('Gastos das Atividades'!AU$3&lt;='Gastos Gerais'!$E$4:$E$3143),-('Gastos Gerais'!$C$4:$C$3143)))</f>
        <v>0</v>
      </c>
      <c r="AV32" s="134">
        <f>IF($B32="",0,SUMPRODUCT(-('Gastos Gerais'!$F$4:$F$3143='Gastos das Atividades'!$B32),-('Gastos das Atividades'!AV$3&gt;='Gastos Gerais'!$D$4:$D$3143),-('Gastos das Atividades'!AV$3&lt;='Gastos Gerais'!$E$4:$E$3143),-('Gastos Gerais'!$C$4:$C$3143)))</f>
        <v>0</v>
      </c>
      <c r="AW32" s="134">
        <f>IF($B32="",0,SUMPRODUCT(-('Gastos Gerais'!$F$4:$F$3143='Gastos das Atividades'!$B32),-('Gastos das Atividades'!AW$3&gt;='Gastos Gerais'!$D$4:$D$3143),-('Gastos das Atividades'!AW$3&lt;='Gastos Gerais'!$E$4:$E$3143),-('Gastos Gerais'!$C$4:$C$3143)))</f>
        <v>0</v>
      </c>
      <c r="AX32" s="134">
        <f>IF($B32="",0,SUMPRODUCT(-('Gastos Gerais'!$F$4:$F$3143='Gastos das Atividades'!$B32),-('Gastos das Atividades'!AX$3&gt;='Gastos Gerais'!$D$4:$D$3143),-('Gastos das Atividades'!AX$3&lt;='Gastos Gerais'!$E$4:$E$3143),-('Gastos Gerais'!$C$4:$C$3143)))</f>
        <v>0</v>
      </c>
      <c r="AY32" s="134">
        <f>IF($B32="",0,SUMPRODUCT(-('Gastos Gerais'!$F$4:$F$3143='Gastos das Atividades'!$B32),-('Gastos das Atividades'!AY$3&gt;='Gastos Gerais'!$D$4:$D$3143),-('Gastos das Atividades'!AY$3&lt;='Gastos Gerais'!$E$4:$E$3143),-('Gastos Gerais'!$C$4:$C$3143)))</f>
        <v>0</v>
      </c>
      <c r="AZ32" s="134">
        <f>IF($B32="",0,SUMPRODUCT(-('Gastos Gerais'!$F$4:$F$3143='Gastos das Atividades'!$B32),-('Gastos das Atividades'!AZ$3&gt;='Gastos Gerais'!$D$4:$D$3143),-('Gastos das Atividades'!AZ$3&lt;='Gastos Gerais'!$E$4:$E$3143),-('Gastos Gerais'!$C$4:$C$3143)))</f>
        <v>0</v>
      </c>
      <c r="BA32" s="134">
        <f>IF($B32="",0,SUMPRODUCT(-('Gastos Gerais'!$F$4:$F$3143='Gastos das Atividades'!$B32),-('Gastos das Atividades'!BA$3&gt;='Gastos Gerais'!$D$4:$D$3143),-('Gastos das Atividades'!BA$3&lt;='Gastos Gerais'!$E$4:$E$3143),-('Gastos Gerais'!$C$4:$C$3143)))</f>
        <v>0</v>
      </c>
      <c r="BB32" s="134">
        <f>IF($B32="",0,SUMPRODUCT(-('Gastos Gerais'!$F$4:$F$3143='Gastos das Atividades'!$B32),-('Gastos das Atividades'!BB$3&gt;='Gastos Gerais'!$D$4:$D$3143),-('Gastos das Atividades'!BB$3&lt;='Gastos Gerais'!$E$4:$E$3143),-('Gastos Gerais'!$C$4:$C$3143)))</f>
        <v>0</v>
      </c>
      <c r="BC32" s="134">
        <f>IF($B32="",0,SUMPRODUCT(-('Gastos Gerais'!$F$4:$F$3143='Gastos das Atividades'!$B32),-('Gastos das Atividades'!BC$3&gt;='Gastos Gerais'!$D$4:$D$3143),-('Gastos das Atividades'!BC$3&lt;='Gastos Gerais'!$E$4:$E$3143),-('Gastos Gerais'!$C$4:$C$3143)))</f>
        <v>0</v>
      </c>
      <c r="BD32" s="134">
        <f>IF($B32="",0,SUMPRODUCT(-('Gastos Gerais'!$F$4:$F$3143='Gastos das Atividades'!$B32),-('Gastos das Atividades'!BD$3&gt;='Gastos Gerais'!$D$4:$D$3143),-('Gastos das Atividades'!BD$3&lt;='Gastos Gerais'!$E$4:$E$3143),-('Gastos Gerais'!$C$4:$C$3143)))</f>
        <v>0</v>
      </c>
      <c r="BE32" s="134">
        <f>IF($B32="",0,SUMPRODUCT(-('Gastos Gerais'!$F$4:$F$3143='Gastos das Atividades'!$B32),-('Gastos das Atividades'!BE$3&gt;='Gastos Gerais'!$D$4:$D$3143),-('Gastos das Atividades'!BE$3&lt;='Gastos Gerais'!$E$4:$E$3143),-('Gastos Gerais'!$C$4:$C$3143)))</f>
        <v>0</v>
      </c>
      <c r="BF32" s="134">
        <f>IF($B32="",0,SUMPRODUCT(-('Gastos Gerais'!$F$4:$F$3143='Gastos das Atividades'!$B32),-('Gastos das Atividades'!BF$3&gt;='Gastos Gerais'!$D$4:$D$3143),-('Gastos das Atividades'!BF$3&lt;='Gastos Gerais'!$E$4:$E$3143),-('Gastos Gerais'!$C$4:$C$3143)))</f>
        <v>0</v>
      </c>
      <c r="BG32" s="134">
        <f>IF($B32="",0,SUMPRODUCT(-('Gastos Gerais'!$F$4:$F$3143='Gastos das Atividades'!$B32),-('Gastos das Atividades'!BG$3&gt;='Gastos Gerais'!$D$4:$D$3143),-('Gastos das Atividades'!BG$3&lt;='Gastos Gerais'!$E$4:$E$3143),-('Gastos Gerais'!$C$4:$C$3143)))</f>
        <v>0</v>
      </c>
      <c r="BH32" s="134">
        <f>IF($B32="",0,SUMPRODUCT(-('Gastos Gerais'!$F$4:$F$3143='Gastos das Atividades'!$B32),-('Gastos das Atividades'!BH$3&gt;='Gastos Gerais'!$D$4:$D$3143),-('Gastos das Atividades'!BH$3&lt;='Gastos Gerais'!$E$4:$E$3143),-('Gastos Gerais'!$C$4:$C$3143)))</f>
        <v>0</v>
      </c>
      <c r="BI32" s="134">
        <f>IF($B32="",0,SUMPRODUCT(-('Gastos Gerais'!$F$4:$F$3143='Gastos das Atividades'!$B32),-('Gastos das Atividades'!BI$3&gt;='Gastos Gerais'!$D$4:$D$3143),-('Gastos das Atividades'!BI$3&lt;='Gastos Gerais'!$E$4:$E$3143),-('Gastos Gerais'!$C$4:$C$3143)))</f>
        <v>0</v>
      </c>
      <c r="BJ32" s="134">
        <f>IF($B32="",0,SUMPRODUCT(-('Gastos Gerais'!$F$4:$F$3143='Gastos das Atividades'!$B32),-('Gastos das Atividades'!BJ$3&gt;='Gastos Gerais'!$D$4:$D$3143),-('Gastos das Atividades'!BJ$3&lt;='Gastos Gerais'!$E$4:$E$3143),-('Gastos Gerais'!$C$4:$C$3143)))</f>
        <v>0</v>
      </c>
      <c r="BK32" s="134">
        <f>IF($B32="",0,SUMPRODUCT(-('Gastos Gerais'!$F$4:$F$3143='Gastos das Atividades'!$B32),-('Gastos das Atividades'!BK$3&gt;='Gastos Gerais'!$D$4:$D$3143),-('Gastos das Atividades'!BK$3&lt;='Gastos Gerais'!$E$4:$E$3143),-('Gastos Gerais'!$C$4:$C$3143)))</f>
        <v>0</v>
      </c>
      <c r="BL32" s="134">
        <f>IF($B32="",0,SUMPRODUCT(-('Gastos Gerais'!$F$4:$F$3143='Gastos das Atividades'!$B32),-('Gastos das Atividades'!BL$3&gt;='Gastos Gerais'!$D$4:$D$3143),-('Gastos das Atividades'!BL$3&lt;='Gastos Gerais'!$E$4:$E$3143),-('Gastos Gerais'!$C$4:$C$3143)))</f>
        <v>0</v>
      </c>
      <c r="BM32" s="134">
        <f>IF($B32="",0,SUMPRODUCT(-('Gastos Gerais'!$F$4:$F$3143='Gastos das Atividades'!$B32),-('Gastos das Atividades'!BM$3&gt;='Gastos Gerais'!$D$4:$D$3143),-('Gastos das Atividades'!BM$3&lt;='Gastos Gerais'!$E$4:$E$3143),-('Gastos Gerais'!$C$4:$C$3143)))</f>
        <v>0</v>
      </c>
      <c r="BN32" s="134">
        <f>IF($B32="",0,SUMPRODUCT(-('Gastos Gerais'!$F$4:$F$3143='Gastos das Atividades'!$B32),-('Gastos das Atividades'!BN$3&gt;='Gastos Gerais'!$D$4:$D$3143),-('Gastos das Atividades'!BN$3&lt;='Gastos Gerais'!$E$4:$E$3143),-('Gastos Gerais'!$C$4:$C$3143)))</f>
        <v>0</v>
      </c>
      <c r="BO32" s="134">
        <f>IF($B32="",0,SUMPRODUCT(-('Gastos Gerais'!$F$4:$F$3143='Gastos das Atividades'!$B32),-('Gastos das Atividades'!BO$3&gt;='Gastos Gerais'!$D$4:$D$3143),-('Gastos das Atividades'!BO$3&lt;='Gastos Gerais'!$E$4:$E$3143),-('Gastos Gerais'!$C$4:$C$3143)))</f>
        <v>0</v>
      </c>
      <c r="BP32" s="134">
        <f>IF($B32="",0,SUMPRODUCT(-('Gastos Gerais'!$F$4:$F$3143='Gastos das Atividades'!$B32),-('Gastos das Atividades'!BP$3&gt;='Gastos Gerais'!$D$4:$D$3143),-('Gastos das Atividades'!BP$3&lt;='Gastos Gerais'!$E$4:$E$3143),-('Gastos Gerais'!$C$4:$C$3143)))</f>
        <v>0</v>
      </c>
      <c r="BQ32" s="134">
        <f>IF($B32="",0,SUMPRODUCT(-('Gastos Gerais'!$F$4:$F$3143='Gastos das Atividades'!$B32),-('Gastos das Atividades'!BQ$3&gt;='Gastos Gerais'!$D$4:$D$3143),-('Gastos das Atividades'!BQ$3&lt;='Gastos Gerais'!$E$4:$E$3143),-('Gastos Gerais'!$C$4:$C$3143)))</f>
        <v>0</v>
      </c>
      <c r="BR32" s="134">
        <f>IF($B32="",0,SUMPRODUCT(-('Gastos Gerais'!$F$4:$F$3143='Gastos das Atividades'!$B32),-('Gastos das Atividades'!BR$3&gt;='Gastos Gerais'!$D$4:$D$3143),-('Gastos das Atividades'!BR$3&lt;='Gastos Gerais'!$E$4:$E$3143),-('Gastos Gerais'!$C$4:$C$3143)))</f>
        <v>0</v>
      </c>
      <c r="BS32" s="134">
        <f>IF($B32="",0,SUMPRODUCT(-('Gastos Gerais'!$F$4:$F$3143='Gastos das Atividades'!$B32),-('Gastos das Atividades'!BS$3&gt;='Gastos Gerais'!$D$4:$D$3143),-('Gastos das Atividades'!BS$3&lt;='Gastos Gerais'!$E$4:$E$3143),-('Gastos Gerais'!$C$4:$C$3143)))</f>
        <v>0</v>
      </c>
      <c r="BT32" s="134">
        <f>IF($B32="",0,SUMPRODUCT(-('Gastos Gerais'!$F$4:$F$3143='Gastos das Atividades'!$B32),-('Gastos das Atividades'!BT$3&gt;='Gastos Gerais'!$D$4:$D$3143),-('Gastos das Atividades'!BT$3&lt;='Gastos Gerais'!$E$4:$E$3143),-('Gastos Gerais'!$C$4:$C$3143)))</f>
        <v>0</v>
      </c>
      <c r="BU32" s="134">
        <f>IF($B32="",0,SUMPRODUCT(-('Gastos Gerais'!$F$4:$F$3143='Gastos das Atividades'!$B32),-('Gastos das Atividades'!BU$3&gt;='Gastos Gerais'!$D$4:$D$3143),-('Gastos das Atividades'!BU$3&lt;='Gastos Gerais'!$E$4:$E$3143),-('Gastos Gerais'!$C$4:$C$3143)))</f>
        <v>0</v>
      </c>
      <c r="BV32" s="134">
        <f>IF($B32="",0,SUMPRODUCT(-('Gastos Gerais'!$F$4:$F$3143='Gastos das Atividades'!$B32),-('Gastos das Atividades'!BV$3&gt;='Gastos Gerais'!$D$4:$D$3143),-('Gastos das Atividades'!BV$3&lt;='Gastos Gerais'!$E$4:$E$3143),-('Gastos Gerais'!$C$4:$C$3143)))</f>
        <v>0</v>
      </c>
      <c r="BW32" s="134">
        <f>IF($B32="",0,SUMPRODUCT(-('Gastos Gerais'!$F$4:$F$3143='Gastos das Atividades'!$B32),-('Gastos das Atividades'!BW$3&gt;='Gastos Gerais'!$D$4:$D$3143),-('Gastos das Atividades'!BW$3&lt;='Gastos Gerais'!$E$4:$E$3143),-('Gastos Gerais'!$C$4:$C$3143)))</f>
        <v>0</v>
      </c>
    </row>
    <row r="33" spans="1:75">
      <c r="A33" s="138">
        <v>30</v>
      </c>
      <c r="B33" s="139"/>
      <c r="C33" s="132">
        <v>0</v>
      </c>
      <c r="D33" s="133">
        <f t="shared" si="0"/>
        <v>0</v>
      </c>
      <c r="E33" s="134">
        <f t="shared" si="1"/>
        <v>0</v>
      </c>
      <c r="F33" s="134">
        <f t="shared" si="1"/>
        <v>0</v>
      </c>
      <c r="G33" s="134">
        <f t="shared" si="1"/>
        <v>0</v>
      </c>
      <c r="H33" s="134">
        <f t="shared" si="1"/>
        <v>0</v>
      </c>
      <c r="I33" s="135">
        <f t="shared" si="2"/>
        <v>0</v>
      </c>
      <c r="J33" s="136">
        <f t="shared" si="3"/>
        <v>0</v>
      </c>
      <c r="K33" s="136">
        <f t="shared" si="4"/>
        <v>0</v>
      </c>
      <c r="L33" s="136">
        <f t="shared" si="5"/>
        <v>0</v>
      </c>
      <c r="M33" s="136">
        <f t="shared" si="6"/>
        <v>0</v>
      </c>
      <c r="N33" s="136">
        <f t="shared" si="7"/>
        <v>0</v>
      </c>
      <c r="O33" s="137">
        <f t="shared" si="8"/>
        <v>0</v>
      </c>
      <c r="P33" s="134">
        <f>IF($B33="",0,SUMPRODUCT(-('Gastos Gerais'!$F$4:$F$3143='Gastos das Atividades'!$B33),-('Gastos das Atividades'!P$3&gt;='Gastos Gerais'!$D$4:$D$3143),-('Gastos das Atividades'!P$3&lt;='Gastos Gerais'!$E$4:$E$3143),-('Gastos Gerais'!$C$4:$C$3143)))</f>
        <v>0</v>
      </c>
      <c r="Q33" s="134">
        <f>IF($B33="",0,SUMPRODUCT(-('Gastos Gerais'!$F$4:$F$3143='Gastos das Atividades'!$B33),-('Gastos das Atividades'!Q$3&gt;='Gastos Gerais'!$D$4:$D$3143),-('Gastos das Atividades'!Q$3&lt;='Gastos Gerais'!$E$4:$E$3143),-('Gastos Gerais'!$C$4:$C$3143)))</f>
        <v>0</v>
      </c>
      <c r="R33" s="134">
        <f>IF($B33="",0,SUMPRODUCT(-('Gastos Gerais'!$F$4:$F$3143='Gastos das Atividades'!$B33),-('Gastos das Atividades'!R$3&gt;='Gastos Gerais'!$D$4:$D$3143),-('Gastos das Atividades'!R$3&lt;='Gastos Gerais'!$E$4:$E$3143),-('Gastos Gerais'!$C$4:$C$3143)))</f>
        <v>0</v>
      </c>
      <c r="S33" s="134">
        <f>IF($B33="",0,SUMPRODUCT(-('Gastos Gerais'!$F$4:$F$3143='Gastos das Atividades'!$B33),-('Gastos das Atividades'!S$3&gt;='Gastos Gerais'!$D$4:$D$3143),-('Gastos das Atividades'!S$3&lt;='Gastos Gerais'!$E$4:$E$3143),-('Gastos Gerais'!$C$4:$C$3143)))</f>
        <v>0</v>
      </c>
      <c r="T33" s="134">
        <f>IF($B33="",0,SUMPRODUCT(-('Gastos Gerais'!$F$4:$F$3143='Gastos das Atividades'!$B33),-('Gastos das Atividades'!T$3&gt;='Gastos Gerais'!$D$4:$D$3143),-('Gastos das Atividades'!T$3&lt;='Gastos Gerais'!$E$4:$E$3143),-('Gastos Gerais'!$C$4:$C$3143)))</f>
        <v>0</v>
      </c>
      <c r="U33" s="134">
        <f>IF($B33="",0,SUMPRODUCT(-('Gastos Gerais'!$F$4:$F$3143='Gastos das Atividades'!$B33),-('Gastos das Atividades'!U$3&gt;='Gastos Gerais'!$D$4:$D$3143),-('Gastos das Atividades'!U$3&lt;='Gastos Gerais'!$E$4:$E$3143),-('Gastos Gerais'!$C$4:$C$3143)))</f>
        <v>0</v>
      </c>
      <c r="V33" s="134">
        <f>IF($B33="",0,SUMPRODUCT(-('Gastos Gerais'!$F$4:$F$3143='Gastos das Atividades'!$B33),-('Gastos das Atividades'!V$3&gt;='Gastos Gerais'!$D$4:$D$3143),-('Gastos das Atividades'!V$3&lt;='Gastos Gerais'!$E$4:$E$3143),-('Gastos Gerais'!$C$4:$C$3143)))</f>
        <v>0</v>
      </c>
      <c r="W33" s="134">
        <f>IF($B33="",0,SUMPRODUCT(-('Gastos Gerais'!$F$4:$F$3143='Gastos das Atividades'!$B33),-('Gastos das Atividades'!W$3&gt;='Gastos Gerais'!$D$4:$D$3143),-('Gastos das Atividades'!W$3&lt;='Gastos Gerais'!$E$4:$E$3143),-('Gastos Gerais'!$C$4:$C$3143)))</f>
        <v>0</v>
      </c>
      <c r="X33" s="134">
        <f>IF($B33="",0,SUMPRODUCT(-('Gastos Gerais'!$F$4:$F$3143='Gastos das Atividades'!$B33),-('Gastos das Atividades'!X$3&gt;='Gastos Gerais'!$D$4:$D$3143),-('Gastos das Atividades'!X$3&lt;='Gastos Gerais'!$E$4:$E$3143),-('Gastos Gerais'!$C$4:$C$3143)))</f>
        <v>0</v>
      </c>
      <c r="Y33" s="134">
        <f>IF($B33="",0,SUMPRODUCT(-('Gastos Gerais'!$F$4:$F$3143='Gastos das Atividades'!$B33),-('Gastos das Atividades'!Y$3&gt;='Gastos Gerais'!$D$4:$D$3143),-('Gastos das Atividades'!Y$3&lt;='Gastos Gerais'!$E$4:$E$3143),-('Gastos Gerais'!$C$4:$C$3143)))</f>
        <v>0</v>
      </c>
      <c r="Z33" s="134">
        <f>IF($B33="",0,SUMPRODUCT(-('Gastos Gerais'!$F$4:$F$3143='Gastos das Atividades'!$B33),-('Gastos das Atividades'!Z$3&gt;='Gastos Gerais'!$D$4:$D$3143),-('Gastos das Atividades'!Z$3&lt;='Gastos Gerais'!$E$4:$E$3143),-('Gastos Gerais'!$C$4:$C$3143)))</f>
        <v>0</v>
      </c>
      <c r="AA33" s="134">
        <f>IF($B33="",0,SUMPRODUCT(-('Gastos Gerais'!$F$4:$F$3143='Gastos das Atividades'!$B33),-('Gastos das Atividades'!AA$3&gt;='Gastos Gerais'!$D$4:$D$3143),-('Gastos das Atividades'!AA$3&lt;='Gastos Gerais'!$E$4:$E$3143),-('Gastos Gerais'!$C$4:$C$3143)))</f>
        <v>0</v>
      </c>
      <c r="AB33" s="134">
        <f>IF($B33="",0,SUMPRODUCT(-('Gastos Gerais'!$F$4:$F$3143='Gastos das Atividades'!$B33),-('Gastos das Atividades'!AB$3&gt;='Gastos Gerais'!$D$4:$D$3143),-('Gastos das Atividades'!AB$3&lt;='Gastos Gerais'!$E$4:$E$3143),-('Gastos Gerais'!$C$4:$C$3143)))</f>
        <v>0</v>
      </c>
      <c r="AC33" s="134">
        <f>IF($B33="",0,SUMPRODUCT(-('Gastos Gerais'!$F$4:$F$3143='Gastos das Atividades'!$B33),-('Gastos das Atividades'!AC$3&gt;='Gastos Gerais'!$D$4:$D$3143),-('Gastos das Atividades'!AC$3&lt;='Gastos Gerais'!$E$4:$E$3143),-('Gastos Gerais'!$C$4:$C$3143)))</f>
        <v>0</v>
      </c>
      <c r="AD33" s="134">
        <f>IF($B33="",0,SUMPRODUCT(-('Gastos Gerais'!$F$4:$F$3143='Gastos das Atividades'!$B33),-('Gastos das Atividades'!AD$3&gt;='Gastos Gerais'!$D$4:$D$3143),-('Gastos das Atividades'!AD$3&lt;='Gastos Gerais'!$E$4:$E$3143),-('Gastos Gerais'!$C$4:$C$3143)))</f>
        <v>0</v>
      </c>
      <c r="AE33" s="134">
        <f>IF($B33="",0,SUMPRODUCT(-('Gastos Gerais'!$F$4:$F$3143='Gastos das Atividades'!$B33),-('Gastos das Atividades'!AE$3&gt;='Gastos Gerais'!$D$4:$D$3143),-('Gastos das Atividades'!AE$3&lt;='Gastos Gerais'!$E$4:$E$3143),-('Gastos Gerais'!$C$4:$C$3143)))</f>
        <v>0</v>
      </c>
      <c r="AF33" s="134">
        <f>IF($B33="",0,SUMPRODUCT(-('Gastos Gerais'!$F$4:$F$3143='Gastos das Atividades'!$B33),-('Gastos das Atividades'!AF$3&gt;='Gastos Gerais'!$D$4:$D$3143),-('Gastos das Atividades'!AF$3&lt;='Gastos Gerais'!$E$4:$E$3143),-('Gastos Gerais'!$C$4:$C$3143)))</f>
        <v>0</v>
      </c>
      <c r="AG33" s="134">
        <f>IF($B33="",0,SUMPRODUCT(-('Gastos Gerais'!$F$4:$F$3143='Gastos das Atividades'!$B33),-('Gastos das Atividades'!AG$3&gt;='Gastos Gerais'!$D$4:$D$3143),-('Gastos das Atividades'!AG$3&lt;='Gastos Gerais'!$E$4:$E$3143),-('Gastos Gerais'!$C$4:$C$3143)))</f>
        <v>0</v>
      </c>
      <c r="AH33" s="134">
        <f>IF($B33="",0,SUMPRODUCT(-('Gastos Gerais'!$F$4:$F$3143='Gastos das Atividades'!$B33),-('Gastos das Atividades'!AH$3&gt;='Gastos Gerais'!$D$4:$D$3143),-('Gastos das Atividades'!AH$3&lt;='Gastos Gerais'!$E$4:$E$3143),-('Gastos Gerais'!$C$4:$C$3143)))</f>
        <v>0</v>
      </c>
      <c r="AI33" s="134">
        <f>IF($B33="",0,SUMPRODUCT(-('Gastos Gerais'!$F$4:$F$3143='Gastos das Atividades'!$B33),-('Gastos das Atividades'!AI$3&gt;='Gastos Gerais'!$D$4:$D$3143),-('Gastos das Atividades'!AI$3&lt;='Gastos Gerais'!$E$4:$E$3143),-('Gastos Gerais'!$C$4:$C$3143)))</f>
        <v>0</v>
      </c>
      <c r="AJ33" s="134">
        <f>IF($B33="",0,SUMPRODUCT(-('Gastos Gerais'!$F$4:$F$3143='Gastos das Atividades'!$B33),-('Gastos das Atividades'!AJ$3&gt;='Gastos Gerais'!$D$4:$D$3143),-('Gastos das Atividades'!AJ$3&lt;='Gastos Gerais'!$E$4:$E$3143),-('Gastos Gerais'!$C$4:$C$3143)))</f>
        <v>0</v>
      </c>
      <c r="AK33" s="134">
        <f>IF($B33="",0,SUMPRODUCT(-('Gastos Gerais'!$F$4:$F$3143='Gastos das Atividades'!$B33),-('Gastos das Atividades'!AK$3&gt;='Gastos Gerais'!$D$4:$D$3143),-('Gastos das Atividades'!AK$3&lt;='Gastos Gerais'!$E$4:$E$3143),-('Gastos Gerais'!$C$4:$C$3143)))</f>
        <v>0</v>
      </c>
      <c r="AL33" s="134">
        <f>IF($B33="",0,SUMPRODUCT(-('Gastos Gerais'!$F$4:$F$3143='Gastos das Atividades'!$B33),-('Gastos das Atividades'!AL$3&gt;='Gastos Gerais'!$D$4:$D$3143),-('Gastos das Atividades'!AL$3&lt;='Gastos Gerais'!$E$4:$E$3143),-('Gastos Gerais'!$C$4:$C$3143)))</f>
        <v>0</v>
      </c>
      <c r="AM33" s="134">
        <f>IF($B33="",0,SUMPRODUCT(-('Gastos Gerais'!$F$4:$F$3143='Gastos das Atividades'!$B33),-('Gastos das Atividades'!AM$3&gt;='Gastos Gerais'!$D$4:$D$3143),-('Gastos das Atividades'!AM$3&lt;='Gastos Gerais'!$E$4:$E$3143),-('Gastos Gerais'!$C$4:$C$3143)))</f>
        <v>0</v>
      </c>
      <c r="AN33" s="134">
        <f>IF($B33="",0,SUMPRODUCT(-('Gastos Gerais'!$F$4:$F$3143='Gastos das Atividades'!$B33),-('Gastos das Atividades'!AN$3&gt;='Gastos Gerais'!$D$4:$D$3143),-('Gastos das Atividades'!AN$3&lt;='Gastos Gerais'!$E$4:$E$3143),-('Gastos Gerais'!$C$4:$C$3143)))</f>
        <v>0</v>
      </c>
      <c r="AO33" s="134">
        <f>IF($B33="",0,SUMPRODUCT(-('Gastos Gerais'!$F$4:$F$3143='Gastos das Atividades'!$B33),-('Gastos das Atividades'!AO$3&gt;='Gastos Gerais'!$D$4:$D$3143),-('Gastos das Atividades'!AO$3&lt;='Gastos Gerais'!$E$4:$E$3143),-('Gastos Gerais'!$C$4:$C$3143)))</f>
        <v>0</v>
      </c>
      <c r="AP33" s="134">
        <f>IF($B33="",0,SUMPRODUCT(-('Gastos Gerais'!$F$4:$F$3143='Gastos das Atividades'!$B33),-('Gastos das Atividades'!AP$3&gt;='Gastos Gerais'!$D$4:$D$3143),-('Gastos das Atividades'!AP$3&lt;='Gastos Gerais'!$E$4:$E$3143),-('Gastos Gerais'!$C$4:$C$3143)))</f>
        <v>0</v>
      </c>
      <c r="AQ33" s="134">
        <f>IF($B33="",0,SUMPRODUCT(-('Gastos Gerais'!$F$4:$F$3143='Gastos das Atividades'!$B33),-('Gastos das Atividades'!AQ$3&gt;='Gastos Gerais'!$D$4:$D$3143),-('Gastos das Atividades'!AQ$3&lt;='Gastos Gerais'!$E$4:$E$3143),-('Gastos Gerais'!$C$4:$C$3143)))</f>
        <v>0</v>
      </c>
      <c r="AR33" s="134">
        <f>IF($B33="",0,SUMPRODUCT(-('Gastos Gerais'!$F$4:$F$3143='Gastos das Atividades'!$B33),-('Gastos das Atividades'!AR$3&gt;='Gastos Gerais'!$D$4:$D$3143),-('Gastos das Atividades'!AR$3&lt;='Gastos Gerais'!$E$4:$E$3143),-('Gastos Gerais'!$C$4:$C$3143)))</f>
        <v>0</v>
      </c>
      <c r="AS33" s="134">
        <f>IF($B33="",0,SUMPRODUCT(-('Gastos Gerais'!$F$4:$F$3143='Gastos das Atividades'!$B33),-('Gastos das Atividades'!AS$3&gt;='Gastos Gerais'!$D$4:$D$3143),-('Gastos das Atividades'!AS$3&lt;='Gastos Gerais'!$E$4:$E$3143),-('Gastos Gerais'!$C$4:$C$3143)))</f>
        <v>0</v>
      </c>
      <c r="AT33" s="134">
        <f>IF($B33="",0,SUMPRODUCT(-('Gastos Gerais'!$F$4:$F$3143='Gastos das Atividades'!$B33),-('Gastos das Atividades'!AT$3&gt;='Gastos Gerais'!$D$4:$D$3143),-('Gastos das Atividades'!AT$3&lt;='Gastos Gerais'!$E$4:$E$3143),-('Gastos Gerais'!$C$4:$C$3143)))</f>
        <v>0</v>
      </c>
      <c r="AU33" s="134">
        <f>IF($B33="",0,SUMPRODUCT(-('Gastos Gerais'!$F$4:$F$3143='Gastos das Atividades'!$B33),-('Gastos das Atividades'!AU$3&gt;='Gastos Gerais'!$D$4:$D$3143),-('Gastos das Atividades'!AU$3&lt;='Gastos Gerais'!$E$4:$E$3143),-('Gastos Gerais'!$C$4:$C$3143)))</f>
        <v>0</v>
      </c>
      <c r="AV33" s="134">
        <f>IF($B33="",0,SUMPRODUCT(-('Gastos Gerais'!$F$4:$F$3143='Gastos das Atividades'!$B33),-('Gastos das Atividades'!AV$3&gt;='Gastos Gerais'!$D$4:$D$3143),-('Gastos das Atividades'!AV$3&lt;='Gastos Gerais'!$E$4:$E$3143),-('Gastos Gerais'!$C$4:$C$3143)))</f>
        <v>0</v>
      </c>
      <c r="AW33" s="134">
        <f>IF($B33="",0,SUMPRODUCT(-('Gastos Gerais'!$F$4:$F$3143='Gastos das Atividades'!$B33),-('Gastos das Atividades'!AW$3&gt;='Gastos Gerais'!$D$4:$D$3143),-('Gastos das Atividades'!AW$3&lt;='Gastos Gerais'!$E$4:$E$3143),-('Gastos Gerais'!$C$4:$C$3143)))</f>
        <v>0</v>
      </c>
      <c r="AX33" s="134">
        <f>IF($B33="",0,SUMPRODUCT(-('Gastos Gerais'!$F$4:$F$3143='Gastos das Atividades'!$B33),-('Gastos das Atividades'!AX$3&gt;='Gastos Gerais'!$D$4:$D$3143),-('Gastos das Atividades'!AX$3&lt;='Gastos Gerais'!$E$4:$E$3143),-('Gastos Gerais'!$C$4:$C$3143)))</f>
        <v>0</v>
      </c>
      <c r="AY33" s="134">
        <f>IF($B33="",0,SUMPRODUCT(-('Gastos Gerais'!$F$4:$F$3143='Gastos das Atividades'!$B33),-('Gastos das Atividades'!AY$3&gt;='Gastos Gerais'!$D$4:$D$3143),-('Gastos das Atividades'!AY$3&lt;='Gastos Gerais'!$E$4:$E$3143),-('Gastos Gerais'!$C$4:$C$3143)))</f>
        <v>0</v>
      </c>
      <c r="AZ33" s="134">
        <f>IF($B33="",0,SUMPRODUCT(-('Gastos Gerais'!$F$4:$F$3143='Gastos das Atividades'!$B33),-('Gastos das Atividades'!AZ$3&gt;='Gastos Gerais'!$D$4:$D$3143),-('Gastos das Atividades'!AZ$3&lt;='Gastos Gerais'!$E$4:$E$3143),-('Gastos Gerais'!$C$4:$C$3143)))</f>
        <v>0</v>
      </c>
      <c r="BA33" s="134">
        <f>IF($B33="",0,SUMPRODUCT(-('Gastos Gerais'!$F$4:$F$3143='Gastos das Atividades'!$B33),-('Gastos das Atividades'!BA$3&gt;='Gastos Gerais'!$D$4:$D$3143),-('Gastos das Atividades'!BA$3&lt;='Gastos Gerais'!$E$4:$E$3143),-('Gastos Gerais'!$C$4:$C$3143)))</f>
        <v>0</v>
      </c>
      <c r="BB33" s="134">
        <f>IF($B33="",0,SUMPRODUCT(-('Gastos Gerais'!$F$4:$F$3143='Gastos das Atividades'!$B33),-('Gastos das Atividades'!BB$3&gt;='Gastos Gerais'!$D$4:$D$3143),-('Gastos das Atividades'!BB$3&lt;='Gastos Gerais'!$E$4:$E$3143),-('Gastos Gerais'!$C$4:$C$3143)))</f>
        <v>0</v>
      </c>
      <c r="BC33" s="134">
        <f>IF($B33="",0,SUMPRODUCT(-('Gastos Gerais'!$F$4:$F$3143='Gastos das Atividades'!$B33),-('Gastos das Atividades'!BC$3&gt;='Gastos Gerais'!$D$4:$D$3143),-('Gastos das Atividades'!BC$3&lt;='Gastos Gerais'!$E$4:$E$3143),-('Gastos Gerais'!$C$4:$C$3143)))</f>
        <v>0</v>
      </c>
      <c r="BD33" s="134">
        <f>IF($B33="",0,SUMPRODUCT(-('Gastos Gerais'!$F$4:$F$3143='Gastos das Atividades'!$B33),-('Gastos das Atividades'!BD$3&gt;='Gastos Gerais'!$D$4:$D$3143),-('Gastos das Atividades'!BD$3&lt;='Gastos Gerais'!$E$4:$E$3143),-('Gastos Gerais'!$C$4:$C$3143)))</f>
        <v>0</v>
      </c>
      <c r="BE33" s="134">
        <f>IF($B33="",0,SUMPRODUCT(-('Gastos Gerais'!$F$4:$F$3143='Gastos das Atividades'!$B33),-('Gastos das Atividades'!BE$3&gt;='Gastos Gerais'!$D$4:$D$3143),-('Gastos das Atividades'!BE$3&lt;='Gastos Gerais'!$E$4:$E$3143),-('Gastos Gerais'!$C$4:$C$3143)))</f>
        <v>0</v>
      </c>
      <c r="BF33" s="134">
        <f>IF($B33="",0,SUMPRODUCT(-('Gastos Gerais'!$F$4:$F$3143='Gastos das Atividades'!$B33),-('Gastos das Atividades'!BF$3&gt;='Gastos Gerais'!$D$4:$D$3143),-('Gastos das Atividades'!BF$3&lt;='Gastos Gerais'!$E$4:$E$3143),-('Gastos Gerais'!$C$4:$C$3143)))</f>
        <v>0</v>
      </c>
      <c r="BG33" s="134">
        <f>IF($B33="",0,SUMPRODUCT(-('Gastos Gerais'!$F$4:$F$3143='Gastos das Atividades'!$B33),-('Gastos das Atividades'!BG$3&gt;='Gastos Gerais'!$D$4:$D$3143),-('Gastos das Atividades'!BG$3&lt;='Gastos Gerais'!$E$4:$E$3143),-('Gastos Gerais'!$C$4:$C$3143)))</f>
        <v>0</v>
      </c>
      <c r="BH33" s="134">
        <f>IF($B33="",0,SUMPRODUCT(-('Gastos Gerais'!$F$4:$F$3143='Gastos das Atividades'!$B33),-('Gastos das Atividades'!BH$3&gt;='Gastos Gerais'!$D$4:$D$3143),-('Gastos das Atividades'!BH$3&lt;='Gastos Gerais'!$E$4:$E$3143),-('Gastos Gerais'!$C$4:$C$3143)))</f>
        <v>0</v>
      </c>
      <c r="BI33" s="134">
        <f>IF($B33="",0,SUMPRODUCT(-('Gastos Gerais'!$F$4:$F$3143='Gastos das Atividades'!$B33),-('Gastos das Atividades'!BI$3&gt;='Gastos Gerais'!$D$4:$D$3143),-('Gastos das Atividades'!BI$3&lt;='Gastos Gerais'!$E$4:$E$3143),-('Gastos Gerais'!$C$4:$C$3143)))</f>
        <v>0</v>
      </c>
      <c r="BJ33" s="134">
        <f>IF($B33="",0,SUMPRODUCT(-('Gastos Gerais'!$F$4:$F$3143='Gastos das Atividades'!$B33),-('Gastos das Atividades'!BJ$3&gt;='Gastos Gerais'!$D$4:$D$3143),-('Gastos das Atividades'!BJ$3&lt;='Gastos Gerais'!$E$4:$E$3143),-('Gastos Gerais'!$C$4:$C$3143)))</f>
        <v>0</v>
      </c>
      <c r="BK33" s="134">
        <f>IF($B33="",0,SUMPRODUCT(-('Gastos Gerais'!$F$4:$F$3143='Gastos das Atividades'!$B33),-('Gastos das Atividades'!BK$3&gt;='Gastos Gerais'!$D$4:$D$3143),-('Gastos das Atividades'!BK$3&lt;='Gastos Gerais'!$E$4:$E$3143),-('Gastos Gerais'!$C$4:$C$3143)))</f>
        <v>0</v>
      </c>
      <c r="BL33" s="134">
        <f>IF($B33="",0,SUMPRODUCT(-('Gastos Gerais'!$F$4:$F$3143='Gastos das Atividades'!$B33),-('Gastos das Atividades'!BL$3&gt;='Gastos Gerais'!$D$4:$D$3143),-('Gastos das Atividades'!BL$3&lt;='Gastos Gerais'!$E$4:$E$3143),-('Gastos Gerais'!$C$4:$C$3143)))</f>
        <v>0</v>
      </c>
      <c r="BM33" s="134">
        <f>IF($B33="",0,SUMPRODUCT(-('Gastos Gerais'!$F$4:$F$3143='Gastos das Atividades'!$B33),-('Gastos das Atividades'!BM$3&gt;='Gastos Gerais'!$D$4:$D$3143),-('Gastos das Atividades'!BM$3&lt;='Gastos Gerais'!$E$4:$E$3143),-('Gastos Gerais'!$C$4:$C$3143)))</f>
        <v>0</v>
      </c>
      <c r="BN33" s="134">
        <f>IF($B33="",0,SUMPRODUCT(-('Gastos Gerais'!$F$4:$F$3143='Gastos das Atividades'!$B33),-('Gastos das Atividades'!BN$3&gt;='Gastos Gerais'!$D$4:$D$3143),-('Gastos das Atividades'!BN$3&lt;='Gastos Gerais'!$E$4:$E$3143),-('Gastos Gerais'!$C$4:$C$3143)))</f>
        <v>0</v>
      </c>
      <c r="BO33" s="134">
        <f>IF($B33="",0,SUMPRODUCT(-('Gastos Gerais'!$F$4:$F$3143='Gastos das Atividades'!$B33),-('Gastos das Atividades'!BO$3&gt;='Gastos Gerais'!$D$4:$D$3143),-('Gastos das Atividades'!BO$3&lt;='Gastos Gerais'!$E$4:$E$3143),-('Gastos Gerais'!$C$4:$C$3143)))</f>
        <v>0</v>
      </c>
      <c r="BP33" s="134">
        <f>IF($B33="",0,SUMPRODUCT(-('Gastos Gerais'!$F$4:$F$3143='Gastos das Atividades'!$B33),-('Gastos das Atividades'!BP$3&gt;='Gastos Gerais'!$D$4:$D$3143),-('Gastos das Atividades'!BP$3&lt;='Gastos Gerais'!$E$4:$E$3143),-('Gastos Gerais'!$C$4:$C$3143)))</f>
        <v>0</v>
      </c>
      <c r="BQ33" s="134">
        <f>IF($B33="",0,SUMPRODUCT(-('Gastos Gerais'!$F$4:$F$3143='Gastos das Atividades'!$B33),-('Gastos das Atividades'!BQ$3&gt;='Gastos Gerais'!$D$4:$D$3143),-('Gastos das Atividades'!BQ$3&lt;='Gastos Gerais'!$E$4:$E$3143),-('Gastos Gerais'!$C$4:$C$3143)))</f>
        <v>0</v>
      </c>
      <c r="BR33" s="134">
        <f>IF($B33="",0,SUMPRODUCT(-('Gastos Gerais'!$F$4:$F$3143='Gastos das Atividades'!$B33),-('Gastos das Atividades'!BR$3&gt;='Gastos Gerais'!$D$4:$D$3143),-('Gastos das Atividades'!BR$3&lt;='Gastos Gerais'!$E$4:$E$3143),-('Gastos Gerais'!$C$4:$C$3143)))</f>
        <v>0</v>
      </c>
      <c r="BS33" s="134">
        <f>IF($B33="",0,SUMPRODUCT(-('Gastos Gerais'!$F$4:$F$3143='Gastos das Atividades'!$B33),-('Gastos das Atividades'!BS$3&gt;='Gastos Gerais'!$D$4:$D$3143),-('Gastos das Atividades'!BS$3&lt;='Gastos Gerais'!$E$4:$E$3143),-('Gastos Gerais'!$C$4:$C$3143)))</f>
        <v>0</v>
      </c>
      <c r="BT33" s="134">
        <f>IF($B33="",0,SUMPRODUCT(-('Gastos Gerais'!$F$4:$F$3143='Gastos das Atividades'!$B33),-('Gastos das Atividades'!BT$3&gt;='Gastos Gerais'!$D$4:$D$3143),-('Gastos das Atividades'!BT$3&lt;='Gastos Gerais'!$E$4:$E$3143),-('Gastos Gerais'!$C$4:$C$3143)))</f>
        <v>0</v>
      </c>
      <c r="BU33" s="134">
        <f>IF($B33="",0,SUMPRODUCT(-('Gastos Gerais'!$F$4:$F$3143='Gastos das Atividades'!$B33),-('Gastos das Atividades'!BU$3&gt;='Gastos Gerais'!$D$4:$D$3143),-('Gastos das Atividades'!BU$3&lt;='Gastos Gerais'!$E$4:$E$3143),-('Gastos Gerais'!$C$4:$C$3143)))</f>
        <v>0</v>
      </c>
      <c r="BV33" s="134">
        <f>IF($B33="",0,SUMPRODUCT(-('Gastos Gerais'!$F$4:$F$3143='Gastos das Atividades'!$B33),-('Gastos das Atividades'!BV$3&gt;='Gastos Gerais'!$D$4:$D$3143),-('Gastos das Atividades'!BV$3&lt;='Gastos Gerais'!$E$4:$E$3143),-('Gastos Gerais'!$C$4:$C$3143)))</f>
        <v>0</v>
      </c>
      <c r="BW33" s="134">
        <f>IF($B33="",0,SUMPRODUCT(-('Gastos Gerais'!$F$4:$F$3143='Gastos das Atividades'!$B33),-('Gastos das Atividades'!BW$3&gt;='Gastos Gerais'!$D$4:$D$3143),-('Gastos das Atividades'!BW$3&lt;='Gastos Gerais'!$E$4:$E$3143),-('Gastos Gerais'!$C$4:$C$3143)))</f>
        <v>0</v>
      </c>
    </row>
    <row r="34" spans="1:75" ht="23.25" customHeight="1">
      <c r="A34" s="140"/>
      <c r="B34" s="141" t="s">
        <v>60</v>
      </c>
      <c r="C34" s="142">
        <f t="shared" ref="C34:N34" si="9">SUM(C4:C33)</f>
        <v>0</v>
      </c>
      <c r="D34" s="142">
        <f t="shared" si="9"/>
        <v>20514374.28576</v>
      </c>
      <c r="E34" s="143">
        <f t="shared" si="9"/>
        <v>20318911.593395002</v>
      </c>
      <c r="F34" s="143">
        <f t="shared" si="9"/>
        <v>21079177.979764752</v>
      </c>
      <c r="G34" s="143">
        <f t="shared" si="9"/>
        <v>10437084.423333334</v>
      </c>
      <c r="H34" s="143">
        <f t="shared" si="9"/>
        <v>0</v>
      </c>
      <c r="I34" s="144">
        <f t="shared" si="9"/>
        <v>72349548.282253087</v>
      </c>
      <c r="J34" s="145">
        <f t="shared" si="9"/>
        <v>0.28354529880032509</v>
      </c>
      <c r="K34" s="145">
        <f t="shared" si="9"/>
        <v>0.28084365522402455</v>
      </c>
      <c r="L34" s="145">
        <f t="shared" si="9"/>
        <v>0.29135189479732171</v>
      </c>
      <c r="M34" s="145">
        <f t="shared" si="9"/>
        <v>0.14425915117832866</v>
      </c>
      <c r="N34" s="145">
        <f t="shared" si="9"/>
        <v>0</v>
      </c>
      <c r="O34" s="146">
        <f>IF($I$34=0,0,I34/$I$34)</f>
        <v>1</v>
      </c>
      <c r="P34" s="147">
        <f t="shared" ref="P34:AU34" si="10">SUBTOTAL(109,P4:P33)</f>
        <v>1731620.3554799999</v>
      </c>
      <c r="Q34" s="147">
        <f t="shared" si="10"/>
        <v>1478526.3554799999</v>
      </c>
      <c r="R34" s="147">
        <f t="shared" si="10"/>
        <v>1529693.0654799999</v>
      </c>
      <c r="S34" s="147">
        <f t="shared" si="10"/>
        <v>1827089.0654799999</v>
      </c>
      <c r="T34" s="147">
        <f t="shared" si="10"/>
        <v>1809022.1129800002</v>
      </c>
      <c r="U34" s="147">
        <f t="shared" si="10"/>
        <v>1581022.1129800002</v>
      </c>
      <c r="V34" s="147">
        <f t="shared" si="10"/>
        <v>1874598.1129800002</v>
      </c>
      <c r="W34" s="147">
        <f t="shared" si="10"/>
        <v>1639848.1129800002</v>
      </c>
      <c r="X34" s="147">
        <f t="shared" si="10"/>
        <v>1638348.1129800002</v>
      </c>
      <c r="Y34" s="147">
        <f t="shared" si="10"/>
        <v>1945744.1129800002</v>
      </c>
      <c r="Z34" s="147">
        <f t="shared" si="10"/>
        <v>1738956.38298</v>
      </c>
      <c r="AA34" s="147">
        <f t="shared" si="10"/>
        <v>1719906.38298</v>
      </c>
      <c r="AB34" s="147">
        <f t="shared" si="10"/>
        <v>1731798.7152829166</v>
      </c>
      <c r="AC34" s="147">
        <f t="shared" si="10"/>
        <v>1684960.9652829168</v>
      </c>
      <c r="AD34" s="147">
        <f t="shared" si="10"/>
        <v>1732777.7952829166</v>
      </c>
      <c r="AE34" s="147">
        <f t="shared" si="10"/>
        <v>1716481.7952829166</v>
      </c>
      <c r="AF34" s="147">
        <f t="shared" si="10"/>
        <v>1692597.7952829166</v>
      </c>
      <c r="AG34" s="147">
        <f t="shared" si="10"/>
        <v>1692297.7952829166</v>
      </c>
      <c r="AH34" s="147">
        <f t="shared" si="10"/>
        <v>1679027.7952829166</v>
      </c>
      <c r="AI34" s="147">
        <f t="shared" si="10"/>
        <v>1672777.7952829166</v>
      </c>
      <c r="AJ34" s="147">
        <f t="shared" si="10"/>
        <v>1672777.7952829166</v>
      </c>
      <c r="AK34" s="147">
        <f t="shared" si="10"/>
        <v>1672777.7952829166</v>
      </c>
      <c r="AL34" s="147">
        <f t="shared" si="10"/>
        <v>1695167.7752829166</v>
      </c>
      <c r="AM34" s="147">
        <f t="shared" si="10"/>
        <v>1675467.7752829166</v>
      </c>
      <c r="AN34" s="147">
        <f t="shared" si="10"/>
        <v>1768719.3833137292</v>
      </c>
      <c r="AO34" s="147">
        <f t="shared" si="10"/>
        <v>1767015.3833137292</v>
      </c>
      <c r="AP34" s="147">
        <f t="shared" si="10"/>
        <v>1795387.7433137291</v>
      </c>
      <c r="AQ34" s="147">
        <f t="shared" si="10"/>
        <v>1781437.7433137291</v>
      </c>
      <c r="AR34" s="147">
        <f t="shared" si="10"/>
        <v>1757553.7433137291</v>
      </c>
      <c r="AS34" s="147">
        <f t="shared" si="10"/>
        <v>1757253.7433137291</v>
      </c>
      <c r="AT34" s="147">
        <f t="shared" si="10"/>
        <v>1743983.7433137291</v>
      </c>
      <c r="AU34" s="147">
        <f t="shared" si="10"/>
        <v>1737733.7433137291</v>
      </c>
      <c r="AV34" s="147">
        <f t="shared" ref="AV34:BW34" si="11">SUBTOTAL(109,AV4:AV33)</f>
        <v>1737733.7433137291</v>
      </c>
      <c r="AW34" s="147">
        <f t="shared" si="11"/>
        <v>1737733.7433137291</v>
      </c>
      <c r="AX34" s="147">
        <f t="shared" si="11"/>
        <v>1757162.6333137292</v>
      </c>
      <c r="AY34" s="147">
        <f t="shared" si="11"/>
        <v>1737462.6333137292</v>
      </c>
      <c r="AZ34" s="147">
        <f t="shared" si="11"/>
        <v>978174.85666666669</v>
      </c>
      <c r="BA34" s="147">
        <f t="shared" si="11"/>
        <v>954654.85666666669</v>
      </c>
      <c r="BB34" s="147">
        <f t="shared" si="11"/>
        <v>967478.85666666669</v>
      </c>
      <c r="BC34" s="147">
        <f t="shared" si="11"/>
        <v>959448.85666666669</v>
      </c>
      <c r="BD34" s="147">
        <f t="shared" si="11"/>
        <v>944398.85666666669</v>
      </c>
      <c r="BE34" s="147">
        <f t="shared" si="11"/>
        <v>944098.85666666669</v>
      </c>
      <c r="BF34" s="147">
        <f t="shared" si="11"/>
        <v>936308.85666666669</v>
      </c>
      <c r="BG34" s="147">
        <f t="shared" si="11"/>
        <v>933408.85666666669</v>
      </c>
      <c r="BH34" s="147">
        <f t="shared" si="11"/>
        <v>933408.85666666669</v>
      </c>
      <c r="BI34" s="147">
        <f t="shared" si="11"/>
        <v>933408.85666666669</v>
      </c>
      <c r="BJ34" s="147">
        <f t="shared" si="11"/>
        <v>952293.85666666669</v>
      </c>
      <c r="BK34" s="147">
        <f t="shared" si="11"/>
        <v>0</v>
      </c>
      <c r="BL34" s="147">
        <f t="shared" si="11"/>
        <v>0</v>
      </c>
      <c r="BM34" s="147">
        <f t="shared" si="11"/>
        <v>0</v>
      </c>
      <c r="BN34" s="147">
        <f t="shared" si="11"/>
        <v>0</v>
      </c>
      <c r="BO34" s="147">
        <f t="shared" si="11"/>
        <v>0</v>
      </c>
      <c r="BP34" s="147">
        <f t="shared" si="11"/>
        <v>0</v>
      </c>
      <c r="BQ34" s="147">
        <f t="shared" si="11"/>
        <v>0</v>
      </c>
      <c r="BR34" s="147">
        <f t="shared" si="11"/>
        <v>0</v>
      </c>
      <c r="BS34" s="147">
        <f t="shared" si="11"/>
        <v>0</v>
      </c>
      <c r="BT34" s="147">
        <f t="shared" si="11"/>
        <v>0</v>
      </c>
      <c r="BU34" s="147">
        <f t="shared" si="11"/>
        <v>0</v>
      </c>
      <c r="BV34" s="147">
        <f t="shared" si="11"/>
        <v>0</v>
      </c>
      <c r="BW34" s="147">
        <f t="shared" si="11"/>
        <v>0</v>
      </c>
    </row>
    <row r="35" spans="1:75">
      <c r="A35" s="43"/>
      <c r="B35" s="148"/>
      <c r="P35" s="38"/>
      <c r="Q35" s="38"/>
      <c r="R35" s="38"/>
    </row>
    <row r="37" spans="1:75" ht="14">
      <c r="B37" s="389" t="s">
        <v>121</v>
      </c>
      <c r="C37" s="389"/>
      <c r="D37" s="38"/>
    </row>
    <row r="38" spans="1:75" ht="13">
      <c r="B38" s="149" t="s">
        <v>122</v>
      </c>
      <c r="C38" s="150" t="s">
        <v>123</v>
      </c>
      <c r="D38" s="150" t="s">
        <v>124</v>
      </c>
    </row>
    <row r="39" spans="1:75">
      <c r="B39" s="151" t="s">
        <v>101</v>
      </c>
      <c r="C39" s="152">
        <f>IFERROR(SUMIF('Gastos com Pessoal'!$AR$7:$AR$506,'Gastos das Atividades'!$B$4,'Gastos com Pessoal'!$AN$7:$AN$506)/'Gastos com Pessoal'!$AN$507,0)</f>
        <v>4.1491664006922419E-2</v>
      </c>
      <c r="D39" s="153">
        <f ca="1">Sintético!$BK$23*C39</f>
        <v>8923758.3012960441</v>
      </c>
    </row>
    <row r="40" spans="1:75">
      <c r="B40" s="154" t="s">
        <v>125</v>
      </c>
      <c r="C40" s="155">
        <f>IF(C39=0,0,1-C39)</f>
        <v>0.95850833599307761</v>
      </c>
      <c r="D40" s="156">
        <f ca="1">Sintético!$BK$23*C40</f>
        <v>206149763.45013857</v>
      </c>
    </row>
    <row r="41" spans="1:75">
      <c r="B41" s="38"/>
      <c r="C41" s="38"/>
      <c r="D41" s="38"/>
    </row>
    <row r="42" spans="1:75" ht="14">
      <c r="B42" s="389" t="s">
        <v>126</v>
      </c>
      <c r="C42" s="389"/>
      <c r="D42" s="38"/>
    </row>
    <row r="43" spans="1:75" ht="13">
      <c r="B43" s="149" t="s">
        <v>122</v>
      </c>
      <c r="C43" s="150" t="s">
        <v>124</v>
      </c>
      <c r="D43" s="38"/>
    </row>
    <row r="44" spans="1:75">
      <c r="B44" s="151" t="s">
        <v>101</v>
      </c>
      <c r="C44" s="153">
        <f ca="1">D39+I4</f>
        <v>17501548.957909375</v>
      </c>
      <c r="D44" s="38"/>
    </row>
    <row r="45" spans="1:75">
      <c r="B45" s="154" t="s">
        <v>125</v>
      </c>
      <c r="C45" s="156">
        <f ca="1">D40+SUM(I5:I33)</f>
        <v>269921521.07577831</v>
      </c>
      <c r="D45" s="38"/>
    </row>
    <row r="48" spans="1:75" hidden="1">
      <c r="B48" s="157" t="str">
        <f>B4</f>
        <v>Área Meio</v>
      </c>
    </row>
    <row r="49" spans="2:2" hidden="1">
      <c r="B49" s="120" t="s">
        <v>125</v>
      </c>
    </row>
    <row r="50" spans="2:2" hidden="1">
      <c r="B50" s="157" t="str">
        <f t="shared" ref="B50:B78" si="12">B5</f>
        <v>Caminheiros de Jesus</v>
      </c>
    </row>
    <row r="51" spans="2:2" hidden="1">
      <c r="B51" s="157" t="str">
        <f t="shared" si="12"/>
        <v>Betânia</v>
      </c>
    </row>
    <row r="52" spans="2:2" hidden="1">
      <c r="B52" s="157" t="str">
        <f t="shared" si="12"/>
        <v>Muriaé</v>
      </c>
    </row>
    <row r="53" spans="2:2" hidden="1">
      <c r="B53" s="157" t="str">
        <f t="shared" si="12"/>
        <v>Governador Valadares</v>
      </c>
    </row>
    <row r="54" spans="2:2" hidden="1">
      <c r="B54" s="157" t="str">
        <f t="shared" si="12"/>
        <v>Ipatinga</v>
      </c>
    </row>
    <row r="55" spans="2:2" hidden="1">
      <c r="B55" s="157" t="str">
        <f t="shared" si="12"/>
        <v>Teófilo Otoni</v>
      </c>
    </row>
    <row r="56" spans="2:2" hidden="1">
      <c r="B56" s="157" t="str">
        <f t="shared" si="12"/>
        <v>Santa Amélia</v>
      </c>
    </row>
    <row r="57" spans="2:2" hidden="1">
      <c r="B57" s="157" t="str">
        <f t="shared" si="12"/>
        <v>Ipiranga</v>
      </c>
    </row>
    <row r="58" spans="2:2" hidden="1">
      <c r="B58" s="157" t="str">
        <f t="shared" si="12"/>
        <v>Letícia</v>
      </c>
    </row>
    <row r="59" spans="2:2" hidden="1">
      <c r="B59" s="157" t="str">
        <f t="shared" si="12"/>
        <v>São Luís</v>
      </c>
    </row>
    <row r="60" spans="2:2" hidden="1">
      <c r="B60" s="157" t="str">
        <f t="shared" si="12"/>
        <v>Venda Nova</v>
      </c>
    </row>
    <row r="61" spans="2:2" hidden="1">
      <c r="B61" s="157" t="str">
        <f t="shared" si="12"/>
        <v>Contagem</v>
      </c>
    </row>
    <row r="62" spans="2:2" hidden="1">
      <c r="B62" s="157" t="str">
        <f t="shared" si="12"/>
        <v>Ribeirão das Neves</v>
      </c>
    </row>
    <row r="63" spans="2:2" hidden="1">
      <c r="B63" s="157" t="str">
        <f t="shared" si="12"/>
        <v>Sete Lagoas</v>
      </c>
    </row>
    <row r="64" spans="2:2" hidden="1">
      <c r="B64" s="157" t="str">
        <f t="shared" si="12"/>
        <v>Feminina Uberlândia</v>
      </c>
    </row>
    <row r="65" spans="2:2" hidden="1">
      <c r="B65" s="157" t="str">
        <f t="shared" si="12"/>
        <v>Uberlândia</v>
      </c>
    </row>
    <row r="66" spans="2:2" hidden="1">
      <c r="B66" s="157" t="str">
        <f t="shared" si="12"/>
        <v>Patrocínio</v>
      </c>
    </row>
    <row r="67" spans="2:2" hidden="1">
      <c r="B67" s="157" t="str">
        <f t="shared" si="12"/>
        <v>Uberaba</v>
      </c>
    </row>
    <row r="68" spans="2:2" hidden="1">
      <c r="B68" s="157" t="str">
        <f t="shared" si="12"/>
        <v>Patos de Minas</v>
      </c>
    </row>
    <row r="69" spans="2:2" hidden="1">
      <c r="B69" s="157" t="str">
        <f t="shared" si="12"/>
        <v>Lavras</v>
      </c>
    </row>
    <row r="70" spans="2:2" hidden="1">
      <c r="B70" s="157" t="str">
        <f t="shared" si="12"/>
        <v>Itabira</v>
      </c>
    </row>
    <row r="71" spans="2:2" hidden="1">
      <c r="B71" s="157">
        <f t="shared" si="12"/>
        <v>0</v>
      </c>
    </row>
    <row r="72" spans="2:2" hidden="1">
      <c r="B72" s="157">
        <f t="shared" si="12"/>
        <v>0</v>
      </c>
    </row>
    <row r="73" spans="2:2" hidden="1">
      <c r="B73" s="157">
        <f t="shared" si="12"/>
        <v>0</v>
      </c>
    </row>
    <row r="74" spans="2:2" hidden="1">
      <c r="B74" s="157">
        <f t="shared" si="12"/>
        <v>0</v>
      </c>
    </row>
    <row r="75" spans="2:2" hidden="1">
      <c r="B75" s="157">
        <f t="shared" si="12"/>
        <v>0</v>
      </c>
    </row>
    <row r="76" spans="2:2" hidden="1">
      <c r="B76" s="157">
        <f t="shared" si="12"/>
        <v>0</v>
      </c>
    </row>
    <row r="77" spans="2:2" hidden="1">
      <c r="B77" s="157">
        <f t="shared" si="12"/>
        <v>0</v>
      </c>
    </row>
    <row r="78" spans="2:2" hidden="1">
      <c r="B78" s="157">
        <f t="shared" si="12"/>
        <v>0</v>
      </c>
    </row>
    <row r="79" spans="2:2">
      <c r="B79" s="157"/>
    </row>
    <row r="80" spans="2:2">
      <c r="B80" s="157"/>
    </row>
    <row r="81" spans="2:2">
      <c r="B81" s="157"/>
    </row>
    <row r="82" spans="2:2">
      <c r="B82" s="157"/>
    </row>
    <row r="83" spans="2:2">
      <c r="B83" s="157"/>
    </row>
    <row r="84" spans="2:2">
      <c r="B84" s="157"/>
    </row>
    <row r="85" spans="2:2">
      <c r="B85" s="157"/>
    </row>
    <row r="86" spans="2:2">
      <c r="B86" s="157"/>
    </row>
    <row r="87" spans="2:2">
      <c r="B87" s="157"/>
    </row>
    <row r="88" spans="2:2">
      <c r="B88" s="157"/>
    </row>
    <row r="89" spans="2:2">
      <c r="B89" s="157"/>
    </row>
    <row r="90" spans="2:2">
      <c r="B90" s="157"/>
    </row>
    <row r="91" spans="2:2">
      <c r="B91" s="157"/>
    </row>
    <row r="92" spans="2:2">
      <c r="B92" s="157"/>
    </row>
    <row r="93" spans="2:2">
      <c r="B93" s="157"/>
    </row>
    <row r="94" spans="2:2">
      <c r="B94" s="157"/>
    </row>
    <row r="95" spans="2:2">
      <c r="B95" s="157"/>
    </row>
    <row r="96" spans="2:2">
      <c r="B96" s="157"/>
    </row>
    <row r="97" spans="2:2">
      <c r="B97" s="157"/>
    </row>
    <row r="98" spans="2:2">
      <c r="B98" s="157"/>
    </row>
    <row r="99" spans="2:2">
      <c r="B99" s="157"/>
    </row>
    <row r="100" spans="2:2">
      <c r="B100" s="157"/>
    </row>
    <row r="101" spans="2:2">
      <c r="B101" s="157"/>
    </row>
    <row r="102" spans="2:2">
      <c r="B102" s="157"/>
    </row>
    <row r="103" spans="2:2">
      <c r="B103" s="157"/>
    </row>
    <row r="104" spans="2:2">
      <c r="B104" s="157"/>
    </row>
    <row r="105" spans="2:2">
      <c r="B105" s="157"/>
    </row>
    <row r="106" spans="2:2">
      <c r="B106" s="157"/>
    </row>
    <row r="107" spans="2:2">
      <c r="B107" s="157"/>
    </row>
    <row r="108" spans="2:2">
      <c r="B108" s="157"/>
    </row>
    <row r="109" spans="2:2">
      <c r="B109" s="157"/>
    </row>
    <row r="110" spans="2:2">
      <c r="B110" s="157"/>
    </row>
    <row r="111" spans="2:2">
      <c r="B111" s="157"/>
    </row>
    <row r="112" spans="2:2">
      <c r="B112" s="157"/>
    </row>
    <row r="113" spans="2:2">
      <c r="B113" s="157"/>
    </row>
    <row r="114" spans="2:2">
      <c r="B114" s="157"/>
    </row>
    <row r="115" spans="2:2">
      <c r="B115" s="157"/>
    </row>
    <row r="116" spans="2:2">
      <c r="B116" s="157"/>
    </row>
    <row r="117" spans="2:2">
      <c r="B117" s="157"/>
    </row>
    <row r="118" spans="2:2">
      <c r="B118" s="157"/>
    </row>
    <row r="119" spans="2:2">
      <c r="B119" s="157"/>
    </row>
    <row r="120" spans="2:2">
      <c r="B120" s="157"/>
    </row>
    <row r="121" spans="2:2">
      <c r="B121" s="157"/>
    </row>
    <row r="122" spans="2:2">
      <c r="B122" s="157"/>
    </row>
    <row r="123" spans="2:2">
      <c r="B123" s="157"/>
    </row>
    <row r="124" spans="2:2">
      <c r="B124" s="157"/>
    </row>
    <row r="125" spans="2:2">
      <c r="B125" s="157"/>
    </row>
    <row r="126" spans="2:2">
      <c r="B126" s="157"/>
    </row>
  </sheetData>
  <sheetProtection algorithmName="SHA-512" hashValue="63G1V7Quu7OR24nvAzBMgevY01QO8cZm82rLjKofZL14XRddQCg2Xax4sQ773GhS6lsMDzL6FKWT26zNzrUsuA==" saltValue="zInBwaycFKLfYsAeTK055Q==" spinCount="100000" sheet="1" objects="1" scenarios="1" formatRows="0" insertRows="0" deleteColumns="0" deleteRows="0"/>
  <mergeCells count="4">
    <mergeCell ref="A1:O1"/>
    <mergeCell ref="A2:O2"/>
    <mergeCell ref="B37:C37"/>
    <mergeCell ref="B42:C42"/>
  </mergeCells>
  <pageMargins left="0.196527777777778" right="0.196527777777778" top="0.59027777777777801" bottom="0.59027777777777801" header="0.51180555555555496" footer="0"/>
  <pageSetup paperSize="9" scale="68" firstPageNumber="0" fitToHeight="0" orientation="landscape" horizontalDpi="300" verticalDpi="300" r:id="rId1"/>
  <headerFooter>
    <oddFooter>&amp;CPágina &amp;P de 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MJ159"/>
  <sheetViews>
    <sheetView showGridLines="0" zoomScaleNormal="100"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C4" sqref="C4"/>
    </sheetView>
  </sheetViews>
  <sheetFormatPr defaultColWidth="9.1796875" defaultRowHeight="12.5"/>
  <cols>
    <col min="1" max="1" width="6" style="158" customWidth="1"/>
    <col min="2" max="2" width="26.26953125" style="158" customWidth="1"/>
    <col min="3" max="4" width="14.453125" style="158" customWidth="1"/>
    <col min="5" max="5" width="12.54296875" style="158" customWidth="1"/>
    <col min="6" max="62" width="13.81640625" style="158" customWidth="1"/>
    <col min="63" max="63" width="15.54296875" style="158" customWidth="1"/>
    <col min="64" max="64" width="10.453125" style="159" customWidth="1"/>
    <col min="65" max="1024" width="9.1796875" style="158"/>
  </cols>
  <sheetData>
    <row r="1" spans="1:68" s="160" customFormat="1" ht="42" customHeight="1">
      <c r="B1" s="161"/>
      <c r="C1" s="383" t="str">
        <f>Capa!A1</f>
        <v>Memória de Cálculo
Contrato de Gestão nº 10/2023 celebrado entre a Secretaria de Estado de Justiça e Segurança Pública - SEJUSP e  o Pólo de Evolução de Medidas Socioeducativas</v>
      </c>
      <c r="D1" s="383"/>
      <c r="E1" s="383"/>
      <c r="F1" s="383"/>
      <c r="G1" s="383"/>
      <c r="H1" s="383"/>
      <c r="I1" s="383"/>
      <c r="J1" s="383"/>
      <c r="K1" s="383"/>
      <c r="L1" s="383"/>
      <c r="M1" s="383"/>
      <c r="N1" s="383"/>
      <c r="O1" s="383"/>
      <c r="P1" s="383"/>
      <c r="Q1" s="383"/>
      <c r="R1" s="383"/>
      <c r="S1" s="383"/>
      <c r="T1" s="383"/>
      <c r="U1" s="383"/>
      <c r="V1" s="383"/>
      <c r="W1" s="383"/>
      <c r="X1" s="383"/>
      <c r="Y1" s="383"/>
      <c r="Z1" s="383"/>
      <c r="AA1" s="162"/>
      <c r="AB1" s="162"/>
      <c r="AC1" s="162"/>
      <c r="AD1" s="162"/>
      <c r="AE1" s="162"/>
      <c r="AF1" s="162"/>
      <c r="AG1" s="162"/>
      <c r="AH1" s="162"/>
      <c r="AI1" s="162"/>
      <c r="AJ1" s="162"/>
      <c r="AK1" s="162"/>
      <c r="AL1" s="162"/>
      <c r="AM1" s="162"/>
      <c r="AN1" s="162"/>
      <c r="AO1" s="162"/>
      <c r="AP1" s="162"/>
      <c r="AQ1" s="162"/>
      <c r="AR1" s="162"/>
      <c r="AS1" s="162"/>
      <c r="AT1" s="162"/>
      <c r="AU1" s="162"/>
      <c r="AV1" s="162"/>
      <c r="AW1" s="162"/>
      <c r="AX1" s="162"/>
      <c r="AY1" s="162"/>
      <c r="AZ1" s="162"/>
      <c r="BA1" s="162"/>
      <c r="BB1" s="162"/>
      <c r="BC1" s="162"/>
      <c r="BD1" s="162"/>
      <c r="BE1" s="162"/>
      <c r="BF1" s="162"/>
      <c r="BG1" s="162"/>
      <c r="BH1" s="162"/>
      <c r="BI1" s="162"/>
      <c r="BJ1" s="162"/>
      <c r="BK1" s="162"/>
      <c r="BL1" s="162"/>
      <c r="BM1" s="163"/>
      <c r="BN1" s="163"/>
      <c r="BO1" s="163"/>
      <c r="BP1" s="163"/>
    </row>
    <row r="2" spans="1:68" s="160" customFormat="1" ht="21" customHeight="1" thickBot="1">
      <c r="A2" s="56"/>
      <c r="B2" s="164"/>
      <c r="C2" s="384" t="s">
        <v>127</v>
      </c>
      <c r="D2" s="384"/>
      <c r="E2" s="384"/>
      <c r="F2" s="384"/>
      <c r="G2" s="384"/>
      <c r="H2" s="384"/>
      <c r="I2" s="384"/>
      <c r="J2" s="384"/>
      <c r="K2" s="384"/>
      <c r="L2" s="384"/>
      <c r="M2" s="384"/>
      <c r="N2" s="384"/>
      <c r="O2" s="384" t="s">
        <v>127</v>
      </c>
      <c r="P2" s="384"/>
      <c r="Q2" s="384"/>
      <c r="R2" s="384"/>
      <c r="S2" s="384"/>
      <c r="T2" s="384"/>
      <c r="U2" s="384"/>
      <c r="V2" s="384"/>
      <c r="W2" s="384"/>
      <c r="X2" s="384"/>
      <c r="Y2" s="384"/>
      <c r="Z2" s="384"/>
      <c r="AA2" s="384" t="s">
        <v>127</v>
      </c>
      <c r="AB2" s="384"/>
      <c r="AC2" s="384"/>
      <c r="AD2" s="384"/>
      <c r="AE2" s="384"/>
      <c r="AF2" s="384"/>
      <c r="AG2" s="384"/>
      <c r="AH2" s="384"/>
      <c r="AI2" s="384"/>
      <c r="AJ2" s="384"/>
      <c r="AK2" s="384"/>
      <c r="AL2" s="384"/>
      <c r="AM2" s="384"/>
      <c r="AN2" s="384"/>
      <c r="AO2" s="384"/>
      <c r="AP2" s="384"/>
      <c r="AQ2" s="384"/>
      <c r="AR2" s="384"/>
      <c r="AS2" s="384"/>
      <c r="AT2" s="384"/>
      <c r="AU2" s="384"/>
      <c r="AV2" s="384"/>
      <c r="AW2" s="384"/>
      <c r="AX2" s="384"/>
      <c r="AY2" s="384"/>
      <c r="AZ2" s="384"/>
      <c r="BA2" s="384"/>
      <c r="BB2" s="384"/>
      <c r="BC2" s="384"/>
      <c r="BD2" s="384"/>
      <c r="BE2" s="384"/>
      <c r="BF2" s="384"/>
      <c r="BG2" s="384"/>
      <c r="BH2" s="384"/>
      <c r="BI2" s="384"/>
      <c r="BJ2" s="384"/>
      <c r="BK2" s="164"/>
      <c r="BL2" s="164"/>
      <c r="BM2" s="163"/>
      <c r="BN2" s="163"/>
      <c r="BO2" s="163"/>
      <c r="BP2" s="163"/>
    </row>
    <row r="3" spans="1:68" s="160" customFormat="1" ht="24" customHeight="1" thickBot="1">
      <c r="A3" s="165"/>
      <c r="B3" s="165"/>
      <c r="C3" s="166">
        <f>Capa!A36</f>
        <v>45658</v>
      </c>
      <c r="D3" s="166">
        <f t="shared" ref="D3:AI3" si="0">EDATE(C3,1)</f>
        <v>45689</v>
      </c>
      <c r="E3" s="166">
        <f t="shared" si="0"/>
        <v>45717</v>
      </c>
      <c r="F3" s="166">
        <f t="shared" si="0"/>
        <v>45748</v>
      </c>
      <c r="G3" s="166">
        <f t="shared" si="0"/>
        <v>45778</v>
      </c>
      <c r="H3" s="166">
        <f t="shared" si="0"/>
        <v>45809</v>
      </c>
      <c r="I3" s="166">
        <f t="shared" si="0"/>
        <v>45839</v>
      </c>
      <c r="J3" s="166">
        <f t="shared" si="0"/>
        <v>45870</v>
      </c>
      <c r="K3" s="166">
        <f t="shared" si="0"/>
        <v>45901</v>
      </c>
      <c r="L3" s="166">
        <f t="shared" si="0"/>
        <v>45931</v>
      </c>
      <c r="M3" s="166">
        <f t="shared" si="0"/>
        <v>45962</v>
      </c>
      <c r="N3" s="166">
        <f t="shared" si="0"/>
        <v>45992</v>
      </c>
      <c r="O3" s="166">
        <f t="shared" si="0"/>
        <v>46023</v>
      </c>
      <c r="P3" s="166">
        <f t="shared" si="0"/>
        <v>46054</v>
      </c>
      <c r="Q3" s="166">
        <f t="shared" si="0"/>
        <v>46082</v>
      </c>
      <c r="R3" s="166">
        <f t="shared" si="0"/>
        <v>46113</v>
      </c>
      <c r="S3" s="166">
        <f t="shared" si="0"/>
        <v>46143</v>
      </c>
      <c r="T3" s="166">
        <f t="shared" si="0"/>
        <v>46174</v>
      </c>
      <c r="U3" s="166">
        <f t="shared" si="0"/>
        <v>46204</v>
      </c>
      <c r="V3" s="166">
        <f t="shared" si="0"/>
        <v>46235</v>
      </c>
      <c r="W3" s="166">
        <f t="shared" si="0"/>
        <v>46266</v>
      </c>
      <c r="X3" s="166">
        <f t="shared" si="0"/>
        <v>46296</v>
      </c>
      <c r="Y3" s="166">
        <f t="shared" si="0"/>
        <v>46327</v>
      </c>
      <c r="Z3" s="166">
        <f t="shared" si="0"/>
        <v>46357</v>
      </c>
      <c r="AA3" s="166">
        <f t="shared" si="0"/>
        <v>46388</v>
      </c>
      <c r="AB3" s="166">
        <f t="shared" si="0"/>
        <v>46419</v>
      </c>
      <c r="AC3" s="166">
        <f t="shared" si="0"/>
        <v>46447</v>
      </c>
      <c r="AD3" s="166">
        <f t="shared" si="0"/>
        <v>46478</v>
      </c>
      <c r="AE3" s="166">
        <f t="shared" si="0"/>
        <v>46508</v>
      </c>
      <c r="AF3" s="166">
        <f t="shared" si="0"/>
        <v>46539</v>
      </c>
      <c r="AG3" s="166">
        <f t="shared" si="0"/>
        <v>46569</v>
      </c>
      <c r="AH3" s="166">
        <f t="shared" si="0"/>
        <v>46600</v>
      </c>
      <c r="AI3" s="166">
        <f t="shared" si="0"/>
        <v>46631</v>
      </c>
      <c r="AJ3" s="166">
        <f t="shared" ref="AJ3:BJ3" si="1">EDATE(AI3,1)</f>
        <v>46661</v>
      </c>
      <c r="AK3" s="166">
        <f t="shared" si="1"/>
        <v>46692</v>
      </c>
      <c r="AL3" s="166">
        <f t="shared" si="1"/>
        <v>46722</v>
      </c>
      <c r="AM3" s="166">
        <f t="shared" si="1"/>
        <v>46753</v>
      </c>
      <c r="AN3" s="166">
        <f t="shared" si="1"/>
        <v>46784</v>
      </c>
      <c r="AO3" s="166">
        <f t="shared" si="1"/>
        <v>46813</v>
      </c>
      <c r="AP3" s="166">
        <f t="shared" si="1"/>
        <v>46844</v>
      </c>
      <c r="AQ3" s="166">
        <f t="shared" si="1"/>
        <v>46874</v>
      </c>
      <c r="AR3" s="166">
        <f t="shared" si="1"/>
        <v>46905</v>
      </c>
      <c r="AS3" s="166">
        <f t="shared" si="1"/>
        <v>46935</v>
      </c>
      <c r="AT3" s="166">
        <f t="shared" si="1"/>
        <v>46966</v>
      </c>
      <c r="AU3" s="166">
        <f t="shared" si="1"/>
        <v>46997</v>
      </c>
      <c r="AV3" s="166">
        <f t="shared" si="1"/>
        <v>47027</v>
      </c>
      <c r="AW3" s="166">
        <f t="shared" si="1"/>
        <v>47058</v>
      </c>
      <c r="AX3" s="166">
        <f t="shared" si="1"/>
        <v>47088</v>
      </c>
      <c r="AY3" s="166">
        <f t="shared" si="1"/>
        <v>47119</v>
      </c>
      <c r="AZ3" s="166">
        <f t="shared" si="1"/>
        <v>47150</v>
      </c>
      <c r="BA3" s="166">
        <f t="shared" si="1"/>
        <v>47178</v>
      </c>
      <c r="BB3" s="166">
        <f t="shared" si="1"/>
        <v>47209</v>
      </c>
      <c r="BC3" s="166">
        <f t="shared" si="1"/>
        <v>47239</v>
      </c>
      <c r="BD3" s="166">
        <f t="shared" si="1"/>
        <v>47270</v>
      </c>
      <c r="BE3" s="166">
        <f t="shared" si="1"/>
        <v>47300</v>
      </c>
      <c r="BF3" s="166">
        <f t="shared" si="1"/>
        <v>47331</v>
      </c>
      <c r="BG3" s="166">
        <f t="shared" si="1"/>
        <v>47362</v>
      </c>
      <c r="BH3" s="166">
        <f t="shared" si="1"/>
        <v>47392</v>
      </c>
      <c r="BI3" s="166">
        <f t="shared" si="1"/>
        <v>47423</v>
      </c>
      <c r="BJ3" s="166">
        <f t="shared" si="1"/>
        <v>47453</v>
      </c>
      <c r="BK3" s="167" t="s">
        <v>60</v>
      </c>
      <c r="BL3" s="168" t="s">
        <v>61</v>
      </c>
      <c r="BM3" s="163"/>
      <c r="BN3" s="163"/>
      <c r="BO3" s="163"/>
      <c r="BP3" s="163"/>
    </row>
    <row r="4" spans="1:68" s="160" customFormat="1" ht="23.25" customHeight="1" thickBot="1">
      <c r="A4" s="169" t="s">
        <v>62</v>
      </c>
      <c r="B4" s="169" t="s">
        <v>63</v>
      </c>
      <c r="C4" s="170">
        <v>26544231.18</v>
      </c>
      <c r="D4" s="170"/>
      <c r="E4" s="170"/>
      <c r="F4" s="170">
        <v>0</v>
      </c>
      <c r="G4" s="170">
        <v>0</v>
      </c>
      <c r="H4" s="170">
        <v>0</v>
      </c>
      <c r="I4" s="170">
        <v>0</v>
      </c>
      <c r="J4" s="170">
        <v>0</v>
      </c>
      <c r="K4" s="170">
        <v>0</v>
      </c>
      <c r="L4" s="170">
        <v>0</v>
      </c>
      <c r="M4" s="170">
        <v>0</v>
      </c>
      <c r="N4" s="170">
        <v>0</v>
      </c>
      <c r="O4" s="170">
        <v>0</v>
      </c>
      <c r="P4" s="170">
        <v>0</v>
      </c>
      <c r="Q4" s="170">
        <v>0</v>
      </c>
      <c r="R4" s="170">
        <v>0</v>
      </c>
      <c r="S4" s="170">
        <v>0</v>
      </c>
      <c r="T4" s="170">
        <v>0</v>
      </c>
      <c r="U4" s="170">
        <v>0</v>
      </c>
      <c r="V4" s="170">
        <v>0</v>
      </c>
      <c r="W4" s="170">
        <v>0</v>
      </c>
      <c r="X4" s="170">
        <v>0</v>
      </c>
      <c r="Y4" s="170">
        <v>0</v>
      </c>
      <c r="Z4" s="170">
        <v>0</v>
      </c>
      <c r="AA4" s="170">
        <v>0</v>
      </c>
      <c r="AB4" s="170">
        <v>0</v>
      </c>
      <c r="AC4" s="170">
        <v>0</v>
      </c>
      <c r="AD4" s="170">
        <v>0</v>
      </c>
      <c r="AE4" s="170">
        <v>0</v>
      </c>
      <c r="AF4" s="170">
        <v>0</v>
      </c>
      <c r="AG4" s="170">
        <v>0</v>
      </c>
      <c r="AH4" s="170">
        <v>0</v>
      </c>
      <c r="AI4" s="170">
        <v>0</v>
      </c>
      <c r="AJ4" s="170">
        <v>0</v>
      </c>
      <c r="AK4" s="170">
        <v>0</v>
      </c>
      <c r="AL4" s="170">
        <v>0</v>
      </c>
      <c r="AM4" s="170">
        <v>0</v>
      </c>
      <c r="AN4" s="170">
        <v>0</v>
      </c>
      <c r="AO4" s="170">
        <v>0</v>
      </c>
      <c r="AP4" s="170">
        <v>0</v>
      </c>
      <c r="AQ4" s="170">
        <v>0</v>
      </c>
      <c r="AR4" s="170">
        <v>0</v>
      </c>
      <c r="AS4" s="170">
        <v>0</v>
      </c>
      <c r="AT4" s="170">
        <v>0</v>
      </c>
      <c r="AU4" s="170">
        <v>0</v>
      </c>
      <c r="AV4" s="170">
        <v>0</v>
      </c>
      <c r="AW4" s="170">
        <v>0</v>
      </c>
      <c r="AX4" s="170">
        <v>0</v>
      </c>
      <c r="AY4" s="170">
        <v>0</v>
      </c>
      <c r="AZ4" s="170">
        <v>0</v>
      </c>
      <c r="BA4" s="170">
        <v>0</v>
      </c>
      <c r="BB4" s="170">
        <v>0</v>
      </c>
      <c r="BC4" s="170">
        <v>0</v>
      </c>
      <c r="BD4" s="170">
        <v>0</v>
      </c>
      <c r="BE4" s="170">
        <v>0</v>
      </c>
      <c r="BF4" s="170">
        <v>0</v>
      </c>
      <c r="BG4" s="170">
        <v>0</v>
      </c>
      <c r="BH4" s="170">
        <v>0</v>
      </c>
      <c r="BI4" s="170">
        <v>0</v>
      </c>
      <c r="BJ4" s="170">
        <v>0</v>
      </c>
      <c r="BK4" s="147">
        <f>SUM(C4:BJ4)</f>
        <v>26544231.18</v>
      </c>
      <c r="BL4" s="171">
        <f ca="1">IF($BK$15=0,0,BK4/$BK$15)</f>
        <v>9.1391737766569586E-2</v>
      </c>
    </row>
    <row r="5" spans="1:68" s="160" customFormat="1" ht="23.25" customHeight="1" thickBot="1">
      <c r="A5" s="172"/>
      <c r="B5" s="173"/>
      <c r="C5" s="174"/>
      <c r="D5" s="174"/>
      <c r="E5" s="174"/>
      <c r="F5" s="174"/>
      <c r="G5" s="174"/>
      <c r="H5" s="174"/>
      <c r="I5" s="174"/>
      <c r="J5" s="174"/>
      <c r="K5" s="174"/>
      <c r="L5" s="174"/>
      <c r="M5" s="174"/>
      <c r="N5" s="174"/>
      <c r="O5" s="174"/>
      <c r="P5" s="174"/>
      <c r="Q5" s="174"/>
      <c r="R5" s="174"/>
      <c r="S5" s="174"/>
      <c r="T5" s="174"/>
      <c r="U5" s="174"/>
      <c r="V5" s="174"/>
      <c r="W5" s="174"/>
      <c r="X5" s="174"/>
      <c r="Y5" s="174"/>
      <c r="Z5" s="174"/>
      <c r="AA5" s="174"/>
      <c r="AB5" s="174"/>
      <c r="AC5" s="174"/>
      <c r="AD5" s="174"/>
      <c r="AE5" s="174"/>
      <c r="AF5" s="174"/>
      <c r="AG5" s="174"/>
      <c r="AH5" s="174"/>
      <c r="AI5" s="174"/>
      <c r="AJ5" s="174"/>
      <c r="AK5" s="174"/>
      <c r="AL5" s="174"/>
      <c r="AM5" s="174"/>
      <c r="AN5" s="174"/>
      <c r="AO5" s="174"/>
      <c r="AP5" s="174"/>
      <c r="AQ5" s="174"/>
      <c r="AR5" s="174"/>
      <c r="AS5" s="174"/>
      <c r="AT5" s="174"/>
      <c r="AU5" s="174"/>
      <c r="AV5" s="174"/>
      <c r="AW5" s="174"/>
      <c r="AX5" s="174"/>
      <c r="AY5" s="174"/>
      <c r="AZ5" s="174"/>
      <c r="BA5" s="174"/>
      <c r="BB5" s="174"/>
      <c r="BC5" s="174"/>
      <c r="BD5" s="174"/>
      <c r="BE5" s="174"/>
      <c r="BF5" s="174"/>
      <c r="BG5" s="174"/>
      <c r="BH5" s="174"/>
      <c r="BI5" s="174"/>
      <c r="BJ5" s="174"/>
      <c r="BK5" s="174"/>
      <c r="BL5" s="175"/>
    </row>
    <row r="6" spans="1:68" s="160" customFormat="1" ht="23.25" customHeight="1" thickBot="1">
      <c r="A6" s="176">
        <v>1</v>
      </c>
      <c r="B6" s="176" t="s">
        <v>64</v>
      </c>
      <c r="C6" s="177"/>
      <c r="D6" s="177"/>
      <c r="E6" s="177"/>
      <c r="F6" s="177"/>
      <c r="G6" s="177"/>
      <c r="H6" s="177"/>
      <c r="I6" s="177"/>
      <c r="J6" s="177"/>
      <c r="K6" s="177"/>
      <c r="L6" s="177"/>
      <c r="M6" s="177"/>
      <c r="N6" s="177"/>
      <c r="O6" s="177"/>
      <c r="P6" s="177"/>
      <c r="Q6" s="177"/>
      <c r="R6" s="177"/>
      <c r="S6" s="177"/>
      <c r="T6" s="177"/>
      <c r="U6" s="177"/>
      <c r="V6" s="177"/>
      <c r="W6" s="177"/>
      <c r="X6" s="177"/>
      <c r="Y6" s="177"/>
      <c r="Z6" s="177"/>
      <c r="AA6" s="177"/>
      <c r="AB6" s="177"/>
      <c r="AC6" s="177"/>
      <c r="AD6" s="177"/>
      <c r="AE6" s="177"/>
      <c r="AF6" s="177"/>
      <c r="AG6" s="177"/>
      <c r="AH6" s="177"/>
      <c r="AI6" s="177"/>
      <c r="AJ6" s="177"/>
      <c r="AK6" s="177"/>
      <c r="AL6" s="177"/>
      <c r="AM6" s="177"/>
      <c r="AN6" s="177"/>
      <c r="AO6" s="177"/>
      <c r="AP6" s="177"/>
      <c r="AQ6" s="177"/>
      <c r="AR6" s="177"/>
      <c r="AS6" s="177"/>
      <c r="AT6" s="177"/>
      <c r="AU6" s="177"/>
      <c r="AV6" s="177"/>
      <c r="AW6" s="177"/>
      <c r="AX6" s="177"/>
      <c r="AY6" s="177"/>
      <c r="AZ6" s="177"/>
      <c r="BA6" s="177"/>
      <c r="BB6" s="177"/>
      <c r="BC6" s="177"/>
      <c r="BD6" s="177"/>
      <c r="BE6" s="177"/>
      <c r="BF6" s="177"/>
      <c r="BG6" s="177"/>
      <c r="BH6" s="177"/>
      <c r="BI6" s="177"/>
      <c r="BJ6" s="177"/>
      <c r="BK6" s="177"/>
      <c r="BL6" s="178"/>
    </row>
    <row r="7" spans="1:68" s="160" customFormat="1" ht="23.25" customHeight="1" thickBot="1">
      <c r="A7" s="179" t="s">
        <v>65</v>
      </c>
      <c r="B7" s="179" t="s">
        <v>36</v>
      </c>
      <c r="C7" s="180">
        <f ca="1">IFERROR(OFFSET(Cronogramas!$AB$6,MATCH(Analítico!C3,Cronogramas!$B$7:$B$66,0),),0)</f>
        <v>0</v>
      </c>
      <c r="D7" s="180">
        <f ca="1">IFERROR(OFFSET(Cronogramas!$AB$6,MATCH(Analítico!D3,Cronogramas!$B$7:$B$66,0),),0)</f>
        <v>0</v>
      </c>
      <c r="E7" s="180">
        <f ca="1">IFERROR(OFFSET(Cronogramas!$AB$6,MATCH(Analítico!E3,Cronogramas!$B$7:$B$66,0),),0)</f>
        <v>0</v>
      </c>
      <c r="F7" s="180">
        <f ca="1">IFERROR(OFFSET(Cronogramas!$AB$6,MATCH(Analítico!F3,Cronogramas!$B$7:$B$66,0),),0)</f>
        <v>12954344.005534168</v>
      </c>
      <c r="G7" s="180">
        <f ca="1">IFERROR(OFFSET(Cronogramas!$AB$6,MATCH(Analítico!G3,Cronogramas!$B$7:$B$66,0),),0)</f>
        <v>0</v>
      </c>
      <c r="H7" s="180">
        <f ca="1">IFERROR(OFFSET(Cronogramas!$AB$6,MATCH(Analítico!H3,Cronogramas!$B$7:$B$66,0),),0)</f>
        <v>0</v>
      </c>
      <c r="I7" s="180">
        <f ca="1">IFERROR(OFFSET(Cronogramas!$AB$6,MATCH(Analítico!I3,Cronogramas!$B$7:$B$66,0),),0)</f>
        <v>17716703.716164842</v>
      </c>
      <c r="J7" s="180">
        <f ca="1">IFERROR(OFFSET(Cronogramas!$AB$6,MATCH(Analítico!J3,Cronogramas!$B$7:$B$66,0),),0)</f>
        <v>0</v>
      </c>
      <c r="K7" s="180">
        <f ca="1">IFERROR(OFFSET(Cronogramas!$AB$6,MATCH(Analítico!K3,Cronogramas!$B$7:$B$66,0),),0)</f>
        <v>0</v>
      </c>
      <c r="L7" s="180">
        <f ca="1">IFERROR(OFFSET(Cronogramas!$AB$6,MATCH(Analítico!L3,Cronogramas!$B$7:$B$66,0),),0)</f>
        <v>18289322.559297673</v>
      </c>
      <c r="M7" s="180">
        <f ca="1">IFERROR(OFFSET(Cronogramas!$AB$6,MATCH(Analítico!M3,Cronogramas!$B$7:$B$66,0),),0)</f>
        <v>0</v>
      </c>
      <c r="N7" s="180">
        <f ca="1">IFERROR(OFFSET(Cronogramas!$AB$6,MATCH(Analítico!N3,Cronogramas!$B$7:$B$66,0),),0)</f>
        <v>0</v>
      </c>
      <c r="O7" s="180">
        <f ca="1">IFERROR(OFFSET(Cronogramas!$AB$6,MATCH(Analítico!O3,Cronogramas!$B$7:$B$66,0),),0)</f>
        <v>18508106.360732958</v>
      </c>
      <c r="P7" s="180">
        <f ca="1">IFERROR(OFFSET(Cronogramas!$AB$6,MATCH(Analítico!P3,Cronogramas!$B$7:$B$66,0),),0)</f>
        <v>0</v>
      </c>
      <c r="Q7" s="180">
        <f ca="1">IFERROR(OFFSET(Cronogramas!$AB$6,MATCH(Analítico!Q3,Cronogramas!$B$7:$B$66,0),),0)</f>
        <v>0</v>
      </c>
      <c r="R7" s="180">
        <f ca="1">IFERROR(OFFSET(Cronogramas!$AB$6,MATCH(Analítico!R3,Cronogramas!$B$7:$B$66,0),),0)</f>
        <v>19043296.534946188</v>
      </c>
      <c r="S7" s="180">
        <f ca="1">IFERROR(OFFSET(Cronogramas!$AB$6,MATCH(Analítico!S3,Cronogramas!$B$7:$B$66,0),),0)</f>
        <v>0</v>
      </c>
      <c r="T7" s="180">
        <f ca="1">IFERROR(OFFSET(Cronogramas!$AB$6,MATCH(Analítico!T3,Cronogramas!$B$7:$B$66,0),),0)</f>
        <v>0</v>
      </c>
      <c r="U7" s="180">
        <f ca="1">IFERROR(OFFSET(Cronogramas!$AB$6,MATCH(Analítico!U3,Cronogramas!$B$7:$B$66,0),),0)</f>
        <v>18970366.97494619</v>
      </c>
      <c r="V7" s="180">
        <f ca="1">IFERROR(OFFSET(Cronogramas!$AB$6,MATCH(Analítico!V3,Cronogramas!$B$7:$B$66,0),),0)</f>
        <v>0</v>
      </c>
      <c r="W7" s="180">
        <f ca="1">IFERROR(OFFSET(Cronogramas!$AB$6,MATCH(Analítico!W3,Cronogramas!$B$7:$B$66,0),),0)</f>
        <v>0</v>
      </c>
      <c r="X7" s="180">
        <f ca="1">IFERROR(OFFSET(Cronogramas!$AB$6,MATCH(Analítico!X3,Cronogramas!$B$7:$B$66,0),),0)</f>
        <v>19105368.522977002</v>
      </c>
      <c r="Y7" s="180">
        <f ca="1">IFERROR(OFFSET(Cronogramas!$AB$6,MATCH(Analítico!Y3,Cronogramas!$B$7:$B$66,0),),0)</f>
        <v>0</v>
      </c>
      <c r="Z7" s="180">
        <f ca="1">IFERROR(OFFSET(Cronogramas!$AB$6,MATCH(Analítico!Z3,Cronogramas!$B$7:$B$66,0),),0)</f>
        <v>0</v>
      </c>
      <c r="AA7" s="180">
        <f ca="1">IFERROR(OFFSET(Cronogramas!$AB$6,MATCH(Analítico!AA3,Cronogramas!$B$7:$B$66,0),),0)</f>
        <v>19461074.459038623</v>
      </c>
      <c r="AB7" s="180">
        <f ca="1">IFERROR(OFFSET(Cronogramas!$AB$6,MATCH(Analítico!AB3,Cronogramas!$B$7:$B$66,0),),0)</f>
        <v>0</v>
      </c>
      <c r="AC7" s="180">
        <f ca="1">IFERROR(OFFSET(Cronogramas!$AB$6,MATCH(Analítico!AC3,Cronogramas!$B$7:$B$66,0),),0)</f>
        <v>0</v>
      </c>
      <c r="AD7" s="180">
        <f ca="1">IFERROR(OFFSET(Cronogramas!$AB$6,MATCH(Analítico!AD3,Cronogramas!$B$7:$B$66,0),),0)</f>
        <v>20008887.108192839</v>
      </c>
      <c r="AE7" s="180">
        <f ca="1">IFERROR(OFFSET(Cronogramas!$AB$6,MATCH(Analítico!AE3,Cronogramas!$B$7:$B$66,0),),0)</f>
        <v>0</v>
      </c>
      <c r="AF7" s="180">
        <f ca="1">IFERROR(OFFSET(Cronogramas!$AB$6,MATCH(Analítico!AF3,Cronogramas!$B$7:$B$66,0),),0)</f>
        <v>0</v>
      </c>
      <c r="AG7" s="180">
        <f ca="1">IFERROR(OFFSET(Cronogramas!$AB$6,MATCH(Analítico!AG3,Cronogramas!$B$7:$B$66,0),),0)</f>
        <v>19928797.108192839</v>
      </c>
      <c r="AH7" s="180">
        <f ca="1">IFERROR(OFFSET(Cronogramas!$AB$6,MATCH(Analítico!AH3,Cronogramas!$B$7:$B$66,0),),0)</f>
        <v>0</v>
      </c>
      <c r="AI7" s="180">
        <f ca="1">IFERROR(OFFSET(Cronogramas!$AB$6,MATCH(Analítico!AI3,Cronogramas!$B$7:$B$66,0),),0)</f>
        <v>0</v>
      </c>
      <c r="AJ7" s="180">
        <f ca="1">IFERROR(OFFSET(Cronogramas!$AB$6,MATCH(Analítico!AJ3,Cronogramas!$B$7:$B$66,0),),0)</f>
        <v>19229880.081545778</v>
      </c>
      <c r="AK7" s="180">
        <f ca="1">IFERROR(OFFSET(Cronogramas!$AB$6,MATCH(Analítico!AK3,Cronogramas!$B$7:$B$66,0),),0)</f>
        <v>0</v>
      </c>
      <c r="AL7" s="180">
        <f ca="1">IFERROR(OFFSET(Cronogramas!$AB$6,MATCH(Analítico!AL3,Cronogramas!$B$7:$B$66,0),),0)</f>
        <v>0</v>
      </c>
      <c r="AM7" s="180">
        <f ca="1">IFERROR(OFFSET(Cronogramas!$AB$6,MATCH(Analítico!AM3,Cronogramas!$B$7:$B$66,0),),0)</f>
        <v>17602078.44825165</v>
      </c>
      <c r="AN7" s="180">
        <f ca="1">IFERROR(OFFSET(Cronogramas!$AB$6,MATCH(Analítico!AN3,Cronogramas!$B$7:$B$66,0),),0)</f>
        <v>0</v>
      </c>
      <c r="AO7" s="180">
        <f ca="1">IFERROR(OFFSET(Cronogramas!$AB$6,MATCH(Analítico!AO3,Cronogramas!$B$7:$B$66,0),),0)</f>
        <v>0</v>
      </c>
      <c r="AP7" s="180">
        <f ca="1">IFERROR(OFFSET(Cronogramas!$AB$6,MATCH(Analítico!AP3,Cronogramas!$B$7:$B$66,0),),0)</f>
        <v>18358045.650228716</v>
      </c>
      <c r="AQ7" s="180">
        <f ca="1">IFERROR(OFFSET(Cronogramas!$AB$6,MATCH(Analítico!AQ3,Cronogramas!$B$7:$B$66,0),),0)</f>
        <v>0</v>
      </c>
      <c r="AR7" s="180">
        <f ca="1">IFERROR(OFFSET(Cronogramas!$AB$6,MATCH(Analítico!AR3,Cronogramas!$B$7:$B$66,0),),0)</f>
        <v>0</v>
      </c>
      <c r="AS7" s="180">
        <f ca="1">IFERROR(OFFSET(Cronogramas!$AB$6,MATCH(Analítico!AS3,Cronogramas!$B$7:$B$66,0),),0)</f>
        <v>18347925.99022872</v>
      </c>
      <c r="AT7" s="180">
        <f ca="1">IFERROR(OFFSET(Cronogramas!$AB$6,MATCH(Analítico!AT3,Cronogramas!$B$7:$B$66,0),),0)</f>
        <v>0</v>
      </c>
      <c r="AU7" s="180">
        <f ca="1">IFERROR(OFFSET(Cronogramas!$AB$6,MATCH(Analítico!AU3,Cronogramas!$B$7:$B$66,0),),0)</f>
        <v>0</v>
      </c>
      <c r="AV7" s="180">
        <f ca="1">IFERROR(OFFSET(Cronogramas!$AB$6,MATCH(Analítico!AV3,Cronogramas!$B$7:$B$66,0),),0)</f>
        <v>6376110.6934095733</v>
      </c>
      <c r="AW7" s="180">
        <f ca="1">IFERROR(OFFSET(Cronogramas!$AB$6,MATCH(Analítico!AW3,Cronogramas!$B$7:$B$66,0),),0)</f>
        <v>0</v>
      </c>
      <c r="AX7" s="180">
        <f ca="1">IFERROR(OFFSET(Cronogramas!$AB$6,MATCH(Analítico!AX3,Cronogramas!$B$7:$B$66,0),),0)</f>
        <v>0</v>
      </c>
      <c r="AY7" s="180">
        <f ca="1">IFERROR(OFFSET(Cronogramas!$AB$6,MATCH(Analítico!AY3,Cronogramas!$B$7:$B$66,0),),0)</f>
        <v>0</v>
      </c>
      <c r="AZ7" s="180">
        <f ca="1">IFERROR(OFFSET(Cronogramas!$AB$6,MATCH(Analítico!AZ3,Cronogramas!$B$7:$B$66,0),),0)</f>
        <v>0</v>
      </c>
      <c r="BA7" s="180">
        <f ca="1">IFERROR(OFFSET(Cronogramas!$AB$6,MATCH(Analítico!BA3,Cronogramas!$B$7:$B$66,0),),0)</f>
        <v>0</v>
      </c>
      <c r="BB7" s="180">
        <f ca="1">IFERROR(OFFSET(Cronogramas!$AB$6,MATCH(Analítico!BB3,Cronogramas!$B$7:$B$66,0),),0)</f>
        <v>0</v>
      </c>
      <c r="BC7" s="180">
        <f ca="1">IFERROR(OFFSET(Cronogramas!$AB$6,MATCH(Analítico!BC3,Cronogramas!$B$7:$B$66,0),),0)</f>
        <v>0</v>
      </c>
      <c r="BD7" s="180">
        <f ca="1">IFERROR(OFFSET(Cronogramas!$AB$6,MATCH(Analítico!BD3,Cronogramas!$B$7:$B$66,0),),0)</f>
        <v>0</v>
      </c>
      <c r="BE7" s="180">
        <f ca="1">IFERROR(OFFSET(Cronogramas!$AB$6,MATCH(Analítico!BE3,Cronogramas!$B$7:$B$66,0),),0)</f>
        <v>0</v>
      </c>
      <c r="BF7" s="180">
        <f ca="1">IFERROR(OFFSET(Cronogramas!$AB$6,MATCH(Analítico!BF3,Cronogramas!$B$7:$B$66,0),),0)</f>
        <v>0</v>
      </c>
      <c r="BG7" s="180">
        <f ca="1">IFERROR(OFFSET(Cronogramas!$AB$6,MATCH(Analítico!BG3,Cronogramas!$B$7:$B$66,0),),0)</f>
        <v>0</v>
      </c>
      <c r="BH7" s="180">
        <f ca="1">IFERROR(OFFSET(Cronogramas!$AB$6,MATCH(Analítico!BH3,Cronogramas!$B$7:$B$66,0),),0)</f>
        <v>0</v>
      </c>
      <c r="BI7" s="180">
        <f ca="1">IFERROR(OFFSET(Cronogramas!$AB$6,MATCH(Analítico!BI3,Cronogramas!$B$7:$B$66,0),),0)</f>
        <v>0</v>
      </c>
      <c r="BJ7" s="180">
        <f ca="1">IFERROR(OFFSET(Cronogramas!$AB$6,MATCH(Analítico!BJ3,Cronogramas!$B$7:$B$66,0),),0)</f>
        <v>0</v>
      </c>
      <c r="BK7" s="181">
        <f ca="1">SUM(C7:BJ7)</f>
        <v>263900308.21368769</v>
      </c>
      <c r="BL7" s="182">
        <f ca="1">IF($BK$15=0,0,BK7/$BK$15)</f>
        <v>0.90860826223343027</v>
      </c>
    </row>
    <row r="8" spans="1:68" s="160" customFormat="1" ht="23.25" customHeight="1" thickBot="1">
      <c r="A8" s="183" t="s">
        <v>66</v>
      </c>
      <c r="B8" s="179" t="s">
        <v>67</v>
      </c>
      <c r="C8" s="180">
        <v>0</v>
      </c>
      <c r="D8" s="180">
        <v>0</v>
      </c>
      <c r="E8" s="180">
        <v>0</v>
      </c>
      <c r="F8" s="180">
        <v>0</v>
      </c>
      <c r="G8" s="180">
        <v>0</v>
      </c>
      <c r="H8" s="180">
        <v>0</v>
      </c>
      <c r="I8" s="180">
        <v>0</v>
      </c>
      <c r="J8" s="180">
        <v>0</v>
      </c>
      <c r="K8" s="180">
        <v>0</v>
      </c>
      <c r="L8" s="180">
        <v>0</v>
      </c>
      <c r="M8" s="180">
        <v>0</v>
      </c>
      <c r="N8" s="180">
        <v>0</v>
      </c>
      <c r="O8" s="180">
        <v>0</v>
      </c>
      <c r="P8" s="180">
        <v>0</v>
      </c>
      <c r="Q8" s="180">
        <v>0</v>
      </c>
      <c r="R8" s="180">
        <v>0</v>
      </c>
      <c r="S8" s="180">
        <v>0</v>
      </c>
      <c r="T8" s="180">
        <v>0</v>
      </c>
      <c r="U8" s="180">
        <v>0</v>
      </c>
      <c r="V8" s="180">
        <v>0</v>
      </c>
      <c r="W8" s="180">
        <v>0</v>
      </c>
      <c r="X8" s="180">
        <v>0</v>
      </c>
      <c r="Y8" s="180">
        <v>0</v>
      </c>
      <c r="Z8" s="180">
        <v>0</v>
      </c>
      <c r="AA8" s="180">
        <v>0</v>
      </c>
      <c r="AB8" s="180">
        <v>0</v>
      </c>
      <c r="AC8" s="180">
        <v>0</v>
      </c>
      <c r="AD8" s="180">
        <v>0</v>
      </c>
      <c r="AE8" s="180">
        <v>0</v>
      </c>
      <c r="AF8" s="180">
        <v>0</v>
      </c>
      <c r="AG8" s="180">
        <v>0</v>
      </c>
      <c r="AH8" s="180">
        <v>0</v>
      </c>
      <c r="AI8" s="180">
        <v>0</v>
      </c>
      <c r="AJ8" s="180">
        <v>0</v>
      </c>
      <c r="AK8" s="180">
        <v>0</v>
      </c>
      <c r="AL8" s="180">
        <v>0</v>
      </c>
      <c r="AM8" s="180">
        <v>0</v>
      </c>
      <c r="AN8" s="180">
        <v>0</v>
      </c>
      <c r="AO8" s="180">
        <v>0</v>
      </c>
      <c r="AP8" s="180">
        <v>0</v>
      </c>
      <c r="AQ8" s="180">
        <v>0</v>
      </c>
      <c r="AR8" s="180">
        <v>0</v>
      </c>
      <c r="AS8" s="180">
        <v>0</v>
      </c>
      <c r="AT8" s="180">
        <v>0</v>
      </c>
      <c r="AU8" s="180">
        <v>0</v>
      </c>
      <c r="AV8" s="180">
        <v>0</v>
      </c>
      <c r="AW8" s="180">
        <v>0</v>
      </c>
      <c r="AX8" s="180">
        <v>0</v>
      </c>
      <c r="AY8" s="180">
        <v>0</v>
      </c>
      <c r="AZ8" s="180">
        <v>0</v>
      </c>
      <c r="BA8" s="180">
        <v>0</v>
      </c>
      <c r="BB8" s="180">
        <v>0</v>
      </c>
      <c r="BC8" s="180">
        <v>0</v>
      </c>
      <c r="BD8" s="180">
        <v>0</v>
      </c>
      <c r="BE8" s="180">
        <v>0</v>
      </c>
      <c r="BF8" s="180">
        <v>0</v>
      </c>
      <c r="BG8" s="180">
        <v>0</v>
      </c>
      <c r="BH8" s="180">
        <v>0</v>
      </c>
      <c r="BI8" s="180">
        <v>0</v>
      </c>
      <c r="BJ8" s="180">
        <v>0</v>
      </c>
      <c r="BK8" s="181">
        <f>SUM(C8:BJ8)</f>
        <v>0</v>
      </c>
      <c r="BL8" s="182">
        <f ca="1">IF($BK$15=0,0,BK8/$BK$15)</f>
        <v>0</v>
      </c>
    </row>
    <row r="9" spans="1:68" s="160" customFormat="1" ht="23.25" customHeight="1">
      <c r="A9" s="184" t="s">
        <v>68</v>
      </c>
      <c r="B9" s="184" t="s">
        <v>37</v>
      </c>
      <c r="C9" s="185"/>
      <c r="D9" s="185"/>
      <c r="E9" s="185"/>
      <c r="F9" s="185"/>
      <c r="G9" s="185"/>
      <c r="H9" s="185"/>
      <c r="I9" s="185"/>
      <c r="J9" s="185"/>
      <c r="K9" s="185"/>
      <c r="L9" s="185"/>
      <c r="M9" s="185"/>
      <c r="N9" s="185"/>
      <c r="O9" s="185"/>
      <c r="P9" s="185"/>
      <c r="Q9" s="185"/>
      <c r="R9" s="185"/>
      <c r="S9" s="185"/>
      <c r="T9" s="185"/>
      <c r="U9" s="185"/>
      <c r="V9" s="185"/>
      <c r="W9" s="185"/>
      <c r="X9" s="185"/>
      <c r="Y9" s="185"/>
      <c r="Z9" s="185"/>
      <c r="AA9" s="185"/>
      <c r="AB9" s="185"/>
      <c r="AC9" s="185"/>
      <c r="AD9" s="185"/>
      <c r="AE9" s="185"/>
      <c r="AF9" s="185"/>
      <c r="AG9" s="185"/>
      <c r="AH9" s="185"/>
      <c r="AI9" s="185"/>
      <c r="AJ9" s="185"/>
      <c r="AK9" s="185"/>
      <c r="AL9" s="185"/>
      <c r="AM9" s="185"/>
      <c r="AN9" s="185"/>
      <c r="AO9" s="185"/>
      <c r="AP9" s="185"/>
      <c r="AQ9" s="185"/>
      <c r="AR9" s="185"/>
      <c r="AS9" s="185"/>
      <c r="AT9" s="185"/>
      <c r="AU9" s="185"/>
      <c r="AV9" s="185"/>
      <c r="AW9" s="185"/>
      <c r="AX9" s="185"/>
      <c r="AY9" s="185"/>
      <c r="AZ9" s="185"/>
      <c r="BA9" s="185"/>
      <c r="BB9" s="185"/>
      <c r="BC9" s="185"/>
      <c r="BD9" s="185"/>
      <c r="BE9" s="185"/>
      <c r="BF9" s="185"/>
      <c r="BG9" s="185"/>
      <c r="BH9" s="185"/>
      <c r="BI9" s="185"/>
      <c r="BJ9" s="185"/>
      <c r="BK9" s="186"/>
      <c r="BL9" s="187"/>
    </row>
    <row r="10" spans="1:68" s="160" customFormat="1" ht="23.25" customHeight="1">
      <c r="A10" s="80" t="s">
        <v>69</v>
      </c>
      <c r="B10" s="81" t="s">
        <v>70</v>
      </c>
      <c r="C10" s="188"/>
      <c r="D10" s="188">
        <v>0</v>
      </c>
      <c r="E10" s="188">
        <v>0</v>
      </c>
      <c r="F10" s="188">
        <v>0</v>
      </c>
      <c r="G10" s="188">
        <v>0</v>
      </c>
      <c r="H10" s="188">
        <v>0</v>
      </c>
      <c r="I10" s="188">
        <v>0</v>
      </c>
      <c r="J10" s="188">
        <v>0</v>
      </c>
      <c r="K10" s="188">
        <v>0</v>
      </c>
      <c r="L10" s="188">
        <v>0</v>
      </c>
      <c r="M10" s="188">
        <v>0</v>
      </c>
      <c r="N10" s="188">
        <v>0</v>
      </c>
      <c r="O10" s="188">
        <v>0</v>
      </c>
      <c r="P10" s="188">
        <v>0</v>
      </c>
      <c r="Q10" s="188">
        <v>0</v>
      </c>
      <c r="R10" s="188">
        <v>0</v>
      </c>
      <c r="S10" s="188">
        <v>0</v>
      </c>
      <c r="T10" s="188">
        <v>0</v>
      </c>
      <c r="U10" s="188">
        <v>0</v>
      </c>
      <c r="V10" s="188">
        <v>0</v>
      </c>
      <c r="W10" s="188">
        <v>0</v>
      </c>
      <c r="X10" s="188">
        <v>0</v>
      </c>
      <c r="Y10" s="188">
        <v>0</v>
      </c>
      <c r="Z10" s="188">
        <v>0</v>
      </c>
      <c r="AA10" s="188">
        <v>0</v>
      </c>
      <c r="AB10" s="188">
        <v>0</v>
      </c>
      <c r="AC10" s="188">
        <v>0</v>
      </c>
      <c r="AD10" s="188">
        <v>0</v>
      </c>
      <c r="AE10" s="188">
        <v>0</v>
      </c>
      <c r="AF10" s="188">
        <v>0</v>
      </c>
      <c r="AG10" s="188">
        <v>0</v>
      </c>
      <c r="AH10" s="188">
        <v>0</v>
      </c>
      <c r="AI10" s="188">
        <v>0</v>
      </c>
      <c r="AJ10" s="188">
        <v>0</v>
      </c>
      <c r="AK10" s="188">
        <v>0</v>
      </c>
      <c r="AL10" s="188">
        <v>0</v>
      </c>
      <c r="AM10" s="188">
        <v>0</v>
      </c>
      <c r="AN10" s="188">
        <v>0</v>
      </c>
      <c r="AO10" s="188">
        <v>0</v>
      </c>
      <c r="AP10" s="188">
        <v>0</v>
      </c>
      <c r="AQ10" s="188">
        <v>0</v>
      </c>
      <c r="AR10" s="188">
        <v>0</v>
      </c>
      <c r="AS10" s="188">
        <v>0</v>
      </c>
      <c r="AT10" s="188">
        <v>0</v>
      </c>
      <c r="AU10" s="188">
        <v>0</v>
      </c>
      <c r="AV10" s="188">
        <v>0</v>
      </c>
      <c r="AW10" s="188">
        <v>0</v>
      </c>
      <c r="AX10" s="188">
        <v>0</v>
      </c>
      <c r="AY10" s="188">
        <v>0</v>
      </c>
      <c r="AZ10" s="188">
        <v>0</v>
      </c>
      <c r="BA10" s="188">
        <v>0</v>
      </c>
      <c r="BB10" s="188">
        <v>0</v>
      </c>
      <c r="BC10" s="188">
        <v>0</v>
      </c>
      <c r="BD10" s="188">
        <v>0</v>
      </c>
      <c r="BE10" s="188">
        <v>0</v>
      </c>
      <c r="BF10" s="188">
        <v>0</v>
      </c>
      <c r="BG10" s="188">
        <v>0</v>
      </c>
      <c r="BH10" s="188">
        <v>0</v>
      </c>
      <c r="BI10" s="188">
        <v>0</v>
      </c>
      <c r="BJ10" s="188">
        <v>0</v>
      </c>
      <c r="BK10" s="189">
        <f>SUM(C10:BJ10)</f>
        <v>0</v>
      </c>
      <c r="BL10" s="136">
        <f ca="1">IF($BK$15=0,0,BK10/$BK$15)</f>
        <v>0</v>
      </c>
    </row>
    <row r="11" spans="1:68" s="160" customFormat="1" ht="23.25" customHeight="1">
      <c r="A11" s="80" t="s">
        <v>71</v>
      </c>
      <c r="B11" s="81" t="s">
        <v>72</v>
      </c>
      <c r="C11" s="188">
        <v>0</v>
      </c>
      <c r="D11" s="188">
        <v>0</v>
      </c>
      <c r="E11" s="188">
        <v>0</v>
      </c>
      <c r="F11" s="188">
        <v>0</v>
      </c>
      <c r="G11" s="188">
        <v>0</v>
      </c>
      <c r="H11" s="188">
        <v>0</v>
      </c>
      <c r="I11" s="188">
        <v>0</v>
      </c>
      <c r="J11" s="188">
        <v>0</v>
      </c>
      <c r="K11" s="188">
        <v>0</v>
      </c>
      <c r="L11" s="188">
        <v>0</v>
      </c>
      <c r="M11" s="188">
        <v>0</v>
      </c>
      <c r="N11" s="188">
        <v>0</v>
      </c>
      <c r="O11" s="188">
        <v>0</v>
      </c>
      <c r="P11" s="188">
        <v>0</v>
      </c>
      <c r="Q11" s="188">
        <v>0</v>
      </c>
      <c r="R11" s="188">
        <v>0</v>
      </c>
      <c r="S11" s="188">
        <v>0</v>
      </c>
      <c r="T11" s="188">
        <v>0</v>
      </c>
      <c r="U11" s="188">
        <v>0</v>
      </c>
      <c r="V11" s="188">
        <v>0</v>
      </c>
      <c r="W11" s="188">
        <v>0</v>
      </c>
      <c r="X11" s="188">
        <v>0</v>
      </c>
      <c r="Y11" s="188">
        <v>0</v>
      </c>
      <c r="Z11" s="188">
        <v>0</v>
      </c>
      <c r="AA11" s="188">
        <v>0</v>
      </c>
      <c r="AB11" s="188">
        <v>0</v>
      </c>
      <c r="AC11" s="188">
        <v>0</v>
      </c>
      <c r="AD11" s="188">
        <v>0</v>
      </c>
      <c r="AE11" s="188">
        <v>0</v>
      </c>
      <c r="AF11" s="188">
        <v>0</v>
      </c>
      <c r="AG11" s="188">
        <v>0</v>
      </c>
      <c r="AH11" s="188">
        <v>0</v>
      </c>
      <c r="AI11" s="188">
        <v>0</v>
      </c>
      <c r="AJ11" s="188">
        <v>0</v>
      </c>
      <c r="AK11" s="188">
        <v>0</v>
      </c>
      <c r="AL11" s="188">
        <v>0</v>
      </c>
      <c r="AM11" s="188">
        <v>0</v>
      </c>
      <c r="AN11" s="188">
        <v>0</v>
      </c>
      <c r="AO11" s="188">
        <v>0</v>
      </c>
      <c r="AP11" s="188">
        <v>0</v>
      </c>
      <c r="AQ11" s="188">
        <v>0</v>
      </c>
      <c r="AR11" s="188">
        <v>0</v>
      </c>
      <c r="AS11" s="188">
        <v>0</v>
      </c>
      <c r="AT11" s="188">
        <v>0</v>
      </c>
      <c r="AU11" s="188">
        <v>0</v>
      </c>
      <c r="AV11" s="188">
        <v>0</v>
      </c>
      <c r="AW11" s="188">
        <v>0</v>
      </c>
      <c r="AX11" s="188">
        <v>0</v>
      </c>
      <c r="AY11" s="188">
        <v>0</v>
      </c>
      <c r="AZ11" s="188">
        <v>0</v>
      </c>
      <c r="BA11" s="188">
        <v>0</v>
      </c>
      <c r="BB11" s="188">
        <v>0</v>
      </c>
      <c r="BC11" s="188">
        <v>0</v>
      </c>
      <c r="BD11" s="188">
        <v>0</v>
      </c>
      <c r="BE11" s="188">
        <v>0</v>
      </c>
      <c r="BF11" s="188">
        <v>0</v>
      </c>
      <c r="BG11" s="188">
        <v>0</v>
      </c>
      <c r="BH11" s="188">
        <v>0</v>
      </c>
      <c r="BI11" s="188">
        <v>0</v>
      </c>
      <c r="BJ11" s="188">
        <v>0</v>
      </c>
      <c r="BK11" s="189">
        <f>SUM(C11:BJ11)</f>
        <v>0</v>
      </c>
      <c r="BL11" s="136">
        <f ca="1">IF($BK$15=0,0,BK11/$BK$15)</f>
        <v>0</v>
      </c>
    </row>
    <row r="12" spans="1:68" s="160" customFormat="1" ht="23.25" customHeight="1">
      <c r="A12" s="80" t="s">
        <v>73</v>
      </c>
      <c r="B12" s="81" t="s">
        <v>74</v>
      </c>
      <c r="C12" s="188">
        <v>0</v>
      </c>
      <c r="D12" s="188">
        <v>0</v>
      </c>
      <c r="E12" s="188">
        <v>0</v>
      </c>
      <c r="F12" s="188">
        <v>0</v>
      </c>
      <c r="G12" s="188">
        <v>0</v>
      </c>
      <c r="H12" s="188">
        <v>0</v>
      </c>
      <c r="I12" s="188">
        <v>0</v>
      </c>
      <c r="J12" s="188">
        <v>0</v>
      </c>
      <c r="K12" s="188">
        <v>0</v>
      </c>
      <c r="L12" s="188">
        <v>0</v>
      </c>
      <c r="M12" s="188">
        <v>0</v>
      </c>
      <c r="N12" s="188">
        <v>0</v>
      </c>
      <c r="O12" s="188">
        <v>0</v>
      </c>
      <c r="P12" s="188">
        <v>0</v>
      </c>
      <c r="Q12" s="188">
        <v>0</v>
      </c>
      <c r="R12" s="188">
        <v>0</v>
      </c>
      <c r="S12" s="188">
        <v>0</v>
      </c>
      <c r="T12" s="188">
        <v>0</v>
      </c>
      <c r="U12" s="188">
        <v>0</v>
      </c>
      <c r="V12" s="188">
        <v>0</v>
      </c>
      <c r="W12" s="188">
        <v>0</v>
      </c>
      <c r="X12" s="188">
        <v>0</v>
      </c>
      <c r="Y12" s="188">
        <v>0</v>
      </c>
      <c r="Z12" s="188">
        <v>0</v>
      </c>
      <c r="AA12" s="188">
        <v>0</v>
      </c>
      <c r="AB12" s="188">
        <v>0</v>
      </c>
      <c r="AC12" s="188">
        <v>0</v>
      </c>
      <c r="AD12" s="188">
        <v>0</v>
      </c>
      <c r="AE12" s="188">
        <v>0</v>
      </c>
      <c r="AF12" s="188">
        <v>0</v>
      </c>
      <c r="AG12" s="188">
        <v>0</v>
      </c>
      <c r="AH12" s="188">
        <v>0</v>
      </c>
      <c r="AI12" s="188">
        <v>0</v>
      </c>
      <c r="AJ12" s="188">
        <v>0</v>
      </c>
      <c r="AK12" s="188">
        <v>0</v>
      </c>
      <c r="AL12" s="188">
        <v>0</v>
      </c>
      <c r="AM12" s="188">
        <v>0</v>
      </c>
      <c r="AN12" s="188">
        <v>0</v>
      </c>
      <c r="AO12" s="188">
        <v>0</v>
      </c>
      <c r="AP12" s="188">
        <v>0</v>
      </c>
      <c r="AQ12" s="188">
        <v>0</v>
      </c>
      <c r="AR12" s="188">
        <v>0</v>
      </c>
      <c r="AS12" s="188">
        <v>0</v>
      </c>
      <c r="AT12" s="188">
        <v>0</v>
      </c>
      <c r="AU12" s="188">
        <v>0</v>
      </c>
      <c r="AV12" s="188">
        <v>0</v>
      </c>
      <c r="AW12" s="188">
        <v>0</v>
      </c>
      <c r="AX12" s="188">
        <v>0</v>
      </c>
      <c r="AY12" s="188">
        <v>0</v>
      </c>
      <c r="AZ12" s="188">
        <v>0</v>
      </c>
      <c r="BA12" s="188">
        <v>0</v>
      </c>
      <c r="BB12" s="188">
        <v>0</v>
      </c>
      <c r="BC12" s="188">
        <v>0</v>
      </c>
      <c r="BD12" s="188">
        <v>0</v>
      </c>
      <c r="BE12" s="188">
        <v>0</v>
      </c>
      <c r="BF12" s="188">
        <v>0</v>
      </c>
      <c r="BG12" s="188">
        <v>0</v>
      </c>
      <c r="BH12" s="188">
        <v>0</v>
      </c>
      <c r="BI12" s="188">
        <v>0</v>
      </c>
      <c r="BJ12" s="188">
        <v>0</v>
      </c>
      <c r="BK12" s="189">
        <f>SUM(C12:BJ12)</f>
        <v>0</v>
      </c>
      <c r="BL12" s="136">
        <f ca="1">IF($BK$15=0,0,BK12/$BK$15)</f>
        <v>0</v>
      </c>
      <c r="BN12" s="160" t="s">
        <v>666</v>
      </c>
    </row>
    <row r="13" spans="1:68" s="160" customFormat="1" ht="23.25" customHeight="1" thickBot="1">
      <c r="A13" s="190"/>
      <c r="B13" s="191" t="s">
        <v>128</v>
      </c>
      <c r="C13" s="192">
        <f t="shared" ref="C13:AH13" si="2">SUBTOTAL(109,C10:C12)</f>
        <v>0</v>
      </c>
      <c r="D13" s="192">
        <f t="shared" si="2"/>
        <v>0</v>
      </c>
      <c r="E13" s="192">
        <f t="shared" si="2"/>
        <v>0</v>
      </c>
      <c r="F13" s="192">
        <f t="shared" si="2"/>
        <v>0</v>
      </c>
      <c r="G13" s="192">
        <f t="shared" si="2"/>
        <v>0</v>
      </c>
      <c r="H13" s="192">
        <f t="shared" si="2"/>
        <v>0</v>
      </c>
      <c r="I13" s="192">
        <f t="shared" si="2"/>
        <v>0</v>
      </c>
      <c r="J13" s="192">
        <f t="shared" si="2"/>
        <v>0</v>
      </c>
      <c r="K13" s="192">
        <f t="shared" si="2"/>
        <v>0</v>
      </c>
      <c r="L13" s="192">
        <f t="shared" si="2"/>
        <v>0</v>
      </c>
      <c r="M13" s="192">
        <f t="shared" si="2"/>
        <v>0</v>
      </c>
      <c r="N13" s="192">
        <f t="shared" si="2"/>
        <v>0</v>
      </c>
      <c r="O13" s="192">
        <f t="shared" si="2"/>
        <v>0</v>
      </c>
      <c r="P13" s="192">
        <f t="shared" si="2"/>
        <v>0</v>
      </c>
      <c r="Q13" s="192">
        <f t="shared" si="2"/>
        <v>0</v>
      </c>
      <c r="R13" s="192">
        <f t="shared" si="2"/>
        <v>0</v>
      </c>
      <c r="S13" s="192">
        <f t="shared" si="2"/>
        <v>0</v>
      </c>
      <c r="T13" s="192">
        <f t="shared" si="2"/>
        <v>0</v>
      </c>
      <c r="U13" s="192">
        <f t="shared" si="2"/>
        <v>0</v>
      </c>
      <c r="V13" s="192">
        <f t="shared" si="2"/>
        <v>0</v>
      </c>
      <c r="W13" s="192">
        <f t="shared" si="2"/>
        <v>0</v>
      </c>
      <c r="X13" s="192">
        <f t="shared" si="2"/>
        <v>0</v>
      </c>
      <c r="Y13" s="192">
        <f t="shared" si="2"/>
        <v>0</v>
      </c>
      <c r="Z13" s="192">
        <f t="shared" si="2"/>
        <v>0</v>
      </c>
      <c r="AA13" s="192">
        <f t="shared" si="2"/>
        <v>0</v>
      </c>
      <c r="AB13" s="192">
        <f t="shared" si="2"/>
        <v>0</v>
      </c>
      <c r="AC13" s="192">
        <f t="shared" si="2"/>
        <v>0</v>
      </c>
      <c r="AD13" s="192">
        <f t="shared" si="2"/>
        <v>0</v>
      </c>
      <c r="AE13" s="192">
        <f t="shared" si="2"/>
        <v>0</v>
      </c>
      <c r="AF13" s="192">
        <f t="shared" si="2"/>
        <v>0</v>
      </c>
      <c r="AG13" s="192">
        <f t="shared" si="2"/>
        <v>0</v>
      </c>
      <c r="AH13" s="192">
        <f t="shared" si="2"/>
        <v>0</v>
      </c>
      <c r="AI13" s="192">
        <f t="shared" ref="AI13:BJ13" si="3">SUBTOTAL(109,AI10:AI12)</f>
        <v>0</v>
      </c>
      <c r="AJ13" s="192">
        <f t="shared" si="3"/>
        <v>0</v>
      </c>
      <c r="AK13" s="192">
        <f t="shared" si="3"/>
        <v>0</v>
      </c>
      <c r="AL13" s="192">
        <f t="shared" si="3"/>
        <v>0</v>
      </c>
      <c r="AM13" s="192">
        <f t="shared" si="3"/>
        <v>0</v>
      </c>
      <c r="AN13" s="192">
        <f t="shared" si="3"/>
        <v>0</v>
      </c>
      <c r="AO13" s="192">
        <f t="shared" si="3"/>
        <v>0</v>
      </c>
      <c r="AP13" s="192">
        <f t="shared" si="3"/>
        <v>0</v>
      </c>
      <c r="AQ13" s="192">
        <f t="shared" si="3"/>
        <v>0</v>
      </c>
      <c r="AR13" s="192">
        <f t="shared" si="3"/>
        <v>0</v>
      </c>
      <c r="AS13" s="192">
        <f t="shared" si="3"/>
        <v>0</v>
      </c>
      <c r="AT13" s="192">
        <f t="shared" si="3"/>
        <v>0</v>
      </c>
      <c r="AU13" s="192">
        <f t="shared" si="3"/>
        <v>0</v>
      </c>
      <c r="AV13" s="192">
        <f t="shared" si="3"/>
        <v>0</v>
      </c>
      <c r="AW13" s="192">
        <f t="shared" si="3"/>
        <v>0</v>
      </c>
      <c r="AX13" s="192">
        <f t="shared" si="3"/>
        <v>0</v>
      </c>
      <c r="AY13" s="192">
        <f t="shared" si="3"/>
        <v>0</v>
      </c>
      <c r="AZ13" s="192">
        <f t="shared" si="3"/>
        <v>0</v>
      </c>
      <c r="BA13" s="192">
        <f t="shared" si="3"/>
        <v>0</v>
      </c>
      <c r="BB13" s="192">
        <f t="shared" si="3"/>
        <v>0</v>
      </c>
      <c r="BC13" s="192">
        <f t="shared" si="3"/>
        <v>0</v>
      </c>
      <c r="BD13" s="192">
        <f t="shared" si="3"/>
        <v>0</v>
      </c>
      <c r="BE13" s="192">
        <f t="shared" si="3"/>
        <v>0</v>
      </c>
      <c r="BF13" s="192">
        <f t="shared" si="3"/>
        <v>0</v>
      </c>
      <c r="BG13" s="192">
        <f t="shared" si="3"/>
        <v>0</v>
      </c>
      <c r="BH13" s="192">
        <f t="shared" si="3"/>
        <v>0</v>
      </c>
      <c r="BI13" s="192">
        <f t="shared" si="3"/>
        <v>0</v>
      </c>
      <c r="BJ13" s="192">
        <f t="shared" si="3"/>
        <v>0</v>
      </c>
      <c r="BK13" s="192">
        <f>SUBTOTAL(109,BK10:BK10)</f>
        <v>0</v>
      </c>
      <c r="BL13" s="193">
        <f ca="1">IF($BK$152=0,0,BK13/$BK$152)</f>
        <v>0</v>
      </c>
    </row>
    <row r="14" spans="1:68" s="160" customFormat="1" ht="23.25" customHeight="1" thickBot="1">
      <c r="A14" s="194" t="s">
        <v>129</v>
      </c>
      <c r="B14" s="195"/>
      <c r="C14" s="143">
        <f t="shared" ref="C14:AH14" ca="1" si="4">SUBTOTAL(109,C7:C13)</f>
        <v>0</v>
      </c>
      <c r="D14" s="143">
        <f t="shared" ca="1" si="4"/>
        <v>0</v>
      </c>
      <c r="E14" s="143">
        <f t="shared" ca="1" si="4"/>
        <v>0</v>
      </c>
      <c r="F14" s="143">
        <f t="shared" ca="1" si="4"/>
        <v>12954344.005534168</v>
      </c>
      <c r="G14" s="143">
        <f t="shared" ca="1" si="4"/>
        <v>0</v>
      </c>
      <c r="H14" s="143">
        <f t="shared" ca="1" si="4"/>
        <v>0</v>
      </c>
      <c r="I14" s="143">
        <f t="shared" ca="1" si="4"/>
        <v>17716703.716164842</v>
      </c>
      <c r="J14" s="143">
        <f t="shared" ca="1" si="4"/>
        <v>0</v>
      </c>
      <c r="K14" s="143">
        <f t="shared" ca="1" si="4"/>
        <v>0</v>
      </c>
      <c r="L14" s="143">
        <f t="shared" ca="1" si="4"/>
        <v>18289322.559297673</v>
      </c>
      <c r="M14" s="143">
        <f t="shared" ca="1" si="4"/>
        <v>0</v>
      </c>
      <c r="N14" s="143">
        <f t="shared" ca="1" si="4"/>
        <v>0</v>
      </c>
      <c r="O14" s="143">
        <f t="shared" ca="1" si="4"/>
        <v>18508106.360732958</v>
      </c>
      <c r="P14" s="143">
        <f t="shared" ca="1" si="4"/>
        <v>0</v>
      </c>
      <c r="Q14" s="143">
        <f t="shared" ca="1" si="4"/>
        <v>0</v>
      </c>
      <c r="R14" s="143">
        <f t="shared" ca="1" si="4"/>
        <v>19043296.534946188</v>
      </c>
      <c r="S14" s="143">
        <f t="shared" ca="1" si="4"/>
        <v>0</v>
      </c>
      <c r="T14" s="143">
        <f t="shared" ca="1" si="4"/>
        <v>0</v>
      </c>
      <c r="U14" s="143">
        <f t="shared" ca="1" si="4"/>
        <v>18970366.97494619</v>
      </c>
      <c r="V14" s="143">
        <f t="shared" ca="1" si="4"/>
        <v>0</v>
      </c>
      <c r="W14" s="143">
        <f t="shared" ca="1" si="4"/>
        <v>0</v>
      </c>
      <c r="X14" s="143">
        <f t="shared" ca="1" si="4"/>
        <v>19105368.522977002</v>
      </c>
      <c r="Y14" s="143">
        <f t="shared" ca="1" si="4"/>
        <v>0</v>
      </c>
      <c r="Z14" s="143">
        <f t="shared" ca="1" si="4"/>
        <v>0</v>
      </c>
      <c r="AA14" s="143">
        <f t="shared" ca="1" si="4"/>
        <v>19461074.459038623</v>
      </c>
      <c r="AB14" s="143">
        <f t="shared" ca="1" si="4"/>
        <v>0</v>
      </c>
      <c r="AC14" s="143">
        <f t="shared" ca="1" si="4"/>
        <v>0</v>
      </c>
      <c r="AD14" s="143">
        <f t="shared" ca="1" si="4"/>
        <v>20008887.108192839</v>
      </c>
      <c r="AE14" s="143">
        <f t="shared" ca="1" si="4"/>
        <v>0</v>
      </c>
      <c r="AF14" s="143">
        <f t="shared" ca="1" si="4"/>
        <v>0</v>
      </c>
      <c r="AG14" s="143">
        <f t="shared" ca="1" si="4"/>
        <v>19928797.108192839</v>
      </c>
      <c r="AH14" s="143">
        <f t="shared" ca="1" si="4"/>
        <v>0</v>
      </c>
      <c r="AI14" s="143">
        <f t="shared" ref="AI14:BJ14" ca="1" si="5">SUBTOTAL(109,AI7:AI13)</f>
        <v>0</v>
      </c>
      <c r="AJ14" s="143">
        <f t="shared" ca="1" si="5"/>
        <v>19229880.081545778</v>
      </c>
      <c r="AK14" s="143">
        <f t="shared" ca="1" si="5"/>
        <v>0</v>
      </c>
      <c r="AL14" s="143">
        <f t="shared" ca="1" si="5"/>
        <v>0</v>
      </c>
      <c r="AM14" s="143">
        <f t="shared" ca="1" si="5"/>
        <v>17602078.44825165</v>
      </c>
      <c r="AN14" s="143">
        <f t="shared" ca="1" si="5"/>
        <v>0</v>
      </c>
      <c r="AO14" s="143">
        <f t="shared" ca="1" si="5"/>
        <v>0</v>
      </c>
      <c r="AP14" s="143">
        <f t="shared" ca="1" si="5"/>
        <v>18358045.650228716</v>
      </c>
      <c r="AQ14" s="143">
        <f t="shared" ca="1" si="5"/>
        <v>0</v>
      </c>
      <c r="AR14" s="143">
        <f t="shared" ca="1" si="5"/>
        <v>0</v>
      </c>
      <c r="AS14" s="143">
        <f t="shared" ca="1" si="5"/>
        <v>18347925.99022872</v>
      </c>
      <c r="AT14" s="143">
        <f t="shared" ca="1" si="5"/>
        <v>0</v>
      </c>
      <c r="AU14" s="143">
        <f t="shared" ca="1" si="5"/>
        <v>0</v>
      </c>
      <c r="AV14" s="143">
        <f t="shared" ca="1" si="5"/>
        <v>6376110.6934095733</v>
      </c>
      <c r="AW14" s="143">
        <f t="shared" ca="1" si="5"/>
        <v>0</v>
      </c>
      <c r="AX14" s="143">
        <f t="shared" ca="1" si="5"/>
        <v>0</v>
      </c>
      <c r="AY14" s="143">
        <f t="shared" ca="1" si="5"/>
        <v>0</v>
      </c>
      <c r="AZ14" s="143">
        <f t="shared" ca="1" si="5"/>
        <v>0</v>
      </c>
      <c r="BA14" s="143">
        <f t="shared" ca="1" si="5"/>
        <v>0</v>
      </c>
      <c r="BB14" s="143">
        <f t="shared" ca="1" si="5"/>
        <v>0</v>
      </c>
      <c r="BC14" s="143">
        <f t="shared" ca="1" si="5"/>
        <v>0</v>
      </c>
      <c r="BD14" s="143">
        <f t="shared" ca="1" si="5"/>
        <v>0</v>
      </c>
      <c r="BE14" s="143">
        <f t="shared" ca="1" si="5"/>
        <v>0</v>
      </c>
      <c r="BF14" s="143">
        <f t="shared" ca="1" si="5"/>
        <v>0</v>
      </c>
      <c r="BG14" s="143">
        <f t="shared" ca="1" si="5"/>
        <v>0</v>
      </c>
      <c r="BH14" s="143">
        <f t="shared" ca="1" si="5"/>
        <v>0</v>
      </c>
      <c r="BI14" s="143">
        <f t="shared" ca="1" si="5"/>
        <v>0</v>
      </c>
      <c r="BJ14" s="143">
        <f t="shared" ca="1" si="5"/>
        <v>0</v>
      </c>
      <c r="BK14" s="143">
        <f ca="1">SUM(C14:BJ14)</f>
        <v>263900308.21368769</v>
      </c>
      <c r="BL14" s="145">
        <f ca="1">IF($BK$15=0,0,BK14/$BK$15)</f>
        <v>0.90860826223343027</v>
      </c>
    </row>
    <row r="15" spans="1:68" s="160" customFormat="1" ht="23.25" customHeight="1" thickBot="1">
      <c r="A15" s="196" t="s">
        <v>130</v>
      </c>
      <c r="B15" s="197"/>
      <c r="C15" s="143">
        <f t="shared" ref="C15:AH15" ca="1" si="6">SUBTOTAL(109,C4:C14)</f>
        <v>26544231.18</v>
      </c>
      <c r="D15" s="143">
        <f t="shared" ca="1" si="6"/>
        <v>0</v>
      </c>
      <c r="E15" s="143">
        <f t="shared" ca="1" si="6"/>
        <v>0</v>
      </c>
      <c r="F15" s="143">
        <f t="shared" ca="1" si="6"/>
        <v>12954344.005534168</v>
      </c>
      <c r="G15" s="143">
        <f t="shared" ca="1" si="6"/>
        <v>0</v>
      </c>
      <c r="H15" s="143">
        <f t="shared" ca="1" si="6"/>
        <v>0</v>
      </c>
      <c r="I15" s="143">
        <f t="shared" ca="1" si="6"/>
        <v>17716703.716164842</v>
      </c>
      <c r="J15" s="143">
        <f t="shared" ca="1" si="6"/>
        <v>0</v>
      </c>
      <c r="K15" s="143">
        <f t="shared" ca="1" si="6"/>
        <v>0</v>
      </c>
      <c r="L15" s="143">
        <f t="shared" ca="1" si="6"/>
        <v>18289322.559297673</v>
      </c>
      <c r="M15" s="143">
        <f t="shared" ca="1" si="6"/>
        <v>0</v>
      </c>
      <c r="N15" s="143">
        <f t="shared" ca="1" si="6"/>
        <v>0</v>
      </c>
      <c r="O15" s="143">
        <f t="shared" ca="1" si="6"/>
        <v>18508106.360732958</v>
      </c>
      <c r="P15" s="143">
        <f t="shared" ca="1" si="6"/>
        <v>0</v>
      </c>
      <c r="Q15" s="143">
        <f t="shared" ca="1" si="6"/>
        <v>0</v>
      </c>
      <c r="R15" s="143">
        <f t="shared" ca="1" si="6"/>
        <v>19043296.534946188</v>
      </c>
      <c r="S15" s="143">
        <f t="shared" ca="1" si="6"/>
        <v>0</v>
      </c>
      <c r="T15" s="143">
        <f t="shared" ca="1" si="6"/>
        <v>0</v>
      </c>
      <c r="U15" s="143">
        <f t="shared" ca="1" si="6"/>
        <v>18970366.97494619</v>
      </c>
      <c r="V15" s="143">
        <f t="shared" ca="1" si="6"/>
        <v>0</v>
      </c>
      <c r="W15" s="143">
        <f t="shared" ca="1" si="6"/>
        <v>0</v>
      </c>
      <c r="X15" s="143">
        <f t="shared" ca="1" si="6"/>
        <v>19105368.522977002</v>
      </c>
      <c r="Y15" s="143">
        <f t="shared" ca="1" si="6"/>
        <v>0</v>
      </c>
      <c r="Z15" s="143">
        <f t="shared" ca="1" si="6"/>
        <v>0</v>
      </c>
      <c r="AA15" s="143">
        <f t="shared" ca="1" si="6"/>
        <v>19461074.459038623</v>
      </c>
      <c r="AB15" s="143">
        <f t="shared" ca="1" si="6"/>
        <v>0</v>
      </c>
      <c r="AC15" s="143">
        <f t="shared" ca="1" si="6"/>
        <v>0</v>
      </c>
      <c r="AD15" s="143">
        <f t="shared" ca="1" si="6"/>
        <v>20008887.108192839</v>
      </c>
      <c r="AE15" s="143">
        <f t="shared" ca="1" si="6"/>
        <v>0</v>
      </c>
      <c r="AF15" s="143">
        <f t="shared" ca="1" si="6"/>
        <v>0</v>
      </c>
      <c r="AG15" s="143">
        <f t="shared" ca="1" si="6"/>
        <v>19928797.108192839</v>
      </c>
      <c r="AH15" s="143">
        <f t="shared" ca="1" si="6"/>
        <v>0</v>
      </c>
      <c r="AI15" s="143">
        <f t="shared" ref="AI15:BJ15" ca="1" si="7">SUBTOTAL(109,AI4:AI14)</f>
        <v>0</v>
      </c>
      <c r="AJ15" s="143">
        <f t="shared" ca="1" si="7"/>
        <v>19229880.081545778</v>
      </c>
      <c r="AK15" s="143">
        <f t="shared" ca="1" si="7"/>
        <v>0</v>
      </c>
      <c r="AL15" s="143">
        <f t="shared" ca="1" si="7"/>
        <v>0</v>
      </c>
      <c r="AM15" s="143">
        <f t="shared" ca="1" si="7"/>
        <v>17602078.44825165</v>
      </c>
      <c r="AN15" s="143">
        <f t="shared" ca="1" si="7"/>
        <v>0</v>
      </c>
      <c r="AO15" s="143">
        <f t="shared" ca="1" si="7"/>
        <v>0</v>
      </c>
      <c r="AP15" s="143">
        <f t="shared" ca="1" si="7"/>
        <v>18358045.650228716</v>
      </c>
      <c r="AQ15" s="143">
        <f t="shared" ca="1" si="7"/>
        <v>0</v>
      </c>
      <c r="AR15" s="143">
        <f t="shared" ca="1" si="7"/>
        <v>0</v>
      </c>
      <c r="AS15" s="143">
        <f t="shared" ca="1" si="7"/>
        <v>18347925.99022872</v>
      </c>
      <c r="AT15" s="143">
        <f t="shared" ca="1" si="7"/>
        <v>0</v>
      </c>
      <c r="AU15" s="143">
        <f t="shared" ca="1" si="7"/>
        <v>0</v>
      </c>
      <c r="AV15" s="143">
        <f t="shared" ca="1" si="7"/>
        <v>6376110.6934095733</v>
      </c>
      <c r="AW15" s="143">
        <f t="shared" ca="1" si="7"/>
        <v>0</v>
      </c>
      <c r="AX15" s="143">
        <f t="shared" ca="1" si="7"/>
        <v>0</v>
      </c>
      <c r="AY15" s="143">
        <f t="shared" ca="1" si="7"/>
        <v>0</v>
      </c>
      <c r="AZ15" s="143">
        <f t="shared" ca="1" si="7"/>
        <v>0</v>
      </c>
      <c r="BA15" s="143">
        <f t="shared" ca="1" si="7"/>
        <v>0</v>
      </c>
      <c r="BB15" s="143">
        <f t="shared" ca="1" si="7"/>
        <v>0</v>
      </c>
      <c r="BC15" s="143">
        <f t="shared" ca="1" si="7"/>
        <v>0</v>
      </c>
      <c r="BD15" s="143">
        <f t="shared" ca="1" si="7"/>
        <v>0</v>
      </c>
      <c r="BE15" s="143">
        <f t="shared" ca="1" si="7"/>
        <v>0</v>
      </c>
      <c r="BF15" s="143">
        <f t="shared" ca="1" si="7"/>
        <v>0</v>
      </c>
      <c r="BG15" s="143">
        <f t="shared" ca="1" si="7"/>
        <v>0</v>
      </c>
      <c r="BH15" s="143">
        <f t="shared" ca="1" si="7"/>
        <v>0</v>
      </c>
      <c r="BI15" s="143">
        <f t="shared" ca="1" si="7"/>
        <v>0</v>
      </c>
      <c r="BJ15" s="143">
        <f t="shared" ca="1" si="7"/>
        <v>0</v>
      </c>
      <c r="BK15" s="143">
        <f ca="1">SUM(C15:BJ15)</f>
        <v>290444539.39368773</v>
      </c>
      <c r="BL15" s="145">
        <f ca="1">IF($BK$15=0,0,BK15/$BK$15)</f>
        <v>1</v>
      </c>
    </row>
    <row r="16" spans="1:68" s="160" customFormat="1" ht="23.25" customHeight="1" thickBot="1">
      <c r="A16" s="198"/>
      <c r="B16" s="199"/>
      <c r="C16" s="200"/>
      <c r="D16" s="200"/>
      <c r="E16" s="200"/>
      <c r="F16" s="200"/>
      <c r="G16" s="200"/>
      <c r="H16" s="200"/>
      <c r="I16" s="200"/>
      <c r="J16" s="200"/>
      <c r="K16" s="200"/>
      <c r="L16" s="200"/>
      <c r="M16" s="200"/>
      <c r="N16" s="200"/>
      <c r="O16" s="200"/>
      <c r="P16" s="200"/>
      <c r="Q16" s="200"/>
      <c r="R16" s="200"/>
      <c r="S16" s="200"/>
      <c r="T16" s="200"/>
      <c r="U16" s="200"/>
      <c r="V16" s="200"/>
      <c r="W16" s="200"/>
      <c r="X16" s="200"/>
      <c r="Y16" s="200"/>
      <c r="Z16" s="200"/>
      <c r="AA16" s="200"/>
      <c r="AB16" s="200"/>
      <c r="AC16" s="200"/>
      <c r="AD16" s="200"/>
      <c r="AE16" s="200"/>
      <c r="AF16" s="200"/>
      <c r="AG16" s="200"/>
      <c r="AH16" s="200"/>
      <c r="AI16" s="200"/>
      <c r="AJ16" s="200"/>
      <c r="AK16" s="200"/>
      <c r="AL16" s="200"/>
      <c r="AM16" s="200"/>
      <c r="AN16" s="200"/>
      <c r="AO16" s="200"/>
      <c r="AP16" s="200"/>
      <c r="AQ16" s="200"/>
      <c r="AR16" s="200"/>
      <c r="AS16" s="200"/>
      <c r="AT16" s="200"/>
      <c r="AU16" s="200"/>
      <c r="AV16" s="200"/>
      <c r="AW16" s="200"/>
      <c r="AX16" s="200"/>
      <c r="AY16" s="200"/>
      <c r="AZ16" s="200"/>
      <c r="BA16" s="200"/>
      <c r="BB16" s="200"/>
      <c r="BC16" s="200"/>
      <c r="BD16" s="200"/>
      <c r="BE16" s="200"/>
      <c r="BF16" s="200"/>
      <c r="BG16" s="200"/>
      <c r="BH16" s="200"/>
      <c r="BI16" s="200"/>
      <c r="BJ16" s="200"/>
      <c r="BK16" s="200"/>
      <c r="BL16" s="201"/>
    </row>
    <row r="17" spans="1:64" s="160" customFormat="1" ht="23.25" customHeight="1" thickBot="1">
      <c r="A17" s="194">
        <v>2</v>
      </c>
      <c r="B17" s="58" t="s">
        <v>78</v>
      </c>
      <c r="C17" s="167"/>
      <c r="D17" s="167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45"/>
    </row>
    <row r="18" spans="1:64" s="160" customFormat="1" ht="23.25" customHeight="1">
      <c r="A18" s="184" t="s">
        <v>79</v>
      </c>
      <c r="B18" s="202" t="s">
        <v>80</v>
      </c>
      <c r="C18" s="203"/>
      <c r="D18" s="203"/>
      <c r="E18" s="203"/>
      <c r="F18" s="203"/>
      <c r="G18" s="203"/>
      <c r="H18" s="203"/>
      <c r="I18" s="203"/>
      <c r="J18" s="203"/>
      <c r="K18" s="203"/>
      <c r="L18" s="203"/>
      <c r="M18" s="203"/>
      <c r="N18" s="203"/>
      <c r="O18" s="203"/>
      <c r="P18" s="203"/>
      <c r="Q18" s="203"/>
      <c r="R18" s="203"/>
      <c r="S18" s="203"/>
      <c r="T18" s="203"/>
      <c r="U18" s="203"/>
      <c r="V18" s="203"/>
      <c r="W18" s="203"/>
      <c r="X18" s="203"/>
      <c r="Y18" s="203"/>
      <c r="Z18" s="203"/>
      <c r="AA18" s="203"/>
      <c r="AB18" s="203"/>
      <c r="AC18" s="203"/>
      <c r="AD18" s="203"/>
      <c r="AE18" s="203"/>
      <c r="AF18" s="203"/>
      <c r="AG18" s="203"/>
      <c r="AH18" s="203"/>
      <c r="AI18" s="203"/>
      <c r="AJ18" s="203"/>
      <c r="AK18" s="203"/>
      <c r="AL18" s="203"/>
      <c r="AM18" s="203"/>
      <c r="AN18" s="203"/>
      <c r="AO18" s="203"/>
      <c r="AP18" s="203"/>
      <c r="AQ18" s="203"/>
      <c r="AR18" s="203"/>
      <c r="AS18" s="203"/>
      <c r="AT18" s="203"/>
      <c r="AU18" s="203"/>
      <c r="AV18" s="203"/>
      <c r="AW18" s="203"/>
      <c r="AX18" s="203"/>
      <c r="AY18" s="203"/>
      <c r="AZ18" s="203"/>
      <c r="BA18" s="203"/>
      <c r="BB18" s="203"/>
      <c r="BC18" s="203"/>
      <c r="BD18" s="203"/>
      <c r="BE18" s="203"/>
      <c r="BF18" s="203"/>
      <c r="BG18" s="203"/>
      <c r="BH18" s="203"/>
      <c r="BI18" s="203"/>
      <c r="BJ18" s="203"/>
      <c r="BK18" s="203"/>
      <c r="BL18" s="204"/>
    </row>
    <row r="19" spans="1:64" s="160" customFormat="1" ht="23.25" customHeight="1">
      <c r="A19" s="205" t="s">
        <v>81</v>
      </c>
      <c r="B19" s="206" t="s">
        <v>131</v>
      </c>
      <c r="C19" s="207"/>
      <c r="D19" s="207"/>
      <c r="E19" s="207"/>
      <c r="F19" s="207"/>
      <c r="G19" s="207"/>
      <c r="H19" s="207"/>
      <c r="I19" s="207"/>
      <c r="J19" s="207"/>
      <c r="K19" s="207"/>
      <c r="L19" s="207"/>
      <c r="M19" s="207"/>
      <c r="N19" s="207"/>
      <c r="O19" s="207"/>
      <c r="P19" s="207"/>
      <c r="Q19" s="207"/>
      <c r="R19" s="207"/>
      <c r="S19" s="207"/>
      <c r="T19" s="207"/>
      <c r="U19" s="207"/>
      <c r="V19" s="207"/>
      <c r="W19" s="207"/>
      <c r="X19" s="207"/>
      <c r="Y19" s="207"/>
      <c r="Z19" s="207"/>
      <c r="AA19" s="207"/>
      <c r="AB19" s="207"/>
      <c r="AC19" s="207"/>
      <c r="AD19" s="207"/>
      <c r="AE19" s="207"/>
      <c r="AF19" s="207"/>
      <c r="AG19" s="207"/>
      <c r="AH19" s="207"/>
      <c r="AI19" s="207"/>
      <c r="AJ19" s="207"/>
      <c r="AK19" s="207"/>
      <c r="AL19" s="207"/>
      <c r="AM19" s="207"/>
      <c r="AN19" s="207"/>
      <c r="AO19" s="207"/>
      <c r="AP19" s="207"/>
      <c r="AQ19" s="207"/>
      <c r="AR19" s="207"/>
      <c r="AS19" s="207"/>
      <c r="AT19" s="207"/>
      <c r="AU19" s="207"/>
      <c r="AV19" s="207"/>
      <c r="AW19" s="207"/>
      <c r="AX19" s="207"/>
      <c r="AY19" s="207"/>
      <c r="AZ19" s="207"/>
      <c r="BA19" s="207"/>
      <c r="BB19" s="207"/>
      <c r="BC19" s="207"/>
      <c r="BD19" s="207"/>
      <c r="BE19" s="207"/>
      <c r="BF19" s="207"/>
      <c r="BG19" s="207"/>
      <c r="BH19" s="207"/>
      <c r="BI19" s="207"/>
      <c r="BJ19" s="207"/>
      <c r="BK19" s="207"/>
      <c r="BL19" s="208"/>
    </row>
    <row r="20" spans="1:64" s="160" customFormat="1" ht="23.25" customHeight="1">
      <c r="A20" s="198" t="s">
        <v>132</v>
      </c>
      <c r="B20" s="81" t="s">
        <v>82</v>
      </c>
      <c r="C20" s="188">
        <f t="array" aca="1" ref="C20" ca="1">_xlfn.IFNA(SUM((C$3&gt;='Gastos com Pessoal'!$E$7:$E$506)*(C$3&lt;='Gastos com Pessoal'!$F$7:$F$506)*OFFSET('Encargos e Benefícios'!$D$5,1,MATCH($B20,'Encargos e Benefícios'!$E$5:$AB$5,0),500,1))*(IF('Gastos com Pessoal'!$G$7:$G$506&lt;=C$3,('Gastos com Pessoal'!$H$7:$H$506)+1,1))*(IF('Gastos com Pessoal'!$M$7:$M$506&lt;=C$3,('Gastos com Pessoal'!$N$7:$N$506)+1,1))*(IF('Gastos com Pessoal'!$S$7:$S$506&lt;=C$3,('Gastos com Pessoal'!$T$7:$T$506)+1,1))*(IF('Gastos com Pessoal'!$Y$7:$Y$506&lt;=C$3,('Gastos com Pessoal'!$Z$7:$Z$506)+1,1))*(IF('Gastos com Pessoal'!$AE$7:$AE$506&lt;=C$3,('Gastos com Pessoal'!$AF$7:$AF$506)+1,1)),0)</f>
        <v>1313500.1899999995</v>
      </c>
      <c r="D20" s="188">
        <f t="array" aca="1" ref="D20" ca="1">_xlfn.IFNA(SUM((D$3&gt;='Gastos com Pessoal'!$E$7:$E$506)*(D$3&lt;='Gastos com Pessoal'!$F$7:$F$506)*OFFSET('Encargos e Benefícios'!$D$5,1,MATCH($B20,'Encargos e Benefícios'!$E$5:$AB$5,0),500,1))*(IF('Gastos com Pessoal'!$G$7:$G$506&lt;=D$3,('Gastos com Pessoal'!$H$7:$H$506)+1,1))*(IF('Gastos com Pessoal'!$M$7:$M$506&lt;=D$3,('Gastos com Pessoal'!$N$7:$N$506)+1,1))*(IF('Gastos com Pessoal'!$S$7:$S$506&lt;=D$3,('Gastos com Pessoal'!$T$7:$T$506)+1,1))*(IF('Gastos com Pessoal'!$Y$7:$Y$506&lt;=D$3,('Gastos com Pessoal'!$Z$7:$Z$506)+1,1))*(IF('Gastos com Pessoal'!$AE$7:$AE$506&lt;=D$3,('Gastos com Pessoal'!$AF$7:$AF$506)+1,1)),0)</f>
        <v>1322500.1899999995</v>
      </c>
      <c r="E20" s="188">
        <f t="array" aca="1" ref="E20" ca="1">_xlfn.IFNA(SUM((E$3&gt;='Gastos com Pessoal'!$E$7:$E$506)*(E$3&lt;='Gastos com Pessoal'!$F$7:$F$506)*OFFSET('Encargos e Benefícios'!$D$5,1,MATCH($B20,'Encargos e Benefícios'!$E$5:$AB$5,0),500,1))*(IF('Gastos com Pessoal'!$G$7:$G$506&lt;=E$3,('Gastos com Pessoal'!$H$7:$H$506)+1,1))*(IF('Gastos com Pessoal'!$M$7:$M$506&lt;=E$3,('Gastos com Pessoal'!$N$7:$N$506)+1,1))*(IF('Gastos com Pessoal'!$S$7:$S$506&lt;=E$3,('Gastos com Pessoal'!$T$7:$T$506)+1,1))*(IF('Gastos com Pessoal'!$Y$7:$Y$506&lt;=E$3,('Gastos com Pessoal'!$Z$7:$Z$506)+1,1))*(IF('Gastos com Pessoal'!$AE$7:$AE$506&lt;=E$3,('Gastos com Pessoal'!$AF$7:$AF$506)+1,1)),0)</f>
        <v>1387093.6899999995</v>
      </c>
      <c r="F20" s="188">
        <f t="array" aca="1" ref="F20" ca="1">_xlfn.IFNA(SUM((F$3&gt;='Gastos com Pessoal'!$E$7:$E$506)*(F$3&lt;='Gastos com Pessoal'!$F$7:$F$506)*OFFSET('Encargos e Benefícios'!$D$5,1,MATCH($B20,'Encargos e Benefícios'!$E$5:$AB$5,0),500,1))*(IF('Gastos com Pessoal'!$G$7:$G$506&lt;=F$3,('Gastos com Pessoal'!$H$7:$H$506)+1,1))*(IF('Gastos com Pessoal'!$M$7:$M$506&lt;=F$3,('Gastos com Pessoal'!$N$7:$N$506)+1,1))*(IF('Gastos com Pessoal'!$S$7:$S$506&lt;=F$3,('Gastos com Pessoal'!$T$7:$T$506)+1,1))*(IF('Gastos com Pessoal'!$Y$7:$Y$506&lt;=F$3,('Gastos com Pessoal'!$Z$7:$Z$506)+1,1))*(IF('Gastos com Pessoal'!$AE$7:$AE$506&lt;=F$3,('Gastos com Pessoal'!$AF$7:$AF$506)+1,1)),0)</f>
        <v>1397967.2699999996</v>
      </c>
      <c r="G20" s="188">
        <f t="array" aca="1" ref="G20" ca="1">_xlfn.IFNA(SUM((G$3&gt;='Gastos com Pessoal'!$E$7:$E$506)*(G$3&lt;='Gastos com Pessoal'!$F$7:$F$506)*OFFSET('Encargos e Benefícios'!$D$5,1,MATCH($B20,'Encargos e Benefícios'!$E$5:$AB$5,0),500,1))*(IF('Gastos com Pessoal'!$G$7:$G$506&lt;=G$3,('Gastos com Pessoal'!$H$7:$H$506)+1,1))*(IF('Gastos com Pessoal'!$M$7:$M$506&lt;=G$3,('Gastos com Pessoal'!$N$7:$N$506)+1,1))*(IF('Gastos com Pessoal'!$S$7:$S$506&lt;=G$3,('Gastos com Pessoal'!$T$7:$T$506)+1,1))*(IF('Gastos com Pessoal'!$Y$7:$Y$506&lt;=G$3,('Gastos com Pessoal'!$Z$7:$Z$506)+1,1))*(IF('Gastos com Pessoal'!$AE$7:$AE$506&lt;=G$3,('Gastos com Pessoal'!$AF$7:$AF$506)+1,1)),0)</f>
        <v>1479608.5585679996</v>
      </c>
      <c r="H20" s="188">
        <f t="array" aca="1" ref="H20" ca="1">_xlfn.IFNA(SUM((H$3&gt;='Gastos com Pessoal'!$E$7:$E$506)*(H$3&lt;='Gastos com Pessoal'!$F$7:$F$506)*OFFSET('Encargos e Benefícios'!$D$5,1,MATCH($B20,'Encargos e Benefícios'!$E$5:$AB$5,0),500,1))*(IF('Gastos com Pessoal'!$G$7:$G$506&lt;=H$3,('Gastos com Pessoal'!$H$7:$H$506)+1,1))*(IF('Gastos com Pessoal'!$M$7:$M$506&lt;=H$3,('Gastos com Pessoal'!$N$7:$N$506)+1,1))*(IF('Gastos com Pessoal'!$S$7:$S$506&lt;=H$3,('Gastos com Pessoal'!$T$7:$T$506)+1,1))*(IF('Gastos com Pessoal'!$Y$7:$Y$506&lt;=H$3,('Gastos com Pessoal'!$Z$7:$Z$506)+1,1))*(IF('Gastos com Pessoal'!$AE$7:$AE$506&lt;=H$3,('Gastos com Pessoal'!$AF$7:$AF$506)+1,1)),0)</f>
        <v>1547974.3189679994</v>
      </c>
      <c r="I20" s="188">
        <f t="array" aca="1" ref="I20" ca="1">_xlfn.IFNA(SUM((I$3&gt;='Gastos com Pessoal'!$E$7:$E$506)*(I$3&lt;='Gastos com Pessoal'!$F$7:$F$506)*OFFSET('Encargos e Benefícios'!$D$5,1,MATCH($B20,'Encargos e Benefícios'!$E$5:$AB$5,0),500,1))*(IF('Gastos com Pessoal'!$G$7:$G$506&lt;=I$3,('Gastos com Pessoal'!$H$7:$H$506)+1,1))*(IF('Gastos com Pessoal'!$M$7:$M$506&lt;=I$3,('Gastos com Pessoal'!$N$7:$N$506)+1,1))*(IF('Gastos com Pessoal'!$S$7:$S$506&lt;=I$3,('Gastos com Pessoal'!$T$7:$T$506)+1,1))*(IF('Gastos com Pessoal'!$Y$7:$Y$506&lt;=I$3,('Gastos com Pessoal'!$Z$7:$Z$506)+1,1))*(IF('Gastos com Pessoal'!$AE$7:$AE$506&lt;=I$3,('Gastos com Pessoal'!$AF$7:$AF$506)+1,1)),0)</f>
        <v>1560155.0000400001</v>
      </c>
      <c r="J20" s="188">
        <f t="array" aca="1" ref="J20" ca="1">_xlfn.IFNA(SUM((J$3&gt;='Gastos com Pessoal'!$E$7:$E$506)*(J$3&lt;='Gastos com Pessoal'!$F$7:$F$506)*OFFSET('Encargos e Benefícios'!$D$5,1,MATCH($B20,'Encargos e Benefícios'!$E$5:$AB$5,0),500,1))*(IF('Gastos com Pessoal'!$G$7:$G$506&lt;=J$3,('Gastos com Pessoal'!$H$7:$H$506)+1,1))*(IF('Gastos com Pessoal'!$M$7:$M$506&lt;=J$3,('Gastos com Pessoal'!$N$7:$N$506)+1,1))*(IF('Gastos com Pessoal'!$S$7:$S$506&lt;=J$3,('Gastos com Pessoal'!$T$7:$T$506)+1,1))*(IF('Gastos com Pessoal'!$Y$7:$Y$506&lt;=J$3,('Gastos com Pessoal'!$Z$7:$Z$506)+1,1))*(IF('Gastos com Pessoal'!$AE$7:$AE$506&lt;=J$3,('Gastos com Pessoal'!$AF$7:$AF$506)+1,1)),0)</f>
        <v>1560155.0000400001</v>
      </c>
      <c r="K20" s="188">
        <f t="array" aca="1" ref="K20" ca="1">_xlfn.IFNA(SUM((K$3&gt;='Gastos com Pessoal'!$E$7:$E$506)*(K$3&lt;='Gastos com Pessoal'!$F$7:$F$506)*OFFSET('Encargos e Benefícios'!$D$5,1,MATCH($B20,'Encargos e Benefícios'!$E$5:$AB$5,0),500,1))*(IF('Gastos com Pessoal'!$G$7:$G$506&lt;=K$3,('Gastos com Pessoal'!$H$7:$H$506)+1,1))*(IF('Gastos com Pessoal'!$M$7:$M$506&lt;=K$3,('Gastos com Pessoal'!$N$7:$N$506)+1,1))*(IF('Gastos com Pessoal'!$S$7:$S$506&lt;=K$3,('Gastos com Pessoal'!$T$7:$T$506)+1,1))*(IF('Gastos com Pessoal'!$Y$7:$Y$506&lt;=K$3,('Gastos com Pessoal'!$Z$7:$Z$506)+1,1))*(IF('Gastos com Pessoal'!$AE$7:$AE$506&lt;=K$3,('Gastos com Pessoal'!$AF$7:$AF$506)+1,1)),0)</f>
        <v>1632513.3204240003</v>
      </c>
      <c r="L20" s="188">
        <f t="array" aca="1" ref="L20" ca="1">_xlfn.IFNA(SUM((L$3&gt;='Gastos com Pessoal'!$E$7:$E$506)*(L$3&lt;='Gastos com Pessoal'!$F$7:$F$506)*OFFSET('Encargos e Benefícios'!$D$5,1,MATCH($B20,'Encargos e Benefícios'!$E$5:$AB$5,0),500,1))*(IF('Gastos com Pessoal'!$G$7:$G$506&lt;=L$3,('Gastos com Pessoal'!$H$7:$H$506)+1,1))*(IF('Gastos com Pessoal'!$M$7:$M$506&lt;=L$3,('Gastos com Pessoal'!$N$7:$N$506)+1,1))*(IF('Gastos com Pessoal'!$S$7:$S$506&lt;=L$3,('Gastos com Pessoal'!$T$7:$T$506)+1,1))*(IF('Gastos com Pessoal'!$Y$7:$Y$506&lt;=L$3,('Gastos com Pessoal'!$Z$7:$Z$506)+1,1))*(IF('Gastos com Pessoal'!$AE$7:$AE$506&lt;=L$3,('Gastos com Pessoal'!$AF$7:$AF$506)+1,1)),0)</f>
        <v>1644694.0014960007</v>
      </c>
      <c r="M20" s="188">
        <f t="array" aca="1" ref="M20" ca="1">_xlfn.IFNA(SUM((M$3&gt;='Gastos com Pessoal'!$E$7:$E$506)*(M$3&lt;='Gastos com Pessoal'!$F$7:$F$506)*OFFSET('Encargos e Benefícios'!$D$5,1,MATCH($B20,'Encargos e Benefícios'!$E$5:$AB$5,0),500,1))*(IF('Gastos com Pessoal'!$G$7:$G$506&lt;=M$3,('Gastos com Pessoal'!$H$7:$H$506)+1,1))*(IF('Gastos com Pessoal'!$M$7:$M$506&lt;=M$3,('Gastos com Pessoal'!$N$7:$N$506)+1,1))*(IF('Gastos com Pessoal'!$S$7:$S$506&lt;=M$3,('Gastos com Pessoal'!$T$7:$T$506)+1,1))*(IF('Gastos com Pessoal'!$Y$7:$Y$506&lt;=M$3,('Gastos com Pessoal'!$Z$7:$Z$506)+1,1))*(IF('Gastos com Pessoal'!$AE$7:$AE$506&lt;=M$3,('Gastos com Pessoal'!$AF$7:$AF$506)+1,1)),0)</f>
        <v>1644694.0014960007</v>
      </c>
      <c r="N20" s="188">
        <f t="array" aca="1" ref="N20" ca="1">_xlfn.IFNA(SUM((N$3&gt;='Gastos com Pessoal'!$E$7:$E$506)*(N$3&lt;='Gastos com Pessoal'!$F$7:$F$506)*OFFSET('Encargos e Benefícios'!$D$5,1,MATCH($B20,'Encargos e Benefícios'!$E$5:$AB$5,0),500,1))*(IF('Gastos com Pessoal'!$G$7:$G$506&lt;=N$3,('Gastos com Pessoal'!$H$7:$H$506)+1,1))*(IF('Gastos com Pessoal'!$M$7:$M$506&lt;=N$3,('Gastos com Pessoal'!$N$7:$N$506)+1,1))*(IF('Gastos com Pessoal'!$S$7:$S$506&lt;=N$3,('Gastos com Pessoal'!$T$7:$T$506)+1,1))*(IF('Gastos com Pessoal'!$Y$7:$Y$506&lt;=N$3,('Gastos com Pessoal'!$Z$7:$Z$506)+1,1))*(IF('Gastos com Pessoal'!$AE$7:$AE$506&lt;=N$3,('Gastos com Pessoal'!$AF$7:$AF$506)+1,1)),0)</f>
        <v>1717052.3218800011</v>
      </c>
      <c r="O20" s="188">
        <f t="array" aca="1" ref="O20" ca="1">_xlfn.IFNA(SUM((O$3&gt;='Gastos com Pessoal'!$E$7:$E$506)*(O$3&lt;='Gastos com Pessoal'!$F$7:$F$506)*OFFSET('Encargos e Benefícios'!$D$5,1,MATCH($B20,'Encargos e Benefícios'!$E$5:$AB$5,0),500,1))*(IF('Gastos com Pessoal'!$G$7:$G$506&lt;=O$3,('Gastos com Pessoal'!$H$7:$H$506)+1,1))*(IF('Gastos com Pessoal'!$M$7:$M$506&lt;=O$3,('Gastos com Pessoal'!$N$7:$N$506)+1,1))*(IF('Gastos com Pessoal'!$S$7:$S$506&lt;=O$3,('Gastos com Pessoal'!$T$7:$T$506)+1,1))*(IF('Gastos com Pessoal'!$Y$7:$Y$506&lt;=O$3,('Gastos com Pessoal'!$Z$7:$Z$506)+1,1))*(IF('Gastos com Pessoal'!$AE$7:$AE$506&lt;=O$3,('Gastos com Pessoal'!$AF$7:$AF$506)+1,1)),0)</f>
        <v>1717052.3218800011</v>
      </c>
      <c r="P20" s="188">
        <f t="array" aca="1" ref="P20" ca="1">_xlfn.IFNA(SUM((P$3&gt;='Gastos com Pessoal'!$E$7:$E$506)*(P$3&lt;='Gastos com Pessoal'!$F$7:$F$506)*OFFSET('Encargos e Benefícios'!$D$5,1,MATCH($B20,'Encargos e Benefícios'!$E$5:$AB$5,0),500,1))*(IF('Gastos com Pessoal'!$G$7:$G$506&lt;=P$3,('Gastos com Pessoal'!$H$7:$H$506)+1,1))*(IF('Gastos com Pessoal'!$M$7:$M$506&lt;=P$3,('Gastos com Pessoal'!$N$7:$N$506)+1,1))*(IF('Gastos com Pessoal'!$S$7:$S$506&lt;=P$3,('Gastos com Pessoal'!$T$7:$T$506)+1,1))*(IF('Gastos com Pessoal'!$Y$7:$Y$506&lt;=P$3,('Gastos com Pessoal'!$Z$7:$Z$506)+1,1))*(IF('Gastos com Pessoal'!$AE$7:$AE$506&lt;=P$3,('Gastos com Pessoal'!$AF$7:$AF$506)+1,1)),0)</f>
        <v>1717052.3218800011</v>
      </c>
      <c r="Q20" s="188">
        <f t="array" aca="1" ref="Q20" ca="1">_xlfn.IFNA(SUM((Q$3&gt;='Gastos com Pessoal'!$E$7:$E$506)*(Q$3&lt;='Gastos com Pessoal'!$F$7:$F$506)*OFFSET('Encargos e Benefícios'!$D$5,1,MATCH($B20,'Encargos e Benefícios'!$E$5:$AB$5,0),500,1))*(IF('Gastos com Pessoal'!$G$7:$G$506&lt;=Q$3,('Gastos com Pessoal'!$H$7:$H$506)+1,1))*(IF('Gastos com Pessoal'!$M$7:$M$506&lt;=Q$3,('Gastos com Pessoal'!$N$7:$N$506)+1,1))*(IF('Gastos com Pessoal'!$S$7:$S$506&lt;=Q$3,('Gastos com Pessoal'!$T$7:$T$506)+1,1))*(IF('Gastos com Pessoal'!$Y$7:$Y$506&lt;=Q$3,('Gastos com Pessoal'!$Z$7:$Z$506)+1,1))*(IF('Gastos com Pessoal'!$AE$7:$AE$506&lt;=Q$3,('Gastos com Pessoal'!$AF$7:$AF$506)+1,1)),0)</f>
        <v>1717052.3218800011</v>
      </c>
      <c r="R20" s="188">
        <f t="array" aca="1" ref="R20" ca="1">_xlfn.IFNA(SUM((R$3&gt;='Gastos com Pessoal'!$E$7:$E$506)*(R$3&lt;='Gastos com Pessoal'!$F$7:$F$506)*OFFSET('Encargos e Benefícios'!$D$5,1,MATCH($B20,'Encargos e Benefícios'!$E$5:$AB$5,0),500,1))*(IF('Gastos com Pessoal'!$G$7:$G$506&lt;=R$3,('Gastos com Pessoal'!$H$7:$H$506)+1,1))*(IF('Gastos com Pessoal'!$M$7:$M$506&lt;=R$3,('Gastos com Pessoal'!$N$7:$N$506)+1,1))*(IF('Gastos com Pessoal'!$S$7:$S$506&lt;=R$3,('Gastos com Pessoal'!$T$7:$T$506)+1,1))*(IF('Gastos com Pessoal'!$Y$7:$Y$506&lt;=R$3,('Gastos com Pessoal'!$Z$7:$Z$506)+1,1))*(IF('Gastos com Pessoal'!$AE$7:$AE$506&lt;=R$3,('Gastos com Pessoal'!$AF$7:$AF$506)+1,1)),0)</f>
        <v>1717052.3218800011</v>
      </c>
      <c r="S20" s="188">
        <f t="array" aca="1" ref="S20" ca="1">_xlfn.IFNA(SUM((S$3&gt;='Gastos com Pessoal'!$E$7:$E$506)*(S$3&lt;='Gastos com Pessoal'!$F$7:$F$506)*OFFSET('Encargos e Benefícios'!$D$5,1,MATCH($B20,'Encargos e Benefícios'!$E$5:$AB$5,0),500,1))*(IF('Gastos com Pessoal'!$G$7:$G$506&lt;=S$3,('Gastos com Pessoal'!$H$7:$H$506)+1,1))*(IF('Gastos com Pessoal'!$M$7:$M$506&lt;=S$3,('Gastos com Pessoal'!$N$7:$N$506)+1,1))*(IF('Gastos com Pessoal'!$S$7:$S$506&lt;=S$3,('Gastos com Pessoal'!$T$7:$T$506)+1,1))*(IF('Gastos com Pessoal'!$Y$7:$Y$506&lt;=S$3,('Gastos com Pessoal'!$Z$7:$Z$506)+1,1))*(IF('Gastos com Pessoal'!$AE$7:$AE$506&lt;=S$3,('Gastos com Pessoal'!$AF$7:$AF$506)+1,1)),0)</f>
        <v>1817328.1774777933</v>
      </c>
      <c r="T20" s="188">
        <f t="array" aca="1" ref="T20" ca="1">_xlfn.IFNA(SUM((T$3&gt;='Gastos com Pessoal'!$E$7:$E$506)*(T$3&lt;='Gastos com Pessoal'!$F$7:$F$506)*OFFSET('Encargos e Benefícios'!$D$5,1,MATCH($B20,'Encargos e Benefícios'!$E$5:$AB$5,0),500,1))*(IF('Gastos com Pessoal'!$G$7:$G$506&lt;=T$3,('Gastos com Pessoal'!$H$7:$H$506)+1,1))*(IF('Gastos com Pessoal'!$M$7:$M$506&lt;=T$3,('Gastos com Pessoal'!$N$7:$N$506)+1,1))*(IF('Gastos com Pessoal'!$S$7:$S$506&lt;=T$3,('Gastos com Pessoal'!$T$7:$T$506)+1,1))*(IF('Gastos com Pessoal'!$Y$7:$Y$506&lt;=T$3,('Gastos com Pessoal'!$Z$7:$Z$506)+1,1))*(IF('Gastos com Pessoal'!$AE$7:$AE$506&lt;=T$3,('Gastos com Pessoal'!$AF$7:$AF$506)+1,1)),0)</f>
        <v>1817328.1774777933</v>
      </c>
      <c r="U20" s="188">
        <f t="array" aca="1" ref="U20" ca="1">_xlfn.IFNA(SUM((U$3&gt;='Gastos com Pessoal'!$E$7:$E$506)*(U$3&lt;='Gastos com Pessoal'!$F$7:$F$506)*OFFSET('Encargos e Benefícios'!$D$5,1,MATCH($B20,'Encargos e Benefícios'!$E$5:$AB$5,0),500,1))*(IF('Gastos com Pessoal'!$G$7:$G$506&lt;=U$3,('Gastos com Pessoal'!$H$7:$H$506)+1,1))*(IF('Gastos com Pessoal'!$M$7:$M$506&lt;=U$3,('Gastos com Pessoal'!$N$7:$N$506)+1,1))*(IF('Gastos com Pessoal'!$S$7:$S$506&lt;=U$3,('Gastos com Pessoal'!$T$7:$T$506)+1,1))*(IF('Gastos com Pessoal'!$Y$7:$Y$506&lt;=U$3,('Gastos com Pessoal'!$Z$7:$Z$506)+1,1))*(IF('Gastos com Pessoal'!$AE$7:$AE$506&lt;=U$3,('Gastos com Pessoal'!$AF$7:$AF$506)+1,1)),0)</f>
        <v>1817328.1774777933</v>
      </c>
      <c r="V20" s="188">
        <f t="array" aca="1" ref="V20" ca="1">_xlfn.IFNA(SUM((V$3&gt;='Gastos com Pessoal'!$E$7:$E$506)*(V$3&lt;='Gastos com Pessoal'!$F$7:$F$506)*OFFSET('Encargos e Benefícios'!$D$5,1,MATCH($B20,'Encargos e Benefícios'!$E$5:$AB$5,0),500,1))*(IF('Gastos com Pessoal'!$G$7:$G$506&lt;=V$3,('Gastos com Pessoal'!$H$7:$H$506)+1,1))*(IF('Gastos com Pessoal'!$M$7:$M$506&lt;=V$3,('Gastos com Pessoal'!$N$7:$N$506)+1,1))*(IF('Gastos com Pessoal'!$S$7:$S$506&lt;=V$3,('Gastos com Pessoal'!$T$7:$T$506)+1,1))*(IF('Gastos com Pessoal'!$Y$7:$Y$506&lt;=V$3,('Gastos com Pessoal'!$Z$7:$Z$506)+1,1))*(IF('Gastos com Pessoal'!$AE$7:$AE$506&lt;=V$3,('Gastos com Pessoal'!$AF$7:$AF$506)+1,1)),0)</f>
        <v>1817328.1774777933</v>
      </c>
      <c r="W20" s="188">
        <f t="array" aca="1" ref="W20" ca="1">_xlfn.IFNA(SUM((W$3&gt;='Gastos com Pessoal'!$E$7:$E$506)*(W$3&lt;='Gastos com Pessoal'!$F$7:$F$506)*OFFSET('Encargos e Benefícios'!$D$5,1,MATCH($B20,'Encargos e Benefícios'!$E$5:$AB$5,0),500,1))*(IF('Gastos com Pessoal'!$G$7:$G$506&lt;=W$3,('Gastos com Pessoal'!$H$7:$H$506)+1,1))*(IF('Gastos com Pessoal'!$M$7:$M$506&lt;=W$3,('Gastos com Pessoal'!$N$7:$N$506)+1,1))*(IF('Gastos com Pessoal'!$S$7:$S$506&lt;=W$3,('Gastos com Pessoal'!$T$7:$T$506)+1,1))*(IF('Gastos com Pessoal'!$Y$7:$Y$506&lt;=W$3,('Gastos com Pessoal'!$Z$7:$Z$506)+1,1))*(IF('Gastos com Pessoal'!$AE$7:$AE$506&lt;=W$3,('Gastos com Pessoal'!$AF$7:$AF$506)+1,1)),0)</f>
        <v>1817328.1774777933</v>
      </c>
      <c r="X20" s="188">
        <f t="array" aca="1" ref="X20" ca="1">_xlfn.IFNA(SUM((X$3&gt;='Gastos com Pessoal'!$E$7:$E$506)*(X$3&lt;='Gastos com Pessoal'!$F$7:$F$506)*OFFSET('Encargos e Benefícios'!$D$5,1,MATCH($B20,'Encargos e Benefícios'!$E$5:$AB$5,0),500,1))*(IF('Gastos com Pessoal'!$G$7:$G$506&lt;=X$3,('Gastos com Pessoal'!$H$7:$H$506)+1,1))*(IF('Gastos com Pessoal'!$M$7:$M$506&lt;=X$3,('Gastos com Pessoal'!$N$7:$N$506)+1,1))*(IF('Gastos com Pessoal'!$S$7:$S$506&lt;=X$3,('Gastos com Pessoal'!$T$7:$T$506)+1,1))*(IF('Gastos com Pessoal'!$Y$7:$Y$506&lt;=X$3,('Gastos com Pessoal'!$Z$7:$Z$506)+1,1))*(IF('Gastos com Pessoal'!$AE$7:$AE$506&lt;=X$3,('Gastos com Pessoal'!$AF$7:$AF$506)+1,1)),0)</f>
        <v>1817328.1774777933</v>
      </c>
      <c r="Y20" s="188">
        <f t="array" aca="1" ref="Y20" ca="1">_xlfn.IFNA(SUM((Y$3&gt;='Gastos com Pessoal'!$E$7:$E$506)*(Y$3&lt;='Gastos com Pessoal'!$F$7:$F$506)*OFFSET('Encargos e Benefícios'!$D$5,1,MATCH($B20,'Encargos e Benefícios'!$E$5:$AB$5,0),500,1))*(IF('Gastos com Pessoal'!$G$7:$G$506&lt;=Y$3,('Gastos com Pessoal'!$H$7:$H$506)+1,1))*(IF('Gastos com Pessoal'!$M$7:$M$506&lt;=Y$3,('Gastos com Pessoal'!$N$7:$N$506)+1,1))*(IF('Gastos com Pessoal'!$S$7:$S$506&lt;=Y$3,('Gastos com Pessoal'!$T$7:$T$506)+1,1))*(IF('Gastos com Pessoal'!$Y$7:$Y$506&lt;=Y$3,('Gastos com Pessoal'!$Z$7:$Z$506)+1,1))*(IF('Gastos com Pessoal'!$AE$7:$AE$506&lt;=Y$3,('Gastos com Pessoal'!$AF$7:$AF$506)+1,1)),0)</f>
        <v>1817328.1774777933</v>
      </c>
      <c r="Z20" s="188">
        <f t="array" aca="1" ref="Z20" ca="1">_xlfn.IFNA(SUM((Z$3&gt;='Gastos com Pessoal'!$E$7:$E$506)*(Z$3&lt;='Gastos com Pessoal'!$F$7:$F$506)*OFFSET('Encargos e Benefícios'!$D$5,1,MATCH($B20,'Encargos e Benefícios'!$E$5:$AB$5,0),500,1))*(IF('Gastos com Pessoal'!$G$7:$G$506&lt;=Z$3,('Gastos com Pessoal'!$H$7:$H$506)+1,1))*(IF('Gastos com Pessoal'!$M$7:$M$506&lt;=Z$3,('Gastos com Pessoal'!$N$7:$N$506)+1,1))*(IF('Gastos com Pessoal'!$S$7:$S$506&lt;=Z$3,('Gastos com Pessoal'!$T$7:$T$506)+1,1))*(IF('Gastos com Pessoal'!$Y$7:$Y$506&lt;=Z$3,('Gastos com Pessoal'!$Z$7:$Z$506)+1,1))*(IF('Gastos com Pessoal'!$AE$7:$AE$506&lt;=Z$3,('Gastos com Pessoal'!$AF$7:$AF$506)+1,1)),0)</f>
        <v>1817328.1774777933</v>
      </c>
      <c r="AA20" s="188">
        <f t="array" aca="1" ref="AA20" ca="1">_xlfn.IFNA(SUM((AA$3&gt;='Gastos com Pessoal'!$E$7:$E$506)*(AA$3&lt;='Gastos com Pessoal'!$F$7:$F$506)*OFFSET('Encargos e Benefícios'!$D$5,1,MATCH($B20,'Encargos e Benefícios'!$E$5:$AB$5,0),500,1))*(IF('Gastos com Pessoal'!$G$7:$G$506&lt;=AA$3,('Gastos com Pessoal'!$H$7:$H$506)+1,1))*(IF('Gastos com Pessoal'!$M$7:$M$506&lt;=AA$3,('Gastos com Pessoal'!$N$7:$N$506)+1,1))*(IF('Gastos com Pessoal'!$S$7:$S$506&lt;=AA$3,('Gastos com Pessoal'!$T$7:$T$506)+1,1))*(IF('Gastos com Pessoal'!$Y$7:$Y$506&lt;=AA$3,('Gastos com Pessoal'!$Z$7:$Z$506)+1,1))*(IF('Gastos com Pessoal'!$AE$7:$AE$506&lt;=AA$3,('Gastos com Pessoal'!$AF$7:$AF$506)+1,1)),0)</f>
        <v>1817328.1774777933</v>
      </c>
      <c r="AB20" s="188">
        <f t="array" aca="1" ref="AB20" ca="1">_xlfn.IFNA(SUM((AB$3&gt;='Gastos com Pessoal'!$E$7:$E$506)*(AB$3&lt;='Gastos com Pessoal'!$F$7:$F$506)*OFFSET('Encargos e Benefícios'!$D$5,1,MATCH($B20,'Encargos e Benefícios'!$E$5:$AB$5,0),500,1))*(IF('Gastos com Pessoal'!$G$7:$G$506&lt;=AB$3,('Gastos com Pessoal'!$H$7:$H$506)+1,1))*(IF('Gastos com Pessoal'!$M$7:$M$506&lt;=AB$3,('Gastos com Pessoal'!$N$7:$N$506)+1,1))*(IF('Gastos com Pessoal'!$S$7:$S$506&lt;=AB$3,('Gastos com Pessoal'!$T$7:$T$506)+1,1))*(IF('Gastos com Pessoal'!$Y$7:$Y$506&lt;=AB$3,('Gastos com Pessoal'!$Z$7:$Z$506)+1,1))*(IF('Gastos com Pessoal'!$AE$7:$AE$506&lt;=AB$3,('Gastos com Pessoal'!$AF$7:$AF$506)+1,1)),0)</f>
        <v>1817328.1774777933</v>
      </c>
      <c r="AC20" s="188">
        <f t="array" aca="1" ref="AC20" ca="1">_xlfn.IFNA(SUM((AC$3&gt;='Gastos com Pessoal'!$E$7:$E$506)*(AC$3&lt;='Gastos com Pessoal'!$F$7:$F$506)*OFFSET('Encargos e Benefícios'!$D$5,1,MATCH($B20,'Encargos e Benefícios'!$E$5:$AB$5,0),500,1))*(IF('Gastos com Pessoal'!$G$7:$G$506&lt;=AC$3,('Gastos com Pessoal'!$H$7:$H$506)+1,1))*(IF('Gastos com Pessoal'!$M$7:$M$506&lt;=AC$3,('Gastos com Pessoal'!$N$7:$N$506)+1,1))*(IF('Gastos com Pessoal'!$S$7:$S$506&lt;=AC$3,('Gastos com Pessoal'!$T$7:$T$506)+1,1))*(IF('Gastos com Pessoal'!$Y$7:$Y$506&lt;=AC$3,('Gastos com Pessoal'!$Z$7:$Z$506)+1,1))*(IF('Gastos com Pessoal'!$AE$7:$AE$506&lt;=AC$3,('Gastos com Pessoal'!$AF$7:$AF$506)+1,1)),0)</f>
        <v>1817328.1774777933</v>
      </c>
      <c r="AD20" s="188">
        <f t="array" aca="1" ref="AD20" ca="1">_xlfn.IFNA(SUM((AD$3&gt;='Gastos com Pessoal'!$E$7:$E$506)*(AD$3&lt;='Gastos com Pessoal'!$F$7:$F$506)*OFFSET('Encargos e Benefícios'!$D$5,1,MATCH($B20,'Encargos e Benefícios'!$E$5:$AB$5,0),500,1))*(IF('Gastos com Pessoal'!$G$7:$G$506&lt;=AD$3,('Gastos com Pessoal'!$H$7:$H$506)+1,1))*(IF('Gastos com Pessoal'!$M$7:$M$506&lt;=AD$3,('Gastos com Pessoal'!$N$7:$N$506)+1,1))*(IF('Gastos com Pessoal'!$S$7:$S$506&lt;=AD$3,('Gastos com Pessoal'!$T$7:$T$506)+1,1))*(IF('Gastos com Pessoal'!$Y$7:$Y$506&lt;=AD$3,('Gastos com Pessoal'!$Z$7:$Z$506)+1,1))*(IF('Gastos com Pessoal'!$AE$7:$AE$506&lt;=AD$3,('Gastos com Pessoal'!$AF$7:$AF$506)+1,1)),0)</f>
        <v>1817328.1774777933</v>
      </c>
      <c r="AE20" s="188">
        <f t="array" aca="1" ref="AE20" ca="1">_xlfn.IFNA(SUM((AE$3&gt;='Gastos com Pessoal'!$E$7:$E$506)*(AE$3&lt;='Gastos com Pessoal'!$F$7:$F$506)*OFFSET('Encargos e Benefícios'!$D$5,1,MATCH($B20,'Encargos e Benefícios'!$E$5:$AB$5,0),500,1))*(IF('Gastos com Pessoal'!$G$7:$G$506&lt;=AE$3,('Gastos com Pessoal'!$H$7:$H$506)+1,1))*(IF('Gastos com Pessoal'!$M$7:$M$506&lt;=AE$3,('Gastos com Pessoal'!$N$7:$N$506)+1,1))*(IF('Gastos com Pessoal'!$S$7:$S$506&lt;=AE$3,('Gastos com Pessoal'!$T$7:$T$506)+1,1))*(IF('Gastos com Pessoal'!$Y$7:$Y$506&lt;=AE$3,('Gastos com Pessoal'!$Z$7:$Z$506)+1,1))*(IF('Gastos com Pessoal'!$AE$7:$AE$506&lt;=AE$3,('Gastos com Pessoal'!$AF$7:$AF$506)+1,1)),0)</f>
        <v>1923460.1430424964</v>
      </c>
      <c r="AF20" s="188">
        <f t="array" aca="1" ref="AF20" ca="1">_xlfn.IFNA(SUM((AF$3&gt;='Gastos com Pessoal'!$E$7:$E$506)*(AF$3&lt;='Gastos com Pessoal'!$F$7:$F$506)*OFFSET('Encargos e Benefícios'!$D$5,1,MATCH($B20,'Encargos e Benefícios'!$E$5:$AB$5,0),500,1))*(IF('Gastos com Pessoal'!$G$7:$G$506&lt;=AF$3,('Gastos com Pessoal'!$H$7:$H$506)+1,1))*(IF('Gastos com Pessoal'!$M$7:$M$506&lt;=AF$3,('Gastos com Pessoal'!$N$7:$N$506)+1,1))*(IF('Gastos com Pessoal'!$S$7:$S$506&lt;=AF$3,('Gastos com Pessoal'!$T$7:$T$506)+1,1))*(IF('Gastos com Pessoal'!$Y$7:$Y$506&lt;=AF$3,('Gastos com Pessoal'!$Z$7:$Z$506)+1,1))*(IF('Gastos com Pessoal'!$AE$7:$AE$506&lt;=AF$3,('Gastos com Pessoal'!$AF$7:$AF$506)+1,1)),0)</f>
        <v>1923460.1430424964</v>
      </c>
      <c r="AG20" s="188">
        <f t="array" aca="1" ref="AG20" ca="1">_xlfn.IFNA(SUM((AG$3&gt;='Gastos com Pessoal'!$E$7:$E$506)*(AG$3&lt;='Gastos com Pessoal'!$F$7:$F$506)*OFFSET('Encargos e Benefícios'!$D$5,1,MATCH($B20,'Encargos e Benefícios'!$E$5:$AB$5,0),500,1))*(IF('Gastos com Pessoal'!$G$7:$G$506&lt;=AG$3,('Gastos com Pessoal'!$H$7:$H$506)+1,1))*(IF('Gastos com Pessoal'!$M$7:$M$506&lt;=AG$3,('Gastos com Pessoal'!$N$7:$N$506)+1,1))*(IF('Gastos com Pessoal'!$S$7:$S$506&lt;=AG$3,('Gastos com Pessoal'!$T$7:$T$506)+1,1))*(IF('Gastos com Pessoal'!$Y$7:$Y$506&lt;=AG$3,('Gastos com Pessoal'!$Z$7:$Z$506)+1,1))*(IF('Gastos com Pessoal'!$AE$7:$AE$506&lt;=AG$3,('Gastos com Pessoal'!$AF$7:$AF$506)+1,1)),0)</f>
        <v>1923460.1430424964</v>
      </c>
      <c r="AH20" s="188">
        <f t="array" aca="1" ref="AH20" ca="1">_xlfn.IFNA(SUM((AH$3&gt;='Gastos com Pessoal'!$E$7:$E$506)*(AH$3&lt;='Gastos com Pessoal'!$F$7:$F$506)*OFFSET('Encargos e Benefícios'!$D$5,1,MATCH($B20,'Encargos e Benefícios'!$E$5:$AB$5,0),500,1))*(IF('Gastos com Pessoal'!$G$7:$G$506&lt;=AH$3,('Gastos com Pessoal'!$H$7:$H$506)+1,1))*(IF('Gastos com Pessoal'!$M$7:$M$506&lt;=AH$3,('Gastos com Pessoal'!$N$7:$N$506)+1,1))*(IF('Gastos com Pessoal'!$S$7:$S$506&lt;=AH$3,('Gastos com Pessoal'!$T$7:$T$506)+1,1))*(IF('Gastos com Pessoal'!$Y$7:$Y$506&lt;=AH$3,('Gastos com Pessoal'!$Z$7:$Z$506)+1,1))*(IF('Gastos com Pessoal'!$AE$7:$AE$506&lt;=AH$3,('Gastos com Pessoal'!$AF$7:$AF$506)+1,1)),0)</f>
        <v>1923460.1430424964</v>
      </c>
      <c r="AI20" s="188">
        <f t="array" aca="1" ref="AI20" ca="1">_xlfn.IFNA(SUM((AI$3&gt;='Gastos com Pessoal'!$E$7:$E$506)*(AI$3&lt;='Gastos com Pessoal'!$F$7:$F$506)*OFFSET('Encargos e Benefícios'!$D$5,1,MATCH($B20,'Encargos e Benefícios'!$E$5:$AB$5,0),500,1))*(IF('Gastos com Pessoal'!$G$7:$G$506&lt;=AI$3,('Gastos com Pessoal'!$H$7:$H$506)+1,1))*(IF('Gastos com Pessoal'!$M$7:$M$506&lt;=AI$3,('Gastos com Pessoal'!$N$7:$N$506)+1,1))*(IF('Gastos com Pessoal'!$S$7:$S$506&lt;=AI$3,('Gastos com Pessoal'!$T$7:$T$506)+1,1))*(IF('Gastos com Pessoal'!$Y$7:$Y$506&lt;=AI$3,('Gastos com Pessoal'!$Z$7:$Z$506)+1,1))*(IF('Gastos com Pessoal'!$AE$7:$AE$506&lt;=AI$3,('Gastos com Pessoal'!$AF$7:$AF$506)+1,1)),0)</f>
        <v>1923460.1430424964</v>
      </c>
      <c r="AJ20" s="188">
        <f t="array" aca="1" ref="AJ20" ca="1">_xlfn.IFNA(SUM((AJ$3&gt;='Gastos com Pessoal'!$E$7:$E$506)*(AJ$3&lt;='Gastos com Pessoal'!$F$7:$F$506)*OFFSET('Encargos e Benefícios'!$D$5,1,MATCH($B20,'Encargos e Benefícios'!$E$5:$AB$5,0),500,1))*(IF('Gastos com Pessoal'!$G$7:$G$506&lt;=AJ$3,('Gastos com Pessoal'!$H$7:$H$506)+1,1))*(IF('Gastos com Pessoal'!$M$7:$M$506&lt;=AJ$3,('Gastos com Pessoal'!$N$7:$N$506)+1,1))*(IF('Gastos com Pessoal'!$S$7:$S$506&lt;=AJ$3,('Gastos com Pessoal'!$T$7:$T$506)+1,1))*(IF('Gastos com Pessoal'!$Y$7:$Y$506&lt;=AJ$3,('Gastos com Pessoal'!$Z$7:$Z$506)+1,1))*(IF('Gastos com Pessoal'!$AE$7:$AE$506&lt;=AJ$3,('Gastos com Pessoal'!$AF$7:$AF$506)+1,1)),0)</f>
        <v>1923460.1430424964</v>
      </c>
      <c r="AK20" s="188">
        <f t="array" aca="1" ref="AK20" ca="1">_xlfn.IFNA(SUM((AK$3&gt;='Gastos com Pessoal'!$E$7:$E$506)*(AK$3&lt;='Gastos com Pessoal'!$F$7:$F$506)*OFFSET('Encargos e Benefícios'!$D$5,1,MATCH($B20,'Encargos e Benefícios'!$E$5:$AB$5,0),500,1))*(IF('Gastos com Pessoal'!$G$7:$G$506&lt;=AK$3,('Gastos com Pessoal'!$H$7:$H$506)+1,1))*(IF('Gastos com Pessoal'!$M$7:$M$506&lt;=AK$3,('Gastos com Pessoal'!$N$7:$N$506)+1,1))*(IF('Gastos com Pessoal'!$S$7:$S$506&lt;=AK$3,('Gastos com Pessoal'!$T$7:$T$506)+1,1))*(IF('Gastos com Pessoal'!$Y$7:$Y$506&lt;=AK$3,('Gastos com Pessoal'!$Z$7:$Z$506)+1,1))*(IF('Gastos com Pessoal'!$AE$7:$AE$506&lt;=AK$3,('Gastos com Pessoal'!$AF$7:$AF$506)+1,1)),0)</f>
        <v>1923460.1430424964</v>
      </c>
      <c r="AL20" s="188">
        <f t="array" aca="1" ref="AL20" ca="1">_xlfn.IFNA(SUM((AL$3&gt;='Gastos com Pessoal'!$E$7:$E$506)*(AL$3&lt;='Gastos com Pessoal'!$F$7:$F$506)*OFFSET('Encargos e Benefícios'!$D$5,1,MATCH($B20,'Encargos e Benefícios'!$E$5:$AB$5,0),500,1))*(IF('Gastos com Pessoal'!$G$7:$G$506&lt;=AL$3,('Gastos com Pessoal'!$H$7:$H$506)+1,1))*(IF('Gastos com Pessoal'!$M$7:$M$506&lt;=AL$3,('Gastos com Pessoal'!$N$7:$N$506)+1,1))*(IF('Gastos com Pessoal'!$S$7:$S$506&lt;=AL$3,('Gastos com Pessoal'!$T$7:$T$506)+1,1))*(IF('Gastos com Pessoal'!$Y$7:$Y$506&lt;=AL$3,('Gastos com Pessoal'!$Z$7:$Z$506)+1,1))*(IF('Gastos com Pessoal'!$AE$7:$AE$506&lt;=AL$3,('Gastos com Pessoal'!$AF$7:$AF$506)+1,1)),0)</f>
        <v>1923460.1430424964</v>
      </c>
      <c r="AM20" s="188">
        <f t="array" aca="1" ref="AM20" ca="1">_xlfn.IFNA(SUM((AM$3&gt;='Gastos com Pessoal'!$E$7:$E$506)*(AM$3&lt;='Gastos com Pessoal'!$F$7:$F$506)*OFFSET('Encargos e Benefícios'!$D$5,1,MATCH($B20,'Encargos e Benefícios'!$E$5:$AB$5,0),500,1))*(IF('Gastos com Pessoal'!$G$7:$G$506&lt;=AM$3,('Gastos com Pessoal'!$H$7:$H$506)+1,1))*(IF('Gastos com Pessoal'!$M$7:$M$506&lt;=AM$3,('Gastos com Pessoal'!$N$7:$N$506)+1,1))*(IF('Gastos com Pessoal'!$S$7:$S$506&lt;=AM$3,('Gastos com Pessoal'!$T$7:$T$506)+1,1))*(IF('Gastos com Pessoal'!$Y$7:$Y$506&lt;=AM$3,('Gastos com Pessoal'!$Z$7:$Z$506)+1,1))*(IF('Gastos com Pessoal'!$AE$7:$AE$506&lt;=AM$3,('Gastos com Pessoal'!$AF$7:$AF$506)+1,1)),0)</f>
        <v>1923460.1430424964</v>
      </c>
      <c r="AN20" s="188">
        <f t="array" aca="1" ref="AN20" ca="1">_xlfn.IFNA(SUM((AN$3&gt;='Gastos com Pessoal'!$E$7:$E$506)*(AN$3&lt;='Gastos com Pessoal'!$F$7:$F$506)*OFFSET('Encargos e Benefícios'!$D$5,1,MATCH($B20,'Encargos e Benefícios'!$E$5:$AB$5,0),500,1))*(IF('Gastos com Pessoal'!$G$7:$G$506&lt;=AN$3,('Gastos com Pessoal'!$H$7:$H$506)+1,1))*(IF('Gastos com Pessoal'!$M$7:$M$506&lt;=AN$3,('Gastos com Pessoal'!$N$7:$N$506)+1,1))*(IF('Gastos com Pessoal'!$S$7:$S$506&lt;=AN$3,('Gastos com Pessoal'!$T$7:$T$506)+1,1))*(IF('Gastos com Pessoal'!$Y$7:$Y$506&lt;=AN$3,('Gastos com Pessoal'!$Z$7:$Z$506)+1,1))*(IF('Gastos com Pessoal'!$AE$7:$AE$506&lt;=AN$3,('Gastos com Pessoal'!$AF$7:$AF$506)+1,1)),0)</f>
        <v>1923460.1430424964</v>
      </c>
      <c r="AO20" s="188">
        <f t="array" aca="1" ref="AO20" ca="1">_xlfn.IFNA(SUM((AO$3&gt;='Gastos com Pessoal'!$E$7:$E$506)*(AO$3&lt;='Gastos com Pessoal'!$F$7:$F$506)*OFFSET('Encargos e Benefícios'!$D$5,1,MATCH($B20,'Encargos e Benefícios'!$E$5:$AB$5,0),500,1))*(IF('Gastos com Pessoal'!$G$7:$G$506&lt;=AO$3,('Gastos com Pessoal'!$H$7:$H$506)+1,1))*(IF('Gastos com Pessoal'!$M$7:$M$506&lt;=AO$3,('Gastos com Pessoal'!$N$7:$N$506)+1,1))*(IF('Gastos com Pessoal'!$S$7:$S$506&lt;=AO$3,('Gastos com Pessoal'!$T$7:$T$506)+1,1))*(IF('Gastos com Pessoal'!$Y$7:$Y$506&lt;=AO$3,('Gastos com Pessoal'!$Z$7:$Z$506)+1,1))*(IF('Gastos com Pessoal'!$AE$7:$AE$506&lt;=AO$3,('Gastos com Pessoal'!$AF$7:$AF$506)+1,1)),0)</f>
        <v>1923460.1430424964</v>
      </c>
      <c r="AP20" s="188">
        <f t="array" aca="1" ref="AP20" ca="1">_xlfn.IFNA(SUM((AP$3&gt;='Gastos com Pessoal'!$E$7:$E$506)*(AP$3&lt;='Gastos com Pessoal'!$F$7:$F$506)*OFFSET('Encargos e Benefícios'!$D$5,1,MATCH($B20,'Encargos e Benefícios'!$E$5:$AB$5,0),500,1))*(IF('Gastos com Pessoal'!$G$7:$G$506&lt;=AP$3,('Gastos com Pessoal'!$H$7:$H$506)+1,1))*(IF('Gastos com Pessoal'!$M$7:$M$506&lt;=AP$3,('Gastos com Pessoal'!$N$7:$N$506)+1,1))*(IF('Gastos com Pessoal'!$S$7:$S$506&lt;=AP$3,('Gastos com Pessoal'!$T$7:$T$506)+1,1))*(IF('Gastos com Pessoal'!$Y$7:$Y$506&lt;=AP$3,('Gastos com Pessoal'!$Z$7:$Z$506)+1,1))*(IF('Gastos com Pessoal'!$AE$7:$AE$506&lt;=AP$3,('Gastos com Pessoal'!$AF$7:$AF$506)+1,1)),0)</f>
        <v>1923460.1430424964</v>
      </c>
      <c r="AQ20" s="188">
        <f t="array" aca="1" ref="AQ20" ca="1">_xlfn.IFNA(SUM((AQ$3&gt;='Gastos com Pessoal'!$E$7:$E$506)*(AQ$3&lt;='Gastos com Pessoal'!$F$7:$F$506)*OFFSET('Encargos e Benefícios'!$D$5,1,MATCH($B20,'Encargos e Benefícios'!$E$5:$AB$5,0),500,1))*(IF('Gastos com Pessoal'!$G$7:$G$506&lt;=AQ$3,('Gastos com Pessoal'!$H$7:$H$506)+1,1))*(IF('Gastos com Pessoal'!$M$7:$M$506&lt;=AQ$3,('Gastos com Pessoal'!$N$7:$N$506)+1,1))*(IF('Gastos com Pessoal'!$S$7:$S$506&lt;=AQ$3,('Gastos com Pessoal'!$T$7:$T$506)+1,1))*(IF('Gastos com Pessoal'!$Y$7:$Y$506&lt;=AQ$3,('Gastos com Pessoal'!$Z$7:$Z$506)+1,1))*(IF('Gastos com Pessoal'!$AE$7:$AE$506&lt;=AQ$3,('Gastos com Pessoal'!$AF$7:$AF$506)+1,1)),0)</f>
        <v>2035790.2153961782</v>
      </c>
      <c r="AR20" s="188">
        <f t="array" aca="1" ref="AR20" ca="1">_xlfn.IFNA(SUM((AR$3&gt;='Gastos com Pessoal'!$E$7:$E$506)*(AR$3&lt;='Gastos com Pessoal'!$F$7:$F$506)*OFFSET('Encargos e Benefícios'!$D$5,1,MATCH($B20,'Encargos e Benefícios'!$E$5:$AB$5,0),500,1))*(IF('Gastos com Pessoal'!$G$7:$G$506&lt;=AR$3,('Gastos com Pessoal'!$H$7:$H$506)+1,1))*(IF('Gastos com Pessoal'!$M$7:$M$506&lt;=AR$3,('Gastos com Pessoal'!$N$7:$N$506)+1,1))*(IF('Gastos com Pessoal'!$S$7:$S$506&lt;=AR$3,('Gastos com Pessoal'!$T$7:$T$506)+1,1))*(IF('Gastos com Pessoal'!$Y$7:$Y$506&lt;=AR$3,('Gastos com Pessoal'!$Z$7:$Z$506)+1,1))*(IF('Gastos com Pessoal'!$AE$7:$AE$506&lt;=AR$3,('Gastos com Pessoal'!$AF$7:$AF$506)+1,1)),0)</f>
        <v>2035790.2153961782</v>
      </c>
      <c r="AS20" s="188">
        <f t="array" aca="1" ref="AS20" ca="1">_xlfn.IFNA(SUM((AS$3&gt;='Gastos com Pessoal'!$E$7:$E$506)*(AS$3&lt;='Gastos com Pessoal'!$F$7:$F$506)*OFFSET('Encargos e Benefícios'!$D$5,1,MATCH($B20,'Encargos e Benefícios'!$E$5:$AB$5,0),500,1))*(IF('Gastos com Pessoal'!$G$7:$G$506&lt;=AS$3,('Gastos com Pessoal'!$H$7:$H$506)+1,1))*(IF('Gastos com Pessoal'!$M$7:$M$506&lt;=AS$3,('Gastos com Pessoal'!$N$7:$N$506)+1,1))*(IF('Gastos com Pessoal'!$S$7:$S$506&lt;=AS$3,('Gastos com Pessoal'!$T$7:$T$506)+1,1))*(IF('Gastos com Pessoal'!$Y$7:$Y$506&lt;=AS$3,('Gastos com Pessoal'!$Z$7:$Z$506)+1,1))*(IF('Gastos com Pessoal'!$AE$7:$AE$506&lt;=AS$3,('Gastos com Pessoal'!$AF$7:$AF$506)+1,1)),0)</f>
        <v>2035790.2153961782</v>
      </c>
      <c r="AT20" s="188">
        <f t="array" aca="1" ref="AT20" ca="1">_xlfn.IFNA(SUM((AT$3&gt;='Gastos com Pessoal'!$E$7:$E$506)*(AT$3&lt;='Gastos com Pessoal'!$F$7:$F$506)*OFFSET('Encargos e Benefícios'!$D$5,1,MATCH($B20,'Encargos e Benefícios'!$E$5:$AB$5,0),500,1))*(IF('Gastos com Pessoal'!$G$7:$G$506&lt;=AT$3,('Gastos com Pessoal'!$H$7:$H$506)+1,1))*(IF('Gastos com Pessoal'!$M$7:$M$506&lt;=AT$3,('Gastos com Pessoal'!$N$7:$N$506)+1,1))*(IF('Gastos com Pessoal'!$S$7:$S$506&lt;=AT$3,('Gastos com Pessoal'!$T$7:$T$506)+1,1))*(IF('Gastos com Pessoal'!$Y$7:$Y$506&lt;=AT$3,('Gastos com Pessoal'!$Z$7:$Z$506)+1,1))*(IF('Gastos com Pessoal'!$AE$7:$AE$506&lt;=AT$3,('Gastos com Pessoal'!$AF$7:$AF$506)+1,1)),0)</f>
        <v>2035790.2153961782</v>
      </c>
      <c r="AU20" s="188">
        <f t="array" aca="1" ref="AU20" ca="1">_xlfn.IFNA(SUM((AU$3&gt;='Gastos com Pessoal'!$E$7:$E$506)*(AU$3&lt;='Gastos com Pessoal'!$F$7:$F$506)*OFFSET('Encargos e Benefícios'!$D$5,1,MATCH($B20,'Encargos e Benefícios'!$E$5:$AB$5,0),500,1))*(IF('Gastos com Pessoal'!$G$7:$G$506&lt;=AU$3,('Gastos com Pessoal'!$H$7:$H$506)+1,1))*(IF('Gastos com Pessoal'!$M$7:$M$506&lt;=AU$3,('Gastos com Pessoal'!$N$7:$N$506)+1,1))*(IF('Gastos com Pessoal'!$S$7:$S$506&lt;=AU$3,('Gastos com Pessoal'!$T$7:$T$506)+1,1))*(IF('Gastos com Pessoal'!$Y$7:$Y$506&lt;=AU$3,('Gastos com Pessoal'!$Z$7:$Z$506)+1,1))*(IF('Gastos com Pessoal'!$AE$7:$AE$506&lt;=AU$3,('Gastos com Pessoal'!$AF$7:$AF$506)+1,1)),0)</f>
        <v>2035790.2153961782</v>
      </c>
      <c r="AV20" s="188">
        <f t="array" aca="1" ref="AV20" ca="1">_xlfn.IFNA(SUM((AV$3&gt;='Gastos com Pessoal'!$E$7:$E$506)*(AV$3&lt;='Gastos com Pessoal'!$F$7:$F$506)*OFFSET('Encargos e Benefícios'!$D$5,1,MATCH($B20,'Encargos e Benefícios'!$E$5:$AB$5,0),500,1))*(IF('Gastos com Pessoal'!$G$7:$G$506&lt;=AV$3,('Gastos com Pessoal'!$H$7:$H$506)+1,1))*(IF('Gastos com Pessoal'!$M$7:$M$506&lt;=AV$3,('Gastos com Pessoal'!$N$7:$N$506)+1,1))*(IF('Gastos com Pessoal'!$S$7:$S$506&lt;=AV$3,('Gastos com Pessoal'!$T$7:$T$506)+1,1))*(IF('Gastos com Pessoal'!$Y$7:$Y$506&lt;=AV$3,('Gastos com Pessoal'!$Z$7:$Z$506)+1,1))*(IF('Gastos com Pessoal'!$AE$7:$AE$506&lt;=AV$3,('Gastos com Pessoal'!$AF$7:$AF$506)+1,1)),0)</f>
        <v>2035790.2153961782</v>
      </c>
      <c r="AW20" s="188">
        <f t="array" aca="1" ref="AW20" ca="1">_xlfn.IFNA(SUM((AW$3&gt;='Gastos com Pessoal'!$E$7:$E$506)*(AW$3&lt;='Gastos com Pessoal'!$F$7:$F$506)*OFFSET('Encargos e Benefícios'!$D$5,1,MATCH($B20,'Encargos e Benefícios'!$E$5:$AB$5,0),500,1))*(IF('Gastos com Pessoal'!$G$7:$G$506&lt;=AW$3,('Gastos com Pessoal'!$H$7:$H$506)+1,1))*(IF('Gastos com Pessoal'!$M$7:$M$506&lt;=AW$3,('Gastos com Pessoal'!$N$7:$N$506)+1,1))*(IF('Gastos com Pessoal'!$S$7:$S$506&lt;=AW$3,('Gastos com Pessoal'!$T$7:$T$506)+1,1))*(IF('Gastos com Pessoal'!$Y$7:$Y$506&lt;=AW$3,('Gastos com Pessoal'!$Z$7:$Z$506)+1,1))*(IF('Gastos com Pessoal'!$AE$7:$AE$506&lt;=AW$3,('Gastos com Pessoal'!$AF$7:$AF$506)+1,1)),0)</f>
        <v>2035790.2153961782</v>
      </c>
      <c r="AX20" s="188">
        <f t="array" aca="1" ref="AX20" ca="1">_xlfn.IFNA(SUM((AX$3&gt;='Gastos com Pessoal'!$E$7:$E$506)*(AX$3&lt;='Gastos com Pessoal'!$F$7:$F$506)*OFFSET('Encargos e Benefícios'!$D$5,1,MATCH($B20,'Encargos e Benefícios'!$E$5:$AB$5,0),500,1))*(IF('Gastos com Pessoal'!$G$7:$G$506&lt;=AX$3,('Gastos com Pessoal'!$H$7:$H$506)+1,1))*(IF('Gastos com Pessoal'!$M$7:$M$506&lt;=AX$3,('Gastos com Pessoal'!$N$7:$N$506)+1,1))*(IF('Gastos com Pessoal'!$S$7:$S$506&lt;=AX$3,('Gastos com Pessoal'!$T$7:$T$506)+1,1))*(IF('Gastos com Pessoal'!$Y$7:$Y$506&lt;=AX$3,('Gastos com Pessoal'!$Z$7:$Z$506)+1,1))*(IF('Gastos com Pessoal'!$AE$7:$AE$506&lt;=AX$3,('Gastos com Pessoal'!$AF$7:$AF$506)+1,1)),0)</f>
        <v>0</v>
      </c>
      <c r="AY20" s="188">
        <f t="array" aca="1" ref="AY20" ca="1">_xlfn.IFNA(SUM((AY$3&gt;='Gastos com Pessoal'!$E$7:$E$506)*(AY$3&lt;='Gastos com Pessoal'!$F$7:$F$506)*OFFSET('Encargos e Benefícios'!$D$5,1,MATCH($B20,'Encargos e Benefícios'!$E$5:$AB$5,0),500,1))*(IF('Gastos com Pessoal'!$G$7:$G$506&lt;=AY$3,('Gastos com Pessoal'!$H$7:$H$506)+1,1))*(IF('Gastos com Pessoal'!$M$7:$M$506&lt;=AY$3,('Gastos com Pessoal'!$N$7:$N$506)+1,1))*(IF('Gastos com Pessoal'!$S$7:$S$506&lt;=AY$3,('Gastos com Pessoal'!$T$7:$T$506)+1,1))*(IF('Gastos com Pessoal'!$Y$7:$Y$506&lt;=AY$3,('Gastos com Pessoal'!$Z$7:$Z$506)+1,1))*(IF('Gastos com Pessoal'!$AE$7:$AE$506&lt;=AY$3,('Gastos com Pessoal'!$AF$7:$AF$506)+1,1)),0)</f>
        <v>0</v>
      </c>
      <c r="AZ20" s="188">
        <f t="array" aca="1" ref="AZ20" ca="1">_xlfn.IFNA(SUM((AZ$3&gt;='Gastos com Pessoal'!$E$7:$E$506)*(AZ$3&lt;='Gastos com Pessoal'!$F$7:$F$506)*OFFSET('Encargos e Benefícios'!$D$5,1,MATCH($B20,'Encargos e Benefícios'!$E$5:$AB$5,0),500,1))*(IF('Gastos com Pessoal'!$G$7:$G$506&lt;=AZ$3,('Gastos com Pessoal'!$H$7:$H$506)+1,1))*(IF('Gastos com Pessoal'!$M$7:$M$506&lt;=AZ$3,('Gastos com Pessoal'!$N$7:$N$506)+1,1))*(IF('Gastos com Pessoal'!$S$7:$S$506&lt;=AZ$3,('Gastos com Pessoal'!$T$7:$T$506)+1,1))*(IF('Gastos com Pessoal'!$Y$7:$Y$506&lt;=AZ$3,('Gastos com Pessoal'!$Z$7:$Z$506)+1,1))*(IF('Gastos com Pessoal'!$AE$7:$AE$506&lt;=AZ$3,('Gastos com Pessoal'!$AF$7:$AF$506)+1,1)),0)</f>
        <v>0</v>
      </c>
      <c r="BA20" s="188">
        <f t="array" aca="1" ref="BA20" ca="1">_xlfn.IFNA(SUM((BA$3&gt;='Gastos com Pessoal'!$E$7:$E$506)*(BA$3&lt;='Gastos com Pessoal'!$F$7:$F$506)*OFFSET('Encargos e Benefícios'!$D$5,1,MATCH($B20,'Encargos e Benefícios'!$E$5:$AB$5,0),500,1))*(IF('Gastos com Pessoal'!$G$7:$G$506&lt;=BA$3,('Gastos com Pessoal'!$H$7:$H$506)+1,1))*(IF('Gastos com Pessoal'!$M$7:$M$506&lt;=BA$3,('Gastos com Pessoal'!$N$7:$N$506)+1,1))*(IF('Gastos com Pessoal'!$S$7:$S$506&lt;=BA$3,('Gastos com Pessoal'!$T$7:$T$506)+1,1))*(IF('Gastos com Pessoal'!$Y$7:$Y$506&lt;=BA$3,('Gastos com Pessoal'!$Z$7:$Z$506)+1,1))*(IF('Gastos com Pessoal'!$AE$7:$AE$506&lt;=BA$3,('Gastos com Pessoal'!$AF$7:$AF$506)+1,1)),0)</f>
        <v>0</v>
      </c>
      <c r="BB20" s="188">
        <f t="array" aca="1" ref="BB20" ca="1">_xlfn.IFNA(SUM((BB$3&gt;='Gastos com Pessoal'!$E$7:$E$506)*(BB$3&lt;='Gastos com Pessoal'!$F$7:$F$506)*OFFSET('Encargos e Benefícios'!$D$5,1,MATCH($B20,'Encargos e Benefícios'!$E$5:$AB$5,0),500,1))*(IF('Gastos com Pessoal'!$G$7:$G$506&lt;=BB$3,('Gastos com Pessoal'!$H$7:$H$506)+1,1))*(IF('Gastos com Pessoal'!$M$7:$M$506&lt;=BB$3,('Gastos com Pessoal'!$N$7:$N$506)+1,1))*(IF('Gastos com Pessoal'!$S$7:$S$506&lt;=BB$3,('Gastos com Pessoal'!$T$7:$T$506)+1,1))*(IF('Gastos com Pessoal'!$Y$7:$Y$506&lt;=BB$3,('Gastos com Pessoal'!$Z$7:$Z$506)+1,1))*(IF('Gastos com Pessoal'!$AE$7:$AE$506&lt;=BB$3,('Gastos com Pessoal'!$AF$7:$AF$506)+1,1)),0)</f>
        <v>0</v>
      </c>
      <c r="BC20" s="188">
        <f t="array" aca="1" ref="BC20" ca="1">_xlfn.IFNA(SUM((BC$3&gt;='Gastos com Pessoal'!$E$7:$E$506)*(BC$3&lt;='Gastos com Pessoal'!$F$7:$F$506)*OFFSET('Encargos e Benefícios'!$D$5,1,MATCH($B20,'Encargos e Benefícios'!$E$5:$AB$5,0),500,1))*(IF('Gastos com Pessoal'!$G$7:$G$506&lt;=BC$3,('Gastos com Pessoal'!$H$7:$H$506)+1,1))*(IF('Gastos com Pessoal'!$M$7:$M$506&lt;=BC$3,('Gastos com Pessoal'!$N$7:$N$506)+1,1))*(IF('Gastos com Pessoal'!$S$7:$S$506&lt;=BC$3,('Gastos com Pessoal'!$T$7:$T$506)+1,1))*(IF('Gastos com Pessoal'!$Y$7:$Y$506&lt;=BC$3,('Gastos com Pessoal'!$Z$7:$Z$506)+1,1))*(IF('Gastos com Pessoal'!$AE$7:$AE$506&lt;=BC$3,('Gastos com Pessoal'!$AF$7:$AF$506)+1,1)),0)</f>
        <v>0</v>
      </c>
      <c r="BD20" s="188">
        <f t="array" aca="1" ref="BD20" ca="1">_xlfn.IFNA(SUM((BD$3&gt;='Gastos com Pessoal'!$E$7:$E$506)*(BD$3&lt;='Gastos com Pessoal'!$F$7:$F$506)*OFFSET('Encargos e Benefícios'!$D$5,1,MATCH($B20,'Encargos e Benefícios'!$E$5:$AB$5,0),500,1))*(IF('Gastos com Pessoal'!$G$7:$G$506&lt;=BD$3,('Gastos com Pessoal'!$H$7:$H$506)+1,1))*(IF('Gastos com Pessoal'!$M$7:$M$506&lt;=BD$3,('Gastos com Pessoal'!$N$7:$N$506)+1,1))*(IF('Gastos com Pessoal'!$S$7:$S$506&lt;=BD$3,('Gastos com Pessoal'!$T$7:$T$506)+1,1))*(IF('Gastos com Pessoal'!$Y$7:$Y$506&lt;=BD$3,('Gastos com Pessoal'!$Z$7:$Z$506)+1,1))*(IF('Gastos com Pessoal'!$AE$7:$AE$506&lt;=BD$3,('Gastos com Pessoal'!$AF$7:$AF$506)+1,1)),0)</f>
        <v>0</v>
      </c>
      <c r="BE20" s="188">
        <f t="array" aca="1" ref="BE20" ca="1">_xlfn.IFNA(SUM((BE$3&gt;='Gastos com Pessoal'!$E$7:$E$506)*(BE$3&lt;='Gastos com Pessoal'!$F$7:$F$506)*OFFSET('Encargos e Benefícios'!$D$5,1,MATCH($B20,'Encargos e Benefícios'!$E$5:$AB$5,0),500,1))*(IF('Gastos com Pessoal'!$G$7:$G$506&lt;=BE$3,('Gastos com Pessoal'!$H$7:$H$506)+1,1))*(IF('Gastos com Pessoal'!$M$7:$M$506&lt;=BE$3,('Gastos com Pessoal'!$N$7:$N$506)+1,1))*(IF('Gastos com Pessoal'!$S$7:$S$506&lt;=BE$3,('Gastos com Pessoal'!$T$7:$T$506)+1,1))*(IF('Gastos com Pessoal'!$Y$7:$Y$506&lt;=BE$3,('Gastos com Pessoal'!$Z$7:$Z$506)+1,1))*(IF('Gastos com Pessoal'!$AE$7:$AE$506&lt;=BE$3,('Gastos com Pessoal'!$AF$7:$AF$506)+1,1)),0)</f>
        <v>0</v>
      </c>
      <c r="BF20" s="188">
        <f t="array" aca="1" ref="BF20" ca="1">_xlfn.IFNA(SUM((BF$3&gt;='Gastos com Pessoal'!$E$7:$E$506)*(BF$3&lt;='Gastos com Pessoal'!$F$7:$F$506)*OFFSET('Encargos e Benefícios'!$D$5,1,MATCH($B20,'Encargos e Benefícios'!$E$5:$AB$5,0),500,1))*(IF('Gastos com Pessoal'!$G$7:$G$506&lt;=BF$3,('Gastos com Pessoal'!$H$7:$H$506)+1,1))*(IF('Gastos com Pessoal'!$M$7:$M$506&lt;=BF$3,('Gastos com Pessoal'!$N$7:$N$506)+1,1))*(IF('Gastos com Pessoal'!$S$7:$S$506&lt;=BF$3,('Gastos com Pessoal'!$T$7:$T$506)+1,1))*(IF('Gastos com Pessoal'!$Y$7:$Y$506&lt;=BF$3,('Gastos com Pessoal'!$Z$7:$Z$506)+1,1))*(IF('Gastos com Pessoal'!$AE$7:$AE$506&lt;=BF$3,('Gastos com Pessoal'!$AF$7:$AF$506)+1,1)),0)</f>
        <v>0</v>
      </c>
      <c r="BG20" s="188">
        <f t="array" aca="1" ref="BG20" ca="1">_xlfn.IFNA(SUM((BG$3&gt;='Gastos com Pessoal'!$E$7:$E$506)*(BG$3&lt;='Gastos com Pessoal'!$F$7:$F$506)*OFFSET('Encargos e Benefícios'!$D$5,1,MATCH($B20,'Encargos e Benefícios'!$E$5:$AB$5,0),500,1))*(IF('Gastos com Pessoal'!$G$7:$G$506&lt;=BG$3,('Gastos com Pessoal'!$H$7:$H$506)+1,1))*(IF('Gastos com Pessoal'!$M$7:$M$506&lt;=BG$3,('Gastos com Pessoal'!$N$7:$N$506)+1,1))*(IF('Gastos com Pessoal'!$S$7:$S$506&lt;=BG$3,('Gastos com Pessoal'!$T$7:$T$506)+1,1))*(IF('Gastos com Pessoal'!$Y$7:$Y$506&lt;=BG$3,('Gastos com Pessoal'!$Z$7:$Z$506)+1,1))*(IF('Gastos com Pessoal'!$AE$7:$AE$506&lt;=BG$3,('Gastos com Pessoal'!$AF$7:$AF$506)+1,1)),0)</f>
        <v>0</v>
      </c>
      <c r="BH20" s="188">
        <f t="array" aca="1" ref="BH20" ca="1">_xlfn.IFNA(SUM((BH$3&gt;='Gastos com Pessoal'!$E$7:$E$506)*(BH$3&lt;='Gastos com Pessoal'!$F$7:$F$506)*OFFSET('Encargos e Benefícios'!$D$5,1,MATCH($B20,'Encargos e Benefícios'!$E$5:$AB$5,0),500,1))*(IF('Gastos com Pessoal'!$G$7:$G$506&lt;=BH$3,('Gastos com Pessoal'!$H$7:$H$506)+1,1))*(IF('Gastos com Pessoal'!$M$7:$M$506&lt;=BH$3,('Gastos com Pessoal'!$N$7:$N$506)+1,1))*(IF('Gastos com Pessoal'!$S$7:$S$506&lt;=BH$3,('Gastos com Pessoal'!$T$7:$T$506)+1,1))*(IF('Gastos com Pessoal'!$Y$7:$Y$506&lt;=BH$3,('Gastos com Pessoal'!$Z$7:$Z$506)+1,1))*(IF('Gastos com Pessoal'!$AE$7:$AE$506&lt;=BH$3,('Gastos com Pessoal'!$AF$7:$AF$506)+1,1)),0)</f>
        <v>0</v>
      </c>
      <c r="BI20" s="188">
        <f t="array" aca="1" ref="BI20" ca="1">_xlfn.IFNA(SUM((BI$3&gt;='Gastos com Pessoal'!$E$7:$E$506)*(BI$3&lt;='Gastos com Pessoal'!$F$7:$F$506)*OFFSET('Encargos e Benefícios'!$D$5,1,MATCH($B20,'Encargos e Benefícios'!$E$5:$AB$5,0),500,1))*(IF('Gastos com Pessoal'!$G$7:$G$506&lt;=BI$3,('Gastos com Pessoal'!$H$7:$H$506)+1,1))*(IF('Gastos com Pessoal'!$M$7:$M$506&lt;=BI$3,('Gastos com Pessoal'!$N$7:$N$506)+1,1))*(IF('Gastos com Pessoal'!$S$7:$S$506&lt;=BI$3,('Gastos com Pessoal'!$T$7:$T$506)+1,1))*(IF('Gastos com Pessoal'!$Y$7:$Y$506&lt;=BI$3,('Gastos com Pessoal'!$Z$7:$Z$506)+1,1))*(IF('Gastos com Pessoal'!$AE$7:$AE$506&lt;=BI$3,('Gastos com Pessoal'!$AF$7:$AF$506)+1,1)),0)</f>
        <v>0</v>
      </c>
      <c r="BJ20" s="188">
        <f t="array" aca="1" ref="BJ20" ca="1">_xlfn.IFNA(SUM((BJ$3&gt;='Gastos com Pessoal'!$E$7:$E$506)*(BJ$3&lt;='Gastos com Pessoal'!$F$7:$F$506)*OFFSET('Encargos e Benefícios'!$D$5,1,MATCH($B20,'Encargos e Benefícios'!$E$5:$AB$5,0),500,1))*(IF('Gastos com Pessoal'!$G$7:$G$506&lt;=BJ$3,('Gastos com Pessoal'!$H$7:$H$506)+1,1))*(IF('Gastos com Pessoal'!$M$7:$M$506&lt;=BJ$3,('Gastos com Pessoal'!$N$7:$N$506)+1,1))*(IF('Gastos com Pessoal'!$S$7:$S$506&lt;=BJ$3,('Gastos com Pessoal'!$T$7:$T$506)+1,1))*(IF('Gastos com Pessoal'!$Y$7:$Y$506&lt;=BJ$3,('Gastos com Pessoal'!$Z$7:$Z$506)+1,1))*(IF('Gastos com Pessoal'!$AE$7:$AE$506&lt;=BJ$3,('Gastos com Pessoal'!$AF$7:$AF$506)+1,1)),0)</f>
        <v>0</v>
      </c>
      <c r="BK20" s="189">
        <f t="shared" ref="BK20:BK27" ca="1" si="8">SUM(C20:BJ20)</f>
        <v>84216108.504448727</v>
      </c>
      <c r="BL20" s="136">
        <f t="shared" ref="BL20:BL28" ca="1" si="9">IF($BK$152=0,0,BK20/$BK$152)</f>
        <v>0.28995590235661711</v>
      </c>
    </row>
    <row r="21" spans="1:64" s="160" customFormat="1" ht="23.25" customHeight="1">
      <c r="A21" s="198" t="s">
        <v>133</v>
      </c>
      <c r="B21" s="209" t="s">
        <v>134</v>
      </c>
      <c r="C21" s="188">
        <f t="array" aca="1" ref="C21" ca="1">_xlfn.IFNA(SUM((C$3&gt;='Gastos com Pessoal'!$E$7:$E$506)*(C$3&lt;='Gastos com Pessoal'!$F$7:$F$506)*OFFSET('Encargos e Benefícios'!$D$5,1,MATCH($B21,'Encargos e Benefícios'!$E$5:$AB$5,0),500,1))*(IF('Gastos com Pessoal'!$G$7:$G$506&lt;=C$3,('Gastos com Pessoal'!$H$7:$H$506)+1,1))*(IF('Gastos com Pessoal'!$M$7:$M$506&lt;=C$3,('Gastos com Pessoal'!$N$7:$N$506)+1,1))*(IF('Gastos com Pessoal'!$S$7:$S$506&lt;=C$3,('Gastos com Pessoal'!$T$7:$T$506)+1,1))*(IF('Gastos com Pessoal'!$Y$7:$Y$506&lt;=C$3,('Gastos com Pessoal'!$Z$7:$Z$506)+1,1))*(IF('Gastos com Pessoal'!$AE$7:$AE$506&lt;=C$3,('Gastos com Pessoal'!$AF$7:$AF$506)+1,1)),0)</f>
        <v>52583.731200000017</v>
      </c>
      <c r="D21" s="188">
        <f t="array" aca="1" ref="D21" ca="1">_xlfn.IFNA(SUM((D$3&gt;='Gastos com Pessoal'!$E$7:$E$506)*(D$3&lt;='Gastos com Pessoal'!$F$7:$F$506)*OFFSET('Encargos e Benefícios'!$D$5,1,MATCH($B21,'Encargos e Benefícios'!$E$5:$AB$5,0),500,1))*(IF('Gastos com Pessoal'!$G$7:$G$506&lt;=D$3,('Gastos com Pessoal'!$H$7:$H$506)+1,1))*(IF('Gastos com Pessoal'!$M$7:$M$506&lt;=D$3,('Gastos com Pessoal'!$N$7:$N$506)+1,1))*(IF('Gastos com Pessoal'!$S$7:$S$506&lt;=D$3,('Gastos com Pessoal'!$T$7:$T$506)+1,1))*(IF('Gastos com Pessoal'!$Y$7:$Y$506&lt;=D$3,('Gastos com Pessoal'!$Z$7:$Z$506)+1,1))*(IF('Gastos com Pessoal'!$AE$7:$AE$506&lt;=D$3,('Gastos com Pessoal'!$AF$7:$AF$506)+1,1)),0)</f>
        <v>52583.731200000017</v>
      </c>
      <c r="E21" s="188">
        <f t="array" aca="1" ref="E21" ca="1">_xlfn.IFNA(SUM((E$3&gt;='Gastos com Pessoal'!$E$7:$E$506)*(E$3&lt;='Gastos com Pessoal'!$F$7:$F$506)*OFFSET('Encargos e Benefícios'!$D$5,1,MATCH($B21,'Encargos e Benefícios'!$E$5:$AB$5,0),500,1))*(IF('Gastos com Pessoal'!$G$7:$G$506&lt;=E$3,('Gastos com Pessoal'!$H$7:$H$506)+1,1))*(IF('Gastos com Pessoal'!$M$7:$M$506&lt;=E$3,('Gastos com Pessoal'!$N$7:$N$506)+1,1))*(IF('Gastos com Pessoal'!$S$7:$S$506&lt;=E$3,('Gastos com Pessoal'!$T$7:$T$506)+1,1))*(IF('Gastos com Pessoal'!$Y$7:$Y$506&lt;=E$3,('Gastos com Pessoal'!$Z$7:$Z$506)+1,1))*(IF('Gastos com Pessoal'!$AE$7:$AE$506&lt;=E$3,('Gastos com Pessoal'!$AF$7:$AF$506)+1,1)),0)</f>
        <v>55770.624000000018</v>
      </c>
      <c r="F21" s="188">
        <f t="array" aca="1" ref="F21" ca="1">_xlfn.IFNA(SUM((F$3&gt;='Gastos com Pessoal'!$E$7:$E$506)*(F$3&lt;='Gastos com Pessoal'!$F$7:$F$506)*OFFSET('Encargos e Benefícios'!$D$5,1,MATCH($B21,'Encargos e Benefícios'!$E$5:$AB$5,0),500,1))*(IF('Gastos com Pessoal'!$G$7:$G$506&lt;=F$3,('Gastos com Pessoal'!$H$7:$H$506)+1,1))*(IF('Gastos com Pessoal'!$M$7:$M$506&lt;=F$3,('Gastos com Pessoal'!$N$7:$N$506)+1,1))*(IF('Gastos com Pessoal'!$S$7:$S$506&lt;=F$3,('Gastos com Pessoal'!$T$7:$T$506)+1,1))*(IF('Gastos com Pessoal'!$Y$7:$Y$506&lt;=F$3,('Gastos com Pessoal'!$Z$7:$Z$506)+1,1))*(IF('Gastos com Pessoal'!$AE$7:$AE$506&lt;=F$3,('Gastos com Pessoal'!$AF$7:$AF$506)+1,1)),0)</f>
        <v>55770.624000000018</v>
      </c>
      <c r="G21" s="188">
        <f t="array" aca="1" ref="G21" ca="1">_xlfn.IFNA(SUM((G$3&gt;='Gastos com Pessoal'!$E$7:$E$506)*(G$3&lt;='Gastos com Pessoal'!$F$7:$F$506)*OFFSET('Encargos e Benefícios'!$D$5,1,MATCH($B21,'Encargos e Benefícios'!$E$5:$AB$5,0),500,1))*(IF('Gastos com Pessoal'!$G$7:$G$506&lt;=G$3,('Gastos com Pessoal'!$H$7:$H$506)+1,1))*(IF('Gastos com Pessoal'!$M$7:$M$506&lt;=G$3,('Gastos com Pessoal'!$N$7:$N$506)+1,1))*(IF('Gastos com Pessoal'!$S$7:$S$506&lt;=G$3,('Gastos com Pessoal'!$T$7:$T$506)+1,1))*(IF('Gastos com Pessoal'!$Y$7:$Y$506&lt;=G$3,('Gastos com Pessoal'!$Z$7:$Z$506)+1,1))*(IF('Gastos com Pessoal'!$AE$7:$AE$506&lt;=G$3,('Gastos com Pessoal'!$AF$7:$AF$506)+1,1)),0)</f>
        <v>59027.62844160002</v>
      </c>
      <c r="H21" s="188">
        <f t="array" aca="1" ref="H21" ca="1">_xlfn.IFNA(SUM((H$3&gt;='Gastos com Pessoal'!$E$7:$E$506)*(H$3&lt;='Gastos com Pessoal'!$F$7:$F$506)*OFFSET('Encargos e Benefícios'!$D$5,1,MATCH($B21,'Encargos e Benefícios'!$E$5:$AB$5,0),500,1))*(IF('Gastos com Pessoal'!$G$7:$G$506&lt;=H$3,('Gastos com Pessoal'!$H$7:$H$506)+1,1))*(IF('Gastos com Pessoal'!$M$7:$M$506&lt;=H$3,('Gastos com Pessoal'!$N$7:$N$506)+1,1))*(IF('Gastos com Pessoal'!$S$7:$S$506&lt;=H$3,('Gastos com Pessoal'!$T$7:$T$506)+1,1))*(IF('Gastos com Pessoal'!$Y$7:$Y$506&lt;=H$3,('Gastos com Pessoal'!$Z$7:$Z$506)+1,1))*(IF('Gastos com Pessoal'!$AE$7:$AE$506&lt;=H$3,('Gastos com Pessoal'!$AF$7:$AF$506)+1,1)),0)</f>
        <v>62400.635781120021</v>
      </c>
      <c r="I21" s="188">
        <f t="array" aca="1" ref="I21" ca="1">_xlfn.IFNA(SUM((I$3&gt;='Gastos com Pessoal'!$E$7:$E$506)*(I$3&lt;='Gastos com Pessoal'!$F$7:$F$506)*OFFSET('Encargos e Benefícios'!$D$5,1,MATCH($B21,'Encargos e Benefícios'!$E$5:$AB$5,0),500,1))*(IF('Gastos com Pessoal'!$G$7:$G$506&lt;=I$3,('Gastos com Pessoal'!$H$7:$H$506)+1,1))*(IF('Gastos com Pessoal'!$M$7:$M$506&lt;=I$3,('Gastos com Pessoal'!$N$7:$N$506)+1,1))*(IF('Gastos com Pessoal'!$S$7:$S$506&lt;=I$3,('Gastos com Pessoal'!$T$7:$T$506)+1,1))*(IF('Gastos com Pessoal'!$Y$7:$Y$506&lt;=I$3,('Gastos com Pessoal'!$Z$7:$Z$506)+1,1))*(IF('Gastos com Pessoal'!$AE$7:$AE$506&lt;=I$3,('Gastos com Pessoal'!$AF$7:$AF$506)+1,1)),0)</f>
        <v>62400.635781120021</v>
      </c>
      <c r="J21" s="188">
        <f t="array" aca="1" ref="J21" ca="1">_xlfn.IFNA(SUM((J$3&gt;='Gastos com Pessoal'!$E$7:$E$506)*(J$3&lt;='Gastos com Pessoal'!$F$7:$F$506)*OFFSET('Encargos e Benefícios'!$D$5,1,MATCH($B21,'Encargos e Benefícios'!$E$5:$AB$5,0),500,1))*(IF('Gastos com Pessoal'!$G$7:$G$506&lt;=J$3,('Gastos com Pessoal'!$H$7:$H$506)+1,1))*(IF('Gastos com Pessoal'!$M$7:$M$506&lt;=J$3,('Gastos com Pessoal'!$N$7:$N$506)+1,1))*(IF('Gastos com Pessoal'!$S$7:$S$506&lt;=J$3,('Gastos com Pessoal'!$T$7:$T$506)+1,1))*(IF('Gastos com Pessoal'!$Y$7:$Y$506&lt;=J$3,('Gastos com Pessoal'!$Z$7:$Z$506)+1,1))*(IF('Gastos com Pessoal'!$AE$7:$AE$506&lt;=J$3,('Gastos com Pessoal'!$AF$7:$AF$506)+1,1)),0)</f>
        <v>62400.635781120021</v>
      </c>
      <c r="K21" s="188">
        <f t="array" aca="1" ref="K21" ca="1">_xlfn.IFNA(SUM((K$3&gt;='Gastos com Pessoal'!$E$7:$E$506)*(K$3&lt;='Gastos com Pessoal'!$F$7:$F$506)*OFFSET('Encargos e Benefícios'!$D$5,1,MATCH($B21,'Encargos e Benefícios'!$E$5:$AB$5,0),500,1))*(IF('Gastos com Pessoal'!$G$7:$G$506&lt;=K$3,('Gastos com Pessoal'!$H$7:$H$506)+1,1))*(IF('Gastos com Pessoal'!$M$7:$M$506&lt;=K$3,('Gastos com Pessoal'!$N$7:$N$506)+1,1))*(IF('Gastos com Pessoal'!$S$7:$S$506&lt;=K$3,('Gastos com Pessoal'!$T$7:$T$506)+1,1))*(IF('Gastos com Pessoal'!$Y$7:$Y$506&lt;=K$3,('Gastos com Pessoal'!$Z$7:$Z$506)+1,1))*(IF('Gastos com Pessoal'!$AE$7:$AE$506&lt;=K$3,('Gastos com Pessoal'!$AF$7:$AF$506)+1,1)),0)</f>
        <v>65970.626641920026</v>
      </c>
      <c r="L21" s="188">
        <f t="array" aca="1" ref="L21" ca="1">_xlfn.IFNA(SUM((L$3&gt;='Gastos com Pessoal'!$E$7:$E$506)*(L$3&lt;='Gastos com Pessoal'!$F$7:$F$506)*OFFSET('Encargos e Benefícios'!$D$5,1,MATCH($B21,'Encargos e Benefícios'!$E$5:$AB$5,0),500,1))*(IF('Gastos com Pessoal'!$G$7:$G$506&lt;=L$3,('Gastos com Pessoal'!$H$7:$H$506)+1,1))*(IF('Gastos com Pessoal'!$M$7:$M$506&lt;=L$3,('Gastos com Pessoal'!$N$7:$N$506)+1,1))*(IF('Gastos com Pessoal'!$S$7:$S$506&lt;=L$3,('Gastos com Pessoal'!$T$7:$T$506)+1,1))*(IF('Gastos com Pessoal'!$Y$7:$Y$506&lt;=L$3,('Gastos com Pessoal'!$Z$7:$Z$506)+1,1))*(IF('Gastos com Pessoal'!$AE$7:$AE$506&lt;=L$3,('Gastos com Pessoal'!$AF$7:$AF$506)+1,1)),0)</f>
        <v>65970.626641920026</v>
      </c>
      <c r="M21" s="188">
        <f t="array" aca="1" ref="M21" ca="1">_xlfn.IFNA(SUM((M$3&gt;='Gastos com Pessoal'!$E$7:$E$506)*(M$3&lt;='Gastos com Pessoal'!$F$7:$F$506)*OFFSET('Encargos e Benefícios'!$D$5,1,MATCH($B21,'Encargos e Benefícios'!$E$5:$AB$5,0),500,1))*(IF('Gastos com Pessoal'!$G$7:$G$506&lt;=M$3,('Gastos com Pessoal'!$H$7:$H$506)+1,1))*(IF('Gastos com Pessoal'!$M$7:$M$506&lt;=M$3,('Gastos com Pessoal'!$N$7:$N$506)+1,1))*(IF('Gastos com Pessoal'!$S$7:$S$506&lt;=M$3,('Gastos com Pessoal'!$T$7:$T$506)+1,1))*(IF('Gastos com Pessoal'!$Y$7:$Y$506&lt;=M$3,('Gastos com Pessoal'!$Z$7:$Z$506)+1,1))*(IF('Gastos com Pessoal'!$AE$7:$AE$506&lt;=M$3,('Gastos com Pessoal'!$AF$7:$AF$506)+1,1)),0)</f>
        <v>65970.626641920026</v>
      </c>
      <c r="N21" s="188">
        <f t="array" aca="1" ref="N21" ca="1">_xlfn.IFNA(SUM((N$3&gt;='Gastos com Pessoal'!$E$7:$E$506)*(N$3&lt;='Gastos com Pessoal'!$F$7:$F$506)*OFFSET('Encargos e Benefícios'!$D$5,1,MATCH($B21,'Encargos e Benefícios'!$E$5:$AB$5,0),500,1))*(IF('Gastos com Pessoal'!$G$7:$G$506&lt;=N$3,('Gastos com Pessoal'!$H$7:$H$506)+1,1))*(IF('Gastos com Pessoal'!$M$7:$M$506&lt;=N$3,('Gastos com Pessoal'!$N$7:$N$506)+1,1))*(IF('Gastos com Pessoal'!$S$7:$S$506&lt;=N$3,('Gastos com Pessoal'!$T$7:$T$506)+1,1))*(IF('Gastos com Pessoal'!$Y$7:$Y$506&lt;=N$3,('Gastos com Pessoal'!$Z$7:$Z$506)+1,1))*(IF('Gastos com Pessoal'!$AE$7:$AE$506&lt;=N$3,('Gastos com Pessoal'!$AF$7:$AF$506)+1,1)),0)</f>
        <v>69540.617502720022</v>
      </c>
      <c r="O21" s="188">
        <f t="array" aca="1" ref="O21" ca="1">_xlfn.IFNA(SUM((O$3&gt;='Gastos com Pessoal'!$E$7:$E$506)*(O$3&lt;='Gastos com Pessoal'!$F$7:$F$506)*OFFSET('Encargos e Benefícios'!$D$5,1,MATCH($B21,'Encargos e Benefícios'!$E$5:$AB$5,0),500,1))*(IF('Gastos com Pessoal'!$G$7:$G$506&lt;=O$3,('Gastos com Pessoal'!$H$7:$H$506)+1,1))*(IF('Gastos com Pessoal'!$M$7:$M$506&lt;=O$3,('Gastos com Pessoal'!$N$7:$N$506)+1,1))*(IF('Gastos com Pessoal'!$S$7:$S$506&lt;=O$3,('Gastos com Pessoal'!$T$7:$T$506)+1,1))*(IF('Gastos com Pessoal'!$Y$7:$Y$506&lt;=O$3,('Gastos com Pessoal'!$Z$7:$Z$506)+1,1))*(IF('Gastos com Pessoal'!$AE$7:$AE$506&lt;=O$3,('Gastos com Pessoal'!$AF$7:$AF$506)+1,1)),0)</f>
        <v>69540.617502720022</v>
      </c>
      <c r="P21" s="188">
        <f t="array" aca="1" ref="P21" ca="1">_xlfn.IFNA(SUM((P$3&gt;='Gastos com Pessoal'!$E$7:$E$506)*(P$3&lt;='Gastos com Pessoal'!$F$7:$F$506)*OFFSET('Encargos e Benefícios'!$D$5,1,MATCH($B21,'Encargos e Benefícios'!$E$5:$AB$5,0),500,1))*(IF('Gastos com Pessoal'!$G$7:$G$506&lt;=P$3,('Gastos com Pessoal'!$H$7:$H$506)+1,1))*(IF('Gastos com Pessoal'!$M$7:$M$506&lt;=P$3,('Gastos com Pessoal'!$N$7:$N$506)+1,1))*(IF('Gastos com Pessoal'!$S$7:$S$506&lt;=P$3,('Gastos com Pessoal'!$T$7:$T$506)+1,1))*(IF('Gastos com Pessoal'!$Y$7:$Y$506&lt;=P$3,('Gastos com Pessoal'!$Z$7:$Z$506)+1,1))*(IF('Gastos com Pessoal'!$AE$7:$AE$506&lt;=P$3,('Gastos com Pessoal'!$AF$7:$AF$506)+1,1)),0)</f>
        <v>69540.617502720022</v>
      </c>
      <c r="Q21" s="188">
        <f t="array" aca="1" ref="Q21" ca="1">_xlfn.IFNA(SUM((Q$3&gt;='Gastos com Pessoal'!$E$7:$E$506)*(Q$3&lt;='Gastos com Pessoal'!$F$7:$F$506)*OFFSET('Encargos e Benefícios'!$D$5,1,MATCH($B21,'Encargos e Benefícios'!$E$5:$AB$5,0),500,1))*(IF('Gastos com Pessoal'!$G$7:$G$506&lt;=Q$3,('Gastos com Pessoal'!$H$7:$H$506)+1,1))*(IF('Gastos com Pessoal'!$M$7:$M$506&lt;=Q$3,('Gastos com Pessoal'!$N$7:$N$506)+1,1))*(IF('Gastos com Pessoal'!$S$7:$S$506&lt;=Q$3,('Gastos com Pessoal'!$T$7:$T$506)+1,1))*(IF('Gastos com Pessoal'!$Y$7:$Y$506&lt;=Q$3,('Gastos com Pessoal'!$Z$7:$Z$506)+1,1))*(IF('Gastos com Pessoal'!$AE$7:$AE$506&lt;=Q$3,('Gastos com Pessoal'!$AF$7:$AF$506)+1,1)),0)</f>
        <v>69540.617502720022</v>
      </c>
      <c r="R21" s="188">
        <f t="array" aca="1" ref="R21" ca="1">_xlfn.IFNA(SUM((R$3&gt;='Gastos com Pessoal'!$E$7:$E$506)*(R$3&lt;='Gastos com Pessoal'!$F$7:$F$506)*OFFSET('Encargos e Benefícios'!$D$5,1,MATCH($B21,'Encargos e Benefícios'!$E$5:$AB$5,0),500,1))*(IF('Gastos com Pessoal'!$G$7:$G$506&lt;=R$3,('Gastos com Pessoal'!$H$7:$H$506)+1,1))*(IF('Gastos com Pessoal'!$M$7:$M$506&lt;=R$3,('Gastos com Pessoal'!$N$7:$N$506)+1,1))*(IF('Gastos com Pessoal'!$S$7:$S$506&lt;=R$3,('Gastos com Pessoal'!$T$7:$T$506)+1,1))*(IF('Gastos com Pessoal'!$Y$7:$Y$506&lt;=R$3,('Gastos com Pessoal'!$Z$7:$Z$506)+1,1))*(IF('Gastos com Pessoal'!$AE$7:$AE$506&lt;=R$3,('Gastos com Pessoal'!$AF$7:$AF$506)+1,1)),0)</f>
        <v>69540.617502720022</v>
      </c>
      <c r="S21" s="188">
        <f t="array" aca="1" ref="S21" ca="1">_xlfn.IFNA(SUM((S$3&gt;='Gastos com Pessoal'!$E$7:$E$506)*(S$3&lt;='Gastos com Pessoal'!$F$7:$F$506)*OFFSET('Encargos e Benefícios'!$D$5,1,MATCH($B21,'Encargos e Benefícios'!$E$5:$AB$5,0),500,1))*(IF('Gastos com Pessoal'!$G$7:$G$506&lt;=S$3,('Gastos com Pessoal'!$H$7:$H$506)+1,1))*(IF('Gastos com Pessoal'!$M$7:$M$506&lt;=S$3,('Gastos com Pessoal'!$N$7:$N$506)+1,1))*(IF('Gastos com Pessoal'!$S$7:$S$506&lt;=S$3,('Gastos com Pessoal'!$T$7:$T$506)+1,1))*(IF('Gastos com Pessoal'!$Y$7:$Y$506&lt;=S$3,('Gastos com Pessoal'!$Z$7:$Z$506)+1,1))*(IF('Gastos com Pessoal'!$AE$7:$AE$506&lt;=S$3,('Gastos com Pessoal'!$AF$7:$AF$506)+1,1)),0)</f>
        <v>73601.789564878869</v>
      </c>
      <c r="T21" s="188">
        <f t="array" aca="1" ref="T21" ca="1">_xlfn.IFNA(SUM((T$3&gt;='Gastos com Pessoal'!$E$7:$E$506)*(T$3&lt;='Gastos com Pessoal'!$F$7:$F$506)*OFFSET('Encargos e Benefícios'!$D$5,1,MATCH($B21,'Encargos e Benefícios'!$E$5:$AB$5,0),500,1))*(IF('Gastos com Pessoal'!$G$7:$G$506&lt;=T$3,('Gastos com Pessoal'!$H$7:$H$506)+1,1))*(IF('Gastos com Pessoal'!$M$7:$M$506&lt;=T$3,('Gastos com Pessoal'!$N$7:$N$506)+1,1))*(IF('Gastos com Pessoal'!$S$7:$S$506&lt;=T$3,('Gastos com Pessoal'!$T$7:$T$506)+1,1))*(IF('Gastos com Pessoal'!$Y$7:$Y$506&lt;=T$3,('Gastos com Pessoal'!$Z$7:$Z$506)+1,1))*(IF('Gastos com Pessoal'!$AE$7:$AE$506&lt;=T$3,('Gastos com Pessoal'!$AF$7:$AF$506)+1,1)),0)</f>
        <v>73601.789564878869</v>
      </c>
      <c r="U21" s="188">
        <f t="array" aca="1" ref="U21" ca="1">_xlfn.IFNA(SUM((U$3&gt;='Gastos com Pessoal'!$E$7:$E$506)*(U$3&lt;='Gastos com Pessoal'!$F$7:$F$506)*OFFSET('Encargos e Benefícios'!$D$5,1,MATCH($B21,'Encargos e Benefícios'!$E$5:$AB$5,0),500,1))*(IF('Gastos com Pessoal'!$G$7:$G$506&lt;=U$3,('Gastos com Pessoal'!$H$7:$H$506)+1,1))*(IF('Gastos com Pessoal'!$M$7:$M$506&lt;=U$3,('Gastos com Pessoal'!$N$7:$N$506)+1,1))*(IF('Gastos com Pessoal'!$S$7:$S$506&lt;=U$3,('Gastos com Pessoal'!$T$7:$T$506)+1,1))*(IF('Gastos com Pessoal'!$Y$7:$Y$506&lt;=U$3,('Gastos com Pessoal'!$Z$7:$Z$506)+1,1))*(IF('Gastos com Pessoal'!$AE$7:$AE$506&lt;=U$3,('Gastos com Pessoal'!$AF$7:$AF$506)+1,1)),0)</f>
        <v>73601.789564878869</v>
      </c>
      <c r="V21" s="188">
        <f t="array" aca="1" ref="V21" ca="1">_xlfn.IFNA(SUM((V$3&gt;='Gastos com Pessoal'!$E$7:$E$506)*(V$3&lt;='Gastos com Pessoal'!$F$7:$F$506)*OFFSET('Encargos e Benefícios'!$D$5,1,MATCH($B21,'Encargos e Benefícios'!$E$5:$AB$5,0),500,1))*(IF('Gastos com Pessoal'!$G$7:$G$506&lt;=V$3,('Gastos com Pessoal'!$H$7:$H$506)+1,1))*(IF('Gastos com Pessoal'!$M$7:$M$506&lt;=V$3,('Gastos com Pessoal'!$N$7:$N$506)+1,1))*(IF('Gastos com Pessoal'!$S$7:$S$506&lt;=V$3,('Gastos com Pessoal'!$T$7:$T$506)+1,1))*(IF('Gastos com Pessoal'!$Y$7:$Y$506&lt;=V$3,('Gastos com Pessoal'!$Z$7:$Z$506)+1,1))*(IF('Gastos com Pessoal'!$AE$7:$AE$506&lt;=V$3,('Gastos com Pessoal'!$AF$7:$AF$506)+1,1)),0)</f>
        <v>73601.789564878869</v>
      </c>
      <c r="W21" s="188">
        <f t="array" aca="1" ref="W21" ca="1">_xlfn.IFNA(SUM((W$3&gt;='Gastos com Pessoal'!$E$7:$E$506)*(W$3&lt;='Gastos com Pessoal'!$F$7:$F$506)*OFFSET('Encargos e Benefícios'!$D$5,1,MATCH($B21,'Encargos e Benefícios'!$E$5:$AB$5,0),500,1))*(IF('Gastos com Pessoal'!$G$7:$G$506&lt;=W$3,('Gastos com Pessoal'!$H$7:$H$506)+1,1))*(IF('Gastos com Pessoal'!$M$7:$M$506&lt;=W$3,('Gastos com Pessoal'!$N$7:$N$506)+1,1))*(IF('Gastos com Pessoal'!$S$7:$S$506&lt;=W$3,('Gastos com Pessoal'!$T$7:$T$506)+1,1))*(IF('Gastos com Pessoal'!$Y$7:$Y$506&lt;=W$3,('Gastos com Pessoal'!$Z$7:$Z$506)+1,1))*(IF('Gastos com Pessoal'!$AE$7:$AE$506&lt;=W$3,('Gastos com Pessoal'!$AF$7:$AF$506)+1,1)),0)</f>
        <v>73601.789564878869</v>
      </c>
      <c r="X21" s="188">
        <f t="array" aca="1" ref="X21" ca="1">_xlfn.IFNA(SUM((X$3&gt;='Gastos com Pessoal'!$E$7:$E$506)*(X$3&lt;='Gastos com Pessoal'!$F$7:$F$506)*OFFSET('Encargos e Benefícios'!$D$5,1,MATCH($B21,'Encargos e Benefícios'!$E$5:$AB$5,0),500,1))*(IF('Gastos com Pessoal'!$G$7:$G$506&lt;=X$3,('Gastos com Pessoal'!$H$7:$H$506)+1,1))*(IF('Gastos com Pessoal'!$M$7:$M$506&lt;=X$3,('Gastos com Pessoal'!$N$7:$N$506)+1,1))*(IF('Gastos com Pessoal'!$S$7:$S$506&lt;=X$3,('Gastos com Pessoal'!$T$7:$T$506)+1,1))*(IF('Gastos com Pessoal'!$Y$7:$Y$506&lt;=X$3,('Gastos com Pessoal'!$Z$7:$Z$506)+1,1))*(IF('Gastos com Pessoal'!$AE$7:$AE$506&lt;=X$3,('Gastos com Pessoal'!$AF$7:$AF$506)+1,1)),0)</f>
        <v>73601.789564878869</v>
      </c>
      <c r="Y21" s="188">
        <f t="array" aca="1" ref="Y21" ca="1">_xlfn.IFNA(SUM((Y$3&gt;='Gastos com Pessoal'!$E$7:$E$506)*(Y$3&lt;='Gastos com Pessoal'!$F$7:$F$506)*OFFSET('Encargos e Benefícios'!$D$5,1,MATCH($B21,'Encargos e Benefícios'!$E$5:$AB$5,0),500,1))*(IF('Gastos com Pessoal'!$G$7:$G$506&lt;=Y$3,('Gastos com Pessoal'!$H$7:$H$506)+1,1))*(IF('Gastos com Pessoal'!$M$7:$M$506&lt;=Y$3,('Gastos com Pessoal'!$N$7:$N$506)+1,1))*(IF('Gastos com Pessoal'!$S$7:$S$506&lt;=Y$3,('Gastos com Pessoal'!$T$7:$T$506)+1,1))*(IF('Gastos com Pessoal'!$Y$7:$Y$506&lt;=Y$3,('Gastos com Pessoal'!$Z$7:$Z$506)+1,1))*(IF('Gastos com Pessoal'!$AE$7:$AE$506&lt;=Y$3,('Gastos com Pessoal'!$AF$7:$AF$506)+1,1)),0)</f>
        <v>73601.789564878869</v>
      </c>
      <c r="Z21" s="188">
        <f t="array" aca="1" ref="Z21" ca="1">_xlfn.IFNA(SUM((Z$3&gt;='Gastos com Pessoal'!$E$7:$E$506)*(Z$3&lt;='Gastos com Pessoal'!$F$7:$F$506)*OFFSET('Encargos e Benefícios'!$D$5,1,MATCH($B21,'Encargos e Benefícios'!$E$5:$AB$5,0),500,1))*(IF('Gastos com Pessoal'!$G$7:$G$506&lt;=Z$3,('Gastos com Pessoal'!$H$7:$H$506)+1,1))*(IF('Gastos com Pessoal'!$M$7:$M$506&lt;=Z$3,('Gastos com Pessoal'!$N$7:$N$506)+1,1))*(IF('Gastos com Pessoal'!$S$7:$S$506&lt;=Z$3,('Gastos com Pessoal'!$T$7:$T$506)+1,1))*(IF('Gastos com Pessoal'!$Y$7:$Y$506&lt;=Z$3,('Gastos com Pessoal'!$Z$7:$Z$506)+1,1))*(IF('Gastos com Pessoal'!$AE$7:$AE$506&lt;=Z$3,('Gastos com Pessoal'!$AF$7:$AF$506)+1,1)),0)</f>
        <v>73601.789564878869</v>
      </c>
      <c r="AA21" s="188">
        <f t="array" aca="1" ref="AA21" ca="1">_xlfn.IFNA(SUM((AA$3&gt;='Gastos com Pessoal'!$E$7:$E$506)*(AA$3&lt;='Gastos com Pessoal'!$F$7:$F$506)*OFFSET('Encargos e Benefícios'!$D$5,1,MATCH($B21,'Encargos e Benefícios'!$E$5:$AB$5,0),500,1))*(IF('Gastos com Pessoal'!$G$7:$G$506&lt;=AA$3,('Gastos com Pessoal'!$H$7:$H$506)+1,1))*(IF('Gastos com Pessoal'!$M$7:$M$506&lt;=AA$3,('Gastos com Pessoal'!$N$7:$N$506)+1,1))*(IF('Gastos com Pessoal'!$S$7:$S$506&lt;=AA$3,('Gastos com Pessoal'!$T$7:$T$506)+1,1))*(IF('Gastos com Pessoal'!$Y$7:$Y$506&lt;=AA$3,('Gastos com Pessoal'!$Z$7:$Z$506)+1,1))*(IF('Gastos com Pessoal'!$AE$7:$AE$506&lt;=AA$3,('Gastos com Pessoal'!$AF$7:$AF$506)+1,1)),0)</f>
        <v>73601.789564878869</v>
      </c>
      <c r="AB21" s="188">
        <f t="array" aca="1" ref="AB21" ca="1">_xlfn.IFNA(SUM((AB$3&gt;='Gastos com Pessoal'!$E$7:$E$506)*(AB$3&lt;='Gastos com Pessoal'!$F$7:$F$506)*OFFSET('Encargos e Benefícios'!$D$5,1,MATCH($B21,'Encargos e Benefícios'!$E$5:$AB$5,0),500,1))*(IF('Gastos com Pessoal'!$G$7:$G$506&lt;=AB$3,('Gastos com Pessoal'!$H$7:$H$506)+1,1))*(IF('Gastos com Pessoal'!$M$7:$M$506&lt;=AB$3,('Gastos com Pessoal'!$N$7:$N$506)+1,1))*(IF('Gastos com Pessoal'!$S$7:$S$506&lt;=AB$3,('Gastos com Pessoal'!$T$7:$T$506)+1,1))*(IF('Gastos com Pessoal'!$Y$7:$Y$506&lt;=AB$3,('Gastos com Pessoal'!$Z$7:$Z$506)+1,1))*(IF('Gastos com Pessoal'!$AE$7:$AE$506&lt;=AB$3,('Gastos com Pessoal'!$AF$7:$AF$506)+1,1)),0)</f>
        <v>73601.789564878869</v>
      </c>
      <c r="AC21" s="188">
        <f t="array" aca="1" ref="AC21" ca="1">_xlfn.IFNA(SUM((AC$3&gt;='Gastos com Pessoal'!$E$7:$E$506)*(AC$3&lt;='Gastos com Pessoal'!$F$7:$F$506)*OFFSET('Encargos e Benefícios'!$D$5,1,MATCH($B21,'Encargos e Benefícios'!$E$5:$AB$5,0),500,1))*(IF('Gastos com Pessoal'!$G$7:$G$506&lt;=AC$3,('Gastos com Pessoal'!$H$7:$H$506)+1,1))*(IF('Gastos com Pessoal'!$M$7:$M$506&lt;=AC$3,('Gastos com Pessoal'!$N$7:$N$506)+1,1))*(IF('Gastos com Pessoal'!$S$7:$S$506&lt;=AC$3,('Gastos com Pessoal'!$T$7:$T$506)+1,1))*(IF('Gastos com Pessoal'!$Y$7:$Y$506&lt;=AC$3,('Gastos com Pessoal'!$Z$7:$Z$506)+1,1))*(IF('Gastos com Pessoal'!$AE$7:$AE$506&lt;=AC$3,('Gastos com Pessoal'!$AF$7:$AF$506)+1,1)),0)</f>
        <v>73601.789564878869</v>
      </c>
      <c r="AD21" s="188">
        <f t="array" aca="1" ref="AD21" ca="1">_xlfn.IFNA(SUM((AD$3&gt;='Gastos com Pessoal'!$E$7:$E$506)*(AD$3&lt;='Gastos com Pessoal'!$F$7:$F$506)*OFFSET('Encargos e Benefícios'!$D$5,1,MATCH($B21,'Encargos e Benefícios'!$E$5:$AB$5,0),500,1))*(IF('Gastos com Pessoal'!$G$7:$G$506&lt;=AD$3,('Gastos com Pessoal'!$H$7:$H$506)+1,1))*(IF('Gastos com Pessoal'!$M$7:$M$506&lt;=AD$3,('Gastos com Pessoal'!$N$7:$N$506)+1,1))*(IF('Gastos com Pessoal'!$S$7:$S$506&lt;=AD$3,('Gastos com Pessoal'!$T$7:$T$506)+1,1))*(IF('Gastos com Pessoal'!$Y$7:$Y$506&lt;=AD$3,('Gastos com Pessoal'!$Z$7:$Z$506)+1,1))*(IF('Gastos com Pessoal'!$AE$7:$AE$506&lt;=AD$3,('Gastos com Pessoal'!$AF$7:$AF$506)+1,1)),0)</f>
        <v>73601.789564878869</v>
      </c>
      <c r="AE21" s="188">
        <f t="array" aca="1" ref="AE21" ca="1">_xlfn.IFNA(SUM((AE$3&gt;='Gastos com Pessoal'!$E$7:$E$506)*(AE$3&lt;='Gastos com Pessoal'!$F$7:$F$506)*OFFSET('Encargos e Benefícios'!$D$5,1,MATCH($B21,'Encargos e Benefícios'!$E$5:$AB$5,0),500,1))*(IF('Gastos com Pessoal'!$G$7:$G$506&lt;=AE$3,('Gastos com Pessoal'!$H$7:$H$506)+1,1))*(IF('Gastos com Pessoal'!$M$7:$M$506&lt;=AE$3,('Gastos com Pessoal'!$N$7:$N$506)+1,1))*(IF('Gastos com Pessoal'!$S$7:$S$506&lt;=AE$3,('Gastos com Pessoal'!$T$7:$T$506)+1,1))*(IF('Gastos com Pessoal'!$Y$7:$Y$506&lt;=AE$3,('Gastos com Pessoal'!$Z$7:$Z$506)+1,1))*(IF('Gastos com Pessoal'!$AE$7:$AE$506&lt;=AE$3,('Gastos com Pessoal'!$AF$7:$AF$506)+1,1)),0)</f>
        <v>77900.134075467795</v>
      </c>
      <c r="AF21" s="188">
        <f t="array" aca="1" ref="AF21" ca="1">_xlfn.IFNA(SUM((AF$3&gt;='Gastos com Pessoal'!$E$7:$E$506)*(AF$3&lt;='Gastos com Pessoal'!$F$7:$F$506)*OFFSET('Encargos e Benefícios'!$D$5,1,MATCH($B21,'Encargos e Benefícios'!$E$5:$AB$5,0),500,1))*(IF('Gastos com Pessoal'!$G$7:$G$506&lt;=AF$3,('Gastos com Pessoal'!$H$7:$H$506)+1,1))*(IF('Gastos com Pessoal'!$M$7:$M$506&lt;=AF$3,('Gastos com Pessoal'!$N$7:$N$506)+1,1))*(IF('Gastos com Pessoal'!$S$7:$S$506&lt;=AF$3,('Gastos com Pessoal'!$T$7:$T$506)+1,1))*(IF('Gastos com Pessoal'!$Y$7:$Y$506&lt;=AF$3,('Gastos com Pessoal'!$Z$7:$Z$506)+1,1))*(IF('Gastos com Pessoal'!$AE$7:$AE$506&lt;=AF$3,('Gastos com Pessoal'!$AF$7:$AF$506)+1,1)),0)</f>
        <v>77900.134075467795</v>
      </c>
      <c r="AG21" s="188">
        <f t="array" aca="1" ref="AG21" ca="1">_xlfn.IFNA(SUM((AG$3&gt;='Gastos com Pessoal'!$E$7:$E$506)*(AG$3&lt;='Gastos com Pessoal'!$F$7:$F$506)*OFFSET('Encargos e Benefícios'!$D$5,1,MATCH($B21,'Encargos e Benefícios'!$E$5:$AB$5,0),500,1))*(IF('Gastos com Pessoal'!$G$7:$G$506&lt;=AG$3,('Gastos com Pessoal'!$H$7:$H$506)+1,1))*(IF('Gastos com Pessoal'!$M$7:$M$506&lt;=AG$3,('Gastos com Pessoal'!$N$7:$N$506)+1,1))*(IF('Gastos com Pessoal'!$S$7:$S$506&lt;=AG$3,('Gastos com Pessoal'!$T$7:$T$506)+1,1))*(IF('Gastos com Pessoal'!$Y$7:$Y$506&lt;=AG$3,('Gastos com Pessoal'!$Z$7:$Z$506)+1,1))*(IF('Gastos com Pessoal'!$AE$7:$AE$506&lt;=AG$3,('Gastos com Pessoal'!$AF$7:$AF$506)+1,1)),0)</f>
        <v>77900.134075467795</v>
      </c>
      <c r="AH21" s="188">
        <f t="array" aca="1" ref="AH21" ca="1">_xlfn.IFNA(SUM((AH$3&gt;='Gastos com Pessoal'!$E$7:$E$506)*(AH$3&lt;='Gastos com Pessoal'!$F$7:$F$506)*OFFSET('Encargos e Benefícios'!$D$5,1,MATCH($B21,'Encargos e Benefícios'!$E$5:$AB$5,0),500,1))*(IF('Gastos com Pessoal'!$G$7:$G$506&lt;=AH$3,('Gastos com Pessoal'!$H$7:$H$506)+1,1))*(IF('Gastos com Pessoal'!$M$7:$M$506&lt;=AH$3,('Gastos com Pessoal'!$N$7:$N$506)+1,1))*(IF('Gastos com Pessoal'!$S$7:$S$506&lt;=AH$3,('Gastos com Pessoal'!$T$7:$T$506)+1,1))*(IF('Gastos com Pessoal'!$Y$7:$Y$506&lt;=AH$3,('Gastos com Pessoal'!$Z$7:$Z$506)+1,1))*(IF('Gastos com Pessoal'!$AE$7:$AE$506&lt;=AH$3,('Gastos com Pessoal'!$AF$7:$AF$506)+1,1)),0)</f>
        <v>77900.134075467795</v>
      </c>
      <c r="AI21" s="188">
        <f t="array" aca="1" ref="AI21" ca="1">_xlfn.IFNA(SUM((AI$3&gt;='Gastos com Pessoal'!$E$7:$E$506)*(AI$3&lt;='Gastos com Pessoal'!$F$7:$F$506)*OFFSET('Encargos e Benefícios'!$D$5,1,MATCH($B21,'Encargos e Benefícios'!$E$5:$AB$5,0),500,1))*(IF('Gastos com Pessoal'!$G$7:$G$506&lt;=AI$3,('Gastos com Pessoal'!$H$7:$H$506)+1,1))*(IF('Gastos com Pessoal'!$M$7:$M$506&lt;=AI$3,('Gastos com Pessoal'!$N$7:$N$506)+1,1))*(IF('Gastos com Pessoal'!$S$7:$S$506&lt;=AI$3,('Gastos com Pessoal'!$T$7:$T$506)+1,1))*(IF('Gastos com Pessoal'!$Y$7:$Y$506&lt;=AI$3,('Gastos com Pessoal'!$Z$7:$Z$506)+1,1))*(IF('Gastos com Pessoal'!$AE$7:$AE$506&lt;=AI$3,('Gastos com Pessoal'!$AF$7:$AF$506)+1,1)),0)</f>
        <v>77900.134075467795</v>
      </c>
      <c r="AJ21" s="188">
        <f t="array" aca="1" ref="AJ21" ca="1">_xlfn.IFNA(SUM((AJ$3&gt;='Gastos com Pessoal'!$E$7:$E$506)*(AJ$3&lt;='Gastos com Pessoal'!$F$7:$F$506)*OFFSET('Encargos e Benefícios'!$D$5,1,MATCH($B21,'Encargos e Benefícios'!$E$5:$AB$5,0),500,1))*(IF('Gastos com Pessoal'!$G$7:$G$506&lt;=AJ$3,('Gastos com Pessoal'!$H$7:$H$506)+1,1))*(IF('Gastos com Pessoal'!$M$7:$M$506&lt;=AJ$3,('Gastos com Pessoal'!$N$7:$N$506)+1,1))*(IF('Gastos com Pessoal'!$S$7:$S$506&lt;=AJ$3,('Gastos com Pessoal'!$T$7:$T$506)+1,1))*(IF('Gastos com Pessoal'!$Y$7:$Y$506&lt;=AJ$3,('Gastos com Pessoal'!$Z$7:$Z$506)+1,1))*(IF('Gastos com Pessoal'!$AE$7:$AE$506&lt;=AJ$3,('Gastos com Pessoal'!$AF$7:$AF$506)+1,1)),0)</f>
        <v>77900.134075467795</v>
      </c>
      <c r="AK21" s="188">
        <f t="array" aca="1" ref="AK21" ca="1">_xlfn.IFNA(SUM((AK$3&gt;='Gastos com Pessoal'!$E$7:$E$506)*(AK$3&lt;='Gastos com Pessoal'!$F$7:$F$506)*OFFSET('Encargos e Benefícios'!$D$5,1,MATCH($B21,'Encargos e Benefícios'!$E$5:$AB$5,0),500,1))*(IF('Gastos com Pessoal'!$G$7:$G$506&lt;=AK$3,('Gastos com Pessoal'!$H$7:$H$506)+1,1))*(IF('Gastos com Pessoal'!$M$7:$M$506&lt;=AK$3,('Gastos com Pessoal'!$N$7:$N$506)+1,1))*(IF('Gastos com Pessoal'!$S$7:$S$506&lt;=AK$3,('Gastos com Pessoal'!$T$7:$T$506)+1,1))*(IF('Gastos com Pessoal'!$Y$7:$Y$506&lt;=AK$3,('Gastos com Pessoal'!$Z$7:$Z$506)+1,1))*(IF('Gastos com Pessoal'!$AE$7:$AE$506&lt;=AK$3,('Gastos com Pessoal'!$AF$7:$AF$506)+1,1)),0)</f>
        <v>77900.134075467795</v>
      </c>
      <c r="AL21" s="188">
        <f t="array" aca="1" ref="AL21" ca="1">_xlfn.IFNA(SUM((AL$3&gt;='Gastos com Pessoal'!$E$7:$E$506)*(AL$3&lt;='Gastos com Pessoal'!$F$7:$F$506)*OFFSET('Encargos e Benefícios'!$D$5,1,MATCH($B21,'Encargos e Benefícios'!$E$5:$AB$5,0),500,1))*(IF('Gastos com Pessoal'!$G$7:$G$506&lt;=AL$3,('Gastos com Pessoal'!$H$7:$H$506)+1,1))*(IF('Gastos com Pessoal'!$M$7:$M$506&lt;=AL$3,('Gastos com Pessoal'!$N$7:$N$506)+1,1))*(IF('Gastos com Pessoal'!$S$7:$S$506&lt;=AL$3,('Gastos com Pessoal'!$T$7:$T$506)+1,1))*(IF('Gastos com Pessoal'!$Y$7:$Y$506&lt;=AL$3,('Gastos com Pessoal'!$Z$7:$Z$506)+1,1))*(IF('Gastos com Pessoal'!$AE$7:$AE$506&lt;=AL$3,('Gastos com Pessoal'!$AF$7:$AF$506)+1,1)),0)</f>
        <v>77900.134075467795</v>
      </c>
      <c r="AM21" s="188">
        <f t="array" aca="1" ref="AM21" ca="1">_xlfn.IFNA(SUM((AM$3&gt;='Gastos com Pessoal'!$E$7:$E$506)*(AM$3&lt;='Gastos com Pessoal'!$F$7:$F$506)*OFFSET('Encargos e Benefícios'!$D$5,1,MATCH($B21,'Encargos e Benefícios'!$E$5:$AB$5,0),500,1))*(IF('Gastos com Pessoal'!$G$7:$G$506&lt;=AM$3,('Gastos com Pessoal'!$H$7:$H$506)+1,1))*(IF('Gastos com Pessoal'!$M$7:$M$506&lt;=AM$3,('Gastos com Pessoal'!$N$7:$N$506)+1,1))*(IF('Gastos com Pessoal'!$S$7:$S$506&lt;=AM$3,('Gastos com Pessoal'!$T$7:$T$506)+1,1))*(IF('Gastos com Pessoal'!$Y$7:$Y$506&lt;=AM$3,('Gastos com Pessoal'!$Z$7:$Z$506)+1,1))*(IF('Gastos com Pessoal'!$AE$7:$AE$506&lt;=AM$3,('Gastos com Pessoal'!$AF$7:$AF$506)+1,1)),0)</f>
        <v>77900.134075467795</v>
      </c>
      <c r="AN21" s="188">
        <f t="array" aca="1" ref="AN21" ca="1">_xlfn.IFNA(SUM((AN$3&gt;='Gastos com Pessoal'!$E$7:$E$506)*(AN$3&lt;='Gastos com Pessoal'!$F$7:$F$506)*OFFSET('Encargos e Benefícios'!$D$5,1,MATCH($B21,'Encargos e Benefícios'!$E$5:$AB$5,0),500,1))*(IF('Gastos com Pessoal'!$G$7:$G$506&lt;=AN$3,('Gastos com Pessoal'!$H$7:$H$506)+1,1))*(IF('Gastos com Pessoal'!$M$7:$M$506&lt;=AN$3,('Gastos com Pessoal'!$N$7:$N$506)+1,1))*(IF('Gastos com Pessoal'!$S$7:$S$506&lt;=AN$3,('Gastos com Pessoal'!$T$7:$T$506)+1,1))*(IF('Gastos com Pessoal'!$Y$7:$Y$506&lt;=AN$3,('Gastos com Pessoal'!$Z$7:$Z$506)+1,1))*(IF('Gastos com Pessoal'!$AE$7:$AE$506&lt;=AN$3,('Gastos com Pessoal'!$AF$7:$AF$506)+1,1)),0)</f>
        <v>77900.134075467795</v>
      </c>
      <c r="AO21" s="188">
        <f t="array" aca="1" ref="AO21" ca="1">_xlfn.IFNA(SUM((AO$3&gt;='Gastos com Pessoal'!$E$7:$E$506)*(AO$3&lt;='Gastos com Pessoal'!$F$7:$F$506)*OFFSET('Encargos e Benefícios'!$D$5,1,MATCH($B21,'Encargos e Benefícios'!$E$5:$AB$5,0),500,1))*(IF('Gastos com Pessoal'!$G$7:$G$506&lt;=AO$3,('Gastos com Pessoal'!$H$7:$H$506)+1,1))*(IF('Gastos com Pessoal'!$M$7:$M$506&lt;=AO$3,('Gastos com Pessoal'!$N$7:$N$506)+1,1))*(IF('Gastos com Pessoal'!$S$7:$S$506&lt;=AO$3,('Gastos com Pessoal'!$T$7:$T$506)+1,1))*(IF('Gastos com Pessoal'!$Y$7:$Y$506&lt;=AO$3,('Gastos com Pessoal'!$Z$7:$Z$506)+1,1))*(IF('Gastos com Pessoal'!$AE$7:$AE$506&lt;=AO$3,('Gastos com Pessoal'!$AF$7:$AF$506)+1,1)),0)</f>
        <v>77900.134075467795</v>
      </c>
      <c r="AP21" s="188">
        <f t="array" aca="1" ref="AP21" ca="1">_xlfn.IFNA(SUM((AP$3&gt;='Gastos com Pessoal'!$E$7:$E$506)*(AP$3&lt;='Gastos com Pessoal'!$F$7:$F$506)*OFFSET('Encargos e Benefícios'!$D$5,1,MATCH($B21,'Encargos e Benefícios'!$E$5:$AB$5,0),500,1))*(IF('Gastos com Pessoal'!$G$7:$G$506&lt;=AP$3,('Gastos com Pessoal'!$H$7:$H$506)+1,1))*(IF('Gastos com Pessoal'!$M$7:$M$506&lt;=AP$3,('Gastos com Pessoal'!$N$7:$N$506)+1,1))*(IF('Gastos com Pessoal'!$S$7:$S$506&lt;=AP$3,('Gastos com Pessoal'!$T$7:$T$506)+1,1))*(IF('Gastos com Pessoal'!$Y$7:$Y$506&lt;=AP$3,('Gastos com Pessoal'!$Z$7:$Z$506)+1,1))*(IF('Gastos com Pessoal'!$AE$7:$AE$506&lt;=AP$3,('Gastos com Pessoal'!$AF$7:$AF$506)+1,1)),0)</f>
        <v>77900.134075467795</v>
      </c>
      <c r="AQ21" s="188">
        <f t="array" aca="1" ref="AQ21" ca="1">_xlfn.IFNA(SUM((AQ$3&gt;='Gastos com Pessoal'!$E$7:$E$506)*(AQ$3&lt;='Gastos com Pessoal'!$F$7:$F$506)*OFFSET('Encargos e Benefícios'!$D$5,1,MATCH($B21,'Encargos e Benefícios'!$E$5:$AB$5,0),500,1))*(IF('Gastos com Pessoal'!$G$7:$G$506&lt;=AQ$3,('Gastos com Pessoal'!$H$7:$H$506)+1,1))*(IF('Gastos com Pessoal'!$M$7:$M$506&lt;=AQ$3,('Gastos com Pessoal'!$N$7:$N$506)+1,1))*(IF('Gastos com Pessoal'!$S$7:$S$506&lt;=AQ$3,('Gastos com Pessoal'!$T$7:$T$506)+1,1))*(IF('Gastos com Pessoal'!$Y$7:$Y$506&lt;=AQ$3,('Gastos com Pessoal'!$Z$7:$Z$506)+1,1))*(IF('Gastos com Pessoal'!$AE$7:$AE$506&lt;=AQ$3,('Gastos com Pessoal'!$AF$7:$AF$506)+1,1)),0)</f>
        <v>82449.501905475117</v>
      </c>
      <c r="AR21" s="188">
        <f t="array" aca="1" ref="AR21" ca="1">_xlfn.IFNA(SUM((AR$3&gt;='Gastos com Pessoal'!$E$7:$E$506)*(AR$3&lt;='Gastos com Pessoal'!$F$7:$F$506)*OFFSET('Encargos e Benefícios'!$D$5,1,MATCH($B21,'Encargos e Benefícios'!$E$5:$AB$5,0),500,1))*(IF('Gastos com Pessoal'!$G$7:$G$506&lt;=AR$3,('Gastos com Pessoal'!$H$7:$H$506)+1,1))*(IF('Gastos com Pessoal'!$M$7:$M$506&lt;=AR$3,('Gastos com Pessoal'!$N$7:$N$506)+1,1))*(IF('Gastos com Pessoal'!$S$7:$S$506&lt;=AR$3,('Gastos com Pessoal'!$T$7:$T$506)+1,1))*(IF('Gastos com Pessoal'!$Y$7:$Y$506&lt;=AR$3,('Gastos com Pessoal'!$Z$7:$Z$506)+1,1))*(IF('Gastos com Pessoal'!$AE$7:$AE$506&lt;=AR$3,('Gastos com Pessoal'!$AF$7:$AF$506)+1,1)),0)</f>
        <v>82449.501905475117</v>
      </c>
      <c r="AS21" s="188">
        <f t="array" aca="1" ref="AS21" ca="1">_xlfn.IFNA(SUM((AS$3&gt;='Gastos com Pessoal'!$E$7:$E$506)*(AS$3&lt;='Gastos com Pessoal'!$F$7:$F$506)*OFFSET('Encargos e Benefícios'!$D$5,1,MATCH($B21,'Encargos e Benefícios'!$E$5:$AB$5,0),500,1))*(IF('Gastos com Pessoal'!$G$7:$G$506&lt;=AS$3,('Gastos com Pessoal'!$H$7:$H$506)+1,1))*(IF('Gastos com Pessoal'!$M$7:$M$506&lt;=AS$3,('Gastos com Pessoal'!$N$7:$N$506)+1,1))*(IF('Gastos com Pessoal'!$S$7:$S$506&lt;=AS$3,('Gastos com Pessoal'!$T$7:$T$506)+1,1))*(IF('Gastos com Pessoal'!$Y$7:$Y$506&lt;=AS$3,('Gastos com Pessoal'!$Z$7:$Z$506)+1,1))*(IF('Gastos com Pessoal'!$AE$7:$AE$506&lt;=AS$3,('Gastos com Pessoal'!$AF$7:$AF$506)+1,1)),0)</f>
        <v>82449.501905475117</v>
      </c>
      <c r="AT21" s="188">
        <f t="array" aca="1" ref="AT21" ca="1">_xlfn.IFNA(SUM((AT$3&gt;='Gastos com Pessoal'!$E$7:$E$506)*(AT$3&lt;='Gastos com Pessoal'!$F$7:$F$506)*OFFSET('Encargos e Benefícios'!$D$5,1,MATCH($B21,'Encargos e Benefícios'!$E$5:$AB$5,0),500,1))*(IF('Gastos com Pessoal'!$G$7:$G$506&lt;=AT$3,('Gastos com Pessoal'!$H$7:$H$506)+1,1))*(IF('Gastos com Pessoal'!$M$7:$M$506&lt;=AT$3,('Gastos com Pessoal'!$N$7:$N$506)+1,1))*(IF('Gastos com Pessoal'!$S$7:$S$506&lt;=AT$3,('Gastos com Pessoal'!$T$7:$T$506)+1,1))*(IF('Gastos com Pessoal'!$Y$7:$Y$506&lt;=AT$3,('Gastos com Pessoal'!$Z$7:$Z$506)+1,1))*(IF('Gastos com Pessoal'!$AE$7:$AE$506&lt;=AT$3,('Gastos com Pessoal'!$AF$7:$AF$506)+1,1)),0)</f>
        <v>82449.501905475117</v>
      </c>
      <c r="AU21" s="188">
        <f t="array" aca="1" ref="AU21" ca="1">_xlfn.IFNA(SUM((AU$3&gt;='Gastos com Pessoal'!$E$7:$E$506)*(AU$3&lt;='Gastos com Pessoal'!$F$7:$F$506)*OFFSET('Encargos e Benefícios'!$D$5,1,MATCH($B21,'Encargos e Benefícios'!$E$5:$AB$5,0),500,1))*(IF('Gastos com Pessoal'!$G$7:$G$506&lt;=AU$3,('Gastos com Pessoal'!$H$7:$H$506)+1,1))*(IF('Gastos com Pessoal'!$M$7:$M$506&lt;=AU$3,('Gastos com Pessoal'!$N$7:$N$506)+1,1))*(IF('Gastos com Pessoal'!$S$7:$S$506&lt;=AU$3,('Gastos com Pessoal'!$T$7:$T$506)+1,1))*(IF('Gastos com Pessoal'!$Y$7:$Y$506&lt;=AU$3,('Gastos com Pessoal'!$Z$7:$Z$506)+1,1))*(IF('Gastos com Pessoal'!$AE$7:$AE$506&lt;=AU$3,('Gastos com Pessoal'!$AF$7:$AF$506)+1,1)),0)</f>
        <v>82449.501905475117</v>
      </c>
      <c r="AV21" s="188">
        <f t="array" aca="1" ref="AV21" ca="1">_xlfn.IFNA(SUM((AV$3&gt;='Gastos com Pessoal'!$E$7:$E$506)*(AV$3&lt;='Gastos com Pessoal'!$F$7:$F$506)*OFFSET('Encargos e Benefícios'!$D$5,1,MATCH($B21,'Encargos e Benefícios'!$E$5:$AB$5,0),500,1))*(IF('Gastos com Pessoal'!$G$7:$G$506&lt;=AV$3,('Gastos com Pessoal'!$H$7:$H$506)+1,1))*(IF('Gastos com Pessoal'!$M$7:$M$506&lt;=AV$3,('Gastos com Pessoal'!$N$7:$N$506)+1,1))*(IF('Gastos com Pessoal'!$S$7:$S$506&lt;=AV$3,('Gastos com Pessoal'!$T$7:$T$506)+1,1))*(IF('Gastos com Pessoal'!$Y$7:$Y$506&lt;=AV$3,('Gastos com Pessoal'!$Z$7:$Z$506)+1,1))*(IF('Gastos com Pessoal'!$AE$7:$AE$506&lt;=AV$3,('Gastos com Pessoal'!$AF$7:$AF$506)+1,1)),0)</f>
        <v>82449.501905475117</v>
      </c>
      <c r="AW21" s="188">
        <f t="array" aca="1" ref="AW21" ca="1">_xlfn.IFNA(SUM((AW$3&gt;='Gastos com Pessoal'!$E$7:$E$506)*(AW$3&lt;='Gastos com Pessoal'!$F$7:$F$506)*OFFSET('Encargos e Benefícios'!$D$5,1,MATCH($B21,'Encargos e Benefícios'!$E$5:$AB$5,0),500,1))*(IF('Gastos com Pessoal'!$G$7:$G$506&lt;=AW$3,('Gastos com Pessoal'!$H$7:$H$506)+1,1))*(IF('Gastos com Pessoal'!$M$7:$M$506&lt;=AW$3,('Gastos com Pessoal'!$N$7:$N$506)+1,1))*(IF('Gastos com Pessoal'!$S$7:$S$506&lt;=AW$3,('Gastos com Pessoal'!$T$7:$T$506)+1,1))*(IF('Gastos com Pessoal'!$Y$7:$Y$506&lt;=AW$3,('Gastos com Pessoal'!$Z$7:$Z$506)+1,1))*(IF('Gastos com Pessoal'!$AE$7:$AE$506&lt;=AW$3,('Gastos com Pessoal'!$AF$7:$AF$506)+1,1)),0)</f>
        <v>82449.501905475117</v>
      </c>
      <c r="AX21" s="188">
        <f t="array" aca="1" ref="AX21" ca="1">_xlfn.IFNA(SUM((AX$3&gt;='Gastos com Pessoal'!$E$7:$E$506)*(AX$3&lt;='Gastos com Pessoal'!$F$7:$F$506)*OFFSET('Encargos e Benefícios'!$D$5,1,MATCH($B21,'Encargos e Benefícios'!$E$5:$AB$5,0),500,1))*(IF('Gastos com Pessoal'!$G$7:$G$506&lt;=AX$3,('Gastos com Pessoal'!$H$7:$H$506)+1,1))*(IF('Gastos com Pessoal'!$M$7:$M$506&lt;=AX$3,('Gastos com Pessoal'!$N$7:$N$506)+1,1))*(IF('Gastos com Pessoal'!$S$7:$S$506&lt;=AX$3,('Gastos com Pessoal'!$T$7:$T$506)+1,1))*(IF('Gastos com Pessoal'!$Y$7:$Y$506&lt;=AX$3,('Gastos com Pessoal'!$Z$7:$Z$506)+1,1))*(IF('Gastos com Pessoal'!$AE$7:$AE$506&lt;=AX$3,('Gastos com Pessoal'!$AF$7:$AF$506)+1,1)),0)</f>
        <v>0</v>
      </c>
      <c r="AY21" s="188">
        <f t="array" aca="1" ref="AY21" ca="1">_xlfn.IFNA(SUM((AY$3&gt;='Gastos com Pessoal'!$E$7:$E$506)*(AY$3&lt;='Gastos com Pessoal'!$F$7:$F$506)*OFFSET('Encargos e Benefícios'!$D$5,1,MATCH($B21,'Encargos e Benefícios'!$E$5:$AB$5,0),500,1))*(IF('Gastos com Pessoal'!$G$7:$G$506&lt;=AY$3,('Gastos com Pessoal'!$H$7:$H$506)+1,1))*(IF('Gastos com Pessoal'!$M$7:$M$506&lt;=AY$3,('Gastos com Pessoal'!$N$7:$N$506)+1,1))*(IF('Gastos com Pessoal'!$S$7:$S$506&lt;=AY$3,('Gastos com Pessoal'!$T$7:$T$506)+1,1))*(IF('Gastos com Pessoal'!$Y$7:$Y$506&lt;=AY$3,('Gastos com Pessoal'!$Z$7:$Z$506)+1,1))*(IF('Gastos com Pessoal'!$AE$7:$AE$506&lt;=AY$3,('Gastos com Pessoal'!$AF$7:$AF$506)+1,1)),0)</f>
        <v>0</v>
      </c>
      <c r="AZ21" s="188">
        <f t="array" aca="1" ref="AZ21" ca="1">_xlfn.IFNA(SUM((AZ$3&gt;='Gastos com Pessoal'!$E$7:$E$506)*(AZ$3&lt;='Gastos com Pessoal'!$F$7:$F$506)*OFFSET('Encargos e Benefícios'!$D$5,1,MATCH($B21,'Encargos e Benefícios'!$E$5:$AB$5,0),500,1))*(IF('Gastos com Pessoal'!$G$7:$G$506&lt;=AZ$3,('Gastos com Pessoal'!$H$7:$H$506)+1,1))*(IF('Gastos com Pessoal'!$M$7:$M$506&lt;=AZ$3,('Gastos com Pessoal'!$N$7:$N$506)+1,1))*(IF('Gastos com Pessoal'!$S$7:$S$506&lt;=AZ$3,('Gastos com Pessoal'!$T$7:$T$506)+1,1))*(IF('Gastos com Pessoal'!$Y$7:$Y$506&lt;=AZ$3,('Gastos com Pessoal'!$Z$7:$Z$506)+1,1))*(IF('Gastos com Pessoal'!$AE$7:$AE$506&lt;=AZ$3,('Gastos com Pessoal'!$AF$7:$AF$506)+1,1)),0)</f>
        <v>0</v>
      </c>
      <c r="BA21" s="188">
        <f t="array" aca="1" ref="BA21" ca="1">_xlfn.IFNA(SUM((BA$3&gt;='Gastos com Pessoal'!$E$7:$E$506)*(BA$3&lt;='Gastos com Pessoal'!$F$7:$F$506)*OFFSET('Encargos e Benefícios'!$D$5,1,MATCH($B21,'Encargos e Benefícios'!$E$5:$AB$5,0),500,1))*(IF('Gastos com Pessoal'!$G$7:$G$506&lt;=BA$3,('Gastos com Pessoal'!$H$7:$H$506)+1,1))*(IF('Gastos com Pessoal'!$M$7:$M$506&lt;=BA$3,('Gastos com Pessoal'!$N$7:$N$506)+1,1))*(IF('Gastos com Pessoal'!$S$7:$S$506&lt;=BA$3,('Gastos com Pessoal'!$T$7:$T$506)+1,1))*(IF('Gastos com Pessoal'!$Y$7:$Y$506&lt;=BA$3,('Gastos com Pessoal'!$Z$7:$Z$506)+1,1))*(IF('Gastos com Pessoal'!$AE$7:$AE$506&lt;=BA$3,('Gastos com Pessoal'!$AF$7:$AF$506)+1,1)),0)</f>
        <v>0</v>
      </c>
      <c r="BB21" s="188">
        <f t="array" aca="1" ref="BB21" ca="1">_xlfn.IFNA(SUM((BB$3&gt;='Gastos com Pessoal'!$E$7:$E$506)*(BB$3&lt;='Gastos com Pessoal'!$F$7:$F$506)*OFFSET('Encargos e Benefícios'!$D$5,1,MATCH($B21,'Encargos e Benefícios'!$E$5:$AB$5,0),500,1))*(IF('Gastos com Pessoal'!$G$7:$G$506&lt;=BB$3,('Gastos com Pessoal'!$H$7:$H$506)+1,1))*(IF('Gastos com Pessoal'!$M$7:$M$506&lt;=BB$3,('Gastos com Pessoal'!$N$7:$N$506)+1,1))*(IF('Gastos com Pessoal'!$S$7:$S$506&lt;=BB$3,('Gastos com Pessoal'!$T$7:$T$506)+1,1))*(IF('Gastos com Pessoal'!$Y$7:$Y$506&lt;=BB$3,('Gastos com Pessoal'!$Z$7:$Z$506)+1,1))*(IF('Gastos com Pessoal'!$AE$7:$AE$506&lt;=BB$3,('Gastos com Pessoal'!$AF$7:$AF$506)+1,1)),0)</f>
        <v>0</v>
      </c>
      <c r="BC21" s="188">
        <f t="array" aca="1" ref="BC21" ca="1">_xlfn.IFNA(SUM((BC$3&gt;='Gastos com Pessoal'!$E$7:$E$506)*(BC$3&lt;='Gastos com Pessoal'!$F$7:$F$506)*OFFSET('Encargos e Benefícios'!$D$5,1,MATCH($B21,'Encargos e Benefícios'!$E$5:$AB$5,0),500,1))*(IF('Gastos com Pessoal'!$G$7:$G$506&lt;=BC$3,('Gastos com Pessoal'!$H$7:$H$506)+1,1))*(IF('Gastos com Pessoal'!$M$7:$M$506&lt;=BC$3,('Gastos com Pessoal'!$N$7:$N$506)+1,1))*(IF('Gastos com Pessoal'!$S$7:$S$506&lt;=BC$3,('Gastos com Pessoal'!$T$7:$T$506)+1,1))*(IF('Gastos com Pessoal'!$Y$7:$Y$506&lt;=BC$3,('Gastos com Pessoal'!$Z$7:$Z$506)+1,1))*(IF('Gastos com Pessoal'!$AE$7:$AE$506&lt;=BC$3,('Gastos com Pessoal'!$AF$7:$AF$506)+1,1)),0)</f>
        <v>0</v>
      </c>
      <c r="BD21" s="188">
        <f t="array" aca="1" ref="BD21" ca="1">_xlfn.IFNA(SUM((BD$3&gt;='Gastos com Pessoal'!$E$7:$E$506)*(BD$3&lt;='Gastos com Pessoal'!$F$7:$F$506)*OFFSET('Encargos e Benefícios'!$D$5,1,MATCH($B21,'Encargos e Benefícios'!$E$5:$AB$5,0),500,1))*(IF('Gastos com Pessoal'!$G$7:$G$506&lt;=BD$3,('Gastos com Pessoal'!$H$7:$H$506)+1,1))*(IF('Gastos com Pessoal'!$M$7:$M$506&lt;=BD$3,('Gastos com Pessoal'!$N$7:$N$506)+1,1))*(IF('Gastos com Pessoal'!$S$7:$S$506&lt;=BD$3,('Gastos com Pessoal'!$T$7:$T$506)+1,1))*(IF('Gastos com Pessoal'!$Y$7:$Y$506&lt;=BD$3,('Gastos com Pessoal'!$Z$7:$Z$506)+1,1))*(IF('Gastos com Pessoal'!$AE$7:$AE$506&lt;=BD$3,('Gastos com Pessoal'!$AF$7:$AF$506)+1,1)),0)</f>
        <v>0</v>
      </c>
      <c r="BE21" s="188">
        <f t="array" aca="1" ref="BE21" ca="1">_xlfn.IFNA(SUM((BE$3&gt;='Gastos com Pessoal'!$E$7:$E$506)*(BE$3&lt;='Gastos com Pessoal'!$F$7:$F$506)*OFFSET('Encargos e Benefícios'!$D$5,1,MATCH($B21,'Encargos e Benefícios'!$E$5:$AB$5,0),500,1))*(IF('Gastos com Pessoal'!$G$7:$G$506&lt;=BE$3,('Gastos com Pessoal'!$H$7:$H$506)+1,1))*(IF('Gastos com Pessoal'!$M$7:$M$506&lt;=BE$3,('Gastos com Pessoal'!$N$7:$N$506)+1,1))*(IF('Gastos com Pessoal'!$S$7:$S$506&lt;=BE$3,('Gastos com Pessoal'!$T$7:$T$506)+1,1))*(IF('Gastos com Pessoal'!$Y$7:$Y$506&lt;=BE$3,('Gastos com Pessoal'!$Z$7:$Z$506)+1,1))*(IF('Gastos com Pessoal'!$AE$7:$AE$506&lt;=BE$3,('Gastos com Pessoal'!$AF$7:$AF$506)+1,1)),0)</f>
        <v>0</v>
      </c>
      <c r="BF21" s="188">
        <f t="array" aca="1" ref="BF21" ca="1">_xlfn.IFNA(SUM((BF$3&gt;='Gastos com Pessoal'!$E$7:$E$506)*(BF$3&lt;='Gastos com Pessoal'!$F$7:$F$506)*OFFSET('Encargos e Benefícios'!$D$5,1,MATCH($B21,'Encargos e Benefícios'!$E$5:$AB$5,0),500,1))*(IF('Gastos com Pessoal'!$G$7:$G$506&lt;=BF$3,('Gastos com Pessoal'!$H$7:$H$506)+1,1))*(IF('Gastos com Pessoal'!$M$7:$M$506&lt;=BF$3,('Gastos com Pessoal'!$N$7:$N$506)+1,1))*(IF('Gastos com Pessoal'!$S$7:$S$506&lt;=BF$3,('Gastos com Pessoal'!$T$7:$T$506)+1,1))*(IF('Gastos com Pessoal'!$Y$7:$Y$506&lt;=BF$3,('Gastos com Pessoal'!$Z$7:$Z$506)+1,1))*(IF('Gastos com Pessoal'!$AE$7:$AE$506&lt;=BF$3,('Gastos com Pessoal'!$AF$7:$AF$506)+1,1)),0)</f>
        <v>0</v>
      </c>
      <c r="BG21" s="188">
        <f t="array" aca="1" ref="BG21" ca="1">_xlfn.IFNA(SUM((BG$3&gt;='Gastos com Pessoal'!$E$7:$E$506)*(BG$3&lt;='Gastos com Pessoal'!$F$7:$F$506)*OFFSET('Encargos e Benefícios'!$D$5,1,MATCH($B21,'Encargos e Benefícios'!$E$5:$AB$5,0),500,1))*(IF('Gastos com Pessoal'!$G$7:$G$506&lt;=BG$3,('Gastos com Pessoal'!$H$7:$H$506)+1,1))*(IF('Gastos com Pessoal'!$M$7:$M$506&lt;=BG$3,('Gastos com Pessoal'!$N$7:$N$506)+1,1))*(IF('Gastos com Pessoal'!$S$7:$S$506&lt;=BG$3,('Gastos com Pessoal'!$T$7:$T$506)+1,1))*(IF('Gastos com Pessoal'!$Y$7:$Y$506&lt;=BG$3,('Gastos com Pessoal'!$Z$7:$Z$506)+1,1))*(IF('Gastos com Pessoal'!$AE$7:$AE$506&lt;=BG$3,('Gastos com Pessoal'!$AF$7:$AF$506)+1,1)),0)</f>
        <v>0</v>
      </c>
      <c r="BH21" s="188">
        <f t="array" aca="1" ref="BH21" ca="1">_xlfn.IFNA(SUM((BH$3&gt;='Gastos com Pessoal'!$E$7:$E$506)*(BH$3&lt;='Gastos com Pessoal'!$F$7:$F$506)*OFFSET('Encargos e Benefícios'!$D$5,1,MATCH($B21,'Encargos e Benefícios'!$E$5:$AB$5,0),500,1))*(IF('Gastos com Pessoal'!$G$7:$G$506&lt;=BH$3,('Gastos com Pessoal'!$H$7:$H$506)+1,1))*(IF('Gastos com Pessoal'!$M$7:$M$506&lt;=BH$3,('Gastos com Pessoal'!$N$7:$N$506)+1,1))*(IF('Gastos com Pessoal'!$S$7:$S$506&lt;=BH$3,('Gastos com Pessoal'!$T$7:$T$506)+1,1))*(IF('Gastos com Pessoal'!$Y$7:$Y$506&lt;=BH$3,('Gastos com Pessoal'!$Z$7:$Z$506)+1,1))*(IF('Gastos com Pessoal'!$AE$7:$AE$506&lt;=BH$3,('Gastos com Pessoal'!$AF$7:$AF$506)+1,1)),0)</f>
        <v>0</v>
      </c>
      <c r="BI21" s="188">
        <f t="array" aca="1" ref="BI21" ca="1">_xlfn.IFNA(SUM((BI$3&gt;='Gastos com Pessoal'!$E$7:$E$506)*(BI$3&lt;='Gastos com Pessoal'!$F$7:$F$506)*OFFSET('Encargos e Benefícios'!$D$5,1,MATCH($B21,'Encargos e Benefícios'!$E$5:$AB$5,0),500,1))*(IF('Gastos com Pessoal'!$G$7:$G$506&lt;=BI$3,('Gastos com Pessoal'!$H$7:$H$506)+1,1))*(IF('Gastos com Pessoal'!$M$7:$M$506&lt;=BI$3,('Gastos com Pessoal'!$N$7:$N$506)+1,1))*(IF('Gastos com Pessoal'!$S$7:$S$506&lt;=BI$3,('Gastos com Pessoal'!$T$7:$T$506)+1,1))*(IF('Gastos com Pessoal'!$Y$7:$Y$506&lt;=BI$3,('Gastos com Pessoal'!$Z$7:$Z$506)+1,1))*(IF('Gastos com Pessoal'!$AE$7:$AE$506&lt;=BI$3,('Gastos com Pessoal'!$AF$7:$AF$506)+1,1)),0)</f>
        <v>0</v>
      </c>
      <c r="BJ21" s="188">
        <f t="array" aca="1" ref="BJ21" ca="1">_xlfn.IFNA(SUM((BJ$3&gt;='Gastos com Pessoal'!$E$7:$E$506)*(BJ$3&lt;='Gastos com Pessoal'!$F$7:$F$506)*OFFSET('Encargos e Benefícios'!$D$5,1,MATCH($B21,'Encargos e Benefícios'!$E$5:$AB$5,0),500,1))*(IF('Gastos com Pessoal'!$G$7:$G$506&lt;=BJ$3,('Gastos com Pessoal'!$H$7:$H$506)+1,1))*(IF('Gastos com Pessoal'!$M$7:$M$506&lt;=BJ$3,('Gastos com Pessoal'!$N$7:$N$506)+1,1))*(IF('Gastos com Pessoal'!$S$7:$S$506&lt;=BJ$3,('Gastos com Pessoal'!$T$7:$T$506)+1,1))*(IF('Gastos com Pessoal'!$Y$7:$Y$506&lt;=BJ$3,('Gastos com Pessoal'!$Z$7:$Z$506)+1,1))*(IF('Gastos com Pessoal'!$AE$7:$AE$506&lt;=BJ$3,('Gastos com Pessoal'!$AF$7:$AF$506)+1,1)),0)</f>
        <v>0</v>
      </c>
      <c r="BK21" s="189">
        <f t="shared" ca="1" si="8"/>
        <v>3403722.8106468087</v>
      </c>
      <c r="BL21" s="136">
        <f t="shared" ca="1" si="9"/>
        <v>1.1719011201767434E-2</v>
      </c>
    </row>
    <row r="22" spans="1:64" s="160" customFormat="1" ht="23.25" customHeight="1">
      <c r="A22" s="198" t="s">
        <v>135</v>
      </c>
      <c r="B22" s="209" t="s">
        <v>136</v>
      </c>
      <c r="C22" s="188">
        <f t="array" aca="1" ref="C22" ca="1">_xlfn.IFNA(SUM((C$3&gt;='Gastos com Pessoal'!$E$7:$E$506)*(C$3&lt;='Gastos com Pessoal'!$F$7:$F$506)*OFFSET('Encargos e Benefícios'!$D$5,1,MATCH($B22,'Encargos e Benefícios'!$E$5:$AB$5,0),500,1))*(IF('Gastos com Pessoal'!$G$7:$G$506&lt;=C$3,('Gastos com Pessoal'!$H$7:$H$506)+1,1))*(IF('Gastos com Pessoal'!$M$7:$M$506&lt;=C$3,('Gastos com Pessoal'!$N$7:$N$506)+1,1))*(IF('Gastos com Pessoal'!$S$7:$S$506&lt;=C$3,('Gastos com Pessoal'!$T$7:$T$506)+1,1))*(IF('Gastos com Pessoal'!$Y$7:$Y$506&lt;=C$3,('Gastos com Pessoal'!$Z$7:$Z$506)+1,1))*(IF('Gastos com Pessoal'!$AE$7:$AE$506&lt;=C$3,('Gastos com Pessoal'!$AF$7:$AF$506)+1,1)),0)</f>
        <v>8763.9552000000022</v>
      </c>
      <c r="D22" s="188">
        <f t="array" aca="1" ref="D22" ca="1">_xlfn.IFNA(SUM((D$3&gt;='Gastos com Pessoal'!$E$7:$E$506)*(D$3&lt;='Gastos com Pessoal'!$F$7:$F$506)*OFFSET('Encargos e Benefícios'!$D$5,1,MATCH($B22,'Encargos e Benefícios'!$E$5:$AB$5,0),500,1))*(IF('Gastos com Pessoal'!$G$7:$G$506&lt;=D$3,('Gastos com Pessoal'!$H$7:$H$506)+1,1))*(IF('Gastos com Pessoal'!$M$7:$M$506&lt;=D$3,('Gastos com Pessoal'!$N$7:$N$506)+1,1))*(IF('Gastos com Pessoal'!$S$7:$S$506&lt;=D$3,('Gastos com Pessoal'!$T$7:$T$506)+1,1))*(IF('Gastos com Pessoal'!$Y$7:$Y$506&lt;=D$3,('Gastos com Pessoal'!$Z$7:$Z$506)+1,1))*(IF('Gastos com Pessoal'!$AE$7:$AE$506&lt;=D$3,('Gastos com Pessoal'!$AF$7:$AF$506)+1,1)),0)</f>
        <v>8763.9552000000022</v>
      </c>
      <c r="E22" s="188">
        <f t="array" aca="1" ref="E22" ca="1">_xlfn.IFNA(SUM((E$3&gt;='Gastos com Pessoal'!$E$7:$E$506)*(E$3&lt;='Gastos com Pessoal'!$F$7:$F$506)*OFFSET('Encargos e Benefícios'!$D$5,1,MATCH($B22,'Encargos e Benefícios'!$E$5:$AB$5,0),500,1))*(IF('Gastos com Pessoal'!$G$7:$G$506&lt;=E$3,('Gastos com Pessoal'!$H$7:$H$506)+1,1))*(IF('Gastos com Pessoal'!$M$7:$M$506&lt;=E$3,('Gastos com Pessoal'!$N$7:$N$506)+1,1))*(IF('Gastos com Pessoal'!$S$7:$S$506&lt;=E$3,('Gastos com Pessoal'!$T$7:$T$506)+1,1))*(IF('Gastos com Pessoal'!$Y$7:$Y$506&lt;=E$3,('Gastos com Pessoal'!$Z$7:$Z$506)+1,1))*(IF('Gastos com Pessoal'!$AE$7:$AE$506&lt;=E$3,('Gastos com Pessoal'!$AF$7:$AF$506)+1,1)),0)</f>
        <v>9295.104000000003</v>
      </c>
      <c r="F22" s="188">
        <f t="array" aca="1" ref="F22" ca="1">_xlfn.IFNA(SUM((F$3&gt;='Gastos com Pessoal'!$E$7:$E$506)*(F$3&lt;='Gastos com Pessoal'!$F$7:$F$506)*OFFSET('Encargos e Benefícios'!$D$5,1,MATCH($B22,'Encargos e Benefícios'!$E$5:$AB$5,0),500,1))*(IF('Gastos com Pessoal'!$G$7:$G$506&lt;=F$3,('Gastos com Pessoal'!$H$7:$H$506)+1,1))*(IF('Gastos com Pessoal'!$M$7:$M$506&lt;=F$3,('Gastos com Pessoal'!$N$7:$N$506)+1,1))*(IF('Gastos com Pessoal'!$S$7:$S$506&lt;=F$3,('Gastos com Pessoal'!$T$7:$T$506)+1,1))*(IF('Gastos com Pessoal'!$Y$7:$Y$506&lt;=F$3,('Gastos com Pessoal'!$Z$7:$Z$506)+1,1))*(IF('Gastos com Pessoal'!$AE$7:$AE$506&lt;=F$3,('Gastos com Pessoal'!$AF$7:$AF$506)+1,1)),0)</f>
        <v>9295.104000000003</v>
      </c>
      <c r="G22" s="188">
        <f t="array" aca="1" ref="G22" ca="1">_xlfn.IFNA(SUM((G$3&gt;='Gastos com Pessoal'!$E$7:$E$506)*(G$3&lt;='Gastos com Pessoal'!$F$7:$F$506)*OFFSET('Encargos e Benefícios'!$D$5,1,MATCH($B22,'Encargos e Benefícios'!$E$5:$AB$5,0),500,1))*(IF('Gastos com Pessoal'!$G$7:$G$506&lt;=G$3,('Gastos com Pessoal'!$H$7:$H$506)+1,1))*(IF('Gastos com Pessoal'!$M$7:$M$506&lt;=G$3,('Gastos com Pessoal'!$N$7:$N$506)+1,1))*(IF('Gastos com Pessoal'!$S$7:$S$506&lt;=G$3,('Gastos com Pessoal'!$T$7:$T$506)+1,1))*(IF('Gastos com Pessoal'!$Y$7:$Y$506&lt;=G$3,('Gastos com Pessoal'!$Z$7:$Z$506)+1,1))*(IF('Gastos com Pessoal'!$AE$7:$AE$506&lt;=G$3,('Gastos com Pessoal'!$AF$7:$AF$506)+1,1)),0)</f>
        <v>9837.9380736000039</v>
      </c>
      <c r="H22" s="188">
        <f t="array" aca="1" ref="H22" ca="1">_xlfn.IFNA(SUM((H$3&gt;='Gastos com Pessoal'!$E$7:$E$506)*(H$3&lt;='Gastos com Pessoal'!$F$7:$F$506)*OFFSET('Encargos e Benefícios'!$D$5,1,MATCH($B22,'Encargos e Benefícios'!$E$5:$AB$5,0),500,1))*(IF('Gastos com Pessoal'!$G$7:$G$506&lt;=H$3,('Gastos com Pessoal'!$H$7:$H$506)+1,1))*(IF('Gastos com Pessoal'!$M$7:$M$506&lt;=H$3,('Gastos com Pessoal'!$N$7:$N$506)+1,1))*(IF('Gastos com Pessoal'!$S$7:$S$506&lt;=H$3,('Gastos com Pessoal'!$T$7:$T$506)+1,1))*(IF('Gastos com Pessoal'!$Y$7:$Y$506&lt;=H$3,('Gastos com Pessoal'!$Z$7:$Z$506)+1,1))*(IF('Gastos com Pessoal'!$AE$7:$AE$506&lt;=H$3,('Gastos com Pessoal'!$AF$7:$AF$506)+1,1)),0)</f>
        <v>10400.105963520004</v>
      </c>
      <c r="I22" s="188">
        <f t="array" aca="1" ref="I22" ca="1">_xlfn.IFNA(SUM((I$3&gt;='Gastos com Pessoal'!$E$7:$E$506)*(I$3&lt;='Gastos com Pessoal'!$F$7:$F$506)*OFFSET('Encargos e Benefícios'!$D$5,1,MATCH($B22,'Encargos e Benefícios'!$E$5:$AB$5,0),500,1))*(IF('Gastos com Pessoal'!$G$7:$G$506&lt;=I$3,('Gastos com Pessoal'!$H$7:$H$506)+1,1))*(IF('Gastos com Pessoal'!$M$7:$M$506&lt;=I$3,('Gastos com Pessoal'!$N$7:$N$506)+1,1))*(IF('Gastos com Pessoal'!$S$7:$S$506&lt;=I$3,('Gastos com Pessoal'!$T$7:$T$506)+1,1))*(IF('Gastos com Pessoal'!$Y$7:$Y$506&lt;=I$3,('Gastos com Pessoal'!$Z$7:$Z$506)+1,1))*(IF('Gastos com Pessoal'!$AE$7:$AE$506&lt;=I$3,('Gastos com Pessoal'!$AF$7:$AF$506)+1,1)),0)</f>
        <v>10400.105963520004</v>
      </c>
      <c r="J22" s="188">
        <f t="array" aca="1" ref="J22" ca="1">_xlfn.IFNA(SUM((J$3&gt;='Gastos com Pessoal'!$E$7:$E$506)*(J$3&lt;='Gastos com Pessoal'!$F$7:$F$506)*OFFSET('Encargos e Benefícios'!$D$5,1,MATCH($B22,'Encargos e Benefícios'!$E$5:$AB$5,0),500,1))*(IF('Gastos com Pessoal'!$G$7:$G$506&lt;=J$3,('Gastos com Pessoal'!$H$7:$H$506)+1,1))*(IF('Gastos com Pessoal'!$M$7:$M$506&lt;=J$3,('Gastos com Pessoal'!$N$7:$N$506)+1,1))*(IF('Gastos com Pessoal'!$S$7:$S$506&lt;=J$3,('Gastos com Pessoal'!$T$7:$T$506)+1,1))*(IF('Gastos com Pessoal'!$Y$7:$Y$506&lt;=J$3,('Gastos com Pessoal'!$Z$7:$Z$506)+1,1))*(IF('Gastos com Pessoal'!$AE$7:$AE$506&lt;=J$3,('Gastos com Pessoal'!$AF$7:$AF$506)+1,1)),0)</f>
        <v>10400.105963520004</v>
      </c>
      <c r="K22" s="188">
        <f t="array" aca="1" ref="K22" ca="1">_xlfn.IFNA(SUM((K$3&gt;='Gastos com Pessoal'!$E$7:$E$506)*(K$3&lt;='Gastos com Pessoal'!$F$7:$F$506)*OFFSET('Encargos e Benefícios'!$D$5,1,MATCH($B22,'Encargos e Benefícios'!$E$5:$AB$5,0),500,1))*(IF('Gastos com Pessoal'!$G$7:$G$506&lt;=K$3,('Gastos com Pessoal'!$H$7:$H$506)+1,1))*(IF('Gastos com Pessoal'!$M$7:$M$506&lt;=K$3,('Gastos com Pessoal'!$N$7:$N$506)+1,1))*(IF('Gastos com Pessoal'!$S$7:$S$506&lt;=K$3,('Gastos com Pessoal'!$T$7:$T$506)+1,1))*(IF('Gastos com Pessoal'!$Y$7:$Y$506&lt;=K$3,('Gastos com Pessoal'!$Z$7:$Z$506)+1,1))*(IF('Gastos com Pessoal'!$AE$7:$AE$506&lt;=K$3,('Gastos com Pessoal'!$AF$7:$AF$506)+1,1)),0)</f>
        <v>10995.104440320007</v>
      </c>
      <c r="L22" s="188">
        <f t="array" aca="1" ref="L22" ca="1">_xlfn.IFNA(SUM((L$3&gt;='Gastos com Pessoal'!$E$7:$E$506)*(L$3&lt;='Gastos com Pessoal'!$F$7:$F$506)*OFFSET('Encargos e Benefícios'!$D$5,1,MATCH($B22,'Encargos e Benefícios'!$E$5:$AB$5,0),500,1))*(IF('Gastos com Pessoal'!$G$7:$G$506&lt;=L$3,('Gastos com Pessoal'!$H$7:$H$506)+1,1))*(IF('Gastos com Pessoal'!$M$7:$M$506&lt;=L$3,('Gastos com Pessoal'!$N$7:$N$506)+1,1))*(IF('Gastos com Pessoal'!$S$7:$S$506&lt;=L$3,('Gastos com Pessoal'!$T$7:$T$506)+1,1))*(IF('Gastos com Pessoal'!$Y$7:$Y$506&lt;=L$3,('Gastos com Pessoal'!$Z$7:$Z$506)+1,1))*(IF('Gastos com Pessoal'!$AE$7:$AE$506&lt;=L$3,('Gastos com Pessoal'!$AF$7:$AF$506)+1,1)),0)</f>
        <v>10995.104440320007</v>
      </c>
      <c r="M22" s="188">
        <f t="array" aca="1" ref="M22" ca="1">_xlfn.IFNA(SUM((M$3&gt;='Gastos com Pessoal'!$E$7:$E$506)*(M$3&lt;='Gastos com Pessoal'!$F$7:$F$506)*OFFSET('Encargos e Benefícios'!$D$5,1,MATCH($B22,'Encargos e Benefícios'!$E$5:$AB$5,0),500,1))*(IF('Gastos com Pessoal'!$G$7:$G$506&lt;=M$3,('Gastos com Pessoal'!$H$7:$H$506)+1,1))*(IF('Gastos com Pessoal'!$M$7:$M$506&lt;=M$3,('Gastos com Pessoal'!$N$7:$N$506)+1,1))*(IF('Gastos com Pessoal'!$S$7:$S$506&lt;=M$3,('Gastos com Pessoal'!$T$7:$T$506)+1,1))*(IF('Gastos com Pessoal'!$Y$7:$Y$506&lt;=M$3,('Gastos com Pessoal'!$Z$7:$Z$506)+1,1))*(IF('Gastos com Pessoal'!$AE$7:$AE$506&lt;=M$3,('Gastos com Pessoal'!$AF$7:$AF$506)+1,1)),0)</f>
        <v>10995.104440320007</v>
      </c>
      <c r="N22" s="188">
        <f t="array" aca="1" ref="N22" ca="1">_xlfn.IFNA(SUM((N$3&gt;='Gastos com Pessoal'!$E$7:$E$506)*(N$3&lt;='Gastos com Pessoal'!$F$7:$F$506)*OFFSET('Encargos e Benefícios'!$D$5,1,MATCH($B22,'Encargos e Benefícios'!$E$5:$AB$5,0),500,1))*(IF('Gastos com Pessoal'!$G$7:$G$506&lt;=N$3,('Gastos com Pessoal'!$H$7:$H$506)+1,1))*(IF('Gastos com Pessoal'!$M$7:$M$506&lt;=N$3,('Gastos com Pessoal'!$N$7:$N$506)+1,1))*(IF('Gastos com Pessoal'!$S$7:$S$506&lt;=N$3,('Gastos com Pessoal'!$T$7:$T$506)+1,1))*(IF('Gastos com Pessoal'!$Y$7:$Y$506&lt;=N$3,('Gastos com Pessoal'!$Z$7:$Z$506)+1,1))*(IF('Gastos com Pessoal'!$AE$7:$AE$506&lt;=N$3,('Gastos com Pessoal'!$AF$7:$AF$506)+1,1)),0)</f>
        <v>11590.102917120008</v>
      </c>
      <c r="O22" s="188">
        <f t="array" aca="1" ref="O22" ca="1">_xlfn.IFNA(SUM((O$3&gt;='Gastos com Pessoal'!$E$7:$E$506)*(O$3&lt;='Gastos com Pessoal'!$F$7:$F$506)*OFFSET('Encargos e Benefícios'!$D$5,1,MATCH($B22,'Encargos e Benefícios'!$E$5:$AB$5,0),500,1))*(IF('Gastos com Pessoal'!$G$7:$G$506&lt;=O$3,('Gastos com Pessoal'!$H$7:$H$506)+1,1))*(IF('Gastos com Pessoal'!$M$7:$M$506&lt;=O$3,('Gastos com Pessoal'!$N$7:$N$506)+1,1))*(IF('Gastos com Pessoal'!$S$7:$S$506&lt;=O$3,('Gastos com Pessoal'!$T$7:$T$506)+1,1))*(IF('Gastos com Pessoal'!$Y$7:$Y$506&lt;=O$3,('Gastos com Pessoal'!$Z$7:$Z$506)+1,1))*(IF('Gastos com Pessoal'!$AE$7:$AE$506&lt;=O$3,('Gastos com Pessoal'!$AF$7:$AF$506)+1,1)),0)</f>
        <v>11590.102917120008</v>
      </c>
      <c r="P22" s="188">
        <f t="array" aca="1" ref="P22" ca="1">_xlfn.IFNA(SUM((P$3&gt;='Gastos com Pessoal'!$E$7:$E$506)*(P$3&lt;='Gastos com Pessoal'!$F$7:$F$506)*OFFSET('Encargos e Benefícios'!$D$5,1,MATCH($B22,'Encargos e Benefícios'!$E$5:$AB$5,0),500,1))*(IF('Gastos com Pessoal'!$G$7:$G$506&lt;=P$3,('Gastos com Pessoal'!$H$7:$H$506)+1,1))*(IF('Gastos com Pessoal'!$M$7:$M$506&lt;=P$3,('Gastos com Pessoal'!$N$7:$N$506)+1,1))*(IF('Gastos com Pessoal'!$S$7:$S$506&lt;=P$3,('Gastos com Pessoal'!$T$7:$T$506)+1,1))*(IF('Gastos com Pessoal'!$Y$7:$Y$506&lt;=P$3,('Gastos com Pessoal'!$Z$7:$Z$506)+1,1))*(IF('Gastos com Pessoal'!$AE$7:$AE$506&lt;=P$3,('Gastos com Pessoal'!$AF$7:$AF$506)+1,1)),0)</f>
        <v>11590.102917120008</v>
      </c>
      <c r="Q22" s="188">
        <f t="array" aca="1" ref="Q22" ca="1">_xlfn.IFNA(SUM((Q$3&gt;='Gastos com Pessoal'!$E$7:$E$506)*(Q$3&lt;='Gastos com Pessoal'!$F$7:$F$506)*OFFSET('Encargos e Benefícios'!$D$5,1,MATCH($B22,'Encargos e Benefícios'!$E$5:$AB$5,0),500,1))*(IF('Gastos com Pessoal'!$G$7:$G$506&lt;=Q$3,('Gastos com Pessoal'!$H$7:$H$506)+1,1))*(IF('Gastos com Pessoal'!$M$7:$M$506&lt;=Q$3,('Gastos com Pessoal'!$N$7:$N$506)+1,1))*(IF('Gastos com Pessoal'!$S$7:$S$506&lt;=Q$3,('Gastos com Pessoal'!$T$7:$T$506)+1,1))*(IF('Gastos com Pessoal'!$Y$7:$Y$506&lt;=Q$3,('Gastos com Pessoal'!$Z$7:$Z$506)+1,1))*(IF('Gastos com Pessoal'!$AE$7:$AE$506&lt;=Q$3,('Gastos com Pessoal'!$AF$7:$AF$506)+1,1)),0)</f>
        <v>11590.102917120008</v>
      </c>
      <c r="R22" s="188">
        <f t="array" aca="1" ref="R22" ca="1">_xlfn.IFNA(SUM((R$3&gt;='Gastos com Pessoal'!$E$7:$E$506)*(R$3&lt;='Gastos com Pessoal'!$F$7:$F$506)*OFFSET('Encargos e Benefícios'!$D$5,1,MATCH($B22,'Encargos e Benefícios'!$E$5:$AB$5,0),500,1))*(IF('Gastos com Pessoal'!$G$7:$G$506&lt;=R$3,('Gastos com Pessoal'!$H$7:$H$506)+1,1))*(IF('Gastos com Pessoal'!$M$7:$M$506&lt;=R$3,('Gastos com Pessoal'!$N$7:$N$506)+1,1))*(IF('Gastos com Pessoal'!$S$7:$S$506&lt;=R$3,('Gastos com Pessoal'!$T$7:$T$506)+1,1))*(IF('Gastos com Pessoal'!$Y$7:$Y$506&lt;=R$3,('Gastos com Pessoal'!$Z$7:$Z$506)+1,1))*(IF('Gastos com Pessoal'!$AE$7:$AE$506&lt;=R$3,('Gastos com Pessoal'!$AF$7:$AF$506)+1,1)),0)</f>
        <v>11590.102917120008</v>
      </c>
      <c r="S22" s="188">
        <f t="array" aca="1" ref="S22" ca="1">_xlfn.IFNA(SUM((S$3&gt;='Gastos com Pessoal'!$E$7:$E$506)*(S$3&lt;='Gastos com Pessoal'!$F$7:$F$506)*OFFSET('Encargos e Benefícios'!$D$5,1,MATCH($B22,'Encargos e Benefícios'!$E$5:$AB$5,0),500,1))*(IF('Gastos com Pessoal'!$G$7:$G$506&lt;=S$3,('Gastos com Pessoal'!$H$7:$H$506)+1,1))*(IF('Gastos com Pessoal'!$M$7:$M$506&lt;=S$3,('Gastos com Pessoal'!$N$7:$N$506)+1,1))*(IF('Gastos com Pessoal'!$S$7:$S$506&lt;=S$3,('Gastos com Pessoal'!$T$7:$T$506)+1,1))*(IF('Gastos com Pessoal'!$Y$7:$Y$506&lt;=S$3,('Gastos com Pessoal'!$Z$7:$Z$506)+1,1))*(IF('Gastos com Pessoal'!$AE$7:$AE$506&lt;=S$3,('Gastos com Pessoal'!$AF$7:$AF$506)+1,1)),0)</f>
        <v>12266.964927479816</v>
      </c>
      <c r="T22" s="188">
        <f t="array" aca="1" ref="T22" ca="1">_xlfn.IFNA(SUM((T$3&gt;='Gastos com Pessoal'!$E$7:$E$506)*(T$3&lt;='Gastos com Pessoal'!$F$7:$F$506)*OFFSET('Encargos e Benefícios'!$D$5,1,MATCH($B22,'Encargos e Benefícios'!$E$5:$AB$5,0),500,1))*(IF('Gastos com Pessoal'!$G$7:$G$506&lt;=T$3,('Gastos com Pessoal'!$H$7:$H$506)+1,1))*(IF('Gastos com Pessoal'!$M$7:$M$506&lt;=T$3,('Gastos com Pessoal'!$N$7:$N$506)+1,1))*(IF('Gastos com Pessoal'!$S$7:$S$506&lt;=T$3,('Gastos com Pessoal'!$T$7:$T$506)+1,1))*(IF('Gastos com Pessoal'!$Y$7:$Y$506&lt;=T$3,('Gastos com Pessoal'!$Z$7:$Z$506)+1,1))*(IF('Gastos com Pessoal'!$AE$7:$AE$506&lt;=T$3,('Gastos com Pessoal'!$AF$7:$AF$506)+1,1)),0)</f>
        <v>12266.964927479816</v>
      </c>
      <c r="U22" s="188">
        <f t="array" aca="1" ref="U22" ca="1">_xlfn.IFNA(SUM((U$3&gt;='Gastos com Pessoal'!$E$7:$E$506)*(U$3&lt;='Gastos com Pessoal'!$F$7:$F$506)*OFFSET('Encargos e Benefícios'!$D$5,1,MATCH($B22,'Encargos e Benefícios'!$E$5:$AB$5,0),500,1))*(IF('Gastos com Pessoal'!$G$7:$G$506&lt;=U$3,('Gastos com Pessoal'!$H$7:$H$506)+1,1))*(IF('Gastos com Pessoal'!$M$7:$M$506&lt;=U$3,('Gastos com Pessoal'!$N$7:$N$506)+1,1))*(IF('Gastos com Pessoal'!$S$7:$S$506&lt;=U$3,('Gastos com Pessoal'!$T$7:$T$506)+1,1))*(IF('Gastos com Pessoal'!$Y$7:$Y$506&lt;=U$3,('Gastos com Pessoal'!$Z$7:$Z$506)+1,1))*(IF('Gastos com Pessoal'!$AE$7:$AE$506&lt;=U$3,('Gastos com Pessoal'!$AF$7:$AF$506)+1,1)),0)</f>
        <v>12266.964927479816</v>
      </c>
      <c r="V22" s="188">
        <f t="array" aca="1" ref="V22" ca="1">_xlfn.IFNA(SUM((V$3&gt;='Gastos com Pessoal'!$E$7:$E$506)*(V$3&lt;='Gastos com Pessoal'!$F$7:$F$506)*OFFSET('Encargos e Benefícios'!$D$5,1,MATCH($B22,'Encargos e Benefícios'!$E$5:$AB$5,0),500,1))*(IF('Gastos com Pessoal'!$G$7:$G$506&lt;=V$3,('Gastos com Pessoal'!$H$7:$H$506)+1,1))*(IF('Gastos com Pessoal'!$M$7:$M$506&lt;=V$3,('Gastos com Pessoal'!$N$7:$N$506)+1,1))*(IF('Gastos com Pessoal'!$S$7:$S$506&lt;=V$3,('Gastos com Pessoal'!$T$7:$T$506)+1,1))*(IF('Gastos com Pessoal'!$Y$7:$Y$506&lt;=V$3,('Gastos com Pessoal'!$Z$7:$Z$506)+1,1))*(IF('Gastos com Pessoal'!$AE$7:$AE$506&lt;=V$3,('Gastos com Pessoal'!$AF$7:$AF$506)+1,1)),0)</f>
        <v>12266.964927479816</v>
      </c>
      <c r="W22" s="188">
        <f t="array" aca="1" ref="W22" ca="1">_xlfn.IFNA(SUM((W$3&gt;='Gastos com Pessoal'!$E$7:$E$506)*(W$3&lt;='Gastos com Pessoal'!$F$7:$F$506)*OFFSET('Encargos e Benefícios'!$D$5,1,MATCH($B22,'Encargos e Benefícios'!$E$5:$AB$5,0),500,1))*(IF('Gastos com Pessoal'!$G$7:$G$506&lt;=W$3,('Gastos com Pessoal'!$H$7:$H$506)+1,1))*(IF('Gastos com Pessoal'!$M$7:$M$506&lt;=W$3,('Gastos com Pessoal'!$N$7:$N$506)+1,1))*(IF('Gastos com Pessoal'!$S$7:$S$506&lt;=W$3,('Gastos com Pessoal'!$T$7:$T$506)+1,1))*(IF('Gastos com Pessoal'!$Y$7:$Y$506&lt;=W$3,('Gastos com Pessoal'!$Z$7:$Z$506)+1,1))*(IF('Gastos com Pessoal'!$AE$7:$AE$506&lt;=W$3,('Gastos com Pessoal'!$AF$7:$AF$506)+1,1)),0)</f>
        <v>12266.964927479816</v>
      </c>
      <c r="X22" s="188">
        <f t="array" aca="1" ref="X22" ca="1">_xlfn.IFNA(SUM((X$3&gt;='Gastos com Pessoal'!$E$7:$E$506)*(X$3&lt;='Gastos com Pessoal'!$F$7:$F$506)*OFFSET('Encargos e Benefícios'!$D$5,1,MATCH($B22,'Encargos e Benefícios'!$E$5:$AB$5,0),500,1))*(IF('Gastos com Pessoal'!$G$7:$G$506&lt;=X$3,('Gastos com Pessoal'!$H$7:$H$506)+1,1))*(IF('Gastos com Pessoal'!$M$7:$M$506&lt;=X$3,('Gastos com Pessoal'!$N$7:$N$506)+1,1))*(IF('Gastos com Pessoal'!$S$7:$S$506&lt;=X$3,('Gastos com Pessoal'!$T$7:$T$506)+1,1))*(IF('Gastos com Pessoal'!$Y$7:$Y$506&lt;=X$3,('Gastos com Pessoal'!$Z$7:$Z$506)+1,1))*(IF('Gastos com Pessoal'!$AE$7:$AE$506&lt;=X$3,('Gastos com Pessoal'!$AF$7:$AF$506)+1,1)),0)</f>
        <v>12266.964927479816</v>
      </c>
      <c r="Y22" s="188">
        <f t="array" aca="1" ref="Y22" ca="1">_xlfn.IFNA(SUM((Y$3&gt;='Gastos com Pessoal'!$E$7:$E$506)*(Y$3&lt;='Gastos com Pessoal'!$F$7:$F$506)*OFFSET('Encargos e Benefícios'!$D$5,1,MATCH($B22,'Encargos e Benefícios'!$E$5:$AB$5,0),500,1))*(IF('Gastos com Pessoal'!$G$7:$G$506&lt;=Y$3,('Gastos com Pessoal'!$H$7:$H$506)+1,1))*(IF('Gastos com Pessoal'!$M$7:$M$506&lt;=Y$3,('Gastos com Pessoal'!$N$7:$N$506)+1,1))*(IF('Gastos com Pessoal'!$S$7:$S$506&lt;=Y$3,('Gastos com Pessoal'!$T$7:$T$506)+1,1))*(IF('Gastos com Pessoal'!$Y$7:$Y$506&lt;=Y$3,('Gastos com Pessoal'!$Z$7:$Z$506)+1,1))*(IF('Gastos com Pessoal'!$AE$7:$AE$506&lt;=Y$3,('Gastos com Pessoal'!$AF$7:$AF$506)+1,1)),0)</f>
        <v>12266.964927479816</v>
      </c>
      <c r="Z22" s="188">
        <f t="array" aca="1" ref="Z22" ca="1">_xlfn.IFNA(SUM((Z$3&gt;='Gastos com Pessoal'!$E$7:$E$506)*(Z$3&lt;='Gastos com Pessoal'!$F$7:$F$506)*OFFSET('Encargos e Benefícios'!$D$5,1,MATCH($B22,'Encargos e Benefícios'!$E$5:$AB$5,0),500,1))*(IF('Gastos com Pessoal'!$G$7:$G$506&lt;=Z$3,('Gastos com Pessoal'!$H$7:$H$506)+1,1))*(IF('Gastos com Pessoal'!$M$7:$M$506&lt;=Z$3,('Gastos com Pessoal'!$N$7:$N$506)+1,1))*(IF('Gastos com Pessoal'!$S$7:$S$506&lt;=Z$3,('Gastos com Pessoal'!$T$7:$T$506)+1,1))*(IF('Gastos com Pessoal'!$Y$7:$Y$506&lt;=Z$3,('Gastos com Pessoal'!$Z$7:$Z$506)+1,1))*(IF('Gastos com Pessoal'!$AE$7:$AE$506&lt;=Z$3,('Gastos com Pessoal'!$AF$7:$AF$506)+1,1)),0)</f>
        <v>12266.964927479816</v>
      </c>
      <c r="AA22" s="188">
        <f t="array" aca="1" ref="AA22" ca="1">_xlfn.IFNA(SUM((AA$3&gt;='Gastos com Pessoal'!$E$7:$E$506)*(AA$3&lt;='Gastos com Pessoal'!$F$7:$F$506)*OFFSET('Encargos e Benefícios'!$D$5,1,MATCH($B22,'Encargos e Benefícios'!$E$5:$AB$5,0),500,1))*(IF('Gastos com Pessoal'!$G$7:$G$506&lt;=AA$3,('Gastos com Pessoal'!$H$7:$H$506)+1,1))*(IF('Gastos com Pessoal'!$M$7:$M$506&lt;=AA$3,('Gastos com Pessoal'!$N$7:$N$506)+1,1))*(IF('Gastos com Pessoal'!$S$7:$S$506&lt;=AA$3,('Gastos com Pessoal'!$T$7:$T$506)+1,1))*(IF('Gastos com Pessoal'!$Y$7:$Y$506&lt;=AA$3,('Gastos com Pessoal'!$Z$7:$Z$506)+1,1))*(IF('Gastos com Pessoal'!$AE$7:$AE$506&lt;=AA$3,('Gastos com Pessoal'!$AF$7:$AF$506)+1,1)),0)</f>
        <v>12266.964927479816</v>
      </c>
      <c r="AB22" s="188">
        <f t="array" aca="1" ref="AB22" ca="1">_xlfn.IFNA(SUM((AB$3&gt;='Gastos com Pessoal'!$E$7:$E$506)*(AB$3&lt;='Gastos com Pessoal'!$F$7:$F$506)*OFFSET('Encargos e Benefícios'!$D$5,1,MATCH($B22,'Encargos e Benefícios'!$E$5:$AB$5,0),500,1))*(IF('Gastos com Pessoal'!$G$7:$G$506&lt;=AB$3,('Gastos com Pessoal'!$H$7:$H$506)+1,1))*(IF('Gastos com Pessoal'!$M$7:$M$506&lt;=AB$3,('Gastos com Pessoal'!$N$7:$N$506)+1,1))*(IF('Gastos com Pessoal'!$S$7:$S$506&lt;=AB$3,('Gastos com Pessoal'!$T$7:$T$506)+1,1))*(IF('Gastos com Pessoal'!$Y$7:$Y$506&lt;=AB$3,('Gastos com Pessoal'!$Z$7:$Z$506)+1,1))*(IF('Gastos com Pessoal'!$AE$7:$AE$506&lt;=AB$3,('Gastos com Pessoal'!$AF$7:$AF$506)+1,1)),0)</f>
        <v>12266.964927479816</v>
      </c>
      <c r="AC22" s="188">
        <f t="array" aca="1" ref="AC22" ca="1">_xlfn.IFNA(SUM((AC$3&gt;='Gastos com Pessoal'!$E$7:$E$506)*(AC$3&lt;='Gastos com Pessoal'!$F$7:$F$506)*OFFSET('Encargos e Benefícios'!$D$5,1,MATCH($B22,'Encargos e Benefícios'!$E$5:$AB$5,0),500,1))*(IF('Gastos com Pessoal'!$G$7:$G$506&lt;=AC$3,('Gastos com Pessoal'!$H$7:$H$506)+1,1))*(IF('Gastos com Pessoal'!$M$7:$M$506&lt;=AC$3,('Gastos com Pessoal'!$N$7:$N$506)+1,1))*(IF('Gastos com Pessoal'!$S$7:$S$506&lt;=AC$3,('Gastos com Pessoal'!$T$7:$T$506)+1,1))*(IF('Gastos com Pessoal'!$Y$7:$Y$506&lt;=AC$3,('Gastos com Pessoal'!$Z$7:$Z$506)+1,1))*(IF('Gastos com Pessoal'!$AE$7:$AE$506&lt;=AC$3,('Gastos com Pessoal'!$AF$7:$AF$506)+1,1)),0)</f>
        <v>12266.964927479816</v>
      </c>
      <c r="AD22" s="188">
        <f t="array" aca="1" ref="AD22" ca="1">_xlfn.IFNA(SUM((AD$3&gt;='Gastos com Pessoal'!$E$7:$E$506)*(AD$3&lt;='Gastos com Pessoal'!$F$7:$F$506)*OFFSET('Encargos e Benefícios'!$D$5,1,MATCH($B22,'Encargos e Benefícios'!$E$5:$AB$5,0),500,1))*(IF('Gastos com Pessoal'!$G$7:$G$506&lt;=AD$3,('Gastos com Pessoal'!$H$7:$H$506)+1,1))*(IF('Gastos com Pessoal'!$M$7:$M$506&lt;=AD$3,('Gastos com Pessoal'!$N$7:$N$506)+1,1))*(IF('Gastos com Pessoal'!$S$7:$S$506&lt;=AD$3,('Gastos com Pessoal'!$T$7:$T$506)+1,1))*(IF('Gastos com Pessoal'!$Y$7:$Y$506&lt;=AD$3,('Gastos com Pessoal'!$Z$7:$Z$506)+1,1))*(IF('Gastos com Pessoal'!$AE$7:$AE$506&lt;=AD$3,('Gastos com Pessoal'!$AF$7:$AF$506)+1,1)),0)</f>
        <v>12266.964927479816</v>
      </c>
      <c r="AE22" s="188">
        <f t="array" aca="1" ref="AE22" ca="1">_xlfn.IFNA(SUM((AE$3&gt;='Gastos com Pessoal'!$E$7:$E$506)*(AE$3&lt;='Gastos com Pessoal'!$F$7:$F$506)*OFFSET('Encargos e Benefícios'!$D$5,1,MATCH($B22,'Encargos e Benefícios'!$E$5:$AB$5,0),500,1))*(IF('Gastos com Pessoal'!$G$7:$G$506&lt;=AE$3,('Gastos com Pessoal'!$H$7:$H$506)+1,1))*(IF('Gastos com Pessoal'!$M$7:$M$506&lt;=AE$3,('Gastos com Pessoal'!$N$7:$N$506)+1,1))*(IF('Gastos com Pessoal'!$S$7:$S$506&lt;=AE$3,('Gastos com Pessoal'!$T$7:$T$506)+1,1))*(IF('Gastos com Pessoal'!$Y$7:$Y$506&lt;=AE$3,('Gastos com Pessoal'!$Z$7:$Z$506)+1,1))*(IF('Gastos com Pessoal'!$AE$7:$AE$506&lt;=AE$3,('Gastos com Pessoal'!$AF$7:$AF$506)+1,1)),0)</f>
        <v>12983.355679244638</v>
      </c>
      <c r="AF22" s="188">
        <f t="array" aca="1" ref="AF22" ca="1">_xlfn.IFNA(SUM((AF$3&gt;='Gastos com Pessoal'!$E$7:$E$506)*(AF$3&lt;='Gastos com Pessoal'!$F$7:$F$506)*OFFSET('Encargos e Benefícios'!$D$5,1,MATCH($B22,'Encargos e Benefícios'!$E$5:$AB$5,0),500,1))*(IF('Gastos com Pessoal'!$G$7:$G$506&lt;=AF$3,('Gastos com Pessoal'!$H$7:$H$506)+1,1))*(IF('Gastos com Pessoal'!$M$7:$M$506&lt;=AF$3,('Gastos com Pessoal'!$N$7:$N$506)+1,1))*(IF('Gastos com Pessoal'!$S$7:$S$506&lt;=AF$3,('Gastos com Pessoal'!$T$7:$T$506)+1,1))*(IF('Gastos com Pessoal'!$Y$7:$Y$506&lt;=AF$3,('Gastos com Pessoal'!$Z$7:$Z$506)+1,1))*(IF('Gastos com Pessoal'!$AE$7:$AE$506&lt;=AF$3,('Gastos com Pessoal'!$AF$7:$AF$506)+1,1)),0)</f>
        <v>12983.355679244638</v>
      </c>
      <c r="AG22" s="188">
        <f t="array" aca="1" ref="AG22" ca="1">_xlfn.IFNA(SUM((AG$3&gt;='Gastos com Pessoal'!$E$7:$E$506)*(AG$3&lt;='Gastos com Pessoal'!$F$7:$F$506)*OFFSET('Encargos e Benefícios'!$D$5,1,MATCH($B22,'Encargos e Benefícios'!$E$5:$AB$5,0),500,1))*(IF('Gastos com Pessoal'!$G$7:$G$506&lt;=AG$3,('Gastos com Pessoal'!$H$7:$H$506)+1,1))*(IF('Gastos com Pessoal'!$M$7:$M$506&lt;=AG$3,('Gastos com Pessoal'!$N$7:$N$506)+1,1))*(IF('Gastos com Pessoal'!$S$7:$S$506&lt;=AG$3,('Gastos com Pessoal'!$T$7:$T$506)+1,1))*(IF('Gastos com Pessoal'!$Y$7:$Y$506&lt;=AG$3,('Gastos com Pessoal'!$Z$7:$Z$506)+1,1))*(IF('Gastos com Pessoal'!$AE$7:$AE$506&lt;=AG$3,('Gastos com Pessoal'!$AF$7:$AF$506)+1,1)),0)</f>
        <v>12983.355679244638</v>
      </c>
      <c r="AH22" s="188">
        <f t="array" aca="1" ref="AH22" ca="1">_xlfn.IFNA(SUM((AH$3&gt;='Gastos com Pessoal'!$E$7:$E$506)*(AH$3&lt;='Gastos com Pessoal'!$F$7:$F$506)*OFFSET('Encargos e Benefícios'!$D$5,1,MATCH($B22,'Encargos e Benefícios'!$E$5:$AB$5,0),500,1))*(IF('Gastos com Pessoal'!$G$7:$G$506&lt;=AH$3,('Gastos com Pessoal'!$H$7:$H$506)+1,1))*(IF('Gastos com Pessoal'!$M$7:$M$506&lt;=AH$3,('Gastos com Pessoal'!$N$7:$N$506)+1,1))*(IF('Gastos com Pessoal'!$S$7:$S$506&lt;=AH$3,('Gastos com Pessoal'!$T$7:$T$506)+1,1))*(IF('Gastos com Pessoal'!$Y$7:$Y$506&lt;=AH$3,('Gastos com Pessoal'!$Z$7:$Z$506)+1,1))*(IF('Gastos com Pessoal'!$AE$7:$AE$506&lt;=AH$3,('Gastos com Pessoal'!$AF$7:$AF$506)+1,1)),0)</f>
        <v>12983.355679244638</v>
      </c>
      <c r="AI22" s="188">
        <f t="array" aca="1" ref="AI22" ca="1">_xlfn.IFNA(SUM((AI$3&gt;='Gastos com Pessoal'!$E$7:$E$506)*(AI$3&lt;='Gastos com Pessoal'!$F$7:$F$506)*OFFSET('Encargos e Benefícios'!$D$5,1,MATCH($B22,'Encargos e Benefícios'!$E$5:$AB$5,0),500,1))*(IF('Gastos com Pessoal'!$G$7:$G$506&lt;=AI$3,('Gastos com Pessoal'!$H$7:$H$506)+1,1))*(IF('Gastos com Pessoal'!$M$7:$M$506&lt;=AI$3,('Gastos com Pessoal'!$N$7:$N$506)+1,1))*(IF('Gastos com Pessoal'!$S$7:$S$506&lt;=AI$3,('Gastos com Pessoal'!$T$7:$T$506)+1,1))*(IF('Gastos com Pessoal'!$Y$7:$Y$506&lt;=AI$3,('Gastos com Pessoal'!$Z$7:$Z$506)+1,1))*(IF('Gastos com Pessoal'!$AE$7:$AE$506&lt;=AI$3,('Gastos com Pessoal'!$AF$7:$AF$506)+1,1)),0)</f>
        <v>12983.355679244638</v>
      </c>
      <c r="AJ22" s="188">
        <f t="array" aca="1" ref="AJ22" ca="1">_xlfn.IFNA(SUM((AJ$3&gt;='Gastos com Pessoal'!$E$7:$E$506)*(AJ$3&lt;='Gastos com Pessoal'!$F$7:$F$506)*OFFSET('Encargos e Benefícios'!$D$5,1,MATCH($B22,'Encargos e Benefícios'!$E$5:$AB$5,0),500,1))*(IF('Gastos com Pessoal'!$G$7:$G$506&lt;=AJ$3,('Gastos com Pessoal'!$H$7:$H$506)+1,1))*(IF('Gastos com Pessoal'!$M$7:$M$506&lt;=AJ$3,('Gastos com Pessoal'!$N$7:$N$506)+1,1))*(IF('Gastos com Pessoal'!$S$7:$S$506&lt;=AJ$3,('Gastos com Pessoal'!$T$7:$T$506)+1,1))*(IF('Gastos com Pessoal'!$Y$7:$Y$506&lt;=AJ$3,('Gastos com Pessoal'!$Z$7:$Z$506)+1,1))*(IF('Gastos com Pessoal'!$AE$7:$AE$506&lt;=AJ$3,('Gastos com Pessoal'!$AF$7:$AF$506)+1,1)),0)</f>
        <v>12983.355679244638</v>
      </c>
      <c r="AK22" s="188">
        <f t="array" aca="1" ref="AK22" ca="1">_xlfn.IFNA(SUM((AK$3&gt;='Gastos com Pessoal'!$E$7:$E$506)*(AK$3&lt;='Gastos com Pessoal'!$F$7:$F$506)*OFFSET('Encargos e Benefícios'!$D$5,1,MATCH($B22,'Encargos e Benefícios'!$E$5:$AB$5,0),500,1))*(IF('Gastos com Pessoal'!$G$7:$G$506&lt;=AK$3,('Gastos com Pessoal'!$H$7:$H$506)+1,1))*(IF('Gastos com Pessoal'!$M$7:$M$506&lt;=AK$3,('Gastos com Pessoal'!$N$7:$N$506)+1,1))*(IF('Gastos com Pessoal'!$S$7:$S$506&lt;=AK$3,('Gastos com Pessoal'!$T$7:$T$506)+1,1))*(IF('Gastos com Pessoal'!$Y$7:$Y$506&lt;=AK$3,('Gastos com Pessoal'!$Z$7:$Z$506)+1,1))*(IF('Gastos com Pessoal'!$AE$7:$AE$506&lt;=AK$3,('Gastos com Pessoal'!$AF$7:$AF$506)+1,1)),0)</f>
        <v>12983.355679244638</v>
      </c>
      <c r="AL22" s="188">
        <f t="array" aca="1" ref="AL22" ca="1">_xlfn.IFNA(SUM((AL$3&gt;='Gastos com Pessoal'!$E$7:$E$506)*(AL$3&lt;='Gastos com Pessoal'!$F$7:$F$506)*OFFSET('Encargos e Benefícios'!$D$5,1,MATCH($B22,'Encargos e Benefícios'!$E$5:$AB$5,0),500,1))*(IF('Gastos com Pessoal'!$G$7:$G$506&lt;=AL$3,('Gastos com Pessoal'!$H$7:$H$506)+1,1))*(IF('Gastos com Pessoal'!$M$7:$M$506&lt;=AL$3,('Gastos com Pessoal'!$N$7:$N$506)+1,1))*(IF('Gastos com Pessoal'!$S$7:$S$506&lt;=AL$3,('Gastos com Pessoal'!$T$7:$T$506)+1,1))*(IF('Gastos com Pessoal'!$Y$7:$Y$506&lt;=AL$3,('Gastos com Pessoal'!$Z$7:$Z$506)+1,1))*(IF('Gastos com Pessoal'!$AE$7:$AE$506&lt;=AL$3,('Gastos com Pessoal'!$AF$7:$AF$506)+1,1)),0)</f>
        <v>12983.355679244638</v>
      </c>
      <c r="AM22" s="188">
        <f t="array" aca="1" ref="AM22" ca="1">_xlfn.IFNA(SUM((AM$3&gt;='Gastos com Pessoal'!$E$7:$E$506)*(AM$3&lt;='Gastos com Pessoal'!$F$7:$F$506)*OFFSET('Encargos e Benefícios'!$D$5,1,MATCH($B22,'Encargos e Benefícios'!$E$5:$AB$5,0),500,1))*(IF('Gastos com Pessoal'!$G$7:$G$506&lt;=AM$3,('Gastos com Pessoal'!$H$7:$H$506)+1,1))*(IF('Gastos com Pessoal'!$M$7:$M$506&lt;=AM$3,('Gastos com Pessoal'!$N$7:$N$506)+1,1))*(IF('Gastos com Pessoal'!$S$7:$S$506&lt;=AM$3,('Gastos com Pessoal'!$T$7:$T$506)+1,1))*(IF('Gastos com Pessoal'!$Y$7:$Y$506&lt;=AM$3,('Gastos com Pessoal'!$Z$7:$Z$506)+1,1))*(IF('Gastos com Pessoal'!$AE$7:$AE$506&lt;=AM$3,('Gastos com Pessoal'!$AF$7:$AF$506)+1,1)),0)</f>
        <v>12983.355679244638</v>
      </c>
      <c r="AN22" s="188">
        <f t="array" aca="1" ref="AN22" ca="1">_xlfn.IFNA(SUM((AN$3&gt;='Gastos com Pessoal'!$E$7:$E$506)*(AN$3&lt;='Gastos com Pessoal'!$F$7:$F$506)*OFFSET('Encargos e Benefícios'!$D$5,1,MATCH($B22,'Encargos e Benefícios'!$E$5:$AB$5,0),500,1))*(IF('Gastos com Pessoal'!$G$7:$G$506&lt;=AN$3,('Gastos com Pessoal'!$H$7:$H$506)+1,1))*(IF('Gastos com Pessoal'!$M$7:$M$506&lt;=AN$3,('Gastos com Pessoal'!$N$7:$N$506)+1,1))*(IF('Gastos com Pessoal'!$S$7:$S$506&lt;=AN$3,('Gastos com Pessoal'!$T$7:$T$506)+1,1))*(IF('Gastos com Pessoal'!$Y$7:$Y$506&lt;=AN$3,('Gastos com Pessoal'!$Z$7:$Z$506)+1,1))*(IF('Gastos com Pessoal'!$AE$7:$AE$506&lt;=AN$3,('Gastos com Pessoal'!$AF$7:$AF$506)+1,1)),0)</f>
        <v>12983.355679244638</v>
      </c>
      <c r="AO22" s="188">
        <f t="array" aca="1" ref="AO22" ca="1">_xlfn.IFNA(SUM((AO$3&gt;='Gastos com Pessoal'!$E$7:$E$506)*(AO$3&lt;='Gastos com Pessoal'!$F$7:$F$506)*OFFSET('Encargos e Benefícios'!$D$5,1,MATCH($B22,'Encargos e Benefícios'!$E$5:$AB$5,0),500,1))*(IF('Gastos com Pessoal'!$G$7:$G$506&lt;=AO$3,('Gastos com Pessoal'!$H$7:$H$506)+1,1))*(IF('Gastos com Pessoal'!$M$7:$M$506&lt;=AO$3,('Gastos com Pessoal'!$N$7:$N$506)+1,1))*(IF('Gastos com Pessoal'!$S$7:$S$506&lt;=AO$3,('Gastos com Pessoal'!$T$7:$T$506)+1,1))*(IF('Gastos com Pessoal'!$Y$7:$Y$506&lt;=AO$3,('Gastos com Pessoal'!$Z$7:$Z$506)+1,1))*(IF('Gastos com Pessoal'!$AE$7:$AE$506&lt;=AO$3,('Gastos com Pessoal'!$AF$7:$AF$506)+1,1)),0)</f>
        <v>12983.355679244638</v>
      </c>
      <c r="AP22" s="188">
        <f t="array" aca="1" ref="AP22" ca="1">_xlfn.IFNA(SUM((AP$3&gt;='Gastos com Pessoal'!$E$7:$E$506)*(AP$3&lt;='Gastos com Pessoal'!$F$7:$F$506)*OFFSET('Encargos e Benefícios'!$D$5,1,MATCH($B22,'Encargos e Benefícios'!$E$5:$AB$5,0),500,1))*(IF('Gastos com Pessoal'!$G$7:$G$506&lt;=AP$3,('Gastos com Pessoal'!$H$7:$H$506)+1,1))*(IF('Gastos com Pessoal'!$M$7:$M$506&lt;=AP$3,('Gastos com Pessoal'!$N$7:$N$506)+1,1))*(IF('Gastos com Pessoal'!$S$7:$S$506&lt;=AP$3,('Gastos com Pessoal'!$T$7:$T$506)+1,1))*(IF('Gastos com Pessoal'!$Y$7:$Y$506&lt;=AP$3,('Gastos com Pessoal'!$Z$7:$Z$506)+1,1))*(IF('Gastos com Pessoal'!$AE$7:$AE$506&lt;=AP$3,('Gastos com Pessoal'!$AF$7:$AF$506)+1,1)),0)</f>
        <v>12983.355679244638</v>
      </c>
      <c r="AQ22" s="188">
        <f t="array" aca="1" ref="AQ22" ca="1">_xlfn.IFNA(SUM((AQ$3&gt;='Gastos com Pessoal'!$E$7:$E$506)*(AQ$3&lt;='Gastos com Pessoal'!$F$7:$F$506)*OFFSET('Encargos e Benefícios'!$D$5,1,MATCH($B22,'Encargos e Benefícios'!$E$5:$AB$5,0),500,1))*(IF('Gastos com Pessoal'!$G$7:$G$506&lt;=AQ$3,('Gastos com Pessoal'!$H$7:$H$506)+1,1))*(IF('Gastos com Pessoal'!$M$7:$M$506&lt;=AQ$3,('Gastos com Pessoal'!$N$7:$N$506)+1,1))*(IF('Gastos com Pessoal'!$S$7:$S$506&lt;=AQ$3,('Gastos com Pessoal'!$T$7:$T$506)+1,1))*(IF('Gastos com Pessoal'!$Y$7:$Y$506&lt;=AQ$3,('Gastos com Pessoal'!$Z$7:$Z$506)+1,1))*(IF('Gastos com Pessoal'!$AE$7:$AE$506&lt;=AQ$3,('Gastos com Pessoal'!$AF$7:$AF$506)+1,1)),0)</f>
        <v>13741.583650912526</v>
      </c>
      <c r="AR22" s="188">
        <f t="array" aca="1" ref="AR22" ca="1">_xlfn.IFNA(SUM((AR$3&gt;='Gastos com Pessoal'!$E$7:$E$506)*(AR$3&lt;='Gastos com Pessoal'!$F$7:$F$506)*OFFSET('Encargos e Benefícios'!$D$5,1,MATCH($B22,'Encargos e Benefícios'!$E$5:$AB$5,0),500,1))*(IF('Gastos com Pessoal'!$G$7:$G$506&lt;=AR$3,('Gastos com Pessoal'!$H$7:$H$506)+1,1))*(IF('Gastos com Pessoal'!$M$7:$M$506&lt;=AR$3,('Gastos com Pessoal'!$N$7:$N$506)+1,1))*(IF('Gastos com Pessoal'!$S$7:$S$506&lt;=AR$3,('Gastos com Pessoal'!$T$7:$T$506)+1,1))*(IF('Gastos com Pessoal'!$Y$7:$Y$506&lt;=AR$3,('Gastos com Pessoal'!$Z$7:$Z$506)+1,1))*(IF('Gastos com Pessoal'!$AE$7:$AE$506&lt;=AR$3,('Gastos com Pessoal'!$AF$7:$AF$506)+1,1)),0)</f>
        <v>13741.583650912526</v>
      </c>
      <c r="AS22" s="188">
        <f t="array" aca="1" ref="AS22" ca="1">_xlfn.IFNA(SUM((AS$3&gt;='Gastos com Pessoal'!$E$7:$E$506)*(AS$3&lt;='Gastos com Pessoal'!$F$7:$F$506)*OFFSET('Encargos e Benefícios'!$D$5,1,MATCH($B22,'Encargos e Benefícios'!$E$5:$AB$5,0),500,1))*(IF('Gastos com Pessoal'!$G$7:$G$506&lt;=AS$3,('Gastos com Pessoal'!$H$7:$H$506)+1,1))*(IF('Gastos com Pessoal'!$M$7:$M$506&lt;=AS$3,('Gastos com Pessoal'!$N$7:$N$506)+1,1))*(IF('Gastos com Pessoal'!$S$7:$S$506&lt;=AS$3,('Gastos com Pessoal'!$T$7:$T$506)+1,1))*(IF('Gastos com Pessoal'!$Y$7:$Y$506&lt;=AS$3,('Gastos com Pessoal'!$Z$7:$Z$506)+1,1))*(IF('Gastos com Pessoal'!$AE$7:$AE$506&lt;=AS$3,('Gastos com Pessoal'!$AF$7:$AF$506)+1,1)),0)</f>
        <v>13741.583650912526</v>
      </c>
      <c r="AT22" s="188">
        <f t="array" aca="1" ref="AT22" ca="1">_xlfn.IFNA(SUM((AT$3&gt;='Gastos com Pessoal'!$E$7:$E$506)*(AT$3&lt;='Gastos com Pessoal'!$F$7:$F$506)*OFFSET('Encargos e Benefícios'!$D$5,1,MATCH($B22,'Encargos e Benefícios'!$E$5:$AB$5,0),500,1))*(IF('Gastos com Pessoal'!$G$7:$G$506&lt;=AT$3,('Gastos com Pessoal'!$H$7:$H$506)+1,1))*(IF('Gastos com Pessoal'!$M$7:$M$506&lt;=AT$3,('Gastos com Pessoal'!$N$7:$N$506)+1,1))*(IF('Gastos com Pessoal'!$S$7:$S$506&lt;=AT$3,('Gastos com Pessoal'!$T$7:$T$506)+1,1))*(IF('Gastos com Pessoal'!$Y$7:$Y$506&lt;=AT$3,('Gastos com Pessoal'!$Z$7:$Z$506)+1,1))*(IF('Gastos com Pessoal'!$AE$7:$AE$506&lt;=AT$3,('Gastos com Pessoal'!$AF$7:$AF$506)+1,1)),0)</f>
        <v>13741.583650912526</v>
      </c>
      <c r="AU22" s="188">
        <f t="array" aca="1" ref="AU22" ca="1">_xlfn.IFNA(SUM((AU$3&gt;='Gastos com Pessoal'!$E$7:$E$506)*(AU$3&lt;='Gastos com Pessoal'!$F$7:$F$506)*OFFSET('Encargos e Benefícios'!$D$5,1,MATCH($B22,'Encargos e Benefícios'!$E$5:$AB$5,0),500,1))*(IF('Gastos com Pessoal'!$G$7:$G$506&lt;=AU$3,('Gastos com Pessoal'!$H$7:$H$506)+1,1))*(IF('Gastos com Pessoal'!$M$7:$M$506&lt;=AU$3,('Gastos com Pessoal'!$N$7:$N$506)+1,1))*(IF('Gastos com Pessoal'!$S$7:$S$506&lt;=AU$3,('Gastos com Pessoal'!$T$7:$T$506)+1,1))*(IF('Gastos com Pessoal'!$Y$7:$Y$506&lt;=AU$3,('Gastos com Pessoal'!$Z$7:$Z$506)+1,1))*(IF('Gastos com Pessoal'!$AE$7:$AE$506&lt;=AU$3,('Gastos com Pessoal'!$AF$7:$AF$506)+1,1)),0)</f>
        <v>13741.583650912526</v>
      </c>
      <c r="AV22" s="188">
        <f t="array" aca="1" ref="AV22" ca="1">_xlfn.IFNA(SUM((AV$3&gt;='Gastos com Pessoal'!$E$7:$E$506)*(AV$3&lt;='Gastos com Pessoal'!$F$7:$F$506)*OFFSET('Encargos e Benefícios'!$D$5,1,MATCH($B22,'Encargos e Benefícios'!$E$5:$AB$5,0),500,1))*(IF('Gastos com Pessoal'!$G$7:$G$506&lt;=AV$3,('Gastos com Pessoal'!$H$7:$H$506)+1,1))*(IF('Gastos com Pessoal'!$M$7:$M$506&lt;=AV$3,('Gastos com Pessoal'!$N$7:$N$506)+1,1))*(IF('Gastos com Pessoal'!$S$7:$S$506&lt;=AV$3,('Gastos com Pessoal'!$T$7:$T$506)+1,1))*(IF('Gastos com Pessoal'!$Y$7:$Y$506&lt;=AV$3,('Gastos com Pessoal'!$Z$7:$Z$506)+1,1))*(IF('Gastos com Pessoal'!$AE$7:$AE$506&lt;=AV$3,('Gastos com Pessoal'!$AF$7:$AF$506)+1,1)),0)</f>
        <v>13741.583650912526</v>
      </c>
      <c r="AW22" s="188">
        <f t="array" aca="1" ref="AW22" ca="1">_xlfn.IFNA(SUM((AW$3&gt;='Gastos com Pessoal'!$E$7:$E$506)*(AW$3&lt;='Gastos com Pessoal'!$F$7:$F$506)*OFFSET('Encargos e Benefícios'!$D$5,1,MATCH($B22,'Encargos e Benefícios'!$E$5:$AB$5,0),500,1))*(IF('Gastos com Pessoal'!$G$7:$G$506&lt;=AW$3,('Gastos com Pessoal'!$H$7:$H$506)+1,1))*(IF('Gastos com Pessoal'!$M$7:$M$506&lt;=AW$3,('Gastos com Pessoal'!$N$7:$N$506)+1,1))*(IF('Gastos com Pessoal'!$S$7:$S$506&lt;=AW$3,('Gastos com Pessoal'!$T$7:$T$506)+1,1))*(IF('Gastos com Pessoal'!$Y$7:$Y$506&lt;=AW$3,('Gastos com Pessoal'!$Z$7:$Z$506)+1,1))*(IF('Gastos com Pessoal'!$AE$7:$AE$506&lt;=AW$3,('Gastos com Pessoal'!$AF$7:$AF$506)+1,1)),0)</f>
        <v>13741.583650912526</v>
      </c>
      <c r="AX22" s="188">
        <f t="array" aca="1" ref="AX22" ca="1">_xlfn.IFNA(SUM((AX$3&gt;='Gastos com Pessoal'!$E$7:$E$506)*(AX$3&lt;='Gastos com Pessoal'!$F$7:$F$506)*OFFSET('Encargos e Benefícios'!$D$5,1,MATCH($B22,'Encargos e Benefícios'!$E$5:$AB$5,0),500,1))*(IF('Gastos com Pessoal'!$G$7:$G$506&lt;=AX$3,('Gastos com Pessoal'!$H$7:$H$506)+1,1))*(IF('Gastos com Pessoal'!$M$7:$M$506&lt;=AX$3,('Gastos com Pessoal'!$N$7:$N$506)+1,1))*(IF('Gastos com Pessoal'!$S$7:$S$506&lt;=AX$3,('Gastos com Pessoal'!$T$7:$T$506)+1,1))*(IF('Gastos com Pessoal'!$Y$7:$Y$506&lt;=AX$3,('Gastos com Pessoal'!$Z$7:$Z$506)+1,1))*(IF('Gastos com Pessoal'!$AE$7:$AE$506&lt;=AX$3,('Gastos com Pessoal'!$AF$7:$AF$506)+1,1)),0)</f>
        <v>0</v>
      </c>
      <c r="AY22" s="188">
        <f t="array" aca="1" ref="AY22" ca="1">_xlfn.IFNA(SUM((AY$3&gt;='Gastos com Pessoal'!$E$7:$E$506)*(AY$3&lt;='Gastos com Pessoal'!$F$7:$F$506)*OFFSET('Encargos e Benefícios'!$D$5,1,MATCH($B22,'Encargos e Benefícios'!$E$5:$AB$5,0),500,1))*(IF('Gastos com Pessoal'!$G$7:$G$506&lt;=AY$3,('Gastos com Pessoal'!$H$7:$H$506)+1,1))*(IF('Gastos com Pessoal'!$M$7:$M$506&lt;=AY$3,('Gastos com Pessoal'!$N$7:$N$506)+1,1))*(IF('Gastos com Pessoal'!$S$7:$S$506&lt;=AY$3,('Gastos com Pessoal'!$T$7:$T$506)+1,1))*(IF('Gastos com Pessoal'!$Y$7:$Y$506&lt;=AY$3,('Gastos com Pessoal'!$Z$7:$Z$506)+1,1))*(IF('Gastos com Pessoal'!$AE$7:$AE$506&lt;=AY$3,('Gastos com Pessoal'!$AF$7:$AF$506)+1,1)),0)</f>
        <v>0</v>
      </c>
      <c r="AZ22" s="188">
        <f t="array" aca="1" ref="AZ22" ca="1">_xlfn.IFNA(SUM((AZ$3&gt;='Gastos com Pessoal'!$E$7:$E$506)*(AZ$3&lt;='Gastos com Pessoal'!$F$7:$F$506)*OFFSET('Encargos e Benefícios'!$D$5,1,MATCH($B22,'Encargos e Benefícios'!$E$5:$AB$5,0),500,1))*(IF('Gastos com Pessoal'!$G$7:$G$506&lt;=AZ$3,('Gastos com Pessoal'!$H$7:$H$506)+1,1))*(IF('Gastos com Pessoal'!$M$7:$M$506&lt;=AZ$3,('Gastos com Pessoal'!$N$7:$N$506)+1,1))*(IF('Gastos com Pessoal'!$S$7:$S$506&lt;=AZ$3,('Gastos com Pessoal'!$T$7:$T$506)+1,1))*(IF('Gastos com Pessoal'!$Y$7:$Y$506&lt;=AZ$3,('Gastos com Pessoal'!$Z$7:$Z$506)+1,1))*(IF('Gastos com Pessoal'!$AE$7:$AE$506&lt;=AZ$3,('Gastos com Pessoal'!$AF$7:$AF$506)+1,1)),0)</f>
        <v>0</v>
      </c>
      <c r="BA22" s="188">
        <f t="array" aca="1" ref="BA22" ca="1">_xlfn.IFNA(SUM((BA$3&gt;='Gastos com Pessoal'!$E$7:$E$506)*(BA$3&lt;='Gastos com Pessoal'!$F$7:$F$506)*OFFSET('Encargos e Benefícios'!$D$5,1,MATCH($B22,'Encargos e Benefícios'!$E$5:$AB$5,0),500,1))*(IF('Gastos com Pessoal'!$G$7:$G$506&lt;=BA$3,('Gastos com Pessoal'!$H$7:$H$506)+1,1))*(IF('Gastos com Pessoal'!$M$7:$M$506&lt;=BA$3,('Gastos com Pessoal'!$N$7:$N$506)+1,1))*(IF('Gastos com Pessoal'!$S$7:$S$506&lt;=BA$3,('Gastos com Pessoal'!$T$7:$T$506)+1,1))*(IF('Gastos com Pessoal'!$Y$7:$Y$506&lt;=BA$3,('Gastos com Pessoal'!$Z$7:$Z$506)+1,1))*(IF('Gastos com Pessoal'!$AE$7:$AE$506&lt;=BA$3,('Gastos com Pessoal'!$AF$7:$AF$506)+1,1)),0)</f>
        <v>0</v>
      </c>
      <c r="BB22" s="188">
        <f t="array" aca="1" ref="BB22" ca="1">_xlfn.IFNA(SUM((BB$3&gt;='Gastos com Pessoal'!$E$7:$E$506)*(BB$3&lt;='Gastos com Pessoal'!$F$7:$F$506)*OFFSET('Encargos e Benefícios'!$D$5,1,MATCH($B22,'Encargos e Benefícios'!$E$5:$AB$5,0),500,1))*(IF('Gastos com Pessoal'!$G$7:$G$506&lt;=BB$3,('Gastos com Pessoal'!$H$7:$H$506)+1,1))*(IF('Gastos com Pessoal'!$M$7:$M$506&lt;=BB$3,('Gastos com Pessoal'!$N$7:$N$506)+1,1))*(IF('Gastos com Pessoal'!$S$7:$S$506&lt;=BB$3,('Gastos com Pessoal'!$T$7:$T$506)+1,1))*(IF('Gastos com Pessoal'!$Y$7:$Y$506&lt;=BB$3,('Gastos com Pessoal'!$Z$7:$Z$506)+1,1))*(IF('Gastos com Pessoal'!$AE$7:$AE$506&lt;=BB$3,('Gastos com Pessoal'!$AF$7:$AF$506)+1,1)),0)</f>
        <v>0</v>
      </c>
      <c r="BC22" s="188">
        <f t="array" aca="1" ref="BC22" ca="1">_xlfn.IFNA(SUM((BC$3&gt;='Gastos com Pessoal'!$E$7:$E$506)*(BC$3&lt;='Gastos com Pessoal'!$F$7:$F$506)*OFFSET('Encargos e Benefícios'!$D$5,1,MATCH($B22,'Encargos e Benefícios'!$E$5:$AB$5,0),500,1))*(IF('Gastos com Pessoal'!$G$7:$G$506&lt;=BC$3,('Gastos com Pessoal'!$H$7:$H$506)+1,1))*(IF('Gastos com Pessoal'!$M$7:$M$506&lt;=BC$3,('Gastos com Pessoal'!$N$7:$N$506)+1,1))*(IF('Gastos com Pessoal'!$S$7:$S$506&lt;=BC$3,('Gastos com Pessoal'!$T$7:$T$506)+1,1))*(IF('Gastos com Pessoal'!$Y$7:$Y$506&lt;=BC$3,('Gastos com Pessoal'!$Z$7:$Z$506)+1,1))*(IF('Gastos com Pessoal'!$AE$7:$AE$506&lt;=BC$3,('Gastos com Pessoal'!$AF$7:$AF$506)+1,1)),0)</f>
        <v>0</v>
      </c>
      <c r="BD22" s="188">
        <f t="array" aca="1" ref="BD22" ca="1">_xlfn.IFNA(SUM((BD$3&gt;='Gastos com Pessoal'!$E$7:$E$506)*(BD$3&lt;='Gastos com Pessoal'!$F$7:$F$506)*OFFSET('Encargos e Benefícios'!$D$5,1,MATCH($B22,'Encargos e Benefícios'!$E$5:$AB$5,0),500,1))*(IF('Gastos com Pessoal'!$G$7:$G$506&lt;=BD$3,('Gastos com Pessoal'!$H$7:$H$506)+1,1))*(IF('Gastos com Pessoal'!$M$7:$M$506&lt;=BD$3,('Gastos com Pessoal'!$N$7:$N$506)+1,1))*(IF('Gastos com Pessoal'!$S$7:$S$506&lt;=BD$3,('Gastos com Pessoal'!$T$7:$T$506)+1,1))*(IF('Gastos com Pessoal'!$Y$7:$Y$506&lt;=BD$3,('Gastos com Pessoal'!$Z$7:$Z$506)+1,1))*(IF('Gastos com Pessoal'!$AE$7:$AE$506&lt;=BD$3,('Gastos com Pessoal'!$AF$7:$AF$506)+1,1)),0)</f>
        <v>0</v>
      </c>
      <c r="BE22" s="188">
        <f t="array" aca="1" ref="BE22" ca="1">_xlfn.IFNA(SUM((BE$3&gt;='Gastos com Pessoal'!$E$7:$E$506)*(BE$3&lt;='Gastos com Pessoal'!$F$7:$F$506)*OFFSET('Encargos e Benefícios'!$D$5,1,MATCH($B22,'Encargos e Benefícios'!$E$5:$AB$5,0),500,1))*(IF('Gastos com Pessoal'!$G$7:$G$506&lt;=BE$3,('Gastos com Pessoal'!$H$7:$H$506)+1,1))*(IF('Gastos com Pessoal'!$M$7:$M$506&lt;=BE$3,('Gastos com Pessoal'!$N$7:$N$506)+1,1))*(IF('Gastos com Pessoal'!$S$7:$S$506&lt;=BE$3,('Gastos com Pessoal'!$T$7:$T$506)+1,1))*(IF('Gastos com Pessoal'!$Y$7:$Y$506&lt;=BE$3,('Gastos com Pessoal'!$Z$7:$Z$506)+1,1))*(IF('Gastos com Pessoal'!$AE$7:$AE$506&lt;=BE$3,('Gastos com Pessoal'!$AF$7:$AF$506)+1,1)),0)</f>
        <v>0</v>
      </c>
      <c r="BF22" s="188">
        <f t="array" aca="1" ref="BF22" ca="1">_xlfn.IFNA(SUM((BF$3&gt;='Gastos com Pessoal'!$E$7:$E$506)*(BF$3&lt;='Gastos com Pessoal'!$F$7:$F$506)*OFFSET('Encargos e Benefícios'!$D$5,1,MATCH($B22,'Encargos e Benefícios'!$E$5:$AB$5,0),500,1))*(IF('Gastos com Pessoal'!$G$7:$G$506&lt;=BF$3,('Gastos com Pessoal'!$H$7:$H$506)+1,1))*(IF('Gastos com Pessoal'!$M$7:$M$506&lt;=BF$3,('Gastos com Pessoal'!$N$7:$N$506)+1,1))*(IF('Gastos com Pessoal'!$S$7:$S$506&lt;=BF$3,('Gastos com Pessoal'!$T$7:$T$506)+1,1))*(IF('Gastos com Pessoal'!$Y$7:$Y$506&lt;=BF$3,('Gastos com Pessoal'!$Z$7:$Z$506)+1,1))*(IF('Gastos com Pessoal'!$AE$7:$AE$506&lt;=BF$3,('Gastos com Pessoal'!$AF$7:$AF$506)+1,1)),0)</f>
        <v>0</v>
      </c>
      <c r="BG22" s="188">
        <f t="array" aca="1" ref="BG22" ca="1">_xlfn.IFNA(SUM((BG$3&gt;='Gastos com Pessoal'!$E$7:$E$506)*(BG$3&lt;='Gastos com Pessoal'!$F$7:$F$506)*OFFSET('Encargos e Benefícios'!$D$5,1,MATCH($B22,'Encargos e Benefícios'!$E$5:$AB$5,0),500,1))*(IF('Gastos com Pessoal'!$G$7:$G$506&lt;=BG$3,('Gastos com Pessoal'!$H$7:$H$506)+1,1))*(IF('Gastos com Pessoal'!$M$7:$M$506&lt;=BG$3,('Gastos com Pessoal'!$N$7:$N$506)+1,1))*(IF('Gastos com Pessoal'!$S$7:$S$506&lt;=BG$3,('Gastos com Pessoal'!$T$7:$T$506)+1,1))*(IF('Gastos com Pessoal'!$Y$7:$Y$506&lt;=BG$3,('Gastos com Pessoal'!$Z$7:$Z$506)+1,1))*(IF('Gastos com Pessoal'!$AE$7:$AE$506&lt;=BG$3,('Gastos com Pessoal'!$AF$7:$AF$506)+1,1)),0)</f>
        <v>0</v>
      </c>
      <c r="BH22" s="188">
        <f t="array" aca="1" ref="BH22" ca="1">_xlfn.IFNA(SUM((BH$3&gt;='Gastos com Pessoal'!$E$7:$E$506)*(BH$3&lt;='Gastos com Pessoal'!$F$7:$F$506)*OFFSET('Encargos e Benefícios'!$D$5,1,MATCH($B22,'Encargos e Benefícios'!$E$5:$AB$5,0),500,1))*(IF('Gastos com Pessoal'!$G$7:$G$506&lt;=BH$3,('Gastos com Pessoal'!$H$7:$H$506)+1,1))*(IF('Gastos com Pessoal'!$M$7:$M$506&lt;=BH$3,('Gastos com Pessoal'!$N$7:$N$506)+1,1))*(IF('Gastos com Pessoal'!$S$7:$S$506&lt;=BH$3,('Gastos com Pessoal'!$T$7:$T$506)+1,1))*(IF('Gastos com Pessoal'!$Y$7:$Y$506&lt;=BH$3,('Gastos com Pessoal'!$Z$7:$Z$506)+1,1))*(IF('Gastos com Pessoal'!$AE$7:$AE$506&lt;=BH$3,('Gastos com Pessoal'!$AF$7:$AF$506)+1,1)),0)</f>
        <v>0</v>
      </c>
      <c r="BI22" s="188">
        <f t="array" aca="1" ref="BI22" ca="1">_xlfn.IFNA(SUM((BI$3&gt;='Gastos com Pessoal'!$E$7:$E$506)*(BI$3&lt;='Gastos com Pessoal'!$F$7:$F$506)*OFFSET('Encargos e Benefícios'!$D$5,1,MATCH($B22,'Encargos e Benefícios'!$E$5:$AB$5,0),500,1))*(IF('Gastos com Pessoal'!$G$7:$G$506&lt;=BI$3,('Gastos com Pessoal'!$H$7:$H$506)+1,1))*(IF('Gastos com Pessoal'!$M$7:$M$506&lt;=BI$3,('Gastos com Pessoal'!$N$7:$N$506)+1,1))*(IF('Gastos com Pessoal'!$S$7:$S$506&lt;=BI$3,('Gastos com Pessoal'!$T$7:$T$506)+1,1))*(IF('Gastos com Pessoal'!$Y$7:$Y$506&lt;=BI$3,('Gastos com Pessoal'!$Z$7:$Z$506)+1,1))*(IF('Gastos com Pessoal'!$AE$7:$AE$506&lt;=BI$3,('Gastos com Pessoal'!$AF$7:$AF$506)+1,1)),0)</f>
        <v>0</v>
      </c>
      <c r="BJ22" s="188">
        <f t="array" aca="1" ref="BJ22" ca="1">_xlfn.IFNA(SUM((BJ$3&gt;='Gastos com Pessoal'!$E$7:$E$506)*(BJ$3&lt;='Gastos com Pessoal'!$F$7:$F$506)*OFFSET('Encargos e Benefícios'!$D$5,1,MATCH($B22,'Encargos e Benefícios'!$E$5:$AB$5,0),500,1))*(IF('Gastos com Pessoal'!$G$7:$G$506&lt;=BJ$3,('Gastos com Pessoal'!$H$7:$H$506)+1,1))*(IF('Gastos com Pessoal'!$M$7:$M$506&lt;=BJ$3,('Gastos com Pessoal'!$N$7:$N$506)+1,1))*(IF('Gastos com Pessoal'!$S$7:$S$506&lt;=BJ$3,('Gastos com Pessoal'!$T$7:$T$506)+1,1))*(IF('Gastos com Pessoal'!$Y$7:$Y$506&lt;=BJ$3,('Gastos com Pessoal'!$Z$7:$Z$506)+1,1))*(IF('Gastos com Pessoal'!$AE$7:$AE$506&lt;=BJ$3,('Gastos com Pessoal'!$AF$7:$AF$506)+1,1)),0)</f>
        <v>0</v>
      </c>
      <c r="BK22" s="189">
        <f t="shared" ca="1" si="8"/>
        <v>567287.13510780095</v>
      </c>
      <c r="BL22" s="136">
        <f t="shared" ca="1" si="9"/>
        <v>1.9531685336279039E-3</v>
      </c>
    </row>
    <row r="23" spans="1:64" s="160" customFormat="1" ht="23.25" customHeight="1">
      <c r="A23" s="198" t="s">
        <v>137</v>
      </c>
      <c r="B23" s="209" t="s">
        <v>138</v>
      </c>
      <c r="C23" s="188">
        <f t="array" aca="1" ref="C23" ca="1">_xlfn.IFNA(SUM((C$3&gt;='Gastos com Pessoal'!$E$7:$E$506)*(C$3&lt;='Gastos com Pessoal'!$F$7:$F$506)*OFFSET('Encargos e Benefícios'!$D$5,1,MATCH($B23,'Encargos e Benefícios'!$E$5:$AB$5,0),500,1))*(IF('Gastos com Pessoal'!$G$7:$G$506&lt;=C$3,('Gastos com Pessoal'!$H$7:$H$506)+1,1))*(IF('Gastos com Pessoal'!$M$7:$M$506&lt;=C$3,('Gastos com Pessoal'!$N$7:$N$506)+1,1))*(IF('Gastos com Pessoal'!$S$7:$S$506&lt;=C$3,('Gastos com Pessoal'!$T$7:$T$506)+1,1))*(IF('Gastos com Pessoal'!$Y$7:$Y$506&lt;=C$3,('Gastos com Pessoal'!$Z$7:$Z$506)+1,1))*(IF('Gastos com Pessoal'!$AE$7:$AE$506&lt;=C$3,('Gastos com Pessoal'!$AF$7:$AF$506)+1,1)),0)</f>
        <v>13562.472986666668</v>
      </c>
      <c r="D23" s="188">
        <f t="array" aca="1" ref="D23" ca="1">_xlfn.IFNA(SUM((D$3&gt;='Gastos com Pessoal'!$E$7:$E$506)*(D$3&lt;='Gastos com Pessoal'!$F$7:$F$506)*OFFSET('Encargos e Benefícios'!$D$5,1,MATCH($B23,'Encargos e Benefícios'!$E$5:$AB$5,0),500,1))*(IF('Gastos com Pessoal'!$G$7:$G$506&lt;=D$3,('Gastos com Pessoal'!$H$7:$H$506)+1,1))*(IF('Gastos com Pessoal'!$M$7:$M$506&lt;=D$3,('Gastos com Pessoal'!$N$7:$N$506)+1,1))*(IF('Gastos com Pessoal'!$S$7:$S$506&lt;=D$3,('Gastos com Pessoal'!$T$7:$T$506)+1,1))*(IF('Gastos com Pessoal'!$Y$7:$Y$506&lt;=D$3,('Gastos com Pessoal'!$Z$7:$Z$506)+1,1))*(IF('Gastos com Pessoal'!$AE$7:$AE$506&lt;=D$3,('Gastos com Pessoal'!$AF$7:$AF$506)+1,1)),0)</f>
        <v>13652.472986666668</v>
      </c>
      <c r="E23" s="188">
        <f t="array" aca="1" ref="E23" ca="1">_xlfn.IFNA(SUM((E$3&gt;='Gastos com Pessoal'!$E$7:$E$506)*(E$3&lt;='Gastos com Pessoal'!$F$7:$F$506)*OFFSET('Encargos e Benefícios'!$D$5,1,MATCH($B23,'Encargos e Benefícios'!$E$5:$AB$5,0),500,1))*(IF('Gastos com Pessoal'!$G$7:$G$506&lt;=E$3,('Gastos com Pessoal'!$H$7:$H$506)+1,1))*(IF('Gastos com Pessoal'!$M$7:$M$506&lt;=E$3,('Gastos com Pessoal'!$N$7:$N$506)+1,1))*(IF('Gastos com Pessoal'!$S$7:$S$506&lt;=E$3,('Gastos com Pessoal'!$T$7:$T$506)+1,1))*(IF('Gastos com Pessoal'!$Y$7:$Y$506&lt;=E$3,('Gastos com Pessoal'!$Z$7:$Z$506)+1,1))*(IF('Gastos com Pessoal'!$AE$7:$AE$506&lt;=E$3,('Gastos com Pessoal'!$AF$7:$AF$506)+1,1)),0)</f>
        <v>14465.05198</v>
      </c>
      <c r="F23" s="188">
        <f t="array" aca="1" ref="F23" ca="1">_xlfn.IFNA(SUM((F$3&gt;='Gastos com Pessoal'!$E$7:$E$506)*(F$3&lt;='Gastos com Pessoal'!$F$7:$F$506)*OFFSET('Encargos e Benefícios'!$D$5,1,MATCH($B23,'Encargos e Benefícios'!$E$5:$AB$5,0),500,1))*(IF('Gastos com Pessoal'!$G$7:$G$506&lt;=F$3,('Gastos com Pessoal'!$H$7:$H$506)+1,1))*(IF('Gastos com Pessoal'!$M$7:$M$506&lt;=F$3,('Gastos com Pessoal'!$N$7:$N$506)+1,1))*(IF('Gastos com Pessoal'!$S$7:$S$506&lt;=F$3,('Gastos com Pessoal'!$T$7:$T$506)+1,1))*(IF('Gastos com Pessoal'!$Y$7:$Y$506&lt;=F$3,('Gastos com Pessoal'!$Z$7:$Z$506)+1,1))*(IF('Gastos com Pessoal'!$AE$7:$AE$506&lt;=F$3,('Gastos com Pessoal'!$AF$7:$AF$506)+1,1)),0)</f>
        <v>14465.05198</v>
      </c>
      <c r="G23" s="188">
        <f t="array" aca="1" ref="G23" ca="1">_xlfn.IFNA(SUM((G$3&gt;='Gastos com Pessoal'!$E$7:$E$506)*(G$3&lt;='Gastos com Pessoal'!$F$7:$F$506)*OFFSET('Encargos e Benefícios'!$D$5,1,MATCH($B23,'Encargos e Benefícios'!$E$5:$AB$5,0),500,1))*(IF('Gastos com Pessoal'!$G$7:$G$506&lt;=G$3,('Gastos com Pessoal'!$H$7:$H$506)+1,1))*(IF('Gastos com Pessoal'!$M$7:$M$506&lt;=G$3,('Gastos com Pessoal'!$N$7:$N$506)+1,1))*(IF('Gastos com Pessoal'!$S$7:$S$506&lt;=G$3,('Gastos com Pessoal'!$T$7:$T$506)+1,1))*(IF('Gastos com Pessoal'!$Y$7:$Y$506&lt;=G$3,('Gastos com Pessoal'!$Z$7:$Z$506)+1,1))*(IF('Gastos com Pessoal'!$AE$7:$AE$506&lt;=G$3,('Gastos com Pessoal'!$AF$7:$AF$506)+1,1)),0)</f>
        <v>15309.811015632</v>
      </c>
      <c r="H23" s="188">
        <f t="array" aca="1" ref="H23" ca="1">_xlfn.IFNA(SUM((H$3&gt;='Gastos com Pessoal'!$E$7:$E$506)*(H$3&lt;='Gastos com Pessoal'!$F$7:$F$506)*OFFSET('Encargos e Benefícios'!$D$5,1,MATCH($B23,'Encargos e Benefícios'!$E$5:$AB$5,0),500,1))*(IF('Gastos com Pessoal'!$G$7:$G$506&lt;=H$3,('Gastos com Pessoal'!$H$7:$H$506)+1,1))*(IF('Gastos com Pessoal'!$M$7:$M$506&lt;=H$3,('Gastos com Pessoal'!$N$7:$N$506)+1,1))*(IF('Gastos com Pessoal'!$S$7:$S$506&lt;=H$3,('Gastos com Pessoal'!$T$7:$T$506)+1,1))*(IF('Gastos com Pessoal'!$Y$7:$Y$506&lt;=H$3,('Gastos com Pessoal'!$Z$7:$Z$506)+1,1))*(IF('Gastos com Pessoal'!$AE$7:$AE$506&lt;=H$3,('Gastos com Pessoal'!$AF$7:$AF$506)+1,1)),0)</f>
        <v>16169.844622175999</v>
      </c>
      <c r="I23" s="188">
        <f t="array" aca="1" ref="I23" ca="1">_xlfn.IFNA(SUM((I$3&gt;='Gastos com Pessoal'!$E$7:$E$506)*(I$3&lt;='Gastos com Pessoal'!$F$7:$F$506)*OFFSET('Encargos e Benefícios'!$D$5,1,MATCH($B23,'Encargos e Benefícios'!$E$5:$AB$5,0),500,1))*(IF('Gastos com Pessoal'!$G$7:$G$506&lt;=I$3,('Gastos com Pessoal'!$H$7:$H$506)+1,1))*(IF('Gastos com Pessoal'!$M$7:$M$506&lt;=I$3,('Gastos com Pessoal'!$N$7:$N$506)+1,1))*(IF('Gastos com Pessoal'!$S$7:$S$506&lt;=I$3,('Gastos com Pessoal'!$T$7:$T$506)+1,1))*(IF('Gastos com Pessoal'!$Y$7:$Y$506&lt;=I$3,('Gastos com Pessoal'!$Z$7:$Z$506)+1,1))*(IF('Gastos com Pessoal'!$AE$7:$AE$506&lt;=I$3,('Gastos com Pessoal'!$AF$7:$AF$506)+1,1)),0)</f>
        <v>16169.844622175999</v>
      </c>
      <c r="J23" s="188">
        <f t="array" aca="1" ref="J23" ca="1">_xlfn.IFNA(SUM((J$3&gt;='Gastos com Pessoal'!$E$7:$E$506)*(J$3&lt;='Gastos com Pessoal'!$F$7:$F$506)*OFFSET('Encargos e Benefícios'!$D$5,1,MATCH($B23,'Encargos e Benefícios'!$E$5:$AB$5,0),500,1))*(IF('Gastos com Pessoal'!$G$7:$G$506&lt;=J$3,('Gastos com Pessoal'!$H$7:$H$506)+1,1))*(IF('Gastos com Pessoal'!$M$7:$M$506&lt;=J$3,('Gastos com Pessoal'!$N$7:$N$506)+1,1))*(IF('Gastos com Pessoal'!$S$7:$S$506&lt;=J$3,('Gastos com Pessoal'!$T$7:$T$506)+1,1))*(IF('Gastos com Pessoal'!$Y$7:$Y$506&lt;=J$3,('Gastos com Pessoal'!$Z$7:$Z$506)+1,1))*(IF('Gastos com Pessoal'!$AE$7:$AE$506&lt;=J$3,('Gastos com Pessoal'!$AF$7:$AF$506)+1,1)),0)</f>
        <v>16169.844622175999</v>
      </c>
      <c r="K23" s="188">
        <f t="array" aca="1" ref="K23" ca="1">_xlfn.IFNA(SUM((K$3&gt;='Gastos com Pessoal'!$E$7:$E$506)*(K$3&lt;='Gastos com Pessoal'!$F$7:$F$506)*OFFSET('Encargos e Benefícios'!$D$5,1,MATCH($B23,'Encargos e Benefícios'!$E$5:$AB$5,0),500,1))*(IF('Gastos com Pessoal'!$G$7:$G$506&lt;=K$3,('Gastos com Pessoal'!$H$7:$H$506)+1,1))*(IF('Gastos com Pessoal'!$M$7:$M$506&lt;=K$3,('Gastos com Pessoal'!$N$7:$N$506)+1,1))*(IF('Gastos com Pessoal'!$S$7:$S$506&lt;=K$3,('Gastos com Pessoal'!$T$7:$T$506)+1,1))*(IF('Gastos com Pessoal'!$Y$7:$Y$506&lt;=K$3,('Gastos com Pessoal'!$Z$7:$Z$506)+1,1))*(IF('Gastos com Pessoal'!$AE$7:$AE$506&lt;=K$3,('Gastos com Pessoal'!$AF$7:$AF$506)+1,1)),0)</f>
        <v>17080.104184416003</v>
      </c>
      <c r="L23" s="188">
        <f t="array" aca="1" ref="L23" ca="1">_xlfn.IFNA(SUM((L$3&gt;='Gastos com Pessoal'!$E$7:$E$506)*(L$3&lt;='Gastos com Pessoal'!$F$7:$F$506)*OFFSET('Encargos e Benefícios'!$D$5,1,MATCH($B23,'Encargos e Benefícios'!$E$5:$AB$5,0),500,1))*(IF('Gastos com Pessoal'!$G$7:$G$506&lt;=L$3,('Gastos com Pessoal'!$H$7:$H$506)+1,1))*(IF('Gastos com Pessoal'!$M$7:$M$506&lt;=L$3,('Gastos com Pessoal'!$N$7:$N$506)+1,1))*(IF('Gastos com Pessoal'!$S$7:$S$506&lt;=L$3,('Gastos com Pessoal'!$T$7:$T$506)+1,1))*(IF('Gastos com Pessoal'!$Y$7:$Y$506&lt;=L$3,('Gastos com Pessoal'!$Z$7:$Z$506)+1,1))*(IF('Gastos com Pessoal'!$AE$7:$AE$506&lt;=L$3,('Gastos com Pessoal'!$AF$7:$AF$506)+1,1)),0)</f>
        <v>17080.104184416003</v>
      </c>
      <c r="M23" s="188">
        <f t="array" aca="1" ref="M23" ca="1">_xlfn.IFNA(SUM((M$3&gt;='Gastos com Pessoal'!$E$7:$E$506)*(M$3&lt;='Gastos com Pessoal'!$F$7:$F$506)*OFFSET('Encargos e Benefícios'!$D$5,1,MATCH($B23,'Encargos e Benefícios'!$E$5:$AB$5,0),500,1))*(IF('Gastos com Pessoal'!$G$7:$G$506&lt;=M$3,('Gastos com Pessoal'!$H$7:$H$506)+1,1))*(IF('Gastos com Pessoal'!$M$7:$M$506&lt;=M$3,('Gastos com Pessoal'!$N$7:$N$506)+1,1))*(IF('Gastos com Pessoal'!$S$7:$S$506&lt;=M$3,('Gastos com Pessoal'!$T$7:$T$506)+1,1))*(IF('Gastos com Pessoal'!$Y$7:$Y$506&lt;=M$3,('Gastos com Pessoal'!$Z$7:$Z$506)+1,1))*(IF('Gastos com Pessoal'!$AE$7:$AE$506&lt;=M$3,('Gastos com Pessoal'!$AF$7:$AF$506)+1,1)),0)</f>
        <v>17080.104184416003</v>
      </c>
      <c r="N23" s="188">
        <f t="array" aca="1" ref="N23" ca="1">_xlfn.IFNA(SUM((N$3&gt;='Gastos com Pessoal'!$E$7:$E$506)*(N$3&lt;='Gastos com Pessoal'!$F$7:$F$506)*OFFSET('Encargos e Benefícios'!$D$5,1,MATCH($B23,'Encargos e Benefícios'!$E$5:$AB$5,0),500,1))*(IF('Gastos com Pessoal'!$G$7:$G$506&lt;=N$3,('Gastos com Pessoal'!$H$7:$H$506)+1,1))*(IF('Gastos com Pessoal'!$M$7:$M$506&lt;=N$3,('Gastos com Pessoal'!$N$7:$N$506)+1,1))*(IF('Gastos com Pessoal'!$S$7:$S$506&lt;=N$3,('Gastos com Pessoal'!$T$7:$T$506)+1,1))*(IF('Gastos com Pessoal'!$Y$7:$Y$506&lt;=N$3,('Gastos com Pessoal'!$Z$7:$Z$506)+1,1))*(IF('Gastos com Pessoal'!$AE$7:$AE$506&lt;=N$3,('Gastos com Pessoal'!$AF$7:$AF$506)+1,1)),0)</f>
        <v>17990.363746656003</v>
      </c>
      <c r="O23" s="188">
        <f t="array" aca="1" ref="O23" ca="1">_xlfn.IFNA(SUM((O$3&gt;='Gastos com Pessoal'!$E$7:$E$506)*(O$3&lt;='Gastos com Pessoal'!$F$7:$F$506)*OFFSET('Encargos e Benefícios'!$D$5,1,MATCH($B23,'Encargos e Benefícios'!$E$5:$AB$5,0),500,1))*(IF('Gastos com Pessoal'!$G$7:$G$506&lt;=O$3,('Gastos com Pessoal'!$H$7:$H$506)+1,1))*(IF('Gastos com Pessoal'!$M$7:$M$506&lt;=O$3,('Gastos com Pessoal'!$N$7:$N$506)+1,1))*(IF('Gastos com Pessoal'!$S$7:$S$506&lt;=O$3,('Gastos com Pessoal'!$T$7:$T$506)+1,1))*(IF('Gastos com Pessoal'!$Y$7:$Y$506&lt;=O$3,('Gastos com Pessoal'!$Z$7:$Z$506)+1,1))*(IF('Gastos com Pessoal'!$AE$7:$AE$506&lt;=O$3,('Gastos com Pessoal'!$AF$7:$AF$506)+1,1)),0)</f>
        <v>17990.363746656003</v>
      </c>
      <c r="P23" s="188">
        <f t="array" aca="1" ref="P23" ca="1">_xlfn.IFNA(SUM((P$3&gt;='Gastos com Pessoal'!$E$7:$E$506)*(P$3&lt;='Gastos com Pessoal'!$F$7:$F$506)*OFFSET('Encargos e Benefícios'!$D$5,1,MATCH($B23,'Encargos e Benefícios'!$E$5:$AB$5,0),500,1))*(IF('Gastos com Pessoal'!$G$7:$G$506&lt;=P$3,('Gastos com Pessoal'!$H$7:$H$506)+1,1))*(IF('Gastos com Pessoal'!$M$7:$M$506&lt;=P$3,('Gastos com Pessoal'!$N$7:$N$506)+1,1))*(IF('Gastos com Pessoal'!$S$7:$S$506&lt;=P$3,('Gastos com Pessoal'!$T$7:$T$506)+1,1))*(IF('Gastos com Pessoal'!$Y$7:$Y$506&lt;=P$3,('Gastos com Pessoal'!$Z$7:$Z$506)+1,1))*(IF('Gastos com Pessoal'!$AE$7:$AE$506&lt;=P$3,('Gastos com Pessoal'!$AF$7:$AF$506)+1,1)),0)</f>
        <v>17990.363746656003</v>
      </c>
      <c r="Q23" s="188">
        <f t="array" aca="1" ref="Q23" ca="1">_xlfn.IFNA(SUM((Q$3&gt;='Gastos com Pessoal'!$E$7:$E$506)*(Q$3&lt;='Gastos com Pessoal'!$F$7:$F$506)*OFFSET('Encargos e Benefícios'!$D$5,1,MATCH($B23,'Encargos e Benefícios'!$E$5:$AB$5,0),500,1))*(IF('Gastos com Pessoal'!$G$7:$G$506&lt;=Q$3,('Gastos com Pessoal'!$H$7:$H$506)+1,1))*(IF('Gastos com Pessoal'!$M$7:$M$506&lt;=Q$3,('Gastos com Pessoal'!$N$7:$N$506)+1,1))*(IF('Gastos com Pessoal'!$S$7:$S$506&lt;=Q$3,('Gastos com Pessoal'!$T$7:$T$506)+1,1))*(IF('Gastos com Pessoal'!$Y$7:$Y$506&lt;=Q$3,('Gastos com Pessoal'!$Z$7:$Z$506)+1,1))*(IF('Gastos com Pessoal'!$AE$7:$AE$506&lt;=Q$3,('Gastos com Pessoal'!$AF$7:$AF$506)+1,1)),0)</f>
        <v>17990.363746656003</v>
      </c>
      <c r="R23" s="188">
        <f t="array" aca="1" ref="R23" ca="1">_xlfn.IFNA(SUM((R$3&gt;='Gastos com Pessoal'!$E$7:$E$506)*(R$3&lt;='Gastos com Pessoal'!$F$7:$F$506)*OFFSET('Encargos e Benefícios'!$D$5,1,MATCH($B23,'Encargos e Benefícios'!$E$5:$AB$5,0),500,1))*(IF('Gastos com Pessoal'!$G$7:$G$506&lt;=R$3,('Gastos com Pessoal'!$H$7:$H$506)+1,1))*(IF('Gastos com Pessoal'!$M$7:$M$506&lt;=R$3,('Gastos com Pessoal'!$N$7:$N$506)+1,1))*(IF('Gastos com Pessoal'!$S$7:$S$506&lt;=R$3,('Gastos com Pessoal'!$T$7:$T$506)+1,1))*(IF('Gastos com Pessoal'!$Y$7:$Y$506&lt;=R$3,('Gastos com Pessoal'!$Z$7:$Z$506)+1,1))*(IF('Gastos com Pessoal'!$AE$7:$AE$506&lt;=R$3,('Gastos com Pessoal'!$AF$7:$AF$506)+1,1)),0)</f>
        <v>17990.363746656003</v>
      </c>
      <c r="S23" s="188">
        <f t="array" aca="1" ref="S23" ca="1">_xlfn.IFNA(SUM((S$3&gt;='Gastos com Pessoal'!$E$7:$E$506)*(S$3&lt;='Gastos com Pessoal'!$F$7:$F$506)*OFFSET('Encargos e Benefícios'!$D$5,1,MATCH($B23,'Encargos e Benefícios'!$E$5:$AB$5,0),500,1))*(IF('Gastos com Pessoal'!$G$7:$G$506&lt;=S$3,('Gastos com Pessoal'!$H$7:$H$506)+1,1))*(IF('Gastos com Pessoal'!$M$7:$M$506&lt;=S$3,('Gastos com Pessoal'!$N$7:$N$506)+1,1))*(IF('Gastos com Pessoal'!$S$7:$S$506&lt;=S$3,('Gastos com Pessoal'!$T$7:$T$506)+1,1))*(IF('Gastos com Pessoal'!$Y$7:$Y$506&lt;=S$3,('Gastos com Pessoal'!$Z$7:$Z$506)+1,1))*(IF('Gastos com Pessoal'!$AE$7:$AE$506&lt;=S$3,('Gastos com Pessoal'!$AF$7:$AF$506)+1,1)),0)</f>
        <v>19041.000989460714</v>
      </c>
      <c r="T23" s="188">
        <f t="array" aca="1" ref="T23" ca="1">_xlfn.IFNA(SUM((T$3&gt;='Gastos com Pessoal'!$E$7:$E$506)*(T$3&lt;='Gastos com Pessoal'!$F$7:$F$506)*OFFSET('Encargos e Benefícios'!$D$5,1,MATCH($B23,'Encargos e Benefícios'!$E$5:$AB$5,0),500,1))*(IF('Gastos com Pessoal'!$G$7:$G$506&lt;=T$3,('Gastos com Pessoal'!$H$7:$H$506)+1,1))*(IF('Gastos com Pessoal'!$M$7:$M$506&lt;=T$3,('Gastos com Pessoal'!$N$7:$N$506)+1,1))*(IF('Gastos com Pessoal'!$S$7:$S$506&lt;=T$3,('Gastos com Pessoal'!$T$7:$T$506)+1,1))*(IF('Gastos com Pessoal'!$Y$7:$Y$506&lt;=T$3,('Gastos com Pessoal'!$Z$7:$Z$506)+1,1))*(IF('Gastos com Pessoal'!$AE$7:$AE$506&lt;=T$3,('Gastos com Pessoal'!$AF$7:$AF$506)+1,1)),0)</f>
        <v>19041.000989460714</v>
      </c>
      <c r="U23" s="188">
        <f t="array" aca="1" ref="U23" ca="1">_xlfn.IFNA(SUM((U$3&gt;='Gastos com Pessoal'!$E$7:$E$506)*(U$3&lt;='Gastos com Pessoal'!$F$7:$F$506)*OFFSET('Encargos e Benefícios'!$D$5,1,MATCH($B23,'Encargos e Benefícios'!$E$5:$AB$5,0),500,1))*(IF('Gastos com Pessoal'!$G$7:$G$506&lt;=U$3,('Gastos com Pessoal'!$H$7:$H$506)+1,1))*(IF('Gastos com Pessoal'!$M$7:$M$506&lt;=U$3,('Gastos com Pessoal'!$N$7:$N$506)+1,1))*(IF('Gastos com Pessoal'!$S$7:$S$506&lt;=U$3,('Gastos com Pessoal'!$T$7:$T$506)+1,1))*(IF('Gastos com Pessoal'!$Y$7:$Y$506&lt;=U$3,('Gastos com Pessoal'!$Z$7:$Z$506)+1,1))*(IF('Gastos com Pessoal'!$AE$7:$AE$506&lt;=U$3,('Gastos com Pessoal'!$AF$7:$AF$506)+1,1)),0)</f>
        <v>19041.000989460714</v>
      </c>
      <c r="V23" s="188">
        <f t="array" aca="1" ref="V23" ca="1">_xlfn.IFNA(SUM((V$3&gt;='Gastos com Pessoal'!$E$7:$E$506)*(V$3&lt;='Gastos com Pessoal'!$F$7:$F$506)*OFFSET('Encargos e Benefícios'!$D$5,1,MATCH($B23,'Encargos e Benefícios'!$E$5:$AB$5,0),500,1))*(IF('Gastos com Pessoal'!$G$7:$G$506&lt;=V$3,('Gastos com Pessoal'!$H$7:$H$506)+1,1))*(IF('Gastos com Pessoal'!$M$7:$M$506&lt;=V$3,('Gastos com Pessoal'!$N$7:$N$506)+1,1))*(IF('Gastos com Pessoal'!$S$7:$S$506&lt;=V$3,('Gastos com Pessoal'!$T$7:$T$506)+1,1))*(IF('Gastos com Pessoal'!$Y$7:$Y$506&lt;=V$3,('Gastos com Pessoal'!$Z$7:$Z$506)+1,1))*(IF('Gastos com Pessoal'!$AE$7:$AE$506&lt;=V$3,('Gastos com Pessoal'!$AF$7:$AF$506)+1,1)),0)</f>
        <v>19041.000989460714</v>
      </c>
      <c r="W23" s="188">
        <f t="array" aca="1" ref="W23" ca="1">_xlfn.IFNA(SUM((W$3&gt;='Gastos com Pessoal'!$E$7:$E$506)*(W$3&lt;='Gastos com Pessoal'!$F$7:$F$506)*OFFSET('Encargos e Benefícios'!$D$5,1,MATCH($B23,'Encargos e Benefícios'!$E$5:$AB$5,0),500,1))*(IF('Gastos com Pessoal'!$G$7:$G$506&lt;=W$3,('Gastos com Pessoal'!$H$7:$H$506)+1,1))*(IF('Gastos com Pessoal'!$M$7:$M$506&lt;=W$3,('Gastos com Pessoal'!$N$7:$N$506)+1,1))*(IF('Gastos com Pessoal'!$S$7:$S$506&lt;=W$3,('Gastos com Pessoal'!$T$7:$T$506)+1,1))*(IF('Gastos com Pessoal'!$Y$7:$Y$506&lt;=W$3,('Gastos com Pessoal'!$Z$7:$Z$506)+1,1))*(IF('Gastos com Pessoal'!$AE$7:$AE$506&lt;=W$3,('Gastos com Pessoal'!$AF$7:$AF$506)+1,1)),0)</f>
        <v>19041.000989460714</v>
      </c>
      <c r="X23" s="188">
        <f t="array" aca="1" ref="X23" ca="1">_xlfn.IFNA(SUM((X$3&gt;='Gastos com Pessoal'!$E$7:$E$506)*(X$3&lt;='Gastos com Pessoal'!$F$7:$F$506)*OFFSET('Encargos e Benefícios'!$D$5,1,MATCH($B23,'Encargos e Benefícios'!$E$5:$AB$5,0),500,1))*(IF('Gastos com Pessoal'!$G$7:$G$506&lt;=X$3,('Gastos com Pessoal'!$H$7:$H$506)+1,1))*(IF('Gastos com Pessoal'!$M$7:$M$506&lt;=X$3,('Gastos com Pessoal'!$N$7:$N$506)+1,1))*(IF('Gastos com Pessoal'!$S$7:$S$506&lt;=X$3,('Gastos com Pessoal'!$T$7:$T$506)+1,1))*(IF('Gastos com Pessoal'!$Y$7:$Y$506&lt;=X$3,('Gastos com Pessoal'!$Z$7:$Z$506)+1,1))*(IF('Gastos com Pessoal'!$AE$7:$AE$506&lt;=X$3,('Gastos com Pessoal'!$AF$7:$AF$506)+1,1)),0)</f>
        <v>19041.000989460714</v>
      </c>
      <c r="Y23" s="188">
        <f t="array" aca="1" ref="Y23" ca="1">_xlfn.IFNA(SUM((Y$3&gt;='Gastos com Pessoal'!$E$7:$E$506)*(Y$3&lt;='Gastos com Pessoal'!$F$7:$F$506)*OFFSET('Encargos e Benefícios'!$D$5,1,MATCH($B23,'Encargos e Benefícios'!$E$5:$AB$5,0),500,1))*(IF('Gastos com Pessoal'!$G$7:$G$506&lt;=Y$3,('Gastos com Pessoal'!$H$7:$H$506)+1,1))*(IF('Gastos com Pessoal'!$M$7:$M$506&lt;=Y$3,('Gastos com Pessoal'!$N$7:$N$506)+1,1))*(IF('Gastos com Pessoal'!$S$7:$S$506&lt;=Y$3,('Gastos com Pessoal'!$T$7:$T$506)+1,1))*(IF('Gastos com Pessoal'!$Y$7:$Y$506&lt;=Y$3,('Gastos com Pessoal'!$Z$7:$Z$506)+1,1))*(IF('Gastos com Pessoal'!$AE$7:$AE$506&lt;=Y$3,('Gastos com Pessoal'!$AF$7:$AF$506)+1,1)),0)</f>
        <v>19041.000989460714</v>
      </c>
      <c r="Z23" s="188">
        <f t="array" aca="1" ref="Z23" ca="1">_xlfn.IFNA(SUM((Z$3&gt;='Gastos com Pessoal'!$E$7:$E$506)*(Z$3&lt;='Gastos com Pessoal'!$F$7:$F$506)*OFFSET('Encargos e Benefícios'!$D$5,1,MATCH($B23,'Encargos e Benefícios'!$E$5:$AB$5,0),500,1))*(IF('Gastos com Pessoal'!$G$7:$G$506&lt;=Z$3,('Gastos com Pessoal'!$H$7:$H$506)+1,1))*(IF('Gastos com Pessoal'!$M$7:$M$506&lt;=Z$3,('Gastos com Pessoal'!$N$7:$N$506)+1,1))*(IF('Gastos com Pessoal'!$S$7:$S$506&lt;=Z$3,('Gastos com Pessoal'!$T$7:$T$506)+1,1))*(IF('Gastos com Pessoal'!$Y$7:$Y$506&lt;=Z$3,('Gastos com Pessoal'!$Z$7:$Z$506)+1,1))*(IF('Gastos com Pessoal'!$AE$7:$AE$506&lt;=Z$3,('Gastos com Pessoal'!$AF$7:$AF$506)+1,1)),0)</f>
        <v>19041.000989460714</v>
      </c>
      <c r="AA23" s="188">
        <f t="array" aca="1" ref="AA23" ca="1">_xlfn.IFNA(SUM((AA$3&gt;='Gastos com Pessoal'!$E$7:$E$506)*(AA$3&lt;='Gastos com Pessoal'!$F$7:$F$506)*OFFSET('Encargos e Benefícios'!$D$5,1,MATCH($B23,'Encargos e Benefícios'!$E$5:$AB$5,0),500,1))*(IF('Gastos com Pessoal'!$G$7:$G$506&lt;=AA$3,('Gastos com Pessoal'!$H$7:$H$506)+1,1))*(IF('Gastos com Pessoal'!$M$7:$M$506&lt;=AA$3,('Gastos com Pessoal'!$N$7:$N$506)+1,1))*(IF('Gastos com Pessoal'!$S$7:$S$506&lt;=AA$3,('Gastos com Pessoal'!$T$7:$T$506)+1,1))*(IF('Gastos com Pessoal'!$Y$7:$Y$506&lt;=AA$3,('Gastos com Pessoal'!$Z$7:$Z$506)+1,1))*(IF('Gastos com Pessoal'!$AE$7:$AE$506&lt;=AA$3,('Gastos com Pessoal'!$AF$7:$AF$506)+1,1)),0)</f>
        <v>19041.000989460714</v>
      </c>
      <c r="AB23" s="188">
        <f t="array" aca="1" ref="AB23" ca="1">_xlfn.IFNA(SUM((AB$3&gt;='Gastos com Pessoal'!$E$7:$E$506)*(AB$3&lt;='Gastos com Pessoal'!$F$7:$F$506)*OFFSET('Encargos e Benefícios'!$D$5,1,MATCH($B23,'Encargos e Benefícios'!$E$5:$AB$5,0),500,1))*(IF('Gastos com Pessoal'!$G$7:$G$506&lt;=AB$3,('Gastos com Pessoal'!$H$7:$H$506)+1,1))*(IF('Gastos com Pessoal'!$M$7:$M$506&lt;=AB$3,('Gastos com Pessoal'!$N$7:$N$506)+1,1))*(IF('Gastos com Pessoal'!$S$7:$S$506&lt;=AB$3,('Gastos com Pessoal'!$T$7:$T$506)+1,1))*(IF('Gastos com Pessoal'!$Y$7:$Y$506&lt;=AB$3,('Gastos com Pessoal'!$Z$7:$Z$506)+1,1))*(IF('Gastos com Pessoal'!$AE$7:$AE$506&lt;=AB$3,('Gastos com Pessoal'!$AF$7:$AF$506)+1,1)),0)</f>
        <v>19041.000989460714</v>
      </c>
      <c r="AC23" s="188">
        <f t="array" aca="1" ref="AC23" ca="1">_xlfn.IFNA(SUM((AC$3&gt;='Gastos com Pessoal'!$E$7:$E$506)*(AC$3&lt;='Gastos com Pessoal'!$F$7:$F$506)*OFFSET('Encargos e Benefícios'!$D$5,1,MATCH($B23,'Encargos e Benefícios'!$E$5:$AB$5,0),500,1))*(IF('Gastos com Pessoal'!$G$7:$G$506&lt;=AC$3,('Gastos com Pessoal'!$H$7:$H$506)+1,1))*(IF('Gastos com Pessoal'!$M$7:$M$506&lt;=AC$3,('Gastos com Pessoal'!$N$7:$N$506)+1,1))*(IF('Gastos com Pessoal'!$S$7:$S$506&lt;=AC$3,('Gastos com Pessoal'!$T$7:$T$506)+1,1))*(IF('Gastos com Pessoal'!$Y$7:$Y$506&lt;=AC$3,('Gastos com Pessoal'!$Z$7:$Z$506)+1,1))*(IF('Gastos com Pessoal'!$AE$7:$AE$506&lt;=AC$3,('Gastos com Pessoal'!$AF$7:$AF$506)+1,1)),0)</f>
        <v>19041.000989460714</v>
      </c>
      <c r="AD23" s="188">
        <f t="array" aca="1" ref="AD23" ca="1">_xlfn.IFNA(SUM((AD$3&gt;='Gastos com Pessoal'!$E$7:$E$506)*(AD$3&lt;='Gastos com Pessoal'!$F$7:$F$506)*OFFSET('Encargos e Benefícios'!$D$5,1,MATCH($B23,'Encargos e Benefícios'!$E$5:$AB$5,0),500,1))*(IF('Gastos com Pessoal'!$G$7:$G$506&lt;=AD$3,('Gastos com Pessoal'!$H$7:$H$506)+1,1))*(IF('Gastos com Pessoal'!$M$7:$M$506&lt;=AD$3,('Gastos com Pessoal'!$N$7:$N$506)+1,1))*(IF('Gastos com Pessoal'!$S$7:$S$506&lt;=AD$3,('Gastos com Pessoal'!$T$7:$T$506)+1,1))*(IF('Gastos com Pessoal'!$Y$7:$Y$506&lt;=AD$3,('Gastos com Pessoal'!$Z$7:$Z$506)+1,1))*(IF('Gastos com Pessoal'!$AE$7:$AE$506&lt;=AD$3,('Gastos com Pessoal'!$AF$7:$AF$506)+1,1)),0)</f>
        <v>19041.000989460714</v>
      </c>
      <c r="AE23" s="188">
        <f t="array" aca="1" ref="AE23" ca="1">_xlfn.IFNA(SUM((AE$3&gt;='Gastos com Pessoal'!$E$7:$E$506)*(AE$3&lt;='Gastos com Pessoal'!$F$7:$F$506)*OFFSET('Encargos e Benefícios'!$D$5,1,MATCH($B23,'Encargos e Benefícios'!$E$5:$AB$5,0),500,1))*(IF('Gastos com Pessoal'!$G$7:$G$506&lt;=AE$3,('Gastos com Pessoal'!$H$7:$H$506)+1,1))*(IF('Gastos com Pessoal'!$M$7:$M$506&lt;=AE$3,('Gastos com Pessoal'!$N$7:$N$506)+1,1))*(IF('Gastos com Pessoal'!$S$7:$S$506&lt;=AE$3,('Gastos com Pessoal'!$T$7:$T$506)+1,1))*(IF('Gastos com Pessoal'!$Y$7:$Y$506&lt;=AE$3,('Gastos com Pessoal'!$Z$7:$Z$506)+1,1))*(IF('Gastos com Pessoal'!$AE$7:$AE$506&lt;=AE$3,('Gastos com Pessoal'!$AF$7:$AF$506)+1,1)),0)</f>
        <v>20152.995447245219</v>
      </c>
      <c r="AF23" s="188">
        <f t="array" aca="1" ref="AF23" ca="1">_xlfn.IFNA(SUM((AF$3&gt;='Gastos com Pessoal'!$E$7:$E$506)*(AF$3&lt;='Gastos com Pessoal'!$F$7:$F$506)*OFFSET('Encargos e Benefícios'!$D$5,1,MATCH($B23,'Encargos e Benefícios'!$E$5:$AB$5,0),500,1))*(IF('Gastos com Pessoal'!$G$7:$G$506&lt;=AF$3,('Gastos com Pessoal'!$H$7:$H$506)+1,1))*(IF('Gastos com Pessoal'!$M$7:$M$506&lt;=AF$3,('Gastos com Pessoal'!$N$7:$N$506)+1,1))*(IF('Gastos com Pessoal'!$S$7:$S$506&lt;=AF$3,('Gastos com Pessoal'!$T$7:$T$506)+1,1))*(IF('Gastos com Pessoal'!$Y$7:$Y$506&lt;=AF$3,('Gastos com Pessoal'!$Z$7:$Z$506)+1,1))*(IF('Gastos com Pessoal'!$AE$7:$AE$506&lt;=AF$3,('Gastos com Pessoal'!$AF$7:$AF$506)+1,1)),0)</f>
        <v>20152.995447245219</v>
      </c>
      <c r="AG23" s="188">
        <f t="array" aca="1" ref="AG23" ca="1">_xlfn.IFNA(SUM((AG$3&gt;='Gastos com Pessoal'!$E$7:$E$506)*(AG$3&lt;='Gastos com Pessoal'!$F$7:$F$506)*OFFSET('Encargos e Benefícios'!$D$5,1,MATCH($B23,'Encargos e Benefícios'!$E$5:$AB$5,0),500,1))*(IF('Gastos com Pessoal'!$G$7:$G$506&lt;=AG$3,('Gastos com Pessoal'!$H$7:$H$506)+1,1))*(IF('Gastos com Pessoal'!$M$7:$M$506&lt;=AG$3,('Gastos com Pessoal'!$N$7:$N$506)+1,1))*(IF('Gastos com Pessoal'!$S$7:$S$506&lt;=AG$3,('Gastos com Pessoal'!$T$7:$T$506)+1,1))*(IF('Gastos com Pessoal'!$Y$7:$Y$506&lt;=AG$3,('Gastos com Pessoal'!$Z$7:$Z$506)+1,1))*(IF('Gastos com Pessoal'!$AE$7:$AE$506&lt;=AG$3,('Gastos com Pessoal'!$AF$7:$AF$506)+1,1)),0)</f>
        <v>20152.995447245219</v>
      </c>
      <c r="AH23" s="188">
        <f t="array" aca="1" ref="AH23" ca="1">_xlfn.IFNA(SUM((AH$3&gt;='Gastos com Pessoal'!$E$7:$E$506)*(AH$3&lt;='Gastos com Pessoal'!$F$7:$F$506)*OFFSET('Encargos e Benefícios'!$D$5,1,MATCH($B23,'Encargos e Benefícios'!$E$5:$AB$5,0),500,1))*(IF('Gastos com Pessoal'!$G$7:$G$506&lt;=AH$3,('Gastos com Pessoal'!$H$7:$H$506)+1,1))*(IF('Gastos com Pessoal'!$M$7:$M$506&lt;=AH$3,('Gastos com Pessoal'!$N$7:$N$506)+1,1))*(IF('Gastos com Pessoal'!$S$7:$S$506&lt;=AH$3,('Gastos com Pessoal'!$T$7:$T$506)+1,1))*(IF('Gastos com Pessoal'!$Y$7:$Y$506&lt;=AH$3,('Gastos com Pessoal'!$Z$7:$Z$506)+1,1))*(IF('Gastos com Pessoal'!$AE$7:$AE$506&lt;=AH$3,('Gastos com Pessoal'!$AF$7:$AF$506)+1,1)),0)</f>
        <v>20152.995447245219</v>
      </c>
      <c r="AI23" s="188">
        <f t="array" aca="1" ref="AI23" ca="1">_xlfn.IFNA(SUM((AI$3&gt;='Gastos com Pessoal'!$E$7:$E$506)*(AI$3&lt;='Gastos com Pessoal'!$F$7:$F$506)*OFFSET('Encargos e Benefícios'!$D$5,1,MATCH($B23,'Encargos e Benefícios'!$E$5:$AB$5,0),500,1))*(IF('Gastos com Pessoal'!$G$7:$G$506&lt;=AI$3,('Gastos com Pessoal'!$H$7:$H$506)+1,1))*(IF('Gastos com Pessoal'!$M$7:$M$506&lt;=AI$3,('Gastos com Pessoal'!$N$7:$N$506)+1,1))*(IF('Gastos com Pessoal'!$S$7:$S$506&lt;=AI$3,('Gastos com Pessoal'!$T$7:$T$506)+1,1))*(IF('Gastos com Pessoal'!$Y$7:$Y$506&lt;=AI$3,('Gastos com Pessoal'!$Z$7:$Z$506)+1,1))*(IF('Gastos com Pessoal'!$AE$7:$AE$506&lt;=AI$3,('Gastos com Pessoal'!$AF$7:$AF$506)+1,1)),0)</f>
        <v>20152.995447245219</v>
      </c>
      <c r="AJ23" s="188">
        <f t="array" aca="1" ref="AJ23" ca="1">_xlfn.IFNA(SUM((AJ$3&gt;='Gastos com Pessoal'!$E$7:$E$506)*(AJ$3&lt;='Gastos com Pessoal'!$F$7:$F$506)*OFFSET('Encargos e Benefícios'!$D$5,1,MATCH($B23,'Encargos e Benefícios'!$E$5:$AB$5,0),500,1))*(IF('Gastos com Pessoal'!$G$7:$G$506&lt;=AJ$3,('Gastos com Pessoal'!$H$7:$H$506)+1,1))*(IF('Gastos com Pessoal'!$M$7:$M$506&lt;=AJ$3,('Gastos com Pessoal'!$N$7:$N$506)+1,1))*(IF('Gastos com Pessoal'!$S$7:$S$506&lt;=AJ$3,('Gastos com Pessoal'!$T$7:$T$506)+1,1))*(IF('Gastos com Pessoal'!$Y$7:$Y$506&lt;=AJ$3,('Gastos com Pessoal'!$Z$7:$Z$506)+1,1))*(IF('Gastos com Pessoal'!$AE$7:$AE$506&lt;=AJ$3,('Gastos com Pessoal'!$AF$7:$AF$506)+1,1)),0)</f>
        <v>20152.995447245219</v>
      </c>
      <c r="AK23" s="188">
        <f t="array" aca="1" ref="AK23" ca="1">_xlfn.IFNA(SUM((AK$3&gt;='Gastos com Pessoal'!$E$7:$E$506)*(AK$3&lt;='Gastos com Pessoal'!$F$7:$F$506)*OFFSET('Encargos e Benefícios'!$D$5,1,MATCH($B23,'Encargos e Benefícios'!$E$5:$AB$5,0),500,1))*(IF('Gastos com Pessoal'!$G$7:$G$506&lt;=AK$3,('Gastos com Pessoal'!$H$7:$H$506)+1,1))*(IF('Gastos com Pessoal'!$M$7:$M$506&lt;=AK$3,('Gastos com Pessoal'!$N$7:$N$506)+1,1))*(IF('Gastos com Pessoal'!$S$7:$S$506&lt;=AK$3,('Gastos com Pessoal'!$T$7:$T$506)+1,1))*(IF('Gastos com Pessoal'!$Y$7:$Y$506&lt;=AK$3,('Gastos com Pessoal'!$Z$7:$Z$506)+1,1))*(IF('Gastos com Pessoal'!$AE$7:$AE$506&lt;=AK$3,('Gastos com Pessoal'!$AF$7:$AF$506)+1,1)),0)</f>
        <v>20152.995447245219</v>
      </c>
      <c r="AL23" s="188">
        <f t="array" aca="1" ref="AL23" ca="1">_xlfn.IFNA(SUM((AL$3&gt;='Gastos com Pessoal'!$E$7:$E$506)*(AL$3&lt;='Gastos com Pessoal'!$F$7:$F$506)*OFFSET('Encargos e Benefícios'!$D$5,1,MATCH($B23,'Encargos e Benefícios'!$E$5:$AB$5,0),500,1))*(IF('Gastos com Pessoal'!$G$7:$G$506&lt;=AL$3,('Gastos com Pessoal'!$H$7:$H$506)+1,1))*(IF('Gastos com Pessoal'!$M$7:$M$506&lt;=AL$3,('Gastos com Pessoal'!$N$7:$N$506)+1,1))*(IF('Gastos com Pessoal'!$S$7:$S$506&lt;=AL$3,('Gastos com Pessoal'!$T$7:$T$506)+1,1))*(IF('Gastos com Pessoal'!$Y$7:$Y$506&lt;=AL$3,('Gastos com Pessoal'!$Z$7:$Z$506)+1,1))*(IF('Gastos com Pessoal'!$AE$7:$AE$506&lt;=AL$3,('Gastos com Pessoal'!$AF$7:$AF$506)+1,1)),0)</f>
        <v>20152.995447245219</v>
      </c>
      <c r="AM23" s="188">
        <f t="array" aca="1" ref="AM23" ca="1">_xlfn.IFNA(SUM((AM$3&gt;='Gastos com Pessoal'!$E$7:$E$506)*(AM$3&lt;='Gastos com Pessoal'!$F$7:$F$506)*OFFSET('Encargos e Benefícios'!$D$5,1,MATCH($B23,'Encargos e Benefícios'!$E$5:$AB$5,0),500,1))*(IF('Gastos com Pessoal'!$G$7:$G$506&lt;=AM$3,('Gastos com Pessoal'!$H$7:$H$506)+1,1))*(IF('Gastos com Pessoal'!$M$7:$M$506&lt;=AM$3,('Gastos com Pessoal'!$N$7:$N$506)+1,1))*(IF('Gastos com Pessoal'!$S$7:$S$506&lt;=AM$3,('Gastos com Pessoal'!$T$7:$T$506)+1,1))*(IF('Gastos com Pessoal'!$Y$7:$Y$506&lt;=AM$3,('Gastos com Pessoal'!$Z$7:$Z$506)+1,1))*(IF('Gastos com Pessoal'!$AE$7:$AE$506&lt;=AM$3,('Gastos com Pessoal'!$AF$7:$AF$506)+1,1)),0)</f>
        <v>20152.995447245219</v>
      </c>
      <c r="AN23" s="188">
        <f t="array" aca="1" ref="AN23" ca="1">_xlfn.IFNA(SUM((AN$3&gt;='Gastos com Pessoal'!$E$7:$E$506)*(AN$3&lt;='Gastos com Pessoal'!$F$7:$F$506)*OFFSET('Encargos e Benefícios'!$D$5,1,MATCH($B23,'Encargos e Benefícios'!$E$5:$AB$5,0),500,1))*(IF('Gastos com Pessoal'!$G$7:$G$506&lt;=AN$3,('Gastos com Pessoal'!$H$7:$H$506)+1,1))*(IF('Gastos com Pessoal'!$M$7:$M$506&lt;=AN$3,('Gastos com Pessoal'!$N$7:$N$506)+1,1))*(IF('Gastos com Pessoal'!$S$7:$S$506&lt;=AN$3,('Gastos com Pessoal'!$T$7:$T$506)+1,1))*(IF('Gastos com Pessoal'!$Y$7:$Y$506&lt;=AN$3,('Gastos com Pessoal'!$Z$7:$Z$506)+1,1))*(IF('Gastos com Pessoal'!$AE$7:$AE$506&lt;=AN$3,('Gastos com Pessoal'!$AF$7:$AF$506)+1,1)),0)</f>
        <v>20152.995447245219</v>
      </c>
      <c r="AO23" s="188">
        <f t="array" aca="1" ref="AO23" ca="1">_xlfn.IFNA(SUM((AO$3&gt;='Gastos com Pessoal'!$E$7:$E$506)*(AO$3&lt;='Gastos com Pessoal'!$F$7:$F$506)*OFFSET('Encargos e Benefícios'!$D$5,1,MATCH($B23,'Encargos e Benefícios'!$E$5:$AB$5,0),500,1))*(IF('Gastos com Pessoal'!$G$7:$G$506&lt;=AO$3,('Gastos com Pessoal'!$H$7:$H$506)+1,1))*(IF('Gastos com Pessoal'!$M$7:$M$506&lt;=AO$3,('Gastos com Pessoal'!$N$7:$N$506)+1,1))*(IF('Gastos com Pessoal'!$S$7:$S$506&lt;=AO$3,('Gastos com Pessoal'!$T$7:$T$506)+1,1))*(IF('Gastos com Pessoal'!$Y$7:$Y$506&lt;=AO$3,('Gastos com Pessoal'!$Z$7:$Z$506)+1,1))*(IF('Gastos com Pessoal'!$AE$7:$AE$506&lt;=AO$3,('Gastos com Pessoal'!$AF$7:$AF$506)+1,1)),0)</f>
        <v>20152.995447245219</v>
      </c>
      <c r="AP23" s="188">
        <f t="array" aca="1" ref="AP23" ca="1">_xlfn.IFNA(SUM((AP$3&gt;='Gastos com Pessoal'!$E$7:$E$506)*(AP$3&lt;='Gastos com Pessoal'!$F$7:$F$506)*OFFSET('Encargos e Benefícios'!$D$5,1,MATCH($B23,'Encargos e Benefícios'!$E$5:$AB$5,0),500,1))*(IF('Gastos com Pessoal'!$G$7:$G$506&lt;=AP$3,('Gastos com Pessoal'!$H$7:$H$506)+1,1))*(IF('Gastos com Pessoal'!$M$7:$M$506&lt;=AP$3,('Gastos com Pessoal'!$N$7:$N$506)+1,1))*(IF('Gastos com Pessoal'!$S$7:$S$506&lt;=AP$3,('Gastos com Pessoal'!$T$7:$T$506)+1,1))*(IF('Gastos com Pessoal'!$Y$7:$Y$506&lt;=AP$3,('Gastos com Pessoal'!$Z$7:$Z$506)+1,1))*(IF('Gastos com Pessoal'!$AE$7:$AE$506&lt;=AP$3,('Gastos com Pessoal'!$AF$7:$AF$506)+1,1)),0)</f>
        <v>20152.995447245219</v>
      </c>
      <c r="AQ23" s="188">
        <f t="array" aca="1" ref="AQ23" ca="1">_xlfn.IFNA(SUM((AQ$3&gt;='Gastos com Pessoal'!$E$7:$E$506)*(AQ$3&lt;='Gastos com Pessoal'!$F$7:$F$506)*OFFSET('Encargos e Benefícios'!$D$5,1,MATCH($B23,'Encargos e Benefícios'!$E$5:$AB$5,0),500,1))*(IF('Gastos com Pessoal'!$G$7:$G$506&lt;=AQ$3,('Gastos com Pessoal'!$H$7:$H$506)+1,1))*(IF('Gastos com Pessoal'!$M$7:$M$506&lt;=AQ$3,('Gastos com Pessoal'!$N$7:$N$506)+1,1))*(IF('Gastos com Pessoal'!$S$7:$S$506&lt;=AQ$3,('Gastos com Pessoal'!$T$7:$T$506)+1,1))*(IF('Gastos com Pessoal'!$Y$7:$Y$506&lt;=AQ$3,('Gastos com Pessoal'!$Z$7:$Z$506)+1,1))*(IF('Gastos com Pessoal'!$AE$7:$AE$506&lt;=AQ$3,('Gastos com Pessoal'!$AF$7:$AF$506)+1,1)),0)</f>
        <v>21329.930381364338</v>
      </c>
      <c r="AR23" s="188">
        <f t="array" aca="1" ref="AR23" ca="1">_xlfn.IFNA(SUM((AR$3&gt;='Gastos com Pessoal'!$E$7:$E$506)*(AR$3&lt;='Gastos com Pessoal'!$F$7:$F$506)*OFFSET('Encargos e Benefícios'!$D$5,1,MATCH($B23,'Encargos e Benefícios'!$E$5:$AB$5,0),500,1))*(IF('Gastos com Pessoal'!$G$7:$G$506&lt;=AR$3,('Gastos com Pessoal'!$H$7:$H$506)+1,1))*(IF('Gastos com Pessoal'!$M$7:$M$506&lt;=AR$3,('Gastos com Pessoal'!$N$7:$N$506)+1,1))*(IF('Gastos com Pessoal'!$S$7:$S$506&lt;=AR$3,('Gastos com Pessoal'!$T$7:$T$506)+1,1))*(IF('Gastos com Pessoal'!$Y$7:$Y$506&lt;=AR$3,('Gastos com Pessoal'!$Z$7:$Z$506)+1,1))*(IF('Gastos com Pessoal'!$AE$7:$AE$506&lt;=AR$3,('Gastos com Pessoal'!$AF$7:$AF$506)+1,1)),0)</f>
        <v>21329.930381364338</v>
      </c>
      <c r="AS23" s="188">
        <f t="array" aca="1" ref="AS23" ca="1">_xlfn.IFNA(SUM((AS$3&gt;='Gastos com Pessoal'!$E$7:$E$506)*(AS$3&lt;='Gastos com Pessoal'!$F$7:$F$506)*OFFSET('Encargos e Benefícios'!$D$5,1,MATCH($B23,'Encargos e Benefícios'!$E$5:$AB$5,0),500,1))*(IF('Gastos com Pessoal'!$G$7:$G$506&lt;=AS$3,('Gastos com Pessoal'!$H$7:$H$506)+1,1))*(IF('Gastos com Pessoal'!$M$7:$M$506&lt;=AS$3,('Gastos com Pessoal'!$N$7:$N$506)+1,1))*(IF('Gastos com Pessoal'!$S$7:$S$506&lt;=AS$3,('Gastos com Pessoal'!$T$7:$T$506)+1,1))*(IF('Gastos com Pessoal'!$Y$7:$Y$506&lt;=AS$3,('Gastos com Pessoal'!$Z$7:$Z$506)+1,1))*(IF('Gastos com Pessoal'!$AE$7:$AE$506&lt;=AS$3,('Gastos com Pessoal'!$AF$7:$AF$506)+1,1)),0)</f>
        <v>21329.930381364338</v>
      </c>
      <c r="AT23" s="188">
        <f t="array" aca="1" ref="AT23" ca="1">_xlfn.IFNA(SUM((AT$3&gt;='Gastos com Pessoal'!$E$7:$E$506)*(AT$3&lt;='Gastos com Pessoal'!$F$7:$F$506)*OFFSET('Encargos e Benefícios'!$D$5,1,MATCH($B23,'Encargos e Benefícios'!$E$5:$AB$5,0),500,1))*(IF('Gastos com Pessoal'!$G$7:$G$506&lt;=AT$3,('Gastos com Pessoal'!$H$7:$H$506)+1,1))*(IF('Gastos com Pessoal'!$M$7:$M$506&lt;=AT$3,('Gastos com Pessoal'!$N$7:$N$506)+1,1))*(IF('Gastos com Pessoal'!$S$7:$S$506&lt;=AT$3,('Gastos com Pessoal'!$T$7:$T$506)+1,1))*(IF('Gastos com Pessoal'!$Y$7:$Y$506&lt;=AT$3,('Gastos com Pessoal'!$Z$7:$Z$506)+1,1))*(IF('Gastos com Pessoal'!$AE$7:$AE$506&lt;=AT$3,('Gastos com Pessoal'!$AF$7:$AF$506)+1,1)),0)</f>
        <v>21329.930381364338</v>
      </c>
      <c r="AU23" s="188">
        <f t="array" aca="1" ref="AU23" ca="1">_xlfn.IFNA(SUM((AU$3&gt;='Gastos com Pessoal'!$E$7:$E$506)*(AU$3&lt;='Gastos com Pessoal'!$F$7:$F$506)*OFFSET('Encargos e Benefícios'!$D$5,1,MATCH($B23,'Encargos e Benefícios'!$E$5:$AB$5,0),500,1))*(IF('Gastos com Pessoal'!$G$7:$G$506&lt;=AU$3,('Gastos com Pessoal'!$H$7:$H$506)+1,1))*(IF('Gastos com Pessoal'!$M$7:$M$506&lt;=AU$3,('Gastos com Pessoal'!$N$7:$N$506)+1,1))*(IF('Gastos com Pessoal'!$S$7:$S$506&lt;=AU$3,('Gastos com Pessoal'!$T$7:$T$506)+1,1))*(IF('Gastos com Pessoal'!$Y$7:$Y$506&lt;=AU$3,('Gastos com Pessoal'!$Z$7:$Z$506)+1,1))*(IF('Gastos com Pessoal'!$AE$7:$AE$506&lt;=AU$3,('Gastos com Pessoal'!$AF$7:$AF$506)+1,1)),0)</f>
        <v>21329.930381364338</v>
      </c>
      <c r="AV23" s="188">
        <f t="array" aca="1" ref="AV23" ca="1">_xlfn.IFNA(SUM((AV$3&gt;='Gastos com Pessoal'!$E$7:$E$506)*(AV$3&lt;='Gastos com Pessoal'!$F$7:$F$506)*OFFSET('Encargos e Benefícios'!$D$5,1,MATCH($B23,'Encargos e Benefícios'!$E$5:$AB$5,0),500,1))*(IF('Gastos com Pessoal'!$G$7:$G$506&lt;=AV$3,('Gastos com Pessoal'!$H$7:$H$506)+1,1))*(IF('Gastos com Pessoal'!$M$7:$M$506&lt;=AV$3,('Gastos com Pessoal'!$N$7:$N$506)+1,1))*(IF('Gastos com Pessoal'!$S$7:$S$506&lt;=AV$3,('Gastos com Pessoal'!$T$7:$T$506)+1,1))*(IF('Gastos com Pessoal'!$Y$7:$Y$506&lt;=AV$3,('Gastos com Pessoal'!$Z$7:$Z$506)+1,1))*(IF('Gastos com Pessoal'!$AE$7:$AE$506&lt;=AV$3,('Gastos com Pessoal'!$AF$7:$AF$506)+1,1)),0)</f>
        <v>21329.930381364338</v>
      </c>
      <c r="AW23" s="188">
        <f t="array" aca="1" ref="AW23" ca="1">_xlfn.IFNA(SUM((AW$3&gt;='Gastos com Pessoal'!$E$7:$E$506)*(AW$3&lt;='Gastos com Pessoal'!$F$7:$F$506)*OFFSET('Encargos e Benefícios'!$D$5,1,MATCH($B23,'Encargos e Benefícios'!$E$5:$AB$5,0),500,1))*(IF('Gastos com Pessoal'!$G$7:$G$506&lt;=AW$3,('Gastos com Pessoal'!$H$7:$H$506)+1,1))*(IF('Gastos com Pessoal'!$M$7:$M$506&lt;=AW$3,('Gastos com Pessoal'!$N$7:$N$506)+1,1))*(IF('Gastos com Pessoal'!$S$7:$S$506&lt;=AW$3,('Gastos com Pessoal'!$T$7:$T$506)+1,1))*(IF('Gastos com Pessoal'!$Y$7:$Y$506&lt;=AW$3,('Gastos com Pessoal'!$Z$7:$Z$506)+1,1))*(IF('Gastos com Pessoal'!$AE$7:$AE$506&lt;=AW$3,('Gastos com Pessoal'!$AF$7:$AF$506)+1,1)),0)</f>
        <v>21329.930381364338</v>
      </c>
      <c r="AX23" s="188">
        <f t="array" aca="1" ref="AX23" ca="1">_xlfn.IFNA(SUM((AX$3&gt;='Gastos com Pessoal'!$E$7:$E$506)*(AX$3&lt;='Gastos com Pessoal'!$F$7:$F$506)*OFFSET('Encargos e Benefícios'!$D$5,1,MATCH($B23,'Encargos e Benefícios'!$E$5:$AB$5,0),500,1))*(IF('Gastos com Pessoal'!$G$7:$G$506&lt;=AX$3,('Gastos com Pessoal'!$H$7:$H$506)+1,1))*(IF('Gastos com Pessoal'!$M$7:$M$506&lt;=AX$3,('Gastos com Pessoal'!$N$7:$N$506)+1,1))*(IF('Gastos com Pessoal'!$S$7:$S$506&lt;=AX$3,('Gastos com Pessoal'!$T$7:$T$506)+1,1))*(IF('Gastos com Pessoal'!$Y$7:$Y$506&lt;=AX$3,('Gastos com Pessoal'!$Z$7:$Z$506)+1,1))*(IF('Gastos com Pessoal'!$AE$7:$AE$506&lt;=AX$3,('Gastos com Pessoal'!$AF$7:$AF$506)+1,1)),0)</f>
        <v>0</v>
      </c>
      <c r="AY23" s="188">
        <f t="array" aca="1" ref="AY23" ca="1">_xlfn.IFNA(SUM((AY$3&gt;='Gastos com Pessoal'!$E$7:$E$506)*(AY$3&lt;='Gastos com Pessoal'!$F$7:$F$506)*OFFSET('Encargos e Benefícios'!$D$5,1,MATCH($B23,'Encargos e Benefícios'!$E$5:$AB$5,0),500,1))*(IF('Gastos com Pessoal'!$G$7:$G$506&lt;=AY$3,('Gastos com Pessoal'!$H$7:$H$506)+1,1))*(IF('Gastos com Pessoal'!$M$7:$M$506&lt;=AY$3,('Gastos com Pessoal'!$N$7:$N$506)+1,1))*(IF('Gastos com Pessoal'!$S$7:$S$506&lt;=AY$3,('Gastos com Pessoal'!$T$7:$T$506)+1,1))*(IF('Gastos com Pessoal'!$Y$7:$Y$506&lt;=AY$3,('Gastos com Pessoal'!$Z$7:$Z$506)+1,1))*(IF('Gastos com Pessoal'!$AE$7:$AE$506&lt;=AY$3,('Gastos com Pessoal'!$AF$7:$AF$506)+1,1)),0)</f>
        <v>0</v>
      </c>
      <c r="AZ23" s="188">
        <f t="array" aca="1" ref="AZ23" ca="1">_xlfn.IFNA(SUM((AZ$3&gt;='Gastos com Pessoal'!$E$7:$E$506)*(AZ$3&lt;='Gastos com Pessoal'!$F$7:$F$506)*OFFSET('Encargos e Benefícios'!$D$5,1,MATCH($B23,'Encargos e Benefícios'!$E$5:$AB$5,0),500,1))*(IF('Gastos com Pessoal'!$G$7:$G$506&lt;=AZ$3,('Gastos com Pessoal'!$H$7:$H$506)+1,1))*(IF('Gastos com Pessoal'!$M$7:$M$506&lt;=AZ$3,('Gastos com Pessoal'!$N$7:$N$506)+1,1))*(IF('Gastos com Pessoal'!$S$7:$S$506&lt;=AZ$3,('Gastos com Pessoal'!$T$7:$T$506)+1,1))*(IF('Gastos com Pessoal'!$Y$7:$Y$506&lt;=AZ$3,('Gastos com Pessoal'!$Z$7:$Z$506)+1,1))*(IF('Gastos com Pessoal'!$AE$7:$AE$506&lt;=AZ$3,('Gastos com Pessoal'!$AF$7:$AF$506)+1,1)),0)</f>
        <v>0</v>
      </c>
      <c r="BA23" s="188">
        <f t="array" aca="1" ref="BA23" ca="1">_xlfn.IFNA(SUM((BA$3&gt;='Gastos com Pessoal'!$E$7:$E$506)*(BA$3&lt;='Gastos com Pessoal'!$F$7:$F$506)*OFFSET('Encargos e Benefícios'!$D$5,1,MATCH($B23,'Encargos e Benefícios'!$E$5:$AB$5,0),500,1))*(IF('Gastos com Pessoal'!$G$7:$G$506&lt;=BA$3,('Gastos com Pessoal'!$H$7:$H$506)+1,1))*(IF('Gastos com Pessoal'!$M$7:$M$506&lt;=BA$3,('Gastos com Pessoal'!$N$7:$N$506)+1,1))*(IF('Gastos com Pessoal'!$S$7:$S$506&lt;=BA$3,('Gastos com Pessoal'!$T$7:$T$506)+1,1))*(IF('Gastos com Pessoal'!$Y$7:$Y$506&lt;=BA$3,('Gastos com Pessoal'!$Z$7:$Z$506)+1,1))*(IF('Gastos com Pessoal'!$AE$7:$AE$506&lt;=BA$3,('Gastos com Pessoal'!$AF$7:$AF$506)+1,1)),0)</f>
        <v>0</v>
      </c>
      <c r="BB23" s="188">
        <f t="array" aca="1" ref="BB23" ca="1">_xlfn.IFNA(SUM((BB$3&gt;='Gastos com Pessoal'!$E$7:$E$506)*(BB$3&lt;='Gastos com Pessoal'!$F$7:$F$506)*OFFSET('Encargos e Benefícios'!$D$5,1,MATCH($B23,'Encargos e Benefícios'!$E$5:$AB$5,0),500,1))*(IF('Gastos com Pessoal'!$G$7:$G$506&lt;=BB$3,('Gastos com Pessoal'!$H$7:$H$506)+1,1))*(IF('Gastos com Pessoal'!$M$7:$M$506&lt;=BB$3,('Gastos com Pessoal'!$N$7:$N$506)+1,1))*(IF('Gastos com Pessoal'!$S$7:$S$506&lt;=BB$3,('Gastos com Pessoal'!$T$7:$T$506)+1,1))*(IF('Gastos com Pessoal'!$Y$7:$Y$506&lt;=BB$3,('Gastos com Pessoal'!$Z$7:$Z$506)+1,1))*(IF('Gastos com Pessoal'!$AE$7:$AE$506&lt;=BB$3,('Gastos com Pessoal'!$AF$7:$AF$506)+1,1)),0)</f>
        <v>0</v>
      </c>
      <c r="BC23" s="188">
        <f t="array" aca="1" ref="BC23" ca="1">_xlfn.IFNA(SUM((BC$3&gt;='Gastos com Pessoal'!$E$7:$E$506)*(BC$3&lt;='Gastos com Pessoal'!$F$7:$F$506)*OFFSET('Encargos e Benefícios'!$D$5,1,MATCH($B23,'Encargos e Benefícios'!$E$5:$AB$5,0),500,1))*(IF('Gastos com Pessoal'!$G$7:$G$506&lt;=BC$3,('Gastos com Pessoal'!$H$7:$H$506)+1,1))*(IF('Gastos com Pessoal'!$M$7:$M$506&lt;=BC$3,('Gastos com Pessoal'!$N$7:$N$506)+1,1))*(IF('Gastos com Pessoal'!$S$7:$S$506&lt;=BC$3,('Gastos com Pessoal'!$T$7:$T$506)+1,1))*(IF('Gastos com Pessoal'!$Y$7:$Y$506&lt;=BC$3,('Gastos com Pessoal'!$Z$7:$Z$506)+1,1))*(IF('Gastos com Pessoal'!$AE$7:$AE$506&lt;=BC$3,('Gastos com Pessoal'!$AF$7:$AF$506)+1,1)),0)</f>
        <v>0</v>
      </c>
      <c r="BD23" s="188">
        <f t="array" aca="1" ref="BD23" ca="1">_xlfn.IFNA(SUM((BD$3&gt;='Gastos com Pessoal'!$E$7:$E$506)*(BD$3&lt;='Gastos com Pessoal'!$F$7:$F$506)*OFFSET('Encargos e Benefícios'!$D$5,1,MATCH($B23,'Encargos e Benefícios'!$E$5:$AB$5,0),500,1))*(IF('Gastos com Pessoal'!$G$7:$G$506&lt;=BD$3,('Gastos com Pessoal'!$H$7:$H$506)+1,1))*(IF('Gastos com Pessoal'!$M$7:$M$506&lt;=BD$3,('Gastos com Pessoal'!$N$7:$N$506)+1,1))*(IF('Gastos com Pessoal'!$S$7:$S$506&lt;=BD$3,('Gastos com Pessoal'!$T$7:$T$506)+1,1))*(IF('Gastos com Pessoal'!$Y$7:$Y$506&lt;=BD$3,('Gastos com Pessoal'!$Z$7:$Z$506)+1,1))*(IF('Gastos com Pessoal'!$AE$7:$AE$506&lt;=BD$3,('Gastos com Pessoal'!$AF$7:$AF$506)+1,1)),0)</f>
        <v>0</v>
      </c>
      <c r="BE23" s="188">
        <f t="array" aca="1" ref="BE23" ca="1">_xlfn.IFNA(SUM((BE$3&gt;='Gastos com Pessoal'!$E$7:$E$506)*(BE$3&lt;='Gastos com Pessoal'!$F$7:$F$506)*OFFSET('Encargos e Benefícios'!$D$5,1,MATCH($B23,'Encargos e Benefícios'!$E$5:$AB$5,0),500,1))*(IF('Gastos com Pessoal'!$G$7:$G$506&lt;=BE$3,('Gastos com Pessoal'!$H$7:$H$506)+1,1))*(IF('Gastos com Pessoal'!$M$7:$M$506&lt;=BE$3,('Gastos com Pessoal'!$N$7:$N$506)+1,1))*(IF('Gastos com Pessoal'!$S$7:$S$506&lt;=BE$3,('Gastos com Pessoal'!$T$7:$T$506)+1,1))*(IF('Gastos com Pessoal'!$Y$7:$Y$506&lt;=BE$3,('Gastos com Pessoal'!$Z$7:$Z$506)+1,1))*(IF('Gastos com Pessoal'!$AE$7:$AE$506&lt;=BE$3,('Gastos com Pessoal'!$AF$7:$AF$506)+1,1)),0)</f>
        <v>0</v>
      </c>
      <c r="BF23" s="188">
        <f t="array" aca="1" ref="BF23" ca="1">_xlfn.IFNA(SUM((BF$3&gt;='Gastos com Pessoal'!$E$7:$E$506)*(BF$3&lt;='Gastos com Pessoal'!$F$7:$F$506)*OFFSET('Encargos e Benefícios'!$D$5,1,MATCH($B23,'Encargos e Benefícios'!$E$5:$AB$5,0),500,1))*(IF('Gastos com Pessoal'!$G$7:$G$506&lt;=BF$3,('Gastos com Pessoal'!$H$7:$H$506)+1,1))*(IF('Gastos com Pessoal'!$M$7:$M$506&lt;=BF$3,('Gastos com Pessoal'!$N$7:$N$506)+1,1))*(IF('Gastos com Pessoal'!$S$7:$S$506&lt;=BF$3,('Gastos com Pessoal'!$T$7:$T$506)+1,1))*(IF('Gastos com Pessoal'!$Y$7:$Y$506&lt;=BF$3,('Gastos com Pessoal'!$Z$7:$Z$506)+1,1))*(IF('Gastos com Pessoal'!$AE$7:$AE$506&lt;=BF$3,('Gastos com Pessoal'!$AF$7:$AF$506)+1,1)),0)</f>
        <v>0</v>
      </c>
      <c r="BG23" s="188">
        <f t="array" aca="1" ref="BG23" ca="1">_xlfn.IFNA(SUM((BG$3&gt;='Gastos com Pessoal'!$E$7:$E$506)*(BG$3&lt;='Gastos com Pessoal'!$F$7:$F$506)*OFFSET('Encargos e Benefícios'!$D$5,1,MATCH($B23,'Encargos e Benefícios'!$E$5:$AB$5,0),500,1))*(IF('Gastos com Pessoal'!$G$7:$G$506&lt;=BG$3,('Gastos com Pessoal'!$H$7:$H$506)+1,1))*(IF('Gastos com Pessoal'!$M$7:$M$506&lt;=BG$3,('Gastos com Pessoal'!$N$7:$N$506)+1,1))*(IF('Gastos com Pessoal'!$S$7:$S$506&lt;=BG$3,('Gastos com Pessoal'!$T$7:$T$506)+1,1))*(IF('Gastos com Pessoal'!$Y$7:$Y$506&lt;=BG$3,('Gastos com Pessoal'!$Z$7:$Z$506)+1,1))*(IF('Gastos com Pessoal'!$AE$7:$AE$506&lt;=BG$3,('Gastos com Pessoal'!$AF$7:$AF$506)+1,1)),0)</f>
        <v>0</v>
      </c>
      <c r="BH23" s="188">
        <f t="array" aca="1" ref="BH23" ca="1">_xlfn.IFNA(SUM((BH$3&gt;='Gastos com Pessoal'!$E$7:$E$506)*(BH$3&lt;='Gastos com Pessoal'!$F$7:$F$506)*OFFSET('Encargos e Benefícios'!$D$5,1,MATCH($B23,'Encargos e Benefícios'!$E$5:$AB$5,0),500,1))*(IF('Gastos com Pessoal'!$G$7:$G$506&lt;=BH$3,('Gastos com Pessoal'!$H$7:$H$506)+1,1))*(IF('Gastos com Pessoal'!$M$7:$M$506&lt;=BH$3,('Gastos com Pessoal'!$N$7:$N$506)+1,1))*(IF('Gastos com Pessoal'!$S$7:$S$506&lt;=BH$3,('Gastos com Pessoal'!$T$7:$T$506)+1,1))*(IF('Gastos com Pessoal'!$Y$7:$Y$506&lt;=BH$3,('Gastos com Pessoal'!$Z$7:$Z$506)+1,1))*(IF('Gastos com Pessoal'!$AE$7:$AE$506&lt;=BH$3,('Gastos com Pessoal'!$AF$7:$AF$506)+1,1)),0)</f>
        <v>0</v>
      </c>
      <c r="BI23" s="188">
        <f t="array" aca="1" ref="BI23" ca="1">_xlfn.IFNA(SUM((BI$3&gt;='Gastos com Pessoal'!$E$7:$E$506)*(BI$3&lt;='Gastos com Pessoal'!$F$7:$F$506)*OFFSET('Encargos e Benefícios'!$D$5,1,MATCH($B23,'Encargos e Benefícios'!$E$5:$AB$5,0),500,1))*(IF('Gastos com Pessoal'!$G$7:$G$506&lt;=BI$3,('Gastos com Pessoal'!$H$7:$H$506)+1,1))*(IF('Gastos com Pessoal'!$M$7:$M$506&lt;=BI$3,('Gastos com Pessoal'!$N$7:$N$506)+1,1))*(IF('Gastos com Pessoal'!$S$7:$S$506&lt;=BI$3,('Gastos com Pessoal'!$T$7:$T$506)+1,1))*(IF('Gastos com Pessoal'!$Y$7:$Y$506&lt;=BI$3,('Gastos com Pessoal'!$Z$7:$Z$506)+1,1))*(IF('Gastos com Pessoal'!$AE$7:$AE$506&lt;=BI$3,('Gastos com Pessoal'!$AF$7:$AF$506)+1,1)),0)</f>
        <v>0</v>
      </c>
      <c r="BJ23" s="188">
        <f t="array" aca="1" ref="BJ23" ca="1">_xlfn.IFNA(SUM((BJ$3&gt;='Gastos com Pessoal'!$E$7:$E$506)*(BJ$3&lt;='Gastos com Pessoal'!$F$7:$F$506)*OFFSET('Encargos e Benefícios'!$D$5,1,MATCH($B23,'Encargos e Benefícios'!$E$5:$AB$5,0),500,1))*(IF('Gastos com Pessoal'!$G$7:$G$506&lt;=BJ$3,('Gastos com Pessoal'!$H$7:$H$506)+1,1))*(IF('Gastos com Pessoal'!$M$7:$M$506&lt;=BJ$3,('Gastos com Pessoal'!$N$7:$N$506)+1,1))*(IF('Gastos com Pessoal'!$S$7:$S$506&lt;=BJ$3,('Gastos com Pessoal'!$T$7:$T$506)+1,1))*(IF('Gastos com Pessoal'!$Y$7:$Y$506&lt;=BJ$3,('Gastos com Pessoal'!$Z$7:$Z$506)+1,1))*(IF('Gastos com Pessoal'!$AE$7:$AE$506&lt;=BJ$3,('Gastos com Pessoal'!$AF$7:$AF$506)+1,1)),0)</f>
        <v>0</v>
      </c>
      <c r="BK23" s="189">
        <f t="shared" ca="1" si="8"/>
        <v>880793.99601204263</v>
      </c>
      <c r="BL23" s="136">
        <f t="shared" ca="1" si="9"/>
        <v>3.0325720629856855E-3</v>
      </c>
    </row>
    <row r="24" spans="1:64" s="160" customFormat="1" ht="23.25" customHeight="1">
      <c r="A24" s="198" t="s">
        <v>139</v>
      </c>
      <c r="B24" s="209" t="s">
        <v>140</v>
      </c>
      <c r="C24" s="188">
        <f t="array" aca="1" ref="C24" ca="1">_xlfn.IFNA(SUM((C$3&gt;='Gastos com Pessoal'!$E$7:$E$506)*(C$3&lt;='Gastos com Pessoal'!$F$7:$F$506)*OFFSET('Encargos e Benefícios'!$D$5,1,MATCH($B24,'Encargos e Benefícios'!$E$5:$AB$5,0),500,1))*(IF('Gastos com Pessoal'!$G$7:$G$506&lt;=C$3,('Gastos com Pessoal'!$H$7:$H$506)+1,1))*(IF('Gastos com Pessoal'!$M$7:$M$506&lt;=C$3,('Gastos com Pessoal'!$N$7:$N$506)+1,1))*(IF('Gastos com Pessoal'!$S$7:$S$506&lt;=C$3,('Gastos com Pessoal'!$T$7:$T$506)+1,1))*(IF('Gastos com Pessoal'!$Y$7:$Y$506&lt;=C$3,('Gastos com Pessoal'!$Z$7:$Z$506)+1,1))*(IF('Gastos com Pessoal'!$AE$7:$AE$506&lt;=C$3,('Gastos com Pessoal'!$AF$7:$AF$506)+1,1)),0)</f>
        <v>2394.964009999997</v>
      </c>
      <c r="D24" s="188">
        <f t="array" aca="1" ref="D24" ca="1">_xlfn.IFNA(SUM((D$3&gt;='Gastos com Pessoal'!$E$7:$E$506)*(D$3&lt;='Gastos com Pessoal'!$F$7:$F$506)*OFFSET('Encargos e Benefícios'!$D$5,1,MATCH($B24,'Encargos e Benefícios'!$E$5:$AB$5,0),500,1))*(IF('Gastos com Pessoal'!$G$7:$G$506&lt;=D$3,('Gastos com Pessoal'!$H$7:$H$506)+1,1))*(IF('Gastos com Pessoal'!$M$7:$M$506&lt;=D$3,('Gastos com Pessoal'!$N$7:$N$506)+1,1))*(IF('Gastos com Pessoal'!$S$7:$S$506&lt;=D$3,('Gastos com Pessoal'!$T$7:$T$506)+1,1))*(IF('Gastos com Pessoal'!$Y$7:$Y$506&lt;=D$3,('Gastos com Pessoal'!$Z$7:$Z$506)+1,1))*(IF('Gastos com Pessoal'!$AE$7:$AE$506&lt;=D$3,('Gastos com Pessoal'!$AF$7:$AF$506)+1,1)),0)</f>
        <v>2409.964009999997</v>
      </c>
      <c r="E24" s="188">
        <f t="array" aca="1" ref="E24" ca="1">_xlfn.IFNA(SUM((E$3&gt;='Gastos com Pessoal'!$E$7:$E$506)*(E$3&lt;='Gastos com Pessoal'!$F$7:$F$506)*OFFSET('Encargos e Benefícios'!$D$5,1,MATCH($B24,'Encargos e Benefícios'!$E$5:$AB$5,0),500,1))*(IF('Gastos com Pessoal'!$G$7:$G$506&lt;=E$3,('Gastos com Pessoal'!$H$7:$H$506)+1,1))*(IF('Gastos com Pessoal'!$M$7:$M$506&lt;=E$3,('Gastos com Pessoal'!$N$7:$N$506)+1,1))*(IF('Gastos com Pessoal'!$S$7:$S$506&lt;=E$3,('Gastos com Pessoal'!$T$7:$T$506)+1,1))*(IF('Gastos com Pessoal'!$Y$7:$Y$506&lt;=E$3,('Gastos com Pessoal'!$Z$7:$Z$506)+1,1))*(IF('Gastos com Pessoal'!$AE$7:$AE$506&lt;=E$3,('Gastos com Pessoal'!$AF$7:$AF$506)+1,1)),0)</f>
        <v>2553.3086566666634</v>
      </c>
      <c r="F24" s="188">
        <f t="array" aca="1" ref="F24" ca="1">_xlfn.IFNA(SUM((F$3&gt;='Gastos com Pessoal'!$E$7:$E$506)*(F$3&lt;='Gastos com Pessoal'!$F$7:$F$506)*OFFSET('Encargos e Benefícios'!$D$5,1,MATCH($B24,'Encargos e Benefícios'!$E$5:$AB$5,0),500,1))*(IF('Gastos com Pessoal'!$G$7:$G$506&lt;=F$3,('Gastos com Pessoal'!$H$7:$H$506)+1,1))*(IF('Gastos com Pessoal'!$M$7:$M$506&lt;=F$3,('Gastos com Pessoal'!$N$7:$N$506)+1,1))*(IF('Gastos com Pessoal'!$S$7:$S$506&lt;=F$3,('Gastos com Pessoal'!$T$7:$T$506)+1,1))*(IF('Gastos com Pessoal'!$Y$7:$Y$506&lt;=F$3,('Gastos com Pessoal'!$Z$7:$Z$506)+1,1))*(IF('Gastos com Pessoal'!$AE$7:$AE$506&lt;=F$3,('Gastos com Pessoal'!$AF$7:$AF$506)+1,1)),0)</f>
        <v>2553.3086566666634</v>
      </c>
      <c r="G24" s="188">
        <f t="array" aca="1" ref="G24" ca="1">_xlfn.IFNA(SUM((G$3&gt;='Gastos com Pessoal'!$E$7:$E$506)*(G$3&lt;='Gastos com Pessoal'!$F$7:$F$506)*OFFSET('Encargos e Benefícios'!$D$5,1,MATCH($B24,'Encargos e Benefícios'!$E$5:$AB$5,0),500,1))*(IF('Gastos com Pessoal'!$G$7:$G$506&lt;=G$3,('Gastos com Pessoal'!$H$7:$H$506)+1,1))*(IF('Gastos com Pessoal'!$M$7:$M$506&lt;=G$3,('Gastos com Pessoal'!$N$7:$N$506)+1,1))*(IF('Gastos com Pessoal'!$S$7:$S$506&lt;=G$3,('Gastos com Pessoal'!$T$7:$T$506)+1,1))*(IF('Gastos com Pessoal'!$Y$7:$Y$506&lt;=G$3,('Gastos com Pessoal'!$Z$7:$Z$506)+1,1))*(IF('Gastos com Pessoal'!$AE$7:$AE$506&lt;=G$3,('Gastos com Pessoal'!$AF$7:$AF$506)+1,1)),0)</f>
        <v>2702.4218822159964</v>
      </c>
      <c r="H24" s="188">
        <f t="array" aca="1" ref="H24" ca="1">_xlfn.IFNA(SUM((H$3&gt;='Gastos com Pessoal'!$E$7:$E$506)*(H$3&lt;='Gastos com Pessoal'!$F$7:$F$506)*OFFSET('Encargos e Benefícios'!$D$5,1,MATCH($B24,'Encargos e Benefícios'!$E$5:$AB$5,0),500,1))*(IF('Gastos com Pessoal'!$G$7:$G$506&lt;=H$3,('Gastos com Pessoal'!$H$7:$H$506)+1,1))*(IF('Gastos com Pessoal'!$M$7:$M$506&lt;=H$3,('Gastos com Pessoal'!$N$7:$N$506)+1,1))*(IF('Gastos com Pessoal'!$S$7:$S$506&lt;=H$3,('Gastos com Pessoal'!$T$7:$T$506)+1,1))*(IF('Gastos com Pessoal'!$Y$7:$Y$506&lt;=H$3,('Gastos com Pessoal'!$Z$7:$Z$506)+1,1))*(IF('Gastos com Pessoal'!$AE$7:$AE$506&lt;=H$3,('Gastos com Pessoal'!$AF$7:$AF$506)+1,1)),0)</f>
        <v>2854.1378562479963</v>
      </c>
      <c r="I24" s="188">
        <f t="array" aca="1" ref="I24" ca="1">_xlfn.IFNA(SUM((I$3&gt;='Gastos com Pessoal'!$E$7:$E$506)*(I$3&lt;='Gastos com Pessoal'!$F$7:$F$506)*OFFSET('Encargos e Benefícios'!$D$5,1,MATCH($B24,'Encargos e Benefícios'!$E$5:$AB$5,0),500,1))*(IF('Gastos com Pessoal'!$G$7:$G$506&lt;=I$3,('Gastos com Pessoal'!$H$7:$H$506)+1,1))*(IF('Gastos com Pessoal'!$M$7:$M$506&lt;=I$3,('Gastos com Pessoal'!$N$7:$N$506)+1,1))*(IF('Gastos com Pessoal'!$S$7:$S$506&lt;=I$3,('Gastos com Pessoal'!$T$7:$T$506)+1,1))*(IF('Gastos com Pessoal'!$Y$7:$Y$506&lt;=I$3,('Gastos com Pessoal'!$Z$7:$Z$506)+1,1))*(IF('Gastos com Pessoal'!$AE$7:$AE$506&lt;=I$3,('Gastos com Pessoal'!$AF$7:$AF$506)+1,1)),0)</f>
        <v>2854.1378562479963</v>
      </c>
      <c r="J24" s="188">
        <f t="array" aca="1" ref="J24" ca="1">_xlfn.IFNA(SUM((J$3&gt;='Gastos com Pessoal'!$E$7:$E$506)*(J$3&lt;='Gastos com Pessoal'!$F$7:$F$506)*OFFSET('Encargos e Benefícios'!$D$5,1,MATCH($B24,'Encargos e Benefícios'!$E$5:$AB$5,0),500,1))*(IF('Gastos com Pessoal'!$G$7:$G$506&lt;=J$3,('Gastos com Pessoal'!$H$7:$H$506)+1,1))*(IF('Gastos com Pessoal'!$M$7:$M$506&lt;=J$3,('Gastos com Pessoal'!$N$7:$N$506)+1,1))*(IF('Gastos com Pessoal'!$S$7:$S$506&lt;=J$3,('Gastos com Pessoal'!$T$7:$T$506)+1,1))*(IF('Gastos com Pessoal'!$Y$7:$Y$506&lt;=J$3,('Gastos com Pessoal'!$Z$7:$Z$506)+1,1))*(IF('Gastos com Pessoal'!$AE$7:$AE$506&lt;=J$3,('Gastos com Pessoal'!$AF$7:$AF$506)+1,1)),0)</f>
        <v>2854.1378562479963</v>
      </c>
      <c r="K24" s="188">
        <f t="array" aca="1" ref="K24" ca="1">_xlfn.IFNA(SUM((K$3&gt;='Gastos com Pessoal'!$E$7:$E$506)*(K$3&lt;='Gastos com Pessoal'!$F$7:$F$506)*OFFSET('Encargos e Benefícios'!$D$5,1,MATCH($B24,'Encargos e Benefícios'!$E$5:$AB$5,0),500,1))*(IF('Gastos com Pessoal'!$G$7:$G$506&lt;=K$3,('Gastos com Pessoal'!$H$7:$H$506)+1,1))*(IF('Gastos com Pessoal'!$M$7:$M$506&lt;=K$3,('Gastos com Pessoal'!$N$7:$N$506)+1,1))*(IF('Gastos com Pessoal'!$S$7:$S$506&lt;=K$3,('Gastos com Pessoal'!$T$7:$T$506)+1,1))*(IF('Gastos com Pessoal'!$Y$7:$Y$506&lt;=K$3,('Gastos com Pessoal'!$Z$7:$Z$506)+1,1))*(IF('Gastos com Pessoal'!$AE$7:$AE$506&lt;=K$3,('Gastos com Pessoal'!$AF$7:$AF$506)+1,1)),0)</f>
        <v>3014.7140424239965</v>
      </c>
      <c r="L24" s="188">
        <f t="array" aca="1" ref="L24" ca="1">_xlfn.IFNA(SUM((L$3&gt;='Gastos com Pessoal'!$E$7:$E$506)*(L$3&lt;='Gastos com Pessoal'!$F$7:$F$506)*OFFSET('Encargos e Benefícios'!$D$5,1,MATCH($B24,'Encargos e Benefícios'!$E$5:$AB$5,0),500,1))*(IF('Gastos com Pessoal'!$G$7:$G$506&lt;=L$3,('Gastos com Pessoal'!$H$7:$H$506)+1,1))*(IF('Gastos com Pessoal'!$M$7:$M$506&lt;=L$3,('Gastos com Pessoal'!$N$7:$N$506)+1,1))*(IF('Gastos com Pessoal'!$S$7:$S$506&lt;=L$3,('Gastos com Pessoal'!$T$7:$T$506)+1,1))*(IF('Gastos com Pessoal'!$Y$7:$Y$506&lt;=L$3,('Gastos com Pessoal'!$Z$7:$Z$506)+1,1))*(IF('Gastos com Pessoal'!$AE$7:$AE$506&lt;=L$3,('Gastos com Pessoal'!$AF$7:$AF$506)+1,1)),0)</f>
        <v>3014.7140424239965</v>
      </c>
      <c r="M24" s="188">
        <f t="array" aca="1" ref="M24" ca="1">_xlfn.IFNA(SUM((M$3&gt;='Gastos com Pessoal'!$E$7:$E$506)*(M$3&lt;='Gastos com Pessoal'!$F$7:$F$506)*OFFSET('Encargos e Benefícios'!$D$5,1,MATCH($B24,'Encargos e Benefícios'!$E$5:$AB$5,0),500,1))*(IF('Gastos com Pessoal'!$G$7:$G$506&lt;=M$3,('Gastos com Pessoal'!$H$7:$H$506)+1,1))*(IF('Gastos com Pessoal'!$M$7:$M$506&lt;=M$3,('Gastos com Pessoal'!$N$7:$N$506)+1,1))*(IF('Gastos com Pessoal'!$S$7:$S$506&lt;=M$3,('Gastos com Pessoal'!$T$7:$T$506)+1,1))*(IF('Gastos com Pessoal'!$Y$7:$Y$506&lt;=M$3,('Gastos com Pessoal'!$Z$7:$Z$506)+1,1))*(IF('Gastos com Pessoal'!$AE$7:$AE$506&lt;=M$3,('Gastos com Pessoal'!$AF$7:$AF$506)+1,1)),0)</f>
        <v>3014.7140424239965</v>
      </c>
      <c r="N24" s="188">
        <f t="array" aca="1" ref="N24" ca="1">_xlfn.IFNA(SUM((N$3&gt;='Gastos com Pessoal'!$E$7:$E$506)*(N$3&lt;='Gastos com Pessoal'!$F$7:$F$506)*OFFSET('Encargos e Benefícios'!$D$5,1,MATCH($B24,'Encargos e Benefícios'!$E$5:$AB$5,0),500,1))*(IF('Gastos com Pessoal'!$G$7:$G$506&lt;=N$3,('Gastos com Pessoal'!$H$7:$H$506)+1,1))*(IF('Gastos com Pessoal'!$M$7:$M$506&lt;=N$3,('Gastos com Pessoal'!$N$7:$N$506)+1,1))*(IF('Gastos com Pessoal'!$S$7:$S$506&lt;=N$3,('Gastos com Pessoal'!$T$7:$T$506)+1,1))*(IF('Gastos com Pessoal'!$Y$7:$Y$506&lt;=N$3,('Gastos com Pessoal'!$Z$7:$Z$506)+1,1))*(IF('Gastos com Pessoal'!$AE$7:$AE$506&lt;=N$3,('Gastos com Pessoal'!$AF$7:$AF$506)+1,1)),0)</f>
        <v>3175.2902285999967</v>
      </c>
      <c r="O24" s="188">
        <f t="array" aca="1" ref="O24" ca="1">_xlfn.IFNA(SUM((O$3&gt;='Gastos com Pessoal'!$E$7:$E$506)*(O$3&lt;='Gastos com Pessoal'!$F$7:$F$506)*OFFSET('Encargos e Benefícios'!$D$5,1,MATCH($B24,'Encargos e Benefícios'!$E$5:$AB$5,0),500,1))*(IF('Gastos com Pessoal'!$G$7:$G$506&lt;=O$3,('Gastos com Pessoal'!$H$7:$H$506)+1,1))*(IF('Gastos com Pessoal'!$M$7:$M$506&lt;=O$3,('Gastos com Pessoal'!$N$7:$N$506)+1,1))*(IF('Gastos com Pessoal'!$S$7:$S$506&lt;=O$3,('Gastos com Pessoal'!$T$7:$T$506)+1,1))*(IF('Gastos com Pessoal'!$Y$7:$Y$506&lt;=O$3,('Gastos com Pessoal'!$Z$7:$Z$506)+1,1))*(IF('Gastos com Pessoal'!$AE$7:$AE$506&lt;=O$3,('Gastos com Pessoal'!$AF$7:$AF$506)+1,1)),0)</f>
        <v>3175.2902285999967</v>
      </c>
      <c r="P24" s="188">
        <f t="array" aca="1" ref="P24" ca="1">_xlfn.IFNA(SUM((P$3&gt;='Gastos com Pessoal'!$E$7:$E$506)*(P$3&lt;='Gastos com Pessoal'!$F$7:$F$506)*OFFSET('Encargos e Benefícios'!$D$5,1,MATCH($B24,'Encargos e Benefícios'!$E$5:$AB$5,0),500,1))*(IF('Gastos com Pessoal'!$G$7:$G$506&lt;=P$3,('Gastos com Pessoal'!$H$7:$H$506)+1,1))*(IF('Gastos com Pessoal'!$M$7:$M$506&lt;=P$3,('Gastos com Pessoal'!$N$7:$N$506)+1,1))*(IF('Gastos com Pessoal'!$S$7:$S$506&lt;=P$3,('Gastos com Pessoal'!$T$7:$T$506)+1,1))*(IF('Gastos com Pessoal'!$Y$7:$Y$506&lt;=P$3,('Gastos com Pessoal'!$Z$7:$Z$506)+1,1))*(IF('Gastos com Pessoal'!$AE$7:$AE$506&lt;=P$3,('Gastos com Pessoal'!$AF$7:$AF$506)+1,1)),0)</f>
        <v>3175.2902285999967</v>
      </c>
      <c r="Q24" s="188">
        <f t="array" aca="1" ref="Q24" ca="1">_xlfn.IFNA(SUM((Q$3&gt;='Gastos com Pessoal'!$E$7:$E$506)*(Q$3&lt;='Gastos com Pessoal'!$F$7:$F$506)*OFFSET('Encargos e Benefícios'!$D$5,1,MATCH($B24,'Encargos e Benefícios'!$E$5:$AB$5,0),500,1))*(IF('Gastos com Pessoal'!$G$7:$G$506&lt;=Q$3,('Gastos com Pessoal'!$H$7:$H$506)+1,1))*(IF('Gastos com Pessoal'!$M$7:$M$506&lt;=Q$3,('Gastos com Pessoal'!$N$7:$N$506)+1,1))*(IF('Gastos com Pessoal'!$S$7:$S$506&lt;=Q$3,('Gastos com Pessoal'!$T$7:$T$506)+1,1))*(IF('Gastos com Pessoal'!$Y$7:$Y$506&lt;=Q$3,('Gastos com Pessoal'!$Z$7:$Z$506)+1,1))*(IF('Gastos com Pessoal'!$AE$7:$AE$506&lt;=Q$3,('Gastos com Pessoal'!$AF$7:$AF$506)+1,1)),0)</f>
        <v>3175.2902285999967</v>
      </c>
      <c r="R24" s="188">
        <f t="array" aca="1" ref="R24" ca="1">_xlfn.IFNA(SUM((R$3&gt;='Gastos com Pessoal'!$E$7:$E$506)*(R$3&lt;='Gastos com Pessoal'!$F$7:$F$506)*OFFSET('Encargos e Benefícios'!$D$5,1,MATCH($B24,'Encargos e Benefícios'!$E$5:$AB$5,0),500,1))*(IF('Gastos com Pessoal'!$G$7:$G$506&lt;=R$3,('Gastos com Pessoal'!$H$7:$H$506)+1,1))*(IF('Gastos com Pessoal'!$M$7:$M$506&lt;=R$3,('Gastos com Pessoal'!$N$7:$N$506)+1,1))*(IF('Gastos com Pessoal'!$S$7:$S$506&lt;=R$3,('Gastos com Pessoal'!$T$7:$T$506)+1,1))*(IF('Gastos com Pessoal'!$Y$7:$Y$506&lt;=R$3,('Gastos com Pessoal'!$Z$7:$Z$506)+1,1))*(IF('Gastos com Pessoal'!$AE$7:$AE$506&lt;=R$3,('Gastos com Pessoal'!$AF$7:$AF$506)+1,1)),0)</f>
        <v>3175.2902285999967</v>
      </c>
      <c r="S24" s="188">
        <f t="array" aca="1" ref="S24" ca="1">_xlfn.IFNA(SUM((S$3&gt;='Gastos com Pessoal'!$E$7:$E$506)*(S$3&lt;='Gastos com Pessoal'!$F$7:$F$506)*OFFSET('Encargos e Benefícios'!$D$5,1,MATCH($B24,'Encargos e Benefícios'!$E$5:$AB$5,0),500,1))*(IF('Gastos com Pessoal'!$G$7:$G$506&lt;=S$3,('Gastos com Pessoal'!$H$7:$H$506)+1,1))*(IF('Gastos com Pessoal'!$M$7:$M$506&lt;=S$3,('Gastos com Pessoal'!$N$7:$N$506)+1,1))*(IF('Gastos com Pessoal'!$S$7:$S$506&lt;=S$3,('Gastos com Pessoal'!$T$7:$T$506)+1,1))*(IF('Gastos com Pessoal'!$Y$7:$Y$506&lt;=S$3,('Gastos com Pessoal'!$Z$7:$Z$506)+1,1))*(IF('Gastos com Pessoal'!$AE$7:$AE$506&lt;=S$3,('Gastos com Pessoal'!$AF$7:$AF$506)+1,1)),0)</f>
        <v>3360.7271779502366</v>
      </c>
      <c r="T24" s="188">
        <f t="array" aca="1" ref="T24" ca="1">_xlfn.IFNA(SUM((T$3&gt;='Gastos com Pessoal'!$E$7:$E$506)*(T$3&lt;='Gastos com Pessoal'!$F$7:$F$506)*OFFSET('Encargos e Benefícios'!$D$5,1,MATCH($B24,'Encargos e Benefícios'!$E$5:$AB$5,0),500,1))*(IF('Gastos com Pessoal'!$G$7:$G$506&lt;=T$3,('Gastos com Pessoal'!$H$7:$H$506)+1,1))*(IF('Gastos com Pessoal'!$M$7:$M$506&lt;=T$3,('Gastos com Pessoal'!$N$7:$N$506)+1,1))*(IF('Gastos com Pessoal'!$S$7:$S$506&lt;=T$3,('Gastos com Pessoal'!$T$7:$T$506)+1,1))*(IF('Gastos com Pessoal'!$Y$7:$Y$506&lt;=T$3,('Gastos com Pessoal'!$Z$7:$Z$506)+1,1))*(IF('Gastos com Pessoal'!$AE$7:$AE$506&lt;=T$3,('Gastos com Pessoal'!$AF$7:$AF$506)+1,1)),0)</f>
        <v>3360.7271779502366</v>
      </c>
      <c r="U24" s="188">
        <f t="array" aca="1" ref="U24" ca="1">_xlfn.IFNA(SUM((U$3&gt;='Gastos com Pessoal'!$E$7:$E$506)*(U$3&lt;='Gastos com Pessoal'!$F$7:$F$506)*OFFSET('Encargos e Benefícios'!$D$5,1,MATCH($B24,'Encargos e Benefícios'!$E$5:$AB$5,0),500,1))*(IF('Gastos com Pessoal'!$G$7:$G$506&lt;=U$3,('Gastos com Pessoal'!$H$7:$H$506)+1,1))*(IF('Gastos com Pessoal'!$M$7:$M$506&lt;=U$3,('Gastos com Pessoal'!$N$7:$N$506)+1,1))*(IF('Gastos com Pessoal'!$S$7:$S$506&lt;=U$3,('Gastos com Pessoal'!$T$7:$T$506)+1,1))*(IF('Gastos com Pessoal'!$Y$7:$Y$506&lt;=U$3,('Gastos com Pessoal'!$Z$7:$Z$506)+1,1))*(IF('Gastos com Pessoal'!$AE$7:$AE$506&lt;=U$3,('Gastos com Pessoal'!$AF$7:$AF$506)+1,1)),0)</f>
        <v>3360.7271779502366</v>
      </c>
      <c r="V24" s="188">
        <f t="array" aca="1" ref="V24" ca="1">_xlfn.IFNA(SUM((V$3&gt;='Gastos com Pessoal'!$E$7:$E$506)*(V$3&lt;='Gastos com Pessoal'!$F$7:$F$506)*OFFSET('Encargos e Benefícios'!$D$5,1,MATCH($B24,'Encargos e Benefícios'!$E$5:$AB$5,0),500,1))*(IF('Gastos com Pessoal'!$G$7:$G$506&lt;=V$3,('Gastos com Pessoal'!$H$7:$H$506)+1,1))*(IF('Gastos com Pessoal'!$M$7:$M$506&lt;=V$3,('Gastos com Pessoal'!$N$7:$N$506)+1,1))*(IF('Gastos com Pessoal'!$S$7:$S$506&lt;=V$3,('Gastos com Pessoal'!$T$7:$T$506)+1,1))*(IF('Gastos com Pessoal'!$Y$7:$Y$506&lt;=V$3,('Gastos com Pessoal'!$Z$7:$Z$506)+1,1))*(IF('Gastos com Pessoal'!$AE$7:$AE$506&lt;=V$3,('Gastos com Pessoal'!$AF$7:$AF$506)+1,1)),0)</f>
        <v>3360.7271779502366</v>
      </c>
      <c r="W24" s="188">
        <f t="array" aca="1" ref="W24" ca="1">_xlfn.IFNA(SUM((W$3&gt;='Gastos com Pessoal'!$E$7:$E$506)*(W$3&lt;='Gastos com Pessoal'!$F$7:$F$506)*OFFSET('Encargos e Benefícios'!$D$5,1,MATCH($B24,'Encargos e Benefícios'!$E$5:$AB$5,0),500,1))*(IF('Gastos com Pessoal'!$G$7:$G$506&lt;=W$3,('Gastos com Pessoal'!$H$7:$H$506)+1,1))*(IF('Gastos com Pessoal'!$M$7:$M$506&lt;=W$3,('Gastos com Pessoal'!$N$7:$N$506)+1,1))*(IF('Gastos com Pessoal'!$S$7:$S$506&lt;=W$3,('Gastos com Pessoal'!$T$7:$T$506)+1,1))*(IF('Gastos com Pessoal'!$Y$7:$Y$506&lt;=W$3,('Gastos com Pessoal'!$Z$7:$Z$506)+1,1))*(IF('Gastos com Pessoal'!$AE$7:$AE$506&lt;=W$3,('Gastos com Pessoal'!$AF$7:$AF$506)+1,1)),0)</f>
        <v>3360.7271779502366</v>
      </c>
      <c r="X24" s="188">
        <f t="array" aca="1" ref="X24" ca="1">_xlfn.IFNA(SUM((X$3&gt;='Gastos com Pessoal'!$E$7:$E$506)*(X$3&lt;='Gastos com Pessoal'!$F$7:$F$506)*OFFSET('Encargos e Benefícios'!$D$5,1,MATCH($B24,'Encargos e Benefícios'!$E$5:$AB$5,0),500,1))*(IF('Gastos com Pessoal'!$G$7:$G$506&lt;=X$3,('Gastos com Pessoal'!$H$7:$H$506)+1,1))*(IF('Gastos com Pessoal'!$M$7:$M$506&lt;=X$3,('Gastos com Pessoal'!$N$7:$N$506)+1,1))*(IF('Gastos com Pessoal'!$S$7:$S$506&lt;=X$3,('Gastos com Pessoal'!$T$7:$T$506)+1,1))*(IF('Gastos com Pessoal'!$Y$7:$Y$506&lt;=X$3,('Gastos com Pessoal'!$Z$7:$Z$506)+1,1))*(IF('Gastos com Pessoal'!$AE$7:$AE$506&lt;=X$3,('Gastos com Pessoal'!$AF$7:$AF$506)+1,1)),0)</f>
        <v>3360.7271779502366</v>
      </c>
      <c r="Y24" s="188">
        <f t="array" aca="1" ref="Y24" ca="1">_xlfn.IFNA(SUM((Y$3&gt;='Gastos com Pessoal'!$E$7:$E$506)*(Y$3&lt;='Gastos com Pessoal'!$F$7:$F$506)*OFFSET('Encargos e Benefícios'!$D$5,1,MATCH($B24,'Encargos e Benefícios'!$E$5:$AB$5,0),500,1))*(IF('Gastos com Pessoal'!$G$7:$G$506&lt;=Y$3,('Gastos com Pessoal'!$H$7:$H$506)+1,1))*(IF('Gastos com Pessoal'!$M$7:$M$506&lt;=Y$3,('Gastos com Pessoal'!$N$7:$N$506)+1,1))*(IF('Gastos com Pessoal'!$S$7:$S$506&lt;=Y$3,('Gastos com Pessoal'!$T$7:$T$506)+1,1))*(IF('Gastos com Pessoal'!$Y$7:$Y$506&lt;=Y$3,('Gastos com Pessoal'!$Z$7:$Z$506)+1,1))*(IF('Gastos com Pessoal'!$AE$7:$AE$506&lt;=Y$3,('Gastos com Pessoal'!$AF$7:$AF$506)+1,1)),0)</f>
        <v>3360.7271779502366</v>
      </c>
      <c r="Z24" s="188">
        <f t="array" aca="1" ref="Z24" ca="1">_xlfn.IFNA(SUM((Z$3&gt;='Gastos com Pessoal'!$E$7:$E$506)*(Z$3&lt;='Gastos com Pessoal'!$F$7:$F$506)*OFFSET('Encargos e Benefícios'!$D$5,1,MATCH($B24,'Encargos e Benefícios'!$E$5:$AB$5,0),500,1))*(IF('Gastos com Pessoal'!$G$7:$G$506&lt;=Z$3,('Gastos com Pessoal'!$H$7:$H$506)+1,1))*(IF('Gastos com Pessoal'!$M$7:$M$506&lt;=Z$3,('Gastos com Pessoal'!$N$7:$N$506)+1,1))*(IF('Gastos com Pessoal'!$S$7:$S$506&lt;=Z$3,('Gastos com Pessoal'!$T$7:$T$506)+1,1))*(IF('Gastos com Pessoal'!$Y$7:$Y$506&lt;=Z$3,('Gastos com Pessoal'!$Z$7:$Z$506)+1,1))*(IF('Gastos com Pessoal'!$AE$7:$AE$506&lt;=Z$3,('Gastos com Pessoal'!$AF$7:$AF$506)+1,1)),0)</f>
        <v>3360.7271779502366</v>
      </c>
      <c r="AA24" s="188">
        <f t="array" aca="1" ref="AA24" ca="1">_xlfn.IFNA(SUM((AA$3&gt;='Gastos com Pessoal'!$E$7:$E$506)*(AA$3&lt;='Gastos com Pessoal'!$F$7:$F$506)*OFFSET('Encargos e Benefícios'!$D$5,1,MATCH($B24,'Encargos e Benefícios'!$E$5:$AB$5,0),500,1))*(IF('Gastos com Pessoal'!$G$7:$G$506&lt;=AA$3,('Gastos com Pessoal'!$H$7:$H$506)+1,1))*(IF('Gastos com Pessoal'!$M$7:$M$506&lt;=AA$3,('Gastos com Pessoal'!$N$7:$N$506)+1,1))*(IF('Gastos com Pessoal'!$S$7:$S$506&lt;=AA$3,('Gastos com Pessoal'!$T$7:$T$506)+1,1))*(IF('Gastos com Pessoal'!$Y$7:$Y$506&lt;=AA$3,('Gastos com Pessoal'!$Z$7:$Z$506)+1,1))*(IF('Gastos com Pessoal'!$AE$7:$AE$506&lt;=AA$3,('Gastos com Pessoal'!$AF$7:$AF$506)+1,1)),0)</f>
        <v>3360.7271779502366</v>
      </c>
      <c r="AB24" s="188">
        <f t="array" aca="1" ref="AB24" ca="1">_xlfn.IFNA(SUM((AB$3&gt;='Gastos com Pessoal'!$E$7:$E$506)*(AB$3&lt;='Gastos com Pessoal'!$F$7:$F$506)*OFFSET('Encargos e Benefícios'!$D$5,1,MATCH($B24,'Encargos e Benefícios'!$E$5:$AB$5,0),500,1))*(IF('Gastos com Pessoal'!$G$7:$G$506&lt;=AB$3,('Gastos com Pessoal'!$H$7:$H$506)+1,1))*(IF('Gastos com Pessoal'!$M$7:$M$506&lt;=AB$3,('Gastos com Pessoal'!$N$7:$N$506)+1,1))*(IF('Gastos com Pessoal'!$S$7:$S$506&lt;=AB$3,('Gastos com Pessoal'!$T$7:$T$506)+1,1))*(IF('Gastos com Pessoal'!$Y$7:$Y$506&lt;=AB$3,('Gastos com Pessoal'!$Z$7:$Z$506)+1,1))*(IF('Gastos com Pessoal'!$AE$7:$AE$506&lt;=AB$3,('Gastos com Pessoal'!$AF$7:$AF$506)+1,1)),0)</f>
        <v>3360.7271779502366</v>
      </c>
      <c r="AC24" s="188">
        <f t="array" aca="1" ref="AC24" ca="1">_xlfn.IFNA(SUM((AC$3&gt;='Gastos com Pessoal'!$E$7:$E$506)*(AC$3&lt;='Gastos com Pessoal'!$F$7:$F$506)*OFFSET('Encargos e Benefícios'!$D$5,1,MATCH($B24,'Encargos e Benefícios'!$E$5:$AB$5,0),500,1))*(IF('Gastos com Pessoal'!$G$7:$G$506&lt;=AC$3,('Gastos com Pessoal'!$H$7:$H$506)+1,1))*(IF('Gastos com Pessoal'!$M$7:$M$506&lt;=AC$3,('Gastos com Pessoal'!$N$7:$N$506)+1,1))*(IF('Gastos com Pessoal'!$S$7:$S$506&lt;=AC$3,('Gastos com Pessoal'!$T$7:$T$506)+1,1))*(IF('Gastos com Pessoal'!$Y$7:$Y$506&lt;=AC$3,('Gastos com Pessoal'!$Z$7:$Z$506)+1,1))*(IF('Gastos com Pessoal'!$AE$7:$AE$506&lt;=AC$3,('Gastos com Pessoal'!$AF$7:$AF$506)+1,1)),0)</f>
        <v>3360.7271779502366</v>
      </c>
      <c r="AD24" s="188">
        <f t="array" aca="1" ref="AD24" ca="1">_xlfn.IFNA(SUM((AD$3&gt;='Gastos com Pessoal'!$E$7:$E$506)*(AD$3&lt;='Gastos com Pessoal'!$F$7:$F$506)*OFFSET('Encargos e Benefícios'!$D$5,1,MATCH($B24,'Encargos e Benefícios'!$E$5:$AB$5,0),500,1))*(IF('Gastos com Pessoal'!$G$7:$G$506&lt;=AD$3,('Gastos com Pessoal'!$H$7:$H$506)+1,1))*(IF('Gastos com Pessoal'!$M$7:$M$506&lt;=AD$3,('Gastos com Pessoal'!$N$7:$N$506)+1,1))*(IF('Gastos com Pessoal'!$S$7:$S$506&lt;=AD$3,('Gastos com Pessoal'!$T$7:$T$506)+1,1))*(IF('Gastos com Pessoal'!$Y$7:$Y$506&lt;=AD$3,('Gastos com Pessoal'!$Z$7:$Z$506)+1,1))*(IF('Gastos com Pessoal'!$AE$7:$AE$506&lt;=AD$3,('Gastos com Pessoal'!$AF$7:$AF$506)+1,1)),0)</f>
        <v>3360.7271779502366</v>
      </c>
      <c r="AE24" s="188">
        <f t="array" aca="1" ref="AE24" ca="1">_xlfn.IFNA(SUM((AE$3&gt;='Gastos com Pessoal'!$E$7:$E$506)*(AE$3&lt;='Gastos com Pessoal'!$F$7:$F$506)*OFFSET('Encargos e Benefícios'!$D$5,1,MATCH($B24,'Encargos e Benefícios'!$E$5:$AB$5,0),500,1))*(IF('Gastos com Pessoal'!$G$7:$G$506&lt;=AE$3,('Gastos com Pessoal'!$H$7:$H$506)+1,1))*(IF('Gastos com Pessoal'!$M$7:$M$506&lt;=AE$3,('Gastos com Pessoal'!$N$7:$N$506)+1,1))*(IF('Gastos com Pessoal'!$S$7:$S$506&lt;=AE$3,('Gastos com Pessoal'!$T$7:$T$506)+1,1))*(IF('Gastos com Pessoal'!$Y$7:$Y$506&lt;=AE$3,('Gastos com Pessoal'!$Z$7:$Z$506)+1,1))*(IF('Gastos com Pessoal'!$AE$7:$AE$506&lt;=AE$3,('Gastos com Pessoal'!$AF$7:$AF$506)+1,1)),0)</f>
        <v>3556.9936451425306</v>
      </c>
      <c r="AF24" s="188">
        <f t="array" aca="1" ref="AF24" ca="1">_xlfn.IFNA(SUM((AF$3&gt;='Gastos com Pessoal'!$E$7:$E$506)*(AF$3&lt;='Gastos com Pessoal'!$F$7:$F$506)*OFFSET('Encargos e Benefícios'!$D$5,1,MATCH($B24,'Encargos e Benefícios'!$E$5:$AB$5,0),500,1))*(IF('Gastos com Pessoal'!$G$7:$G$506&lt;=AF$3,('Gastos com Pessoal'!$H$7:$H$506)+1,1))*(IF('Gastos com Pessoal'!$M$7:$M$506&lt;=AF$3,('Gastos com Pessoal'!$N$7:$N$506)+1,1))*(IF('Gastos com Pessoal'!$S$7:$S$506&lt;=AF$3,('Gastos com Pessoal'!$T$7:$T$506)+1,1))*(IF('Gastos com Pessoal'!$Y$7:$Y$506&lt;=AF$3,('Gastos com Pessoal'!$Z$7:$Z$506)+1,1))*(IF('Gastos com Pessoal'!$AE$7:$AE$506&lt;=AF$3,('Gastos com Pessoal'!$AF$7:$AF$506)+1,1)),0)</f>
        <v>3556.9936451425306</v>
      </c>
      <c r="AG24" s="188">
        <f t="array" aca="1" ref="AG24" ca="1">_xlfn.IFNA(SUM((AG$3&gt;='Gastos com Pessoal'!$E$7:$E$506)*(AG$3&lt;='Gastos com Pessoal'!$F$7:$F$506)*OFFSET('Encargos e Benefícios'!$D$5,1,MATCH($B24,'Encargos e Benefícios'!$E$5:$AB$5,0),500,1))*(IF('Gastos com Pessoal'!$G$7:$G$506&lt;=AG$3,('Gastos com Pessoal'!$H$7:$H$506)+1,1))*(IF('Gastos com Pessoal'!$M$7:$M$506&lt;=AG$3,('Gastos com Pessoal'!$N$7:$N$506)+1,1))*(IF('Gastos com Pessoal'!$S$7:$S$506&lt;=AG$3,('Gastos com Pessoal'!$T$7:$T$506)+1,1))*(IF('Gastos com Pessoal'!$Y$7:$Y$506&lt;=AG$3,('Gastos com Pessoal'!$Z$7:$Z$506)+1,1))*(IF('Gastos com Pessoal'!$AE$7:$AE$506&lt;=AG$3,('Gastos com Pessoal'!$AF$7:$AF$506)+1,1)),0)</f>
        <v>3556.9936451425306</v>
      </c>
      <c r="AH24" s="188">
        <f t="array" aca="1" ref="AH24" ca="1">_xlfn.IFNA(SUM((AH$3&gt;='Gastos com Pessoal'!$E$7:$E$506)*(AH$3&lt;='Gastos com Pessoal'!$F$7:$F$506)*OFFSET('Encargos e Benefícios'!$D$5,1,MATCH($B24,'Encargos e Benefícios'!$E$5:$AB$5,0),500,1))*(IF('Gastos com Pessoal'!$G$7:$G$506&lt;=AH$3,('Gastos com Pessoal'!$H$7:$H$506)+1,1))*(IF('Gastos com Pessoal'!$M$7:$M$506&lt;=AH$3,('Gastos com Pessoal'!$N$7:$N$506)+1,1))*(IF('Gastos com Pessoal'!$S$7:$S$506&lt;=AH$3,('Gastos com Pessoal'!$T$7:$T$506)+1,1))*(IF('Gastos com Pessoal'!$Y$7:$Y$506&lt;=AH$3,('Gastos com Pessoal'!$Z$7:$Z$506)+1,1))*(IF('Gastos com Pessoal'!$AE$7:$AE$506&lt;=AH$3,('Gastos com Pessoal'!$AF$7:$AF$506)+1,1)),0)</f>
        <v>3556.9936451425306</v>
      </c>
      <c r="AI24" s="188">
        <f t="array" aca="1" ref="AI24" ca="1">_xlfn.IFNA(SUM((AI$3&gt;='Gastos com Pessoal'!$E$7:$E$506)*(AI$3&lt;='Gastos com Pessoal'!$F$7:$F$506)*OFFSET('Encargos e Benefícios'!$D$5,1,MATCH($B24,'Encargos e Benefícios'!$E$5:$AB$5,0),500,1))*(IF('Gastos com Pessoal'!$G$7:$G$506&lt;=AI$3,('Gastos com Pessoal'!$H$7:$H$506)+1,1))*(IF('Gastos com Pessoal'!$M$7:$M$506&lt;=AI$3,('Gastos com Pessoal'!$N$7:$N$506)+1,1))*(IF('Gastos com Pessoal'!$S$7:$S$506&lt;=AI$3,('Gastos com Pessoal'!$T$7:$T$506)+1,1))*(IF('Gastos com Pessoal'!$Y$7:$Y$506&lt;=AI$3,('Gastos com Pessoal'!$Z$7:$Z$506)+1,1))*(IF('Gastos com Pessoal'!$AE$7:$AE$506&lt;=AI$3,('Gastos com Pessoal'!$AF$7:$AF$506)+1,1)),0)</f>
        <v>3556.9936451425306</v>
      </c>
      <c r="AJ24" s="188">
        <f t="array" aca="1" ref="AJ24" ca="1">_xlfn.IFNA(SUM((AJ$3&gt;='Gastos com Pessoal'!$E$7:$E$506)*(AJ$3&lt;='Gastos com Pessoal'!$F$7:$F$506)*OFFSET('Encargos e Benefícios'!$D$5,1,MATCH($B24,'Encargos e Benefícios'!$E$5:$AB$5,0),500,1))*(IF('Gastos com Pessoal'!$G$7:$G$506&lt;=AJ$3,('Gastos com Pessoal'!$H$7:$H$506)+1,1))*(IF('Gastos com Pessoal'!$M$7:$M$506&lt;=AJ$3,('Gastos com Pessoal'!$N$7:$N$506)+1,1))*(IF('Gastos com Pessoal'!$S$7:$S$506&lt;=AJ$3,('Gastos com Pessoal'!$T$7:$T$506)+1,1))*(IF('Gastos com Pessoal'!$Y$7:$Y$506&lt;=AJ$3,('Gastos com Pessoal'!$Z$7:$Z$506)+1,1))*(IF('Gastos com Pessoal'!$AE$7:$AE$506&lt;=AJ$3,('Gastos com Pessoal'!$AF$7:$AF$506)+1,1)),0)</f>
        <v>3556.9936451425306</v>
      </c>
      <c r="AK24" s="188">
        <f t="array" aca="1" ref="AK24" ca="1">_xlfn.IFNA(SUM((AK$3&gt;='Gastos com Pessoal'!$E$7:$E$506)*(AK$3&lt;='Gastos com Pessoal'!$F$7:$F$506)*OFFSET('Encargos e Benefícios'!$D$5,1,MATCH($B24,'Encargos e Benefícios'!$E$5:$AB$5,0),500,1))*(IF('Gastos com Pessoal'!$G$7:$G$506&lt;=AK$3,('Gastos com Pessoal'!$H$7:$H$506)+1,1))*(IF('Gastos com Pessoal'!$M$7:$M$506&lt;=AK$3,('Gastos com Pessoal'!$N$7:$N$506)+1,1))*(IF('Gastos com Pessoal'!$S$7:$S$506&lt;=AK$3,('Gastos com Pessoal'!$T$7:$T$506)+1,1))*(IF('Gastos com Pessoal'!$Y$7:$Y$506&lt;=AK$3,('Gastos com Pessoal'!$Z$7:$Z$506)+1,1))*(IF('Gastos com Pessoal'!$AE$7:$AE$506&lt;=AK$3,('Gastos com Pessoal'!$AF$7:$AF$506)+1,1)),0)</f>
        <v>3556.9936451425306</v>
      </c>
      <c r="AL24" s="188">
        <f t="array" aca="1" ref="AL24" ca="1">_xlfn.IFNA(SUM((AL$3&gt;='Gastos com Pessoal'!$E$7:$E$506)*(AL$3&lt;='Gastos com Pessoal'!$F$7:$F$506)*OFFSET('Encargos e Benefícios'!$D$5,1,MATCH($B24,'Encargos e Benefícios'!$E$5:$AB$5,0),500,1))*(IF('Gastos com Pessoal'!$G$7:$G$506&lt;=AL$3,('Gastos com Pessoal'!$H$7:$H$506)+1,1))*(IF('Gastos com Pessoal'!$M$7:$M$506&lt;=AL$3,('Gastos com Pessoal'!$N$7:$N$506)+1,1))*(IF('Gastos com Pessoal'!$S$7:$S$506&lt;=AL$3,('Gastos com Pessoal'!$T$7:$T$506)+1,1))*(IF('Gastos com Pessoal'!$Y$7:$Y$506&lt;=AL$3,('Gastos com Pessoal'!$Z$7:$Z$506)+1,1))*(IF('Gastos com Pessoal'!$AE$7:$AE$506&lt;=AL$3,('Gastos com Pessoal'!$AF$7:$AF$506)+1,1)),0)</f>
        <v>3556.9936451425306</v>
      </c>
      <c r="AM24" s="188">
        <f t="array" aca="1" ref="AM24" ca="1">_xlfn.IFNA(SUM((AM$3&gt;='Gastos com Pessoal'!$E$7:$E$506)*(AM$3&lt;='Gastos com Pessoal'!$F$7:$F$506)*OFFSET('Encargos e Benefícios'!$D$5,1,MATCH($B24,'Encargos e Benefícios'!$E$5:$AB$5,0),500,1))*(IF('Gastos com Pessoal'!$G$7:$G$506&lt;=AM$3,('Gastos com Pessoal'!$H$7:$H$506)+1,1))*(IF('Gastos com Pessoal'!$M$7:$M$506&lt;=AM$3,('Gastos com Pessoal'!$N$7:$N$506)+1,1))*(IF('Gastos com Pessoal'!$S$7:$S$506&lt;=AM$3,('Gastos com Pessoal'!$T$7:$T$506)+1,1))*(IF('Gastos com Pessoal'!$Y$7:$Y$506&lt;=AM$3,('Gastos com Pessoal'!$Z$7:$Z$506)+1,1))*(IF('Gastos com Pessoal'!$AE$7:$AE$506&lt;=AM$3,('Gastos com Pessoal'!$AF$7:$AF$506)+1,1)),0)</f>
        <v>3556.9936451425306</v>
      </c>
      <c r="AN24" s="188">
        <f t="array" aca="1" ref="AN24" ca="1">_xlfn.IFNA(SUM((AN$3&gt;='Gastos com Pessoal'!$E$7:$E$506)*(AN$3&lt;='Gastos com Pessoal'!$F$7:$F$506)*OFFSET('Encargos e Benefícios'!$D$5,1,MATCH($B24,'Encargos e Benefícios'!$E$5:$AB$5,0),500,1))*(IF('Gastos com Pessoal'!$G$7:$G$506&lt;=AN$3,('Gastos com Pessoal'!$H$7:$H$506)+1,1))*(IF('Gastos com Pessoal'!$M$7:$M$506&lt;=AN$3,('Gastos com Pessoal'!$N$7:$N$506)+1,1))*(IF('Gastos com Pessoal'!$S$7:$S$506&lt;=AN$3,('Gastos com Pessoal'!$T$7:$T$506)+1,1))*(IF('Gastos com Pessoal'!$Y$7:$Y$506&lt;=AN$3,('Gastos com Pessoal'!$Z$7:$Z$506)+1,1))*(IF('Gastos com Pessoal'!$AE$7:$AE$506&lt;=AN$3,('Gastos com Pessoal'!$AF$7:$AF$506)+1,1)),0)</f>
        <v>3556.9936451425306</v>
      </c>
      <c r="AO24" s="188">
        <f t="array" aca="1" ref="AO24" ca="1">_xlfn.IFNA(SUM((AO$3&gt;='Gastos com Pessoal'!$E$7:$E$506)*(AO$3&lt;='Gastos com Pessoal'!$F$7:$F$506)*OFFSET('Encargos e Benefícios'!$D$5,1,MATCH($B24,'Encargos e Benefícios'!$E$5:$AB$5,0),500,1))*(IF('Gastos com Pessoal'!$G$7:$G$506&lt;=AO$3,('Gastos com Pessoal'!$H$7:$H$506)+1,1))*(IF('Gastos com Pessoal'!$M$7:$M$506&lt;=AO$3,('Gastos com Pessoal'!$N$7:$N$506)+1,1))*(IF('Gastos com Pessoal'!$S$7:$S$506&lt;=AO$3,('Gastos com Pessoal'!$T$7:$T$506)+1,1))*(IF('Gastos com Pessoal'!$Y$7:$Y$506&lt;=AO$3,('Gastos com Pessoal'!$Z$7:$Z$506)+1,1))*(IF('Gastos com Pessoal'!$AE$7:$AE$506&lt;=AO$3,('Gastos com Pessoal'!$AF$7:$AF$506)+1,1)),0)</f>
        <v>3556.9936451425306</v>
      </c>
      <c r="AP24" s="188">
        <f t="array" aca="1" ref="AP24" ca="1">_xlfn.IFNA(SUM((AP$3&gt;='Gastos com Pessoal'!$E$7:$E$506)*(AP$3&lt;='Gastos com Pessoal'!$F$7:$F$506)*OFFSET('Encargos e Benefícios'!$D$5,1,MATCH($B24,'Encargos e Benefícios'!$E$5:$AB$5,0),500,1))*(IF('Gastos com Pessoal'!$G$7:$G$506&lt;=AP$3,('Gastos com Pessoal'!$H$7:$H$506)+1,1))*(IF('Gastos com Pessoal'!$M$7:$M$506&lt;=AP$3,('Gastos com Pessoal'!$N$7:$N$506)+1,1))*(IF('Gastos com Pessoal'!$S$7:$S$506&lt;=AP$3,('Gastos com Pessoal'!$T$7:$T$506)+1,1))*(IF('Gastos com Pessoal'!$Y$7:$Y$506&lt;=AP$3,('Gastos com Pessoal'!$Z$7:$Z$506)+1,1))*(IF('Gastos com Pessoal'!$AE$7:$AE$506&lt;=AP$3,('Gastos com Pessoal'!$AF$7:$AF$506)+1,1)),0)</f>
        <v>3556.9936451425306</v>
      </c>
      <c r="AQ24" s="188">
        <f t="array" aca="1" ref="AQ24" ca="1">_xlfn.IFNA(SUM((AQ$3&gt;='Gastos com Pessoal'!$E$7:$E$506)*(AQ$3&lt;='Gastos com Pessoal'!$F$7:$F$506)*OFFSET('Encargos e Benefícios'!$D$5,1,MATCH($B24,'Encargos e Benefícios'!$E$5:$AB$5,0),500,1))*(IF('Gastos com Pessoal'!$G$7:$G$506&lt;=AQ$3,('Gastos com Pessoal'!$H$7:$H$506)+1,1))*(IF('Gastos com Pessoal'!$M$7:$M$506&lt;=AQ$3,('Gastos com Pessoal'!$N$7:$N$506)+1,1))*(IF('Gastos com Pessoal'!$S$7:$S$506&lt;=AQ$3,('Gastos com Pessoal'!$T$7:$T$506)+1,1))*(IF('Gastos com Pessoal'!$Y$7:$Y$506&lt;=AQ$3,('Gastos com Pessoal'!$Z$7:$Z$506)+1,1))*(IF('Gastos com Pessoal'!$AE$7:$AE$506&lt;=AQ$3,('Gastos com Pessoal'!$AF$7:$AF$506)+1,1)),0)</f>
        <v>3764.7220740188545</v>
      </c>
      <c r="AR24" s="188">
        <f t="array" aca="1" ref="AR24" ca="1">_xlfn.IFNA(SUM((AR$3&gt;='Gastos com Pessoal'!$E$7:$E$506)*(AR$3&lt;='Gastos com Pessoal'!$F$7:$F$506)*OFFSET('Encargos e Benefícios'!$D$5,1,MATCH($B24,'Encargos e Benefícios'!$E$5:$AB$5,0),500,1))*(IF('Gastos com Pessoal'!$G$7:$G$506&lt;=AR$3,('Gastos com Pessoal'!$H$7:$H$506)+1,1))*(IF('Gastos com Pessoal'!$M$7:$M$506&lt;=AR$3,('Gastos com Pessoal'!$N$7:$N$506)+1,1))*(IF('Gastos com Pessoal'!$S$7:$S$506&lt;=AR$3,('Gastos com Pessoal'!$T$7:$T$506)+1,1))*(IF('Gastos com Pessoal'!$Y$7:$Y$506&lt;=AR$3,('Gastos com Pessoal'!$Z$7:$Z$506)+1,1))*(IF('Gastos com Pessoal'!$AE$7:$AE$506&lt;=AR$3,('Gastos com Pessoal'!$AF$7:$AF$506)+1,1)),0)</f>
        <v>3764.7220740188545</v>
      </c>
      <c r="AS24" s="188">
        <f t="array" aca="1" ref="AS24" ca="1">_xlfn.IFNA(SUM((AS$3&gt;='Gastos com Pessoal'!$E$7:$E$506)*(AS$3&lt;='Gastos com Pessoal'!$F$7:$F$506)*OFFSET('Encargos e Benefícios'!$D$5,1,MATCH($B24,'Encargos e Benefícios'!$E$5:$AB$5,0),500,1))*(IF('Gastos com Pessoal'!$G$7:$G$506&lt;=AS$3,('Gastos com Pessoal'!$H$7:$H$506)+1,1))*(IF('Gastos com Pessoal'!$M$7:$M$506&lt;=AS$3,('Gastos com Pessoal'!$N$7:$N$506)+1,1))*(IF('Gastos com Pessoal'!$S$7:$S$506&lt;=AS$3,('Gastos com Pessoal'!$T$7:$T$506)+1,1))*(IF('Gastos com Pessoal'!$Y$7:$Y$506&lt;=AS$3,('Gastos com Pessoal'!$Z$7:$Z$506)+1,1))*(IF('Gastos com Pessoal'!$AE$7:$AE$506&lt;=AS$3,('Gastos com Pessoal'!$AF$7:$AF$506)+1,1)),0)</f>
        <v>3764.7220740188545</v>
      </c>
      <c r="AT24" s="188">
        <f t="array" aca="1" ref="AT24" ca="1">_xlfn.IFNA(SUM((AT$3&gt;='Gastos com Pessoal'!$E$7:$E$506)*(AT$3&lt;='Gastos com Pessoal'!$F$7:$F$506)*OFFSET('Encargos e Benefícios'!$D$5,1,MATCH($B24,'Encargos e Benefícios'!$E$5:$AB$5,0),500,1))*(IF('Gastos com Pessoal'!$G$7:$G$506&lt;=AT$3,('Gastos com Pessoal'!$H$7:$H$506)+1,1))*(IF('Gastos com Pessoal'!$M$7:$M$506&lt;=AT$3,('Gastos com Pessoal'!$N$7:$N$506)+1,1))*(IF('Gastos com Pessoal'!$S$7:$S$506&lt;=AT$3,('Gastos com Pessoal'!$T$7:$T$506)+1,1))*(IF('Gastos com Pessoal'!$Y$7:$Y$506&lt;=AT$3,('Gastos com Pessoal'!$Z$7:$Z$506)+1,1))*(IF('Gastos com Pessoal'!$AE$7:$AE$506&lt;=AT$3,('Gastos com Pessoal'!$AF$7:$AF$506)+1,1)),0)</f>
        <v>3764.7220740188545</v>
      </c>
      <c r="AU24" s="188">
        <f t="array" aca="1" ref="AU24" ca="1">_xlfn.IFNA(SUM((AU$3&gt;='Gastos com Pessoal'!$E$7:$E$506)*(AU$3&lt;='Gastos com Pessoal'!$F$7:$F$506)*OFFSET('Encargos e Benefícios'!$D$5,1,MATCH($B24,'Encargos e Benefícios'!$E$5:$AB$5,0),500,1))*(IF('Gastos com Pessoal'!$G$7:$G$506&lt;=AU$3,('Gastos com Pessoal'!$H$7:$H$506)+1,1))*(IF('Gastos com Pessoal'!$M$7:$M$506&lt;=AU$3,('Gastos com Pessoal'!$N$7:$N$506)+1,1))*(IF('Gastos com Pessoal'!$S$7:$S$506&lt;=AU$3,('Gastos com Pessoal'!$T$7:$T$506)+1,1))*(IF('Gastos com Pessoal'!$Y$7:$Y$506&lt;=AU$3,('Gastos com Pessoal'!$Z$7:$Z$506)+1,1))*(IF('Gastos com Pessoal'!$AE$7:$AE$506&lt;=AU$3,('Gastos com Pessoal'!$AF$7:$AF$506)+1,1)),0)</f>
        <v>3764.7220740188545</v>
      </c>
      <c r="AV24" s="188">
        <f t="array" aca="1" ref="AV24" ca="1">_xlfn.IFNA(SUM((AV$3&gt;='Gastos com Pessoal'!$E$7:$E$506)*(AV$3&lt;='Gastos com Pessoal'!$F$7:$F$506)*OFFSET('Encargos e Benefícios'!$D$5,1,MATCH($B24,'Encargos e Benefícios'!$E$5:$AB$5,0),500,1))*(IF('Gastos com Pessoal'!$G$7:$G$506&lt;=AV$3,('Gastos com Pessoal'!$H$7:$H$506)+1,1))*(IF('Gastos com Pessoal'!$M$7:$M$506&lt;=AV$3,('Gastos com Pessoal'!$N$7:$N$506)+1,1))*(IF('Gastos com Pessoal'!$S$7:$S$506&lt;=AV$3,('Gastos com Pessoal'!$T$7:$T$506)+1,1))*(IF('Gastos com Pessoal'!$Y$7:$Y$506&lt;=AV$3,('Gastos com Pessoal'!$Z$7:$Z$506)+1,1))*(IF('Gastos com Pessoal'!$AE$7:$AE$506&lt;=AV$3,('Gastos com Pessoal'!$AF$7:$AF$506)+1,1)),0)</f>
        <v>3764.7220740188545</v>
      </c>
      <c r="AW24" s="188">
        <f t="array" aca="1" ref="AW24" ca="1">_xlfn.IFNA(SUM((AW$3&gt;='Gastos com Pessoal'!$E$7:$E$506)*(AW$3&lt;='Gastos com Pessoal'!$F$7:$F$506)*OFFSET('Encargos e Benefícios'!$D$5,1,MATCH($B24,'Encargos e Benefícios'!$E$5:$AB$5,0),500,1))*(IF('Gastos com Pessoal'!$G$7:$G$506&lt;=AW$3,('Gastos com Pessoal'!$H$7:$H$506)+1,1))*(IF('Gastos com Pessoal'!$M$7:$M$506&lt;=AW$3,('Gastos com Pessoal'!$N$7:$N$506)+1,1))*(IF('Gastos com Pessoal'!$S$7:$S$506&lt;=AW$3,('Gastos com Pessoal'!$T$7:$T$506)+1,1))*(IF('Gastos com Pessoal'!$Y$7:$Y$506&lt;=AW$3,('Gastos com Pessoal'!$Z$7:$Z$506)+1,1))*(IF('Gastos com Pessoal'!$AE$7:$AE$506&lt;=AW$3,('Gastos com Pessoal'!$AF$7:$AF$506)+1,1)),0)</f>
        <v>3764.7220740188545</v>
      </c>
      <c r="AX24" s="188">
        <f t="array" aca="1" ref="AX24" ca="1">_xlfn.IFNA(SUM((AX$3&gt;='Gastos com Pessoal'!$E$7:$E$506)*(AX$3&lt;='Gastos com Pessoal'!$F$7:$F$506)*OFFSET('Encargos e Benefícios'!$D$5,1,MATCH($B24,'Encargos e Benefícios'!$E$5:$AB$5,0),500,1))*(IF('Gastos com Pessoal'!$G$7:$G$506&lt;=AX$3,('Gastos com Pessoal'!$H$7:$H$506)+1,1))*(IF('Gastos com Pessoal'!$M$7:$M$506&lt;=AX$3,('Gastos com Pessoal'!$N$7:$N$506)+1,1))*(IF('Gastos com Pessoal'!$S$7:$S$506&lt;=AX$3,('Gastos com Pessoal'!$T$7:$T$506)+1,1))*(IF('Gastos com Pessoal'!$Y$7:$Y$506&lt;=AX$3,('Gastos com Pessoal'!$Z$7:$Z$506)+1,1))*(IF('Gastos com Pessoal'!$AE$7:$AE$506&lt;=AX$3,('Gastos com Pessoal'!$AF$7:$AF$506)+1,1)),0)</f>
        <v>0</v>
      </c>
      <c r="AY24" s="188">
        <f t="array" aca="1" ref="AY24" ca="1">_xlfn.IFNA(SUM((AY$3&gt;='Gastos com Pessoal'!$E$7:$E$506)*(AY$3&lt;='Gastos com Pessoal'!$F$7:$F$506)*OFFSET('Encargos e Benefícios'!$D$5,1,MATCH($B24,'Encargos e Benefícios'!$E$5:$AB$5,0),500,1))*(IF('Gastos com Pessoal'!$G$7:$G$506&lt;=AY$3,('Gastos com Pessoal'!$H$7:$H$506)+1,1))*(IF('Gastos com Pessoal'!$M$7:$M$506&lt;=AY$3,('Gastos com Pessoal'!$N$7:$N$506)+1,1))*(IF('Gastos com Pessoal'!$S$7:$S$506&lt;=AY$3,('Gastos com Pessoal'!$T$7:$T$506)+1,1))*(IF('Gastos com Pessoal'!$Y$7:$Y$506&lt;=AY$3,('Gastos com Pessoal'!$Z$7:$Z$506)+1,1))*(IF('Gastos com Pessoal'!$AE$7:$AE$506&lt;=AY$3,('Gastos com Pessoal'!$AF$7:$AF$506)+1,1)),0)</f>
        <v>0</v>
      </c>
      <c r="AZ24" s="188">
        <f t="array" aca="1" ref="AZ24" ca="1">_xlfn.IFNA(SUM((AZ$3&gt;='Gastos com Pessoal'!$E$7:$E$506)*(AZ$3&lt;='Gastos com Pessoal'!$F$7:$F$506)*OFFSET('Encargos e Benefícios'!$D$5,1,MATCH($B24,'Encargos e Benefícios'!$E$5:$AB$5,0),500,1))*(IF('Gastos com Pessoal'!$G$7:$G$506&lt;=AZ$3,('Gastos com Pessoal'!$H$7:$H$506)+1,1))*(IF('Gastos com Pessoal'!$M$7:$M$506&lt;=AZ$3,('Gastos com Pessoal'!$N$7:$N$506)+1,1))*(IF('Gastos com Pessoal'!$S$7:$S$506&lt;=AZ$3,('Gastos com Pessoal'!$T$7:$T$506)+1,1))*(IF('Gastos com Pessoal'!$Y$7:$Y$506&lt;=AZ$3,('Gastos com Pessoal'!$Z$7:$Z$506)+1,1))*(IF('Gastos com Pessoal'!$AE$7:$AE$506&lt;=AZ$3,('Gastos com Pessoal'!$AF$7:$AF$506)+1,1)),0)</f>
        <v>0</v>
      </c>
      <c r="BA24" s="188">
        <f t="array" aca="1" ref="BA24" ca="1">_xlfn.IFNA(SUM((BA$3&gt;='Gastos com Pessoal'!$E$7:$E$506)*(BA$3&lt;='Gastos com Pessoal'!$F$7:$F$506)*OFFSET('Encargos e Benefícios'!$D$5,1,MATCH($B24,'Encargos e Benefícios'!$E$5:$AB$5,0),500,1))*(IF('Gastos com Pessoal'!$G$7:$G$506&lt;=BA$3,('Gastos com Pessoal'!$H$7:$H$506)+1,1))*(IF('Gastos com Pessoal'!$M$7:$M$506&lt;=BA$3,('Gastos com Pessoal'!$N$7:$N$506)+1,1))*(IF('Gastos com Pessoal'!$S$7:$S$506&lt;=BA$3,('Gastos com Pessoal'!$T$7:$T$506)+1,1))*(IF('Gastos com Pessoal'!$Y$7:$Y$506&lt;=BA$3,('Gastos com Pessoal'!$Z$7:$Z$506)+1,1))*(IF('Gastos com Pessoal'!$AE$7:$AE$506&lt;=BA$3,('Gastos com Pessoal'!$AF$7:$AF$506)+1,1)),0)</f>
        <v>0</v>
      </c>
      <c r="BB24" s="188">
        <f t="array" aca="1" ref="BB24" ca="1">_xlfn.IFNA(SUM((BB$3&gt;='Gastos com Pessoal'!$E$7:$E$506)*(BB$3&lt;='Gastos com Pessoal'!$F$7:$F$506)*OFFSET('Encargos e Benefícios'!$D$5,1,MATCH($B24,'Encargos e Benefícios'!$E$5:$AB$5,0),500,1))*(IF('Gastos com Pessoal'!$G$7:$G$506&lt;=BB$3,('Gastos com Pessoal'!$H$7:$H$506)+1,1))*(IF('Gastos com Pessoal'!$M$7:$M$506&lt;=BB$3,('Gastos com Pessoal'!$N$7:$N$506)+1,1))*(IF('Gastos com Pessoal'!$S$7:$S$506&lt;=BB$3,('Gastos com Pessoal'!$T$7:$T$506)+1,1))*(IF('Gastos com Pessoal'!$Y$7:$Y$506&lt;=BB$3,('Gastos com Pessoal'!$Z$7:$Z$506)+1,1))*(IF('Gastos com Pessoal'!$AE$7:$AE$506&lt;=BB$3,('Gastos com Pessoal'!$AF$7:$AF$506)+1,1)),0)</f>
        <v>0</v>
      </c>
      <c r="BC24" s="188">
        <f t="array" aca="1" ref="BC24" ca="1">_xlfn.IFNA(SUM((BC$3&gt;='Gastos com Pessoal'!$E$7:$E$506)*(BC$3&lt;='Gastos com Pessoal'!$F$7:$F$506)*OFFSET('Encargos e Benefícios'!$D$5,1,MATCH($B24,'Encargos e Benefícios'!$E$5:$AB$5,0),500,1))*(IF('Gastos com Pessoal'!$G$7:$G$506&lt;=BC$3,('Gastos com Pessoal'!$H$7:$H$506)+1,1))*(IF('Gastos com Pessoal'!$M$7:$M$506&lt;=BC$3,('Gastos com Pessoal'!$N$7:$N$506)+1,1))*(IF('Gastos com Pessoal'!$S$7:$S$506&lt;=BC$3,('Gastos com Pessoal'!$T$7:$T$506)+1,1))*(IF('Gastos com Pessoal'!$Y$7:$Y$506&lt;=BC$3,('Gastos com Pessoal'!$Z$7:$Z$506)+1,1))*(IF('Gastos com Pessoal'!$AE$7:$AE$506&lt;=BC$3,('Gastos com Pessoal'!$AF$7:$AF$506)+1,1)),0)</f>
        <v>0</v>
      </c>
      <c r="BD24" s="188">
        <f t="array" aca="1" ref="BD24" ca="1">_xlfn.IFNA(SUM((BD$3&gt;='Gastos com Pessoal'!$E$7:$E$506)*(BD$3&lt;='Gastos com Pessoal'!$F$7:$F$506)*OFFSET('Encargos e Benefícios'!$D$5,1,MATCH($B24,'Encargos e Benefícios'!$E$5:$AB$5,0),500,1))*(IF('Gastos com Pessoal'!$G$7:$G$506&lt;=BD$3,('Gastos com Pessoal'!$H$7:$H$506)+1,1))*(IF('Gastos com Pessoal'!$M$7:$M$506&lt;=BD$3,('Gastos com Pessoal'!$N$7:$N$506)+1,1))*(IF('Gastos com Pessoal'!$S$7:$S$506&lt;=BD$3,('Gastos com Pessoal'!$T$7:$T$506)+1,1))*(IF('Gastos com Pessoal'!$Y$7:$Y$506&lt;=BD$3,('Gastos com Pessoal'!$Z$7:$Z$506)+1,1))*(IF('Gastos com Pessoal'!$AE$7:$AE$506&lt;=BD$3,('Gastos com Pessoal'!$AF$7:$AF$506)+1,1)),0)</f>
        <v>0</v>
      </c>
      <c r="BE24" s="188">
        <f t="array" aca="1" ref="BE24" ca="1">_xlfn.IFNA(SUM((BE$3&gt;='Gastos com Pessoal'!$E$7:$E$506)*(BE$3&lt;='Gastos com Pessoal'!$F$7:$F$506)*OFFSET('Encargos e Benefícios'!$D$5,1,MATCH($B24,'Encargos e Benefícios'!$E$5:$AB$5,0),500,1))*(IF('Gastos com Pessoal'!$G$7:$G$506&lt;=BE$3,('Gastos com Pessoal'!$H$7:$H$506)+1,1))*(IF('Gastos com Pessoal'!$M$7:$M$506&lt;=BE$3,('Gastos com Pessoal'!$N$7:$N$506)+1,1))*(IF('Gastos com Pessoal'!$S$7:$S$506&lt;=BE$3,('Gastos com Pessoal'!$T$7:$T$506)+1,1))*(IF('Gastos com Pessoal'!$Y$7:$Y$506&lt;=BE$3,('Gastos com Pessoal'!$Z$7:$Z$506)+1,1))*(IF('Gastos com Pessoal'!$AE$7:$AE$506&lt;=BE$3,('Gastos com Pessoal'!$AF$7:$AF$506)+1,1)),0)</f>
        <v>0</v>
      </c>
      <c r="BF24" s="188">
        <f t="array" aca="1" ref="BF24" ca="1">_xlfn.IFNA(SUM((BF$3&gt;='Gastos com Pessoal'!$E$7:$E$506)*(BF$3&lt;='Gastos com Pessoal'!$F$7:$F$506)*OFFSET('Encargos e Benefícios'!$D$5,1,MATCH($B24,'Encargos e Benefícios'!$E$5:$AB$5,0),500,1))*(IF('Gastos com Pessoal'!$G$7:$G$506&lt;=BF$3,('Gastos com Pessoal'!$H$7:$H$506)+1,1))*(IF('Gastos com Pessoal'!$M$7:$M$506&lt;=BF$3,('Gastos com Pessoal'!$N$7:$N$506)+1,1))*(IF('Gastos com Pessoal'!$S$7:$S$506&lt;=BF$3,('Gastos com Pessoal'!$T$7:$T$506)+1,1))*(IF('Gastos com Pessoal'!$Y$7:$Y$506&lt;=BF$3,('Gastos com Pessoal'!$Z$7:$Z$506)+1,1))*(IF('Gastos com Pessoal'!$AE$7:$AE$506&lt;=BF$3,('Gastos com Pessoal'!$AF$7:$AF$506)+1,1)),0)</f>
        <v>0</v>
      </c>
      <c r="BG24" s="188">
        <f t="array" aca="1" ref="BG24" ca="1">_xlfn.IFNA(SUM((BG$3&gt;='Gastos com Pessoal'!$E$7:$E$506)*(BG$3&lt;='Gastos com Pessoal'!$F$7:$F$506)*OFFSET('Encargos e Benefícios'!$D$5,1,MATCH($B24,'Encargos e Benefícios'!$E$5:$AB$5,0),500,1))*(IF('Gastos com Pessoal'!$G$7:$G$506&lt;=BG$3,('Gastos com Pessoal'!$H$7:$H$506)+1,1))*(IF('Gastos com Pessoal'!$M$7:$M$506&lt;=BG$3,('Gastos com Pessoal'!$N$7:$N$506)+1,1))*(IF('Gastos com Pessoal'!$S$7:$S$506&lt;=BG$3,('Gastos com Pessoal'!$T$7:$T$506)+1,1))*(IF('Gastos com Pessoal'!$Y$7:$Y$506&lt;=BG$3,('Gastos com Pessoal'!$Z$7:$Z$506)+1,1))*(IF('Gastos com Pessoal'!$AE$7:$AE$506&lt;=BG$3,('Gastos com Pessoal'!$AF$7:$AF$506)+1,1)),0)</f>
        <v>0</v>
      </c>
      <c r="BH24" s="188">
        <f t="array" aca="1" ref="BH24" ca="1">_xlfn.IFNA(SUM((BH$3&gt;='Gastos com Pessoal'!$E$7:$E$506)*(BH$3&lt;='Gastos com Pessoal'!$F$7:$F$506)*OFFSET('Encargos e Benefícios'!$D$5,1,MATCH($B24,'Encargos e Benefícios'!$E$5:$AB$5,0),500,1))*(IF('Gastos com Pessoal'!$G$7:$G$506&lt;=BH$3,('Gastos com Pessoal'!$H$7:$H$506)+1,1))*(IF('Gastos com Pessoal'!$M$7:$M$506&lt;=BH$3,('Gastos com Pessoal'!$N$7:$N$506)+1,1))*(IF('Gastos com Pessoal'!$S$7:$S$506&lt;=BH$3,('Gastos com Pessoal'!$T$7:$T$506)+1,1))*(IF('Gastos com Pessoal'!$Y$7:$Y$506&lt;=BH$3,('Gastos com Pessoal'!$Z$7:$Z$506)+1,1))*(IF('Gastos com Pessoal'!$AE$7:$AE$506&lt;=BH$3,('Gastos com Pessoal'!$AF$7:$AF$506)+1,1)),0)</f>
        <v>0</v>
      </c>
      <c r="BI24" s="188">
        <f t="array" aca="1" ref="BI24" ca="1">_xlfn.IFNA(SUM((BI$3&gt;='Gastos com Pessoal'!$E$7:$E$506)*(BI$3&lt;='Gastos com Pessoal'!$F$7:$F$506)*OFFSET('Encargos e Benefícios'!$D$5,1,MATCH($B24,'Encargos e Benefícios'!$E$5:$AB$5,0),500,1))*(IF('Gastos com Pessoal'!$G$7:$G$506&lt;=BI$3,('Gastos com Pessoal'!$H$7:$H$506)+1,1))*(IF('Gastos com Pessoal'!$M$7:$M$506&lt;=BI$3,('Gastos com Pessoal'!$N$7:$N$506)+1,1))*(IF('Gastos com Pessoal'!$S$7:$S$506&lt;=BI$3,('Gastos com Pessoal'!$T$7:$T$506)+1,1))*(IF('Gastos com Pessoal'!$Y$7:$Y$506&lt;=BI$3,('Gastos com Pessoal'!$Z$7:$Z$506)+1,1))*(IF('Gastos com Pessoal'!$AE$7:$AE$506&lt;=BI$3,('Gastos com Pessoal'!$AF$7:$AF$506)+1,1)),0)</f>
        <v>0</v>
      </c>
      <c r="BJ24" s="188">
        <f t="array" aca="1" ref="BJ24" ca="1">_xlfn.IFNA(SUM((BJ$3&gt;='Gastos com Pessoal'!$E$7:$E$506)*(BJ$3&lt;='Gastos com Pessoal'!$F$7:$F$506)*OFFSET('Encargos e Benefícios'!$D$5,1,MATCH($B24,'Encargos e Benefícios'!$E$5:$AB$5,0),500,1))*(IF('Gastos com Pessoal'!$G$7:$G$506&lt;=BJ$3,('Gastos com Pessoal'!$H$7:$H$506)+1,1))*(IF('Gastos com Pessoal'!$M$7:$M$506&lt;=BJ$3,('Gastos com Pessoal'!$N$7:$N$506)+1,1))*(IF('Gastos com Pessoal'!$S$7:$S$506&lt;=BJ$3,('Gastos com Pessoal'!$T$7:$T$506)+1,1))*(IF('Gastos com Pessoal'!$Y$7:$Y$506&lt;=BJ$3,('Gastos com Pessoal'!$Z$7:$Z$506)+1,1))*(IF('Gastos com Pessoal'!$AE$7:$AE$506&lt;=BJ$3,('Gastos com Pessoal'!$AF$7:$AF$506)+1,1)),0)</f>
        <v>0</v>
      </c>
      <c r="BK24" s="189">
        <f t="shared" ca="1" si="8"/>
        <v>155462.6784498104</v>
      </c>
      <c r="BL24" s="136">
        <f t="shared" ca="1" si="9"/>
        <v>5.3525770797531176E-4</v>
      </c>
    </row>
    <row r="25" spans="1:64" s="160" customFormat="1" ht="23.25" customHeight="1">
      <c r="A25" s="198" t="s">
        <v>141</v>
      </c>
      <c r="B25" s="209" t="s">
        <v>142</v>
      </c>
      <c r="C25" s="188">
        <f t="array" aca="1" ref="C25" ca="1">_xlfn.IFNA(SUM((C$3&gt;='Gastos com Pessoal'!$E$7:$E$506)*(C$3&lt;='Gastos com Pessoal'!$F$7:$F$506)*OFFSET('Encargos e Benefícios'!$D$5,1,MATCH($B25,'Encargos e Benefícios'!$E$5:$AB$5,0),500,1))*(IF('Gastos com Pessoal'!$G$7:$G$506&lt;=C$3,('Gastos com Pessoal'!$H$7:$H$506)+1,1))*(IF('Gastos com Pessoal'!$M$7:$M$506&lt;=C$3,('Gastos com Pessoal'!$N$7:$N$506)+1,1))*(IF('Gastos com Pessoal'!$S$7:$S$506&lt;=C$3,('Gastos com Pessoal'!$T$7:$T$506)+1,1))*(IF('Gastos com Pessoal'!$Y$7:$Y$506&lt;=C$3,('Gastos com Pessoal'!$Z$7:$Z$506)+1,1))*(IF('Gastos com Pessoal'!$AE$7:$AE$506&lt;=C$3,('Gastos com Pessoal'!$AF$7:$AF$506)+1,1)),0)</f>
        <v>238147.88400000005</v>
      </c>
      <c r="D25" s="188">
        <f t="array" aca="1" ref="D25" ca="1">_xlfn.IFNA(SUM((D$3&gt;='Gastos com Pessoal'!$E$7:$E$506)*(D$3&lt;='Gastos com Pessoal'!$F$7:$F$506)*OFFSET('Encargos e Benefícios'!$D$5,1,MATCH($B25,'Encargos e Benefícios'!$E$5:$AB$5,0),500,1))*(IF('Gastos com Pessoal'!$G$7:$G$506&lt;=D$3,('Gastos com Pessoal'!$H$7:$H$506)+1,1))*(IF('Gastos com Pessoal'!$M$7:$M$506&lt;=D$3,('Gastos com Pessoal'!$N$7:$N$506)+1,1))*(IF('Gastos com Pessoal'!$S$7:$S$506&lt;=D$3,('Gastos com Pessoal'!$T$7:$T$506)+1,1))*(IF('Gastos com Pessoal'!$Y$7:$Y$506&lt;=D$3,('Gastos com Pessoal'!$Z$7:$Z$506)+1,1))*(IF('Gastos com Pessoal'!$AE$7:$AE$506&lt;=D$3,('Gastos com Pessoal'!$AF$7:$AF$506)+1,1)),0)</f>
        <v>238147.88400000005</v>
      </c>
      <c r="E25" s="188">
        <f t="array" aca="1" ref="E25" ca="1">_xlfn.IFNA(SUM((E$3&gt;='Gastos com Pessoal'!$E$7:$E$506)*(E$3&lt;='Gastos com Pessoal'!$F$7:$F$506)*OFFSET('Encargos e Benefícios'!$D$5,1,MATCH($B25,'Encargos e Benefícios'!$E$5:$AB$5,0),500,1))*(IF('Gastos com Pessoal'!$G$7:$G$506&lt;=E$3,('Gastos com Pessoal'!$H$7:$H$506)+1,1))*(IF('Gastos com Pessoal'!$M$7:$M$506&lt;=E$3,('Gastos com Pessoal'!$N$7:$N$506)+1,1))*(IF('Gastos com Pessoal'!$S$7:$S$506&lt;=E$3,('Gastos com Pessoal'!$T$7:$T$506)+1,1))*(IF('Gastos com Pessoal'!$Y$7:$Y$506&lt;=E$3,('Gastos com Pessoal'!$Z$7:$Z$506)+1,1))*(IF('Gastos com Pessoal'!$AE$7:$AE$506&lt;=E$3,('Gastos com Pessoal'!$AF$7:$AF$506)+1,1)),0)</f>
        <v>251420.22000000006</v>
      </c>
      <c r="F25" s="188">
        <f t="array" aca="1" ref="F25" ca="1">_xlfn.IFNA(SUM((F$3&gt;='Gastos com Pessoal'!$E$7:$E$506)*(F$3&lt;='Gastos com Pessoal'!$F$7:$F$506)*OFFSET('Encargos e Benefícios'!$D$5,1,MATCH($B25,'Encargos e Benefícios'!$E$5:$AB$5,0),500,1))*(IF('Gastos com Pessoal'!$G$7:$G$506&lt;=F$3,('Gastos com Pessoal'!$H$7:$H$506)+1,1))*(IF('Gastos com Pessoal'!$M$7:$M$506&lt;=F$3,('Gastos com Pessoal'!$N$7:$N$506)+1,1))*(IF('Gastos com Pessoal'!$S$7:$S$506&lt;=F$3,('Gastos com Pessoal'!$T$7:$T$506)+1,1))*(IF('Gastos com Pessoal'!$Y$7:$Y$506&lt;=F$3,('Gastos com Pessoal'!$Z$7:$Z$506)+1,1))*(IF('Gastos com Pessoal'!$AE$7:$AE$506&lt;=F$3,('Gastos com Pessoal'!$AF$7:$AF$506)+1,1)),0)</f>
        <v>252618.41400000005</v>
      </c>
      <c r="G25" s="188">
        <f t="array" aca="1" ref="G25" ca="1">_xlfn.IFNA(SUM((G$3&gt;='Gastos com Pessoal'!$E$7:$E$506)*(G$3&lt;='Gastos com Pessoal'!$F$7:$F$506)*OFFSET('Encargos e Benefícios'!$D$5,1,MATCH($B25,'Encargos e Benefícios'!$E$5:$AB$5,0),500,1))*(IF('Gastos com Pessoal'!$G$7:$G$506&lt;=G$3,('Gastos com Pessoal'!$H$7:$H$506)+1,1))*(IF('Gastos com Pessoal'!$M$7:$M$506&lt;=G$3,('Gastos com Pessoal'!$N$7:$N$506)+1,1))*(IF('Gastos com Pessoal'!$S$7:$S$506&lt;=G$3,('Gastos com Pessoal'!$T$7:$T$506)+1,1))*(IF('Gastos com Pessoal'!$Y$7:$Y$506&lt;=G$3,('Gastos com Pessoal'!$Z$7:$Z$506)+1,1))*(IF('Gastos com Pessoal'!$AE$7:$AE$506&lt;=G$3,('Gastos com Pessoal'!$AF$7:$AF$506)+1,1)),0)</f>
        <v>267371.32937760005</v>
      </c>
      <c r="H25" s="188">
        <f t="array" aca="1" ref="H25" ca="1">_xlfn.IFNA(SUM((H$3&gt;='Gastos com Pessoal'!$E$7:$E$506)*(H$3&lt;='Gastos com Pessoal'!$F$7:$F$506)*OFFSET('Encargos e Benefícios'!$D$5,1,MATCH($B25,'Encargos e Benefícios'!$E$5:$AB$5,0),500,1))*(IF('Gastos com Pessoal'!$G$7:$G$506&lt;=H$3,('Gastos com Pessoal'!$H$7:$H$506)+1,1))*(IF('Gastos com Pessoal'!$M$7:$M$506&lt;=H$3,('Gastos com Pessoal'!$N$7:$N$506)+1,1))*(IF('Gastos com Pessoal'!$S$7:$S$506&lt;=H$3,('Gastos com Pessoal'!$T$7:$T$506)+1,1))*(IF('Gastos com Pessoal'!$Y$7:$Y$506&lt;=H$3,('Gastos com Pessoal'!$Z$7:$Z$506)+1,1))*(IF('Gastos com Pessoal'!$AE$7:$AE$506&lt;=H$3,('Gastos com Pessoal'!$AF$7:$AF$506)+1,1)),0)</f>
        <v>281418.76980000007</v>
      </c>
      <c r="I25" s="188">
        <f t="array" aca="1" ref="I25" ca="1">_xlfn.IFNA(SUM((I$3&gt;='Gastos com Pessoal'!$E$7:$E$506)*(I$3&lt;='Gastos com Pessoal'!$F$7:$F$506)*OFFSET('Encargos e Benefícios'!$D$5,1,MATCH($B25,'Encargos e Benefícios'!$E$5:$AB$5,0),500,1))*(IF('Gastos com Pessoal'!$G$7:$G$506&lt;=I$3,('Gastos com Pessoal'!$H$7:$H$506)+1,1))*(IF('Gastos com Pessoal'!$M$7:$M$506&lt;=I$3,('Gastos com Pessoal'!$N$7:$N$506)+1,1))*(IF('Gastos com Pessoal'!$S$7:$S$506&lt;=I$3,('Gastos com Pessoal'!$T$7:$T$506)+1,1))*(IF('Gastos com Pessoal'!$Y$7:$Y$506&lt;=I$3,('Gastos com Pessoal'!$Z$7:$Z$506)+1,1))*(IF('Gastos com Pessoal'!$AE$7:$AE$506&lt;=I$3,('Gastos com Pessoal'!$AF$7:$AF$506)+1,1)),0)</f>
        <v>282760.99669440003</v>
      </c>
      <c r="J25" s="188">
        <f t="array" aca="1" ref="J25" ca="1">_xlfn.IFNA(SUM((J$3&gt;='Gastos com Pessoal'!$E$7:$E$506)*(J$3&lt;='Gastos com Pessoal'!$F$7:$F$506)*OFFSET('Encargos e Benefícios'!$D$5,1,MATCH($B25,'Encargos e Benefícios'!$E$5:$AB$5,0),500,1))*(IF('Gastos com Pessoal'!$G$7:$G$506&lt;=J$3,('Gastos com Pessoal'!$H$7:$H$506)+1,1))*(IF('Gastos com Pessoal'!$M$7:$M$506&lt;=J$3,('Gastos com Pessoal'!$N$7:$N$506)+1,1))*(IF('Gastos com Pessoal'!$S$7:$S$506&lt;=J$3,('Gastos com Pessoal'!$T$7:$T$506)+1,1))*(IF('Gastos com Pessoal'!$Y$7:$Y$506&lt;=J$3,('Gastos com Pessoal'!$Z$7:$Z$506)+1,1))*(IF('Gastos com Pessoal'!$AE$7:$AE$506&lt;=J$3,('Gastos com Pessoal'!$AF$7:$AF$506)+1,1)),0)</f>
        <v>282760.99669440003</v>
      </c>
      <c r="K25" s="188">
        <f t="array" aca="1" ref="K25" ca="1">_xlfn.IFNA(SUM((K$3&gt;='Gastos com Pessoal'!$E$7:$E$506)*(K$3&lt;='Gastos com Pessoal'!$F$7:$F$506)*OFFSET('Encargos e Benefícios'!$D$5,1,MATCH($B25,'Encargos e Benefícios'!$E$5:$AB$5,0),500,1))*(IF('Gastos com Pessoal'!$G$7:$G$506&lt;=K$3,('Gastos com Pessoal'!$H$7:$H$506)+1,1))*(IF('Gastos com Pessoal'!$M$7:$M$506&lt;=K$3,('Gastos com Pessoal'!$N$7:$N$506)+1,1))*(IF('Gastos com Pessoal'!$S$7:$S$506&lt;=K$3,('Gastos com Pessoal'!$T$7:$T$506)+1,1))*(IF('Gastos com Pessoal'!$Y$7:$Y$506&lt;=K$3,('Gastos com Pessoal'!$Z$7:$Z$506)+1,1))*(IF('Gastos com Pessoal'!$AE$7:$AE$506&lt;=K$3,('Gastos com Pessoal'!$AF$7:$AF$506)+1,1)),0)</f>
        <v>297628.80719040008</v>
      </c>
      <c r="L25" s="188">
        <f t="array" aca="1" ref="L25" ca="1">_xlfn.IFNA(SUM((L$3&gt;='Gastos com Pessoal'!$E$7:$E$506)*(L$3&lt;='Gastos com Pessoal'!$F$7:$F$506)*OFFSET('Encargos e Benefícios'!$D$5,1,MATCH($B25,'Encargos e Benefícios'!$E$5:$AB$5,0),500,1))*(IF('Gastos com Pessoal'!$G$7:$G$506&lt;=L$3,('Gastos com Pessoal'!$H$7:$H$506)+1,1))*(IF('Gastos com Pessoal'!$M$7:$M$506&lt;=L$3,('Gastos com Pessoal'!$N$7:$N$506)+1,1))*(IF('Gastos com Pessoal'!$S$7:$S$506&lt;=L$3,('Gastos com Pessoal'!$T$7:$T$506)+1,1))*(IF('Gastos com Pessoal'!$Y$7:$Y$506&lt;=L$3,('Gastos com Pessoal'!$Z$7:$Z$506)+1,1))*(IF('Gastos com Pessoal'!$AE$7:$AE$506&lt;=L$3,('Gastos com Pessoal'!$AF$7:$AF$506)+1,1)),0)</f>
        <v>298971.03408480005</v>
      </c>
      <c r="M25" s="188">
        <f t="array" aca="1" ref="M25" ca="1">_xlfn.IFNA(SUM((M$3&gt;='Gastos com Pessoal'!$E$7:$E$506)*(M$3&lt;='Gastos com Pessoal'!$F$7:$F$506)*OFFSET('Encargos e Benefícios'!$D$5,1,MATCH($B25,'Encargos e Benefícios'!$E$5:$AB$5,0),500,1))*(IF('Gastos com Pessoal'!$G$7:$G$506&lt;=M$3,('Gastos com Pessoal'!$H$7:$H$506)+1,1))*(IF('Gastos com Pessoal'!$M$7:$M$506&lt;=M$3,('Gastos com Pessoal'!$N$7:$N$506)+1,1))*(IF('Gastos com Pessoal'!$S$7:$S$506&lt;=M$3,('Gastos com Pessoal'!$T$7:$T$506)+1,1))*(IF('Gastos com Pessoal'!$Y$7:$Y$506&lt;=M$3,('Gastos com Pessoal'!$Z$7:$Z$506)+1,1))*(IF('Gastos com Pessoal'!$AE$7:$AE$506&lt;=M$3,('Gastos com Pessoal'!$AF$7:$AF$506)+1,1)),0)</f>
        <v>298971.03408480005</v>
      </c>
      <c r="N25" s="188">
        <f t="array" aca="1" ref="N25" ca="1">_xlfn.IFNA(SUM((N$3&gt;='Gastos com Pessoal'!$E$7:$E$506)*(N$3&lt;='Gastos com Pessoal'!$F$7:$F$506)*OFFSET('Encargos e Benefícios'!$D$5,1,MATCH($B25,'Encargos e Benefícios'!$E$5:$AB$5,0),500,1))*(IF('Gastos com Pessoal'!$G$7:$G$506&lt;=N$3,('Gastos com Pessoal'!$H$7:$H$506)+1,1))*(IF('Gastos com Pessoal'!$M$7:$M$506&lt;=N$3,('Gastos com Pessoal'!$N$7:$N$506)+1,1))*(IF('Gastos com Pessoal'!$S$7:$S$506&lt;=N$3,('Gastos com Pessoal'!$T$7:$T$506)+1,1))*(IF('Gastos com Pessoal'!$Y$7:$Y$506&lt;=N$3,('Gastos com Pessoal'!$Z$7:$Z$506)+1,1))*(IF('Gastos com Pessoal'!$AE$7:$AE$506&lt;=N$3,('Gastos com Pessoal'!$AF$7:$AF$506)+1,1)),0)</f>
        <v>313838.8445808001</v>
      </c>
      <c r="O25" s="188">
        <f t="array" aca="1" ref="O25" ca="1">_xlfn.IFNA(SUM((O$3&gt;='Gastos com Pessoal'!$E$7:$E$506)*(O$3&lt;='Gastos com Pessoal'!$F$7:$F$506)*OFFSET('Encargos e Benefícios'!$D$5,1,MATCH($B25,'Encargos e Benefícios'!$E$5:$AB$5,0),500,1))*(IF('Gastos com Pessoal'!$G$7:$G$506&lt;=O$3,('Gastos com Pessoal'!$H$7:$H$506)+1,1))*(IF('Gastos com Pessoal'!$M$7:$M$506&lt;=O$3,('Gastos com Pessoal'!$N$7:$N$506)+1,1))*(IF('Gastos com Pessoal'!$S$7:$S$506&lt;=O$3,('Gastos com Pessoal'!$T$7:$T$506)+1,1))*(IF('Gastos com Pessoal'!$Y$7:$Y$506&lt;=O$3,('Gastos com Pessoal'!$Z$7:$Z$506)+1,1))*(IF('Gastos com Pessoal'!$AE$7:$AE$506&lt;=O$3,('Gastos com Pessoal'!$AF$7:$AF$506)+1,1)),0)</f>
        <v>313838.8445808001</v>
      </c>
      <c r="P25" s="188">
        <f t="array" aca="1" ref="P25" ca="1">_xlfn.IFNA(SUM((P$3&gt;='Gastos com Pessoal'!$E$7:$E$506)*(P$3&lt;='Gastos com Pessoal'!$F$7:$F$506)*OFFSET('Encargos e Benefícios'!$D$5,1,MATCH($B25,'Encargos e Benefícios'!$E$5:$AB$5,0),500,1))*(IF('Gastos com Pessoal'!$G$7:$G$506&lt;=P$3,('Gastos com Pessoal'!$H$7:$H$506)+1,1))*(IF('Gastos com Pessoal'!$M$7:$M$506&lt;=P$3,('Gastos com Pessoal'!$N$7:$N$506)+1,1))*(IF('Gastos com Pessoal'!$S$7:$S$506&lt;=P$3,('Gastos com Pessoal'!$T$7:$T$506)+1,1))*(IF('Gastos com Pessoal'!$Y$7:$Y$506&lt;=P$3,('Gastos com Pessoal'!$Z$7:$Z$506)+1,1))*(IF('Gastos com Pessoal'!$AE$7:$AE$506&lt;=P$3,('Gastos com Pessoal'!$AF$7:$AF$506)+1,1)),0)</f>
        <v>313838.8445808001</v>
      </c>
      <c r="Q25" s="188">
        <f t="array" aca="1" ref="Q25" ca="1">_xlfn.IFNA(SUM((Q$3&gt;='Gastos com Pessoal'!$E$7:$E$506)*(Q$3&lt;='Gastos com Pessoal'!$F$7:$F$506)*OFFSET('Encargos e Benefícios'!$D$5,1,MATCH($B25,'Encargos e Benefícios'!$E$5:$AB$5,0),500,1))*(IF('Gastos com Pessoal'!$G$7:$G$506&lt;=Q$3,('Gastos com Pessoal'!$H$7:$H$506)+1,1))*(IF('Gastos com Pessoal'!$M$7:$M$506&lt;=Q$3,('Gastos com Pessoal'!$N$7:$N$506)+1,1))*(IF('Gastos com Pessoal'!$S$7:$S$506&lt;=Q$3,('Gastos com Pessoal'!$T$7:$T$506)+1,1))*(IF('Gastos com Pessoal'!$Y$7:$Y$506&lt;=Q$3,('Gastos com Pessoal'!$Z$7:$Z$506)+1,1))*(IF('Gastos com Pessoal'!$AE$7:$AE$506&lt;=Q$3,('Gastos com Pessoal'!$AF$7:$AF$506)+1,1)),0)</f>
        <v>313838.8445808001</v>
      </c>
      <c r="R25" s="188">
        <f t="array" aca="1" ref="R25" ca="1">_xlfn.IFNA(SUM((R$3&gt;='Gastos com Pessoal'!$E$7:$E$506)*(R$3&lt;='Gastos com Pessoal'!$F$7:$F$506)*OFFSET('Encargos e Benefícios'!$D$5,1,MATCH($B25,'Encargos e Benefícios'!$E$5:$AB$5,0),500,1))*(IF('Gastos com Pessoal'!$G$7:$G$506&lt;=R$3,('Gastos com Pessoal'!$H$7:$H$506)+1,1))*(IF('Gastos com Pessoal'!$M$7:$M$506&lt;=R$3,('Gastos com Pessoal'!$N$7:$N$506)+1,1))*(IF('Gastos com Pessoal'!$S$7:$S$506&lt;=R$3,('Gastos com Pessoal'!$T$7:$T$506)+1,1))*(IF('Gastos com Pessoal'!$Y$7:$Y$506&lt;=R$3,('Gastos com Pessoal'!$Z$7:$Z$506)+1,1))*(IF('Gastos com Pessoal'!$AE$7:$AE$506&lt;=R$3,('Gastos com Pessoal'!$AF$7:$AF$506)+1,1)),0)</f>
        <v>313838.8445808001</v>
      </c>
      <c r="S25" s="188">
        <f t="array" aca="1" ref="S25" ca="1">_xlfn.IFNA(SUM((S$3&gt;='Gastos com Pessoal'!$E$7:$E$506)*(S$3&lt;='Gastos com Pessoal'!$F$7:$F$506)*OFFSET('Encargos e Benefícios'!$D$5,1,MATCH($B25,'Encargos e Benefícios'!$E$5:$AB$5,0),500,1))*(IF('Gastos com Pessoal'!$G$7:$G$506&lt;=S$3,('Gastos com Pessoal'!$H$7:$H$506)+1,1))*(IF('Gastos com Pessoal'!$M$7:$M$506&lt;=S$3,('Gastos com Pessoal'!$N$7:$N$506)+1,1))*(IF('Gastos com Pessoal'!$S$7:$S$506&lt;=S$3,('Gastos com Pessoal'!$T$7:$T$506)+1,1))*(IF('Gastos com Pessoal'!$Y$7:$Y$506&lt;=S$3,('Gastos com Pessoal'!$Z$7:$Z$506)+1,1))*(IF('Gastos com Pessoal'!$AE$7:$AE$506&lt;=S$3,('Gastos com Pessoal'!$AF$7:$AF$506)+1,1)),0)</f>
        <v>332167.03310431883</v>
      </c>
      <c r="T25" s="188">
        <f t="array" aca="1" ref="T25" ca="1">_xlfn.IFNA(SUM((T$3&gt;='Gastos com Pessoal'!$E$7:$E$506)*(T$3&lt;='Gastos com Pessoal'!$F$7:$F$506)*OFFSET('Encargos e Benefícios'!$D$5,1,MATCH($B25,'Encargos e Benefícios'!$E$5:$AB$5,0),500,1))*(IF('Gastos com Pessoal'!$G$7:$G$506&lt;=T$3,('Gastos com Pessoal'!$H$7:$H$506)+1,1))*(IF('Gastos com Pessoal'!$M$7:$M$506&lt;=T$3,('Gastos com Pessoal'!$N$7:$N$506)+1,1))*(IF('Gastos com Pessoal'!$S$7:$S$506&lt;=T$3,('Gastos com Pessoal'!$T$7:$T$506)+1,1))*(IF('Gastos com Pessoal'!$Y$7:$Y$506&lt;=T$3,('Gastos com Pessoal'!$Z$7:$Z$506)+1,1))*(IF('Gastos com Pessoal'!$AE$7:$AE$506&lt;=T$3,('Gastos com Pessoal'!$AF$7:$AF$506)+1,1)),0)</f>
        <v>332167.03310431883</v>
      </c>
      <c r="U25" s="188">
        <f t="array" aca="1" ref="U25" ca="1">_xlfn.IFNA(SUM((U$3&gt;='Gastos com Pessoal'!$E$7:$E$506)*(U$3&lt;='Gastos com Pessoal'!$F$7:$F$506)*OFFSET('Encargos e Benefícios'!$D$5,1,MATCH($B25,'Encargos e Benefícios'!$E$5:$AB$5,0),500,1))*(IF('Gastos com Pessoal'!$G$7:$G$506&lt;=U$3,('Gastos com Pessoal'!$H$7:$H$506)+1,1))*(IF('Gastos com Pessoal'!$M$7:$M$506&lt;=U$3,('Gastos com Pessoal'!$N$7:$N$506)+1,1))*(IF('Gastos com Pessoal'!$S$7:$S$506&lt;=U$3,('Gastos com Pessoal'!$T$7:$T$506)+1,1))*(IF('Gastos com Pessoal'!$Y$7:$Y$506&lt;=U$3,('Gastos com Pessoal'!$Z$7:$Z$506)+1,1))*(IF('Gastos com Pessoal'!$AE$7:$AE$506&lt;=U$3,('Gastos com Pessoal'!$AF$7:$AF$506)+1,1)),0)</f>
        <v>332167.03310431883</v>
      </c>
      <c r="V25" s="188">
        <f t="array" aca="1" ref="V25" ca="1">_xlfn.IFNA(SUM((V$3&gt;='Gastos com Pessoal'!$E$7:$E$506)*(V$3&lt;='Gastos com Pessoal'!$F$7:$F$506)*OFFSET('Encargos e Benefícios'!$D$5,1,MATCH($B25,'Encargos e Benefícios'!$E$5:$AB$5,0),500,1))*(IF('Gastos com Pessoal'!$G$7:$G$506&lt;=V$3,('Gastos com Pessoal'!$H$7:$H$506)+1,1))*(IF('Gastos com Pessoal'!$M$7:$M$506&lt;=V$3,('Gastos com Pessoal'!$N$7:$N$506)+1,1))*(IF('Gastos com Pessoal'!$S$7:$S$506&lt;=V$3,('Gastos com Pessoal'!$T$7:$T$506)+1,1))*(IF('Gastos com Pessoal'!$Y$7:$Y$506&lt;=V$3,('Gastos com Pessoal'!$Z$7:$Z$506)+1,1))*(IF('Gastos com Pessoal'!$AE$7:$AE$506&lt;=V$3,('Gastos com Pessoal'!$AF$7:$AF$506)+1,1)),0)</f>
        <v>332167.03310431883</v>
      </c>
      <c r="W25" s="188">
        <f t="array" aca="1" ref="W25" ca="1">_xlfn.IFNA(SUM((W$3&gt;='Gastos com Pessoal'!$E$7:$E$506)*(W$3&lt;='Gastos com Pessoal'!$F$7:$F$506)*OFFSET('Encargos e Benefícios'!$D$5,1,MATCH($B25,'Encargos e Benefícios'!$E$5:$AB$5,0),500,1))*(IF('Gastos com Pessoal'!$G$7:$G$506&lt;=W$3,('Gastos com Pessoal'!$H$7:$H$506)+1,1))*(IF('Gastos com Pessoal'!$M$7:$M$506&lt;=W$3,('Gastos com Pessoal'!$N$7:$N$506)+1,1))*(IF('Gastos com Pessoal'!$S$7:$S$506&lt;=W$3,('Gastos com Pessoal'!$T$7:$T$506)+1,1))*(IF('Gastos com Pessoal'!$Y$7:$Y$506&lt;=W$3,('Gastos com Pessoal'!$Z$7:$Z$506)+1,1))*(IF('Gastos com Pessoal'!$AE$7:$AE$506&lt;=W$3,('Gastos com Pessoal'!$AF$7:$AF$506)+1,1)),0)</f>
        <v>332167.03310431883</v>
      </c>
      <c r="X25" s="188">
        <f t="array" aca="1" ref="X25" ca="1">_xlfn.IFNA(SUM((X$3&gt;='Gastos com Pessoal'!$E$7:$E$506)*(X$3&lt;='Gastos com Pessoal'!$F$7:$F$506)*OFFSET('Encargos e Benefícios'!$D$5,1,MATCH($B25,'Encargos e Benefícios'!$E$5:$AB$5,0),500,1))*(IF('Gastos com Pessoal'!$G$7:$G$506&lt;=X$3,('Gastos com Pessoal'!$H$7:$H$506)+1,1))*(IF('Gastos com Pessoal'!$M$7:$M$506&lt;=X$3,('Gastos com Pessoal'!$N$7:$N$506)+1,1))*(IF('Gastos com Pessoal'!$S$7:$S$506&lt;=X$3,('Gastos com Pessoal'!$T$7:$T$506)+1,1))*(IF('Gastos com Pessoal'!$Y$7:$Y$506&lt;=X$3,('Gastos com Pessoal'!$Z$7:$Z$506)+1,1))*(IF('Gastos com Pessoal'!$AE$7:$AE$506&lt;=X$3,('Gastos com Pessoal'!$AF$7:$AF$506)+1,1)),0)</f>
        <v>332167.03310431883</v>
      </c>
      <c r="Y25" s="188">
        <f t="array" aca="1" ref="Y25" ca="1">_xlfn.IFNA(SUM((Y$3&gt;='Gastos com Pessoal'!$E$7:$E$506)*(Y$3&lt;='Gastos com Pessoal'!$F$7:$F$506)*OFFSET('Encargos e Benefícios'!$D$5,1,MATCH($B25,'Encargos e Benefícios'!$E$5:$AB$5,0),500,1))*(IF('Gastos com Pessoal'!$G$7:$G$506&lt;=Y$3,('Gastos com Pessoal'!$H$7:$H$506)+1,1))*(IF('Gastos com Pessoal'!$M$7:$M$506&lt;=Y$3,('Gastos com Pessoal'!$N$7:$N$506)+1,1))*(IF('Gastos com Pessoal'!$S$7:$S$506&lt;=Y$3,('Gastos com Pessoal'!$T$7:$T$506)+1,1))*(IF('Gastos com Pessoal'!$Y$7:$Y$506&lt;=Y$3,('Gastos com Pessoal'!$Z$7:$Z$506)+1,1))*(IF('Gastos com Pessoal'!$AE$7:$AE$506&lt;=Y$3,('Gastos com Pessoal'!$AF$7:$AF$506)+1,1)),0)</f>
        <v>332167.03310431883</v>
      </c>
      <c r="Z25" s="188">
        <f t="array" aca="1" ref="Z25" ca="1">_xlfn.IFNA(SUM((Z$3&gt;='Gastos com Pessoal'!$E$7:$E$506)*(Z$3&lt;='Gastos com Pessoal'!$F$7:$F$506)*OFFSET('Encargos e Benefícios'!$D$5,1,MATCH($B25,'Encargos e Benefícios'!$E$5:$AB$5,0),500,1))*(IF('Gastos com Pessoal'!$G$7:$G$506&lt;=Z$3,('Gastos com Pessoal'!$H$7:$H$506)+1,1))*(IF('Gastos com Pessoal'!$M$7:$M$506&lt;=Z$3,('Gastos com Pessoal'!$N$7:$N$506)+1,1))*(IF('Gastos com Pessoal'!$S$7:$S$506&lt;=Z$3,('Gastos com Pessoal'!$T$7:$T$506)+1,1))*(IF('Gastos com Pessoal'!$Y$7:$Y$506&lt;=Z$3,('Gastos com Pessoal'!$Z$7:$Z$506)+1,1))*(IF('Gastos com Pessoal'!$AE$7:$AE$506&lt;=Z$3,('Gastos com Pessoal'!$AF$7:$AF$506)+1,1)),0)</f>
        <v>332167.03310431883</v>
      </c>
      <c r="AA25" s="188">
        <f t="array" aca="1" ref="AA25" ca="1">_xlfn.IFNA(SUM((AA$3&gt;='Gastos com Pessoal'!$E$7:$E$506)*(AA$3&lt;='Gastos com Pessoal'!$F$7:$F$506)*OFFSET('Encargos e Benefícios'!$D$5,1,MATCH($B25,'Encargos e Benefícios'!$E$5:$AB$5,0),500,1))*(IF('Gastos com Pessoal'!$G$7:$G$506&lt;=AA$3,('Gastos com Pessoal'!$H$7:$H$506)+1,1))*(IF('Gastos com Pessoal'!$M$7:$M$506&lt;=AA$3,('Gastos com Pessoal'!$N$7:$N$506)+1,1))*(IF('Gastos com Pessoal'!$S$7:$S$506&lt;=AA$3,('Gastos com Pessoal'!$T$7:$T$506)+1,1))*(IF('Gastos com Pessoal'!$Y$7:$Y$506&lt;=AA$3,('Gastos com Pessoal'!$Z$7:$Z$506)+1,1))*(IF('Gastos com Pessoal'!$AE$7:$AE$506&lt;=AA$3,('Gastos com Pessoal'!$AF$7:$AF$506)+1,1)),0)</f>
        <v>332167.03310431883</v>
      </c>
      <c r="AB25" s="188">
        <f t="array" aca="1" ref="AB25" ca="1">_xlfn.IFNA(SUM((AB$3&gt;='Gastos com Pessoal'!$E$7:$E$506)*(AB$3&lt;='Gastos com Pessoal'!$F$7:$F$506)*OFFSET('Encargos e Benefícios'!$D$5,1,MATCH($B25,'Encargos e Benefícios'!$E$5:$AB$5,0),500,1))*(IF('Gastos com Pessoal'!$G$7:$G$506&lt;=AB$3,('Gastos com Pessoal'!$H$7:$H$506)+1,1))*(IF('Gastos com Pessoal'!$M$7:$M$506&lt;=AB$3,('Gastos com Pessoal'!$N$7:$N$506)+1,1))*(IF('Gastos com Pessoal'!$S$7:$S$506&lt;=AB$3,('Gastos com Pessoal'!$T$7:$T$506)+1,1))*(IF('Gastos com Pessoal'!$Y$7:$Y$506&lt;=AB$3,('Gastos com Pessoal'!$Z$7:$Z$506)+1,1))*(IF('Gastos com Pessoal'!$AE$7:$AE$506&lt;=AB$3,('Gastos com Pessoal'!$AF$7:$AF$506)+1,1)),0)</f>
        <v>332167.03310431883</v>
      </c>
      <c r="AC25" s="188">
        <f t="array" aca="1" ref="AC25" ca="1">_xlfn.IFNA(SUM((AC$3&gt;='Gastos com Pessoal'!$E$7:$E$506)*(AC$3&lt;='Gastos com Pessoal'!$F$7:$F$506)*OFFSET('Encargos e Benefícios'!$D$5,1,MATCH($B25,'Encargos e Benefícios'!$E$5:$AB$5,0),500,1))*(IF('Gastos com Pessoal'!$G$7:$G$506&lt;=AC$3,('Gastos com Pessoal'!$H$7:$H$506)+1,1))*(IF('Gastos com Pessoal'!$M$7:$M$506&lt;=AC$3,('Gastos com Pessoal'!$N$7:$N$506)+1,1))*(IF('Gastos com Pessoal'!$S$7:$S$506&lt;=AC$3,('Gastos com Pessoal'!$T$7:$T$506)+1,1))*(IF('Gastos com Pessoal'!$Y$7:$Y$506&lt;=AC$3,('Gastos com Pessoal'!$Z$7:$Z$506)+1,1))*(IF('Gastos com Pessoal'!$AE$7:$AE$506&lt;=AC$3,('Gastos com Pessoal'!$AF$7:$AF$506)+1,1)),0)</f>
        <v>332167.03310431883</v>
      </c>
      <c r="AD25" s="188">
        <f t="array" aca="1" ref="AD25" ca="1">_xlfn.IFNA(SUM((AD$3&gt;='Gastos com Pessoal'!$E$7:$E$506)*(AD$3&lt;='Gastos com Pessoal'!$F$7:$F$506)*OFFSET('Encargos e Benefícios'!$D$5,1,MATCH($B25,'Encargos e Benefícios'!$E$5:$AB$5,0),500,1))*(IF('Gastos com Pessoal'!$G$7:$G$506&lt;=AD$3,('Gastos com Pessoal'!$H$7:$H$506)+1,1))*(IF('Gastos com Pessoal'!$M$7:$M$506&lt;=AD$3,('Gastos com Pessoal'!$N$7:$N$506)+1,1))*(IF('Gastos com Pessoal'!$S$7:$S$506&lt;=AD$3,('Gastos com Pessoal'!$T$7:$T$506)+1,1))*(IF('Gastos com Pessoal'!$Y$7:$Y$506&lt;=AD$3,('Gastos com Pessoal'!$Z$7:$Z$506)+1,1))*(IF('Gastos com Pessoal'!$AE$7:$AE$506&lt;=AD$3,('Gastos com Pessoal'!$AF$7:$AF$506)+1,1)),0)</f>
        <v>332167.03310431883</v>
      </c>
      <c r="AE25" s="188">
        <f t="array" aca="1" ref="AE25" ca="1">_xlfn.IFNA(SUM((AE$3&gt;='Gastos com Pessoal'!$E$7:$E$506)*(AE$3&lt;='Gastos com Pessoal'!$F$7:$F$506)*OFFSET('Encargos e Benefícios'!$D$5,1,MATCH($B25,'Encargos e Benefícios'!$E$5:$AB$5,0),500,1))*(IF('Gastos com Pessoal'!$G$7:$G$506&lt;=AE$3,('Gastos com Pessoal'!$H$7:$H$506)+1,1))*(IF('Gastos com Pessoal'!$M$7:$M$506&lt;=AE$3,('Gastos com Pessoal'!$N$7:$N$506)+1,1))*(IF('Gastos com Pessoal'!$S$7:$S$506&lt;=AE$3,('Gastos com Pessoal'!$T$7:$T$506)+1,1))*(IF('Gastos com Pessoal'!$Y$7:$Y$506&lt;=AE$3,('Gastos com Pessoal'!$Z$7:$Z$506)+1,1))*(IF('Gastos com Pessoal'!$AE$7:$AE$506&lt;=AE$3,('Gastos com Pessoal'!$AF$7:$AF$506)+1,1)),0)</f>
        <v>351565.58783761103</v>
      </c>
      <c r="AF25" s="188">
        <f t="array" aca="1" ref="AF25" ca="1">_xlfn.IFNA(SUM((AF$3&gt;='Gastos com Pessoal'!$E$7:$E$506)*(AF$3&lt;='Gastos com Pessoal'!$F$7:$F$506)*OFFSET('Encargos e Benefícios'!$D$5,1,MATCH($B25,'Encargos e Benefícios'!$E$5:$AB$5,0),500,1))*(IF('Gastos com Pessoal'!$G$7:$G$506&lt;=AF$3,('Gastos com Pessoal'!$H$7:$H$506)+1,1))*(IF('Gastos com Pessoal'!$M$7:$M$506&lt;=AF$3,('Gastos com Pessoal'!$N$7:$N$506)+1,1))*(IF('Gastos com Pessoal'!$S$7:$S$506&lt;=AF$3,('Gastos com Pessoal'!$T$7:$T$506)+1,1))*(IF('Gastos com Pessoal'!$Y$7:$Y$506&lt;=AF$3,('Gastos com Pessoal'!$Z$7:$Z$506)+1,1))*(IF('Gastos com Pessoal'!$AE$7:$AE$506&lt;=AF$3,('Gastos com Pessoal'!$AF$7:$AF$506)+1,1)),0)</f>
        <v>351565.58783761103</v>
      </c>
      <c r="AG25" s="188">
        <f t="array" aca="1" ref="AG25" ca="1">_xlfn.IFNA(SUM((AG$3&gt;='Gastos com Pessoal'!$E$7:$E$506)*(AG$3&lt;='Gastos com Pessoal'!$F$7:$F$506)*OFFSET('Encargos e Benefícios'!$D$5,1,MATCH($B25,'Encargos e Benefícios'!$E$5:$AB$5,0),500,1))*(IF('Gastos com Pessoal'!$G$7:$G$506&lt;=AG$3,('Gastos com Pessoal'!$H$7:$H$506)+1,1))*(IF('Gastos com Pessoal'!$M$7:$M$506&lt;=AG$3,('Gastos com Pessoal'!$N$7:$N$506)+1,1))*(IF('Gastos com Pessoal'!$S$7:$S$506&lt;=AG$3,('Gastos com Pessoal'!$T$7:$T$506)+1,1))*(IF('Gastos com Pessoal'!$Y$7:$Y$506&lt;=AG$3,('Gastos com Pessoal'!$Z$7:$Z$506)+1,1))*(IF('Gastos com Pessoal'!$AE$7:$AE$506&lt;=AG$3,('Gastos com Pessoal'!$AF$7:$AF$506)+1,1)),0)</f>
        <v>351565.58783761103</v>
      </c>
      <c r="AH25" s="188">
        <f t="array" aca="1" ref="AH25" ca="1">_xlfn.IFNA(SUM((AH$3&gt;='Gastos com Pessoal'!$E$7:$E$506)*(AH$3&lt;='Gastos com Pessoal'!$F$7:$F$506)*OFFSET('Encargos e Benefícios'!$D$5,1,MATCH($B25,'Encargos e Benefícios'!$E$5:$AB$5,0),500,1))*(IF('Gastos com Pessoal'!$G$7:$G$506&lt;=AH$3,('Gastos com Pessoal'!$H$7:$H$506)+1,1))*(IF('Gastos com Pessoal'!$M$7:$M$506&lt;=AH$3,('Gastos com Pessoal'!$N$7:$N$506)+1,1))*(IF('Gastos com Pessoal'!$S$7:$S$506&lt;=AH$3,('Gastos com Pessoal'!$T$7:$T$506)+1,1))*(IF('Gastos com Pessoal'!$Y$7:$Y$506&lt;=AH$3,('Gastos com Pessoal'!$Z$7:$Z$506)+1,1))*(IF('Gastos com Pessoal'!$AE$7:$AE$506&lt;=AH$3,('Gastos com Pessoal'!$AF$7:$AF$506)+1,1)),0)</f>
        <v>351565.58783761103</v>
      </c>
      <c r="AI25" s="188">
        <f t="array" aca="1" ref="AI25" ca="1">_xlfn.IFNA(SUM((AI$3&gt;='Gastos com Pessoal'!$E$7:$E$506)*(AI$3&lt;='Gastos com Pessoal'!$F$7:$F$506)*OFFSET('Encargos e Benefícios'!$D$5,1,MATCH($B25,'Encargos e Benefícios'!$E$5:$AB$5,0),500,1))*(IF('Gastos com Pessoal'!$G$7:$G$506&lt;=AI$3,('Gastos com Pessoal'!$H$7:$H$506)+1,1))*(IF('Gastos com Pessoal'!$M$7:$M$506&lt;=AI$3,('Gastos com Pessoal'!$N$7:$N$506)+1,1))*(IF('Gastos com Pessoal'!$S$7:$S$506&lt;=AI$3,('Gastos com Pessoal'!$T$7:$T$506)+1,1))*(IF('Gastos com Pessoal'!$Y$7:$Y$506&lt;=AI$3,('Gastos com Pessoal'!$Z$7:$Z$506)+1,1))*(IF('Gastos com Pessoal'!$AE$7:$AE$506&lt;=AI$3,('Gastos com Pessoal'!$AF$7:$AF$506)+1,1)),0)</f>
        <v>351565.58783761103</v>
      </c>
      <c r="AJ25" s="188">
        <f t="array" aca="1" ref="AJ25" ca="1">_xlfn.IFNA(SUM((AJ$3&gt;='Gastos com Pessoal'!$E$7:$E$506)*(AJ$3&lt;='Gastos com Pessoal'!$F$7:$F$506)*OFFSET('Encargos e Benefícios'!$D$5,1,MATCH($B25,'Encargos e Benefícios'!$E$5:$AB$5,0),500,1))*(IF('Gastos com Pessoal'!$G$7:$G$506&lt;=AJ$3,('Gastos com Pessoal'!$H$7:$H$506)+1,1))*(IF('Gastos com Pessoal'!$M$7:$M$506&lt;=AJ$3,('Gastos com Pessoal'!$N$7:$N$506)+1,1))*(IF('Gastos com Pessoal'!$S$7:$S$506&lt;=AJ$3,('Gastos com Pessoal'!$T$7:$T$506)+1,1))*(IF('Gastos com Pessoal'!$Y$7:$Y$506&lt;=AJ$3,('Gastos com Pessoal'!$Z$7:$Z$506)+1,1))*(IF('Gastos com Pessoal'!$AE$7:$AE$506&lt;=AJ$3,('Gastos com Pessoal'!$AF$7:$AF$506)+1,1)),0)</f>
        <v>351565.58783761103</v>
      </c>
      <c r="AK25" s="188">
        <f t="array" aca="1" ref="AK25" ca="1">_xlfn.IFNA(SUM((AK$3&gt;='Gastos com Pessoal'!$E$7:$E$506)*(AK$3&lt;='Gastos com Pessoal'!$F$7:$F$506)*OFFSET('Encargos e Benefícios'!$D$5,1,MATCH($B25,'Encargos e Benefícios'!$E$5:$AB$5,0),500,1))*(IF('Gastos com Pessoal'!$G$7:$G$506&lt;=AK$3,('Gastos com Pessoal'!$H$7:$H$506)+1,1))*(IF('Gastos com Pessoal'!$M$7:$M$506&lt;=AK$3,('Gastos com Pessoal'!$N$7:$N$506)+1,1))*(IF('Gastos com Pessoal'!$S$7:$S$506&lt;=AK$3,('Gastos com Pessoal'!$T$7:$T$506)+1,1))*(IF('Gastos com Pessoal'!$Y$7:$Y$506&lt;=AK$3,('Gastos com Pessoal'!$Z$7:$Z$506)+1,1))*(IF('Gastos com Pessoal'!$AE$7:$AE$506&lt;=AK$3,('Gastos com Pessoal'!$AF$7:$AF$506)+1,1)),0)</f>
        <v>351565.58783761103</v>
      </c>
      <c r="AL25" s="188">
        <f t="array" aca="1" ref="AL25" ca="1">_xlfn.IFNA(SUM((AL$3&gt;='Gastos com Pessoal'!$E$7:$E$506)*(AL$3&lt;='Gastos com Pessoal'!$F$7:$F$506)*OFFSET('Encargos e Benefícios'!$D$5,1,MATCH($B25,'Encargos e Benefícios'!$E$5:$AB$5,0),500,1))*(IF('Gastos com Pessoal'!$G$7:$G$506&lt;=AL$3,('Gastos com Pessoal'!$H$7:$H$506)+1,1))*(IF('Gastos com Pessoal'!$M$7:$M$506&lt;=AL$3,('Gastos com Pessoal'!$N$7:$N$506)+1,1))*(IF('Gastos com Pessoal'!$S$7:$S$506&lt;=AL$3,('Gastos com Pessoal'!$T$7:$T$506)+1,1))*(IF('Gastos com Pessoal'!$Y$7:$Y$506&lt;=AL$3,('Gastos com Pessoal'!$Z$7:$Z$506)+1,1))*(IF('Gastos com Pessoal'!$AE$7:$AE$506&lt;=AL$3,('Gastos com Pessoal'!$AF$7:$AF$506)+1,1)),0)</f>
        <v>351565.58783761103</v>
      </c>
      <c r="AM25" s="188">
        <f t="array" aca="1" ref="AM25" ca="1">_xlfn.IFNA(SUM((AM$3&gt;='Gastos com Pessoal'!$E$7:$E$506)*(AM$3&lt;='Gastos com Pessoal'!$F$7:$F$506)*OFFSET('Encargos e Benefícios'!$D$5,1,MATCH($B25,'Encargos e Benefícios'!$E$5:$AB$5,0),500,1))*(IF('Gastos com Pessoal'!$G$7:$G$506&lt;=AM$3,('Gastos com Pessoal'!$H$7:$H$506)+1,1))*(IF('Gastos com Pessoal'!$M$7:$M$506&lt;=AM$3,('Gastos com Pessoal'!$N$7:$N$506)+1,1))*(IF('Gastos com Pessoal'!$S$7:$S$506&lt;=AM$3,('Gastos com Pessoal'!$T$7:$T$506)+1,1))*(IF('Gastos com Pessoal'!$Y$7:$Y$506&lt;=AM$3,('Gastos com Pessoal'!$Z$7:$Z$506)+1,1))*(IF('Gastos com Pessoal'!$AE$7:$AE$506&lt;=AM$3,('Gastos com Pessoal'!$AF$7:$AF$506)+1,1)),0)</f>
        <v>351565.58783761103</v>
      </c>
      <c r="AN25" s="188">
        <f t="array" aca="1" ref="AN25" ca="1">_xlfn.IFNA(SUM((AN$3&gt;='Gastos com Pessoal'!$E$7:$E$506)*(AN$3&lt;='Gastos com Pessoal'!$F$7:$F$506)*OFFSET('Encargos e Benefícios'!$D$5,1,MATCH($B25,'Encargos e Benefícios'!$E$5:$AB$5,0),500,1))*(IF('Gastos com Pessoal'!$G$7:$G$506&lt;=AN$3,('Gastos com Pessoal'!$H$7:$H$506)+1,1))*(IF('Gastos com Pessoal'!$M$7:$M$506&lt;=AN$3,('Gastos com Pessoal'!$N$7:$N$506)+1,1))*(IF('Gastos com Pessoal'!$S$7:$S$506&lt;=AN$3,('Gastos com Pessoal'!$T$7:$T$506)+1,1))*(IF('Gastos com Pessoal'!$Y$7:$Y$506&lt;=AN$3,('Gastos com Pessoal'!$Z$7:$Z$506)+1,1))*(IF('Gastos com Pessoal'!$AE$7:$AE$506&lt;=AN$3,('Gastos com Pessoal'!$AF$7:$AF$506)+1,1)),0)</f>
        <v>351565.58783761103</v>
      </c>
      <c r="AO25" s="188">
        <f t="array" aca="1" ref="AO25" ca="1">_xlfn.IFNA(SUM((AO$3&gt;='Gastos com Pessoal'!$E$7:$E$506)*(AO$3&lt;='Gastos com Pessoal'!$F$7:$F$506)*OFFSET('Encargos e Benefícios'!$D$5,1,MATCH($B25,'Encargos e Benefícios'!$E$5:$AB$5,0),500,1))*(IF('Gastos com Pessoal'!$G$7:$G$506&lt;=AO$3,('Gastos com Pessoal'!$H$7:$H$506)+1,1))*(IF('Gastos com Pessoal'!$M$7:$M$506&lt;=AO$3,('Gastos com Pessoal'!$N$7:$N$506)+1,1))*(IF('Gastos com Pessoal'!$S$7:$S$506&lt;=AO$3,('Gastos com Pessoal'!$T$7:$T$506)+1,1))*(IF('Gastos com Pessoal'!$Y$7:$Y$506&lt;=AO$3,('Gastos com Pessoal'!$Z$7:$Z$506)+1,1))*(IF('Gastos com Pessoal'!$AE$7:$AE$506&lt;=AO$3,('Gastos com Pessoal'!$AF$7:$AF$506)+1,1)),0)</f>
        <v>351565.58783761103</v>
      </c>
      <c r="AP25" s="188">
        <f t="array" aca="1" ref="AP25" ca="1">_xlfn.IFNA(SUM((AP$3&gt;='Gastos com Pessoal'!$E$7:$E$506)*(AP$3&lt;='Gastos com Pessoal'!$F$7:$F$506)*OFFSET('Encargos e Benefícios'!$D$5,1,MATCH($B25,'Encargos e Benefícios'!$E$5:$AB$5,0),500,1))*(IF('Gastos com Pessoal'!$G$7:$G$506&lt;=AP$3,('Gastos com Pessoal'!$H$7:$H$506)+1,1))*(IF('Gastos com Pessoal'!$M$7:$M$506&lt;=AP$3,('Gastos com Pessoal'!$N$7:$N$506)+1,1))*(IF('Gastos com Pessoal'!$S$7:$S$506&lt;=AP$3,('Gastos com Pessoal'!$T$7:$T$506)+1,1))*(IF('Gastos com Pessoal'!$Y$7:$Y$506&lt;=AP$3,('Gastos com Pessoal'!$Z$7:$Z$506)+1,1))*(IF('Gastos com Pessoal'!$AE$7:$AE$506&lt;=AP$3,('Gastos com Pessoal'!$AF$7:$AF$506)+1,1)),0)</f>
        <v>351565.58783761103</v>
      </c>
      <c r="AQ25" s="188">
        <f t="array" aca="1" ref="AQ25" ca="1">_xlfn.IFNA(SUM((AQ$3&gt;='Gastos com Pessoal'!$E$7:$E$506)*(AQ$3&lt;='Gastos com Pessoal'!$F$7:$F$506)*OFFSET('Encargos e Benefícios'!$D$5,1,MATCH($B25,'Encargos e Benefícios'!$E$5:$AB$5,0),500,1))*(IF('Gastos com Pessoal'!$G$7:$G$506&lt;=AQ$3,('Gastos com Pessoal'!$H$7:$H$506)+1,1))*(IF('Gastos com Pessoal'!$M$7:$M$506&lt;=AQ$3,('Gastos com Pessoal'!$N$7:$N$506)+1,1))*(IF('Gastos com Pessoal'!$S$7:$S$506&lt;=AQ$3,('Gastos com Pessoal'!$T$7:$T$506)+1,1))*(IF('Gastos com Pessoal'!$Y$7:$Y$506&lt;=AQ$3,('Gastos com Pessoal'!$Z$7:$Z$506)+1,1))*(IF('Gastos com Pessoal'!$AE$7:$AE$506&lt;=AQ$3,('Gastos com Pessoal'!$AF$7:$AF$506)+1,1)),0)</f>
        <v>372097.01816732751</v>
      </c>
      <c r="AR25" s="188">
        <f t="array" aca="1" ref="AR25" ca="1">_xlfn.IFNA(SUM((AR$3&gt;='Gastos com Pessoal'!$E$7:$E$506)*(AR$3&lt;='Gastos com Pessoal'!$F$7:$F$506)*OFFSET('Encargos e Benefícios'!$D$5,1,MATCH($B25,'Encargos e Benefícios'!$E$5:$AB$5,0),500,1))*(IF('Gastos com Pessoal'!$G$7:$G$506&lt;=AR$3,('Gastos com Pessoal'!$H$7:$H$506)+1,1))*(IF('Gastos com Pessoal'!$M$7:$M$506&lt;=AR$3,('Gastos com Pessoal'!$N$7:$N$506)+1,1))*(IF('Gastos com Pessoal'!$S$7:$S$506&lt;=AR$3,('Gastos com Pessoal'!$T$7:$T$506)+1,1))*(IF('Gastos com Pessoal'!$Y$7:$Y$506&lt;=AR$3,('Gastos com Pessoal'!$Z$7:$Z$506)+1,1))*(IF('Gastos com Pessoal'!$AE$7:$AE$506&lt;=AR$3,('Gastos com Pessoal'!$AF$7:$AF$506)+1,1)),0)</f>
        <v>372097.01816732751</v>
      </c>
      <c r="AS25" s="188">
        <f t="array" aca="1" ref="AS25" ca="1">_xlfn.IFNA(SUM((AS$3&gt;='Gastos com Pessoal'!$E$7:$E$506)*(AS$3&lt;='Gastos com Pessoal'!$F$7:$F$506)*OFFSET('Encargos e Benefícios'!$D$5,1,MATCH($B25,'Encargos e Benefícios'!$E$5:$AB$5,0),500,1))*(IF('Gastos com Pessoal'!$G$7:$G$506&lt;=AS$3,('Gastos com Pessoal'!$H$7:$H$506)+1,1))*(IF('Gastos com Pessoal'!$M$7:$M$506&lt;=AS$3,('Gastos com Pessoal'!$N$7:$N$506)+1,1))*(IF('Gastos com Pessoal'!$S$7:$S$506&lt;=AS$3,('Gastos com Pessoal'!$T$7:$T$506)+1,1))*(IF('Gastos com Pessoal'!$Y$7:$Y$506&lt;=AS$3,('Gastos com Pessoal'!$Z$7:$Z$506)+1,1))*(IF('Gastos com Pessoal'!$AE$7:$AE$506&lt;=AS$3,('Gastos com Pessoal'!$AF$7:$AF$506)+1,1)),0)</f>
        <v>372097.01816732751</v>
      </c>
      <c r="AT25" s="188">
        <f t="array" aca="1" ref="AT25" ca="1">_xlfn.IFNA(SUM((AT$3&gt;='Gastos com Pessoal'!$E$7:$E$506)*(AT$3&lt;='Gastos com Pessoal'!$F$7:$F$506)*OFFSET('Encargos e Benefícios'!$D$5,1,MATCH($B25,'Encargos e Benefícios'!$E$5:$AB$5,0),500,1))*(IF('Gastos com Pessoal'!$G$7:$G$506&lt;=AT$3,('Gastos com Pessoal'!$H$7:$H$506)+1,1))*(IF('Gastos com Pessoal'!$M$7:$M$506&lt;=AT$3,('Gastos com Pessoal'!$N$7:$N$506)+1,1))*(IF('Gastos com Pessoal'!$S$7:$S$506&lt;=AT$3,('Gastos com Pessoal'!$T$7:$T$506)+1,1))*(IF('Gastos com Pessoal'!$Y$7:$Y$506&lt;=AT$3,('Gastos com Pessoal'!$Z$7:$Z$506)+1,1))*(IF('Gastos com Pessoal'!$AE$7:$AE$506&lt;=AT$3,('Gastos com Pessoal'!$AF$7:$AF$506)+1,1)),0)</f>
        <v>372097.01816732751</v>
      </c>
      <c r="AU25" s="188">
        <f t="array" aca="1" ref="AU25" ca="1">_xlfn.IFNA(SUM((AU$3&gt;='Gastos com Pessoal'!$E$7:$E$506)*(AU$3&lt;='Gastos com Pessoal'!$F$7:$F$506)*OFFSET('Encargos e Benefícios'!$D$5,1,MATCH($B25,'Encargos e Benefícios'!$E$5:$AB$5,0),500,1))*(IF('Gastos com Pessoal'!$G$7:$G$506&lt;=AU$3,('Gastos com Pessoal'!$H$7:$H$506)+1,1))*(IF('Gastos com Pessoal'!$M$7:$M$506&lt;=AU$3,('Gastos com Pessoal'!$N$7:$N$506)+1,1))*(IF('Gastos com Pessoal'!$S$7:$S$506&lt;=AU$3,('Gastos com Pessoal'!$T$7:$T$506)+1,1))*(IF('Gastos com Pessoal'!$Y$7:$Y$506&lt;=AU$3,('Gastos com Pessoal'!$Z$7:$Z$506)+1,1))*(IF('Gastos com Pessoal'!$AE$7:$AE$506&lt;=AU$3,('Gastos com Pessoal'!$AF$7:$AF$506)+1,1)),0)</f>
        <v>372097.01816732751</v>
      </c>
      <c r="AV25" s="188">
        <f t="array" aca="1" ref="AV25" ca="1">_xlfn.IFNA(SUM((AV$3&gt;='Gastos com Pessoal'!$E$7:$E$506)*(AV$3&lt;='Gastos com Pessoal'!$F$7:$F$506)*OFFSET('Encargos e Benefícios'!$D$5,1,MATCH($B25,'Encargos e Benefícios'!$E$5:$AB$5,0),500,1))*(IF('Gastos com Pessoal'!$G$7:$G$506&lt;=AV$3,('Gastos com Pessoal'!$H$7:$H$506)+1,1))*(IF('Gastos com Pessoal'!$M$7:$M$506&lt;=AV$3,('Gastos com Pessoal'!$N$7:$N$506)+1,1))*(IF('Gastos com Pessoal'!$S$7:$S$506&lt;=AV$3,('Gastos com Pessoal'!$T$7:$T$506)+1,1))*(IF('Gastos com Pessoal'!$Y$7:$Y$506&lt;=AV$3,('Gastos com Pessoal'!$Z$7:$Z$506)+1,1))*(IF('Gastos com Pessoal'!$AE$7:$AE$506&lt;=AV$3,('Gastos com Pessoal'!$AF$7:$AF$506)+1,1)),0)</f>
        <v>372097.01816732751</v>
      </c>
      <c r="AW25" s="188">
        <f t="array" aca="1" ref="AW25" ca="1">_xlfn.IFNA(SUM((AW$3&gt;='Gastos com Pessoal'!$E$7:$E$506)*(AW$3&lt;='Gastos com Pessoal'!$F$7:$F$506)*OFFSET('Encargos e Benefícios'!$D$5,1,MATCH($B25,'Encargos e Benefícios'!$E$5:$AB$5,0),500,1))*(IF('Gastos com Pessoal'!$G$7:$G$506&lt;=AW$3,('Gastos com Pessoal'!$H$7:$H$506)+1,1))*(IF('Gastos com Pessoal'!$M$7:$M$506&lt;=AW$3,('Gastos com Pessoal'!$N$7:$N$506)+1,1))*(IF('Gastos com Pessoal'!$S$7:$S$506&lt;=AW$3,('Gastos com Pessoal'!$T$7:$T$506)+1,1))*(IF('Gastos com Pessoal'!$Y$7:$Y$506&lt;=AW$3,('Gastos com Pessoal'!$Z$7:$Z$506)+1,1))*(IF('Gastos com Pessoal'!$AE$7:$AE$506&lt;=AW$3,('Gastos com Pessoal'!$AF$7:$AF$506)+1,1)),0)</f>
        <v>372097.01816732751</v>
      </c>
      <c r="AX25" s="188">
        <f t="array" aca="1" ref="AX25" ca="1">_xlfn.IFNA(SUM((AX$3&gt;='Gastos com Pessoal'!$E$7:$E$506)*(AX$3&lt;='Gastos com Pessoal'!$F$7:$F$506)*OFFSET('Encargos e Benefícios'!$D$5,1,MATCH($B25,'Encargos e Benefícios'!$E$5:$AB$5,0),500,1))*(IF('Gastos com Pessoal'!$G$7:$G$506&lt;=AX$3,('Gastos com Pessoal'!$H$7:$H$506)+1,1))*(IF('Gastos com Pessoal'!$M$7:$M$506&lt;=AX$3,('Gastos com Pessoal'!$N$7:$N$506)+1,1))*(IF('Gastos com Pessoal'!$S$7:$S$506&lt;=AX$3,('Gastos com Pessoal'!$T$7:$T$506)+1,1))*(IF('Gastos com Pessoal'!$Y$7:$Y$506&lt;=AX$3,('Gastos com Pessoal'!$Z$7:$Z$506)+1,1))*(IF('Gastos com Pessoal'!$AE$7:$AE$506&lt;=AX$3,('Gastos com Pessoal'!$AF$7:$AF$506)+1,1)),0)</f>
        <v>0</v>
      </c>
      <c r="AY25" s="188">
        <f t="array" aca="1" ref="AY25" ca="1">_xlfn.IFNA(SUM((AY$3&gt;='Gastos com Pessoal'!$E$7:$E$506)*(AY$3&lt;='Gastos com Pessoal'!$F$7:$F$506)*OFFSET('Encargos e Benefícios'!$D$5,1,MATCH($B25,'Encargos e Benefícios'!$E$5:$AB$5,0),500,1))*(IF('Gastos com Pessoal'!$G$7:$G$506&lt;=AY$3,('Gastos com Pessoal'!$H$7:$H$506)+1,1))*(IF('Gastos com Pessoal'!$M$7:$M$506&lt;=AY$3,('Gastos com Pessoal'!$N$7:$N$506)+1,1))*(IF('Gastos com Pessoal'!$S$7:$S$506&lt;=AY$3,('Gastos com Pessoal'!$T$7:$T$506)+1,1))*(IF('Gastos com Pessoal'!$Y$7:$Y$506&lt;=AY$3,('Gastos com Pessoal'!$Z$7:$Z$506)+1,1))*(IF('Gastos com Pessoal'!$AE$7:$AE$506&lt;=AY$3,('Gastos com Pessoal'!$AF$7:$AF$506)+1,1)),0)</f>
        <v>0</v>
      </c>
      <c r="AZ25" s="188">
        <f t="array" aca="1" ref="AZ25" ca="1">_xlfn.IFNA(SUM((AZ$3&gt;='Gastos com Pessoal'!$E$7:$E$506)*(AZ$3&lt;='Gastos com Pessoal'!$F$7:$F$506)*OFFSET('Encargos e Benefícios'!$D$5,1,MATCH($B25,'Encargos e Benefícios'!$E$5:$AB$5,0),500,1))*(IF('Gastos com Pessoal'!$G$7:$G$506&lt;=AZ$3,('Gastos com Pessoal'!$H$7:$H$506)+1,1))*(IF('Gastos com Pessoal'!$M$7:$M$506&lt;=AZ$3,('Gastos com Pessoal'!$N$7:$N$506)+1,1))*(IF('Gastos com Pessoal'!$S$7:$S$506&lt;=AZ$3,('Gastos com Pessoal'!$T$7:$T$506)+1,1))*(IF('Gastos com Pessoal'!$Y$7:$Y$506&lt;=AZ$3,('Gastos com Pessoal'!$Z$7:$Z$506)+1,1))*(IF('Gastos com Pessoal'!$AE$7:$AE$506&lt;=AZ$3,('Gastos com Pessoal'!$AF$7:$AF$506)+1,1)),0)</f>
        <v>0</v>
      </c>
      <c r="BA25" s="188">
        <f t="array" aca="1" ref="BA25" ca="1">_xlfn.IFNA(SUM((BA$3&gt;='Gastos com Pessoal'!$E$7:$E$506)*(BA$3&lt;='Gastos com Pessoal'!$F$7:$F$506)*OFFSET('Encargos e Benefícios'!$D$5,1,MATCH($B25,'Encargos e Benefícios'!$E$5:$AB$5,0),500,1))*(IF('Gastos com Pessoal'!$G$7:$G$506&lt;=BA$3,('Gastos com Pessoal'!$H$7:$H$506)+1,1))*(IF('Gastos com Pessoal'!$M$7:$M$506&lt;=BA$3,('Gastos com Pessoal'!$N$7:$N$506)+1,1))*(IF('Gastos com Pessoal'!$S$7:$S$506&lt;=BA$3,('Gastos com Pessoal'!$T$7:$T$506)+1,1))*(IF('Gastos com Pessoal'!$Y$7:$Y$506&lt;=BA$3,('Gastos com Pessoal'!$Z$7:$Z$506)+1,1))*(IF('Gastos com Pessoal'!$AE$7:$AE$506&lt;=BA$3,('Gastos com Pessoal'!$AF$7:$AF$506)+1,1)),0)</f>
        <v>0</v>
      </c>
      <c r="BB25" s="188">
        <f t="array" aca="1" ref="BB25" ca="1">_xlfn.IFNA(SUM((BB$3&gt;='Gastos com Pessoal'!$E$7:$E$506)*(BB$3&lt;='Gastos com Pessoal'!$F$7:$F$506)*OFFSET('Encargos e Benefícios'!$D$5,1,MATCH($B25,'Encargos e Benefícios'!$E$5:$AB$5,0),500,1))*(IF('Gastos com Pessoal'!$G$7:$G$506&lt;=BB$3,('Gastos com Pessoal'!$H$7:$H$506)+1,1))*(IF('Gastos com Pessoal'!$M$7:$M$506&lt;=BB$3,('Gastos com Pessoal'!$N$7:$N$506)+1,1))*(IF('Gastos com Pessoal'!$S$7:$S$506&lt;=BB$3,('Gastos com Pessoal'!$T$7:$T$506)+1,1))*(IF('Gastos com Pessoal'!$Y$7:$Y$506&lt;=BB$3,('Gastos com Pessoal'!$Z$7:$Z$506)+1,1))*(IF('Gastos com Pessoal'!$AE$7:$AE$506&lt;=BB$3,('Gastos com Pessoal'!$AF$7:$AF$506)+1,1)),0)</f>
        <v>0</v>
      </c>
      <c r="BC25" s="188">
        <f t="array" aca="1" ref="BC25" ca="1">_xlfn.IFNA(SUM((BC$3&gt;='Gastos com Pessoal'!$E$7:$E$506)*(BC$3&lt;='Gastos com Pessoal'!$F$7:$F$506)*OFFSET('Encargos e Benefícios'!$D$5,1,MATCH($B25,'Encargos e Benefícios'!$E$5:$AB$5,0),500,1))*(IF('Gastos com Pessoal'!$G$7:$G$506&lt;=BC$3,('Gastos com Pessoal'!$H$7:$H$506)+1,1))*(IF('Gastos com Pessoal'!$M$7:$M$506&lt;=BC$3,('Gastos com Pessoal'!$N$7:$N$506)+1,1))*(IF('Gastos com Pessoal'!$S$7:$S$506&lt;=BC$3,('Gastos com Pessoal'!$T$7:$T$506)+1,1))*(IF('Gastos com Pessoal'!$Y$7:$Y$506&lt;=BC$3,('Gastos com Pessoal'!$Z$7:$Z$506)+1,1))*(IF('Gastos com Pessoal'!$AE$7:$AE$506&lt;=BC$3,('Gastos com Pessoal'!$AF$7:$AF$506)+1,1)),0)</f>
        <v>0</v>
      </c>
      <c r="BD25" s="188">
        <f t="array" aca="1" ref="BD25" ca="1">_xlfn.IFNA(SUM((BD$3&gt;='Gastos com Pessoal'!$E$7:$E$506)*(BD$3&lt;='Gastos com Pessoal'!$F$7:$F$506)*OFFSET('Encargos e Benefícios'!$D$5,1,MATCH($B25,'Encargos e Benefícios'!$E$5:$AB$5,0),500,1))*(IF('Gastos com Pessoal'!$G$7:$G$506&lt;=BD$3,('Gastos com Pessoal'!$H$7:$H$506)+1,1))*(IF('Gastos com Pessoal'!$M$7:$M$506&lt;=BD$3,('Gastos com Pessoal'!$N$7:$N$506)+1,1))*(IF('Gastos com Pessoal'!$S$7:$S$506&lt;=BD$3,('Gastos com Pessoal'!$T$7:$T$506)+1,1))*(IF('Gastos com Pessoal'!$Y$7:$Y$506&lt;=BD$3,('Gastos com Pessoal'!$Z$7:$Z$506)+1,1))*(IF('Gastos com Pessoal'!$AE$7:$AE$506&lt;=BD$3,('Gastos com Pessoal'!$AF$7:$AF$506)+1,1)),0)</f>
        <v>0</v>
      </c>
      <c r="BE25" s="188">
        <f t="array" aca="1" ref="BE25" ca="1">_xlfn.IFNA(SUM((BE$3&gt;='Gastos com Pessoal'!$E$7:$E$506)*(BE$3&lt;='Gastos com Pessoal'!$F$7:$F$506)*OFFSET('Encargos e Benefícios'!$D$5,1,MATCH($B25,'Encargos e Benefícios'!$E$5:$AB$5,0),500,1))*(IF('Gastos com Pessoal'!$G$7:$G$506&lt;=BE$3,('Gastos com Pessoal'!$H$7:$H$506)+1,1))*(IF('Gastos com Pessoal'!$M$7:$M$506&lt;=BE$3,('Gastos com Pessoal'!$N$7:$N$506)+1,1))*(IF('Gastos com Pessoal'!$S$7:$S$506&lt;=BE$3,('Gastos com Pessoal'!$T$7:$T$506)+1,1))*(IF('Gastos com Pessoal'!$Y$7:$Y$506&lt;=BE$3,('Gastos com Pessoal'!$Z$7:$Z$506)+1,1))*(IF('Gastos com Pessoal'!$AE$7:$AE$506&lt;=BE$3,('Gastos com Pessoal'!$AF$7:$AF$506)+1,1)),0)</f>
        <v>0</v>
      </c>
      <c r="BF25" s="188">
        <f t="array" aca="1" ref="BF25" ca="1">_xlfn.IFNA(SUM((BF$3&gt;='Gastos com Pessoal'!$E$7:$E$506)*(BF$3&lt;='Gastos com Pessoal'!$F$7:$F$506)*OFFSET('Encargos e Benefícios'!$D$5,1,MATCH($B25,'Encargos e Benefícios'!$E$5:$AB$5,0),500,1))*(IF('Gastos com Pessoal'!$G$7:$G$506&lt;=BF$3,('Gastos com Pessoal'!$H$7:$H$506)+1,1))*(IF('Gastos com Pessoal'!$M$7:$M$506&lt;=BF$3,('Gastos com Pessoal'!$N$7:$N$506)+1,1))*(IF('Gastos com Pessoal'!$S$7:$S$506&lt;=BF$3,('Gastos com Pessoal'!$T$7:$T$506)+1,1))*(IF('Gastos com Pessoal'!$Y$7:$Y$506&lt;=BF$3,('Gastos com Pessoal'!$Z$7:$Z$506)+1,1))*(IF('Gastos com Pessoal'!$AE$7:$AE$506&lt;=BF$3,('Gastos com Pessoal'!$AF$7:$AF$506)+1,1)),0)</f>
        <v>0</v>
      </c>
      <c r="BG25" s="188">
        <f t="array" aca="1" ref="BG25" ca="1">_xlfn.IFNA(SUM((BG$3&gt;='Gastos com Pessoal'!$E$7:$E$506)*(BG$3&lt;='Gastos com Pessoal'!$F$7:$F$506)*OFFSET('Encargos e Benefícios'!$D$5,1,MATCH($B25,'Encargos e Benefícios'!$E$5:$AB$5,0),500,1))*(IF('Gastos com Pessoal'!$G$7:$G$506&lt;=BG$3,('Gastos com Pessoal'!$H$7:$H$506)+1,1))*(IF('Gastos com Pessoal'!$M$7:$M$506&lt;=BG$3,('Gastos com Pessoal'!$N$7:$N$506)+1,1))*(IF('Gastos com Pessoal'!$S$7:$S$506&lt;=BG$3,('Gastos com Pessoal'!$T$7:$T$506)+1,1))*(IF('Gastos com Pessoal'!$Y$7:$Y$506&lt;=BG$3,('Gastos com Pessoal'!$Z$7:$Z$506)+1,1))*(IF('Gastos com Pessoal'!$AE$7:$AE$506&lt;=BG$3,('Gastos com Pessoal'!$AF$7:$AF$506)+1,1)),0)</f>
        <v>0</v>
      </c>
      <c r="BH25" s="188">
        <f t="array" aca="1" ref="BH25" ca="1">_xlfn.IFNA(SUM((BH$3&gt;='Gastos com Pessoal'!$E$7:$E$506)*(BH$3&lt;='Gastos com Pessoal'!$F$7:$F$506)*OFFSET('Encargos e Benefícios'!$D$5,1,MATCH($B25,'Encargos e Benefícios'!$E$5:$AB$5,0),500,1))*(IF('Gastos com Pessoal'!$G$7:$G$506&lt;=BH$3,('Gastos com Pessoal'!$H$7:$H$506)+1,1))*(IF('Gastos com Pessoal'!$M$7:$M$506&lt;=BH$3,('Gastos com Pessoal'!$N$7:$N$506)+1,1))*(IF('Gastos com Pessoal'!$S$7:$S$506&lt;=BH$3,('Gastos com Pessoal'!$T$7:$T$506)+1,1))*(IF('Gastos com Pessoal'!$Y$7:$Y$506&lt;=BH$3,('Gastos com Pessoal'!$Z$7:$Z$506)+1,1))*(IF('Gastos com Pessoal'!$AE$7:$AE$506&lt;=BH$3,('Gastos com Pessoal'!$AF$7:$AF$506)+1,1)),0)</f>
        <v>0</v>
      </c>
      <c r="BI25" s="188">
        <f t="array" aca="1" ref="BI25" ca="1">_xlfn.IFNA(SUM((BI$3&gt;='Gastos com Pessoal'!$E$7:$E$506)*(BI$3&lt;='Gastos com Pessoal'!$F$7:$F$506)*OFFSET('Encargos e Benefícios'!$D$5,1,MATCH($B25,'Encargos e Benefícios'!$E$5:$AB$5,0),500,1))*(IF('Gastos com Pessoal'!$G$7:$G$506&lt;=BI$3,('Gastos com Pessoal'!$H$7:$H$506)+1,1))*(IF('Gastos com Pessoal'!$M$7:$M$506&lt;=BI$3,('Gastos com Pessoal'!$N$7:$N$506)+1,1))*(IF('Gastos com Pessoal'!$S$7:$S$506&lt;=BI$3,('Gastos com Pessoal'!$T$7:$T$506)+1,1))*(IF('Gastos com Pessoal'!$Y$7:$Y$506&lt;=BI$3,('Gastos com Pessoal'!$Z$7:$Z$506)+1,1))*(IF('Gastos com Pessoal'!$AE$7:$AE$506&lt;=BI$3,('Gastos com Pessoal'!$AF$7:$AF$506)+1,1)),0)</f>
        <v>0</v>
      </c>
      <c r="BJ25" s="188">
        <f t="array" aca="1" ref="BJ25" ca="1">_xlfn.IFNA(SUM((BJ$3&gt;='Gastos com Pessoal'!$E$7:$E$506)*(BJ$3&lt;='Gastos com Pessoal'!$F$7:$F$506)*OFFSET('Encargos e Benefícios'!$D$5,1,MATCH($B25,'Encargos e Benefícios'!$E$5:$AB$5,0),500,1))*(IF('Gastos com Pessoal'!$G$7:$G$506&lt;=BJ$3,('Gastos com Pessoal'!$H$7:$H$506)+1,1))*(IF('Gastos com Pessoal'!$M$7:$M$506&lt;=BJ$3,('Gastos com Pessoal'!$N$7:$N$506)+1,1))*(IF('Gastos com Pessoal'!$S$7:$S$506&lt;=BJ$3,('Gastos com Pessoal'!$T$7:$T$506)+1,1))*(IF('Gastos com Pessoal'!$Y$7:$Y$506&lt;=BJ$3,('Gastos com Pessoal'!$Z$7:$Z$506)+1,1))*(IF('Gastos com Pessoal'!$AE$7:$AE$506&lt;=BJ$3,('Gastos com Pessoal'!$AF$7:$AF$506)+1,1)),0)</f>
        <v>0</v>
      </c>
      <c r="BK25" s="189">
        <f t="shared" ca="1" si="8"/>
        <v>15368882.171304852</v>
      </c>
      <c r="BL25" s="136">
        <f t="shared" ca="1" si="9"/>
        <v>5.2915032258440416E-2</v>
      </c>
    </row>
    <row r="26" spans="1:64" s="160" customFormat="1" ht="23.25" customHeight="1">
      <c r="A26" s="198" t="s">
        <v>143</v>
      </c>
      <c r="B26" s="209" t="s">
        <v>144</v>
      </c>
      <c r="C26" s="188">
        <f t="array" aca="1" ref="C26" ca="1">_xlfn.IFNA(SUM((C$3&gt;='Gastos com Pessoal'!$E$7:$E$506)*(C$3&lt;='Gastos com Pessoal'!$F$7:$F$506)*OFFSET('Encargos e Benefícios'!$D$5,1,MATCH($B26,'Encargos e Benefícios'!$E$5:$AB$5,0),500,1))*(IF('Gastos com Pessoal'!$G$7:$G$506&lt;=C$3,('Gastos com Pessoal'!$H$7:$H$506)+1,1))*(IF('Gastos com Pessoal'!$M$7:$M$506&lt;=C$3,('Gastos com Pessoal'!$N$7:$N$506)+1,1))*(IF('Gastos com Pessoal'!$S$7:$S$506&lt;=C$3,('Gastos com Pessoal'!$T$7:$T$506)+1,1))*(IF('Gastos com Pessoal'!$Y$7:$Y$506&lt;=C$3,('Gastos com Pessoal'!$Z$7:$Z$506)+1,1))*(IF('Gastos com Pessoal'!$AE$7:$AE$506&lt;=C$3,('Gastos com Pessoal'!$AF$7:$AF$506)+1,1)),0)</f>
        <v>17801.127999999986</v>
      </c>
      <c r="D26" s="188">
        <f t="array" aca="1" ref="D26" ca="1">_xlfn.IFNA(SUM((D$3&gt;='Gastos com Pessoal'!$E$7:$E$506)*(D$3&lt;='Gastos com Pessoal'!$F$7:$F$506)*OFFSET('Encargos e Benefícios'!$D$5,1,MATCH($B26,'Encargos e Benefícios'!$E$5:$AB$5,0),500,1))*(IF('Gastos com Pessoal'!$G$7:$G$506&lt;=D$3,('Gastos com Pessoal'!$H$7:$H$506)+1,1))*(IF('Gastos com Pessoal'!$M$7:$M$506&lt;=D$3,('Gastos com Pessoal'!$N$7:$N$506)+1,1))*(IF('Gastos com Pessoal'!$S$7:$S$506&lt;=D$3,('Gastos com Pessoal'!$T$7:$T$506)+1,1))*(IF('Gastos com Pessoal'!$Y$7:$Y$506&lt;=D$3,('Gastos com Pessoal'!$Z$7:$Z$506)+1,1))*(IF('Gastos com Pessoal'!$AE$7:$AE$506&lt;=D$3,('Gastos com Pessoal'!$AF$7:$AF$506)+1,1)),0)</f>
        <v>17801.127999999986</v>
      </c>
      <c r="E26" s="188">
        <f t="array" aca="1" ref="E26" ca="1">_xlfn.IFNA(SUM((E$3&gt;='Gastos com Pessoal'!$E$7:$E$506)*(E$3&lt;='Gastos com Pessoal'!$F$7:$F$506)*OFFSET('Encargos e Benefícios'!$D$5,1,MATCH($B26,'Encargos e Benefícios'!$E$5:$AB$5,0),500,1))*(IF('Gastos com Pessoal'!$G$7:$G$506&lt;=E$3,('Gastos com Pessoal'!$H$7:$H$506)+1,1))*(IF('Gastos com Pessoal'!$M$7:$M$506&lt;=E$3,('Gastos com Pessoal'!$N$7:$N$506)+1,1))*(IF('Gastos com Pessoal'!$S$7:$S$506&lt;=E$3,('Gastos com Pessoal'!$T$7:$T$506)+1,1))*(IF('Gastos com Pessoal'!$Y$7:$Y$506&lt;=E$3,('Gastos com Pessoal'!$Z$7:$Z$506)+1,1))*(IF('Gastos com Pessoal'!$AE$7:$AE$506&lt;=E$3,('Gastos com Pessoal'!$AF$7:$AF$506)+1,1)),0)</f>
        <v>18605.511999999984</v>
      </c>
      <c r="F26" s="188">
        <f t="array" aca="1" ref="F26" ca="1">_xlfn.IFNA(SUM((F$3&gt;='Gastos com Pessoal'!$E$7:$E$506)*(F$3&lt;='Gastos com Pessoal'!$F$7:$F$506)*OFFSET('Encargos e Benefícios'!$D$5,1,MATCH($B26,'Encargos e Benefícios'!$E$5:$AB$5,0),500,1))*(IF('Gastos com Pessoal'!$G$7:$G$506&lt;=F$3,('Gastos com Pessoal'!$H$7:$H$506)+1,1))*(IF('Gastos com Pessoal'!$M$7:$M$506&lt;=F$3,('Gastos com Pessoal'!$N$7:$N$506)+1,1))*(IF('Gastos com Pessoal'!$S$7:$S$506&lt;=F$3,('Gastos com Pessoal'!$T$7:$T$506)+1,1))*(IF('Gastos com Pessoal'!$Y$7:$Y$506&lt;=F$3,('Gastos com Pessoal'!$Z$7:$Z$506)+1,1))*(IF('Gastos com Pessoal'!$AE$7:$AE$506&lt;=F$3,('Gastos com Pessoal'!$AF$7:$AF$506)+1,1)),0)</f>
        <v>18605.511999999984</v>
      </c>
      <c r="G26" s="188">
        <f t="array" aca="1" ref="G26" ca="1">_xlfn.IFNA(SUM((G$3&gt;='Gastos com Pessoal'!$E$7:$E$506)*(G$3&lt;='Gastos com Pessoal'!$F$7:$F$506)*OFFSET('Encargos e Benefícios'!$D$5,1,MATCH($B26,'Encargos e Benefícios'!$E$5:$AB$5,0),500,1))*(IF('Gastos com Pessoal'!$G$7:$G$506&lt;=G$3,('Gastos com Pessoal'!$H$7:$H$506)+1,1))*(IF('Gastos com Pessoal'!$M$7:$M$506&lt;=G$3,('Gastos com Pessoal'!$N$7:$N$506)+1,1))*(IF('Gastos com Pessoal'!$S$7:$S$506&lt;=G$3,('Gastos com Pessoal'!$T$7:$T$506)+1,1))*(IF('Gastos com Pessoal'!$Y$7:$Y$506&lt;=G$3,('Gastos com Pessoal'!$Z$7:$Z$506)+1,1))*(IF('Gastos com Pessoal'!$AE$7:$AE$506&lt;=G$3,('Gastos com Pessoal'!$AF$7:$AF$506)+1,1)),0)</f>
        <v>19692.073900799984</v>
      </c>
      <c r="H26" s="188">
        <f t="array" aca="1" ref="H26" ca="1">_xlfn.IFNA(SUM((H$3&gt;='Gastos com Pessoal'!$E$7:$E$506)*(H$3&lt;='Gastos com Pessoal'!$F$7:$F$506)*OFFSET('Encargos e Benefícios'!$D$5,1,MATCH($B26,'Encargos e Benefícios'!$E$5:$AB$5,0),500,1))*(IF('Gastos com Pessoal'!$G$7:$G$506&lt;=H$3,('Gastos com Pessoal'!$H$7:$H$506)+1,1))*(IF('Gastos com Pessoal'!$M$7:$M$506&lt;=H$3,('Gastos com Pessoal'!$N$7:$N$506)+1,1))*(IF('Gastos com Pessoal'!$S$7:$S$506&lt;=H$3,('Gastos com Pessoal'!$T$7:$T$506)+1,1))*(IF('Gastos com Pessoal'!$Y$7:$Y$506&lt;=H$3,('Gastos com Pessoal'!$Z$7:$Z$506)+1,1))*(IF('Gastos com Pessoal'!$AE$7:$AE$506&lt;=H$3,('Gastos com Pessoal'!$AF$7:$AF$506)+1,1)),0)</f>
        <v>20543.433926399983</v>
      </c>
      <c r="I26" s="188">
        <f t="array" aca="1" ref="I26" ca="1">_xlfn.IFNA(SUM((I$3&gt;='Gastos com Pessoal'!$E$7:$E$506)*(I$3&lt;='Gastos com Pessoal'!$F$7:$F$506)*OFFSET('Encargos e Benefícios'!$D$5,1,MATCH($B26,'Encargos e Benefícios'!$E$5:$AB$5,0),500,1))*(IF('Gastos com Pessoal'!$G$7:$G$506&lt;=I$3,('Gastos com Pessoal'!$H$7:$H$506)+1,1))*(IF('Gastos com Pessoal'!$M$7:$M$506&lt;=I$3,('Gastos com Pessoal'!$N$7:$N$506)+1,1))*(IF('Gastos com Pessoal'!$S$7:$S$506&lt;=I$3,('Gastos com Pessoal'!$T$7:$T$506)+1,1))*(IF('Gastos com Pessoal'!$Y$7:$Y$506&lt;=I$3,('Gastos com Pessoal'!$Z$7:$Z$506)+1,1))*(IF('Gastos com Pessoal'!$AE$7:$AE$506&lt;=I$3,('Gastos com Pessoal'!$AF$7:$AF$506)+1,1)),0)</f>
        <v>20543.433926399983</v>
      </c>
      <c r="J26" s="188">
        <f t="array" aca="1" ref="J26" ca="1">_xlfn.IFNA(SUM((J$3&gt;='Gastos com Pessoal'!$E$7:$E$506)*(J$3&lt;='Gastos com Pessoal'!$F$7:$F$506)*OFFSET('Encargos e Benefícios'!$D$5,1,MATCH($B26,'Encargos e Benefícios'!$E$5:$AB$5,0),500,1))*(IF('Gastos com Pessoal'!$G$7:$G$506&lt;=J$3,('Gastos com Pessoal'!$H$7:$H$506)+1,1))*(IF('Gastos com Pessoal'!$M$7:$M$506&lt;=J$3,('Gastos com Pessoal'!$N$7:$N$506)+1,1))*(IF('Gastos com Pessoal'!$S$7:$S$506&lt;=J$3,('Gastos com Pessoal'!$T$7:$T$506)+1,1))*(IF('Gastos com Pessoal'!$Y$7:$Y$506&lt;=J$3,('Gastos com Pessoal'!$Z$7:$Z$506)+1,1))*(IF('Gastos com Pessoal'!$AE$7:$AE$506&lt;=J$3,('Gastos com Pessoal'!$AF$7:$AF$506)+1,1)),0)</f>
        <v>20543.433926399983</v>
      </c>
      <c r="K26" s="188">
        <f t="array" aca="1" ref="K26" ca="1">_xlfn.IFNA(SUM((K$3&gt;='Gastos com Pessoal'!$E$7:$E$506)*(K$3&lt;='Gastos com Pessoal'!$F$7:$F$506)*OFFSET('Encargos e Benefícios'!$D$5,1,MATCH($B26,'Encargos e Benefícios'!$E$5:$AB$5,0),500,1))*(IF('Gastos com Pessoal'!$G$7:$G$506&lt;=K$3,('Gastos com Pessoal'!$H$7:$H$506)+1,1))*(IF('Gastos com Pessoal'!$M$7:$M$506&lt;=K$3,('Gastos com Pessoal'!$N$7:$N$506)+1,1))*(IF('Gastos com Pessoal'!$S$7:$S$506&lt;=K$3,('Gastos com Pessoal'!$T$7:$T$506)+1,1))*(IF('Gastos com Pessoal'!$Y$7:$Y$506&lt;=K$3,('Gastos com Pessoal'!$Z$7:$Z$506)+1,1))*(IF('Gastos com Pessoal'!$AE$7:$AE$506&lt;=K$3,('Gastos com Pessoal'!$AF$7:$AF$506)+1,1)),0)</f>
        <v>21444.513350399982</v>
      </c>
      <c r="L26" s="188">
        <f t="array" aca="1" ref="L26" ca="1">_xlfn.IFNA(SUM((L$3&gt;='Gastos com Pessoal'!$E$7:$E$506)*(L$3&lt;='Gastos com Pessoal'!$F$7:$F$506)*OFFSET('Encargos e Benefícios'!$D$5,1,MATCH($B26,'Encargos e Benefícios'!$E$5:$AB$5,0),500,1))*(IF('Gastos com Pessoal'!$G$7:$G$506&lt;=L$3,('Gastos com Pessoal'!$H$7:$H$506)+1,1))*(IF('Gastos com Pessoal'!$M$7:$M$506&lt;=L$3,('Gastos com Pessoal'!$N$7:$N$506)+1,1))*(IF('Gastos com Pessoal'!$S$7:$S$506&lt;=L$3,('Gastos com Pessoal'!$T$7:$T$506)+1,1))*(IF('Gastos com Pessoal'!$Y$7:$Y$506&lt;=L$3,('Gastos com Pessoal'!$Z$7:$Z$506)+1,1))*(IF('Gastos com Pessoal'!$AE$7:$AE$506&lt;=L$3,('Gastos com Pessoal'!$AF$7:$AF$506)+1,1)),0)</f>
        <v>21444.513350399982</v>
      </c>
      <c r="M26" s="188">
        <f t="array" aca="1" ref="M26" ca="1">_xlfn.IFNA(SUM((M$3&gt;='Gastos com Pessoal'!$E$7:$E$506)*(M$3&lt;='Gastos com Pessoal'!$F$7:$F$506)*OFFSET('Encargos e Benefícios'!$D$5,1,MATCH($B26,'Encargos e Benefícios'!$E$5:$AB$5,0),500,1))*(IF('Gastos com Pessoal'!$G$7:$G$506&lt;=M$3,('Gastos com Pessoal'!$H$7:$H$506)+1,1))*(IF('Gastos com Pessoal'!$M$7:$M$506&lt;=M$3,('Gastos com Pessoal'!$N$7:$N$506)+1,1))*(IF('Gastos com Pessoal'!$S$7:$S$506&lt;=M$3,('Gastos com Pessoal'!$T$7:$T$506)+1,1))*(IF('Gastos com Pessoal'!$Y$7:$Y$506&lt;=M$3,('Gastos com Pessoal'!$Z$7:$Z$506)+1,1))*(IF('Gastos com Pessoal'!$AE$7:$AE$506&lt;=M$3,('Gastos com Pessoal'!$AF$7:$AF$506)+1,1)),0)</f>
        <v>21444.513350399982</v>
      </c>
      <c r="N26" s="188">
        <f t="array" aca="1" ref="N26" ca="1">_xlfn.IFNA(SUM((N$3&gt;='Gastos com Pessoal'!$E$7:$E$506)*(N$3&lt;='Gastos com Pessoal'!$F$7:$F$506)*OFFSET('Encargos e Benefícios'!$D$5,1,MATCH($B26,'Encargos e Benefícios'!$E$5:$AB$5,0),500,1))*(IF('Gastos com Pessoal'!$G$7:$G$506&lt;=N$3,('Gastos com Pessoal'!$H$7:$H$506)+1,1))*(IF('Gastos com Pessoal'!$M$7:$M$506&lt;=N$3,('Gastos com Pessoal'!$N$7:$N$506)+1,1))*(IF('Gastos com Pessoal'!$S$7:$S$506&lt;=N$3,('Gastos com Pessoal'!$T$7:$T$506)+1,1))*(IF('Gastos com Pessoal'!$Y$7:$Y$506&lt;=N$3,('Gastos com Pessoal'!$Z$7:$Z$506)+1,1))*(IF('Gastos com Pessoal'!$AE$7:$AE$506&lt;=N$3,('Gastos com Pessoal'!$AF$7:$AF$506)+1,1)),0)</f>
        <v>22345.592774399982</v>
      </c>
      <c r="O26" s="188">
        <f t="array" aca="1" ref="O26" ca="1">_xlfn.IFNA(SUM((O$3&gt;='Gastos com Pessoal'!$E$7:$E$506)*(O$3&lt;='Gastos com Pessoal'!$F$7:$F$506)*OFFSET('Encargos e Benefícios'!$D$5,1,MATCH($B26,'Encargos e Benefícios'!$E$5:$AB$5,0),500,1))*(IF('Gastos com Pessoal'!$G$7:$G$506&lt;=O$3,('Gastos com Pessoal'!$H$7:$H$506)+1,1))*(IF('Gastos com Pessoal'!$M$7:$M$506&lt;=O$3,('Gastos com Pessoal'!$N$7:$N$506)+1,1))*(IF('Gastos com Pessoal'!$S$7:$S$506&lt;=O$3,('Gastos com Pessoal'!$T$7:$T$506)+1,1))*(IF('Gastos com Pessoal'!$Y$7:$Y$506&lt;=O$3,('Gastos com Pessoal'!$Z$7:$Z$506)+1,1))*(IF('Gastos com Pessoal'!$AE$7:$AE$506&lt;=O$3,('Gastos com Pessoal'!$AF$7:$AF$506)+1,1)),0)</f>
        <v>22345.592774399982</v>
      </c>
      <c r="P26" s="188">
        <f t="array" aca="1" ref="P26" ca="1">_xlfn.IFNA(SUM((P$3&gt;='Gastos com Pessoal'!$E$7:$E$506)*(P$3&lt;='Gastos com Pessoal'!$F$7:$F$506)*OFFSET('Encargos e Benefícios'!$D$5,1,MATCH($B26,'Encargos e Benefícios'!$E$5:$AB$5,0),500,1))*(IF('Gastos com Pessoal'!$G$7:$G$506&lt;=P$3,('Gastos com Pessoal'!$H$7:$H$506)+1,1))*(IF('Gastos com Pessoal'!$M$7:$M$506&lt;=P$3,('Gastos com Pessoal'!$N$7:$N$506)+1,1))*(IF('Gastos com Pessoal'!$S$7:$S$506&lt;=P$3,('Gastos com Pessoal'!$T$7:$T$506)+1,1))*(IF('Gastos com Pessoal'!$Y$7:$Y$506&lt;=P$3,('Gastos com Pessoal'!$Z$7:$Z$506)+1,1))*(IF('Gastos com Pessoal'!$AE$7:$AE$506&lt;=P$3,('Gastos com Pessoal'!$AF$7:$AF$506)+1,1)),0)</f>
        <v>22345.592774399982</v>
      </c>
      <c r="Q26" s="188">
        <f t="array" aca="1" ref="Q26" ca="1">_xlfn.IFNA(SUM((Q$3&gt;='Gastos com Pessoal'!$E$7:$E$506)*(Q$3&lt;='Gastos com Pessoal'!$F$7:$F$506)*OFFSET('Encargos e Benefícios'!$D$5,1,MATCH($B26,'Encargos e Benefícios'!$E$5:$AB$5,0),500,1))*(IF('Gastos com Pessoal'!$G$7:$G$506&lt;=Q$3,('Gastos com Pessoal'!$H$7:$H$506)+1,1))*(IF('Gastos com Pessoal'!$M$7:$M$506&lt;=Q$3,('Gastos com Pessoal'!$N$7:$N$506)+1,1))*(IF('Gastos com Pessoal'!$S$7:$S$506&lt;=Q$3,('Gastos com Pessoal'!$T$7:$T$506)+1,1))*(IF('Gastos com Pessoal'!$Y$7:$Y$506&lt;=Q$3,('Gastos com Pessoal'!$Z$7:$Z$506)+1,1))*(IF('Gastos com Pessoal'!$AE$7:$AE$506&lt;=Q$3,('Gastos com Pessoal'!$AF$7:$AF$506)+1,1)),0)</f>
        <v>22345.592774399982</v>
      </c>
      <c r="R26" s="188">
        <f t="array" aca="1" ref="R26" ca="1">_xlfn.IFNA(SUM((R$3&gt;='Gastos com Pessoal'!$E$7:$E$506)*(R$3&lt;='Gastos com Pessoal'!$F$7:$F$506)*OFFSET('Encargos e Benefícios'!$D$5,1,MATCH($B26,'Encargos e Benefícios'!$E$5:$AB$5,0),500,1))*(IF('Gastos com Pessoal'!$G$7:$G$506&lt;=R$3,('Gastos com Pessoal'!$H$7:$H$506)+1,1))*(IF('Gastos com Pessoal'!$M$7:$M$506&lt;=R$3,('Gastos com Pessoal'!$N$7:$N$506)+1,1))*(IF('Gastos com Pessoal'!$S$7:$S$506&lt;=R$3,('Gastos com Pessoal'!$T$7:$T$506)+1,1))*(IF('Gastos com Pessoal'!$Y$7:$Y$506&lt;=R$3,('Gastos com Pessoal'!$Z$7:$Z$506)+1,1))*(IF('Gastos com Pessoal'!$AE$7:$AE$506&lt;=R$3,('Gastos com Pessoal'!$AF$7:$AF$506)+1,1)),0)</f>
        <v>22345.592774399982</v>
      </c>
      <c r="S26" s="188">
        <f t="array" aca="1" ref="S26" ca="1">_xlfn.IFNA(SUM((S$3&gt;='Gastos com Pessoal'!$E$7:$E$506)*(S$3&lt;='Gastos com Pessoal'!$F$7:$F$506)*OFFSET('Encargos e Benefícios'!$D$5,1,MATCH($B26,'Encargos e Benefícios'!$E$5:$AB$5,0),500,1))*(IF('Gastos com Pessoal'!$G$7:$G$506&lt;=S$3,('Gastos com Pessoal'!$H$7:$H$506)+1,1))*(IF('Gastos com Pessoal'!$M$7:$M$506&lt;=S$3,('Gastos com Pessoal'!$N$7:$N$506)+1,1))*(IF('Gastos com Pessoal'!$S$7:$S$506&lt;=S$3,('Gastos com Pessoal'!$T$7:$T$506)+1,1))*(IF('Gastos com Pessoal'!$Y$7:$Y$506&lt;=S$3,('Gastos com Pessoal'!$Z$7:$Z$506)+1,1))*(IF('Gastos com Pessoal'!$AE$7:$AE$506&lt;=S$3,('Gastos com Pessoal'!$AF$7:$AF$506)+1,1)),0)</f>
        <v>23650.57539242494</v>
      </c>
      <c r="T26" s="188">
        <f t="array" aca="1" ref="T26" ca="1">_xlfn.IFNA(SUM((T$3&gt;='Gastos com Pessoal'!$E$7:$E$506)*(T$3&lt;='Gastos com Pessoal'!$F$7:$F$506)*OFFSET('Encargos e Benefícios'!$D$5,1,MATCH($B26,'Encargos e Benefícios'!$E$5:$AB$5,0),500,1))*(IF('Gastos com Pessoal'!$G$7:$G$506&lt;=T$3,('Gastos com Pessoal'!$H$7:$H$506)+1,1))*(IF('Gastos com Pessoal'!$M$7:$M$506&lt;=T$3,('Gastos com Pessoal'!$N$7:$N$506)+1,1))*(IF('Gastos com Pessoal'!$S$7:$S$506&lt;=T$3,('Gastos com Pessoal'!$T$7:$T$506)+1,1))*(IF('Gastos com Pessoal'!$Y$7:$Y$506&lt;=T$3,('Gastos com Pessoal'!$Z$7:$Z$506)+1,1))*(IF('Gastos com Pessoal'!$AE$7:$AE$506&lt;=T$3,('Gastos com Pessoal'!$AF$7:$AF$506)+1,1)),0)</f>
        <v>23650.57539242494</v>
      </c>
      <c r="U26" s="188">
        <f t="array" aca="1" ref="U26" ca="1">_xlfn.IFNA(SUM((U$3&gt;='Gastos com Pessoal'!$E$7:$E$506)*(U$3&lt;='Gastos com Pessoal'!$F$7:$F$506)*OFFSET('Encargos e Benefícios'!$D$5,1,MATCH($B26,'Encargos e Benefícios'!$E$5:$AB$5,0),500,1))*(IF('Gastos com Pessoal'!$G$7:$G$506&lt;=U$3,('Gastos com Pessoal'!$H$7:$H$506)+1,1))*(IF('Gastos com Pessoal'!$M$7:$M$506&lt;=U$3,('Gastos com Pessoal'!$N$7:$N$506)+1,1))*(IF('Gastos com Pessoal'!$S$7:$S$506&lt;=U$3,('Gastos com Pessoal'!$T$7:$T$506)+1,1))*(IF('Gastos com Pessoal'!$Y$7:$Y$506&lt;=U$3,('Gastos com Pessoal'!$Z$7:$Z$506)+1,1))*(IF('Gastos com Pessoal'!$AE$7:$AE$506&lt;=U$3,('Gastos com Pessoal'!$AF$7:$AF$506)+1,1)),0)</f>
        <v>23650.57539242494</v>
      </c>
      <c r="V26" s="188">
        <f t="array" aca="1" ref="V26" ca="1">_xlfn.IFNA(SUM((V$3&gt;='Gastos com Pessoal'!$E$7:$E$506)*(V$3&lt;='Gastos com Pessoal'!$F$7:$F$506)*OFFSET('Encargos e Benefícios'!$D$5,1,MATCH($B26,'Encargos e Benefícios'!$E$5:$AB$5,0),500,1))*(IF('Gastos com Pessoal'!$G$7:$G$506&lt;=V$3,('Gastos com Pessoal'!$H$7:$H$506)+1,1))*(IF('Gastos com Pessoal'!$M$7:$M$506&lt;=V$3,('Gastos com Pessoal'!$N$7:$N$506)+1,1))*(IF('Gastos com Pessoal'!$S$7:$S$506&lt;=V$3,('Gastos com Pessoal'!$T$7:$T$506)+1,1))*(IF('Gastos com Pessoal'!$Y$7:$Y$506&lt;=V$3,('Gastos com Pessoal'!$Z$7:$Z$506)+1,1))*(IF('Gastos com Pessoal'!$AE$7:$AE$506&lt;=V$3,('Gastos com Pessoal'!$AF$7:$AF$506)+1,1)),0)</f>
        <v>23650.57539242494</v>
      </c>
      <c r="W26" s="188">
        <f t="array" aca="1" ref="W26" ca="1">_xlfn.IFNA(SUM((W$3&gt;='Gastos com Pessoal'!$E$7:$E$506)*(W$3&lt;='Gastos com Pessoal'!$F$7:$F$506)*OFFSET('Encargos e Benefícios'!$D$5,1,MATCH($B26,'Encargos e Benefícios'!$E$5:$AB$5,0),500,1))*(IF('Gastos com Pessoal'!$G$7:$G$506&lt;=W$3,('Gastos com Pessoal'!$H$7:$H$506)+1,1))*(IF('Gastos com Pessoal'!$M$7:$M$506&lt;=W$3,('Gastos com Pessoal'!$N$7:$N$506)+1,1))*(IF('Gastos com Pessoal'!$S$7:$S$506&lt;=W$3,('Gastos com Pessoal'!$T$7:$T$506)+1,1))*(IF('Gastos com Pessoal'!$Y$7:$Y$506&lt;=W$3,('Gastos com Pessoal'!$Z$7:$Z$506)+1,1))*(IF('Gastos com Pessoal'!$AE$7:$AE$506&lt;=W$3,('Gastos com Pessoal'!$AF$7:$AF$506)+1,1)),0)</f>
        <v>23650.57539242494</v>
      </c>
      <c r="X26" s="188">
        <f t="array" aca="1" ref="X26" ca="1">_xlfn.IFNA(SUM((X$3&gt;='Gastos com Pessoal'!$E$7:$E$506)*(X$3&lt;='Gastos com Pessoal'!$F$7:$F$506)*OFFSET('Encargos e Benefícios'!$D$5,1,MATCH($B26,'Encargos e Benefícios'!$E$5:$AB$5,0),500,1))*(IF('Gastos com Pessoal'!$G$7:$G$506&lt;=X$3,('Gastos com Pessoal'!$H$7:$H$506)+1,1))*(IF('Gastos com Pessoal'!$M$7:$M$506&lt;=X$3,('Gastos com Pessoal'!$N$7:$N$506)+1,1))*(IF('Gastos com Pessoal'!$S$7:$S$506&lt;=X$3,('Gastos com Pessoal'!$T$7:$T$506)+1,1))*(IF('Gastos com Pessoal'!$Y$7:$Y$506&lt;=X$3,('Gastos com Pessoal'!$Z$7:$Z$506)+1,1))*(IF('Gastos com Pessoal'!$AE$7:$AE$506&lt;=X$3,('Gastos com Pessoal'!$AF$7:$AF$506)+1,1)),0)</f>
        <v>23650.57539242494</v>
      </c>
      <c r="Y26" s="188">
        <f t="array" aca="1" ref="Y26" ca="1">_xlfn.IFNA(SUM((Y$3&gt;='Gastos com Pessoal'!$E$7:$E$506)*(Y$3&lt;='Gastos com Pessoal'!$F$7:$F$506)*OFFSET('Encargos e Benefícios'!$D$5,1,MATCH($B26,'Encargos e Benefícios'!$E$5:$AB$5,0),500,1))*(IF('Gastos com Pessoal'!$G$7:$G$506&lt;=Y$3,('Gastos com Pessoal'!$H$7:$H$506)+1,1))*(IF('Gastos com Pessoal'!$M$7:$M$506&lt;=Y$3,('Gastos com Pessoal'!$N$7:$N$506)+1,1))*(IF('Gastos com Pessoal'!$S$7:$S$506&lt;=Y$3,('Gastos com Pessoal'!$T$7:$T$506)+1,1))*(IF('Gastos com Pessoal'!$Y$7:$Y$506&lt;=Y$3,('Gastos com Pessoal'!$Z$7:$Z$506)+1,1))*(IF('Gastos com Pessoal'!$AE$7:$AE$506&lt;=Y$3,('Gastos com Pessoal'!$AF$7:$AF$506)+1,1)),0)</f>
        <v>23650.57539242494</v>
      </c>
      <c r="Z26" s="188">
        <f t="array" aca="1" ref="Z26" ca="1">_xlfn.IFNA(SUM((Z$3&gt;='Gastos com Pessoal'!$E$7:$E$506)*(Z$3&lt;='Gastos com Pessoal'!$F$7:$F$506)*OFFSET('Encargos e Benefícios'!$D$5,1,MATCH($B26,'Encargos e Benefícios'!$E$5:$AB$5,0),500,1))*(IF('Gastos com Pessoal'!$G$7:$G$506&lt;=Z$3,('Gastos com Pessoal'!$H$7:$H$506)+1,1))*(IF('Gastos com Pessoal'!$M$7:$M$506&lt;=Z$3,('Gastos com Pessoal'!$N$7:$N$506)+1,1))*(IF('Gastos com Pessoal'!$S$7:$S$506&lt;=Z$3,('Gastos com Pessoal'!$T$7:$T$506)+1,1))*(IF('Gastos com Pessoal'!$Y$7:$Y$506&lt;=Z$3,('Gastos com Pessoal'!$Z$7:$Z$506)+1,1))*(IF('Gastos com Pessoal'!$AE$7:$AE$506&lt;=Z$3,('Gastos com Pessoal'!$AF$7:$AF$506)+1,1)),0)</f>
        <v>23650.57539242494</v>
      </c>
      <c r="AA26" s="188">
        <f t="array" aca="1" ref="AA26" ca="1">_xlfn.IFNA(SUM((AA$3&gt;='Gastos com Pessoal'!$E$7:$E$506)*(AA$3&lt;='Gastos com Pessoal'!$F$7:$F$506)*OFFSET('Encargos e Benefícios'!$D$5,1,MATCH($B26,'Encargos e Benefícios'!$E$5:$AB$5,0),500,1))*(IF('Gastos com Pessoal'!$G$7:$G$506&lt;=AA$3,('Gastos com Pessoal'!$H$7:$H$506)+1,1))*(IF('Gastos com Pessoal'!$M$7:$M$506&lt;=AA$3,('Gastos com Pessoal'!$N$7:$N$506)+1,1))*(IF('Gastos com Pessoal'!$S$7:$S$506&lt;=AA$3,('Gastos com Pessoal'!$T$7:$T$506)+1,1))*(IF('Gastos com Pessoal'!$Y$7:$Y$506&lt;=AA$3,('Gastos com Pessoal'!$Z$7:$Z$506)+1,1))*(IF('Gastos com Pessoal'!$AE$7:$AE$506&lt;=AA$3,('Gastos com Pessoal'!$AF$7:$AF$506)+1,1)),0)</f>
        <v>23650.57539242494</v>
      </c>
      <c r="AB26" s="188">
        <f t="array" aca="1" ref="AB26" ca="1">_xlfn.IFNA(SUM((AB$3&gt;='Gastos com Pessoal'!$E$7:$E$506)*(AB$3&lt;='Gastos com Pessoal'!$F$7:$F$506)*OFFSET('Encargos e Benefícios'!$D$5,1,MATCH($B26,'Encargos e Benefícios'!$E$5:$AB$5,0),500,1))*(IF('Gastos com Pessoal'!$G$7:$G$506&lt;=AB$3,('Gastos com Pessoal'!$H$7:$H$506)+1,1))*(IF('Gastos com Pessoal'!$M$7:$M$506&lt;=AB$3,('Gastos com Pessoal'!$N$7:$N$506)+1,1))*(IF('Gastos com Pessoal'!$S$7:$S$506&lt;=AB$3,('Gastos com Pessoal'!$T$7:$T$506)+1,1))*(IF('Gastos com Pessoal'!$Y$7:$Y$506&lt;=AB$3,('Gastos com Pessoal'!$Z$7:$Z$506)+1,1))*(IF('Gastos com Pessoal'!$AE$7:$AE$506&lt;=AB$3,('Gastos com Pessoal'!$AF$7:$AF$506)+1,1)),0)</f>
        <v>23650.57539242494</v>
      </c>
      <c r="AC26" s="188">
        <f t="array" aca="1" ref="AC26" ca="1">_xlfn.IFNA(SUM((AC$3&gt;='Gastos com Pessoal'!$E$7:$E$506)*(AC$3&lt;='Gastos com Pessoal'!$F$7:$F$506)*OFFSET('Encargos e Benefícios'!$D$5,1,MATCH($B26,'Encargos e Benefícios'!$E$5:$AB$5,0),500,1))*(IF('Gastos com Pessoal'!$G$7:$G$506&lt;=AC$3,('Gastos com Pessoal'!$H$7:$H$506)+1,1))*(IF('Gastos com Pessoal'!$M$7:$M$506&lt;=AC$3,('Gastos com Pessoal'!$N$7:$N$506)+1,1))*(IF('Gastos com Pessoal'!$S$7:$S$506&lt;=AC$3,('Gastos com Pessoal'!$T$7:$T$506)+1,1))*(IF('Gastos com Pessoal'!$Y$7:$Y$506&lt;=AC$3,('Gastos com Pessoal'!$Z$7:$Z$506)+1,1))*(IF('Gastos com Pessoal'!$AE$7:$AE$506&lt;=AC$3,('Gastos com Pessoal'!$AF$7:$AF$506)+1,1)),0)</f>
        <v>23650.57539242494</v>
      </c>
      <c r="AD26" s="188">
        <f t="array" aca="1" ref="AD26" ca="1">_xlfn.IFNA(SUM((AD$3&gt;='Gastos com Pessoal'!$E$7:$E$506)*(AD$3&lt;='Gastos com Pessoal'!$F$7:$F$506)*OFFSET('Encargos e Benefícios'!$D$5,1,MATCH($B26,'Encargos e Benefícios'!$E$5:$AB$5,0),500,1))*(IF('Gastos com Pessoal'!$G$7:$G$506&lt;=AD$3,('Gastos com Pessoal'!$H$7:$H$506)+1,1))*(IF('Gastos com Pessoal'!$M$7:$M$506&lt;=AD$3,('Gastos com Pessoal'!$N$7:$N$506)+1,1))*(IF('Gastos com Pessoal'!$S$7:$S$506&lt;=AD$3,('Gastos com Pessoal'!$T$7:$T$506)+1,1))*(IF('Gastos com Pessoal'!$Y$7:$Y$506&lt;=AD$3,('Gastos com Pessoal'!$Z$7:$Z$506)+1,1))*(IF('Gastos com Pessoal'!$AE$7:$AE$506&lt;=AD$3,('Gastos com Pessoal'!$AF$7:$AF$506)+1,1)),0)</f>
        <v>23650.57539242494</v>
      </c>
      <c r="AE26" s="188">
        <f t="array" aca="1" ref="AE26" ca="1">_xlfn.IFNA(SUM((AE$3&gt;='Gastos com Pessoal'!$E$7:$E$506)*(AE$3&lt;='Gastos com Pessoal'!$F$7:$F$506)*OFFSET('Encargos e Benefícios'!$D$5,1,MATCH($B26,'Encargos e Benefícios'!$E$5:$AB$5,0),500,1))*(IF('Gastos com Pessoal'!$G$7:$G$506&lt;=AE$3,('Gastos com Pessoal'!$H$7:$H$506)+1,1))*(IF('Gastos com Pessoal'!$M$7:$M$506&lt;=AE$3,('Gastos com Pessoal'!$N$7:$N$506)+1,1))*(IF('Gastos com Pessoal'!$S$7:$S$506&lt;=AE$3,('Gastos com Pessoal'!$T$7:$T$506)+1,1))*(IF('Gastos com Pessoal'!$Y$7:$Y$506&lt;=AE$3,('Gastos com Pessoal'!$Z$7:$Z$506)+1,1))*(IF('Gastos com Pessoal'!$AE$7:$AE$506&lt;=AE$3,('Gastos com Pessoal'!$AF$7:$AF$506)+1,1)),0)</f>
        <v>25031.768995342558</v>
      </c>
      <c r="AF26" s="188">
        <f t="array" aca="1" ref="AF26" ca="1">_xlfn.IFNA(SUM((AF$3&gt;='Gastos com Pessoal'!$E$7:$E$506)*(AF$3&lt;='Gastos com Pessoal'!$F$7:$F$506)*OFFSET('Encargos e Benefícios'!$D$5,1,MATCH($B26,'Encargos e Benefícios'!$E$5:$AB$5,0),500,1))*(IF('Gastos com Pessoal'!$G$7:$G$506&lt;=AF$3,('Gastos com Pessoal'!$H$7:$H$506)+1,1))*(IF('Gastos com Pessoal'!$M$7:$M$506&lt;=AF$3,('Gastos com Pessoal'!$N$7:$N$506)+1,1))*(IF('Gastos com Pessoal'!$S$7:$S$506&lt;=AF$3,('Gastos com Pessoal'!$T$7:$T$506)+1,1))*(IF('Gastos com Pessoal'!$Y$7:$Y$506&lt;=AF$3,('Gastos com Pessoal'!$Z$7:$Z$506)+1,1))*(IF('Gastos com Pessoal'!$AE$7:$AE$506&lt;=AF$3,('Gastos com Pessoal'!$AF$7:$AF$506)+1,1)),0)</f>
        <v>25031.768995342558</v>
      </c>
      <c r="AG26" s="188">
        <f t="array" aca="1" ref="AG26" ca="1">_xlfn.IFNA(SUM((AG$3&gt;='Gastos com Pessoal'!$E$7:$E$506)*(AG$3&lt;='Gastos com Pessoal'!$F$7:$F$506)*OFFSET('Encargos e Benefícios'!$D$5,1,MATCH($B26,'Encargos e Benefícios'!$E$5:$AB$5,0),500,1))*(IF('Gastos com Pessoal'!$G$7:$G$506&lt;=AG$3,('Gastos com Pessoal'!$H$7:$H$506)+1,1))*(IF('Gastos com Pessoal'!$M$7:$M$506&lt;=AG$3,('Gastos com Pessoal'!$N$7:$N$506)+1,1))*(IF('Gastos com Pessoal'!$S$7:$S$506&lt;=AG$3,('Gastos com Pessoal'!$T$7:$T$506)+1,1))*(IF('Gastos com Pessoal'!$Y$7:$Y$506&lt;=AG$3,('Gastos com Pessoal'!$Z$7:$Z$506)+1,1))*(IF('Gastos com Pessoal'!$AE$7:$AE$506&lt;=AG$3,('Gastos com Pessoal'!$AF$7:$AF$506)+1,1)),0)</f>
        <v>25031.768995342558</v>
      </c>
      <c r="AH26" s="188">
        <f t="array" aca="1" ref="AH26" ca="1">_xlfn.IFNA(SUM((AH$3&gt;='Gastos com Pessoal'!$E$7:$E$506)*(AH$3&lt;='Gastos com Pessoal'!$F$7:$F$506)*OFFSET('Encargos e Benefícios'!$D$5,1,MATCH($B26,'Encargos e Benefícios'!$E$5:$AB$5,0),500,1))*(IF('Gastos com Pessoal'!$G$7:$G$506&lt;=AH$3,('Gastos com Pessoal'!$H$7:$H$506)+1,1))*(IF('Gastos com Pessoal'!$M$7:$M$506&lt;=AH$3,('Gastos com Pessoal'!$N$7:$N$506)+1,1))*(IF('Gastos com Pessoal'!$S$7:$S$506&lt;=AH$3,('Gastos com Pessoal'!$T$7:$T$506)+1,1))*(IF('Gastos com Pessoal'!$Y$7:$Y$506&lt;=AH$3,('Gastos com Pessoal'!$Z$7:$Z$506)+1,1))*(IF('Gastos com Pessoal'!$AE$7:$AE$506&lt;=AH$3,('Gastos com Pessoal'!$AF$7:$AF$506)+1,1)),0)</f>
        <v>25031.768995342558</v>
      </c>
      <c r="AI26" s="188">
        <f t="array" aca="1" ref="AI26" ca="1">_xlfn.IFNA(SUM((AI$3&gt;='Gastos com Pessoal'!$E$7:$E$506)*(AI$3&lt;='Gastos com Pessoal'!$F$7:$F$506)*OFFSET('Encargos e Benefícios'!$D$5,1,MATCH($B26,'Encargos e Benefícios'!$E$5:$AB$5,0),500,1))*(IF('Gastos com Pessoal'!$G$7:$G$506&lt;=AI$3,('Gastos com Pessoal'!$H$7:$H$506)+1,1))*(IF('Gastos com Pessoal'!$M$7:$M$506&lt;=AI$3,('Gastos com Pessoal'!$N$7:$N$506)+1,1))*(IF('Gastos com Pessoal'!$S$7:$S$506&lt;=AI$3,('Gastos com Pessoal'!$T$7:$T$506)+1,1))*(IF('Gastos com Pessoal'!$Y$7:$Y$506&lt;=AI$3,('Gastos com Pessoal'!$Z$7:$Z$506)+1,1))*(IF('Gastos com Pessoal'!$AE$7:$AE$506&lt;=AI$3,('Gastos com Pessoal'!$AF$7:$AF$506)+1,1)),0)</f>
        <v>25031.768995342558</v>
      </c>
      <c r="AJ26" s="188">
        <f t="array" aca="1" ref="AJ26" ca="1">_xlfn.IFNA(SUM((AJ$3&gt;='Gastos com Pessoal'!$E$7:$E$506)*(AJ$3&lt;='Gastos com Pessoal'!$F$7:$F$506)*OFFSET('Encargos e Benefícios'!$D$5,1,MATCH($B26,'Encargos e Benefícios'!$E$5:$AB$5,0),500,1))*(IF('Gastos com Pessoal'!$G$7:$G$506&lt;=AJ$3,('Gastos com Pessoal'!$H$7:$H$506)+1,1))*(IF('Gastos com Pessoal'!$M$7:$M$506&lt;=AJ$3,('Gastos com Pessoal'!$N$7:$N$506)+1,1))*(IF('Gastos com Pessoal'!$S$7:$S$506&lt;=AJ$3,('Gastos com Pessoal'!$T$7:$T$506)+1,1))*(IF('Gastos com Pessoal'!$Y$7:$Y$506&lt;=AJ$3,('Gastos com Pessoal'!$Z$7:$Z$506)+1,1))*(IF('Gastos com Pessoal'!$AE$7:$AE$506&lt;=AJ$3,('Gastos com Pessoal'!$AF$7:$AF$506)+1,1)),0)</f>
        <v>25031.768995342558</v>
      </c>
      <c r="AK26" s="188">
        <f t="array" aca="1" ref="AK26" ca="1">_xlfn.IFNA(SUM((AK$3&gt;='Gastos com Pessoal'!$E$7:$E$506)*(AK$3&lt;='Gastos com Pessoal'!$F$7:$F$506)*OFFSET('Encargos e Benefícios'!$D$5,1,MATCH($B26,'Encargos e Benefícios'!$E$5:$AB$5,0),500,1))*(IF('Gastos com Pessoal'!$G$7:$G$506&lt;=AK$3,('Gastos com Pessoal'!$H$7:$H$506)+1,1))*(IF('Gastos com Pessoal'!$M$7:$M$506&lt;=AK$3,('Gastos com Pessoal'!$N$7:$N$506)+1,1))*(IF('Gastos com Pessoal'!$S$7:$S$506&lt;=AK$3,('Gastos com Pessoal'!$T$7:$T$506)+1,1))*(IF('Gastos com Pessoal'!$Y$7:$Y$506&lt;=AK$3,('Gastos com Pessoal'!$Z$7:$Z$506)+1,1))*(IF('Gastos com Pessoal'!$AE$7:$AE$506&lt;=AK$3,('Gastos com Pessoal'!$AF$7:$AF$506)+1,1)),0)</f>
        <v>25031.768995342558</v>
      </c>
      <c r="AL26" s="188">
        <f t="array" aca="1" ref="AL26" ca="1">_xlfn.IFNA(SUM((AL$3&gt;='Gastos com Pessoal'!$E$7:$E$506)*(AL$3&lt;='Gastos com Pessoal'!$F$7:$F$506)*OFFSET('Encargos e Benefícios'!$D$5,1,MATCH($B26,'Encargos e Benefícios'!$E$5:$AB$5,0),500,1))*(IF('Gastos com Pessoal'!$G$7:$G$506&lt;=AL$3,('Gastos com Pessoal'!$H$7:$H$506)+1,1))*(IF('Gastos com Pessoal'!$M$7:$M$506&lt;=AL$3,('Gastos com Pessoal'!$N$7:$N$506)+1,1))*(IF('Gastos com Pessoal'!$S$7:$S$506&lt;=AL$3,('Gastos com Pessoal'!$T$7:$T$506)+1,1))*(IF('Gastos com Pessoal'!$Y$7:$Y$506&lt;=AL$3,('Gastos com Pessoal'!$Z$7:$Z$506)+1,1))*(IF('Gastos com Pessoal'!$AE$7:$AE$506&lt;=AL$3,('Gastos com Pessoal'!$AF$7:$AF$506)+1,1)),0)</f>
        <v>25031.768995342558</v>
      </c>
      <c r="AM26" s="188">
        <f t="array" aca="1" ref="AM26" ca="1">_xlfn.IFNA(SUM((AM$3&gt;='Gastos com Pessoal'!$E$7:$E$506)*(AM$3&lt;='Gastos com Pessoal'!$F$7:$F$506)*OFFSET('Encargos e Benefícios'!$D$5,1,MATCH($B26,'Encargos e Benefícios'!$E$5:$AB$5,0),500,1))*(IF('Gastos com Pessoal'!$G$7:$G$506&lt;=AM$3,('Gastos com Pessoal'!$H$7:$H$506)+1,1))*(IF('Gastos com Pessoal'!$M$7:$M$506&lt;=AM$3,('Gastos com Pessoal'!$N$7:$N$506)+1,1))*(IF('Gastos com Pessoal'!$S$7:$S$506&lt;=AM$3,('Gastos com Pessoal'!$T$7:$T$506)+1,1))*(IF('Gastos com Pessoal'!$Y$7:$Y$506&lt;=AM$3,('Gastos com Pessoal'!$Z$7:$Z$506)+1,1))*(IF('Gastos com Pessoal'!$AE$7:$AE$506&lt;=AM$3,('Gastos com Pessoal'!$AF$7:$AF$506)+1,1)),0)</f>
        <v>25031.768995342558</v>
      </c>
      <c r="AN26" s="188">
        <f t="array" aca="1" ref="AN26" ca="1">_xlfn.IFNA(SUM((AN$3&gt;='Gastos com Pessoal'!$E$7:$E$506)*(AN$3&lt;='Gastos com Pessoal'!$F$7:$F$506)*OFFSET('Encargos e Benefícios'!$D$5,1,MATCH($B26,'Encargos e Benefícios'!$E$5:$AB$5,0),500,1))*(IF('Gastos com Pessoal'!$G$7:$G$506&lt;=AN$3,('Gastos com Pessoal'!$H$7:$H$506)+1,1))*(IF('Gastos com Pessoal'!$M$7:$M$506&lt;=AN$3,('Gastos com Pessoal'!$N$7:$N$506)+1,1))*(IF('Gastos com Pessoal'!$S$7:$S$506&lt;=AN$3,('Gastos com Pessoal'!$T$7:$T$506)+1,1))*(IF('Gastos com Pessoal'!$Y$7:$Y$506&lt;=AN$3,('Gastos com Pessoal'!$Z$7:$Z$506)+1,1))*(IF('Gastos com Pessoal'!$AE$7:$AE$506&lt;=AN$3,('Gastos com Pessoal'!$AF$7:$AF$506)+1,1)),0)</f>
        <v>25031.768995342558</v>
      </c>
      <c r="AO26" s="188">
        <f t="array" aca="1" ref="AO26" ca="1">_xlfn.IFNA(SUM((AO$3&gt;='Gastos com Pessoal'!$E$7:$E$506)*(AO$3&lt;='Gastos com Pessoal'!$F$7:$F$506)*OFFSET('Encargos e Benefícios'!$D$5,1,MATCH($B26,'Encargos e Benefícios'!$E$5:$AB$5,0),500,1))*(IF('Gastos com Pessoal'!$G$7:$G$506&lt;=AO$3,('Gastos com Pessoal'!$H$7:$H$506)+1,1))*(IF('Gastos com Pessoal'!$M$7:$M$506&lt;=AO$3,('Gastos com Pessoal'!$N$7:$N$506)+1,1))*(IF('Gastos com Pessoal'!$S$7:$S$506&lt;=AO$3,('Gastos com Pessoal'!$T$7:$T$506)+1,1))*(IF('Gastos com Pessoal'!$Y$7:$Y$506&lt;=AO$3,('Gastos com Pessoal'!$Z$7:$Z$506)+1,1))*(IF('Gastos com Pessoal'!$AE$7:$AE$506&lt;=AO$3,('Gastos com Pessoal'!$AF$7:$AF$506)+1,1)),0)</f>
        <v>25031.768995342558</v>
      </c>
      <c r="AP26" s="188">
        <f t="array" aca="1" ref="AP26" ca="1">_xlfn.IFNA(SUM((AP$3&gt;='Gastos com Pessoal'!$E$7:$E$506)*(AP$3&lt;='Gastos com Pessoal'!$F$7:$F$506)*OFFSET('Encargos e Benefícios'!$D$5,1,MATCH($B26,'Encargos e Benefícios'!$E$5:$AB$5,0),500,1))*(IF('Gastos com Pessoal'!$G$7:$G$506&lt;=AP$3,('Gastos com Pessoal'!$H$7:$H$506)+1,1))*(IF('Gastos com Pessoal'!$M$7:$M$506&lt;=AP$3,('Gastos com Pessoal'!$N$7:$N$506)+1,1))*(IF('Gastos com Pessoal'!$S$7:$S$506&lt;=AP$3,('Gastos com Pessoal'!$T$7:$T$506)+1,1))*(IF('Gastos com Pessoal'!$Y$7:$Y$506&lt;=AP$3,('Gastos com Pessoal'!$Z$7:$Z$506)+1,1))*(IF('Gastos com Pessoal'!$AE$7:$AE$506&lt;=AP$3,('Gastos com Pessoal'!$AF$7:$AF$506)+1,1)),0)</f>
        <v>25031.768995342558</v>
      </c>
      <c r="AQ26" s="188">
        <f t="array" aca="1" ref="AQ26" ca="1">_xlfn.IFNA(SUM((AQ$3&gt;='Gastos com Pessoal'!$E$7:$E$506)*(AQ$3&lt;='Gastos com Pessoal'!$F$7:$F$506)*OFFSET('Encargos e Benefícios'!$D$5,1,MATCH($B26,'Encargos e Benefícios'!$E$5:$AB$5,0),500,1))*(IF('Gastos com Pessoal'!$G$7:$G$506&lt;=AQ$3,('Gastos com Pessoal'!$H$7:$H$506)+1,1))*(IF('Gastos com Pessoal'!$M$7:$M$506&lt;=AQ$3,('Gastos com Pessoal'!$N$7:$N$506)+1,1))*(IF('Gastos com Pessoal'!$S$7:$S$506&lt;=AQ$3,('Gastos com Pessoal'!$T$7:$T$506)+1,1))*(IF('Gastos com Pessoal'!$Y$7:$Y$506&lt;=AQ$3,('Gastos com Pessoal'!$Z$7:$Z$506)+1,1))*(IF('Gastos com Pessoal'!$AE$7:$AE$506&lt;=AQ$3,('Gastos com Pessoal'!$AF$7:$AF$506)+1,1)),0)</f>
        <v>26493.624304670564</v>
      </c>
      <c r="AR26" s="188">
        <f t="array" aca="1" ref="AR26" ca="1">_xlfn.IFNA(SUM((AR$3&gt;='Gastos com Pessoal'!$E$7:$E$506)*(AR$3&lt;='Gastos com Pessoal'!$F$7:$F$506)*OFFSET('Encargos e Benefícios'!$D$5,1,MATCH($B26,'Encargos e Benefícios'!$E$5:$AB$5,0),500,1))*(IF('Gastos com Pessoal'!$G$7:$G$506&lt;=AR$3,('Gastos com Pessoal'!$H$7:$H$506)+1,1))*(IF('Gastos com Pessoal'!$M$7:$M$506&lt;=AR$3,('Gastos com Pessoal'!$N$7:$N$506)+1,1))*(IF('Gastos com Pessoal'!$S$7:$S$506&lt;=AR$3,('Gastos com Pessoal'!$T$7:$T$506)+1,1))*(IF('Gastos com Pessoal'!$Y$7:$Y$506&lt;=AR$3,('Gastos com Pessoal'!$Z$7:$Z$506)+1,1))*(IF('Gastos com Pessoal'!$AE$7:$AE$506&lt;=AR$3,('Gastos com Pessoal'!$AF$7:$AF$506)+1,1)),0)</f>
        <v>26493.624304670564</v>
      </c>
      <c r="AS26" s="188">
        <f t="array" aca="1" ref="AS26" ca="1">_xlfn.IFNA(SUM((AS$3&gt;='Gastos com Pessoal'!$E$7:$E$506)*(AS$3&lt;='Gastos com Pessoal'!$F$7:$F$506)*OFFSET('Encargos e Benefícios'!$D$5,1,MATCH($B26,'Encargos e Benefícios'!$E$5:$AB$5,0),500,1))*(IF('Gastos com Pessoal'!$G$7:$G$506&lt;=AS$3,('Gastos com Pessoal'!$H$7:$H$506)+1,1))*(IF('Gastos com Pessoal'!$M$7:$M$506&lt;=AS$3,('Gastos com Pessoal'!$N$7:$N$506)+1,1))*(IF('Gastos com Pessoal'!$S$7:$S$506&lt;=AS$3,('Gastos com Pessoal'!$T$7:$T$506)+1,1))*(IF('Gastos com Pessoal'!$Y$7:$Y$506&lt;=AS$3,('Gastos com Pessoal'!$Z$7:$Z$506)+1,1))*(IF('Gastos com Pessoal'!$AE$7:$AE$506&lt;=AS$3,('Gastos com Pessoal'!$AF$7:$AF$506)+1,1)),0)</f>
        <v>26493.624304670564</v>
      </c>
      <c r="AT26" s="188">
        <f t="array" aca="1" ref="AT26" ca="1">_xlfn.IFNA(SUM((AT$3&gt;='Gastos com Pessoal'!$E$7:$E$506)*(AT$3&lt;='Gastos com Pessoal'!$F$7:$F$506)*OFFSET('Encargos e Benefícios'!$D$5,1,MATCH($B26,'Encargos e Benefícios'!$E$5:$AB$5,0),500,1))*(IF('Gastos com Pessoal'!$G$7:$G$506&lt;=AT$3,('Gastos com Pessoal'!$H$7:$H$506)+1,1))*(IF('Gastos com Pessoal'!$M$7:$M$506&lt;=AT$3,('Gastos com Pessoal'!$N$7:$N$506)+1,1))*(IF('Gastos com Pessoal'!$S$7:$S$506&lt;=AT$3,('Gastos com Pessoal'!$T$7:$T$506)+1,1))*(IF('Gastos com Pessoal'!$Y$7:$Y$506&lt;=AT$3,('Gastos com Pessoal'!$Z$7:$Z$506)+1,1))*(IF('Gastos com Pessoal'!$AE$7:$AE$506&lt;=AT$3,('Gastos com Pessoal'!$AF$7:$AF$506)+1,1)),0)</f>
        <v>26493.624304670564</v>
      </c>
      <c r="AU26" s="188">
        <f t="array" aca="1" ref="AU26" ca="1">_xlfn.IFNA(SUM((AU$3&gt;='Gastos com Pessoal'!$E$7:$E$506)*(AU$3&lt;='Gastos com Pessoal'!$F$7:$F$506)*OFFSET('Encargos e Benefícios'!$D$5,1,MATCH($B26,'Encargos e Benefícios'!$E$5:$AB$5,0),500,1))*(IF('Gastos com Pessoal'!$G$7:$G$506&lt;=AU$3,('Gastos com Pessoal'!$H$7:$H$506)+1,1))*(IF('Gastos com Pessoal'!$M$7:$M$506&lt;=AU$3,('Gastos com Pessoal'!$N$7:$N$506)+1,1))*(IF('Gastos com Pessoal'!$S$7:$S$506&lt;=AU$3,('Gastos com Pessoal'!$T$7:$T$506)+1,1))*(IF('Gastos com Pessoal'!$Y$7:$Y$506&lt;=AU$3,('Gastos com Pessoal'!$Z$7:$Z$506)+1,1))*(IF('Gastos com Pessoal'!$AE$7:$AE$506&lt;=AU$3,('Gastos com Pessoal'!$AF$7:$AF$506)+1,1)),0)</f>
        <v>26493.624304670564</v>
      </c>
      <c r="AV26" s="188">
        <f t="array" aca="1" ref="AV26" ca="1">_xlfn.IFNA(SUM((AV$3&gt;='Gastos com Pessoal'!$E$7:$E$506)*(AV$3&lt;='Gastos com Pessoal'!$F$7:$F$506)*OFFSET('Encargos e Benefícios'!$D$5,1,MATCH($B26,'Encargos e Benefícios'!$E$5:$AB$5,0),500,1))*(IF('Gastos com Pessoal'!$G$7:$G$506&lt;=AV$3,('Gastos com Pessoal'!$H$7:$H$506)+1,1))*(IF('Gastos com Pessoal'!$M$7:$M$506&lt;=AV$3,('Gastos com Pessoal'!$N$7:$N$506)+1,1))*(IF('Gastos com Pessoal'!$S$7:$S$506&lt;=AV$3,('Gastos com Pessoal'!$T$7:$T$506)+1,1))*(IF('Gastos com Pessoal'!$Y$7:$Y$506&lt;=AV$3,('Gastos com Pessoal'!$Z$7:$Z$506)+1,1))*(IF('Gastos com Pessoal'!$AE$7:$AE$506&lt;=AV$3,('Gastos com Pessoal'!$AF$7:$AF$506)+1,1)),0)</f>
        <v>26493.624304670564</v>
      </c>
      <c r="AW26" s="188">
        <f t="array" aca="1" ref="AW26" ca="1">_xlfn.IFNA(SUM((AW$3&gt;='Gastos com Pessoal'!$E$7:$E$506)*(AW$3&lt;='Gastos com Pessoal'!$F$7:$F$506)*OFFSET('Encargos e Benefícios'!$D$5,1,MATCH($B26,'Encargos e Benefícios'!$E$5:$AB$5,0),500,1))*(IF('Gastos com Pessoal'!$G$7:$G$506&lt;=AW$3,('Gastos com Pessoal'!$H$7:$H$506)+1,1))*(IF('Gastos com Pessoal'!$M$7:$M$506&lt;=AW$3,('Gastos com Pessoal'!$N$7:$N$506)+1,1))*(IF('Gastos com Pessoal'!$S$7:$S$506&lt;=AW$3,('Gastos com Pessoal'!$T$7:$T$506)+1,1))*(IF('Gastos com Pessoal'!$Y$7:$Y$506&lt;=AW$3,('Gastos com Pessoal'!$Z$7:$Z$506)+1,1))*(IF('Gastos com Pessoal'!$AE$7:$AE$506&lt;=AW$3,('Gastos com Pessoal'!$AF$7:$AF$506)+1,1)),0)</f>
        <v>26493.624304670564</v>
      </c>
      <c r="AX26" s="188">
        <f t="array" aca="1" ref="AX26" ca="1">_xlfn.IFNA(SUM((AX$3&gt;='Gastos com Pessoal'!$E$7:$E$506)*(AX$3&lt;='Gastos com Pessoal'!$F$7:$F$506)*OFFSET('Encargos e Benefícios'!$D$5,1,MATCH($B26,'Encargos e Benefícios'!$E$5:$AB$5,0),500,1))*(IF('Gastos com Pessoal'!$G$7:$G$506&lt;=AX$3,('Gastos com Pessoal'!$H$7:$H$506)+1,1))*(IF('Gastos com Pessoal'!$M$7:$M$506&lt;=AX$3,('Gastos com Pessoal'!$N$7:$N$506)+1,1))*(IF('Gastos com Pessoal'!$S$7:$S$506&lt;=AX$3,('Gastos com Pessoal'!$T$7:$T$506)+1,1))*(IF('Gastos com Pessoal'!$Y$7:$Y$506&lt;=AX$3,('Gastos com Pessoal'!$Z$7:$Z$506)+1,1))*(IF('Gastos com Pessoal'!$AE$7:$AE$506&lt;=AX$3,('Gastos com Pessoal'!$AF$7:$AF$506)+1,1)),0)</f>
        <v>0</v>
      </c>
      <c r="AY26" s="188">
        <f t="array" aca="1" ref="AY26" ca="1">_xlfn.IFNA(SUM((AY$3&gt;='Gastos com Pessoal'!$E$7:$E$506)*(AY$3&lt;='Gastos com Pessoal'!$F$7:$F$506)*OFFSET('Encargos e Benefícios'!$D$5,1,MATCH($B26,'Encargos e Benefícios'!$E$5:$AB$5,0),500,1))*(IF('Gastos com Pessoal'!$G$7:$G$506&lt;=AY$3,('Gastos com Pessoal'!$H$7:$H$506)+1,1))*(IF('Gastos com Pessoal'!$M$7:$M$506&lt;=AY$3,('Gastos com Pessoal'!$N$7:$N$506)+1,1))*(IF('Gastos com Pessoal'!$S$7:$S$506&lt;=AY$3,('Gastos com Pessoal'!$T$7:$T$506)+1,1))*(IF('Gastos com Pessoal'!$Y$7:$Y$506&lt;=AY$3,('Gastos com Pessoal'!$Z$7:$Z$506)+1,1))*(IF('Gastos com Pessoal'!$AE$7:$AE$506&lt;=AY$3,('Gastos com Pessoal'!$AF$7:$AF$506)+1,1)),0)</f>
        <v>0</v>
      </c>
      <c r="AZ26" s="188">
        <f t="array" aca="1" ref="AZ26" ca="1">_xlfn.IFNA(SUM((AZ$3&gt;='Gastos com Pessoal'!$E$7:$E$506)*(AZ$3&lt;='Gastos com Pessoal'!$F$7:$F$506)*OFFSET('Encargos e Benefícios'!$D$5,1,MATCH($B26,'Encargos e Benefícios'!$E$5:$AB$5,0),500,1))*(IF('Gastos com Pessoal'!$G$7:$G$506&lt;=AZ$3,('Gastos com Pessoal'!$H$7:$H$506)+1,1))*(IF('Gastos com Pessoal'!$M$7:$M$506&lt;=AZ$3,('Gastos com Pessoal'!$N$7:$N$506)+1,1))*(IF('Gastos com Pessoal'!$S$7:$S$506&lt;=AZ$3,('Gastos com Pessoal'!$T$7:$T$506)+1,1))*(IF('Gastos com Pessoal'!$Y$7:$Y$506&lt;=AZ$3,('Gastos com Pessoal'!$Z$7:$Z$506)+1,1))*(IF('Gastos com Pessoal'!$AE$7:$AE$506&lt;=AZ$3,('Gastos com Pessoal'!$AF$7:$AF$506)+1,1)),0)</f>
        <v>0</v>
      </c>
      <c r="BA26" s="188">
        <f t="array" aca="1" ref="BA26" ca="1">_xlfn.IFNA(SUM((BA$3&gt;='Gastos com Pessoal'!$E$7:$E$506)*(BA$3&lt;='Gastos com Pessoal'!$F$7:$F$506)*OFFSET('Encargos e Benefícios'!$D$5,1,MATCH($B26,'Encargos e Benefícios'!$E$5:$AB$5,0),500,1))*(IF('Gastos com Pessoal'!$G$7:$G$506&lt;=BA$3,('Gastos com Pessoal'!$H$7:$H$506)+1,1))*(IF('Gastos com Pessoal'!$M$7:$M$506&lt;=BA$3,('Gastos com Pessoal'!$N$7:$N$506)+1,1))*(IF('Gastos com Pessoal'!$S$7:$S$506&lt;=BA$3,('Gastos com Pessoal'!$T$7:$T$506)+1,1))*(IF('Gastos com Pessoal'!$Y$7:$Y$506&lt;=BA$3,('Gastos com Pessoal'!$Z$7:$Z$506)+1,1))*(IF('Gastos com Pessoal'!$AE$7:$AE$506&lt;=BA$3,('Gastos com Pessoal'!$AF$7:$AF$506)+1,1)),0)</f>
        <v>0</v>
      </c>
      <c r="BB26" s="188">
        <f t="array" aca="1" ref="BB26" ca="1">_xlfn.IFNA(SUM((BB$3&gt;='Gastos com Pessoal'!$E$7:$E$506)*(BB$3&lt;='Gastos com Pessoal'!$F$7:$F$506)*OFFSET('Encargos e Benefícios'!$D$5,1,MATCH($B26,'Encargos e Benefícios'!$E$5:$AB$5,0),500,1))*(IF('Gastos com Pessoal'!$G$7:$G$506&lt;=BB$3,('Gastos com Pessoal'!$H$7:$H$506)+1,1))*(IF('Gastos com Pessoal'!$M$7:$M$506&lt;=BB$3,('Gastos com Pessoal'!$N$7:$N$506)+1,1))*(IF('Gastos com Pessoal'!$S$7:$S$506&lt;=BB$3,('Gastos com Pessoal'!$T$7:$T$506)+1,1))*(IF('Gastos com Pessoal'!$Y$7:$Y$506&lt;=BB$3,('Gastos com Pessoal'!$Z$7:$Z$506)+1,1))*(IF('Gastos com Pessoal'!$AE$7:$AE$506&lt;=BB$3,('Gastos com Pessoal'!$AF$7:$AF$506)+1,1)),0)</f>
        <v>0</v>
      </c>
      <c r="BC26" s="188">
        <f t="array" aca="1" ref="BC26" ca="1">_xlfn.IFNA(SUM((BC$3&gt;='Gastos com Pessoal'!$E$7:$E$506)*(BC$3&lt;='Gastos com Pessoal'!$F$7:$F$506)*OFFSET('Encargos e Benefícios'!$D$5,1,MATCH($B26,'Encargos e Benefícios'!$E$5:$AB$5,0),500,1))*(IF('Gastos com Pessoal'!$G$7:$G$506&lt;=BC$3,('Gastos com Pessoal'!$H$7:$H$506)+1,1))*(IF('Gastos com Pessoal'!$M$7:$M$506&lt;=BC$3,('Gastos com Pessoal'!$N$7:$N$506)+1,1))*(IF('Gastos com Pessoal'!$S$7:$S$506&lt;=BC$3,('Gastos com Pessoal'!$T$7:$T$506)+1,1))*(IF('Gastos com Pessoal'!$Y$7:$Y$506&lt;=BC$3,('Gastos com Pessoal'!$Z$7:$Z$506)+1,1))*(IF('Gastos com Pessoal'!$AE$7:$AE$506&lt;=BC$3,('Gastos com Pessoal'!$AF$7:$AF$506)+1,1)),0)</f>
        <v>0</v>
      </c>
      <c r="BD26" s="188">
        <f t="array" aca="1" ref="BD26" ca="1">_xlfn.IFNA(SUM((BD$3&gt;='Gastos com Pessoal'!$E$7:$E$506)*(BD$3&lt;='Gastos com Pessoal'!$F$7:$F$506)*OFFSET('Encargos e Benefícios'!$D$5,1,MATCH($B26,'Encargos e Benefícios'!$E$5:$AB$5,0),500,1))*(IF('Gastos com Pessoal'!$G$7:$G$506&lt;=BD$3,('Gastos com Pessoal'!$H$7:$H$506)+1,1))*(IF('Gastos com Pessoal'!$M$7:$M$506&lt;=BD$3,('Gastos com Pessoal'!$N$7:$N$506)+1,1))*(IF('Gastos com Pessoal'!$S$7:$S$506&lt;=BD$3,('Gastos com Pessoal'!$T$7:$T$506)+1,1))*(IF('Gastos com Pessoal'!$Y$7:$Y$506&lt;=BD$3,('Gastos com Pessoal'!$Z$7:$Z$506)+1,1))*(IF('Gastos com Pessoal'!$AE$7:$AE$506&lt;=BD$3,('Gastos com Pessoal'!$AF$7:$AF$506)+1,1)),0)</f>
        <v>0</v>
      </c>
      <c r="BE26" s="188">
        <f t="array" aca="1" ref="BE26" ca="1">_xlfn.IFNA(SUM((BE$3&gt;='Gastos com Pessoal'!$E$7:$E$506)*(BE$3&lt;='Gastos com Pessoal'!$F$7:$F$506)*OFFSET('Encargos e Benefícios'!$D$5,1,MATCH($B26,'Encargos e Benefícios'!$E$5:$AB$5,0),500,1))*(IF('Gastos com Pessoal'!$G$7:$G$506&lt;=BE$3,('Gastos com Pessoal'!$H$7:$H$506)+1,1))*(IF('Gastos com Pessoal'!$M$7:$M$506&lt;=BE$3,('Gastos com Pessoal'!$N$7:$N$506)+1,1))*(IF('Gastos com Pessoal'!$S$7:$S$506&lt;=BE$3,('Gastos com Pessoal'!$T$7:$T$506)+1,1))*(IF('Gastos com Pessoal'!$Y$7:$Y$506&lt;=BE$3,('Gastos com Pessoal'!$Z$7:$Z$506)+1,1))*(IF('Gastos com Pessoal'!$AE$7:$AE$506&lt;=BE$3,('Gastos com Pessoal'!$AF$7:$AF$506)+1,1)),0)</f>
        <v>0</v>
      </c>
      <c r="BF26" s="188">
        <f t="array" aca="1" ref="BF26" ca="1">_xlfn.IFNA(SUM((BF$3&gt;='Gastos com Pessoal'!$E$7:$E$506)*(BF$3&lt;='Gastos com Pessoal'!$F$7:$F$506)*OFFSET('Encargos e Benefícios'!$D$5,1,MATCH($B26,'Encargos e Benefícios'!$E$5:$AB$5,0),500,1))*(IF('Gastos com Pessoal'!$G$7:$G$506&lt;=BF$3,('Gastos com Pessoal'!$H$7:$H$506)+1,1))*(IF('Gastos com Pessoal'!$M$7:$M$506&lt;=BF$3,('Gastos com Pessoal'!$N$7:$N$506)+1,1))*(IF('Gastos com Pessoal'!$S$7:$S$506&lt;=BF$3,('Gastos com Pessoal'!$T$7:$T$506)+1,1))*(IF('Gastos com Pessoal'!$Y$7:$Y$506&lt;=BF$3,('Gastos com Pessoal'!$Z$7:$Z$506)+1,1))*(IF('Gastos com Pessoal'!$AE$7:$AE$506&lt;=BF$3,('Gastos com Pessoal'!$AF$7:$AF$506)+1,1)),0)</f>
        <v>0</v>
      </c>
      <c r="BG26" s="188">
        <f t="array" aca="1" ref="BG26" ca="1">_xlfn.IFNA(SUM((BG$3&gt;='Gastos com Pessoal'!$E$7:$E$506)*(BG$3&lt;='Gastos com Pessoal'!$F$7:$F$506)*OFFSET('Encargos e Benefícios'!$D$5,1,MATCH($B26,'Encargos e Benefícios'!$E$5:$AB$5,0),500,1))*(IF('Gastos com Pessoal'!$G$7:$G$506&lt;=BG$3,('Gastos com Pessoal'!$H$7:$H$506)+1,1))*(IF('Gastos com Pessoal'!$M$7:$M$506&lt;=BG$3,('Gastos com Pessoal'!$N$7:$N$506)+1,1))*(IF('Gastos com Pessoal'!$S$7:$S$506&lt;=BG$3,('Gastos com Pessoal'!$T$7:$T$506)+1,1))*(IF('Gastos com Pessoal'!$Y$7:$Y$506&lt;=BG$3,('Gastos com Pessoal'!$Z$7:$Z$506)+1,1))*(IF('Gastos com Pessoal'!$AE$7:$AE$506&lt;=BG$3,('Gastos com Pessoal'!$AF$7:$AF$506)+1,1)),0)</f>
        <v>0</v>
      </c>
      <c r="BH26" s="188">
        <f t="array" aca="1" ref="BH26" ca="1">_xlfn.IFNA(SUM((BH$3&gt;='Gastos com Pessoal'!$E$7:$E$506)*(BH$3&lt;='Gastos com Pessoal'!$F$7:$F$506)*OFFSET('Encargos e Benefícios'!$D$5,1,MATCH($B26,'Encargos e Benefícios'!$E$5:$AB$5,0),500,1))*(IF('Gastos com Pessoal'!$G$7:$G$506&lt;=BH$3,('Gastos com Pessoal'!$H$7:$H$506)+1,1))*(IF('Gastos com Pessoal'!$M$7:$M$506&lt;=BH$3,('Gastos com Pessoal'!$N$7:$N$506)+1,1))*(IF('Gastos com Pessoal'!$S$7:$S$506&lt;=BH$3,('Gastos com Pessoal'!$T$7:$T$506)+1,1))*(IF('Gastos com Pessoal'!$Y$7:$Y$506&lt;=BH$3,('Gastos com Pessoal'!$Z$7:$Z$506)+1,1))*(IF('Gastos com Pessoal'!$AE$7:$AE$506&lt;=BH$3,('Gastos com Pessoal'!$AF$7:$AF$506)+1,1)),0)</f>
        <v>0</v>
      </c>
      <c r="BI26" s="188">
        <f t="array" aca="1" ref="BI26" ca="1">_xlfn.IFNA(SUM((BI$3&gt;='Gastos com Pessoal'!$E$7:$E$506)*(BI$3&lt;='Gastos com Pessoal'!$F$7:$F$506)*OFFSET('Encargos e Benefícios'!$D$5,1,MATCH($B26,'Encargos e Benefícios'!$E$5:$AB$5,0),500,1))*(IF('Gastos com Pessoal'!$G$7:$G$506&lt;=BI$3,('Gastos com Pessoal'!$H$7:$H$506)+1,1))*(IF('Gastos com Pessoal'!$M$7:$M$506&lt;=BI$3,('Gastos com Pessoal'!$N$7:$N$506)+1,1))*(IF('Gastos com Pessoal'!$S$7:$S$506&lt;=BI$3,('Gastos com Pessoal'!$T$7:$T$506)+1,1))*(IF('Gastos com Pessoal'!$Y$7:$Y$506&lt;=BI$3,('Gastos com Pessoal'!$Z$7:$Z$506)+1,1))*(IF('Gastos com Pessoal'!$AE$7:$AE$506&lt;=BI$3,('Gastos com Pessoal'!$AF$7:$AF$506)+1,1)),0)</f>
        <v>0</v>
      </c>
      <c r="BJ26" s="188">
        <f t="array" aca="1" ref="BJ26" ca="1">_xlfn.IFNA(SUM((BJ$3&gt;='Gastos com Pessoal'!$E$7:$E$506)*(BJ$3&lt;='Gastos com Pessoal'!$F$7:$F$506)*OFFSET('Encargos e Benefícios'!$D$5,1,MATCH($B26,'Encargos e Benefícios'!$E$5:$AB$5,0),500,1))*(IF('Gastos com Pessoal'!$G$7:$G$506&lt;=BJ$3,('Gastos com Pessoal'!$H$7:$H$506)+1,1))*(IF('Gastos com Pessoal'!$M$7:$M$506&lt;=BJ$3,('Gastos com Pessoal'!$N$7:$N$506)+1,1))*(IF('Gastos com Pessoal'!$S$7:$S$506&lt;=BJ$3,('Gastos com Pessoal'!$T$7:$T$506)+1,1))*(IF('Gastos com Pessoal'!$Y$7:$Y$506&lt;=BJ$3,('Gastos com Pessoal'!$Z$7:$Z$506)+1,1))*(IF('Gastos com Pessoal'!$AE$7:$AE$506&lt;=BJ$3,('Gastos com Pessoal'!$AF$7:$AF$506)+1,1)),0)</f>
        <v>0</v>
      </c>
      <c r="BK26" s="189">
        <f t="shared" ca="1" si="8"/>
        <v>1099840.6623891036</v>
      </c>
      <c r="BL26" s="136">
        <f t="shared" ca="1" si="9"/>
        <v>3.7867493211786881E-3</v>
      </c>
    </row>
    <row r="27" spans="1:64" s="160" customFormat="1" ht="23.25" customHeight="1">
      <c r="A27" s="198" t="s">
        <v>145</v>
      </c>
      <c r="B27" s="209" t="s">
        <v>146</v>
      </c>
      <c r="C27" s="188">
        <v>0</v>
      </c>
      <c r="D27" s="188">
        <v>0</v>
      </c>
      <c r="E27" s="188">
        <v>0</v>
      </c>
      <c r="F27" s="188">
        <v>0</v>
      </c>
      <c r="G27" s="188">
        <v>0</v>
      </c>
      <c r="H27" s="188">
        <v>0</v>
      </c>
      <c r="I27" s="188">
        <v>0</v>
      </c>
      <c r="J27" s="188">
        <v>0</v>
      </c>
      <c r="K27" s="188">
        <v>0</v>
      </c>
      <c r="L27" s="188">
        <v>0</v>
      </c>
      <c r="M27" s="188">
        <v>0</v>
      </c>
      <c r="N27" s="188">
        <v>0</v>
      </c>
      <c r="O27" s="188">
        <v>0</v>
      </c>
      <c r="P27" s="188">
        <v>0</v>
      </c>
      <c r="Q27" s="188">
        <v>0</v>
      </c>
      <c r="R27" s="188">
        <v>0</v>
      </c>
      <c r="S27" s="188">
        <v>0</v>
      </c>
      <c r="T27" s="188">
        <v>0</v>
      </c>
      <c r="U27" s="188">
        <v>0</v>
      </c>
      <c r="V27" s="188">
        <v>0</v>
      </c>
      <c r="W27" s="188">
        <v>0</v>
      </c>
      <c r="X27" s="188">
        <v>0</v>
      </c>
      <c r="Y27" s="188">
        <v>0</v>
      </c>
      <c r="Z27" s="188">
        <v>0</v>
      </c>
      <c r="AA27" s="188">
        <v>0</v>
      </c>
      <c r="AB27" s="188">
        <v>0</v>
      </c>
      <c r="AC27" s="188">
        <v>0</v>
      </c>
      <c r="AD27" s="188">
        <v>0</v>
      </c>
      <c r="AE27" s="188">
        <v>0</v>
      </c>
      <c r="AF27" s="188">
        <v>0</v>
      </c>
      <c r="AG27" s="188">
        <v>0</v>
      </c>
      <c r="AH27" s="188">
        <v>0</v>
      </c>
      <c r="AI27" s="188">
        <v>0</v>
      </c>
      <c r="AJ27" s="188">
        <v>0</v>
      </c>
      <c r="AK27" s="188">
        <v>0</v>
      </c>
      <c r="AL27" s="188">
        <v>0</v>
      </c>
      <c r="AM27" s="188">
        <v>0</v>
      </c>
      <c r="AN27" s="188">
        <v>0</v>
      </c>
      <c r="AO27" s="188">
        <v>0</v>
      </c>
      <c r="AP27" s="188">
        <v>0</v>
      </c>
      <c r="AQ27" s="188">
        <v>0</v>
      </c>
      <c r="AR27" s="188">
        <v>0</v>
      </c>
      <c r="AS27" s="188">
        <v>0</v>
      </c>
      <c r="AT27" s="188">
        <v>0</v>
      </c>
      <c r="AU27" s="188">
        <v>0</v>
      </c>
      <c r="AV27" s="188">
        <v>0</v>
      </c>
      <c r="AW27" s="188">
        <v>0</v>
      </c>
      <c r="AX27" s="188">
        <v>0</v>
      </c>
      <c r="AY27" s="188">
        <v>0</v>
      </c>
      <c r="AZ27" s="188">
        <v>0</v>
      </c>
      <c r="BA27" s="188">
        <v>0</v>
      </c>
      <c r="BB27" s="188">
        <v>0</v>
      </c>
      <c r="BC27" s="188">
        <v>0</v>
      </c>
      <c r="BD27" s="188">
        <v>0</v>
      </c>
      <c r="BE27" s="188">
        <v>0</v>
      </c>
      <c r="BF27" s="188">
        <v>0</v>
      </c>
      <c r="BG27" s="188">
        <v>0</v>
      </c>
      <c r="BH27" s="188">
        <v>0</v>
      </c>
      <c r="BI27" s="188">
        <v>0</v>
      </c>
      <c r="BJ27" s="188">
        <v>0</v>
      </c>
      <c r="BK27" s="189">
        <f t="shared" si="8"/>
        <v>0</v>
      </c>
      <c r="BL27" s="136">
        <f t="shared" ca="1" si="9"/>
        <v>0</v>
      </c>
    </row>
    <row r="28" spans="1:64" s="160" customFormat="1" ht="23.25" customHeight="1">
      <c r="A28" s="190"/>
      <c r="B28" s="191" t="s">
        <v>147</v>
      </c>
      <c r="C28" s="192">
        <f t="shared" ref="C28:AH28" ca="1" si="10">SUBTOTAL(109,C20:C27)</f>
        <v>1646754.3253966663</v>
      </c>
      <c r="D28" s="192">
        <f t="shared" ca="1" si="10"/>
        <v>1655859.3253966663</v>
      </c>
      <c r="E28" s="192">
        <f t="shared" ca="1" si="10"/>
        <v>1739203.5106366661</v>
      </c>
      <c r="F28" s="192">
        <f t="shared" ca="1" si="10"/>
        <v>1751275.2846366663</v>
      </c>
      <c r="G28" s="192">
        <f t="shared" ca="1" si="10"/>
        <v>1853549.7612594476</v>
      </c>
      <c r="H28" s="192">
        <f t="shared" ca="1" si="10"/>
        <v>1941761.2469174636</v>
      </c>
      <c r="I28" s="192">
        <f t="shared" ca="1" si="10"/>
        <v>1955284.1548838641</v>
      </c>
      <c r="J28" s="192">
        <f t="shared" ca="1" si="10"/>
        <v>1955284.1548838641</v>
      </c>
      <c r="K28" s="192">
        <f t="shared" ca="1" si="10"/>
        <v>2048647.1902738803</v>
      </c>
      <c r="L28" s="192">
        <f t="shared" ca="1" si="10"/>
        <v>2062170.0982402808</v>
      </c>
      <c r="M28" s="192">
        <f t="shared" ca="1" si="10"/>
        <v>2062170.0982402808</v>
      </c>
      <c r="N28" s="192">
        <f t="shared" ca="1" si="10"/>
        <v>2155533.1336302976</v>
      </c>
      <c r="O28" s="192">
        <f t="shared" ca="1" si="10"/>
        <v>2155533.1336302976</v>
      </c>
      <c r="P28" s="192">
        <f t="shared" ca="1" si="10"/>
        <v>2155533.1336302976</v>
      </c>
      <c r="Q28" s="192">
        <f t="shared" ca="1" si="10"/>
        <v>2155533.1336302976</v>
      </c>
      <c r="R28" s="192">
        <f t="shared" ca="1" si="10"/>
        <v>2155533.1336302976</v>
      </c>
      <c r="S28" s="192">
        <f t="shared" ca="1" si="10"/>
        <v>2281416.2686343067</v>
      </c>
      <c r="T28" s="192">
        <f t="shared" ca="1" si="10"/>
        <v>2281416.2686343067</v>
      </c>
      <c r="U28" s="192">
        <f t="shared" ca="1" si="10"/>
        <v>2281416.2686343067</v>
      </c>
      <c r="V28" s="192">
        <f t="shared" ca="1" si="10"/>
        <v>2281416.2686343067</v>
      </c>
      <c r="W28" s="192">
        <f t="shared" ca="1" si="10"/>
        <v>2281416.2686343067</v>
      </c>
      <c r="X28" s="192">
        <f t="shared" ca="1" si="10"/>
        <v>2281416.2686343067</v>
      </c>
      <c r="Y28" s="192">
        <f t="shared" ca="1" si="10"/>
        <v>2281416.2686343067</v>
      </c>
      <c r="Z28" s="192">
        <f t="shared" ca="1" si="10"/>
        <v>2281416.2686343067</v>
      </c>
      <c r="AA28" s="192">
        <f t="shared" ca="1" si="10"/>
        <v>2281416.2686343067</v>
      </c>
      <c r="AB28" s="192">
        <f t="shared" ca="1" si="10"/>
        <v>2281416.2686343067</v>
      </c>
      <c r="AC28" s="192">
        <f t="shared" ca="1" si="10"/>
        <v>2281416.2686343067</v>
      </c>
      <c r="AD28" s="192">
        <f t="shared" ca="1" si="10"/>
        <v>2281416.2686343067</v>
      </c>
      <c r="AE28" s="192">
        <f t="shared" ca="1" si="10"/>
        <v>2414650.9787225504</v>
      </c>
      <c r="AF28" s="192">
        <f t="shared" ca="1" si="10"/>
        <v>2414650.9787225504</v>
      </c>
      <c r="AG28" s="192">
        <f t="shared" ca="1" si="10"/>
        <v>2414650.9787225504</v>
      </c>
      <c r="AH28" s="192">
        <f t="shared" ca="1" si="10"/>
        <v>2414650.9787225504</v>
      </c>
      <c r="AI28" s="192">
        <f t="shared" ref="AI28:BK28" ca="1" si="11">SUBTOTAL(109,AI20:AI27)</f>
        <v>2414650.9787225504</v>
      </c>
      <c r="AJ28" s="192">
        <f t="shared" ca="1" si="11"/>
        <v>2414650.9787225504</v>
      </c>
      <c r="AK28" s="192">
        <f t="shared" ca="1" si="11"/>
        <v>2414650.9787225504</v>
      </c>
      <c r="AL28" s="192">
        <f t="shared" ca="1" si="11"/>
        <v>2414650.9787225504</v>
      </c>
      <c r="AM28" s="192">
        <f t="shared" ca="1" si="11"/>
        <v>2414650.9787225504</v>
      </c>
      <c r="AN28" s="192">
        <f t="shared" ca="1" si="11"/>
        <v>2414650.9787225504</v>
      </c>
      <c r="AO28" s="192">
        <f t="shared" ca="1" si="11"/>
        <v>2414650.9787225504</v>
      </c>
      <c r="AP28" s="192">
        <f t="shared" ca="1" si="11"/>
        <v>2414650.9787225504</v>
      </c>
      <c r="AQ28" s="192">
        <f t="shared" ca="1" si="11"/>
        <v>2555666.5958799468</v>
      </c>
      <c r="AR28" s="192">
        <f t="shared" ca="1" si="11"/>
        <v>2555666.5958799468</v>
      </c>
      <c r="AS28" s="192">
        <f t="shared" ca="1" si="11"/>
        <v>2555666.5958799468</v>
      </c>
      <c r="AT28" s="192">
        <f t="shared" ca="1" si="11"/>
        <v>2555666.5958799468</v>
      </c>
      <c r="AU28" s="192">
        <f t="shared" ca="1" si="11"/>
        <v>2555666.5958799468</v>
      </c>
      <c r="AV28" s="192">
        <f t="shared" ca="1" si="11"/>
        <v>2555666.5958799468</v>
      </c>
      <c r="AW28" s="192">
        <f t="shared" ca="1" si="11"/>
        <v>2555666.5958799468</v>
      </c>
      <c r="AX28" s="192">
        <f t="shared" ca="1" si="11"/>
        <v>0</v>
      </c>
      <c r="AY28" s="192">
        <f t="shared" ca="1" si="11"/>
        <v>0</v>
      </c>
      <c r="AZ28" s="192">
        <f t="shared" ca="1" si="11"/>
        <v>0</v>
      </c>
      <c r="BA28" s="192">
        <f t="shared" ca="1" si="11"/>
        <v>0</v>
      </c>
      <c r="BB28" s="192">
        <f t="shared" ca="1" si="11"/>
        <v>0</v>
      </c>
      <c r="BC28" s="192">
        <f t="shared" ca="1" si="11"/>
        <v>0</v>
      </c>
      <c r="BD28" s="192">
        <f t="shared" ca="1" si="11"/>
        <v>0</v>
      </c>
      <c r="BE28" s="192">
        <f t="shared" ca="1" si="11"/>
        <v>0</v>
      </c>
      <c r="BF28" s="192">
        <f t="shared" ca="1" si="11"/>
        <v>0</v>
      </c>
      <c r="BG28" s="192">
        <f t="shared" ca="1" si="11"/>
        <v>0</v>
      </c>
      <c r="BH28" s="192">
        <f t="shared" ca="1" si="11"/>
        <v>0</v>
      </c>
      <c r="BI28" s="192">
        <f t="shared" ca="1" si="11"/>
        <v>0</v>
      </c>
      <c r="BJ28" s="192">
        <f t="shared" ca="1" si="11"/>
        <v>0</v>
      </c>
      <c r="BK28" s="192">
        <f t="shared" ca="1" si="11"/>
        <v>105692097.95835914</v>
      </c>
      <c r="BL28" s="193">
        <f t="shared" ca="1" si="9"/>
        <v>0.36389769344259248</v>
      </c>
    </row>
    <row r="29" spans="1:64" s="212" customFormat="1" ht="23.25" customHeight="1">
      <c r="A29" s="205" t="s">
        <v>83</v>
      </c>
      <c r="B29" s="206" t="s">
        <v>84</v>
      </c>
      <c r="C29" s="210"/>
      <c r="D29" s="210"/>
      <c r="E29" s="210"/>
      <c r="F29" s="210"/>
      <c r="G29" s="210"/>
      <c r="H29" s="210"/>
      <c r="I29" s="210"/>
      <c r="J29" s="210"/>
      <c r="K29" s="210"/>
      <c r="L29" s="210"/>
      <c r="M29" s="210"/>
      <c r="N29" s="210"/>
      <c r="O29" s="210"/>
      <c r="P29" s="210"/>
      <c r="Q29" s="210"/>
      <c r="R29" s="210"/>
      <c r="S29" s="210"/>
      <c r="T29" s="210"/>
      <c r="U29" s="210"/>
      <c r="V29" s="210"/>
      <c r="W29" s="210"/>
      <c r="X29" s="210"/>
      <c r="Y29" s="210"/>
      <c r="Z29" s="210"/>
      <c r="AA29" s="210"/>
      <c r="AB29" s="210"/>
      <c r="AC29" s="210"/>
      <c r="AD29" s="210"/>
      <c r="AE29" s="210"/>
      <c r="AF29" s="210"/>
      <c r="AG29" s="210"/>
      <c r="AH29" s="210"/>
      <c r="AI29" s="210"/>
      <c r="AJ29" s="210"/>
      <c r="AK29" s="210"/>
      <c r="AL29" s="210"/>
      <c r="AM29" s="210"/>
      <c r="AN29" s="210"/>
      <c r="AO29" s="210"/>
      <c r="AP29" s="210"/>
      <c r="AQ29" s="210"/>
      <c r="AR29" s="210"/>
      <c r="AS29" s="210"/>
      <c r="AT29" s="210"/>
      <c r="AU29" s="210"/>
      <c r="AV29" s="210"/>
      <c r="AW29" s="210"/>
      <c r="AX29" s="210"/>
      <c r="AY29" s="210"/>
      <c r="AZ29" s="210"/>
      <c r="BA29" s="210"/>
      <c r="BB29" s="210"/>
      <c r="BC29" s="210"/>
      <c r="BD29" s="210"/>
      <c r="BE29" s="210"/>
      <c r="BF29" s="210"/>
      <c r="BG29" s="210"/>
      <c r="BH29" s="210"/>
      <c r="BI29" s="210"/>
      <c r="BJ29" s="210"/>
      <c r="BK29" s="210"/>
      <c r="BL29" s="211"/>
    </row>
    <row r="30" spans="1:64" s="160" customFormat="1" ht="23.25" customHeight="1">
      <c r="A30" s="198" t="s">
        <v>148</v>
      </c>
      <c r="B30" s="81" t="s">
        <v>149</v>
      </c>
      <c r="C30" s="188">
        <f t="array" aca="1" ref="C30" ca="1">_xlfn.IFNA(SUM((C$3&gt;='Gastos com Pessoal'!$E$513:$E$522)*(C$3&lt;='Gastos com Pessoal'!$F$513:$F$522)*OFFSET('Encargos e Benefícios'!$D$511,1,MATCH($B30,'Encargos e Benefícios'!$E$511:$AB$511,0),10,1)*(IF('Gastos com Pessoal'!$G$513:$G$522&lt;=C$3,('Gastos com Pessoal'!$H$513:$H$522)+1,1))*(IF('Gastos com Pessoal'!$M$513:$M$522&lt;=C$3,('Gastos com Pessoal'!$N$513:$N$522)+1,1))*(IF('Gastos com Pessoal'!$S$513:$S$522&lt;=C$3,('Gastos com Pessoal'!$T$513:$T$522)+1,1))*(IF('Gastos com Pessoal'!$Y$513:$Y$522&lt;=C$3,('Gastos com Pessoal'!$Z$513:$Z$522)+1,1))*(IF('Gastos com Pessoal'!$AE$513:$AE$522&lt;=C$3,('Gastos com Pessoal'!$AF$513:$AF$522)+1,1))),0)</f>
        <v>0</v>
      </c>
      <c r="D30" s="188">
        <f t="array" aca="1" ref="D30" ca="1">_xlfn.IFNA(SUM((D$3&gt;='Gastos com Pessoal'!$E$513:$E$522)*(D$3&lt;='Gastos com Pessoal'!$F$513:$F$522)*OFFSET('Encargos e Benefícios'!$D$511,1,MATCH($B30,'Encargos e Benefícios'!$E$511:$AB$511,0),10,1)*(IF('Gastos com Pessoal'!$G$513:$G$522&lt;=D$3,('Gastos com Pessoal'!$H$513:$H$522)+1,1))*(IF('Gastos com Pessoal'!$M$513:$M$522&lt;=D$3,('Gastos com Pessoal'!$N$513:$N$522)+1,1))*(IF('Gastos com Pessoal'!$S$513:$S$522&lt;=D$3,('Gastos com Pessoal'!$T$513:$T$522)+1,1))*(IF('Gastos com Pessoal'!$Y$513:$Y$522&lt;=D$3,('Gastos com Pessoal'!$Z$513:$Z$522)+1,1))*(IF('Gastos com Pessoal'!$AE$513:$AE$522&lt;=D$3,('Gastos com Pessoal'!$AF$513:$AF$522)+1,1))),0)</f>
        <v>0</v>
      </c>
      <c r="E30" s="188">
        <f t="array" aca="1" ref="E30" ca="1">_xlfn.IFNA(SUM((E$3&gt;='Gastos com Pessoal'!$E$513:$E$522)*(E$3&lt;='Gastos com Pessoal'!$F$513:$F$522)*OFFSET('Encargos e Benefícios'!$D$511,1,MATCH($B30,'Encargos e Benefícios'!$E$511:$AB$511,0),10,1)*(IF('Gastos com Pessoal'!$G$513:$G$522&lt;=E$3,('Gastos com Pessoal'!$H$513:$H$522)+1,1))*(IF('Gastos com Pessoal'!$M$513:$M$522&lt;=E$3,('Gastos com Pessoal'!$N$513:$N$522)+1,1))*(IF('Gastos com Pessoal'!$S$513:$S$522&lt;=E$3,('Gastos com Pessoal'!$T$513:$T$522)+1,1))*(IF('Gastos com Pessoal'!$Y$513:$Y$522&lt;=E$3,('Gastos com Pessoal'!$Z$513:$Z$522)+1,1))*(IF('Gastos com Pessoal'!$AE$513:$AE$522&lt;=E$3,('Gastos com Pessoal'!$AF$513:$AF$522)+1,1))),0)</f>
        <v>0</v>
      </c>
      <c r="F30" s="188">
        <f t="array" aca="1" ref="F30" ca="1">_xlfn.IFNA(SUM((F$3&gt;='Gastos com Pessoal'!$E$513:$E$522)*(F$3&lt;='Gastos com Pessoal'!$F$513:$F$522)*OFFSET('Encargos e Benefícios'!$D$511,1,MATCH($B30,'Encargos e Benefícios'!$E$511:$AB$511,0),10,1)*(IF('Gastos com Pessoal'!$G$513:$G$522&lt;=F$3,('Gastos com Pessoal'!$H$513:$H$522)+1,1))*(IF('Gastos com Pessoal'!$M$513:$M$522&lt;=F$3,('Gastos com Pessoal'!$N$513:$N$522)+1,1))*(IF('Gastos com Pessoal'!$S$513:$S$522&lt;=F$3,('Gastos com Pessoal'!$T$513:$T$522)+1,1))*(IF('Gastos com Pessoal'!$Y$513:$Y$522&lt;=F$3,('Gastos com Pessoal'!$Z$513:$Z$522)+1,1))*(IF('Gastos com Pessoal'!$AE$513:$AE$522&lt;=F$3,('Gastos com Pessoal'!$AF$513:$AF$522)+1,1))),0)</f>
        <v>0</v>
      </c>
      <c r="G30" s="188">
        <f t="array" aca="1" ref="G30" ca="1">_xlfn.IFNA(SUM((G$3&gt;='Gastos com Pessoal'!$E$513:$E$522)*(G$3&lt;='Gastos com Pessoal'!$F$513:$F$522)*OFFSET('Encargos e Benefícios'!$D$511,1,MATCH($B30,'Encargos e Benefícios'!$E$511:$AB$511,0),10,1)*(IF('Gastos com Pessoal'!$G$513:$G$522&lt;=G$3,('Gastos com Pessoal'!$H$513:$H$522)+1,1))*(IF('Gastos com Pessoal'!$M$513:$M$522&lt;=G$3,('Gastos com Pessoal'!$N$513:$N$522)+1,1))*(IF('Gastos com Pessoal'!$S$513:$S$522&lt;=G$3,('Gastos com Pessoal'!$T$513:$T$522)+1,1))*(IF('Gastos com Pessoal'!$Y$513:$Y$522&lt;=G$3,('Gastos com Pessoal'!$Z$513:$Z$522)+1,1))*(IF('Gastos com Pessoal'!$AE$513:$AE$522&lt;=G$3,('Gastos com Pessoal'!$AF$513:$AF$522)+1,1))),0)</f>
        <v>0</v>
      </c>
      <c r="H30" s="188">
        <f t="array" aca="1" ref="H30" ca="1">_xlfn.IFNA(SUM((H$3&gt;='Gastos com Pessoal'!$E$513:$E$522)*(H$3&lt;='Gastos com Pessoal'!$F$513:$F$522)*OFFSET('Encargos e Benefícios'!$D$511,1,MATCH($B30,'Encargos e Benefícios'!$E$511:$AB$511,0),10,1)*(IF('Gastos com Pessoal'!$G$513:$G$522&lt;=H$3,('Gastos com Pessoal'!$H$513:$H$522)+1,1))*(IF('Gastos com Pessoal'!$M$513:$M$522&lt;=H$3,('Gastos com Pessoal'!$N$513:$N$522)+1,1))*(IF('Gastos com Pessoal'!$S$513:$S$522&lt;=H$3,('Gastos com Pessoal'!$T$513:$T$522)+1,1))*(IF('Gastos com Pessoal'!$Y$513:$Y$522&lt;=H$3,('Gastos com Pessoal'!$Z$513:$Z$522)+1,1))*(IF('Gastos com Pessoal'!$AE$513:$AE$522&lt;=H$3,('Gastos com Pessoal'!$AF$513:$AF$522)+1,1))),0)</f>
        <v>0</v>
      </c>
      <c r="I30" s="188">
        <f t="array" aca="1" ref="I30" ca="1">_xlfn.IFNA(SUM((I$3&gt;='Gastos com Pessoal'!$E$513:$E$522)*(I$3&lt;='Gastos com Pessoal'!$F$513:$F$522)*OFFSET('Encargos e Benefícios'!$D$511,1,MATCH($B30,'Encargos e Benefícios'!$E$511:$AB$511,0),10,1)*(IF('Gastos com Pessoal'!$G$513:$G$522&lt;=I$3,('Gastos com Pessoal'!$H$513:$H$522)+1,1))*(IF('Gastos com Pessoal'!$M$513:$M$522&lt;=I$3,('Gastos com Pessoal'!$N$513:$N$522)+1,1))*(IF('Gastos com Pessoal'!$S$513:$S$522&lt;=I$3,('Gastos com Pessoal'!$T$513:$T$522)+1,1))*(IF('Gastos com Pessoal'!$Y$513:$Y$522&lt;=I$3,('Gastos com Pessoal'!$Z$513:$Z$522)+1,1))*(IF('Gastos com Pessoal'!$AE$513:$AE$522&lt;=I$3,('Gastos com Pessoal'!$AF$513:$AF$522)+1,1))),0)</f>
        <v>0</v>
      </c>
      <c r="J30" s="188">
        <f t="array" aca="1" ref="J30" ca="1">_xlfn.IFNA(SUM((J$3&gt;='Gastos com Pessoal'!$E$513:$E$522)*(J$3&lt;='Gastos com Pessoal'!$F$513:$F$522)*OFFSET('Encargos e Benefícios'!$D$511,1,MATCH($B30,'Encargos e Benefícios'!$E$511:$AB$511,0),10,1)*(IF('Gastos com Pessoal'!$G$513:$G$522&lt;=J$3,('Gastos com Pessoal'!$H$513:$H$522)+1,1))*(IF('Gastos com Pessoal'!$M$513:$M$522&lt;=J$3,('Gastos com Pessoal'!$N$513:$N$522)+1,1))*(IF('Gastos com Pessoal'!$S$513:$S$522&lt;=J$3,('Gastos com Pessoal'!$T$513:$T$522)+1,1))*(IF('Gastos com Pessoal'!$Y$513:$Y$522&lt;=J$3,('Gastos com Pessoal'!$Z$513:$Z$522)+1,1))*(IF('Gastos com Pessoal'!$AE$513:$AE$522&lt;=J$3,('Gastos com Pessoal'!$AF$513:$AF$522)+1,1))),0)</f>
        <v>0</v>
      </c>
      <c r="K30" s="188">
        <f t="array" aca="1" ref="K30" ca="1">_xlfn.IFNA(SUM((K$3&gt;='Gastos com Pessoal'!$E$513:$E$522)*(K$3&lt;='Gastos com Pessoal'!$F$513:$F$522)*OFFSET('Encargos e Benefícios'!$D$511,1,MATCH($B30,'Encargos e Benefícios'!$E$511:$AB$511,0),10,1)*(IF('Gastos com Pessoal'!$G$513:$G$522&lt;=K$3,('Gastos com Pessoal'!$H$513:$H$522)+1,1))*(IF('Gastos com Pessoal'!$M$513:$M$522&lt;=K$3,('Gastos com Pessoal'!$N$513:$N$522)+1,1))*(IF('Gastos com Pessoal'!$S$513:$S$522&lt;=K$3,('Gastos com Pessoal'!$T$513:$T$522)+1,1))*(IF('Gastos com Pessoal'!$Y$513:$Y$522&lt;=K$3,('Gastos com Pessoal'!$Z$513:$Z$522)+1,1))*(IF('Gastos com Pessoal'!$AE$513:$AE$522&lt;=K$3,('Gastos com Pessoal'!$AF$513:$AF$522)+1,1))),0)</f>
        <v>0</v>
      </c>
      <c r="L30" s="188">
        <f t="array" aca="1" ref="L30" ca="1">_xlfn.IFNA(SUM((L$3&gt;='Gastos com Pessoal'!$E$513:$E$522)*(L$3&lt;='Gastos com Pessoal'!$F$513:$F$522)*OFFSET('Encargos e Benefícios'!$D$511,1,MATCH($B30,'Encargos e Benefícios'!$E$511:$AB$511,0),10,1)*(IF('Gastos com Pessoal'!$G$513:$G$522&lt;=L$3,('Gastos com Pessoal'!$H$513:$H$522)+1,1))*(IF('Gastos com Pessoal'!$M$513:$M$522&lt;=L$3,('Gastos com Pessoal'!$N$513:$N$522)+1,1))*(IF('Gastos com Pessoal'!$S$513:$S$522&lt;=L$3,('Gastos com Pessoal'!$T$513:$T$522)+1,1))*(IF('Gastos com Pessoal'!$Y$513:$Y$522&lt;=L$3,('Gastos com Pessoal'!$Z$513:$Z$522)+1,1))*(IF('Gastos com Pessoal'!$AE$513:$AE$522&lt;=L$3,('Gastos com Pessoal'!$AF$513:$AF$522)+1,1))),0)</f>
        <v>0</v>
      </c>
      <c r="M30" s="188">
        <f t="array" aca="1" ref="M30" ca="1">_xlfn.IFNA(SUM((M$3&gt;='Gastos com Pessoal'!$E$513:$E$522)*(M$3&lt;='Gastos com Pessoal'!$F$513:$F$522)*OFFSET('Encargos e Benefícios'!$D$511,1,MATCH($B30,'Encargos e Benefícios'!$E$511:$AB$511,0),10,1)*(IF('Gastos com Pessoal'!$G$513:$G$522&lt;=M$3,('Gastos com Pessoal'!$H$513:$H$522)+1,1))*(IF('Gastos com Pessoal'!$M$513:$M$522&lt;=M$3,('Gastos com Pessoal'!$N$513:$N$522)+1,1))*(IF('Gastos com Pessoal'!$S$513:$S$522&lt;=M$3,('Gastos com Pessoal'!$T$513:$T$522)+1,1))*(IF('Gastos com Pessoal'!$Y$513:$Y$522&lt;=M$3,('Gastos com Pessoal'!$Z$513:$Z$522)+1,1))*(IF('Gastos com Pessoal'!$AE$513:$AE$522&lt;=M$3,('Gastos com Pessoal'!$AF$513:$AF$522)+1,1))),0)</f>
        <v>0</v>
      </c>
      <c r="N30" s="188">
        <f t="array" aca="1" ref="N30" ca="1">_xlfn.IFNA(SUM((N$3&gt;='Gastos com Pessoal'!$E$513:$E$522)*(N$3&lt;='Gastos com Pessoal'!$F$513:$F$522)*OFFSET('Encargos e Benefícios'!$D$511,1,MATCH($B30,'Encargos e Benefícios'!$E$511:$AB$511,0),10,1)*(IF('Gastos com Pessoal'!$G$513:$G$522&lt;=N$3,('Gastos com Pessoal'!$H$513:$H$522)+1,1))*(IF('Gastos com Pessoal'!$M$513:$M$522&lt;=N$3,('Gastos com Pessoal'!$N$513:$N$522)+1,1))*(IF('Gastos com Pessoal'!$S$513:$S$522&lt;=N$3,('Gastos com Pessoal'!$T$513:$T$522)+1,1))*(IF('Gastos com Pessoal'!$Y$513:$Y$522&lt;=N$3,('Gastos com Pessoal'!$Z$513:$Z$522)+1,1))*(IF('Gastos com Pessoal'!$AE$513:$AE$522&lt;=N$3,('Gastos com Pessoal'!$AF$513:$AF$522)+1,1))),0)</f>
        <v>0</v>
      </c>
      <c r="O30" s="188">
        <f t="array" aca="1" ref="O30" ca="1">_xlfn.IFNA(SUM((O$3&gt;='Gastos com Pessoal'!$E$513:$E$522)*(O$3&lt;='Gastos com Pessoal'!$F$513:$F$522)*OFFSET('Encargos e Benefícios'!$D$511,1,MATCH($B30,'Encargos e Benefícios'!$E$511:$AB$511,0),10,1)*(IF('Gastos com Pessoal'!$G$513:$G$522&lt;=O$3,('Gastos com Pessoal'!$H$513:$H$522)+1,1))*(IF('Gastos com Pessoal'!$M$513:$M$522&lt;=O$3,('Gastos com Pessoal'!$N$513:$N$522)+1,1))*(IF('Gastos com Pessoal'!$S$513:$S$522&lt;=O$3,('Gastos com Pessoal'!$T$513:$T$522)+1,1))*(IF('Gastos com Pessoal'!$Y$513:$Y$522&lt;=O$3,('Gastos com Pessoal'!$Z$513:$Z$522)+1,1))*(IF('Gastos com Pessoal'!$AE$513:$AE$522&lt;=O$3,('Gastos com Pessoal'!$AF$513:$AF$522)+1,1))),0)</f>
        <v>0</v>
      </c>
      <c r="P30" s="188">
        <f t="array" aca="1" ref="P30" ca="1">_xlfn.IFNA(SUM((P$3&gt;='Gastos com Pessoal'!$E$513:$E$522)*(P$3&lt;='Gastos com Pessoal'!$F$513:$F$522)*OFFSET('Encargos e Benefícios'!$D$511,1,MATCH($B30,'Encargos e Benefícios'!$E$511:$AB$511,0),10,1)*(IF('Gastos com Pessoal'!$G$513:$G$522&lt;=P$3,('Gastos com Pessoal'!$H$513:$H$522)+1,1))*(IF('Gastos com Pessoal'!$M$513:$M$522&lt;=P$3,('Gastos com Pessoal'!$N$513:$N$522)+1,1))*(IF('Gastos com Pessoal'!$S$513:$S$522&lt;=P$3,('Gastos com Pessoal'!$T$513:$T$522)+1,1))*(IF('Gastos com Pessoal'!$Y$513:$Y$522&lt;=P$3,('Gastos com Pessoal'!$Z$513:$Z$522)+1,1))*(IF('Gastos com Pessoal'!$AE$513:$AE$522&lt;=P$3,('Gastos com Pessoal'!$AF$513:$AF$522)+1,1))),0)</f>
        <v>0</v>
      </c>
      <c r="Q30" s="188">
        <f t="array" aca="1" ref="Q30" ca="1">_xlfn.IFNA(SUM((Q$3&gt;='Gastos com Pessoal'!$E$513:$E$522)*(Q$3&lt;='Gastos com Pessoal'!$F$513:$F$522)*OFFSET('Encargos e Benefícios'!$D$511,1,MATCH($B30,'Encargos e Benefícios'!$E$511:$AB$511,0),10,1)*(IF('Gastos com Pessoal'!$G$513:$G$522&lt;=Q$3,('Gastos com Pessoal'!$H$513:$H$522)+1,1))*(IF('Gastos com Pessoal'!$M$513:$M$522&lt;=Q$3,('Gastos com Pessoal'!$N$513:$N$522)+1,1))*(IF('Gastos com Pessoal'!$S$513:$S$522&lt;=Q$3,('Gastos com Pessoal'!$T$513:$T$522)+1,1))*(IF('Gastos com Pessoal'!$Y$513:$Y$522&lt;=Q$3,('Gastos com Pessoal'!$Z$513:$Z$522)+1,1))*(IF('Gastos com Pessoal'!$AE$513:$AE$522&lt;=Q$3,('Gastos com Pessoal'!$AF$513:$AF$522)+1,1))),0)</f>
        <v>0</v>
      </c>
      <c r="R30" s="188">
        <f t="array" aca="1" ref="R30" ca="1">_xlfn.IFNA(SUM((R$3&gt;='Gastos com Pessoal'!$E$513:$E$522)*(R$3&lt;='Gastos com Pessoal'!$F$513:$F$522)*OFFSET('Encargos e Benefícios'!$D$511,1,MATCH($B30,'Encargos e Benefícios'!$E$511:$AB$511,0),10,1)*(IF('Gastos com Pessoal'!$G$513:$G$522&lt;=R$3,('Gastos com Pessoal'!$H$513:$H$522)+1,1))*(IF('Gastos com Pessoal'!$M$513:$M$522&lt;=R$3,('Gastos com Pessoal'!$N$513:$N$522)+1,1))*(IF('Gastos com Pessoal'!$S$513:$S$522&lt;=R$3,('Gastos com Pessoal'!$T$513:$T$522)+1,1))*(IF('Gastos com Pessoal'!$Y$513:$Y$522&lt;=R$3,('Gastos com Pessoal'!$Z$513:$Z$522)+1,1))*(IF('Gastos com Pessoal'!$AE$513:$AE$522&lt;=R$3,('Gastos com Pessoal'!$AF$513:$AF$522)+1,1))),0)</f>
        <v>0</v>
      </c>
      <c r="S30" s="188">
        <f t="array" aca="1" ref="S30" ca="1">_xlfn.IFNA(SUM((S$3&gt;='Gastos com Pessoal'!$E$513:$E$522)*(S$3&lt;='Gastos com Pessoal'!$F$513:$F$522)*OFFSET('Encargos e Benefícios'!$D$511,1,MATCH($B30,'Encargos e Benefícios'!$E$511:$AB$511,0),10,1)*(IF('Gastos com Pessoal'!$G$513:$G$522&lt;=S$3,('Gastos com Pessoal'!$H$513:$H$522)+1,1))*(IF('Gastos com Pessoal'!$M$513:$M$522&lt;=S$3,('Gastos com Pessoal'!$N$513:$N$522)+1,1))*(IF('Gastos com Pessoal'!$S$513:$S$522&lt;=S$3,('Gastos com Pessoal'!$T$513:$T$522)+1,1))*(IF('Gastos com Pessoal'!$Y$513:$Y$522&lt;=S$3,('Gastos com Pessoal'!$Z$513:$Z$522)+1,1))*(IF('Gastos com Pessoal'!$AE$513:$AE$522&lt;=S$3,('Gastos com Pessoal'!$AF$513:$AF$522)+1,1))),0)</f>
        <v>0</v>
      </c>
      <c r="T30" s="188">
        <f t="array" aca="1" ref="T30" ca="1">_xlfn.IFNA(SUM((T$3&gt;='Gastos com Pessoal'!$E$513:$E$522)*(T$3&lt;='Gastos com Pessoal'!$F$513:$F$522)*OFFSET('Encargos e Benefícios'!$D$511,1,MATCH($B30,'Encargos e Benefícios'!$E$511:$AB$511,0),10,1)*(IF('Gastos com Pessoal'!$G$513:$G$522&lt;=T$3,('Gastos com Pessoal'!$H$513:$H$522)+1,1))*(IF('Gastos com Pessoal'!$M$513:$M$522&lt;=T$3,('Gastos com Pessoal'!$N$513:$N$522)+1,1))*(IF('Gastos com Pessoal'!$S$513:$S$522&lt;=T$3,('Gastos com Pessoal'!$T$513:$T$522)+1,1))*(IF('Gastos com Pessoal'!$Y$513:$Y$522&lt;=T$3,('Gastos com Pessoal'!$Z$513:$Z$522)+1,1))*(IF('Gastos com Pessoal'!$AE$513:$AE$522&lt;=T$3,('Gastos com Pessoal'!$AF$513:$AF$522)+1,1))),0)</f>
        <v>0</v>
      </c>
      <c r="U30" s="188">
        <f t="array" aca="1" ref="U30" ca="1">_xlfn.IFNA(SUM((U$3&gt;='Gastos com Pessoal'!$E$513:$E$522)*(U$3&lt;='Gastos com Pessoal'!$F$513:$F$522)*OFFSET('Encargos e Benefícios'!$D$511,1,MATCH($B30,'Encargos e Benefícios'!$E$511:$AB$511,0),10,1)*(IF('Gastos com Pessoal'!$G$513:$G$522&lt;=U$3,('Gastos com Pessoal'!$H$513:$H$522)+1,1))*(IF('Gastos com Pessoal'!$M$513:$M$522&lt;=U$3,('Gastos com Pessoal'!$N$513:$N$522)+1,1))*(IF('Gastos com Pessoal'!$S$513:$S$522&lt;=U$3,('Gastos com Pessoal'!$T$513:$T$522)+1,1))*(IF('Gastos com Pessoal'!$Y$513:$Y$522&lt;=U$3,('Gastos com Pessoal'!$Z$513:$Z$522)+1,1))*(IF('Gastos com Pessoal'!$AE$513:$AE$522&lt;=U$3,('Gastos com Pessoal'!$AF$513:$AF$522)+1,1))),0)</f>
        <v>0</v>
      </c>
      <c r="V30" s="188">
        <f t="array" aca="1" ref="V30" ca="1">_xlfn.IFNA(SUM((V$3&gt;='Gastos com Pessoal'!$E$513:$E$522)*(V$3&lt;='Gastos com Pessoal'!$F$513:$F$522)*OFFSET('Encargos e Benefícios'!$D$511,1,MATCH($B30,'Encargos e Benefícios'!$E$511:$AB$511,0),10,1)*(IF('Gastos com Pessoal'!$G$513:$G$522&lt;=V$3,('Gastos com Pessoal'!$H$513:$H$522)+1,1))*(IF('Gastos com Pessoal'!$M$513:$M$522&lt;=V$3,('Gastos com Pessoal'!$N$513:$N$522)+1,1))*(IF('Gastos com Pessoal'!$S$513:$S$522&lt;=V$3,('Gastos com Pessoal'!$T$513:$T$522)+1,1))*(IF('Gastos com Pessoal'!$Y$513:$Y$522&lt;=V$3,('Gastos com Pessoal'!$Z$513:$Z$522)+1,1))*(IF('Gastos com Pessoal'!$AE$513:$AE$522&lt;=V$3,('Gastos com Pessoal'!$AF$513:$AF$522)+1,1))),0)</f>
        <v>0</v>
      </c>
      <c r="W30" s="188">
        <f t="array" aca="1" ref="W30" ca="1">_xlfn.IFNA(SUM((W$3&gt;='Gastos com Pessoal'!$E$513:$E$522)*(W$3&lt;='Gastos com Pessoal'!$F$513:$F$522)*OFFSET('Encargos e Benefícios'!$D$511,1,MATCH($B30,'Encargos e Benefícios'!$E$511:$AB$511,0),10,1)*(IF('Gastos com Pessoal'!$G$513:$G$522&lt;=W$3,('Gastos com Pessoal'!$H$513:$H$522)+1,1))*(IF('Gastos com Pessoal'!$M$513:$M$522&lt;=W$3,('Gastos com Pessoal'!$N$513:$N$522)+1,1))*(IF('Gastos com Pessoal'!$S$513:$S$522&lt;=W$3,('Gastos com Pessoal'!$T$513:$T$522)+1,1))*(IF('Gastos com Pessoal'!$Y$513:$Y$522&lt;=W$3,('Gastos com Pessoal'!$Z$513:$Z$522)+1,1))*(IF('Gastos com Pessoal'!$AE$513:$AE$522&lt;=W$3,('Gastos com Pessoal'!$AF$513:$AF$522)+1,1))),0)</f>
        <v>0</v>
      </c>
      <c r="X30" s="188">
        <f t="array" aca="1" ref="X30" ca="1">_xlfn.IFNA(SUM((X$3&gt;='Gastos com Pessoal'!$E$513:$E$522)*(X$3&lt;='Gastos com Pessoal'!$F$513:$F$522)*OFFSET('Encargos e Benefícios'!$D$511,1,MATCH($B30,'Encargos e Benefícios'!$E$511:$AB$511,0),10,1)*(IF('Gastos com Pessoal'!$G$513:$G$522&lt;=X$3,('Gastos com Pessoal'!$H$513:$H$522)+1,1))*(IF('Gastos com Pessoal'!$M$513:$M$522&lt;=X$3,('Gastos com Pessoal'!$N$513:$N$522)+1,1))*(IF('Gastos com Pessoal'!$S$513:$S$522&lt;=X$3,('Gastos com Pessoal'!$T$513:$T$522)+1,1))*(IF('Gastos com Pessoal'!$Y$513:$Y$522&lt;=X$3,('Gastos com Pessoal'!$Z$513:$Z$522)+1,1))*(IF('Gastos com Pessoal'!$AE$513:$AE$522&lt;=X$3,('Gastos com Pessoal'!$AF$513:$AF$522)+1,1))),0)</f>
        <v>0</v>
      </c>
      <c r="Y30" s="188">
        <f t="array" aca="1" ref="Y30" ca="1">_xlfn.IFNA(SUM((Y$3&gt;='Gastos com Pessoal'!$E$513:$E$522)*(Y$3&lt;='Gastos com Pessoal'!$F$513:$F$522)*OFFSET('Encargos e Benefícios'!$D$511,1,MATCH($B30,'Encargos e Benefícios'!$E$511:$AB$511,0),10,1)*(IF('Gastos com Pessoal'!$G$513:$G$522&lt;=Y$3,('Gastos com Pessoal'!$H$513:$H$522)+1,1))*(IF('Gastos com Pessoal'!$M$513:$M$522&lt;=Y$3,('Gastos com Pessoal'!$N$513:$N$522)+1,1))*(IF('Gastos com Pessoal'!$S$513:$S$522&lt;=Y$3,('Gastos com Pessoal'!$T$513:$T$522)+1,1))*(IF('Gastos com Pessoal'!$Y$513:$Y$522&lt;=Y$3,('Gastos com Pessoal'!$Z$513:$Z$522)+1,1))*(IF('Gastos com Pessoal'!$AE$513:$AE$522&lt;=Y$3,('Gastos com Pessoal'!$AF$513:$AF$522)+1,1))),0)</f>
        <v>0</v>
      </c>
      <c r="Z30" s="188">
        <f t="array" aca="1" ref="Z30" ca="1">_xlfn.IFNA(SUM((Z$3&gt;='Gastos com Pessoal'!$E$513:$E$522)*(Z$3&lt;='Gastos com Pessoal'!$F$513:$F$522)*OFFSET('Encargos e Benefícios'!$D$511,1,MATCH($B30,'Encargos e Benefícios'!$E$511:$AB$511,0),10,1)*(IF('Gastos com Pessoal'!$G$513:$G$522&lt;=Z$3,('Gastos com Pessoal'!$H$513:$H$522)+1,1))*(IF('Gastos com Pessoal'!$M$513:$M$522&lt;=Z$3,('Gastos com Pessoal'!$N$513:$N$522)+1,1))*(IF('Gastos com Pessoal'!$S$513:$S$522&lt;=Z$3,('Gastos com Pessoal'!$T$513:$T$522)+1,1))*(IF('Gastos com Pessoal'!$Y$513:$Y$522&lt;=Z$3,('Gastos com Pessoal'!$Z$513:$Z$522)+1,1))*(IF('Gastos com Pessoal'!$AE$513:$AE$522&lt;=Z$3,('Gastos com Pessoal'!$AF$513:$AF$522)+1,1))),0)</f>
        <v>0</v>
      </c>
      <c r="AA30" s="188">
        <f t="array" aca="1" ref="AA30" ca="1">_xlfn.IFNA(SUM((AA$3&gt;='Gastos com Pessoal'!$E$513:$E$522)*(AA$3&lt;='Gastos com Pessoal'!$F$513:$F$522)*OFFSET('Encargos e Benefícios'!$D$511,1,MATCH($B30,'Encargos e Benefícios'!$E$511:$AB$511,0),10,1)*(IF('Gastos com Pessoal'!$G$513:$G$522&lt;=AA$3,('Gastos com Pessoal'!$H$513:$H$522)+1,1))*(IF('Gastos com Pessoal'!$M$513:$M$522&lt;=AA$3,('Gastos com Pessoal'!$N$513:$N$522)+1,1))*(IF('Gastos com Pessoal'!$S$513:$S$522&lt;=AA$3,('Gastos com Pessoal'!$T$513:$T$522)+1,1))*(IF('Gastos com Pessoal'!$Y$513:$Y$522&lt;=AA$3,('Gastos com Pessoal'!$Z$513:$Z$522)+1,1))*(IF('Gastos com Pessoal'!$AE$513:$AE$522&lt;=AA$3,('Gastos com Pessoal'!$AF$513:$AF$522)+1,1))),0)</f>
        <v>0</v>
      </c>
      <c r="AB30" s="188">
        <f t="array" aca="1" ref="AB30" ca="1">_xlfn.IFNA(SUM((AB$3&gt;='Gastos com Pessoal'!$E$513:$E$522)*(AB$3&lt;='Gastos com Pessoal'!$F$513:$F$522)*OFFSET('Encargos e Benefícios'!$D$511,1,MATCH($B30,'Encargos e Benefícios'!$E$511:$AB$511,0),10,1)*(IF('Gastos com Pessoal'!$G$513:$G$522&lt;=AB$3,('Gastos com Pessoal'!$H$513:$H$522)+1,1))*(IF('Gastos com Pessoal'!$M$513:$M$522&lt;=AB$3,('Gastos com Pessoal'!$N$513:$N$522)+1,1))*(IF('Gastos com Pessoal'!$S$513:$S$522&lt;=AB$3,('Gastos com Pessoal'!$T$513:$T$522)+1,1))*(IF('Gastos com Pessoal'!$Y$513:$Y$522&lt;=AB$3,('Gastos com Pessoal'!$Z$513:$Z$522)+1,1))*(IF('Gastos com Pessoal'!$AE$513:$AE$522&lt;=AB$3,('Gastos com Pessoal'!$AF$513:$AF$522)+1,1))),0)</f>
        <v>0</v>
      </c>
      <c r="AC30" s="188">
        <f t="array" aca="1" ref="AC30" ca="1">_xlfn.IFNA(SUM((AC$3&gt;='Gastos com Pessoal'!$E$513:$E$522)*(AC$3&lt;='Gastos com Pessoal'!$F$513:$F$522)*OFFSET('Encargos e Benefícios'!$D$511,1,MATCH($B30,'Encargos e Benefícios'!$E$511:$AB$511,0),10,1)*(IF('Gastos com Pessoal'!$G$513:$G$522&lt;=AC$3,('Gastos com Pessoal'!$H$513:$H$522)+1,1))*(IF('Gastos com Pessoal'!$M$513:$M$522&lt;=AC$3,('Gastos com Pessoal'!$N$513:$N$522)+1,1))*(IF('Gastos com Pessoal'!$S$513:$S$522&lt;=AC$3,('Gastos com Pessoal'!$T$513:$T$522)+1,1))*(IF('Gastos com Pessoal'!$Y$513:$Y$522&lt;=AC$3,('Gastos com Pessoal'!$Z$513:$Z$522)+1,1))*(IF('Gastos com Pessoal'!$AE$513:$AE$522&lt;=AC$3,('Gastos com Pessoal'!$AF$513:$AF$522)+1,1))),0)</f>
        <v>0</v>
      </c>
      <c r="AD30" s="188">
        <f t="array" aca="1" ref="AD30" ca="1">_xlfn.IFNA(SUM((AD$3&gt;='Gastos com Pessoal'!$E$513:$E$522)*(AD$3&lt;='Gastos com Pessoal'!$F$513:$F$522)*OFFSET('Encargos e Benefícios'!$D$511,1,MATCH($B30,'Encargos e Benefícios'!$E$511:$AB$511,0),10,1)*(IF('Gastos com Pessoal'!$G$513:$G$522&lt;=AD$3,('Gastos com Pessoal'!$H$513:$H$522)+1,1))*(IF('Gastos com Pessoal'!$M$513:$M$522&lt;=AD$3,('Gastos com Pessoal'!$N$513:$N$522)+1,1))*(IF('Gastos com Pessoal'!$S$513:$S$522&lt;=AD$3,('Gastos com Pessoal'!$T$513:$T$522)+1,1))*(IF('Gastos com Pessoal'!$Y$513:$Y$522&lt;=AD$3,('Gastos com Pessoal'!$Z$513:$Z$522)+1,1))*(IF('Gastos com Pessoal'!$AE$513:$AE$522&lt;=AD$3,('Gastos com Pessoal'!$AF$513:$AF$522)+1,1))),0)</f>
        <v>0</v>
      </c>
      <c r="AE30" s="188">
        <f t="array" aca="1" ref="AE30" ca="1">_xlfn.IFNA(SUM((AE$3&gt;='Gastos com Pessoal'!$E$513:$E$522)*(AE$3&lt;='Gastos com Pessoal'!$F$513:$F$522)*OFFSET('Encargos e Benefícios'!$D$511,1,MATCH($B30,'Encargos e Benefícios'!$E$511:$AB$511,0),10,1)*(IF('Gastos com Pessoal'!$G$513:$G$522&lt;=AE$3,('Gastos com Pessoal'!$H$513:$H$522)+1,1))*(IF('Gastos com Pessoal'!$M$513:$M$522&lt;=AE$3,('Gastos com Pessoal'!$N$513:$N$522)+1,1))*(IF('Gastos com Pessoal'!$S$513:$S$522&lt;=AE$3,('Gastos com Pessoal'!$T$513:$T$522)+1,1))*(IF('Gastos com Pessoal'!$Y$513:$Y$522&lt;=AE$3,('Gastos com Pessoal'!$Z$513:$Z$522)+1,1))*(IF('Gastos com Pessoal'!$AE$513:$AE$522&lt;=AE$3,('Gastos com Pessoal'!$AF$513:$AF$522)+1,1))),0)</f>
        <v>0</v>
      </c>
      <c r="AF30" s="188">
        <f t="array" aca="1" ref="AF30" ca="1">_xlfn.IFNA(SUM((AF$3&gt;='Gastos com Pessoal'!$E$513:$E$522)*(AF$3&lt;='Gastos com Pessoal'!$F$513:$F$522)*OFFSET('Encargos e Benefícios'!$D$511,1,MATCH($B30,'Encargos e Benefícios'!$E$511:$AB$511,0),10,1)*(IF('Gastos com Pessoal'!$G$513:$G$522&lt;=AF$3,('Gastos com Pessoal'!$H$513:$H$522)+1,1))*(IF('Gastos com Pessoal'!$M$513:$M$522&lt;=AF$3,('Gastos com Pessoal'!$N$513:$N$522)+1,1))*(IF('Gastos com Pessoal'!$S$513:$S$522&lt;=AF$3,('Gastos com Pessoal'!$T$513:$T$522)+1,1))*(IF('Gastos com Pessoal'!$Y$513:$Y$522&lt;=AF$3,('Gastos com Pessoal'!$Z$513:$Z$522)+1,1))*(IF('Gastos com Pessoal'!$AE$513:$AE$522&lt;=AF$3,('Gastos com Pessoal'!$AF$513:$AF$522)+1,1))),0)</f>
        <v>0</v>
      </c>
      <c r="AG30" s="188">
        <f t="array" aca="1" ref="AG30" ca="1">_xlfn.IFNA(SUM((AG$3&gt;='Gastos com Pessoal'!$E$513:$E$522)*(AG$3&lt;='Gastos com Pessoal'!$F$513:$F$522)*OFFSET('Encargos e Benefícios'!$D$511,1,MATCH($B30,'Encargos e Benefícios'!$E$511:$AB$511,0),10,1)*(IF('Gastos com Pessoal'!$G$513:$G$522&lt;=AG$3,('Gastos com Pessoal'!$H$513:$H$522)+1,1))*(IF('Gastos com Pessoal'!$M$513:$M$522&lt;=AG$3,('Gastos com Pessoal'!$N$513:$N$522)+1,1))*(IF('Gastos com Pessoal'!$S$513:$S$522&lt;=AG$3,('Gastos com Pessoal'!$T$513:$T$522)+1,1))*(IF('Gastos com Pessoal'!$Y$513:$Y$522&lt;=AG$3,('Gastos com Pessoal'!$Z$513:$Z$522)+1,1))*(IF('Gastos com Pessoal'!$AE$513:$AE$522&lt;=AG$3,('Gastos com Pessoal'!$AF$513:$AF$522)+1,1))),0)</f>
        <v>0</v>
      </c>
      <c r="AH30" s="188">
        <f t="array" aca="1" ref="AH30" ca="1">_xlfn.IFNA(SUM((AH$3&gt;='Gastos com Pessoal'!$E$513:$E$522)*(AH$3&lt;='Gastos com Pessoal'!$F$513:$F$522)*OFFSET('Encargos e Benefícios'!$D$511,1,MATCH($B30,'Encargos e Benefícios'!$E$511:$AB$511,0),10,1)*(IF('Gastos com Pessoal'!$G$513:$G$522&lt;=AH$3,('Gastos com Pessoal'!$H$513:$H$522)+1,1))*(IF('Gastos com Pessoal'!$M$513:$M$522&lt;=AH$3,('Gastos com Pessoal'!$N$513:$N$522)+1,1))*(IF('Gastos com Pessoal'!$S$513:$S$522&lt;=AH$3,('Gastos com Pessoal'!$T$513:$T$522)+1,1))*(IF('Gastos com Pessoal'!$Y$513:$Y$522&lt;=AH$3,('Gastos com Pessoal'!$Z$513:$Z$522)+1,1))*(IF('Gastos com Pessoal'!$AE$513:$AE$522&lt;=AH$3,('Gastos com Pessoal'!$AF$513:$AF$522)+1,1))),0)</f>
        <v>0</v>
      </c>
      <c r="AI30" s="188">
        <f t="array" aca="1" ref="AI30" ca="1">_xlfn.IFNA(SUM((AI$3&gt;='Gastos com Pessoal'!$E$513:$E$522)*(AI$3&lt;='Gastos com Pessoal'!$F$513:$F$522)*OFFSET('Encargos e Benefícios'!$D$511,1,MATCH($B30,'Encargos e Benefícios'!$E$511:$AB$511,0),10,1)*(IF('Gastos com Pessoal'!$G$513:$G$522&lt;=AI$3,('Gastos com Pessoal'!$H$513:$H$522)+1,1))*(IF('Gastos com Pessoal'!$M$513:$M$522&lt;=AI$3,('Gastos com Pessoal'!$N$513:$N$522)+1,1))*(IF('Gastos com Pessoal'!$S$513:$S$522&lt;=AI$3,('Gastos com Pessoal'!$T$513:$T$522)+1,1))*(IF('Gastos com Pessoal'!$Y$513:$Y$522&lt;=AI$3,('Gastos com Pessoal'!$Z$513:$Z$522)+1,1))*(IF('Gastos com Pessoal'!$AE$513:$AE$522&lt;=AI$3,('Gastos com Pessoal'!$AF$513:$AF$522)+1,1))),0)</f>
        <v>0</v>
      </c>
      <c r="AJ30" s="188">
        <f t="array" aca="1" ref="AJ30" ca="1">_xlfn.IFNA(SUM((AJ$3&gt;='Gastos com Pessoal'!$E$513:$E$522)*(AJ$3&lt;='Gastos com Pessoal'!$F$513:$F$522)*OFFSET('Encargos e Benefícios'!$D$511,1,MATCH($B30,'Encargos e Benefícios'!$E$511:$AB$511,0),10,1)*(IF('Gastos com Pessoal'!$G$513:$G$522&lt;=AJ$3,('Gastos com Pessoal'!$H$513:$H$522)+1,1))*(IF('Gastos com Pessoal'!$M$513:$M$522&lt;=AJ$3,('Gastos com Pessoal'!$N$513:$N$522)+1,1))*(IF('Gastos com Pessoal'!$S$513:$S$522&lt;=AJ$3,('Gastos com Pessoal'!$T$513:$T$522)+1,1))*(IF('Gastos com Pessoal'!$Y$513:$Y$522&lt;=AJ$3,('Gastos com Pessoal'!$Z$513:$Z$522)+1,1))*(IF('Gastos com Pessoal'!$AE$513:$AE$522&lt;=AJ$3,('Gastos com Pessoal'!$AF$513:$AF$522)+1,1))),0)</f>
        <v>0</v>
      </c>
      <c r="AK30" s="188">
        <f t="array" aca="1" ref="AK30" ca="1">_xlfn.IFNA(SUM((AK$3&gt;='Gastos com Pessoal'!$E$513:$E$522)*(AK$3&lt;='Gastos com Pessoal'!$F$513:$F$522)*OFFSET('Encargos e Benefícios'!$D$511,1,MATCH($B30,'Encargos e Benefícios'!$E$511:$AB$511,0),10,1)*(IF('Gastos com Pessoal'!$G$513:$G$522&lt;=AK$3,('Gastos com Pessoal'!$H$513:$H$522)+1,1))*(IF('Gastos com Pessoal'!$M$513:$M$522&lt;=AK$3,('Gastos com Pessoal'!$N$513:$N$522)+1,1))*(IF('Gastos com Pessoal'!$S$513:$S$522&lt;=AK$3,('Gastos com Pessoal'!$T$513:$T$522)+1,1))*(IF('Gastos com Pessoal'!$Y$513:$Y$522&lt;=AK$3,('Gastos com Pessoal'!$Z$513:$Z$522)+1,1))*(IF('Gastos com Pessoal'!$AE$513:$AE$522&lt;=AK$3,('Gastos com Pessoal'!$AF$513:$AF$522)+1,1))),0)</f>
        <v>0</v>
      </c>
      <c r="AL30" s="188">
        <f t="array" aca="1" ref="AL30" ca="1">_xlfn.IFNA(SUM((AL$3&gt;='Gastos com Pessoal'!$E$513:$E$522)*(AL$3&lt;='Gastos com Pessoal'!$F$513:$F$522)*OFFSET('Encargos e Benefícios'!$D$511,1,MATCH($B30,'Encargos e Benefícios'!$E$511:$AB$511,0),10,1)*(IF('Gastos com Pessoal'!$G$513:$G$522&lt;=AL$3,('Gastos com Pessoal'!$H$513:$H$522)+1,1))*(IF('Gastos com Pessoal'!$M$513:$M$522&lt;=AL$3,('Gastos com Pessoal'!$N$513:$N$522)+1,1))*(IF('Gastos com Pessoal'!$S$513:$S$522&lt;=AL$3,('Gastos com Pessoal'!$T$513:$T$522)+1,1))*(IF('Gastos com Pessoal'!$Y$513:$Y$522&lt;=AL$3,('Gastos com Pessoal'!$Z$513:$Z$522)+1,1))*(IF('Gastos com Pessoal'!$AE$513:$AE$522&lt;=AL$3,('Gastos com Pessoal'!$AF$513:$AF$522)+1,1))),0)</f>
        <v>0</v>
      </c>
      <c r="AM30" s="188">
        <f t="array" aca="1" ref="AM30" ca="1">_xlfn.IFNA(SUM((AM$3&gt;='Gastos com Pessoal'!$E$513:$E$522)*(AM$3&lt;='Gastos com Pessoal'!$F$513:$F$522)*OFFSET('Encargos e Benefícios'!$D$511,1,MATCH($B30,'Encargos e Benefícios'!$E$511:$AB$511,0),10,1)*(IF('Gastos com Pessoal'!$G$513:$G$522&lt;=AM$3,('Gastos com Pessoal'!$H$513:$H$522)+1,1))*(IF('Gastos com Pessoal'!$M$513:$M$522&lt;=AM$3,('Gastos com Pessoal'!$N$513:$N$522)+1,1))*(IF('Gastos com Pessoal'!$S$513:$S$522&lt;=AM$3,('Gastos com Pessoal'!$T$513:$T$522)+1,1))*(IF('Gastos com Pessoal'!$Y$513:$Y$522&lt;=AM$3,('Gastos com Pessoal'!$Z$513:$Z$522)+1,1))*(IF('Gastos com Pessoal'!$AE$513:$AE$522&lt;=AM$3,('Gastos com Pessoal'!$AF$513:$AF$522)+1,1))),0)</f>
        <v>0</v>
      </c>
      <c r="AN30" s="188">
        <f t="array" aca="1" ref="AN30" ca="1">_xlfn.IFNA(SUM((AN$3&gt;='Gastos com Pessoal'!$E$513:$E$522)*(AN$3&lt;='Gastos com Pessoal'!$F$513:$F$522)*OFFSET('Encargos e Benefícios'!$D$511,1,MATCH($B30,'Encargos e Benefícios'!$E$511:$AB$511,0),10,1)*(IF('Gastos com Pessoal'!$G$513:$G$522&lt;=AN$3,('Gastos com Pessoal'!$H$513:$H$522)+1,1))*(IF('Gastos com Pessoal'!$M$513:$M$522&lt;=AN$3,('Gastos com Pessoal'!$N$513:$N$522)+1,1))*(IF('Gastos com Pessoal'!$S$513:$S$522&lt;=AN$3,('Gastos com Pessoal'!$T$513:$T$522)+1,1))*(IF('Gastos com Pessoal'!$Y$513:$Y$522&lt;=AN$3,('Gastos com Pessoal'!$Z$513:$Z$522)+1,1))*(IF('Gastos com Pessoal'!$AE$513:$AE$522&lt;=AN$3,('Gastos com Pessoal'!$AF$513:$AF$522)+1,1))),0)</f>
        <v>0</v>
      </c>
      <c r="AO30" s="188">
        <f t="array" aca="1" ref="AO30" ca="1">_xlfn.IFNA(SUM((AO$3&gt;='Gastos com Pessoal'!$E$513:$E$522)*(AO$3&lt;='Gastos com Pessoal'!$F$513:$F$522)*OFFSET('Encargos e Benefícios'!$D$511,1,MATCH($B30,'Encargos e Benefícios'!$E$511:$AB$511,0),10,1)*(IF('Gastos com Pessoal'!$G$513:$G$522&lt;=AO$3,('Gastos com Pessoal'!$H$513:$H$522)+1,1))*(IF('Gastos com Pessoal'!$M$513:$M$522&lt;=AO$3,('Gastos com Pessoal'!$N$513:$N$522)+1,1))*(IF('Gastos com Pessoal'!$S$513:$S$522&lt;=AO$3,('Gastos com Pessoal'!$T$513:$T$522)+1,1))*(IF('Gastos com Pessoal'!$Y$513:$Y$522&lt;=AO$3,('Gastos com Pessoal'!$Z$513:$Z$522)+1,1))*(IF('Gastos com Pessoal'!$AE$513:$AE$522&lt;=AO$3,('Gastos com Pessoal'!$AF$513:$AF$522)+1,1))),0)</f>
        <v>0</v>
      </c>
      <c r="AP30" s="188">
        <f t="array" aca="1" ref="AP30" ca="1">_xlfn.IFNA(SUM((AP$3&gt;='Gastos com Pessoal'!$E$513:$E$522)*(AP$3&lt;='Gastos com Pessoal'!$F$513:$F$522)*OFFSET('Encargos e Benefícios'!$D$511,1,MATCH($B30,'Encargos e Benefícios'!$E$511:$AB$511,0),10,1)*(IF('Gastos com Pessoal'!$G$513:$G$522&lt;=AP$3,('Gastos com Pessoal'!$H$513:$H$522)+1,1))*(IF('Gastos com Pessoal'!$M$513:$M$522&lt;=AP$3,('Gastos com Pessoal'!$N$513:$N$522)+1,1))*(IF('Gastos com Pessoal'!$S$513:$S$522&lt;=AP$3,('Gastos com Pessoal'!$T$513:$T$522)+1,1))*(IF('Gastos com Pessoal'!$Y$513:$Y$522&lt;=AP$3,('Gastos com Pessoal'!$Z$513:$Z$522)+1,1))*(IF('Gastos com Pessoal'!$AE$513:$AE$522&lt;=AP$3,('Gastos com Pessoal'!$AF$513:$AF$522)+1,1))),0)</f>
        <v>0</v>
      </c>
      <c r="AQ30" s="188">
        <f t="array" aca="1" ref="AQ30" ca="1">_xlfn.IFNA(SUM((AQ$3&gt;='Gastos com Pessoal'!$E$513:$E$522)*(AQ$3&lt;='Gastos com Pessoal'!$F$513:$F$522)*OFFSET('Encargos e Benefícios'!$D$511,1,MATCH($B30,'Encargos e Benefícios'!$E$511:$AB$511,0),10,1)*(IF('Gastos com Pessoal'!$G$513:$G$522&lt;=AQ$3,('Gastos com Pessoal'!$H$513:$H$522)+1,1))*(IF('Gastos com Pessoal'!$M$513:$M$522&lt;=AQ$3,('Gastos com Pessoal'!$N$513:$N$522)+1,1))*(IF('Gastos com Pessoal'!$S$513:$S$522&lt;=AQ$3,('Gastos com Pessoal'!$T$513:$T$522)+1,1))*(IF('Gastos com Pessoal'!$Y$513:$Y$522&lt;=AQ$3,('Gastos com Pessoal'!$Z$513:$Z$522)+1,1))*(IF('Gastos com Pessoal'!$AE$513:$AE$522&lt;=AQ$3,('Gastos com Pessoal'!$AF$513:$AF$522)+1,1))),0)</f>
        <v>0</v>
      </c>
      <c r="AR30" s="188">
        <f t="array" aca="1" ref="AR30" ca="1">_xlfn.IFNA(SUM((AR$3&gt;='Gastos com Pessoal'!$E$513:$E$522)*(AR$3&lt;='Gastos com Pessoal'!$F$513:$F$522)*OFFSET('Encargos e Benefícios'!$D$511,1,MATCH($B30,'Encargos e Benefícios'!$E$511:$AB$511,0),10,1)*(IF('Gastos com Pessoal'!$G$513:$G$522&lt;=AR$3,('Gastos com Pessoal'!$H$513:$H$522)+1,1))*(IF('Gastos com Pessoal'!$M$513:$M$522&lt;=AR$3,('Gastos com Pessoal'!$N$513:$N$522)+1,1))*(IF('Gastos com Pessoal'!$S$513:$S$522&lt;=AR$3,('Gastos com Pessoal'!$T$513:$T$522)+1,1))*(IF('Gastos com Pessoal'!$Y$513:$Y$522&lt;=AR$3,('Gastos com Pessoal'!$Z$513:$Z$522)+1,1))*(IF('Gastos com Pessoal'!$AE$513:$AE$522&lt;=AR$3,('Gastos com Pessoal'!$AF$513:$AF$522)+1,1))),0)</f>
        <v>0</v>
      </c>
      <c r="AS30" s="188">
        <f t="array" aca="1" ref="AS30" ca="1">_xlfn.IFNA(SUM((AS$3&gt;='Gastos com Pessoal'!$E$513:$E$522)*(AS$3&lt;='Gastos com Pessoal'!$F$513:$F$522)*OFFSET('Encargos e Benefícios'!$D$511,1,MATCH($B30,'Encargos e Benefícios'!$E$511:$AB$511,0),10,1)*(IF('Gastos com Pessoal'!$G$513:$G$522&lt;=AS$3,('Gastos com Pessoal'!$H$513:$H$522)+1,1))*(IF('Gastos com Pessoal'!$M$513:$M$522&lt;=AS$3,('Gastos com Pessoal'!$N$513:$N$522)+1,1))*(IF('Gastos com Pessoal'!$S$513:$S$522&lt;=AS$3,('Gastos com Pessoal'!$T$513:$T$522)+1,1))*(IF('Gastos com Pessoal'!$Y$513:$Y$522&lt;=AS$3,('Gastos com Pessoal'!$Z$513:$Z$522)+1,1))*(IF('Gastos com Pessoal'!$AE$513:$AE$522&lt;=AS$3,('Gastos com Pessoal'!$AF$513:$AF$522)+1,1))),0)</f>
        <v>0</v>
      </c>
      <c r="AT30" s="188">
        <f t="array" aca="1" ref="AT30" ca="1">_xlfn.IFNA(SUM((AT$3&gt;='Gastos com Pessoal'!$E$513:$E$522)*(AT$3&lt;='Gastos com Pessoal'!$F$513:$F$522)*OFFSET('Encargos e Benefícios'!$D$511,1,MATCH($B30,'Encargos e Benefícios'!$E$511:$AB$511,0),10,1)*(IF('Gastos com Pessoal'!$G$513:$G$522&lt;=AT$3,('Gastos com Pessoal'!$H$513:$H$522)+1,1))*(IF('Gastos com Pessoal'!$M$513:$M$522&lt;=AT$3,('Gastos com Pessoal'!$N$513:$N$522)+1,1))*(IF('Gastos com Pessoal'!$S$513:$S$522&lt;=AT$3,('Gastos com Pessoal'!$T$513:$T$522)+1,1))*(IF('Gastos com Pessoal'!$Y$513:$Y$522&lt;=AT$3,('Gastos com Pessoal'!$Z$513:$Z$522)+1,1))*(IF('Gastos com Pessoal'!$AE$513:$AE$522&lt;=AT$3,('Gastos com Pessoal'!$AF$513:$AF$522)+1,1))),0)</f>
        <v>0</v>
      </c>
      <c r="AU30" s="188">
        <f t="array" aca="1" ref="AU30" ca="1">_xlfn.IFNA(SUM((AU$3&gt;='Gastos com Pessoal'!$E$513:$E$522)*(AU$3&lt;='Gastos com Pessoal'!$F$513:$F$522)*OFFSET('Encargos e Benefícios'!$D$511,1,MATCH($B30,'Encargos e Benefícios'!$E$511:$AB$511,0),10,1)*(IF('Gastos com Pessoal'!$G$513:$G$522&lt;=AU$3,('Gastos com Pessoal'!$H$513:$H$522)+1,1))*(IF('Gastos com Pessoal'!$M$513:$M$522&lt;=AU$3,('Gastos com Pessoal'!$N$513:$N$522)+1,1))*(IF('Gastos com Pessoal'!$S$513:$S$522&lt;=AU$3,('Gastos com Pessoal'!$T$513:$T$522)+1,1))*(IF('Gastos com Pessoal'!$Y$513:$Y$522&lt;=AU$3,('Gastos com Pessoal'!$Z$513:$Z$522)+1,1))*(IF('Gastos com Pessoal'!$AE$513:$AE$522&lt;=AU$3,('Gastos com Pessoal'!$AF$513:$AF$522)+1,1))),0)</f>
        <v>0</v>
      </c>
      <c r="AV30" s="188">
        <f t="array" aca="1" ref="AV30" ca="1">_xlfn.IFNA(SUM((AV$3&gt;='Gastos com Pessoal'!$E$513:$E$522)*(AV$3&lt;='Gastos com Pessoal'!$F$513:$F$522)*OFFSET('Encargos e Benefícios'!$D$511,1,MATCH($B30,'Encargos e Benefícios'!$E$511:$AB$511,0),10,1)*(IF('Gastos com Pessoal'!$G$513:$G$522&lt;=AV$3,('Gastos com Pessoal'!$H$513:$H$522)+1,1))*(IF('Gastos com Pessoal'!$M$513:$M$522&lt;=AV$3,('Gastos com Pessoal'!$N$513:$N$522)+1,1))*(IF('Gastos com Pessoal'!$S$513:$S$522&lt;=AV$3,('Gastos com Pessoal'!$T$513:$T$522)+1,1))*(IF('Gastos com Pessoal'!$Y$513:$Y$522&lt;=AV$3,('Gastos com Pessoal'!$Z$513:$Z$522)+1,1))*(IF('Gastos com Pessoal'!$AE$513:$AE$522&lt;=AV$3,('Gastos com Pessoal'!$AF$513:$AF$522)+1,1))),0)</f>
        <v>0</v>
      </c>
      <c r="AW30" s="188">
        <f t="array" aca="1" ref="AW30" ca="1">_xlfn.IFNA(SUM((AW$3&gt;='Gastos com Pessoal'!$E$513:$E$522)*(AW$3&lt;='Gastos com Pessoal'!$F$513:$F$522)*OFFSET('Encargos e Benefícios'!$D$511,1,MATCH($B30,'Encargos e Benefícios'!$E$511:$AB$511,0),10,1)*(IF('Gastos com Pessoal'!$G$513:$G$522&lt;=AW$3,('Gastos com Pessoal'!$H$513:$H$522)+1,1))*(IF('Gastos com Pessoal'!$M$513:$M$522&lt;=AW$3,('Gastos com Pessoal'!$N$513:$N$522)+1,1))*(IF('Gastos com Pessoal'!$S$513:$S$522&lt;=AW$3,('Gastos com Pessoal'!$T$513:$T$522)+1,1))*(IF('Gastos com Pessoal'!$Y$513:$Y$522&lt;=AW$3,('Gastos com Pessoal'!$Z$513:$Z$522)+1,1))*(IF('Gastos com Pessoal'!$AE$513:$AE$522&lt;=AW$3,('Gastos com Pessoal'!$AF$513:$AF$522)+1,1))),0)</f>
        <v>0</v>
      </c>
      <c r="AX30" s="188">
        <f t="array" aca="1" ref="AX30" ca="1">_xlfn.IFNA(SUM((AX$3&gt;='Gastos com Pessoal'!$E$513:$E$522)*(AX$3&lt;='Gastos com Pessoal'!$F$513:$F$522)*OFFSET('Encargos e Benefícios'!$D$511,1,MATCH($B30,'Encargos e Benefícios'!$E$511:$AB$511,0),10,1)*(IF('Gastos com Pessoal'!$G$513:$G$522&lt;=AX$3,('Gastos com Pessoal'!$H$513:$H$522)+1,1))*(IF('Gastos com Pessoal'!$M$513:$M$522&lt;=AX$3,('Gastos com Pessoal'!$N$513:$N$522)+1,1))*(IF('Gastos com Pessoal'!$S$513:$S$522&lt;=AX$3,('Gastos com Pessoal'!$T$513:$T$522)+1,1))*(IF('Gastos com Pessoal'!$Y$513:$Y$522&lt;=AX$3,('Gastos com Pessoal'!$Z$513:$Z$522)+1,1))*(IF('Gastos com Pessoal'!$AE$513:$AE$522&lt;=AX$3,('Gastos com Pessoal'!$AF$513:$AF$522)+1,1))),0)</f>
        <v>0</v>
      </c>
      <c r="AY30" s="188">
        <f t="array" aca="1" ref="AY30" ca="1">_xlfn.IFNA(SUM((AY$3&gt;='Gastos com Pessoal'!$E$513:$E$522)*(AY$3&lt;='Gastos com Pessoal'!$F$513:$F$522)*OFFSET('Encargos e Benefícios'!$D$511,1,MATCH($B30,'Encargos e Benefícios'!$E$511:$AB$511,0),10,1)*(IF('Gastos com Pessoal'!$G$513:$G$522&lt;=AY$3,('Gastos com Pessoal'!$H$513:$H$522)+1,1))*(IF('Gastos com Pessoal'!$M$513:$M$522&lt;=AY$3,('Gastos com Pessoal'!$N$513:$N$522)+1,1))*(IF('Gastos com Pessoal'!$S$513:$S$522&lt;=AY$3,('Gastos com Pessoal'!$T$513:$T$522)+1,1))*(IF('Gastos com Pessoal'!$Y$513:$Y$522&lt;=AY$3,('Gastos com Pessoal'!$Z$513:$Z$522)+1,1))*(IF('Gastos com Pessoal'!$AE$513:$AE$522&lt;=AY$3,('Gastos com Pessoal'!$AF$513:$AF$522)+1,1))),0)</f>
        <v>0</v>
      </c>
      <c r="AZ30" s="188">
        <f t="array" aca="1" ref="AZ30" ca="1">_xlfn.IFNA(SUM((AZ$3&gt;='Gastos com Pessoal'!$E$513:$E$522)*(AZ$3&lt;='Gastos com Pessoal'!$F$513:$F$522)*OFFSET('Encargos e Benefícios'!$D$511,1,MATCH($B30,'Encargos e Benefícios'!$E$511:$AB$511,0),10,1)*(IF('Gastos com Pessoal'!$G$513:$G$522&lt;=AZ$3,('Gastos com Pessoal'!$H$513:$H$522)+1,1))*(IF('Gastos com Pessoal'!$M$513:$M$522&lt;=AZ$3,('Gastos com Pessoal'!$N$513:$N$522)+1,1))*(IF('Gastos com Pessoal'!$S$513:$S$522&lt;=AZ$3,('Gastos com Pessoal'!$T$513:$T$522)+1,1))*(IF('Gastos com Pessoal'!$Y$513:$Y$522&lt;=AZ$3,('Gastos com Pessoal'!$Z$513:$Z$522)+1,1))*(IF('Gastos com Pessoal'!$AE$513:$AE$522&lt;=AZ$3,('Gastos com Pessoal'!$AF$513:$AF$522)+1,1))),0)</f>
        <v>0</v>
      </c>
      <c r="BA30" s="188">
        <f t="array" aca="1" ref="BA30" ca="1">_xlfn.IFNA(SUM((BA$3&gt;='Gastos com Pessoal'!$E$513:$E$522)*(BA$3&lt;='Gastos com Pessoal'!$F$513:$F$522)*OFFSET('Encargos e Benefícios'!$D$511,1,MATCH($B30,'Encargos e Benefícios'!$E$511:$AB$511,0),10,1)*(IF('Gastos com Pessoal'!$G$513:$G$522&lt;=BA$3,('Gastos com Pessoal'!$H$513:$H$522)+1,1))*(IF('Gastos com Pessoal'!$M$513:$M$522&lt;=BA$3,('Gastos com Pessoal'!$N$513:$N$522)+1,1))*(IF('Gastos com Pessoal'!$S$513:$S$522&lt;=BA$3,('Gastos com Pessoal'!$T$513:$T$522)+1,1))*(IF('Gastos com Pessoal'!$Y$513:$Y$522&lt;=BA$3,('Gastos com Pessoal'!$Z$513:$Z$522)+1,1))*(IF('Gastos com Pessoal'!$AE$513:$AE$522&lt;=BA$3,('Gastos com Pessoal'!$AF$513:$AF$522)+1,1))),0)</f>
        <v>0</v>
      </c>
      <c r="BB30" s="188">
        <f t="array" aca="1" ref="BB30" ca="1">_xlfn.IFNA(SUM((BB$3&gt;='Gastos com Pessoal'!$E$513:$E$522)*(BB$3&lt;='Gastos com Pessoal'!$F$513:$F$522)*OFFSET('Encargos e Benefícios'!$D$511,1,MATCH($B30,'Encargos e Benefícios'!$E$511:$AB$511,0),10,1)*(IF('Gastos com Pessoal'!$G$513:$G$522&lt;=BB$3,('Gastos com Pessoal'!$H$513:$H$522)+1,1))*(IF('Gastos com Pessoal'!$M$513:$M$522&lt;=BB$3,('Gastos com Pessoal'!$N$513:$N$522)+1,1))*(IF('Gastos com Pessoal'!$S$513:$S$522&lt;=BB$3,('Gastos com Pessoal'!$T$513:$T$522)+1,1))*(IF('Gastos com Pessoal'!$Y$513:$Y$522&lt;=BB$3,('Gastos com Pessoal'!$Z$513:$Z$522)+1,1))*(IF('Gastos com Pessoal'!$AE$513:$AE$522&lt;=BB$3,('Gastos com Pessoal'!$AF$513:$AF$522)+1,1))),0)</f>
        <v>0</v>
      </c>
      <c r="BC30" s="188">
        <f t="array" aca="1" ref="BC30" ca="1">_xlfn.IFNA(SUM((BC$3&gt;='Gastos com Pessoal'!$E$513:$E$522)*(BC$3&lt;='Gastos com Pessoal'!$F$513:$F$522)*OFFSET('Encargos e Benefícios'!$D$511,1,MATCH($B30,'Encargos e Benefícios'!$E$511:$AB$511,0),10,1)*(IF('Gastos com Pessoal'!$G$513:$G$522&lt;=BC$3,('Gastos com Pessoal'!$H$513:$H$522)+1,1))*(IF('Gastos com Pessoal'!$M$513:$M$522&lt;=BC$3,('Gastos com Pessoal'!$N$513:$N$522)+1,1))*(IF('Gastos com Pessoal'!$S$513:$S$522&lt;=BC$3,('Gastos com Pessoal'!$T$513:$T$522)+1,1))*(IF('Gastos com Pessoal'!$Y$513:$Y$522&lt;=BC$3,('Gastos com Pessoal'!$Z$513:$Z$522)+1,1))*(IF('Gastos com Pessoal'!$AE$513:$AE$522&lt;=BC$3,('Gastos com Pessoal'!$AF$513:$AF$522)+1,1))),0)</f>
        <v>0</v>
      </c>
      <c r="BD30" s="188">
        <f t="array" aca="1" ref="BD30" ca="1">_xlfn.IFNA(SUM((BD$3&gt;='Gastos com Pessoal'!$E$513:$E$522)*(BD$3&lt;='Gastos com Pessoal'!$F$513:$F$522)*OFFSET('Encargos e Benefícios'!$D$511,1,MATCH($B30,'Encargos e Benefícios'!$E$511:$AB$511,0),10,1)*(IF('Gastos com Pessoal'!$G$513:$G$522&lt;=BD$3,('Gastos com Pessoal'!$H$513:$H$522)+1,1))*(IF('Gastos com Pessoal'!$M$513:$M$522&lt;=BD$3,('Gastos com Pessoal'!$N$513:$N$522)+1,1))*(IF('Gastos com Pessoal'!$S$513:$S$522&lt;=BD$3,('Gastos com Pessoal'!$T$513:$T$522)+1,1))*(IF('Gastos com Pessoal'!$Y$513:$Y$522&lt;=BD$3,('Gastos com Pessoal'!$Z$513:$Z$522)+1,1))*(IF('Gastos com Pessoal'!$AE$513:$AE$522&lt;=BD$3,('Gastos com Pessoal'!$AF$513:$AF$522)+1,1))),0)</f>
        <v>0</v>
      </c>
      <c r="BE30" s="188">
        <f t="array" aca="1" ref="BE30" ca="1">_xlfn.IFNA(SUM((BE$3&gt;='Gastos com Pessoal'!$E$513:$E$522)*(BE$3&lt;='Gastos com Pessoal'!$F$513:$F$522)*OFFSET('Encargos e Benefícios'!$D$511,1,MATCH($B30,'Encargos e Benefícios'!$E$511:$AB$511,0),10,1)*(IF('Gastos com Pessoal'!$G$513:$G$522&lt;=BE$3,('Gastos com Pessoal'!$H$513:$H$522)+1,1))*(IF('Gastos com Pessoal'!$M$513:$M$522&lt;=BE$3,('Gastos com Pessoal'!$N$513:$N$522)+1,1))*(IF('Gastos com Pessoal'!$S$513:$S$522&lt;=BE$3,('Gastos com Pessoal'!$T$513:$T$522)+1,1))*(IF('Gastos com Pessoal'!$Y$513:$Y$522&lt;=BE$3,('Gastos com Pessoal'!$Z$513:$Z$522)+1,1))*(IF('Gastos com Pessoal'!$AE$513:$AE$522&lt;=BE$3,('Gastos com Pessoal'!$AF$513:$AF$522)+1,1))),0)</f>
        <v>0</v>
      </c>
      <c r="BF30" s="188">
        <f t="array" aca="1" ref="BF30" ca="1">_xlfn.IFNA(SUM((BF$3&gt;='Gastos com Pessoal'!$E$513:$E$522)*(BF$3&lt;='Gastos com Pessoal'!$F$513:$F$522)*OFFSET('Encargos e Benefícios'!$D$511,1,MATCH($B30,'Encargos e Benefícios'!$E$511:$AB$511,0),10,1)*(IF('Gastos com Pessoal'!$G$513:$G$522&lt;=BF$3,('Gastos com Pessoal'!$H$513:$H$522)+1,1))*(IF('Gastos com Pessoal'!$M$513:$M$522&lt;=BF$3,('Gastos com Pessoal'!$N$513:$N$522)+1,1))*(IF('Gastos com Pessoal'!$S$513:$S$522&lt;=BF$3,('Gastos com Pessoal'!$T$513:$T$522)+1,1))*(IF('Gastos com Pessoal'!$Y$513:$Y$522&lt;=BF$3,('Gastos com Pessoal'!$Z$513:$Z$522)+1,1))*(IF('Gastos com Pessoal'!$AE$513:$AE$522&lt;=BF$3,('Gastos com Pessoal'!$AF$513:$AF$522)+1,1))),0)</f>
        <v>0</v>
      </c>
      <c r="BG30" s="188">
        <f t="array" aca="1" ref="BG30" ca="1">_xlfn.IFNA(SUM((BG$3&gt;='Gastos com Pessoal'!$E$513:$E$522)*(BG$3&lt;='Gastos com Pessoal'!$F$513:$F$522)*OFFSET('Encargos e Benefícios'!$D$511,1,MATCH($B30,'Encargos e Benefícios'!$E$511:$AB$511,0),10,1)*(IF('Gastos com Pessoal'!$G$513:$G$522&lt;=BG$3,('Gastos com Pessoal'!$H$513:$H$522)+1,1))*(IF('Gastos com Pessoal'!$M$513:$M$522&lt;=BG$3,('Gastos com Pessoal'!$N$513:$N$522)+1,1))*(IF('Gastos com Pessoal'!$S$513:$S$522&lt;=BG$3,('Gastos com Pessoal'!$T$513:$T$522)+1,1))*(IF('Gastos com Pessoal'!$Y$513:$Y$522&lt;=BG$3,('Gastos com Pessoal'!$Z$513:$Z$522)+1,1))*(IF('Gastos com Pessoal'!$AE$513:$AE$522&lt;=BG$3,('Gastos com Pessoal'!$AF$513:$AF$522)+1,1))),0)</f>
        <v>0</v>
      </c>
      <c r="BH30" s="188">
        <f t="array" aca="1" ref="BH30" ca="1">_xlfn.IFNA(SUM((BH$3&gt;='Gastos com Pessoal'!$E$513:$E$522)*(BH$3&lt;='Gastos com Pessoal'!$F$513:$F$522)*OFFSET('Encargos e Benefícios'!$D$511,1,MATCH($B30,'Encargos e Benefícios'!$E$511:$AB$511,0),10,1)*(IF('Gastos com Pessoal'!$G$513:$G$522&lt;=BH$3,('Gastos com Pessoal'!$H$513:$H$522)+1,1))*(IF('Gastos com Pessoal'!$M$513:$M$522&lt;=BH$3,('Gastos com Pessoal'!$N$513:$N$522)+1,1))*(IF('Gastos com Pessoal'!$S$513:$S$522&lt;=BH$3,('Gastos com Pessoal'!$T$513:$T$522)+1,1))*(IF('Gastos com Pessoal'!$Y$513:$Y$522&lt;=BH$3,('Gastos com Pessoal'!$Z$513:$Z$522)+1,1))*(IF('Gastos com Pessoal'!$AE$513:$AE$522&lt;=BH$3,('Gastos com Pessoal'!$AF$513:$AF$522)+1,1))),0)</f>
        <v>0</v>
      </c>
      <c r="BI30" s="188">
        <f t="array" aca="1" ref="BI30" ca="1">_xlfn.IFNA(SUM((BI$3&gt;='Gastos com Pessoal'!$E$513:$E$522)*(BI$3&lt;='Gastos com Pessoal'!$F$513:$F$522)*OFFSET('Encargos e Benefícios'!$D$511,1,MATCH($B30,'Encargos e Benefícios'!$E$511:$AB$511,0),10,1)*(IF('Gastos com Pessoal'!$G$513:$G$522&lt;=BI$3,('Gastos com Pessoal'!$H$513:$H$522)+1,1))*(IF('Gastos com Pessoal'!$M$513:$M$522&lt;=BI$3,('Gastos com Pessoal'!$N$513:$N$522)+1,1))*(IF('Gastos com Pessoal'!$S$513:$S$522&lt;=BI$3,('Gastos com Pessoal'!$T$513:$T$522)+1,1))*(IF('Gastos com Pessoal'!$Y$513:$Y$522&lt;=BI$3,('Gastos com Pessoal'!$Z$513:$Z$522)+1,1))*(IF('Gastos com Pessoal'!$AE$513:$AE$522&lt;=BI$3,('Gastos com Pessoal'!$AF$513:$AF$522)+1,1))),0)</f>
        <v>0</v>
      </c>
      <c r="BJ30" s="188">
        <f t="array" aca="1" ref="BJ30" ca="1">_xlfn.IFNA(SUM((BJ$3&gt;='Gastos com Pessoal'!$E$513:$E$522)*(BJ$3&lt;='Gastos com Pessoal'!$F$513:$F$522)*OFFSET('Encargos e Benefícios'!$D$511,1,MATCH($B30,'Encargos e Benefícios'!$E$511:$AB$511,0),10,1)*(IF('Gastos com Pessoal'!$G$513:$G$522&lt;=BJ$3,('Gastos com Pessoal'!$H$513:$H$522)+1,1))*(IF('Gastos com Pessoal'!$M$513:$M$522&lt;=BJ$3,('Gastos com Pessoal'!$N$513:$N$522)+1,1))*(IF('Gastos com Pessoal'!$S$513:$S$522&lt;=BJ$3,('Gastos com Pessoal'!$T$513:$T$522)+1,1))*(IF('Gastos com Pessoal'!$Y$513:$Y$522&lt;=BJ$3,('Gastos com Pessoal'!$Z$513:$Z$522)+1,1))*(IF('Gastos com Pessoal'!$AE$513:$AE$522&lt;=BJ$3,('Gastos com Pessoal'!$AF$513:$AF$522)+1,1))),0)</f>
        <v>0</v>
      </c>
      <c r="BK30" s="189">
        <f ca="1">SUM(C30:BJ30)</f>
        <v>0</v>
      </c>
      <c r="BL30" s="136">
        <f ca="1">IF($BK$152=0,0,BK30/$BK$152)</f>
        <v>0</v>
      </c>
    </row>
    <row r="31" spans="1:64" s="160" customFormat="1" ht="23.25" customHeight="1">
      <c r="A31" s="198" t="s">
        <v>150</v>
      </c>
      <c r="B31" s="81" t="s">
        <v>151</v>
      </c>
      <c r="C31" s="188">
        <f t="array" aca="1" ref="C31" ca="1">_xlfn.IFNA(SUM((C$3&gt;='Gastos com Pessoal'!$E$7:$E$506)*(C$3&lt;='Gastos com Pessoal'!$F$7:$F$506)*OFFSET('Encargos e Benefícios'!$D$5,1,MATCH($B31,'Encargos e Benefícios'!$E$5:$AB$5,0),500,1)),0)+_xlfn.IFNA(SUM((C$3&gt;='Gastos com Pessoal'!$E$513:$E$522)*(C$3&lt;='Gastos com Pessoal'!$F$513:$F$522)*OFFSET('Encargos e Benefícios'!$D$511,1,MATCH($B31,'Encargos e Benefícios'!$E$511:$AB$511,0),10,1)),0)+_xlfn.IFNA(SUM((C$3&gt;='Gastos com Pessoal'!$E$7:$E$506)*(C$3&lt;='Gastos com Pessoal'!$F$7:$F$506)*(IF('Gastos com Pessoal'!$G$7:$G$506&lt;=C$3,1,0))*OFFSET('Gastos com Pessoal'!$H$6,1,MATCH(1&amp;$B31,'Gastos com Pessoal'!$I$532:$AJ$532&amp;'Gastos com Pessoal'!$I$6:$AJ$6,0),500,1)),0)+_xlfn.IFNA(SUM((C$3&gt;='Gastos com Pessoal'!$E$7:$E$506)*(C$3&lt;='Gastos com Pessoal'!$F$7:$F$506)*(IF('Gastos com Pessoal'!$M$7:$M$506&lt;=C$3,1,0))*OFFSET('Gastos com Pessoal'!$H$6,1,MATCH(2&amp;$B31,'Gastos com Pessoal'!$I$532:$AJ$532&amp;'Gastos com Pessoal'!$I$6:$AJ$6,0),500,1)),0)+_xlfn.IFNA(SUM((C$3&gt;='Gastos com Pessoal'!$E$7:$E$506)*(C$3&lt;='Gastos com Pessoal'!$F$7:$F$506)*(IF('Gastos com Pessoal'!$S$7:$S$506&lt;=C$3,1,0))*OFFSET('Gastos com Pessoal'!$H$6,1,MATCH(3&amp;$B31,'Gastos com Pessoal'!$I$532:$AJ$532&amp;'Gastos com Pessoal'!$I$6:$AJ$6,0),500,1)),0)+_xlfn.IFNA(SUM((C$3&gt;='Gastos com Pessoal'!$E$7:$E$506)*(C$3&lt;='Gastos com Pessoal'!$F$7:$F$506)*(IF('Gastos com Pessoal'!$Y$7:$Y$506&lt;=C$3,1,0))*OFFSET('Gastos com Pessoal'!$H$6,1,MATCH(4&amp;$B31,'Gastos com Pessoal'!$I$532:$AJ$532&amp;'Gastos com Pessoal'!$I$6:$AJ$6,0),500,1)),0)+_xlfn.IFNA(SUM((C$3&gt;='Gastos com Pessoal'!$E$7:$E$506)*(C$3&lt;='Gastos com Pessoal'!$F$7:$F$506)*(IF('Gastos com Pessoal'!$AE$7:$AE$506&lt;=C$3,1,0))*OFFSET('Gastos com Pessoal'!$H$6,1,MATCH(5&amp;$B31,'Gastos com Pessoal'!$I$532:$AJ$532&amp;'Gastos com Pessoal'!$I$6:$AJ$6,0),500,1)),0)+_xlfn.IFNA(SUM((C$3&gt;='Gastos com Pessoal'!$E$513:$E$522)*(C$3&lt;='Gastos com Pessoal'!$F$513:$F$522)*(IF('Gastos com Pessoal'!$G$513:$G$522&lt;=C$3,1,0))*OFFSET('Gastos com Pessoal'!$H$512,1,MATCH(1&amp;$B31,'Gastos com Pessoal'!$I$532:$AJ$532&amp;'Gastos com Pessoal'!$I$512:$AJ$512,0),10,1)),0)+_xlfn.IFNA(SUM((C$3&gt;='Gastos com Pessoal'!$E$513:$E$522)*(C$3&lt;='Gastos com Pessoal'!$F$513:$F$522)*(IF('Gastos com Pessoal'!$M$513:$M$522&lt;=C$3,1,0))*OFFSET('Gastos com Pessoal'!$H$512,1,MATCH(2&amp;$B31,'Gastos com Pessoal'!$I$532:$AJ$532&amp;'Gastos com Pessoal'!$I$512:$AJ$512,0),10,1)),0)+_xlfn.IFNA(SUM((C$3&gt;='Gastos com Pessoal'!$E$513:$E$522)*(C$3&lt;='Gastos com Pessoal'!$F$513:$F$522)*(IF('Gastos com Pessoal'!$S$513:$S$522&lt;=C$3,1,0))*OFFSET('Gastos com Pessoal'!$H$512,1,MATCH(3&amp;$B31,'Gastos com Pessoal'!$I$532:$AJ$532&amp;'Gastos com Pessoal'!$I$512:$AJ$512,0),10,1)),0)+_xlfn.IFNA(SUM((C$3&gt;='Gastos com Pessoal'!$E$513:$E$522)*(C$3&lt;='Gastos com Pessoal'!$F$513:$F$522)*(IF('Gastos com Pessoal'!$Y$513:$Y$522&lt;=C$3,1,0))*OFFSET('Gastos com Pessoal'!$H$512,1,MATCH(4&amp;$B31,'Gastos com Pessoal'!$I$532:$AJ$532&amp;'Gastos com Pessoal'!$I$512:$AJ$512,0),10,1)),0)+_xlfn.IFNA(SUM((C$3&gt;='Gastos com Pessoal'!$E$513:$E$522)*(C$3&lt;='Gastos com Pessoal'!$F$513:$F$522)*(IF('Gastos com Pessoal'!$AE$513:$AE$522&lt;=C$3,1,0))*OFFSET('Gastos com Pessoal'!$H$512,1,MATCH(5&amp;$B31,'Gastos com Pessoal'!$I$532:$AJ$532&amp;'Gastos com Pessoal'!$I$512:$AJ$512,0),10,1)),0)</f>
        <v>0</v>
      </c>
      <c r="D31" s="188">
        <f t="array" aca="1" ref="D31" ca="1">_xlfn.IFNA(SUM((D$3&gt;='Gastos com Pessoal'!$E$7:$E$506)*(D$3&lt;='Gastos com Pessoal'!$F$7:$F$506)*OFFSET('Encargos e Benefícios'!$D$5,1,MATCH($B31,'Encargos e Benefícios'!$E$5:$AB$5,0),500,1)),0)+_xlfn.IFNA(SUM((D$3&gt;='Gastos com Pessoal'!$E$513:$E$522)*(D$3&lt;='Gastos com Pessoal'!$F$513:$F$522)*OFFSET('Encargos e Benefícios'!$D$511,1,MATCH($B31,'Encargos e Benefícios'!$E$511:$AB$511,0),10,1)),0)+_xlfn.IFNA(SUM((D$3&gt;='Gastos com Pessoal'!$E$7:$E$506)*(D$3&lt;='Gastos com Pessoal'!$F$7:$F$506)*(IF('Gastos com Pessoal'!$G$7:$G$506&lt;=D$3,1,0))*OFFSET('Gastos com Pessoal'!$H$6,1,MATCH(1&amp;$B31,'Gastos com Pessoal'!$I$532:$AJ$532&amp;'Gastos com Pessoal'!$I$6:$AJ$6,0),500,1)),0)+_xlfn.IFNA(SUM((D$3&gt;='Gastos com Pessoal'!$E$7:$E$506)*(D$3&lt;='Gastos com Pessoal'!$F$7:$F$506)*(IF('Gastos com Pessoal'!$M$7:$M$506&lt;=D$3,1,0))*OFFSET('Gastos com Pessoal'!$H$6,1,MATCH(2&amp;$B31,'Gastos com Pessoal'!$I$532:$AJ$532&amp;'Gastos com Pessoal'!$I$6:$AJ$6,0),500,1)),0)+_xlfn.IFNA(SUM((D$3&gt;='Gastos com Pessoal'!$E$7:$E$506)*(D$3&lt;='Gastos com Pessoal'!$F$7:$F$506)*(IF('Gastos com Pessoal'!$S$7:$S$506&lt;=D$3,1,0))*OFFSET('Gastos com Pessoal'!$H$6,1,MATCH(3&amp;$B31,'Gastos com Pessoal'!$I$532:$AJ$532&amp;'Gastos com Pessoal'!$I$6:$AJ$6,0),500,1)),0)+_xlfn.IFNA(SUM((D$3&gt;='Gastos com Pessoal'!$E$7:$E$506)*(D$3&lt;='Gastos com Pessoal'!$F$7:$F$506)*(IF('Gastos com Pessoal'!$Y$7:$Y$506&lt;=D$3,1,0))*OFFSET('Gastos com Pessoal'!$H$6,1,MATCH(4&amp;$B31,'Gastos com Pessoal'!$I$532:$AJ$532&amp;'Gastos com Pessoal'!$I$6:$AJ$6,0),500,1)),0)+_xlfn.IFNA(SUM((D$3&gt;='Gastos com Pessoal'!$E$7:$E$506)*(D$3&lt;='Gastos com Pessoal'!$F$7:$F$506)*(IF('Gastos com Pessoal'!$AE$7:$AE$506&lt;=D$3,1,0))*OFFSET('Gastos com Pessoal'!$H$6,1,MATCH(5&amp;$B31,'Gastos com Pessoal'!$I$532:$AJ$532&amp;'Gastos com Pessoal'!$I$6:$AJ$6,0),500,1)),0)+_xlfn.IFNA(SUM((D$3&gt;='Gastos com Pessoal'!$E$513:$E$522)*(D$3&lt;='Gastos com Pessoal'!$F$513:$F$522)*(IF('Gastos com Pessoal'!$G$513:$G$522&lt;=D$3,1,0))*OFFSET('Gastos com Pessoal'!$H$512,1,MATCH(1&amp;$B31,'Gastos com Pessoal'!$I$532:$AJ$532&amp;'Gastos com Pessoal'!$I$512:$AJ$512,0),10,1)),0)+_xlfn.IFNA(SUM((D$3&gt;='Gastos com Pessoal'!$E$513:$E$522)*(D$3&lt;='Gastos com Pessoal'!$F$513:$F$522)*(IF('Gastos com Pessoal'!$M$513:$M$522&lt;=D$3,1,0))*OFFSET('Gastos com Pessoal'!$H$512,1,MATCH(2&amp;$B31,'Gastos com Pessoal'!$I$532:$AJ$532&amp;'Gastos com Pessoal'!$I$512:$AJ$512,0),10,1)),0)+_xlfn.IFNA(SUM((D$3&gt;='Gastos com Pessoal'!$E$513:$E$522)*(D$3&lt;='Gastos com Pessoal'!$F$513:$F$522)*(IF('Gastos com Pessoal'!$S$513:$S$522&lt;=D$3,1,0))*OFFSET('Gastos com Pessoal'!$H$512,1,MATCH(3&amp;$B31,'Gastos com Pessoal'!$I$532:$AJ$532&amp;'Gastos com Pessoal'!$I$512:$AJ$512,0),10,1)),0)+_xlfn.IFNA(SUM((D$3&gt;='Gastos com Pessoal'!$E$513:$E$522)*(D$3&lt;='Gastos com Pessoal'!$F$513:$F$522)*(IF('Gastos com Pessoal'!$Y$513:$Y$522&lt;=D$3,1,0))*OFFSET('Gastos com Pessoal'!$H$512,1,MATCH(4&amp;$B31,'Gastos com Pessoal'!$I$532:$AJ$532&amp;'Gastos com Pessoal'!$I$512:$AJ$512,0),10,1)),0)+_xlfn.IFNA(SUM((D$3&gt;='Gastos com Pessoal'!$E$513:$E$522)*(D$3&lt;='Gastos com Pessoal'!$F$513:$F$522)*(IF('Gastos com Pessoal'!$AE$513:$AE$522&lt;=D$3,1,0))*OFFSET('Gastos com Pessoal'!$H$512,1,MATCH(5&amp;$B31,'Gastos com Pessoal'!$I$532:$AJ$532&amp;'Gastos com Pessoal'!$I$512:$AJ$512,0),10,1)),0)</f>
        <v>0</v>
      </c>
      <c r="E31" s="188">
        <f t="array" aca="1" ref="E31" ca="1">_xlfn.IFNA(SUM((E$3&gt;='Gastos com Pessoal'!$E$7:$E$506)*(E$3&lt;='Gastos com Pessoal'!$F$7:$F$506)*OFFSET('Encargos e Benefícios'!$D$5,1,MATCH($B31,'Encargos e Benefícios'!$E$5:$AB$5,0),500,1)),0)+_xlfn.IFNA(SUM((E$3&gt;='Gastos com Pessoal'!$E$513:$E$522)*(E$3&lt;='Gastos com Pessoal'!$F$513:$F$522)*OFFSET('Encargos e Benefícios'!$D$511,1,MATCH($B31,'Encargos e Benefícios'!$E$511:$AB$511,0),10,1)),0)+_xlfn.IFNA(SUM((E$3&gt;='Gastos com Pessoal'!$E$7:$E$506)*(E$3&lt;='Gastos com Pessoal'!$F$7:$F$506)*(IF('Gastos com Pessoal'!$G$7:$G$506&lt;=E$3,1,0))*OFFSET('Gastos com Pessoal'!$H$6,1,MATCH(1&amp;$B31,'Gastos com Pessoal'!$I$532:$AJ$532&amp;'Gastos com Pessoal'!$I$6:$AJ$6,0),500,1)),0)+_xlfn.IFNA(SUM((E$3&gt;='Gastos com Pessoal'!$E$7:$E$506)*(E$3&lt;='Gastos com Pessoal'!$F$7:$F$506)*(IF('Gastos com Pessoal'!$M$7:$M$506&lt;=E$3,1,0))*OFFSET('Gastos com Pessoal'!$H$6,1,MATCH(2&amp;$B31,'Gastos com Pessoal'!$I$532:$AJ$532&amp;'Gastos com Pessoal'!$I$6:$AJ$6,0),500,1)),0)+_xlfn.IFNA(SUM((E$3&gt;='Gastos com Pessoal'!$E$7:$E$506)*(E$3&lt;='Gastos com Pessoal'!$F$7:$F$506)*(IF('Gastos com Pessoal'!$S$7:$S$506&lt;=E$3,1,0))*OFFSET('Gastos com Pessoal'!$H$6,1,MATCH(3&amp;$B31,'Gastos com Pessoal'!$I$532:$AJ$532&amp;'Gastos com Pessoal'!$I$6:$AJ$6,0),500,1)),0)+_xlfn.IFNA(SUM((E$3&gt;='Gastos com Pessoal'!$E$7:$E$506)*(E$3&lt;='Gastos com Pessoal'!$F$7:$F$506)*(IF('Gastos com Pessoal'!$Y$7:$Y$506&lt;=E$3,1,0))*OFFSET('Gastos com Pessoal'!$H$6,1,MATCH(4&amp;$B31,'Gastos com Pessoal'!$I$532:$AJ$532&amp;'Gastos com Pessoal'!$I$6:$AJ$6,0),500,1)),0)+_xlfn.IFNA(SUM((E$3&gt;='Gastos com Pessoal'!$E$7:$E$506)*(E$3&lt;='Gastos com Pessoal'!$F$7:$F$506)*(IF('Gastos com Pessoal'!$AE$7:$AE$506&lt;=E$3,1,0))*OFFSET('Gastos com Pessoal'!$H$6,1,MATCH(5&amp;$B31,'Gastos com Pessoal'!$I$532:$AJ$532&amp;'Gastos com Pessoal'!$I$6:$AJ$6,0),500,1)),0)+_xlfn.IFNA(SUM((E$3&gt;='Gastos com Pessoal'!$E$513:$E$522)*(E$3&lt;='Gastos com Pessoal'!$F$513:$F$522)*(IF('Gastos com Pessoal'!$G$513:$G$522&lt;=E$3,1,0))*OFFSET('Gastos com Pessoal'!$H$512,1,MATCH(1&amp;$B31,'Gastos com Pessoal'!$I$532:$AJ$532&amp;'Gastos com Pessoal'!$I$512:$AJ$512,0),10,1)),0)+_xlfn.IFNA(SUM((E$3&gt;='Gastos com Pessoal'!$E$513:$E$522)*(E$3&lt;='Gastos com Pessoal'!$F$513:$F$522)*(IF('Gastos com Pessoal'!$M$513:$M$522&lt;=E$3,1,0))*OFFSET('Gastos com Pessoal'!$H$512,1,MATCH(2&amp;$B31,'Gastos com Pessoal'!$I$532:$AJ$532&amp;'Gastos com Pessoal'!$I$512:$AJ$512,0),10,1)),0)+_xlfn.IFNA(SUM((E$3&gt;='Gastos com Pessoal'!$E$513:$E$522)*(E$3&lt;='Gastos com Pessoal'!$F$513:$F$522)*(IF('Gastos com Pessoal'!$S$513:$S$522&lt;=E$3,1,0))*OFFSET('Gastos com Pessoal'!$H$512,1,MATCH(3&amp;$B31,'Gastos com Pessoal'!$I$532:$AJ$532&amp;'Gastos com Pessoal'!$I$512:$AJ$512,0),10,1)),0)+_xlfn.IFNA(SUM((E$3&gt;='Gastos com Pessoal'!$E$513:$E$522)*(E$3&lt;='Gastos com Pessoal'!$F$513:$F$522)*(IF('Gastos com Pessoal'!$Y$513:$Y$522&lt;=E$3,1,0))*OFFSET('Gastos com Pessoal'!$H$512,1,MATCH(4&amp;$B31,'Gastos com Pessoal'!$I$532:$AJ$532&amp;'Gastos com Pessoal'!$I$512:$AJ$512,0),10,1)),0)+_xlfn.IFNA(SUM((E$3&gt;='Gastos com Pessoal'!$E$513:$E$522)*(E$3&lt;='Gastos com Pessoal'!$F$513:$F$522)*(IF('Gastos com Pessoal'!$AE$513:$AE$522&lt;=E$3,1,0))*OFFSET('Gastos com Pessoal'!$H$512,1,MATCH(5&amp;$B31,'Gastos com Pessoal'!$I$532:$AJ$532&amp;'Gastos com Pessoal'!$I$512:$AJ$512,0),10,1)),0)</f>
        <v>0</v>
      </c>
      <c r="F31" s="188">
        <f t="array" aca="1" ref="F31" ca="1">_xlfn.IFNA(SUM((F$3&gt;='Gastos com Pessoal'!$E$7:$E$506)*(F$3&lt;='Gastos com Pessoal'!$F$7:$F$506)*OFFSET('Encargos e Benefícios'!$D$5,1,MATCH($B31,'Encargos e Benefícios'!$E$5:$AB$5,0),500,1)),0)+_xlfn.IFNA(SUM((F$3&gt;='Gastos com Pessoal'!$E$513:$E$522)*(F$3&lt;='Gastos com Pessoal'!$F$513:$F$522)*OFFSET('Encargos e Benefícios'!$D$511,1,MATCH($B31,'Encargos e Benefícios'!$E$511:$AB$511,0),10,1)),0)+_xlfn.IFNA(SUM((F$3&gt;='Gastos com Pessoal'!$E$7:$E$506)*(F$3&lt;='Gastos com Pessoal'!$F$7:$F$506)*(IF('Gastos com Pessoal'!$G$7:$G$506&lt;=F$3,1,0))*OFFSET('Gastos com Pessoal'!$H$6,1,MATCH(1&amp;$B31,'Gastos com Pessoal'!$I$532:$AJ$532&amp;'Gastos com Pessoal'!$I$6:$AJ$6,0),500,1)),0)+_xlfn.IFNA(SUM((F$3&gt;='Gastos com Pessoal'!$E$7:$E$506)*(F$3&lt;='Gastos com Pessoal'!$F$7:$F$506)*(IF('Gastos com Pessoal'!$M$7:$M$506&lt;=F$3,1,0))*OFFSET('Gastos com Pessoal'!$H$6,1,MATCH(2&amp;$B31,'Gastos com Pessoal'!$I$532:$AJ$532&amp;'Gastos com Pessoal'!$I$6:$AJ$6,0),500,1)),0)+_xlfn.IFNA(SUM((F$3&gt;='Gastos com Pessoal'!$E$7:$E$506)*(F$3&lt;='Gastos com Pessoal'!$F$7:$F$506)*(IF('Gastos com Pessoal'!$S$7:$S$506&lt;=F$3,1,0))*OFFSET('Gastos com Pessoal'!$H$6,1,MATCH(3&amp;$B31,'Gastos com Pessoal'!$I$532:$AJ$532&amp;'Gastos com Pessoal'!$I$6:$AJ$6,0),500,1)),0)+_xlfn.IFNA(SUM((F$3&gt;='Gastos com Pessoal'!$E$7:$E$506)*(F$3&lt;='Gastos com Pessoal'!$F$7:$F$506)*(IF('Gastos com Pessoal'!$Y$7:$Y$506&lt;=F$3,1,0))*OFFSET('Gastos com Pessoal'!$H$6,1,MATCH(4&amp;$B31,'Gastos com Pessoal'!$I$532:$AJ$532&amp;'Gastos com Pessoal'!$I$6:$AJ$6,0),500,1)),0)+_xlfn.IFNA(SUM((F$3&gt;='Gastos com Pessoal'!$E$7:$E$506)*(F$3&lt;='Gastos com Pessoal'!$F$7:$F$506)*(IF('Gastos com Pessoal'!$AE$7:$AE$506&lt;=F$3,1,0))*OFFSET('Gastos com Pessoal'!$H$6,1,MATCH(5&amp;$B31,'Gastos com Pessoal'!$I$532:$AJ$532&amp;'Gastos com Pessoal'!$I$6:$AJ$6,0),500,1)),0)+_xlfn.IFNA(SUM((F$3&gt;='Gastos com Pessoal'!$E$513:$E$522)*(F$3&lt;='Gastos com Pessoal'!$F$513:$F$522)*(IF('Gastos com Pessoal'!$G$513:$G$522&lt;=F$3,1,0))*OFFSET('Gastos com Pessoal'!$H$512,1,MATCH(1&amp;$B31,'Gastos com Pessoal'!$I$532:$AJ$532&amp;'Gastos com Pessoal'!$I$512:$AJ$512,0),10,1)),0)+_xlfn.IFNA(SUM((F$3&gt;='Gastos com Pessoal'!$E$513:$E$522)*(F$3&lt;='Gastos com Pessoal'!$F$513:$F$522)*(IF('Gastos com Pessoal'!$M$513:$M$522&lt;=F$3,1,0))*OFFSET('Gastos com Pessoal'!$H$512,1,MATCH(2&amp;$B31,'Gastos com Pessoal'!$I$532:$AJ$532&amp;'Gastos com Pessoal'!$I$512:$AJ$512,0),10,1)),0)+_xlfn.IFNA(SUM((F$3&gt;='Gastos com Pessoal'!$E$513:$E$522)*(F$3&lt;='Gastos com Pessoal'!$F$513:$F$522)*(IF('Gastos com Pessoal'!$S$513:$S$522&lt;=F$3,1,0))*OFFSET('Gastos com Pessoal'!$H$512,1,MATCH(3&amp;$B31,'Gastos com Pessoal'!$I$532:$AJ$532&amp;'Gastos com Pessoal'!$I$512:$AJ$512,0),10,1)),0)+_xlfn.IFNA(SUM((F$3&gt;='Gastos com Pessoal'!$E$513:$E$522)*(F$3&lt;='Gastos com Pessoal'!$F$513:$F$522)*(IF('Gastos com Pessoal'!$Y$513:$Y$522&lt;=F$3,1,0))*OFFSET('Gastos com Pessoal'!$H$512,1,MATCH(4&amp;$B31,'Gastos com Pessoal'!$I$532:$AJ$532&amp;'Gastos com Pessoal'!$I$512:$AJ$512,0),10,1)),0)+_xlfn.IFNA(SUM((F$3&gt;='Gastos com Pessoal'!$E$513:$E$522)*(F$3&lt;='Gastos com Pessoal'!$F$513:$F$522)*(IF('Gastos com Pessoal'!$AE$513:$AE$522&lt;=F$3,1,0))*OFFSET('Gastos com Pessoal'!$H$512,1,MATCH(5&amp;$B31,'Gastos com Pessoal'!$I$532:$AJ$532&amp;'Gastos com Pessoal'!$I$512:$AJ$512,0),10,1)),0)</f>
        <v>0</v>
      </c>
      <c r="G31" s="188">
        <f t="array" aca="1" ref="G31" ca="1">_xlfn.IFNA(SUM((G$3&gt;='Gastos com Pessoal'!$E$7:$E$506)*(G$3&lt;='Gastos com Pessoal'!$F$7:$F$506)*OFFSET('Encargos e Benefícios'!$D$5,1,MATCH($B31,'Encargos e Benefícios'!$E$5:$AB$5,0),500,1)),0)+_xlfn.IFNA(SUM((G$3&gt;='Gastos com Pessoal'!$E$513:$E$522)*(G$3&lt;='Gastos com Pessoal'!$F$513:$F$522)*OFFSET('Encargos e Benefícios'!$D$511,1,MATCH($B31,'Encargos e Benefícios'!$E$511:$AB$511,0),10,1)),0)+_xlfn.IFNA(SUM((G$3&gt;='Gastos com Pessoal'!$E$7:$E$506)*(G$3&lt;='Gastos com Pessoal'!$F$7:$F$506)*(IF('Gastos com Pessoal'!$G$7:$G$506&lt;=G$3,1,0))*OFFSET('Gastos com Pessoal'!$H$6,1,MATCH(1&amp;$B31,'Gastos com Pessoal'!$I$532:$AJ$532&amp;'Gastos com Pessoal'!$I$6:$AJ$6,0),500,1)),0)+_xlfn.IFNA(SUM((G$3&gt;='Gastos com Pessoal'!$E$7:$E$506)*(G$3&lt;='Gastos com Pessoal'!$F$7:$F$506)*(IF('Gastos com Pessoal'!$M$7:$M$506&lt;=G$3,1,0))*OFFSET('Gastos com Pessoal'!$H$6,1,MATCH(2&amp;$B31,'Gastos com Pessoal'!$I$532:$AJ$532&amp;'Gastos com Pessoal'!$I$6:$AJ$6,0),500,1)),0)+_xlfn.IFNA(SUM((G$3&gt;='Gastos com Pessoal'!$E$7:$E$506)*(G$3&lt;='Gastos com Pessoal'!$F$7:$F$506)*(IF('Gastos com Pessoal'!$S$7:$S$506&lt;=G$3,1,0))*OFFSET('Gastos com Pessoal'!$H$6,1,MATCH(3&amp;$B31,'Gastos com Pessoal'!$I$532:$AJ$532&amp;'Gastos com Pessoal'!$I$6:$AJ$6,0),500,1)),0)+_xlfn.IFNA(SUM((G$3&gt;='Gastos com Pessoal'!$E$7:$E$506)*(G$3&lt;='Gastos com Pessoal'!$F$7:$F$506)*(IF('Gastos com Pessoal'!$Y$7:$Y$506&lt;=G$3,1,0))*OFFSET('Gastos com Pessoal'!$H$6,1,MATCH(4&amp;$B31,'Gastos com Pessoal'!$I$532:$AJ$532&amp;'Gastos com Pessoal'!$I$6:$AJ$6,0),500,1)),0)+_xlfn.IFNA(SUM((G$3&gt;='Gastos com Pessoal'!$E$7:$E$506)*(G$3&lt;='Gastos com Pessoal'!$F$7:$F$506)*(IF('Gastos com Pessoal'!$AE$7:$AE$506&lt;=G$3,1,0))*OFFSET('Gastos com Pessoal'!$H$6,1,MATCH(5&amp;$B31,'Gastos com Pessoal'!$I$532:$AJ$532&amp;'Gastos com Pessoal'!$I$6:$AJ$6,0),500,1)),0)+_xlfn.IFNA(SUM((G$3&gt;='Gastos com Pessoal'!$E$513:$E$522)*(G$3&lt;='Gastos com Pessoal'!$F$513:$F$522)*(IF('Gastos com Pessoal'!$G$513:$G$522&lt;=G$3,1,0))*OFFSET('Gastos com Pessoal'!$H$512,1,MATCH(1&amp;$B31,'Gastos com Pessoal'!$I$532:$AJ$532&amp;'Gastos com Pessoal'!$I$512:$AJ$512,0),10,1)),0)+_xlfn.IFNA(SUM((G$3&gt;='Gastos com Pessoal'!$E$513:$E$522)*(G$3&lt;='Gastos com Pessoal'!$F$513:$F$522)*(IF('Gastos com Pessoal'!$M$513:$M$522&lt;=G$3,1,0))*OFFSET('Gastos com Pessoal'!$H$512,1,MATCH(2&amp;$B31,'Gastos com Pessoal'!$I$532:$AJ$532&amp;'Gastos com Pessoal'!$I$512:$AJ$512,0),10,1)),0)+_xlfn.IFNA(SUM((G$3&gt;='Gastos com Pessoal'!$E$513:$E$522)*(G$3&lt;='Gastos com Pessoal'!$F$513:$F$522)*(IF('Gastos com Pessoal'!$S$513:$S$522&lt;=G$3,1,0))*OFFSET('Gastos com Pessoal'!$H$512,1,MATCH(3&amp;$B31,'Gastos com Pessoal'!$I$532:$AJ$532&amp;'Gastos com Pessoal'!$I$512:$AJ$512,0),10,1)),0)+_xlfn.IFNA(SUM((G$3&gt;='Gastos com Pessoal'!$E$513:$E$522)*(G$3&lt;='Gastos com Pessoal'!$F$513:$F$522)*(IF('Gastos com Pessoal'!$Y$513:$Y$522&lt;=G$3,1,0))*OFFSET('Gastos com Pessoal'!$H$512,1,MATCH(4&amp;$B31,'Gastos com Pessoal'!$I$532:$AJ$532&amp;'Gastos com Pessoal'!$I$512:$AJ$512,0),10,1)),0)+_xlfn.IFNA(SUM((G$3&gt;='Gastos com Pessoal'!$E$513:$E$522)*(G$3&lt;='Gastos com Pessoal'!$F$513:$F$522)*(IF('Gastos com Pessoal'!$AE$513:$AE$522&lt;=G$3,1,0))*OFFSET('Gastos com Pessoal'!$H$512,1,MATCH(5&amp;$B31,'Gastos com Pessoal'!$I$532:$AJ$532&amp;'Gastos com Pessoal'!$I$512:$AJ$512,0),10,1)),0)</f>
        <v>0</v>
      </c>
      <c r="H31" s="188">
        <f t="array" aca="1" ref="H31" ca="1">_xlfn.IFNA(SUM((H$3&gt;='Gastos com Pessoal'!$E$7:$E$506)*(H$3&lt;='Gastos com Pessoal'!$F$7:$F$506)*OFFSET('Encargos e Benefícios'!$D$5,1,MATCH($B31,'Encargos e Benefícios'!$E$5:$AB$5,0),500,1)),0)+_xlfn.IFNA(SUM((H$3&gt;='Gastos com Pessoal'!$E$513:$E$522)*(H$3&lt;='Gastos com Pessoal'!$F$513:$F$522)*OFFSET('Encargos e Benefícios'!$D$511,1,MATCH($B31,'Encargos e Benefícios'!$E$511:$AB$511,0),10,1)),0)+_xlfn.IFNA(SUM((H$3&gt;='Gastos com Pessoal'!$E$7:$E$506)*(H$3&lt;='Gastos com Pessoal'!$F$7:$F$506)*(IF('Gastos com Pessoal'!$G$7:$G$506&lt;=H$3,1,0))*OFFSET('Gastos com Pessoal'!$H$6,1,MATCH(1&amp;$B31,'Gastos com Pessoal'!$I$532:$AJ$532&amp;'Gastos com Pessoal'!$I$6:$AJ$6,0),500,1)),0)+_xlfn.IFNA(SUM((H$3&gt;='Gastos com Pessoal'!$E$7:$E$506)*(H$3&lt;='Gastos com Pessoal'!$F$7:$F$506)*(IF('Gastos com Pessoal'!$M$7:$M$506&lt;=H$3,1,0))*OFFSET('Gastos com Pessoal'!$H$6,1,MATCH(2&amp;$B31,'Gastos com Pessoal'!$I$532:$AJ$532&amp;'Gastos com Pessoal'!$I$6:$AJ$6,0),500,1)),0)+_xlfn.IFNA(SUM((H$3&gt;='Gastos com Pessoal'!$E$7:$E$506)*(H$3&lt;='Gastos com Pessoal'!$F$7:$F$506)*(IF('Gastos com Pessoal'!$S$7:$S$506&lt;=H$3,1,0))*OFFSET('Gastos com Pessoal'!$H$6,1,MATCH(3&amp;$B31,'Gastos com Pessoal'!$I$532:$AJ$532&amp;'Gastos com Pessoal'!$I$6:$AJ$6,0),500,1)),0)+_xlfn.IFNA(SUM((H$3&gt;='Gastos com Pessoal'!$E$7:$E$506)*(H$3&lt;='Gastos com Pessoal'!$F$7:$F$506)*(IF('Gastos com Pessoal'!$Y$7:$Y$506&lt;=H$3,1,0))*OFFSET('Gastos com Pessoal'!$H$6,1,MATCH(4&amp;$B31,'Gastos com Pessoal'!$I$532:$AJ$532&amp;'Gastos com Pessoal'!$I$6:$AJ$6,0),500,1)),0)+_xlfn.IFNA(SUM((H$3&gt;='Gastos com Pessoal'!$E$7:$E$506)*(H$3&lt;='Gastos com Pessoal'!$F$7:$F$506)*(IF('Gastos com Pessoal'!$AE$7:$AE$506&lt;=H$3,1,0))*OFFSET('Gastos com Pessoal'!$H$6,1,MATCH(5&amp;$B31,'Gastos com Pessoal'!$I$532:$AJ$532&amp;'Gastos com Pessoal'!$I$6:$AJ$6,0),500,1)),0)+_xlfn.IFNA(SUM((H$3&gt;='Gastos com Pessoal'!$E$513:$E$522)*(H$3&lt;='Gastos com Pessoal'!$F$513:$F$522)*(IF('Gastos com Pessoal'!$G$513:$G$522&lt;=H$3,1,0))*OFFSET('Gastos com Pessoal'!$H$512,1,MATCH(1&amp;$B31,'Gastos com Pessoal'!$I$532:$AJ$532&amp;'Gastos com Pessoal'!$I$512:$AJ$512,0),10,1)),0)+_xlfn.IFNA(SUM((H$3&gt;='Gastos com Pessoal'!$E$513:$E$522)*(H$3&lt;='Gastos com Pessoal'!$F$513:$F$522)*(IF('Gastos com Pessoal'!$M$513:$M$522&lt;=H$3,1,0))*OFFSET('Gastos com Pessoal'!$H$512,1,MATCH(2&amp;$B31,'Gastos com Pessoal'!$I$532:$AJ$532&amp;'Gastos com Pessoal'!$I$512:$AJ$512,0),10,1)),0)+_xlfn.IFNA(SUM((H$3&gt;='Gastos com Pessoal'!$E$513:$E$522)*(H$3&lt;='Gastos com Pessoal'!$F$513:$F$522)*(IF('Gastos com Pessoal'!$S$513:$S$522&lt;=H$3,1,0))*OFFSET('Gastos com Pessoal'!$H$512,1,MATCH(3&amp;$B31,'Gastos com Pessoal'!$I$532:$AJ$532&amp;'Gastos com Pessoal'!$I$512:$AJ$512,0),10,1)),0)+_xlfn.IFNA(SUM((H$3&gt;='Gastos com Pessoal'!$E$513:$E$522)*(H$3&lt;='Gastos com Pessoal'!$F$513:$F$522)*(IF('Gastos com Pessoal'!$Y$513:$Y$522&lt;=H$3,1,0))*OFFSET('Gastos com Pessoal'!$H$512,1,MATCH(4&amp;$B31,'Gastos com Pessoal'!$I$532:$AJ$532&amp;'Gastos com Pessoal'!$I$512:$AJ$512,0),10,1)),0)+_xlfn.IFNA(SUM((H$3&gt;='Gastos com Pessoal'!$E$513:$E$522)*(H$3&lt;='Gastos com Pessoal'!$F$513:$F$522)*(IF('Gastos com Pessoal'!$AE$513:$AE$522&lt;=H$3,1,0))*OFFSET('Gastos com Pessoal'!$H$512,1,MATCH(5&amp;$B31,'Gastos com Pessoal'!$I$532:$AJ$532&amp;'Gastos com Pessoal'!$I$512:$AJ$512,0),10,1)),0)</f>
        <v>0</v>
      </c>
      <c r="I31" s="188">
        <f t="array" aca="1" ref="I31" ca="1">_xlfn.IFNA(SUM((I$3&gt;='Gastos com Pessoal'!$E$7:$E$506)*(I$3&lt;='Gastos com Pessoal'!$F$7:$F$506)*OFFSET('Encargos e Benefícios'!$D$5,1,MATCH($B31,'Encargos e Benefícios'!$E$5:$AB$5,0),500,1)),0)+_xlfn.IFNA(SUM((I$3&gt;='Gastos com Pessoal'!$E$513:$E$522)*(I$3&lt;='Gastos com Pessoal'!$F$513:$F$522)*OFFSET('Encargos e Benefícios'!$D$511,1,MATCH($B31,'Encargos e Benefícios'!$E$511:$AB$511,0),10,1)),0)+_xlfn.IFNA(SUM((I$3&gt;='Gastos com Pessoal'!$E$7:$E$506)*(I$3&lt;='Gastos com Pessoal'!$F$7:$F$506)*(IF('Gastos com Pessoal'!$G$7:$G$506&lt;=I$3,1,0))*OFFSET('Gastos com Pessoal'!$H$6,1,MATCH(1&amp;$B31,'Gastos com Pessoal'!$I$532:$AJ$532&amp;'Gastos com Pessoal'!$I$6:$AJ$6,0),500,1)),0)+_xlfn.IFNA(SUM((I$3&gt;='Gastos com Pessoal'!$E$7:$E$506)*(I$3&lt;='Gastos com Pessoal'!$F$7:$F$506)*(IF('Gastos com Pessoal'!$M$7:$M$506&lt;=I$3,1,0))*OFFSET('Gastos com Pessoal'!$H$6,1,MATCH(2&amp;$B31,'Gastos com Pessoal'!$I$532:$AJ$532&amp;'Gastos com Pessoal'!$I$6:$AJ$6,0),500,1)),0)+_xlfn.IFNA(SUM((I$3&gt;='Gastos com Pessoal'!$E$7:$E$506)*(I$3&lt;='Gastos com Pessoal'!$F$7:$F$506)*(IF('Gastos com Pessoal'!$S$7:$S$506&lt;=I$3,1,0))*OFFSET('Gastos com Pessoal'!$H$6,1,MATCH(3&amp;$B31,'Gastos com Pessoal'!$I$532:$AJ$532&amp;'Gastos com Pessoal'!$I$6:$AJ$6,0),500,1)),0)+_xlfn.IFNA(SUM((I$3&gt;='Gastos com Pessoal'!$E$7:$E$506)*(I$3&lt;='Gastos com Pessoal'!$F$7:$F$506)*(IF('Gastos com Pessoal'!$Y$7:$Y$506&lt;=I$3,1,0))*OFFSET('Gastos com Pessoal'!$H$6,1,MATCH(4&amp;$B31,'Gastos com Pessoal'!$I$532:$AJ$532&amp;'Gastos com Pessoal'!$I$6:$AJ$6,0),500,1)),0)+_xlfn.IFNA(SUM((I$3&gt;='Gastos com Pessoal'!$E$7:$E$506)*(I$3&lt;='Gastos com Pessoal'!$F$7:$F$506)*(IF('Gastos com Pessoal'!$AE$7:$AE$506&lt;=I$3,1,0))*OFFSET('Gastos com Pessoal'!$H$6,1,MATCH(5&amp;$B31,'Gastos com Pessoal'!$I$532:$AJ$532&amp;'Gastos com Pessoal'!$I$6:$AJ$6,0),500,1)),0)+_xlfn.IFNA(SUM((I$3&gt;='Gastos com Pessoal'!$E$513:$E$522)*(I$3&lt;='Gastos com Pessoal'!$F$513:$F$522)*(IF('Gastos com Pessoal'!$G$513:$G$522&lt;=I$3,1,0))*OFFSET('Gastos com Pessoal'!$H$512,1,MATCH(1&amp;$B31,'Gastos com Pessoal'!$I$532:$AJ$532&amp;'Gastos com Pessoal'!$I$512:$AJ$512,0),10,1)),0)+_xlfn.IFNA(SUM((I$3&gt;='Gastos com Pessoal'!$E$513:$E$522)*(I$3&lt;='Gastos com Pessoal'!$F$513:$F$522)*(IF('Gastos com Pessoal'!$M$513:$M$522&lt;=I$3,1,0))*OFFSET('Gastos com Pessoal'!$H$512,1,MATCH(2&amp;$B31,'Gastos com Pessoal'!$I$532:$AJ$532&amp;'Gastos com Pessoal'!$I$512:$AJ$512,0),10,1)),0)+_xlfn.IFNA(SUM((I$3&gt;='Gastos com Pessoal'!$E$513:$E$522)*(I$3&lt;='Gastos com Pessoal'!$F$513:$F$522)*(IF('Gastos com Pessoal'!$S$513:$S$522&lt;=I$3,1,0))*OFFSET('Gastos com Pessoal'!$H$512,1,MATCH(3&amp;$B31,'Gastos com Pessoal'!$I$532:$AJ$532&amp;'Gastos com Pessoal'!$I$512:$AJ$512,0),10,1)),0)+_xlfn.IFNA(SUM((I$3&gt;='Gastos com Pessoal'!$E$513:$E$522)*(I$3&lt;='Gastos com Pessoal'!$F$513:$F$522)*(IF('Gastos com Pessoal'!$Y$513:$Y$522&lt;=I$3,1,0))*OFFSET('Gastos com Pessoal'!$H$512,1,MATCH(4&amp;$B31,'Gastos com Pessoal'!$I$532:$AJ$532&amp;'Gastos com Pessoal'!$I$512:$AJ$512,0),10,1)),0)+_xlfn.IFNA(SUM((I$3&gt;='Gastos com Pessoal'!$E$513:$E$522)*(I$3&lt;='Gastos com Pessoal'!$F$513:$F$522)*(IF('Gastos com Pessoal'!$AE$513:$AE$522&lt;=I$3,1,0))*OFFSET('Gastos com Pessoal'!$H$512,1,MATCH(5&amp;$B31,'Gastos com Pessoal'!$I$532:$AJ$532&amp;'Gastos com Pessoal'!$I$512:$AJ$512,0),10,1)),0)</f>
        <v>0</v>
      </c>
      <c r="J31" s="188">
        <f t="array" aca="1" ref="J31" ca="1">_xlfn.IFNA(SUM((J$3&gt;='Gastos com Pessoal'!$E$7:$E$506)*(J$3&lt;='Gastos com Pessoal'!$F$7:$F$506)*OFFSET('Encargos e Benefícios'!$D$5,1,MATCH($B31,'Encargos e Benefícios'!$E$5:$AB$5,0),500,1)),0)+_xlfn.IFNA(SUM((J$3&gt;='Gastos com Pessoal'!$E$513:$E$522)*(J$3&lt;='Gastos com Pessoal'!$F$513:$F$522)*OFFSET('Encargos e Benefícios'!$D$511,1,MATCH($B31,'Encargos e Benefícios'!$E$511:$AB$511,0),10,1)),0)+_xlfn.IFNA(SUM((J$3&gt;='Gastos com Pessoal'!$E$7:$E$506)*(J$3&lt;='Gastos com Pessoal'!$F$7:$F$506)*(IF('Gastos com Pessoal'!$G$7:$G$506&lt;=J$3,1,0))*OFFSET('Gastos com Pessoal'!$H$6,1,MATCH(1&amp;$B31,'Gastos com Pessoal'!$I$532:$AJ$532&amp;'Gastos com Pessoal'!$I$6:$AJ$6,0),500,1)),0)+_xlfn.IFNA(SUM((J$3&gt;='Gastos com Pessoal'!$E$7:$E$506)*(J$3&lt;='Gastos com Pessoal'!$F$7:$F$506)*(IF('Gastos com Pessoal'!$M$7:$M$506&lt;=J$3,1,0))*OFFSET('Gastos com Pessoal'!$H$6,1,MATCH(2&amp;$B31,'Gastos com Pessoal'!$I$532:$AJ$532&amp;'Gastos com Pessoal'!$I$6:$AJ$6,0),500,1)),0)+_xlfn.IFNA(SUM((J$3&gt;='Gastos com Pessoal'!$E$7:$E$506)*(J$3&lt;='Gastos com Pessoal'!$F$7:$F$506)*(IF('Gastos com Pessoal'!$S$7:$S$506&lt;=J$3,1,0))*OFFSET('Gastos com Pessoal'!$H$6,1,MATCH(3&amp;$B31,'Gastos com Pessoal'!$I$532:$AJ$532&amp;'Gastos com Pessoal'!$I$6:$AJ$6,0),500,1)),0)+_xlfn.IFNA(SUM((J$3&gt;='Gastos com Pessoal'!$E$7:$E$506)*(J$3&lt;='Gastos com Pessoal'!$F$7:$F$506)*(IF('Gastos com Pessoal'!$Y$7:$Y$506&lt;=J$3,1,0))*OFFSET('Gastos com Pessoal'!$H$6,1,MATCH(4&amp;$B31,'Gastos com Pessoal'!$I$532:$AJ$532&amp;'Gastos com Pessoal'!$I$6:$AJ$6,0),500,1)),0)+_xlfn.IFNA(SUM((J$3&gt;='Gastos com Pessoal'!$E$7:$E$506)*(J$3&lt;='Gastos com Pessoal'!$F$7:$F$506)*(IF('Gastos com Pessoal'!$AE$7:$AE$506&lt;=J$3,1,0))*OFFSET('Gastos com Pessoal'!$H$6,1,MATCH(5&amp;$B31,'Gastos com Pessoal'!$I$532:$AJ$532&amp;'Gastos com Pessoal'!$I$6:$AJ$6,0),500,1)),0)+_xlfn.IFNA(SUM((J$3&gt;='Gastos com Pessoal'!$E$513:$E$522)*(J$3&lt;='Gastos com Pessoal'!$F$513:$F$522)*(IF('Gastos com Pessoal'!$G$513:$G$522&lt;=J$3,1,0))*OFFSET('Gastos com Pessoal'!$H$512,1,MATCH(1&amp;$B31,'Gastos com Pessoal'!$I$532:$AJ$532&amp;'Gastos com Pessoal'!$I$512:$AJ$512,0),10,1)),0)+_xlfn.IFNA(SUM((J$3&gt;='Gastos com Pessoal'!$E$513:$E$522)*(J$3&lt;='Gastos com Pessoal'!$F$513:$F$522)*(IF('Gastos com Pessoal'!$M$513:$M$522&lt;=J$3,1,0))*OFFSET('Gastos com Pessoal'!$H$512,1,MATCH(2&amp;$B31,'Gastos com Pessoal'!$I$532:$AJ$532&amp;'Gastos com Pessoal'!$I$512:$AJ$512,0),10,1)),0)+_xlfn.IFNA(SUM((J$3&gt;='Gastos com Pessoal'!$E$513:$E$522)*(J$3&lt;='Gastos com Pessoal'!$F$513:$F$522)*(IF('Gastos com Pessoal'!$S$513:$S$522&lt;=J$3,1,0))*OFFSET('Gastos com Pessoal'!$H$512,1,MATCH(3&amp;$B31,'Gastos com Pessoal'!$I$532:$AJ$532&amp;'Gastos com Pessoal'!$I$512:$AJ$512,0),10,1)),0)+_xlfn.IFNA(SUM((J$3&gt;='Gastos com Pessoal'!$E$513:$E$522)*(J$3&lt;='Gastos com Pessoal'!$F$513:$F$522)*(IF('Gastos com Pessoal'!$Y$513:$Y$522&lt;=J$3,1,0))*OFFSET('Gastos com Pessoal'!$H$512,1,MATCH(4&amp;$B31,'Gastos com Pessoal'!$I$532:$AJ$532&amp;'Gastos com Pessoal'!$I$512:$AJ$512,0),10,1)),0)+_xlfn.IFNA(SUM((J$3&gt;='Gastos com Pessoal'!$E$513:$E$522)*(J$3&lt;='Gastos com Pessoal'!$F$513:$F$522)*(IF('Gastos com Pessoal'!$AE$513:$AE$522&lt;=J$3,1,0))*OFFSET('Gastos com Pessoal'!$H$512,1,MATCH(5&amp;$B31,'Gastos com Pessoal'!$I$532:$AJ$532&amp;'Gastos com Pessoal'!$I$512:$AJ$512,0),10,1)),0)</f>
        <v>0</v>
      </c>
      <c r="K31" s="188">
        <f t="array" aca="1" ref="K31" ca="1">_xlfn.IFNA(SUM((K$3&gt;='Gastos com Pessoal'!$E$7:$E$506)*(K$3&lt;='Gastos com Pessoal'!$F$7:$F$506)*OFFSET('Encargos e Benefícios'!$D$5,1,MATCH($B31,'Encargos e Benefícios'!$E$5:$AB$5,0),500,1)),0)+_xlfn.IFNA(SUM((K$3&gt;='Gastos com Pessoal'!$E$513:$E$522)*(K$3&lt;='Gastos com Pessoal'!$F$513:$F$522)*OFFSET('Encargos e Benefícios'!$D$511,1,MATCH($B31,'Encargos e Benefícios'!$E$511:$AB$511,0),10,1)),0)+_xlfn.IFNA(SUM((K$3&gt;='Gastos com Pessoal'!$E$7:$E$506)*(K$3&lt;='Gastos com Pessoal'!$F$7:$F$506)*(IF('Gastos com Pessoal'!$G$7:$G$506&lt;=K$3,1,0))*OFFSET('Gastos com Pessoal'!$H$6,1,MATCH(1&amp;$B31,'Gastos com Pessoal'!$I$532:$AJ$532&amp;'Gastos com Pessoal'!$I$6:$AJ$6,0),500,1)),0)+_xlfn.IFNA(SUM((K$3&gt;='Gastos com Pessoal'!$E$7:$E$506)*(K$3&lt;='Gastos com Pessoal'!$F$7:$F$506)*(IF('Gastos com Pessoal'!$M$7:$M$506&lt;=K$3,1,0))*OFFSET('Gastos com Pessoal'!$H$6,1,MATCH(2&amp;$B31,'Gastos com Pessoal'!$I$532:$AJ$532&amp;'Gastos com Pessoal'!$I$6:$AJ$6,0),500,1)),0)+_xlfn.IFNA(SUM((K$3&gt;='Gastos com Pessoal'!$E$7:$E$506)*(K$3&lt;='Gastos com Pessoal'!$F$7:$F$506)*(IF('Gastos com Pessoal'!$S$7:$S$506&lt;=K$3,1,0))*OFFSET('Gastos com Pessoal'!$H$6,1,MATCH(3&amp;$B31,'Gastos com Pessoal'!$I$532:$AJ$532&amp;'Gastos com Pessoal'!$I$6:$AJ$6,0),500,1)),0)+_xlfn.IFNA(SUM((K$3&gt;='Gastos com Pessoal'!$E$7:$E$506)*(K$3&lt;='Gastos com Pessoal'!$F$7:$F$506)*(IF('Gastos com Pessoal'!$Y$7:$Y$506&lt;=K$3,1,0))*OFFSET('Gastos com Pessoal'!$H$6,1,MATCH(4&amp;$B31,'Gastos com Pessoal'!$I$532:$AJ$532&amp;'Gastos com Pessoal'!$I$6:$AJ$6,0),500,1)),0)+_xlfn.IFNA(SUM((K$3&gt;='Gastos com Pessoal'!$E$7:$E$506)*(K$3&lt;='Gastos com Pessoal'!$F$7:$F$506)*(IF('Gastos com Pessoal'!$AE$7:$AE$506&lt;=K$3,1,0))*OFFSET('Gastos com Pessoal'!$H$6,1,MATCH(5&amp;$B31,'Gastos com Pessoal'!$I$532:$AJ$532&amp;'Gastos com Pessoal'!$I$6:$AJ$6,0),500,1)),0)+_xlfn.IFNA(SUM((K$3&gt;='Gastos com Pessoal'!$E$513:$E$522)*(K$3&lt;='Gastos com Pessoal'!$F$513:$F$522)*(IF('Gastos com Pessoal'!$G$513:$G$522&lt;=K$3,1,0))*OFFSET('Gastos com Pessoal'!$H$512,1,MATCH(1&amp;$B31,'Gastos com Pessoal'!$I$532:$AJ$532&amp;'Gastos com Pessoal'!$I$512:$AJ$512,0),10,1)),0)+_xlfn.IFNA(SUM((K$3&gt;='Gastos com Pessoal'!$E$513:$E$522)*(K$3&lt;='Gastos com Pessoal'!$F$513:$F$522)*(IF('Gastos com Pessoal'!$M$513:$M$522&lt;=K$3,1,0))*OFFSET('Gastos com Pessoal'!$H$512,1,MATCH(2&amp;$B31,'Gastos com Pessoal'!$I$532:$AJ$532&amp;'Gastos com Pessoal'!$I$512:$AJ$512,0),10,1)),0)+_xlfn.IFNA(SUM((K$3&gt;='Gastos com Pessoal'!$E$513:$E$522)*(K$3&lt;='Gastos com Pessoal'!$F$513:$F$522)*(IF('Gastos com Pessoal'!$S$513:$S$522&lt;=K$3,1,0))*OFFSET('Gastos com Pessoal'!$H$512,1,MATCH(3&amp;$B31,'Gastos com Pessoal'!$I$532:$AJ$532&amp;'Gastos com Pessoal'!$I$512:$AJ$512,0),10,1)),0)+_xlfn.IFNA(SUM((K$3&gt;='Gastos com Pessoal'!$E$513:$E$522)*(K$3&lt;='Gastos com Pessoal'!$F$513:$F$522)*(IF('Gastos com Pessoal'!$Y$513:$Y$522&lt;=K$3,1,0))*OFFSET('Gastos com Pessoal'!$H$512,1,MATCH(4&amp;$B31,'Gastos com Pessoal'!$I$532:$AJ$532&amp;'Gastos com Pessoal'!$I$512:$AJ$512,0),10,1)),0)+_xlfn.IFNA(SUM((K$3&gt;='Gastos com Pessoal'!$E$513:$E$522)*(K$3&lt;='Gastos com Pessoal'!$F$513:$F$522)*(IF('Gastos com Pessoal'!$AE$513:$AE$522&lt;=K$3,1,0))*OFFSET('Gastos com Pessoal'!$H$512,1,MATCH(5&amp;$B31,'Gastos com Pessoal'!$I$532:$AJ$532&amp;'Gastos com Pessoal'!$I$512:$AJ$512,0),10,1)),0)</f>
        <v>0</v>
      </c>
      <c r="L31" s="188">
        <f t="array" aca="1" ref="L31" ca="1">_xlfn.IFNA(SUM((L$3&gt;='Gastos com Pessoal'!$E$7:$E$506)*(L$3&lt;='Gastos com Pessoal'!$F$7:$F$506)*OFFSET('Encargos e Benefícios'!$D$5,1,MATCH($B31,'Encargos e Benefícios'!$E$5:$AB$5,0),500,1)),0)+_xlfn.IFNA(SUM((L$3&gt;='Gastos com Pessoal'!$E$513:$E$522)*(L$3&lt;='Gastos com Pessoal'!$F$513:$F$522)*OFFSET('Encargos e Benefícios'!$D$511,1,MATCH($B31,'Encargos e Benefícios'!$E$511:$AB$511,0),10,1)),0)+_xlfn.IFNA(SUM((L$3&gt;='Gastos com Pessoal'!$E$7:$E$506)*(L$3&lt;='Gastos com Pessoal'!$F$7:$F$506)*(IF('Gastos com Pessoal'!$G$7:$G$506&lt;=L$3,1,0))*OFFSET('Gastos com Pessoal'!$H$6,1,MATCH(1&amp;$B31,'Gastos com Pessoal'!$I$532:$AJ$532&amp;'Gastos com Pessoal'!$I$6:$AJ$6,0),500,1)),0)+_xlfn.IFNA(SUM((L$3&gt;='Gastos com Pessoal'!$E$7:$E$506)*(L$3&lt;='Gastos com Pessoal'!$F$7:$F$506)*(IF('Gastos com Pessoal'!$M$7:$M$506&lt;=L$3,1,0))*OFFSET('Gastos com Pessoal'!$H$6,1,MATCH(2&amp;$B31,'Gastos com Pessoal'!$I$532:$AJ$532&amp;'Gastos com Pessoal'!$I$6:$AJ$6,0),500,1)),0)+_xlfn.IFNA(SUM((L$3&gt;='Gastos com Pessoal'!$E$7:$E$506)*(L$3&lt;='Gastos com Pessoal'!$F$7:$F$506)*(IF('Gastos com Pessoal'!$S$7:$S$506&lt;=L$3,1,0))*OFFSET('Gastos com Pessoal'!$H$6,1,MATCH(3&amp;$B31,'Gastos com Pessoal'!$I$532:$AJ$532&amp;'Gastos com Pessoal'!$I$6:$AJ$6,0),500,1)),0)+_xlfn.IFNA(SUM((L$3&gt;='Gastos com Pessoal'!$E$7:$E$506)*(L$3&lt;='Gastos com Pessoal'!$F$7:$F$506)*(IF('Gastos com Pessoal'!$Y$7:$Y$506&lt;=L$3,1,0))*OFFSET('Gastos com Pessoal'!$H$6,1,MATCH(4&amp;$B31,'Gastos com Pessoal'!$I$532:$AJ$532&amp;'Gastos com Pessoal'!$I$6:$AJ$6,0),500,1)),0)+_xlfn.IFNA(SUM((L$3&gt;='Gastos com Pessoal'!$E$7:$E$506)*(L$3&lt;='Gastos com Pessoal'!$F$7:$F$506)*(IF('Gastos com Pessoal'!$AE$7:$AE$506&lt;=L$3,1,0))*OFFSET('Gastos com Pessoal'!$H$6,1,MATCH(5&amp;$B31,'Gastos com Pessoal'!$I$532:$AJ$532&amp;'Gastos com Pessoal'!$I$6:$AJ$6,0),500,1)),0)+_xlfn.IFNA(SUM((L$3&gt;='Gastos com Pessoal'!$E$513:$E$522)*(L$3&lt;='Gastos com Pessoal'!$F$513:$F$522)*(IF('Gastos com Pessoal'!$G$513:$G$522&lt;=L$3,1,0))*OFFSET('Gastos com Pessoal'!$H$512,1,MATCH(1&amp;$B31,'Gastos com Pessoal'!$I$532:$AJ$532&amp;'Gastos com Pessoal'!$I$512:$AJ$512,0),10,1)),0)+_xlfn.IFNA(SUM((L$3&gt;='Gastos com Pessoal'!$E$513:$E$522)*(L$3&lt;='Gastos com Pessoal'!$F$513:$F$522)*(IF('Gastos com Pessoal'!$M$513:$M$522&lt;=L$3,1,0))*OFFSET('Gastos com Pessoal'!$H$512,1,MATCH(2&amp;$B31,'Gastos com Pessoal'!$I$532:$AJ$532&amp;'Gastos com Pessoal'!$I$512:$AJ$512,0),10,1)),0)+_xlfn.IFNA(SUM((L$3&gt;='Gastos com Pessoal'!$E$513:$E$522)*(L$3&lt;='Gastos com Pessoal'!$F$513:$F$522)*(IF('Gastos com Pessoal'!$S$513:$S$522&lt;=L$3,1,0))*OFFSET('Gastos com Pessoal'!$H$512,1,MATCH(3&amp;$B31,'Gastos com Pessoal'!$I$532:$AJ$532&amp;'Gastos com Pessoal'!$I$512:$AJ$512,0),10,1)),0)+_xlfn.IFNA(SUM((L$3&gt;='Gastos com Pessoal'!$E$513:$E$522)*(L$3&lt;='Gastos com Pessoal'!$F$513:$F$522)*(IF('Gastos com Pessoal'!$Y$513:$Y$522&lt;=L$3,1,0))*OFFSET('Gastos com Pessoal'!$H$512,1,MATCH(4&amp;$B31,'Gastos com Pessoal'!$I$532:$AJ$532&amp;'Gastos com Pessoal'!$I$512:$AJ$512,0),10,1)),0)+_xlfn.IFNA(SUM((L$3&gt;='Gastos com Pessoal'!$E$513:$E$522)*(L$3&lt;='Gastos com Pessoal'!$F$513:$F$522)*(IF('Gastos com Pessoal'!$AE$513:$AE$522&lt;=L$3,1,0))*OFFSET('Gastos com Pessoal'!$H$512,1,MATCH(5&amp;$B31,'Gastos com Pessoal'!$I$532:$AJ$532&amp;'Gastos com Pessoal'!$I$512:$AJ$512,0),10,1)),0)</f>
        <v>0</v>
      </c>
      <c r="M31" s="188">
        <f t="array" aca="1" ref="M31" ca="1">_xlfn.IFNA(SUM((M$3&gt;='Gastos com Pessoal'!$E$7:$E$506)*(M$3&lt;='Gastos com Pessoal'!$F$7:$F$506)*OFFSET('Encargos e Benefícios'!$D$5,1,MATCH($B31,'Encargos e Benefícios'!$E$5:$AB$5,0),500,1)),0)+_xlfn.IFNA(SUM((M$3&gt;='Gastos com Pessoal'!$E$513:$E$522)*(M$3&lt;='Gastos com Pessoal'!$F$513:$F$522)*OFFSET('Encargos e Benefícios'!$D$511,1,MATCH($B31,'Encargos e Benefícios'!$E$511:$AB$511,0),10,1)),0)+_xlfn.IFNA(SUM((M$3&gt;='Gastos com Pessoal'!$E$7:$E$506)*(M$3&lt;='Gastos com Pessoal'!$F$7:$F$506)*(IF('Gastos com Pessoal'!$G$7:$G$506&lt;=M$3,1,0))*OFFSET('Gastos com Pessoal'!$H$6,1,MATCH(1&amp;$B31,'Gastos com Pessoal'!$I$532:$AJ$532&amp;'Gastos com Pessoal'!$I$6:$AJ$6,0),500,1)),0)+_xlfn.IFNA(SUM((M$3&gt;='Gastos com Pessoal'!$E$7:$E$506)*(M$3&lt;='Gastos com Pessoal'!$F$7:$F$506)*(IF('Gastos com Pessoal'!$M$7:$M$506&lt;=M$3,1,0))*OFFSET('Gastos com Pessoal'!$H$6,1,MATCH(2&amp;$B31,'Gastos com Pessoal'!$I$532:$AJ$532&amp;'Gastos com Pessoal'!$I$6:$AJ$6,0),500,1)),0)+_xlfn.IFNA(SUM((M$3&gt;='Gastos com Pessoal'!$E$7:$E$506)*(M$3&lt;='Gastos com Pessoal'!$F$7:$F$506)*(IF('Gastos com Pessoal'!$S$7:$S$506&lt;=M$3,1,0))*OFFSET('Gastos com Pessoal'!$H$6,1,MATCH(3&amp;$B31,'Gastos com Pessoal'!$I$532:$AJ$532&amp;'Gastos com Pessoal'!$I$6:$AJ$6,0),500,1)),0)+_xlfn.IFNA(SUM((M$3&gt;='Gastos com Pessoal'!$E$7:$E$506)*(M$3&lt;='Gastos com Pessoal'!$F$7:$F$506)*(IF('Gastos com Pessoal'!$Y$7:$Y$506&lt;=M$3,1,0))*OFFSET('Gastos com Pessoal'!$H$6,1,MATCH(4&amp;$B31,'Gastos com Pessoal'!$I$532:$AJ$532&amp;'Gastos com Pessoal'!$I$6:$AJ$6,0),500,1)),0)+_xlfn.IFNA(SUM((M$3&gt;='Gastos com Pessoal'!$E$7:$E$506)*(M$3&lt;='Gastos com Pessoal'!$F$7:$F$506)*(IF('Gastos com Pessoal'!$AE$7:$AE$506&lt;=M$3,1,0))*OFFSET('Gastos com Pessoal'!$H$6,1,MATCH(5&amp;$B31,'Gastos com Pessoal'!$I$532:$AJ$532&amp;'Gastos com Pessoal'!$I$6:$AJ$6,0),500,1)),0)+_xlfn.IFNA(SUM((M$3&gt;='Gastos com Pessoal'!$E$513:$E$522)*(M$3&lt;='Gastos com Pessoal'!$F$513:$F$522)*(IF('Gastos com Pessoal'!$G$513:$G$522&lt;=M$3,1,0))*OFFSET('Gastos com Pessoal'!$H$512,1,MATCH(1&amp;$B31,'Gastos com Pessoal'!$I$532:$AJ$532&amp;'Gastos com Pessoal'!$I$512:$AJ$512,0),10,1)),0)+_xlfn.IFNA(SUM((M$3&gt;='Gastos com Pessoal'!$E$513:$E$522)*(M$3&lt;='Gastos com Pessoal'!$F$513:$F$522)*(IF('Gastos com Pessoal'!$M$513:$M$522&lt;=M$3,1,0))*OFFSET('Gastos com Pessoal'!$H$512,1,MATCH(2&amp;$B31,'Gastos com Pessoal'!$I$532:$AJ$532&amp;'Gastos com Pessoal'!$I$512:$AJ$512,0),10,1)),0)+_xlfn.IFNA(SUM((M$3&gt;='Gastos com Pessoal'!$E$513:$E$522)*(M$3&lt;='Gastos com Pessoal'!$F$513:$F$522)*(IF('Gastos com Pessoal'!$S$513:$S$522&lt;=M$3,1,0))*OFFSET('Gastos com Pessoal'!$H$512,1,MATCH(3&amp;$B31,'Gastos com Pessoal'!$I$532:$AJ$532&amp;'Gastos com Pessoal'!$I$512:$AJ$512,0),10,1)),0)+_xlfn.IFNA(SUM((M$3&gt;='Gastos com Pessoal'!$E$513:$E$522)*(M$3&lt;='Gastos com Pessoal'!$F$513:$F$522)*(IF('Gastos com Pessoal'!$Y$513:$Y$522&lt;=M$3,1,0))*OFFSET('Gastos com Pessoal'!$H$512,1,MATCH(4&amp;$B31,'Gastos com Pessoal'!$I$532:$AJ$532&amp;'Gastos com Pessoal'!$I$512:$AJ$512,0),10,1)),0)+_xlfn.IFNA(SUM((M$3&gt;='Gastos com Pessoal'!$E$513:$E$522)*(M$3&lt;='Gastos com Pessoal'!$F$513:$F$522)*(IF('Gastos com Pessoal'!$AE$513:$AE$522&lt;=M$3,1,0))*OFFSET('Gastos com Pessoal'!$H$512,1,MATCH(5&amp;$B31,'Gastos com Pessoal'!$I$532:$AJ$532&amp;'Gastos com Pessoal'!$I$512:$AJ$512,0),10,1)),0)</f>
        <v>0</v>
      </c>
      <c r="N31" s="188">
        <f t="array" aca="1" ref="N31" ca="1">_xlfn.IFNA(SUM((N$3&gt;='Gastos com Pessoal'!$E$7:$E$506)*(N$3&lt;='Gastos com Pessoal'!$F$7:$F$506)*OFFSET('Encargos e Benefícios'!$D$5,1,MATCH($B31,'Encargos e Benefícios'!$E$5:$AB$5,0),500,1)),0)+_xlfn.IFNA(SUM((N$3&gt;='Gastos com Pessoal'!$E$513:$E$522)*(N$3&lt;='Gastos com Pessoal'!$F$513:$F$522)*OFFSET('Encargos e Benefícios'!$D$511,1,MATCH($B31,'Encargos e Benefícios'!$E$511:$AB$511,0),10,1)),0)+_xlfn.IFNA(SUM((N$3&gt;='Gastos com Pessoal'!$E$7:$E$506)*(N$3&lt;='Gastos com Pessoal'!$F$7:$F$506)*(IF('Gastos com Pessoal'!$G$7:$G$506&lt;=N$3,1,0))*OFFSET('Gastos com Pessoal'!$H$6,1,MATCH(1&amp;$B31,'Gastos com Pessoal'!$I$532:$AJ$532&amp;'Gastos com Pessoal'!$I$6:$AJ$6,0),500,1)),0)+_xlfn.IFNA(SUM((N$3&gt;='Gastos com Pessoal'!$E$7:$E$506)*(N$3&lt;='Gastos com Pessoal'!$F$7:$F$506)*(IF('Gastos com Pessoal'!$M$7:$M$506&lt;=N$3,1,0))*OFFSET('Gastos com Pessoal'!$H$6,1,MATCH(2&amp;$B31,'Gastos com Pessoal'!$I$532:$AJ$532&amp;'Gastos com Pessoal'!$I$6:$AJ$6,0),500,1)),0)+_xlfn.IFNA(SUM((N$3&gt;='Gastos com Pessoal'!$E$7:$E$506)*(N$3&lt;='Gastos com Pessoal'!$F$7:$F$506)*(IF('Gastos com Pessoal'!$S$7:$S$506&lt;=N$3,1,0))*OFFSET('Gastos com Pessoal'!$H$6,1,MATCH(3&amp;$B31,'Gastos com Pessoal'!$I$532:$AJ$532&amp;'Gastos com Pessoal'!$I$6:$AJ$6,0),500,1)),0)+_xlfn.IFNA(SUM((N$3&gt;='Gastos com Pessoal'!$E$7:$E$506)*(N$3&lt;='Gastos com Pessoal'!$F$7:$F$506)*(IF('Gastos com Pessoal'!$Y$7:$Y$506&lt;=N$3,1,0))*OFFSET('Gastos com Pessoal'!$H$6,1,MATCH(4&amp;$B31,'Gastos com Pessoal'!$I$532:$AJ$532&amp;'Gastos com Pessoal'!$I$6:$AJ$6,0),500,1)),0)+_xlfn.IFNA(SUM((N$3&gt;='Gastos com Pessoal'!$E$7:$E$506)*(N$3&lt;='Gastos com Pessoal'!$F$7:$F$506)*(IF('Gastos com Pessoal'!$AE$7:$AE$506&lt;=N$3,1,0))*OFFSET('Gastos com Pessoal'!$H$6,1,MATCH(5&amp;$B31,'Gastos com Pessoal'!$I$532:$AJ$532&amp;'Gastos com Pessoal'!$I$6:$AJ$6,0),500,1)),0)+_xlfn.IFNA(SUM((N$3&gt;='Gastos com Pessoal'!$E$513:$E$522)*(N$3&lt;='Gastos com Pessoal'!$F$513:$F$522)*(IF('Gastos com Pessoal'!$G$513:$G$522&lt;=N$3,1,0))*OFFSET('Gastos com Pessoal'!$H$512,1,MATCH(1&amp;$B31,'Gastos com Pessoal'!$I$532:$AJ$532&amp;'Gastos com Pessoal'!$I$512:$AJ$512,0),10,1)),0)+_xlfn.IFNA(SUM((N$3&gt;='Gastos com Pessoal'!$E$513:$E$522)*(N$3&lt;='Gastos com Pessoal'!$F$513:$F$522)*(IF('Gastos com Pessoal'!$M$513:$M$522&lt;=N$3,1,0))*OFFSET('Gastos com Pessoal'!$H$512,1,MATCH(2&amp;$B31,'Gastos com Pessoal'!$I$532:$AJ$532&amp;'Gastos com Pessoal'!$I$512:$AJ$512,0),10,1)),0)+_xlfn.IFNA(SUM((N$3&gt;='Gastos com Pessoal'!$E$513:$E$522)*(N$3&lt;='Gastos com Pessoal'!$F$513:$F$522)*(IF('Gastos com Pessoal'!$S$513:$S$522&lt;=N$3,1,0))*OFFSET('Gastos com Pessoal'!$H$512,1,MATCH(3&amp;$B31,'Gastos com Pessoal'!$I$532:$AJ$532&amp;'Gastos com Pessoal'!$I$512:$AJ$512,0),10,1)),0)+_xlfn.IFNA(SUM((N$3&gt;='Gastos com Pessoal'!$E$513:$E$522)*(N$3&lt;='Gastos com Pessoal'!$F$513:$F$522)*(IF('Gastos com Pessoal'!$Y$513:$Y$522&lt;=N$3,1,0))*OFFSET('Gastos com Pessoal'!$H$512,1,MATCH(4&amp;$B31,'Gastos com Pessoal'!$I$532:$AJ$532&amp;'Gastos com Pessoal'!$I$512:$AJ$512,0),10,1)),0)+_xlfn.IFNA(SUM((N$3&gt;='Gastos com Pessoal'!$E$513:$E$522)*(N$3&lt;='Gastos com Pessoal'!$F$513:$F$522)*(IF('Gastos com Pessoal'!$AE$513:$AE$522&lt;=N$3,1,0))*OFFSET('Gastos com Pessoal'!$H$512,1,MATCH(5&amp;$B31,'Gastos com Pessoal'!$I$532:$AJ$532&amp;'Gastos com Pessoal'!$I$512:$AJ$512,0),10,1)),0)</f>
        <v>0</v>
      </c>
      <c r="O31" s="188">
        <f t="array" aca="1" ref="O31" ca="1">_xlfn.IFNA(SUM((O$3&gt;='Gastos com Pessoal'!$E$7:$E$506)*(O$3&lt;='Gastos com Pessoal'!$F$7:$F$506)*OFFSET('Encargos e Benefícios'!$D$5,1,MATCH($B31,'Encargos e Benefícios'!$E$5:$AB$5,0),500,1)),0)+_xlfn.IFNA(SUM((O$3&gt;='Gastos com Pessoal'!$E$513:$E$522)*(O$3&lt;='Gastos com Pessoal'!$F$513:$F$522)*OFFSET('Encargos e Benefícios'!$D$511,1,MATCH($B31,'Encargos e Benefícios'!$E$511:$AB$511,0),10,1)),0)+_xlfn.IFNA(SUM((O$3&gt;='Gastos com Pessoal'!$E$7:$E$506)*(O$3&lt;='Gastos com Pessoal'!$F$7:$F$506)*(IF('Gastos com Pessoal'!$G$7:$G$506&lt;=O$3,1,0))*OFFSET('Gastos com Pessoal'!$H$6,1,MATCH(1&amp;$B31,'Gastos com Pessoal'!$I$532:$AJ$532&amp;'Gastos com Pessoal'!$I$6:$AJ$6,0),500,1)),0)+_xlfn.IFNA(SUM((O$3&gt;='Gastos com Pessoal'!$E$7:$E$506)*(O$3&lt;='Gastos com Pessoal'!$F$7:$F$506)*(IF('Gastos com Pessoal'!$M$7:$M$506&lt;=O$3,1,0))*OFFSET('Gastos com Pessoal'!$H$6,1,MATCH(2&amp;$B31,'Gastos com Pessoal'!$I$532:$AJ$532&amp;'Gastos com Pessoal'!$I$6:$AJ$6,0),500,1)),0)+_xlfn.IFNA(SUM((O$3&gt;='Gastos com Pessoal'!$E$7:$E$506)*(O$3&lt;='Gastos com Pessoal'!$F$7:$F$506)*(IF('Gastos com Pessoal'!$S$7:$S$506&lt;=O$3,1,0))*OFFSET('Gastos com Pessoal'!$H$6,1,MATCH(3&amp;$B31,'Gastos com Pessoal'!$I$532:$AJ$532&amp;'Gastos com Pessoal'!$I$6:$AJ$6,0),500,1)),0)+_xlfn.IFNA(SUM((O$3&gt;='Gastos com Pessoal'!$E$7:$E$506)*(O$3&lt;='Gastos com Pessoal'!$F$7:$F$506)*(IF('Gastos com Pessoal'!$Y$7:$Y$506&lt;=O$3,1,0))*OFFSET('Gastos com Pessoal'!$H$6,1,MATCH(4&amp;$B31,'Gastos com Pessoal'!$I$532:$AJ$532&amp;'Gastos com Pessoal'!$I$6:$AJ$6,0),500,1)),0)+_xlfn.IFNA(SUM((O$3&gt;='Gastos com Pessoal'!$E$7:$E$506)*(O$3&lt;='Gastos com Pessoal'!$F$7:$F$506)*(IF('Gastos com Pessoal'!$AE$7:$AE$506&lt;=O$3,1,0))*OFFSET('Gastos com Pessoal'!$H$6,1,MATCH(5&amp;$B31,'Gastos com Pessoal'!$I$532:$AJ$532&amp;'Gastos com Pessoal'!$I$6:$AJ$6,0),500,1)),0)+_xlfn.IFNA(SUM((O$3&gt;='Gastos com Pessoal'!$E$513:$E$522)*(O$3&lt;='Gastos com Pessoal'!$F$513:$F$522)*(IF('Gastos com Pessoal'!$G$513:$G$522&lt;=O$3,1,0))*OFFSET('Gastos com Pessoal'!$H$512,1,MATCH(1&amp;$B31,'Gastos com Pessoal'!$I$532:$AJ$532&amp;'Gastos com Pessoal'!$I$512:$AJ$512,0),10,1)),0)+_xlfn.IFNA(SUM((O$3&gt;='Gastos com Pessoal'!$E$513:$E$522)*(O$3&lt;='Gastos com Pessoal'!$F$513:$F$522)*(IF('Gastos com Pessoal'!$M$513:$M$522&lt;=O$3,1,0))*OFFSET('Gastos com Pessoal'!$H$512,1,MATCH(2&amp;$B31,'Gastos com Pessoal'!$I$532:$AJ$532&amp;'Gastos com Pessoal'!$I$512:$AJ$512,0),10,1)),0)+_xlfn.IFNA(SUM((O$3&gt;='Gastos com Pessoal'!$E$513:$E$522)*(O$3&lt;='Gastos com Pessoal'!$F$513:$F$522)*(IF('Gastos com Pessoal'!$S$513:$S$522&lt;=O$3,1,0))*OFFSET('Gastos com Pessoal'!$H$512,1,MATCH(3&amp;$B31,'Gastos com Pessoal'!$I$532:$AJ$532&amp;'Gastos com Pessoal'!$I$512:$AJ$512,0),10,1)),0)+_xlfn.IFNA(SUM((O$3&gt;='Gastos com Pessoal'!$E$513:$E$522)*(O$3&lt;='Gastos com Pessoal'!$F$513:$F$522)*(IF('Gastos com Pessoal'!$Y$513:$Y$522&lt;=O$3,1,0))*OFFSET('Gastos com Pessoal'!$H$512,1,MATCH(4&amp;$B31,'Gastos com Pessoal'!$I$532:$AJ$532&amp;'Gastos com Pessoal'!$I$512:$AJ$512,0),10,1)),0)+_xlfn.IFNA(SUM((O$3&gt;='Gastos com Pessoal'!$E$513:$E$522)*(O$3&lt;='Gastos com Pessoal'!$F$513:$F$522)*(IF('Gastos com Pessoal'!$AE$513:$AE$522&lt;=O$3,1,0))*OFFSET('Gastos com Pessoal'!$H$512,1,MATCH(5&amp;$B31,'Gastos com Pessoal'!$I$532:$AJ$532&amp;'Gastos com Pessoal'!$I$512:$AJ$512,0),10,1)),0)</f>
        <v>0</v>
      </c>
      <c r="P31" s="188">
        <f t="array" aca="1" ref="P31" ca="1">_xlfn.IFNA(SUM((P$3&gt;='Gastos com Pessoal'!$E$7:$E$506)*(P$3&lt;='Gastos com Pessoal'!$F$7:$F$506)*OFFSET('Encargos e Benefícios'!$D$5,1,MATCH($B31,'Encargos e Benefícios'!$E$5:$AB$5,0),500,1)),0)+_xlfn.IFNA(SUM((P$3&gt;='Gastos com Pessoal'!$E$513:$E$522)*(P$3&lt;='Gastos com Pessoal'!$F$513:$F$522)*OFFSET('Encargos e Benefícios'!$D$511,1,MATCH($B31,'Encargos e Benefícios'!$E$511:$AB$511,0),10,1)),0)+_xlfn.IFNA(SUM((P$3&gt;='Gastos com Pessoal'!$E$7:$E$506)*(P$3&lt;='Gastos com Pessoal'!$F$7:$F$506)*(IF('Gastos com Pessoal'!$G$7:$G$506&lt;=P$3,1,0))*OFFSET('Gastos com Pessoal'!$H$6,1,MATCH(1&amp;$B31,'Gastos com Pessoal'!$I$532:$AJ$532&amp;'Gastos com Pessoal'!$I$6:$AJ$6,0),500,1)),0)+_xlfn.IFNA(SUM((P$3&gt;='Gastos com Pessoal'!$E$7:$E$506)*(P$3&lt;='Gastos com Pessoal'!$F$7:$F$506)*(IF('Gastos com Pessoal'!$M$7:$M$506&lt;=P$3,1,0))*OFFSET('Gastos com Pessoal'!$H$6,1,MATCH(2&amp;$B31,'Gastos com Pessoal'!$I$532:$AJ$532&amp;'Gastos com Pessoal'!$I$6:$AJ$6,0),500,1)),0)+_xlfn.IFNA(SUM((P$3&gt;='Gastos com Pessoal'!$E$7:$E$506)*(P$3&lt;='Gastos com Pessoal'!$F$7:$F$506)*(IF('Gastos com Pessoal'!$S$7:$S$506&lt;=P$3,1,0))*OFFSET('Gastos com Pessoal'!$H$6,1,MATCH(3&amp;$B31,'Gastos com Pessoal'!$I$532:$AJ$532&amp;'Gastos com Pessoal'!$I$6:$AJ$6,0),500,1)),0)+_xlfn.IFNA(SUM((P$3&gt;='Gastos com Pessoal'!$E$7:$E$506)*(P$3&lt;='Gastos com Pessoal'!$F$7:$F$506)*(IF('Gastos com Pessoal'!$Y$7:$Y$506&lt;=P$3,1,0))*OFFSET('Gastos com Pessoal'!$H$6,1,MATCH(4&amp;$B31,'Gastos com Pessoal'!$I$532:$AJ$532&amp;'Gastos com Pessoal'!$I$6:$AJ$6,0),500,1)),0)+_xlfn.IFNA(SUM((P$3&gt;='Gastos com Pessoal'!$E$7:$E$506)*(P$3&lt;='Gastos com Pessoal'!$F$7:$F$506)*(IF('Gastos com Pessoal'!$AE$7:$AE$506&lt;=P$3,1,0))*OFFSET('Gastos com Pessoal'!$H$6,1,MATCH(5&amp;$B31,'Gastos com Pessoal'!$I$532:$AJ$532&amp;'Gastos com Pessoal'!$I$6:$AJ$6,0),500,1)),0)+_xlfn.IFNA(SUM((P$3&gt;='Gastos com Pessoal'!$E$513:$E$522)*(P$3&lt;='Gastos com Pessoal'!$F$513:$F$522)*(IF('Gastos com Pessoal'!$G$513:$G$522&lt;=P$3,1,0))*OFFSET('Gastos com Pessoal'!$H$512,1,MATCH(1&amp;$B31,'Gastos com Pessoal'!$I$532:$AJ$532&amp;'Gastos com Pessoal'!$I$512:$AJ$512,0),10,1)),0)+_xlfn.IFNA(SUM((P$3&gt;='Gastos com Pessoal'!$E$513:$E$522)*(P$3&lt;='Gastos com Pessoal'!$F$513:$F$522)*(IF('Gastos com Pessoal'!$M$513:$M$522&lt;=P$3,1,0))*OFFSET('Gastos com Pessoal'!$H$512,1,MATCH(2&amp;$B31,'Gastos com Pessoal'!$I$532:$AJ$532&amp;'Gastos com Pessoal'!$I$512:$AJ$512,0),10,1)),0)+_xlfn.IFNA(SUM((P$3&gt;='Gastos com Pessoal'!$E$513:$E$522)*(P$3&lt;='Gastos com Pessoal'!$F$513:$F$522)*(IF('Gastos com Pessoal'!$S$513:$S$522&lt;=P$3,1,0))*OFFSET('Gastos com Pessoal'!$H$512,1,MATCH(3&amp;$B31,'Gastos com Pessoal'!$I$532:$AJ$532&amp;'Gastos com Pessoal'!$I$512:$AJ$512,0),10,1)),0)+_xlfn.IFNA(SUM((P$3&gt;='Gastos com Pessoal'!$E$513:$E$522)*(P$3&lt;='Gastos com Pessoal'!$F$513:$F$522)*(IF('Gastos com Pessoal'!$Y$513:$Y$522&lt;=P$3,1,0))*OFFSET('Gastos com Pessoal'!$H$512,1,MATCH(4&amp;$B31,'Gastos com Pessoal'!$I$532:$AJ$532&amp;'Gastos com Pessoal'!$I$512:$AJ$512,0),10,1)),0)+_xlfn.IFNA(SUM((P$3&gt;='Gastos com Pessoal'!$E$513:$E$522)*(P$3&lt;='Gastos com Pessoal'!$F$513:$F$522)*(IF('Gastos com Pessoal'!$AE$513:$AE$522&lt;=P$3,1,0))*OFFSET('Gastos com Pessoal'!$H$512,1,MATCH(5&amp;$B31,'Gastos com Pessoal'!$I$532:$AJ$532&amp;'Gastos com Pessoal'!$I$512:$AJ$512,0),10,1)),0)</f>
        <v>0</v>
      </c>
      <c r="Q31" s="188">
        <f t="array" aca="1" ref="Q31" ca="1">_xlfn.IFNA(SUM((Q$3&gt;='Gastos com Pessoal'!$E$7:$E$506)*(Q$3&lt;='Gastos com Pessoal'!$F$7:$F$506)*OFFSET('Encargos e Benefícios'!$D$5,1,MATCH($B31,'Encargos e Benefícios'!$E$5:$AB$5,0),500,1)),0)+_xlfn.IFNA(SUM((Q$3&gt;='Gastos com Pessoal'!$E$513:$E$522)*(Q$3&lt;='Gastos com Pessoal'!$F$513:$F$522)*OFFSET('Encargos e Benefícios'!$D$511,1,MATCH($B31,'Encargos e Benefícios'!$E$511:$AB$511,0),10,1)),0)+_xlfn.IFNA(SUM((Q$3&gt;='Gastos com Pessoal'!$E$7:$E$506)*(Q$3&lt;='Gastos com Pessoal'!$F$7:$F$506)*(IF('Gastos com Pessoal'!$G$7:$G$506&lt;=Q$3,1,0))*OFFSET('Gastos com Pessoal'!$H$6,1,MATCH(1&amp;$B31,'Gastos com Pessoal'!$I$532:$AJ$532&amp;'Gastos com Pessoal'!$I$6:$AJ$6,0),500,1)),0)+_xlfn.IFNA(SUM((Q$3&gt;='Gastos com Pessoal'!$E$7:$E$506)*(Q$3&lt;='Gastos com Pessoal'!$F$7:$F$506)*(IF('Gastos com Pessoal'!$M$7:$M$506&lt;=Q$3,1,0))*OFFSET('Gastos com Pessoal'!$H$6,1,MATCH(2&amp;$B31,'Gastos com Pessoal'!$I$532:$AJ$532&amp;'Gastos com Pessoal'!$I$6:$AJ$6,0),500,1)),0)+_xlfn.IFNA(SUM((Q$3&gt;='Gastos com Pessoal'!$E$7:$E$506)*(Q$3&lt;='Gastos com Pessoal'!$F$7:$F$506)*(IF('Gastos com Pessoal'!$S$7:$S$506&lt;=Q$3,1,0))*OFFSET('Gastos com Pessoal'!$H$6,1,MATCH(3&amp;$B31,'Gastos com Pessoal'!$I$532:$AJ$532&amp;'Gastos com Pessoal'!$I$6:$AJ$6,0),500,1)),0)+_xlfn.IFNA(SUM((Q$3&gt;='Gastos com Pessoal'!$E$7:$E$506)*(Q$3&lt;='Gastos com Pessoal'!$F$7:$F$506)*(IF('Gastos com Pessoal'!$Y$7:$Y$506&lt;=Q$3,1,0))*OFFSET('Gastos com Pessoal'!$H$6,1,MATCH(4&amp;$B31,'Gastos com Pessoal'!$I$532:$AJ$532&amp;'Gastos com Pessoal'!$I$6:$AJ$6,0),500,1)),0)+_xlfn.IFNA(SUM((Q$3&gt;='Gastos com Pessoal'!$E$7:$E$506)*(Q$3&lt;='Gastos com Pessoal'!$F$7:$F$506)*(IF('Gastos com Pessoal'!$AE$7:$AE$506&lt;=Q$3,1,0))*OFFSET('Gastos com Pessoal'!$H$6,1,MATCH(5&amp;$B31,'Gastos com Pessoal'!$I$532:$AJ$532&amp;'Gastos com Pessoal'!$I$6:$AJ$6,0),500,1)),0)+_xlfn.IFNA(SUM((Q$3&gt;='Gastos com Pessoal'!$E$513:$E$522)*(Q$3&lt;='Gastos com Pessoal'!$F$513:$F$522)*(IF('Gastos com Pessoal'!$G$513:$G$522&lt;=Q$3,1,0))*OFFSET('Gastos com Pessoal'!$H$512,1,MATCH(1&amp;$B31,'Gastos com Pessoal'!$I$532:$AJ$532&amp;'Gastos com Pessoal'!$I$512:$AJ$512,0),10,1)),0)+_xlfn.IFNA(SUM((Q$3&gt;='Gastos com Pessoal'!$E$513:$E$522)*(Q$3&lt;='Gastos com Pessoal'!$F$513:$F$522)*(IF('Gastos com Pessoal'!$M$513:$M$522&lt;=Q$3,1,0))*OFFSET('Gastos com Pessoal'!$H$512,1,MATCH(2&amp;$B31,'Gastos com Pessoal'!$I$532:$AJ$532&amp;'Gastos com Pessoal'!$I$512:$AJ$512,0),10,1)),0)+_xlfn.IFNA(SUM((Q$3&gt;='Gastos com Pessoal'!$E$513:$E$522)*(Q$3&lt;='Gastos com Pessoal'!$F$513:$F$522)*(IF('Gastos com Pessoal'!$S$513:$S$522&lt;=Q$3,1,0))*OFFSET('Gastos com Pessoal'!$H$512,1,MATCH(3&amp;$B31,'Gastos com Pessoal'!$I$532:$AJ$532&amp;'Gastos com Pessoal'!$I$512:$AJ$512,0),10,1)),0)+_xlfn.IFNA(SUM((Q$3&gt;='Gastos com Pessoal'!$E$513:$E$522)*(Q$3&lt;='Gastos com Pessoal'!$F$513:$F$522)*(IF('Gastos com Pessoal'!$Y$513:$Y$522&lt;=Q$3,1,0))*OFFSET('Gastos com Pessoal'!$H$512,1,MATCH(4&amp;$B31,'Gastos com Pessoal'!$I$532:$AJ$532&amp;'Gastos com Pessoal'!$I$512:$AJ$512,0),10,1)),0)+_xlfn.IFNA(SUM((Q$3&gt;='Gastos com Pessoal'!$E$513:$E$522)*(Q$3&lt;='Gastos com Pessoal'!$F$513:$F$522)*(IF('Gastos com Pessoal'!$AE$513:$AE$522&lt;=Q$3,1,0))*OFFSET('Gastos com Pessoal'!$H$512,1,MATCH(5&amp;$B31,'Gastos com Pessoal'!$I$532:$AJ$532&amp;'Gastos com Pessoal'!$I$512:$AJ$512,0),10,1)),0)</f>
        <v>0</v>
      </c>
      <c r="R31" s="188">
        <f t="array" aca="1" ref="R31" ca="1">_xlfn.IFNA(SUM((R$3&gt;='Gastos com Pessoal'!$E$7:$E$506)*(R$3&lt;='Gastos com Pessoal'!$F$7:$F$506)*OFFSET('Encargos e Benefícios'!$D$5,1,MATCH($B31,'Encargos e Benefícios'!$E$5:$AB$5,0),500,1)),0)+_xlfn.IFNA(SUM((R$3&gt;='Gastos com Pessoal'!$E$513:$E$522)*(R$3&lt;='Gastos com Pessoal'!$F$513:$F$522)*OFFSET('Encargos e Benefícios'!$D$511,1,MATCH($B31,'Encargos e Benefícios'!$E$511:$AB$511,0),10,1)),0)+_xlfn.IFNA(SUM((R$3&gt;='Gastos com Pessoal'!$E$7:$E$506)*(R$3&lt;='Gastos com Pessoal'!$F$7:$F$506)*(IF('Gastos com Pessoal'!$G$7:$G$506&lt;=R$3,1,0))*OFFSET('Gastos com Pessoal'!$H$6,1,MATCH(1&amp;$B31,'Gastos com Pessoal'!$I$532:$AJ$532&amp;'Gastos com Pessoal'!$I$6:$AJ$6,0),500,1)),0)+_xlfn.IFNA(SUM((R$3&gt;='Gastos com Pessoal'!$E$7:$E$506)*(R$3&lt;='Gastos com Pessoal'!$F$7:$F$506)*(IF('Gastos com Pessoal'!$M$7:$M$506&lt;=R$3,1,0))*OFFSET('Gastos com Pessoal'!$H$6,1,MATCH(2&amp;$B31,'Gastos com Pessoal'!$I$532:$AJ$532&amp;'Gastos com Pessoal'!$I$6:$AJ$6,0),500,1)),0)+_xlfn.IFNA(SUM((R$3&gt;='Gastos com Pessoal'!$E$7:$E$506)*(R$3&lt;='Gastos com Pessoal'!$F$7:$F$506)*(IF('Gastos com Pessoal'!$S$7:$S$506&lt;=R$3,1,0))*OFFSET('Gastos com Pessoal'!$H$6,1,MATCH(3&amp;$B31,'Gastos com Pessoal'!$I$532:$AJ$532&amp;'Gastos com Pessoal'!$I$6:$AJ$6,0),500,1)),0)+_xlfn.IFNA(SUM((R$3&gt;='Gastos com Pessoal'!$E$7:$E$506)*(R$3&lt;='Gastos com Pessoal'!$F$7:$F$506)*(IF('Gastos com Pessoal'!$Y$7:$Y$506&lt;=R$3,1,0))*OFFSET('Gastos com Pessoal'!$H$6,1,MATCH(4&amp;$B31,'Gastos com Pessoal'!$I$532:$AJ$532&amp;'Gastos com Pessoal'!$I$6:$AJ$6,0),500,1)),0)+_xlfn.IFNA(SUM((R$3&gt;='Gastos com Pessoal'!$E$7:$E$506)*(R$3&lt;='Gastos com Pessoal'!$F$7:$F$506)*(IF('Gastos com Pessoal'!$AE$7:$AE$506&lt;=R$3,1,0))*OFFSET('Gastos com Pessoal'!$H$6,1,MATCH(5&amp;$B31,'Gastos com Pessoal'!$I$532:$AJ$532&amp;'Gastos com Pessoal'!$I$6:$AJ$6,0),500,1)),0)+_xlfn.IFNA(SUM((R$3&gt;='Gastos com Pessoal'!$E$513:$E$522)*(R$3&lt;='Gastos com Pessoal'!$F$513:$F$522)*(IF('Gastos com Pessoal'!$G$513:$G$522&lt;=R$3,1,0))*OFFSET('Gastos com Pessoal'!$H$512,1,MATCH(1&amp;$B31,'Gastos com Pessoal'!$I$532:$AJ$532&amp;'Gastos com Pessoal'!$I$512:$AJ$512,0),10,1)),0)+_xlfn.IFNA(SUM((R$3&gt;='Gastos com Pessoal'!$E$513:$E$522)*(R$3&lt;='Gastos com Pessoal'!$F$513:$F$522)*(IF('Gastos com Pessoal'!$M$513:$M$522&lt;=R$3,1,0))*OFFSET('Gastos com Pessoal'!$H$512,1,MATCH(2&amp;$B31,'Gastos com Pessoal'!$I$532:$AJ$532&amp;'Gastos com Pessoal'!$I$512:$AJ$512,0),10,1)),0)+_xlfn.IFNA(SUM((R$3&gt;='Gastos com Pessoal'!$E$513:$E$522)*(R$3&lt;='Gastos com Pessoal'!$F$513:$F$522)*(IF('Gastos com Pessoal'!$S$513:$S$522&lt;=R$3,1,0))*OFFSET('Gastos com Pessoal'!$H$512,1,MATCH(3&amp;$B31,'Gastos com Pessoal'!$I$532:$AJ$532&amp;'Gastos com Pessoal'!$I$512:$AJ$512,0),10,1)),0)+_xlfn.IFNA(SUM((R$3&gt;='Gastos com Pessoal'!$E$513:$E$522)*(R$3&lt;='Gastos com Pessoal'!$F$513:$F$522)*(IF('Gastos com Pessoal'!$Y$513:$Y$522&lt;=R$3,1,0))*OFFSET('Gastos com Pessoal'!$H$512,1,MATCH(4&amp;$B31,'Gastos com Pessoal'!$I$532:$AJ$532&amp;'Gastos com Pessoal'!$I$512:$AJ$512,0),10,1)),0)+_xlfn.IFNA(SUM((R$3&gt;='Gastos com Pessoal'!$E$513:$E$522)*(R$3&lt;='Gastos com Pessoal'!$F$513:$F$522)*(IF('Gastos com Pessoal'!$AE$513:$AE$522&lt;=R$3,1,0))*OFFSET('Gastos com Pessoal'!$H$512,1,MATCH(5&amp;$B31,'Gastos com Pessoal'!$I$532:$AJ$532&amp;'Gastos com Pessoal'!$I$512:$AJ$512,0),10,1)),0)</f>
        <v>0</v>
      </c>
      <c r="S31" s="188">
        <f t="array" aca="1" ref="S31" ca="1">_xlfn.IFNA(SUM((S$3&gt;='Gastos com Pessoal'!$E$7:$E$506)*(S$3&lt;='Gastos com Pessoal'!$F$7:$F$506)*OFFSET('Encargos e Benefícios'!$D$5,1,MATCH($B31,'Encargos e Benefícios'!$E$5:$AB$5,0),500,1)),0)+_xlfn.IFNA(SUM((S$3&gt;='Gastos com Pessoal'!$E$513:$E$522)*(S$3&lt;='Gastos com Pessoal'!$F$513:$F$522)*OFFSET('Encargos e Benefícios'!$D$511,1,MATCH($B31,'Encargos e Benefícios'!$E$511:$AB$511,0),10,1)),0)+_xlfn.IFNA(SUM((S$3&gt;='Gastos com Pessoal'!$E$7:$E$506)*(S$3&lt;='Gastos com Pessoal'!$F$7:$F$506)*(IF('Gastos com Pessoal'!$G$7:$G$506&lt;=S$3,1,0))*OFFSET('Gastos com Pessoal'!$H$6,1,MATCH(1&amp;$B31,'Gastos com Pessoal'!$I$532:$AJ$532&amp;'Gastos com Pessoal'!$I$6:$AJ$6,0),500,1)),0)+_xlfn.IFNA(SUM((S$3&gt;='Gastos com Pessoal'!$E$7:$E$506)*(S$3&lt;='Gastos com Pessoal'!$F$7:$F$506)*(IF('Gastos com Pessoal'!$M$7:$M$506&lt;=S$3,1,0))*OFFSET('Gastos com Pessoal'!$H$6,1,MATCH(2&amp;$B31,'Gastos com Pessoal'!$I$532:$AJ$532&amp;'Gastos com Pessoal'!$I$6:$AJ$6,0),500,1)),0)+_xlfn.IFNA(SUM((S$3&gt;='Gastos com Pessoal'!$E$7:$E$506)*(S$3&lt;='Gastos com Pessoal'!$F$7:$F$506)*(IF('Gastos com Pessoal'!$S$7:$S$506&lt;=S$3,1,0))*OFFSET('Gastos com Pessoal'!$H$6,1,MATCH(3&amp;$B31,'Gastos com Pessoal'!$I$532:$AJ$532&amp;'Gastos com Pessoal'!$I$6:$AJ$6,0),500,1)),0)+_xlfn.IFNA(SUM((S$3&gt;='Gastos com Pessoal'!$E$7:$E$506)*(S$3&lt;='Gastos com Pessoal'!$F$7:$F$506)*(IF('Gastos com Pessoal'!$Y$7:$Y$506&lt;=S$3,1,0))*OFFSET('Gastos com Pessoal'!$H$6,1,MATCH(4&amp;$B31,'Gastos com Pessoal'!$I$532:$AJ$532&amp;'Gastos com Pessoal'!$I$6:$AJ$6,0),500,1)),0)+_xlfn.IFNA(SUM((S$3&gt;='Gastos com Pessoal'!$E$7:$E$506)*(S$3&lt;='Gastos com Pessoal'!$F$7:$F$506)*(IF('Gastos com Pessoal'!$AE$7:$AE$506&lt;=S$3,1,0))*OFFSET('Gastos com Pessoal'!$H$6,1,MATCH(5&amp;$B31,'Gastos com Pessoal'!$I$532:$AJ$532&amp;'Gastos com Pessoal'!$I$6:$AJ$6,0),500,1)),0)+_xlfn.IFNA(SUM((S$3&gt;='Gastos com Pessoal'!$E$513:$E$522)*(S$3&lt;='Gastos com Pessoal'!$F$513:$F$522)*(IF('Gastos com Pessoal'!$G$513:$G$522&lt;=S$3,1,0))*OFFSET('Gastos com Pessoal'!$H$512,1,MATCH(1&amp;$B31,'Gastos com Pessoal'!$I$532:$AJ$532&amp;'Gastos com Pessoal'!$I$512:$AJ$512,0),10,1)),0)+_xlfn.IFNA(SUM((S$3&gt;='Gastos com Pessoal'!$E$513:$E$522)*(S$3&lt;='Gastos com Pessoal'!$F$513:$F$522)*(IF('Gastos com Pessoal'!$M$513:$M$522&lt;=S$3,1,0))*OFFSET('Gastos com Pessoal'!$H$512,1,MATCH(2&amp;$B31,'Gastos com Pessoal'!$I$532:$AJ$532&amp;'Gastos com Pessoal'!$I$512:$AJ$512,0),10,1)),0)+_xlfn.IFNA(SUM((S$3&gt;='Gastos com Pessoal'!$E$513:$E$522)*(S$3&lt;='Gastos com Pessoal'!$F$513:$F$522)*(IF('Gastos com Pessoal'!$S$513:$S$522&lt;=S$3,1,0))*OFFSET('Gastos com Pessoal'!$H$512,1,MATCH(3&amp;$B31,'Gastos com Pessoal'!$I$532:$AJ$532&amp;'Gastos com Pessoal'!$I$512:$AJ$512,0),10,1)),0)+_xlfn.IFNA(SUM((S$3&gt;='Gastos com Pessoal'!$E$513:$E$522)*(S$3&lt;='Gastos com Pessoal'!$F$513:$F$522)*(IF('Gastos com Pessoal'!$Y$513:$Y$522&lt;=S$3,1,0))*OFFSET('Gastos com Pessoal'!$H$512,1,MATCH(4&amp;$B31,'Gastos com Pessoal'!$I$532:$AJ$532&amp;'Gastos com Pessoal'!$I$512:$AJ$512,0),10,1)),0)+_xlfn.IFNA(SUM((S$3&gt;='Gastos com Pessoal'!$E$513:$E$522)*(S$3&lt;='Gastos com Pessoal'!$F$513:$F$522)*(IF('Gastos com Pessoal'!$AE$513:$AE$522&lt;=S$3,1,0))*OFFSET('Gastos com Pessoal'!$H$512,1,MATCH(5&amp;$B31,'Gastos com Pessoal'!$I$532:$AJ$532&amp;'Gastos com Pessoal'!$I$512:$AJ$512,0),10,1)),0)</f>
        <v>0</v>
      </c>
      <c r="T31" s="188">
        <f t="array" aca="1" ref="T31" ca="1">_xlfn.IFNA(SUM((T$3&gt;='Gastos com Pessoal'!$E$7:$E$506)*(T$3&lt;='Gastos com Pessoal'!$F$7:$F$506)*OFFSET('Encargos e Benefícios'!$D$5,1,MATCH($B31,'Encargos e Benefícios'!$E$5:$AB$5,0),500,1)),0)+_xlfn.IFNA(SUM((T$3&gt;='Gastos com Pessoal'!$E$513:$E$522)*(T$3&lt;='Gastos com Pessoal'!$F$513:$F$522)*OFFSET('Encargos e Benefícios'!$D$511,1,MATCH($B31,'Encargos e Benefícios'!$E$511:$AB$511,0),10,1)),0)+_xlfn.IFNA(SUM((T$3&gt;='Gastos com Pessoal'!$E$7:$E$506)*(T$3&lt;='Gastos com Pessoal'!$F$7:$F$506)*(IF('Gastos com Pessoal'!$G$7:$G$506&lt;=T$3,1,0))*OFFSET('Gastos com Pessoal'!$H$6,1,MATCH(1&amp;$B31,'Gastos com Pessoal'!$I$532:$AJ$532&amp;'Gastos com Pessoal'!$I$6:$AJ$6,0),500,1)),0)+_xlfn.IFNA(SUM((T$3&gt;='Gastos com Pessoal'!$E$7:$E$506)*(T$3&lt;='Gastos com Pessoal'!$F$7:$F$506)*(IF('Gastos com Pessoal'!$M$7:$M$506&lt;=T$3,1,0))*OFFSET('Gastos com Pessoal'!$H$6,1,MATCH(2&amp;$B31,'Gastos com Pessoal'!$I$532:$AJ$532&amp;'Gastos com Pessoal'!$I$6:$AJ$6,0),500,1)),0)+_xlfn.IFNA(SUM((T$3&gt;='Gastos com Pessoal'!$E$7:$E$506)*(T$3&lt;='Gastos com Pessoal'!$F$7:$F$506)*(IF('Gastos com Pessoal'!$S$7:$S$506&lt;=T$3,1,0))*OFFSET('Gastos com Pessoal'!$H$6,1,MATCH(3&amp;$B31,'Gastos com Pessoal'!$I$532:$AJ$532&amp;'Gastos com Pessoal'!$I$6:$AJ$6,0),500,1)),0)+_xlfn.IFNA(SUM((T$3&gt;='Gastos com Pessoal'!$E$7:$E$506)*(T$3&lt;='Gastos com Pessoal'!$F$7:$F$506)*(IF('Gastos com Pessoal'!$Y$7:$Y$506&lt;=T$3,1,0))*OFFSET('Gastos com Pessoal'!$H$6,1,MATCH(4&amp;$B31,'Gastos com Pessoal'!$I$532:$AJ$532&amp;'Gastos com Pessoal'!$I$6:$AJ$6,0),500,1)),0)+_xlfn.IFNA(SUM((T$3&gt;='Gastos com Pessoal'!$E$7:$E$506)*(T$3&lt;='Gastos com Pessoal'!$F$7:$F$506)*(IF('Gastos com Pessoal'!$AE$7:$AE$506&lt;=T$3,1,0))*OFFSET('Gastos com Pessoal'!$H$6,1,MATCH(5&amp;$B31,'Gastos com Pessoal'!$I$532:$AJ$532&amp;'Gastos com Pessoal'!$I$6:$AJ$6,0),500,1)),0)+_xlfn.IFNA(SUM((T$3&gt;='Gastos com Pessoal'!$E$513:$E$522)*(T$3&lt;='Gastos com Pessoal'!$F$513:$F$522)*(IF('Gastos com Pessoal'!$G$513:$G$522&lt;=T$3,1,0))*OFFSET('Gastos com Pessoal'!$H$512,1,MATCH(1&amp;$B31,'Gastos com Pessoal'!$I$532:$AJ$532&amp;'Gastos com Pessoal'!$I$512:$AJ$512,0),10,1)),0)+_xlfn.IFNA(SUM((T$3&gt;='Gastos com Pessoal'!$E$513:$E$522)*(T$3&lt;='Gastos com Pessoal'!$F$513:$F$522)*(IF('Gastos com Pessoal'!$M$513:$M$522&lt;=T$3,1,0))*OFFSET('Gastos com Pessoal'!$H$512,1,MATCH(2&amp;$B31,'Gastos com Pessoal'!$I$532:$AJ$532&amp;'Gastos com Pessoal'!$I$512:$AJ$512,0),10,1)),0)+_xlfn.IFNA(SUM((T$3&gt;='Gastos com Pessoal'!$E$513:$E$522)*(T$3&lt;='Gastos com Pessoal'!$F$513:$F$522)*(IF('Gastos com Pessoal'!$S$513:$S$522&lt;=T$3,1,0))*OFFSET('Gastos com Pessoal'!$H$512,1,MATCH(3&amp;$B31,'Gastos com Pessoal'!$I$532:$AJ$532&amp;'Gastos com Pessoal'!$I$512:$AJ$512,0),10,1)),0)+_xlfn.IFNA(SUM((T$3&gt;='Gastos com Pessoal'!$E$513:$E$522)*(T$3&lt;='Gastos com Pessoal'!$F$513:$F$522)*(IF('Gastos com Pessoal'!$Y$513:$Y$522&lt;=T$3,1,0))*OFFSET('Gastos com Pessoal'!$H$512,1,MATCH(4&amp;$B31,'Gastos com Pessoal'!$I$532:$AJ$532&amp;'Gastos com Pessoal'!$I$512:$AJ$512,0),10,1)),0)+_xlfn.IFNA(SUM((T$3&gt;='Gastos com Pessoal'!$E$513:$E$522)*(T$3&lt;='Gastos com Pessoal'!$F$513:$F$522)*(IF('Gastos com Pessoal'!$AE$513:$AE$522&lt;=T$3,1,0))*OFFSET('Gastos com Pessoal'!$H$512,1,MATCH(5&amp;$B31,'Gastos com Pessoal'!$I$532:$AJ$532&amp;'Gastos com Pessoal'!$I$512:$AJ$512,0),10,1)),0)</f>
        <v>0</v>
      </c>
      <c r="U31" s="188">
        <f t="array" aca="1" ref="U31" ca="1">_xlfn.IFNA(SUM((U$3&gt;='Gastos com Pessoal'!$E$7:$E$506)*(U$3&lt;='Gastos com Pessoal'!$F$7:$F$506)*OFFSET('Encargos e Benefícios'!$D$5,1,MATCH($B31,'Encargos e Benefícios'!$E$5:$AB$5,0),500,1)),0)+_xlfn.IFNA(SUM((U$3&gt;='Gastos com Pessoal'!$E$513:$E$522)*(U$3&lt;='Gastos com Pessoal'!$F$513:$F$522)*OFFSET('Encargos e Benefícios'!$D$511,1,MATCH($B31,'Encargos e Benefícios'!$E$511:$AB$511,0),10,1)),0)+_xlfn.IFNA(SUM((U$3&gt;='Gastos com Pessoal'!$E$7:$E$506)*(U$3&lt;='Gastos com Pessoal'!$F$7:$F$506)*(IF('Gastos com Pessoal'!$G$7:$G$506&lt;=U$3,1,0))*OFFSET('Gastos com Pessoal'!$H$6,1,MATCH(1&amp;$B31,'Gastos com Pessoal'!$I$532:$AJ$532&amp;'Gastos com Pessoal'!$I$6:$AJ$6,0),500,1)),0)+_xlfn.IFNA(SUM((U$3&gt;='Gastos com Pessoal'!$E$7:$E$506)*(U$3&lt;='Gastos com Pessoal'!$F$7:$F$506)*(IF('Gastos com Pessoal'!$M$7:$M$506&lt;=U$3,1,0))*OFFSET('Gastos com Pessoal'!$H$6,1,MATCH(2&amp;$B31,'Gastos com Pessoal'!$I$532:$AJ$532&amp;'Gastos com Pessoal'!$I$6:$AJ$6,0),500,1)),0)+_xlfn.IFNA(SUM((U$3&gt;='Gastos com Pessoal'!$E$7:$E$506)*(U$3&lt;='Gastos com Pessoal'!$F$7:$F$506)*(IF('Gastos com Pessoal'!$S$7:$S$506&lt;=U$3,1,0))*OFFSET('Gastos com Pessoal'!$H$6,1,MATCH(3&amp;$B31,'Gastos com Pessoal'!$I$532:$AJ$532&amp;'Gastos com Pessoal'!$I$6:$AJ$6,0),500,1)),0)+_xlfn.IFNA(SUM((U$3&gt;='Gastos com Pessoal'!$E$7:$E$506)*(U$3&lt;='Gastos com Pessoal'!$F$7:$F$506)*(IF('Gastos com Pessoal'!$Y$7:$Y$506&lt;=U$3,1,0))*OFFSET('Gastos com Pessoal'!$H$6,1,MATCH(4&amp;$B31,'Gastos com Pessoal'!$I$532:$AJ$532&amp;'Gastos com Pessoal'!$I$6:$AJ$6,0),500,1)),0)+_xlfn.IFNA(SUM((U$3&gt;='Gastos com Pessoal'!$E$7:$E$506)*(U$3&lt;='Gastos com Pessoal'!$F$7:$F$506)*(IF('Gastos com Pessoal'!$AE$7:$AE$506&lt;=U$3,1,0))*OFFSET('Gastos com Pessoal'!$H$6,1,MATCH(5&amp;$B31,'Gastos com Pessoal'!$I$532:$AJ$532&amp;'Gastos com Pessoal'!$I$6:$AJ$6,0),500,1)),0)+_xlfn.IFNA(SUM((U$3&gt;='Gastos com Pessoal'!$E$513:$E$522)*(U$3&lt;='Gastos com Pessoal'!$F$513:$F$522)*(IF('Gastos com Pessoal'!$G$513:$G$522&lt;=U$3,1,0))*OFFSET('Gastos com Pessoal'!$H$512,1,MATCH(1&amp;$B31,'Gastos com Pessoal'!$I$532:$AJ$532&amp;'Gastos com Pessoal'!$I$512:$AJ$512,0),10,1)),0)+_xlfn.IFNA(SUM((U$3&gt;='Gastos com Pessoal'!$E$513:$E$522)*(U$3&lt;='Gastos com Pessoal'!$F$513:$F$522)*(IF('Gastos com Pessoal'!$M$513:$M$522&lt;=U$3,1,0))*OFFSET('Gastos com Pessoal'!$H$512,1,MATCH(2&amp;$B31,'Gastos com Pessoal'!$I$532:$AJ$532&amp;'Gastos com Pessoal'!$I$512:$AJ$512,0),10,1)),0)+_xlfn.IFNA(SUM((U$3&gt;='Gastos com Pessoal'!$E$513:$E$522)*(U$3&lt;='Gastos com Pessoal'!$F$513:$F$522)*(IF('Gastos com Pessoal'!$S$513:$S$522&lt;=U$3,1,0))*OFFSET('Gastos com Pessoal'!$H$512,1,MATCH(3&amp;$B31,'Gastos com Pessoal'!$I$532:$AJ$532&amp;'Gastos com Pessoal'!$I$512:$AJ$512,0),10,1)),0)+_xlfn.IFNA(SUM((U$3&gt;='Gastos com Pessoal'!$E$513:$E$522)*(U$3&lt;='Gastos com Pessoal'!$F$513:$F$522)*(IF('Gastos com Pessoal'!$Y$513:$Y$522&lt;=U$3,1,0))*OFFSET('Gastos com Pessoal'!$H$512,1,MATCH(4&amp;$B31,'Gastos com Pessoal'!$I$532:$AJ$532&amp;'Gastos com Pessoal'!$I$512:$AJ$512,0),10,1)),0)+_xlfn.IFNA(SUM((U$3&gt;='Gastos com Pessoal'!$E$513:$E$522)*(U$3&lt;='Gastos com Pessoal'!$F$513:$F$522)*(IF('Gastos com Pessoal'!$AE$513:$AE$522&lt;=U$3,1,0))*OFFSET('Gastos com Pessoal'!$H$512,1,MATCH(5&amp;$B31,'Gastos com Pessoal'!$I$532:$AJ$532&amp;'Gastos com Pessoal'!$I$512:$AJ$512,0),10,1)),0)</f>
        <v>0</v>
      </c>
      <c r="V31" s="188">
        <f t="array" aca="1" ref="V31" ca="1">_xlfn.IFNA(SUM((V$3&gt;='Gastos com Pessoal'!$E$7:$E$506)*(V$3&lt;='Gastos com Pessoal'!$F$7:$F$506)*OFFSET('Encargos e Benefícios'!$D$5,1,MATCH($B31,'Encargos e Benefícios'!$E$5:$AB$5,0),500,1)),0)+_xlfn.IFNA(SUM((V$3&gt;='Gastos com Pessoal'!$E$513:$E$522)*(V$3&lt;='Gastos com Pessoal'!$F$513:$F$522)*OFFSET('Encargos e Benefícios'!$D$511,1,MATCH($B31,'Encargos e Benefícios'!$E$511:$AB$511,0),10,1)),0)+_xlfn.IFNA(SUM((V$3&gt;='Gastos com Pessoal'!$E$7:$E$506)*(V$3&lt;='Gastos com Pessoal'!$F$7:$F$506)*(IF('Gastos com Pessoal'!$G$7:$G$506&lt;=V$3,1,0))*OFFSET('Gastos com Pessoal'!$H$6,1,MATCH(1&amp;$B31,'Gastos com Pessoal'!$I$532:$AJ$532&amp;'Gastos com Pessoal'!$I$6:$AJ$6,0),500,1)),0)+_xlfn.IFNA(SUM((V$3&gt;='Gastos com Pessoal'!$E$7:$E$506)*(V$3&lt;='Gastos com Pessoal'!$F$7:$F$506)*(IF('Gastos com Pessoal'!$M$7:$M$506&lt;=V$3,1,0))*OFFSET('Gastos com Pessoal'!$H$6,1,MATCH(2&amp;$B31,'Gastos com Pessoal'!$I$532:$AJ$532&amp;'Gastos com Pessoal'!$I$6:$AJ$6,0),500,1)),0)+_xlfn.IFNA(SUM((V$3&gt;='Gastos com Pessoal'!$E$7:$E$506)*(V$3&lt;='Gastos com Pessoal'!$F$7:$F$506)*(IF('Gastos com Pessoal'!$S$7:$S$506&lt;=V$3,1,0))*OFFSET('Gastos com Pessoal'!$H$6,1,MATCH(3&amp;$B31,'Gastos com Pessoal'!$I$532:$AJ$532&amp;'Gastos com Pessoal'!$I$6:$AJ$6,0),500,1)),0)+_xlfn.IFNA(SUM((V$3&gt;='Gastos com Pessoal'!$E$7:$E$506)*(V$3&lt;='Gastos com Pessoal'!$F$7:$F$506)*(IF('Gastos com Pessoal'!$Y$7:$Y$506&lt;=V$3,1,0))*OFFSET('Gastos com Pessoal'!$H$6,1,MATCH(4&amp;$B31,'Gastos com Pessoal'!$I$532:$AJ$532&amp;'Gastos com Pessoal'!$I$6:$AJ$6,0),500,1)),0)+_xlfn.IFNA(SUM((V$3&gt;='Gastos com Pessoal'!$E$7:$E$506)*(V$3&lt;='Gastos com Pessoal'!$F$7:$F$506)*(IF('Gastos com Pessoal'!$AE$7:$AE$506&lt;=V$3,1,0))*OFFSET('Gastos com Pessoal'!$H$6,1,MATCH(5&amp;$B31,'Gastos com Pessoal'!$I$532:$AJ$532&amp;'Gastos com Pessoal'!$I$6:$AJ$6,0),500,1)),0)+_xlfn.IFNA(SUM((V$3&gt;='Gastos com Pessoal'!$E$513:$E$522)*(V$3&lt;='Gastos com Pessoal'!$F$513:$F$522)*(IF('Gastos com Pessoal'!$G$513:$G$522&lt;=V$3,1,0))*OFFSET('Gastos com Pessoal'!$H$512,1,MATCH(1&amp;$B31,'Gastos com Pessoal'!$I$532:$AJ$532&amp;'Gastos com Pessoal'!$I$512:$AJ$512,0),10,1)),0)+_xlfn.IFNA(SUM((V$3&gt;='Gastos com Pessoal'!$E$513:$E$522)*(V$3&lt;='Gastos com Pessoal'!$F$513:$F$522)*(IF('Gastos com Pessoal'!$M$513:$M$522&lt;=V$3,1,0))*OFFSET('Gastos com Pessoal'!$H$512,1,MATCH(2&amp;$B31,'Gastos com Pessoal'!$I$532:$AJ$532&amp;'Gastos com Pessoal'!$I$512:$AJ$512,0),10,1)),0)+_xlfn.IFNA(SUM((V$3&gt;='Gastos com Pessoal'!$E$513:$E$522)*(V$3&lt;='Gastos com Pessoal'!$F$513:$F$522)*(IF('Gastos com Pessoal'!$S$513:$S$522&lt;=V$3,1,0))*OFFSET('Gastos com Pessoal'!$H$512,1,MATCH(3&amp;$B31,'Gastos com Pessoal'!$I$532:$AJ$532&amp;'Gastos com Pessoal'!$I$512:$AJ$512,0),10,1)),0)+_xlfn.IFNA(SUM((V$3&gt;='Gastos com Pessoal'!$E$513:$E$522)*(V$3&lt;='Gastos com Pessoal'!$F$513:$F$522)*(IF('Gastos com Pessoal'!$Y$513:$Y$522&lt;=V$3,1,0))*OFFSET('Gastos com Pessoal'!$H$512,1,MATCH(4&amp;$B31,'Gastos com Pessoal'!$I$532:$AJ$532&amp;'Gastos com Pessoal'!$I$512:$AJ$512,0),10,1)),0)+_xlfn.IFNA(SUM((V$3&gt;='Gastos com Pessoal'!$E$513:$E$522)*(V$3&lt;='Gastos com Pessoal'!$F$513:$F$522)*(IF('Gastos com Pessoal'!$AE$513:$AE$522&lt;=V$3,1,0))*OFFSET('Gastos com Pessoal'!$H$512,1,MATCH(5&amp;$B31,'Gastos com Pessoal'!$I$532:$AJ$532&amp;'Gastos com Pessoal'!$I$512:$AJ$512,0),10,1)),0)</f>
        <v>0</v>
      </c>
      <c r="W31" s="188">
        <f t="array" aca="1" ref="W31" ca="1">_xlfn.IFNA(SUM((W$3&gt;='Gastos com Pessoal'!$E$7:$E$506)*(W$3&lt;='Gastos com Pessoal'!$F$7:$F$506)*OFFSET('Encargos e Benefícios'!$D$5,1,MATCH($B31,'Encargos e Benefícios'!$E$5:$AB$5,0),500,1)),0)+_xlfn.IFNA(SUM((W$3&gt;='Gastos com Pessoal'!$E$513:$E$522)*(W$3&lt;='Gastos com Pessoal'!$F$513:$F$522)*OFFSET('Encargos e Benefícios'!$D$511,1,MATCH($B31,'Encargos e Benefícios'!$E$511:$AB$511,0),10,1)),0)+_xlfn.IFNA(SUM((W$3&gt;='Gastos com Pessoal'!$E$7:$E$506)*(W$3&lt;='Gastos com Pessoal'!$F$7:$F$506)*(IF('Gastos com Pessoal'!$G$7:$G$506&lt;=W$3,1,0))*OFFSET('Gastos com Pessoal'!$H$6,1,MATCH(1&amp;$B31,'Gastos com Pessoal'!$I$532:$AJ$532&amp;'Gastos com Pessoal'!$I$6:$AJ$6,0),500,1)),0)+_xlfn.IFNA(SUM((W$3&gt;='Gastos com Pessoal'!$E$7:$E$506)*(W$3&lt;='Gastos com Pessoal'!$F$7:$F$506)*(IF('Gastos com Pessoal'!$M$7:$M$506&lt;=W$3,1,0))*OFFSET('Gastos com Pessoal'!$H$6,1,MATCH(2&amp;$B31,'Gastos com Pessoal'!$I$532:$AJ$532&amp;'Gastos com Pessoal'!$I$6:$AJ$6,0),500,1)),0)+_xlfn.IFNA(SUM((W$3&gt;='Gastos com Pessoal'!$E$7:$E$506)*(W$3&lt;='Gastos com Pessoal'!$F$7:$F$506)*(IF('Gastos com Pessoal'!$S$7:$S$506&lt;=W$3,1,0))*OFFSET('Gastos com Pessoal'!$H$6,1,MATCH(3&amp;$B31,'Gastos com Pessoal'!$I$532:$AJ$532&amp;'Gastos com Pessoal'!$I$6:$AJ$6,0),500,1)),0)+_xlfn.IFNA(SUM((W$3&gt;='Gastos com Pessoal'!$E$7:$E$506)*(W$3&lt;='Gastos com Pessoal'!$F$7:$F$506)*(IF('Gastos com Pessoal'!$Y$7:$Y$506&lt;=W$3,1,0))*OFFSET('Gastos com Pessoal'!$H$6,1,MATCH(4&amp;$B31,'Gastos com Pessoal'!$I$532:$AJ$532&amp;'Gastos com Pessoal'!$I$6:$AJ$6,0),500,1)),0)+_xlfn.IFNA(SUM((W$3&gt;='Gastos com Pessoal'!$E$7:$E$506)*(W$3&lt;='Gastos com Pessoal'!$F$7:$F$506)*(IF('Gastos com Pessoal'!$AE$7:$AE$506&lt;=W$3,1,0))*OFFSET('Gastos com Pessoal'!$H$6,1,MATCH(5&amp;$B31,'Gastos com Pessoal'!$I$532:$AJ$532&amp;'Gastos com Pessoal'!$I$6:$AJ$6,0),500,1)),0)+_xlfn.IFNA(SUM((W$3&gt;='Gastos com Pessoal'!$E$513:$E$522)*(W$3&lt;='Gastos com Pessoal'!$F$513:$F$522)*(IF('Gastos com Pessoal'!$G$513:$G$522&lt;=W$3,1,0))*OFFSET('Gastos com Pessoal'!$H$512,1,MATCH(1&amp;$B31,'Gastos com Pessoal'!$I$532:$AJ$532&amp;'Gastos com Pessoal'!$I$512:$AJ$512,0),10,1)),0)+_xlfn.IFNA(SUM((W$3&gt;='Gastos com Pessoal'!$E$513:$E$522)*(W$3&lt;='Gastos com Pessoal'!$F$513:$F$522)*(IF('Gastos com Pessoal'!$M$513:$M$522&lt;=W$3,1,0))*OFFSET('Gastos com Pessoal'!$H$512,1,MATCH(2&amp;$B31,'Gastos com Pessoal'!$I$532:$AJ$532&amp;'Gastos com Pessoal'!$I$512:$AJ$512,0),10,1)),0)+_xlfn.IFNA(SUM((W$3&gt;='Gastos com Pessoal'!$E$513:$E$522)*(W$3&lt;='Gastos com Pessoal'!$F$513:$F$522)*(IF('Gastos com Pessoal'!$S$513:$S$522&lt;=W$3,1,0))*OFFSET('Gastos com Pessoal'!$H$512,1,MATCH(3&amp;$B31,'Gastos com Pessoal'!$I$532:$AJ$532&amp;'Gastos com Pessoal'!$I$512:$AJ$512,0),10,1)),0)+_xlfn.IFNA(SUM((W$3&gt;='Gastos com Pessoal'!$E$513:$E$522)*(W$3&lt;='Gastos com Pessoal'!$F$513:$F$522)*(IF('Gastos com Pessoal'!$Y$513:$Y$522&lt;=W$3,1,0))*OFFSET('Gastos com Pessoal'!$H$512,1,MATCH(4&amp;$B31,'Gastos com Pessoal'!$I$532:$AJ$532&amp;'Gastos com Pessoal'!$I$512:$AJ$512,0),10,1)),0)+_xlfn.IFNA(SUM((W$3&gt;='Gastos com Pessoal'!$E$513:$E$522)*(W$3&lt;='Gastos com Pessoal'!$F$513:$F$522)*(IF('Gastos com Pessoal'!$AE$513:$AE$522&lt;=W$3,1,0))*OFFSET('Gastos com Pessoal'!$H$512,1,MATCH(5&amp;$B31,'Gastos com Pessoal'!$I$532:$AJ$532&amp;'Gastos com Pessoal'!$I$512:$AJ$512,0),10,1)),0)</f>
        <v>0</v>
      </c>
      <c r="X31" s="188">
        <f t="array" aca="1" ref="X31" ca="1">_xlfn.IFNA(SUM((X$3&gt;='Gastos com Pessoal'!$E$7:$E$506)*(X$3&lt;='Gastos com Pessoal'!$F$7:$F$506)*OFFSET('Encargos e Benefícios'!$D$5,1,MATCH($B31,'Encargos e Benefícios'!$E$5:$AB$5,0),500,1)),0)+_xlfn.IFNA(SUM((X$3&gt;='Gastos com Pessoal'!$E$513:$E$522)*(X$3&lt;='Gastos com Pessoal'!$F$513:$F$522)*OFFSET('Encargos e Benefícios'!$D$511,1,MATCH($B31,'Encargos e Benefícios'!$E$511:$AB$511,0),10,1)),0)+_xlfn.IFNA(SUM((X$3&gt;='Gastos com Pessoal'!$E$7:$E$506)*(X$3&lt;='Gastos com Pessoal'!$F$7:$F$506)*(IF('Gastos com Pessoal'!$G$7:$G$506&lt;=X$3,1,0))*OFFSET('Gastos com Pessoal'!$H$6,1,MATCH(1&amp;$B31,'Gastos com Pessoal'!$I$532:$AJ$532&amp;'Gastos com Pessoal'!$I$6:$AJ$6,0),500,1)),0)+_xlfn.IFNA(SUM((X$3&gt;='Gastos com Pessoal'!$E$7:$E$506)*(X$3&lt;='Gastos com Pessoal'!$F$7:$F$506)*(IF('Gastos com Pessoal'!$M$7:$M$506&lt;=X$3,1,0))*OFFSET('Gastos com Pessoal'!$H$6,1,MATCH(2&amp;$B31,'Gastos com Pessoal'!$I$532:$AJ$532&amp;'Gastos com Pessoal'!$I$6:$AJ$6,0),500,1)),0)+_xlfn.IFNA(SUM((X$3&gt;='Gastos com Pessoal'!$E$7:$E$506)*(X$3&lt;='Gastos com Pessoal'!$F$7:$F$506)*(IF('Gastos com Pessoal'!$S$7:$S$506&lt;=X$3,1,0))*OFFSET('Gastos com Pessoal'!$H$6,1,MATCH(3&amp;$B31,'Gastos com Pessoal'!$I$532:$AJ$532&amp;'Gastos com Pessoal'!$I$6:$AJ$6,0),500,1)),0)+_xlfn.IFNA(SUM((X$3&gt;='Gastos com Pessoal'!$E$7:$E$506)*(X$3&lt;='Gastos com Pessoal'!$F$7:$F$506)*(IF('Gastos com Pessoal'!$Y$7:$Y$506&lt;=X$3,1,0))*OFFSET('Gastos com Pessoal'!$H$6,1,MATCH(4&amp;$B31,'Gastos com Pessoal'!$I$532:$AJ$532&amp;'Gastos com Pessoal'!$I$6:$AJ$6,0),500,1)),0)+_xlfn.IFNA(SUM((X$3&gt;='Gastos com Pessoal'!$E$7:$E$506)*(X$3&lt;='Gastos com Pessoal'!$F$7:$F$506)*(IF('Gastos com Pessoal'!$AE$7:$AE$506&lt;=X$3,1,0))*OFFSET('Gastos com Pessoal'!$H$6,1,MATCH(5&amp;$B31,'Gastos com Pessoal'!$I$532:$AJ$532&amp;'Gastos com Pessoal'!$I$6:$AJ$6,0),500,1)),0)+_xlfn.IFNA(SUM((X$3&gt;='Gastos com Pessoal'!$E$513:$E$522)*(X$3&lt;='Gastos com Pessoal'!$F$513:$F$522)*(IF('Gastos com Pessoal'!$G$513:$G$522&lt;=X$3,1,0))*OFFSET('Gastos com Pessoal'!$H$512,1,MATCH(1&amp;$B31,'Gastos com Pessoal'!$I$532:$AJ$532&amp;'Gastos com Pessoal'!$I$512:$AJ$512,0),10,1)),0)+_xlfn.IFNA(SUM((X$3&gt;='Gastos com Pessoal'!$E$513:$E$522)*(X$3&lt;='Gastos com Pessoal'!$F$513:$F$522)*(IF('Gastos com Pessoal'!$M$513:$M$522&lt;=X$3,1,0))*OFFSET('Gastos com Pessoal'!$H$512,1,MATCH(2&amp;$B31,'Gastos com Pessoal'!$I$532:$AJ$532&amp;'Gastos com Pessoal'!$I$512:$AJ$512,0),10,1)),0)+_xlfn.IFNA(SUM((X$3&gt;='Gastos com Pessoal'!$E$513:$E$522)*(X$3&lt;='Gastos com Pessoal'!$F$513:$F$522)*(IF('Gastos com Pessoal'!$S$513:$S$522&lt;=X$3,1,0))*OFFSET('Gastos com Pessoal'!$H$512,1,MATCH(3&amp;$B31,'Gastos com Pessoal'!$I$532:$AJ$532&amp;'Gastos com Pessoal'!$I$512:$AJ$512,0),10,1)),0)+_xlfn.IFNA(SUM((X$3&gt;='Gastos com Pessoal'!$E$513:$E$522)*(X$3&lt;='Gastos com Pessoal'!$F$513:$F$522)*(IF('Gastos com Pessoal'!$Y$513:$Y$522&lt;=X$3,1,0))*OFFSET('Gastos com Pessoal'!$H$512,1,MATCH(4&amp;$B31,'Gastos com Pessoal'!$I$532:$AJ$532&amp;'Gastos com Pessoal'!$I$512:$AJ$512,0),10,1)),0)+_xlfn.IFNA(SUM((X$3&gt;='Gastos com Pessoal'!$E$513:$E$522)*(X$3&lt;='Gastos com Pessoal'!$F$513:$F$522)*(IF('Gastos com Pessoal'!$AE$513:$AE$522&lt;=X$3,1,0))*OFFSET('Gastos com Pessoal'!$H$512,1,MATCH(5&amp;$B31,'Gastos com Pessoal'!$I$532:$AJ$532&amp;'Gastos com Pessoal'!$I$512:$AJ$512,0),10,1)),0)</f>
        <v>0</v>
      </c>
      <c r="Y31" s="188">
        <f t="array" aca="1" ref="Y31" ca="1">_xlfn.IFNA(SUM((Y$3&gt;='Gastos com Pessoal'!$E$7:$E$506)*(Y$3&lt;='Gastos com Pessoal'!$F$7:$F$506)*OFFSET('Encargos e Benefícios'!$D$5,1,MATCH($B31,'Encargos e Benefícios'!$E$5:$AB$5,0),500,1)),0)+_xlfn.IFNA(SUM((Y$3&gt;='Gastos com Pessoal'!$E$513:$E$522)*(Y$3&lt;='Gastos com Pessoal'!$F$513:$F$522)*OFFSET('Encargos e Benefícios'!$D$511,1,MATCH($B31,'Encargos e Benefícios'!$E$511:$AB$511,0),10,1)),0)+_xlfn.IFNA(SUM((Y$3&gt;='Gastos com Pessoal'!$E$7:$E$506)*(Y$3&lt;='Gastos com Pessoal'!$F$7:$F$506)*(IF('Gastos com Pessoal'!$G$7:$G$506&lt;=Y$3,1,0))*OFFSET('Gastos com Pessoal'!$H$6,1,MATCH(1&amp;$B31,'Gastos com Pessoal'!$I$532:$AJ$532&amp;'Gastos com Pessoal'!$I$6:$AJ$6,0),500,1)),0)+_xlfn.IFNA(SUM((Y$3&gt;='Gastos com Pessoal'!$E$7:$E$506)*(Y$3&lt;='Gastos com Pessoal'!$F$7:$F$506)*(IF('Gastos com Pessoal'!$M$7:$M$506&lt;=Y$3,1,0))*OFFSET('Gastos com Pessoal'!$H$6,1,MATCH(2&amp;$B31,'Gastos com Pessoal'!$I$532:$AJ$532&amp;'Gastos com Pessoal'!$I$6:$AJ$6,0),500,1)),0)+_xlfn.IFNA(SUM((Y$3&gt;='Gastos com Pessoal'!$E$7:$E$506)*(Y$3&lt;='Gastos com Pessoal'!$F$7:$F$506)*(IF('Gastos com Pessoal'!$S$7:$S$506&lt;=Y$3,1,0))*OFFSET('Gastos com Pessoal'!$H$6,1,MATCH(3&amp;$B31,'Gastos com Pessoal'!$I$532:$AJ$532&amp;'Gastos com Pessoal'!$I$6:$AJ$6,0),500,1)),0)+_xlfn.IFNA(SUM((Y$3&gt;='Gastos com Pessoal'!$E$7:$E$506)*(Y$3&lt;='Gastos com Pessoal'!$F$7:$F$506)*(IF('Gastos com Pessoal'!$Y$7:$Y$506&lt;=Y$3,1,0))*OFFSET('Gastos com Pessoal'!$H$6,1,MATCH(4&amp;$B31,'Gastos com Pessoal'!$I$532:$AJ$532&amp;'Gastos com Pessoal'!$I$6:$AJ$6,0),500,1)),0)+_xlfn.IFNA(SUM((Y$3&gt;='Gastos com Pessoal'!$E$7:$E$506)*(Y$3&lt;='Gastos com Pessoal'!$F$7:$F$506)*(IF('Gastos com Pessoal'!$AE$7:$AE$506&lt;=Y$3,1,0))*OFFSET('Gastos com Pessoal'!$H$6,1,MATCH(5&amp;$B31,'Gastos com Pessoal'!$I$532:$AJ$532&amp;'Gastos com Pessoal'!$I$6:$AJ$6,0),500,1)),0)+_xlfn.IFNA(SUM((Y$3&gt;='Gastos com Pessoal'!$E$513:$E$522)*(Y$3&lt;='Gastos com Pessoal'!$F$513:$F$522)*(IF('Gastos com Pessoal'!$G$513:$G$522&lt;=Y$3,1,0))*OFFSET('Gastos com Pessoal'!$H$512,1,MATCH(1&amp;$B31,'Gastos com Pessoal'!$I$532:$AJ$532&amp;'Gastos com Pessoal'!$I$512:$AJ$512,0),10,1)),0)+_xlfn.IFNA(SUM((Y$3&gt;='Gastos com Pessoal'!$E$513:$E$522)*(Y$3&lt;='Gastos com Pessoal'!$F$513:$F$522)*(IF('Gastos com Pessoal'!$M$513:$M$522&lt;=Y$3,1,0))*OFFSET('Gastos com Pessoal'!$H$512,1,MATCH(2&amp;$B31,'Gastos com Pessoal'!$I$532:$AJ$532&amp;'Gastos com Pessoal'!$I$512:$AJ$512,0),10,1)),0)+_xlfn.IFNA(SUM((Y$3&gt;='Gastos com Pessoal'!$E$513:$E$522)*(Y$3&lt;='Gastos com Pessoal'!$F$513:$F$522)*(IF('Gastos com Pessoal'!$S$513:$S$522&lt;=Y$3,1,0))*OFFSET('Gastos com Pessoal'!$H$512,1,MATCH(3&amp;$B31,'Gastos com Pessoal'!$I$532:$AJ$532&amp;'Gastos com Pessoal'!$I$512:$AJ$512,0),10,1)),0)+_xlfn.IFNA(SUM((Y$3&gt;='Gastos com Pessoal'!$E$513:$E$522)*(Y$3&lt;='Gastos com Pessoal'!$F$513:$F$522)*(IF('Gastos com Pessoal'!$Y$513:$Y$522&lt;=Y$3,1,0))*OFFSET('Gastos com Pessoal'!$H$512,1,MATCH(4&amp;$B31,'Gastos com Pessoal'!$I$532:$AJ$532&amp;'Gastos com Pessoal'!$I$512:$AJ$512,0),10,1)),0)+_xlfn.IFNA(SUM((Y$3&gt;='Gastos com Pessoal'!$E$513:$E$522)*(Y$3&lt;='Gastos com Pessoal'!$F$513:$F$522)*(IF('Gastos com Pessoal'!$AE$513:$AE$522&lt;=Y$3,1,0))*OFFSET('Gastos com Pessoal'!$H$512,1,MATCH(5&amp;$B31,'Gastos com Pessoal'!$I$532:$AJ$532&amp;'Gastos com Pessoal'!$I$512:$AJ$512,0),10,1)),0)</f>
        <v>0</v>
      </c>
      <c r="Z31" s="188">
        <f t="array" aca="1" ref="Z31" ca="1">_xlfn.IFNA(SUM((Z$3&gt;='Gastos com Pessoal'!$E$7:$E$506)*(Z$3&lt;='Gastos com Pessoal'!$F$7:$F$506)*OFFSET('Encargos e Benefícios'!$D$5,1,MATCH($B31,'Encargos e Benefícios'!$E$5:$AB$5,0),500,1)),0)+_xlfn.IFNA(SUM((Z$3&gt;='Gastos com Pessoal'!$E$513:$E$522)*(Z$3&lt;='Gastos com Pessoal'!$F$513:$F$522)*OFFSET('Encargos e Benefícios'!$D$511,1,MATCH($B31,'Encargos e Benefícios'!$E$511:$AB$511,0),10,1)),0)+_xlfn.IFNA(SUM((Z$3&gt;='Gastos com Pessoal'!$E$7:$E$506)*(Z$3&lt;='Gastos com Pessoal'!$F$7:$F$506)*(IF('Gastos com Pessoal'!$G$7:$G$506&lt;=Z$3,1,0))*OFFSET('Gastos com Pessoal'!$H$6,1,MATCH(1&amp;$B31,'Gastos com Pessoal'!$I$532:$AJ$532&amp;'Gastos com Pessoal'!$I$6:$AJ$6,0),500,1)),0)+_xlfn.IFNA(SUM((Z$3&gt;='Gastos com Pessoal'!$E$7:$E$506)*(Z$3&lt;='Gastos com Pessoal'!$F$7:$F$506)*(IF('Gastos com Pessoal'!$M$7:$M$506&lt;=Z$3,1,0))*OFFSET('Gastos com Pessoal'!$H$6,1,MATCH(2&amp;$B31,'Gastos com Pessoal'!$I$532:$AJ$532&amp;'Gastos com Pessoal'!$I$6:$AJ$6,0),500,1)),0)+_xlfn.IFNA(SUM((Z$3&gt;='Gastos com Pessoal'!$E$7:$E$506)*(Z$3&lt;='Gastos com Pessoal'!$F$7:$F$506)*(IF('Gastos com Pessoal'!$S$7:$S$506&lt;=Z$3,1,0))*OFFSET('Gastos com Pessoal'!$H$6,1,MATCH(3&amp;$B31,'Gastos com Pessoal'!$I$532:$AJ$532&amp;'Gastos com Pessoal'!$I$6:$AJ$6,0),500,1)),0)+_xlfn.IFNA(SUM((Z$3&gt;='Gastos com Pessoal'!$E$7:$E$506)*(Z$3&lt;='Gastos com Pessoal'!$F$7:$F$506)*(IF('Gastos com Pessoal'!$Y$7:$Y$506&lt;=Z$3,1,0))*OFFSET('Gastos com Pessoal'!$H$6,1,MATCH(4&amp;$B31,'Gastos com Pessoal'!$I$532:$AJ$532&amp;'Gastos com Pessoal'!$I$6:$AJ$6,0),500,1)),0)+_xlfn.IFNA(SUM((Z$3&gt;='Gastos com Pessoal'!$E$7:$E$506)*(Z$3&lt;='Gastos com Pessoal'!$F$7:$F$506)*(IF('Gastos com Pessoal'!$AE$7:$AE$506&lt;=Z$3,1,0))*OFFSET('Gastos com Pessoal'!$H$6,1,MATCH(5&amp;$B31,'Gastos com Pessoal'!$I$532:$AJ$532&amp;'Gastos com Pessoal'!$I$6:$AJ$6,0),500,1)),0)+_xlfn.IFNA(SUM((Z$3&gt;='Gastos com Pessoal'!$E$513:$E$522)*(Z$3&lt;='Gastos com Pessoal'!$F$513:$F$522)*(IF('Gastos com Pessoal'!$G$513:$G$522&lt;=Z$3,1,0))*OFFSET('Gastos com Pessoal'!$H$512,1,MATCH(1&amp;$B31,'Gastos com Pessoal'!$I$532:$AJ$532&amp;'Gastos com Pessoal'!$I$512:$AJ$512,0),10,1)),0)+_xlfn.IFNA(SUM((Z$3&gt;='Gastos com Pessoal'!$E$513:$E$522)*(Z$3&lt;='Gastos com Pessoal'!$F$513:$F$522)*(IF('Gastos com Pessoal'!$M$513:$M$522&lt;=Z$3,1,0))*OFFSET('Gastos com Pessoal'!$H$512,1,MATCH(2&amp;$B31,'Gastos com Pessoal'!$I$532:$AJ$532&amp;'Gastos com Pessoal'!$I$512:$AJ$512,0),10,1)),0)+_xlfn.IFNA(SUM((Z$3&gt;='Gastos com Pessoal'!$E$513:$E$522)*(Z$3&lt;='Gastos com Pessoal'!$F$513:$F$522)*(IF('Gastos com Pessoal'!$S$513:$S$522&lt;=Z$3,1,0))*OFFSET('Gastos com Pessoal'!$H$512,1,MATCH(3&amp;$B31,'Gastos com Pessoal'!$I$532:$AJ$532&amp;'Gastos com Pessoal'!$I$512:$AJ$512,0),10,1)),0)+_xlfn.IFNA(SUM((Z$3&gt;='Gastos com Pessoal'!$E$513:$E$522)*(Z$3&lt;='Gastos com Pessoal'!$F$513:$F$522)*(IF('Gastos com Pessoal'!$Y$513:$Y$522&lt;=Z$3,1,0))*OFFSET('Gastos com Pessoal'!$H$512,1,MATCH(4&amp;$B31,'Gastos com Pessoal'!$I$532:$AJ$532&amp;'Gastos com Pessoal'!$I$512:$AJ$512,0),10,1)),0)+_xlfn.IFNA(SUM((Z$3&gt;='Gastos com Pessoal'!$E$513:$E$522)*(Z$3&lt;='Gastos com Pessoal'!$F$513:$F$522)*(IF('Gastos com Pessoal'!$AE$513:$AE$522&lt;=Z$3,1,0))*OFFSET('Gastos com Pessoal'!$H$512,1,MATCH(5&amp;$B31,'Gastos com Pessoal'!$I$532:$AJ$532&amp;'Gastos com Pessoal'!$I$512:$AJ$512,0),10,1)),0)</f>
        <v>0</v>
      </c>
      <c r="AA31" s="188">
        <f t="array" aca="1" ref="AA31" ca="1">_xlfn.IFNA(SUM((AA$3&gt;='Gastos com Pessoal'!$E$7:$E$506)*(AA$3&lt;='Gastos com Pessoal'!$F$7:$F$506)*OFFSET('Encargos e Benefícios'!$D$5,1,MATCH($B31,'Encargos e Benefícios'!$E$5:$AB$5,0),500,1)),0)+_xlfn.IFNA(SUM((AA$3&gt;='Gastos com Pessoal'!$E$513:$E$522)*(AA$3&lt;='Gastos com Pessoal'!$F$513:$F$522)*OFFSET('Encargos e Benefícios'!$D$511,1,MATCH($B31,'Encargos e Benefícios'!$E$511:$AB$511,0),10,1)),0)+_xlfn.IFNA(SUM((AA$3&gt;='Gastos com Pessoal'!$E$7:$E$506)*(AA$3&lt;='Gastos com Pessoal'!$F$7:$F$506)*(IF('Gastos com Pessoal'!$G$7:$G$506&lt;=AA$3,1,0))*OFFSET('Gastos com Pessoal'!$H$6,1,MATCH(1&amp;$B31,'Gastos com Pessoal'!$I$532:$AJ$532&amp;'Gastos com Pessoal'!$I$6:$AJ$6,0),500,1)),0)+_xlfn.IFNA(SUM((AA$3&gt;='Gastos com Pessoal'!$E$7:$E$506)*(AA$3&lt;='Gastos com Pessoal'!$F$7:$F$506)*(IF('Gastos com Pessoal'!$M$7:$M$506&lt;=AA$3,1,0))*OFFSET('Gastos com Pessoal'!$H$6,1,MATCH(2&amp;$B31,'Gastos com Pessoal'!$I$532:$AJ$532&amp;'Gastos com Pessoal'!$I$6:$AJ$6,0),500,1)),0)+_xlfn.IFNA(SUM((AA$3&gt;='Gastos com Pessoal'!$E$7:$E$506)*(AA$3&lt;='Gastos com Pessoal'!$F$7:$F$506)*(IF('Gastos com Pessoal'!$S$7:$S$506&lt;=AA$3,1,0))*OFFSET('Gastos com Pessoal'!$H$6,1,MATCH(3&amp;$B31,'Gastos com Pessoal'!$I$532:$AJ$532&amp;'Gastos com Pessoal'!$I$6:$AJ$6,0),500,1)),0)+_xlfn.IFNA(SUM((AA$3&gt;='Gastos com Pessoal'!$E$7:$E$506)*(AA$3&lt;='Gastos com Pessoal'!$F$7:$F$506)*(IF('Gastos com Pessoal'!$Y$7:$Y$506&lt;=AA$3,1,0))*OFFSET('Gastos com Pessoal'!$H$6,1,MATCH(4&amp;$B31,'Gastos com Pessoal'!$I$532:$AJ$532&amp;'Gastos com Pessoal'!$I$6:$AJ$6,0),500,1)),0)+_xlfn.IFNA(SUM((AA$3&gt;='Gastos com Pessoal'!$E$7:$E$506)*(AA$3&lt;='Gastos com Pessoal'!$F$7:$F$506)*(IF('Gastos com Pessoal'!$AE$7:$AE$506&lt;=AA$3,1,0))*OFFSET('Gastos com Pessoal'!$H$6,1,MATCH(5&amp;$B31,'Gastos com Pessoal'!$I$532:$AJ$532&amp;'Gastos com Pessoal'!$I$6:$AJ$6,0),500,1)),0)+_xlfn.IFNA(SUM((AA$3&gt;='Gastos com Pessoal'!$E$513:$E$522)*(AA$3&lt;='Gastos com Pessoal'!$F$513:$F$522)*(IF('Gastos com Pessoal'!$G$513:$G$522&lt;=AA$3,1,0))*OFFSET('Gastos com Pessoal'!$H$512,1,MATCH(1&amp;$B31,'Gastos com Pessoal'!$I$532:$AJ$532&amp;'Gastos com Pessoal'!$I$512:$AJ$512,0),10,1)),0)+_xlfn.IFNA(SUM((AA$3&gt;='Gastos com Pessoal'!$E$513:$E$522)*(AA$3&lt;='Gastos com Pessoal'!$F$513:$F$522)*(IF('Gastos com Pessoal'!$M$513:$M$522&lt;=AA$3,1,0))*OFFSET('Gastos com Pessoal'!$H$512,1,MATCH(2&amp;$B31,'Gastos com Pessoal'!$I$532:$AJ$532&amp;'Gastos com Pessoal'!$I$512:$AJ$512,0),10,1)),0)+_xlfn.IFNA(SUM((AA$3&gt;='Gastos com Pessoal'!$E$513:$E$522)*(AA$3&lt;='Gastos com Pessoal'!$F$513:$F$522)*(IF('Gastos com Pessoal'!$S$513:$S$522&lt;=AA$3,1,0))*OFFSET('Gastos com Pessoal'!$H$512,1,MATCH(3&amp;$B31,'Gastos com Pessoal'!$I$532:$AJ$532&amp;'Gastos com Pessoal'!$I$512:$AJ$512,0),10,1)),0)+_xlfn.IFNA(SUM((AA$3&gt;='Gastos com Pessoal'!$E$513:$E$522)*(AA$3&lt;='Gastos com Pessoal'!$F$513:$F$522)*(IF('Gastos com Pessoal'!$Y$513:$Y$522&lt;=AA$3,1,0))*OFFSET('Gastos com Pessoal'!$H$512,1,MATCH(4&amp;$B31,'Gastos com Pessoal'!$I$532:$AJ$532&amp;'Gastos com Pessoal'!$I$512:$AJ$512,0),10,1)),0)+_xlfn.IFNA(SUM((AA$3&gt;='Gastos com Pessoal'!$E$513:$E$522)*(AA$3&lt;='Gastos com Pessoal'!$F$513:$F$522)*(IF('Gastos com Pessoal'!$AE$513:$AE$522&lt;=AA$3,1,0))*OFFSET('Gastos com Pessoal'!$H$512,1,MATCH(5&amp;$B31,'Gastos com Pessoal'!$I$532:$AJ$532&amp;'Gastos com Pessoal'!$I$512:$AJ$512,0),10,1)),0)</f>
        <v>0</v>
      </c>
      <c r="AB31" s="188">
        <f t="array" aca="1" ref="AB31" ca="1">_xlfn.IFNA(SUM((AB$3&gt;='Gastos com Pessoal'!$E$7:$E$506)*(AB$3&lt;='Gastos com Pessoal'!$F$7:$F$506)*OFFSET('Encargos e Benefícios'!$D$5,1,MATCH($B31,'Encargos e Benefícios'!$E$5:$AB$5,0),500,1)),0)+_xlfn.IFNA(SUM((AB$3&gt;='Gastos com Pessoal'!$E$513:$E$522)*(AB$3&lt;='Gastos com Pessoal'!$F$513:$F$522)*OFFSET('Encargos e Benefícios'!$D$511,1,MATCH($B31,'Encargos e Benefícios'!$E$511:$AB$511,0),10,1)),0)+_xlfn.IFNA(SUM((AB$3&gt;='Gastos com Pessoal'!$E$7:$E$506)*(AB$3&lt;='Gastos com Pessoal'!$F$7:$F$506)*(IF('Gastos com Pessoal'!$G$7:$G$506&lt;=AB$3,1,0))*OFFSET('Gastos com Pessoal'!$H$6,1,MATCH(1&amp;$B31,'Gastos com Pessoal'!$I$532:$AJ$532&amp;'Gastos com Pessoal'!$I$6:$AJ$6,0),500,1)),0)+_xlfn.IFNA(SUM((AB$3&gt;='Gastos com Pessoal'!$E$7:$E$506)*(AB$3&lt;='Gastos com Pessoal'!$F$7:$F$506)*(IF('Gastos com Pessoal'!$M$7:$M$506&lt;=AB$3,1,0))*OFFSET('Gastos com Pessoal'!$H$6,1,MATCH(2&amp;$B31,'Gastos com Pessoal'!$I$532:$AJ$532&amp;'Gastos com Pessoal'!$I$6:$AJ$6,0),500,1)),0)+_xlfn.IFNA(SUM((AB$3&gt;='Gastos com Pessoal'!$E$7:$E$506)*(AB$3&lt;='Gastos com Pessoal'!$F$7:$F$506)*(IF('Gastos com Pessoal'!$S$7:$S$506&lt;=AB$3,1,0))*OFFSET('Gastos com Pessoal'!$H$6,1,MATCH(3&amp;$B31,'Gastos com Pessoal'!$I$532:$AJ$532&amp;'Gastos com Pessoal'!$I$6:$AJ$6,0),500,1)),0)+_xlfn.IFNA(SUM((AB$3&gt;='Gastos com Pessoal'!$E$7:$E$506)*(AB$3&lt;='Gastos com Pessoal'!$F$7:$F$506)*(IF('Gastos com Pessoal'!$Y$7:$Y$506&lt;=AB$3,1,0))*OFFSET('Gastos com Pessoal'!$H$6,1,MATCH(4&amp;$B31,'Gastos com Pessoal'!$I$532:$AJ$532&amp;'Gastos com Pessoal'!$I$6:$AJ$6,0),500,1)),0)+_xlfn.IFNA(SUM((AB$3&gt;='Gastos com Pessoal'!$E$7:$E$506)*(AB$3&lt;='Gastos com Pessoal'!$F$7:$F$506)*(IF('Gastos com Pessoal'!$AE$7:$AE$506&lt;=AB$3,1,0))*OFFSET('Gastos com Pessoal'!$H$6,1,MATCH(5&amp;$B31,'Gastos com Pessoal'!$I$532:$AJ$532&amp;'Gastos com Pessoal'!$I$6:$AJ$6,0),500,1)),0)+_xlfn.IFNA(SUM((AB$3&gt;='Gastos com Pessoal'!$E$513:$E$522)*(AB$3&lt;='Gastos com Pessoal'!$F$513:$F$522)*(IF('Gastos com Pessoal'!$G$513:$G$522&lt;=AB$3,1,0))*OFFSET('Gastos com Pessoal'!$H$512,1,MATCH(1&amp;$B31,'Gastos com Pessoal'!$I$532:$AJ$532&amp;'Gastos com Pessoal'!$I$512:$AJ$512,0),10,1)),0)+_xlfn.IFNA(SUM((AB$3&gt;='Gastos com Pessoal'!$E$513:$E$522)*(AB$3&lt;='Gastos com Pessoal'!$F$513:$F$522)*(IF('Gastos com Pessoal'!$M$513:$M$522&lt;=AB$3,1,0))*OFFSET('Gastos com Pessoal'!$H$512,1,MATCH(2&amp;$B31,'Gastos com Pessoal'!$I$532:$AJ$532&amp;'Gastos com Pessoal'!$I$512:$AJ$512,0),10,1)),0)+_xlfn.IFNA(SUM((AB$3&gt;='Gastos com Pessoal'!$E$513:$E$522)*(AB$3&lt;='Gastos com Pessoal'!$F$513:$F$522)*(IF('Gastos com Pessoal'!$S$513:$S$522&lt;=AB$3,1,0))*OFFSET('Gastos com Pessoal'!$H$512,1,MATCH(3&amp;$B31,'Gastos com Pessoal'!$I$532:$AJ$532&amp;'Gastos com Pessoal'!$I$512:$AJ$512,0),10,1)),0)+_xlfn.IFNA(SUM((AB$3&gt;='Gastos com Pessoal'!$E$513:$E$522)*(AB$3&lt;='Gastos com Pessoal'!$F$513:$F$522)*(IF('Gastos com Pessoal'!$Y$513:$Y$522&lt;=AB$3,1,0))*OFFSET('Gastos com Pessoal'!$H$512,1,MATCH(4&amp;$B31,'Gastos com Pessoal'!$I$532:$AJ$532&amp;'Gastos com Pessoal'!$I$512:$AJ$512,0),10,1)),0)+_xlfn.IFNA(SUM((AB$3&gt;='Gastos com Pessoal'!$E$513:$E$522)*(AB$3&lt;='Gastos com Pessoal'!$F$513:$F$522)*(IF('Gastos com Pessoal'!$AE$513:$AE$522&lt;=AB$3,1,0))*OFFSET('Gastos com Pessoal'!$H$512,1,MATCH(5&amp;$B31,'Gastos com Pessoal'!$I$532:$AJ$532&amp;'Gastos com Pessoal'!$I$512:$AJ$512,0),10,1)),0)</f>
        <v>0</v>
      </c>
      <c r="AC31" s="188">
        <f t="array" aca="1" ref="AC31" ca="1">_xlfn.IFNA(SUM((AC$3&gt;='Gastos com Pessoal'!$E$7:$E$506)*(AC$3&lt;='Gastos com Pessoal'!$F$7:$F$506)*OFFSET('Encargos e Benefícios'!$D$5,1,MATCH($B31,'Encargos e Benefícios'!$E$5:$AB$5,0),500,1)),0)+_xlfn.IFNA(SUM((AC$3&gt;='Gastos com Pessoal'!$E$513:$E$522)*(AC$3&lt;='Gastos com Pessoal'!$F$513:$F$522)*OFFSET('Encargos e Benefícios'!$D$511,1,MATCH($B31,'Encargos e Benefícios'!$E$511:$AB$511,0),10,1)),0)+_xlfn.IFNA(SUM((AC$3&gt;='Gastos com Pessoal'!$E$7:$E$506)*(AC$3&lt;='Gastos com Pessoal'!$F$7:$F$506)*(IF('Gastos com Pessoal'!$G$7:$G$506&lt;=AC$3,1,0))*OFFSET('Gastos com Pessoal'!$H$6,1,MATCH(1&amp;$B31,'Gastos com Pessoal'!$I$532:$AJ$532&amp;'Gastos com Pessoal'!$I$6:$AJ$6,0),500,1)),0)+_xlfn.IFNA(SUM((AC$3&gt;='Gastos com Pessoal'!$E$7:$E$506)*(AC$3&lt;='Gastos com Pessoal'!$F$7:$F$506)*(IF('Gastos com Pessoal'!$M$7:$M$506&lt;=AC$3,1,0))*OFFSET('Gastos com Pessoal'!$H$6,1,MATCH(2&amp;$B31,'Gastos com Pessoal'!$I$532:$AJ$532&amp;'Gastos com Pessoal'!$I$6:$AJ$6,0),500,1)),0)+_xlfn.IFNA(SUM((AC$3&gt;='Gastos com Pessoal'!$E$7:$E$506)*(AC$3&lt;='Gastos com Pessoal'!$F$7:$F$506)*(IF('Gastos com Pessoal'!$S$7:$S$506&lt;=AC$3,1,0))*OFFSET('Gastos com Pessoal'!$H$6,1,MATCH(3&amp;$B31,'Gastos com Pessoal'!$I$532:$AJ$532&amp;'Gastos com Pessoal'!$I$6:$AJ$6,0),500,1)),0)+_xlfn.IFNA(SUM((AC$3&gt;='Gastos com Pessoal'!$E$7:$E$506)*(AC$3&lt;='Gastos com Pessoal'!$F$7:$F$506)*(IF('Gastos com Pessoal'!$Y$7:$Y$506&lt;=AC$3,1,0))*OFFSET('Gastos com Pessoal'!$H$6,1,MATCH(4&amp;$B31,'Gastos com Pessoal'!$I$532:$AJ$532&amp;'Gastos com Pessoal'!$I$6:$AJ$6,0),500,1)),0)+_xlfn.IFNA(SUM((AC$3&gt;='Gastos com Pessoal'!$E$7:$E$506)*(AC$3&lt;='Gastos com Pessoal'!$F$7:$F$506)*(IF('Gastos com Pessoal'!$AE$7:$AE$506&lt;=AC$3,1,0))*OFFSET('Gastos com Pessoal'!$H$6,1,MATCH(5&amp;$B31,'Gastos com Pessoal'!$I$532:$AJ$532&amp;'Gastos com Pessoal'!$I$6:$AJ$6,0),500,1)),0)+_xlfn.IFNA(SUM((AC$3&gt;='Gastos com Pessoal'!$E$513:$E$522)*(AC$3&lt;='Gastos com Pessoal'!$F$513:$F$522)*(IF('Gastos com Pessoal'!$G$513:$G$522&lt;=AC$3,1,0))*OFFSET('Gastos com Pessoal'!$H$512,1,MATCH(1&amp;$B31,'Gastos com Pessoal'!$I$532:$AJ$532&amp;'Gastos com Pessoal'!$I$512:$AJ$512,0),10,1)),0)+_xlfn.IFNA(SUM((AC$3&gt;='Gastos com Pessoal'!$E$513:$E$522)*(AC$3&lt;='Gastos com Pessoal'!$F$513:$F$522)*(IF('Gastos com Pessoal'!$M$513:$M$522&lt;=AC$3,1,0))*OFFSET('Gastos com Pessoal'!$H$512,1,MATCH(2&amp;$B31,'Gastos com Pessoal'!$I$532:$AJ$532&amp;'Gastos com Pessoal'!$I$512:$AJ$512,0),10,1)),0)+_xlfn.IFNA(SUM((AC$3&gt;='Gastos com Pessoal'!$E$513:$E$522)*(AC$3&lt;='Gastos com Pessoal'!$F$513:$F$522)*(IF('Gastos com Pessoal'!$S$513:$S$522&lt;=AC$3,1,0))*OFFSET('Gastos com Pessoal'!$H$512,1,MATCH(3&amp;$B31,'Gastos com Pessoal'!$I$532:$AJ$532&amp;'Gastos com Pessoal'!$I$512:$AJ$512,0),10,1)),0)+_xlfn.IFNA(SUM((AC$3&gt;='Gastos com Pessoal'!$E$513:$E$522)*(AC$3&lt;='Gastos com Pessoal'!$F$513:$F$522)*(IF('Gastos com Pessoal'!$Y$513:$Y$522&lt;=AC$3,1,0))*OFFSET('Gastos com Pessoal'!$H$512,1,MATCH(4&amp;$B31,'Gastos com Pessoal'!$I$532:$AJ$532&amp;'Gastos com Pessoal'!$I$512:$AJ$512,0),10,1)),0)+_xlfn.IFNA(SUM((AC$3&gt;='Gastos com Pessoal'!$E$513:$E$522)*(AC$3&lt;='Gastos com Pessoal'!$F$513:$F$522)*(IF('Gastos com Pessoal'!$AE$513:$AE$522&lt;=AC$3,1,0))*OFFSET('Gastos com Pessoal'!$H$512,1,MATCH(5&amp;$B31,'Gastos com Pessoal'!$I$532:$AJ$532&amp;'Gastos com Pessoal'!$I$512:$AJ$512,0),10,1)),0)</f>
        <v>0</v>
      </c>
      <c r="AD31" s="188">
        <f t="array" aca="1" ref="AD31" ca="1">_xlfn.IFNA(SUM((AD$3&gt;='Gastos com Pessoal'!$E$7:$E$506)*(AD$3&lt;='Gastos com Pessoal'!$F$7:$F$506)*OFFSET('Encargos e Benefícios'!$D$5,1,MATCH($B31,'Encargos e Benefícios'!$E$5:$AB$5,0),500,1)),0)+_xlfn.IFNA(SUM((AD$3&gt;='Gastos com Pessoal'!$E$513:$E$522)*(AD$3&lt;='Gastos com Pessoal'!$F$513:$F$522)*OFFSET('Encargos e Benefícios'!$D$511,1,MATCH($B31,'Encargos e Benefícios'!$E$511:$AB$511,0),10,1)),0)+_xlfn.IFNA(SUM((AD$3&gt;='Gastos com Pessoal'!$E$7:$E$506)*(AD$3&lt;='Gastos com Pessoal'!$F$7:$F$506)*(IF('Gastos com Pessoal'!$G$7:$G$506&lt;=AD$3,1,0))*OFFSET('Gastos com Pessoal'!$H$6,1,MATCH(1&amp;$B31,'Gastos com Pessoal'!$I$532:$AJ$532&amp;'Gastos com Pessoal'!$I$6:$AJ$6,0),500,1)),0)+_xlfn.IFNA(SUM((AD$3&gt;='Gastos com Pessoal'!$E$7:$E$506)*(AD$3&lt;='Gastos com Pessoal'!$F$7:$F$506)*(IF('Gastos com Pessoal'!$M$7:$M$506&lt;=AD$3,1,0))*OFFSET('Gastos com Pessoal'!$H$6,1,MATCH(2&amp;$B31,'Gastos com Pessoal'!$I$532:$AJ$532&amp;'Gastos com Pessoal'!$I$6:$AJ$6,0),500,1)),0)+_xlfn.IFNA(SUM((AD$3&gt;='Gastos com Pessoal'!$E$7:$E$506)*(AD$3&lt;='Gastos com Pessoal'!$F$7:$F$506)*(IF('Gastos com Pessoal'!$S$7:$S$506&lt;=AD$3,1,0))*OFFSET('Gastos com Pessoal'!$H$6,1,MATCH(3&amp;$B31,'Gastos com Pessoal'!$I$532:$AJ$532&amp;'Gastos com Pessoal'!$I$6:$AJ$6,0),500,1)),0)+_xlfn.IFNA(SUM((AD$3&gt;='Gastos com Pessoal'!$E$7:$E$506)*(AD$3&lt;='Gastos com Pessoal'!$F$7:$F$506)*(IF('Gastos com Pessoal'!$Y$7:$Y$506&lt;=AD$3,1,0))*OFFSET('Gastos com Pessoal'!$H$6,1,MATCH(4&amp;$B31,'Gastos com Pessoal'!$I$532:$AJ$532&amp;'Gastos com Pessoal'!$I$6:$AJ$6,0),500,1)),0)+_xlfn.IFNA(SUM((AD$3&gt;='Gastos com Pessoal'!$E$7:$E$506)*(AD$3&lt;='Gastos com Pessoal'!$F$7:$F$506)*(IF('Gastos com Pessoal'!$AE$7:$AE$506&lt;=AD$3,1,0))*OFFSET('Gastos com Pessoal'!$H$6,1,MATCH(5&amp;$B31,'Gastos com Pessoal'!$I$532:$AJ$532&amp;'Gastos com Pessoal'!$I$6:$AJ$6,0),500,1)),0)+_xlfn.IFNA(SUM((AD$3&gt;='Gastos com Pessoal'!$E$513:$E$522)*(AD$3&lt;='Gastos com Pessoal'!$F$513:$F$522)*(IF('Gastos com Pessoal'!$G$513:$G$522&lt;=AD$3,1,0))*OFFSET('Gastos com Pessoal'!$H$512,1,MATCH(1&amp;$B31,'Gastos com Pessoal'!$I$532:$AJ$532&amp;'Gastos com Pessoal'!$I$512:$AJ$512,0),10,1)),0)+_xlfn.IFNA(SUM((AD$3&gt;='Gastos com Pessoal'!$E$513:$E$522)*(AD$3&lt;='Gastos com Pessoal'!$F$513:$F$522)*(IF('Gastos com Pessoal'!$M$513:$M$522&lt;=AD$3,1,0))*OFFSET('Gastos com Pessoal'!$H$512,1,MATCH(2&amp;$B31,'Gastos com Pessoal'!$I$532:$AJ$532&amp;'Gastos com Pessoal'!$I$512:$AJ$512,0),10,1)),0)+_xlfn.IFNA(SUM((AD$3&gt;='Gastos com Pessoal'!$E$513:$E$522)*(AD$3&lt;='Gastos com Pessoal'!$F$513:$F$522)*(IF('Gastos com Pessoal'!$S$513:$S$522&lt;=AD$3,1,0))*OFFSET('Gastos com Pessoal'!$H$512,1,MATCH(3&amp;$B31,'Gastos com Pessoal'!$I$532:$AJ$532&amp;'Gastos com Pessoal'!$I$512:$AJ$512,0),10,1)),0)+_xlfn.IFNA(SUM((AD$3&gt;='Gastos com Pessoal'!$E$513:$E$522)*(AD$3&lt;='Gastos com Pessoal'!$F$513:$F$522)*(IF('Gastos com Pessoal'!$Y$513:$Y$522&lt;=AD$3,1,0))*OFFSET('Gastos com Pessoal'!$H$512,1,MATCH(4&amp;$B31,'Gastos com Pessoal'!$I$532:$AJ$532&amp;'Gastos com Pessoal'!$I$512:$AJ$512,0),10,1)),0)+_xlfn.IFNA(SUM((AD$3&gt;='Gastos com Pessoal'!$E$513:$E$522)*(AD$3&lt;='Gastos com Pessoal'!$F$513:$F$522)*(IF('Gastos com Pessoal'!$AE$513:$AE$522&lt;=AD$3,1,0))*OFFSET('Gastos com Pessoal'!$H$512,1,MATCH(5&amp;$B31,'Gastos com Pessoal'!$I$532:$AJ$532&amp;'Gastos com Pessoal'!$I$512:$AJ$512,0),10,1)),0)</f>
        <v>0</v>
      </c>
      <c r="AE31" s="188">
        <f t="array" aca="1" ref="AE31" ca="1">_xlfn.IFNA(SUM((AE$3&gt;='Gastos com Pessoal'!$E$7:$E$506)*(AE$3&lt;='Gastos com Pessoal'!$F$7:$F$506)*OFFSET('Encargos e Benefícios'!$D$5,1,MATCH($B31,'Encargos e Benefícios'!$E$5:$AB$5,0),500,1)),0)+_xlfn.IFNA(SUM((AE$3&gt;='Gastos com Pessoal'!$E$513:$E$522)*(AE$3&lt;='Gastos com Pessoal'!$F$513:$F$522)*OFFSET('Encargos e Benefícios'!$D$511,1,MATCH($B31,'Encargos e Benefícios'!$E$511:$AB$511,0),10,1)),0)+_xlfn.IFNA(SUM((AE$3&gt;='Gastos com Pessoal'!$E$7:$E$506)*(AE$3&lt;='Gastos com Pessoal'!$F$7:$F$506)*(IF('Gastos com Pessoal'!$G$7:$G$506&lt;=AE$3,1,0))*OFFSET('Gastos com Pessoal'!$H$6,1,MATCH(1&amp;$B31,'Gastos com Pessoal'!$I$532:$AJ$532&amp;'Gastos com Pessoal'!$I$6:$AJ$6,0),500,1)),0)+_xlfn.IFNA(SUM((AE$3&gt;='Gastos com Pessoal'!$E$7:$E$506)*(AE$3&lt;='Gastos com Pessoal'!$F$7:$F$506)*(IF('Gastos com Pessoal'!$M$7:$M$506&lt;=AE$3,1,0))*OFFSET('Gastos com Pessoal'!$H$6,1,MATCH(2&amp;$B31,'Gastos com Pessoal'!$I$532:$AJ$532&amp;'Gastos com Pessoal'!$I$6:$AJ$6,0),500,1)),0)+_xlfn.IFNA(SUM((AE$3&gt;='Gastos com Pessoal'!$E$7:$E$506)*(AE$3&lt;='Gastos com Pessoal'!$F$7:$F$506)*(IF('Gastos com Pessoal'!$S$7:$S$506&lt;=AE$3,1,0))*OFFSET('Gastos com Pessoal'!$H$6,1,MATCH(3&amp;$B31,'Gastos com Pessoal'!$I$532:$AJ$532&amp;'Gastos com Pessoal'!$I$6:$AJ$6,0),500,1)),0)+_xlfn.IFNA(SUM((AE$3&gt;='Gastos com Pessoal'!$E$7:$E$506)*(AE$3&lt;='Gastos com Pessoal'!$F$7:$F$506)*(IF('Gastos com Pessoal'!$Y$7:$Y$506&lt;=AE$3,1,0))*OFFSET('Gastos com Pessoal'!$H$6,1,MATCH(4&amp;$B31,'Gastos com Pessoal'!$I$532:$AJ$532&amp;'Gastos com Pessoal'!$I$6:$AJ$6,0),500,1)),0)+_xlfn.IFNA(SUM((AE$3&gt;='Gastos com Pessoal'!$E$7:$E$506)*(AE$3&lt;='Gastos com Pessoal'!$F$7:$F$506)*(IF('Gastos com Pessoal'!$AE$7:$AE$506&lt;=AE$3,1,0))*OFFSET('Gastos com Pessoal'!$H$6,1,MATCH(5&amp;$B31,'Gastos com Pessoal'!$I$532:$AJ$532&amp;'Gastos com Pessoal'!$I$6:$AJ$6,0),500,1)),0)+_xlfn.IFNA(SUM((AE$3&gt;='Gastos com Pessoal'!$E$513:$E$522)*(AE$3&lt;='Gastos com Pessoal'!$F$513:$F$522)*(IF('Gastos com Pessoal'!$G$513:$G$522&lt;=AE$3,1,0))*OFFSET('Gastos com Pessoal'!$H$512,1,MATCH(1&amp;$B31,'Gastos com Pessoal'!$I$532:$AJ$532&amp;'Gastos com Pessoal'!$I$512:$AJ$512,0),10,1)),0)+_xlfn.IFNA(SUM((AE$3&gt;='Gastos com Pessoal'!$E$513:$E$522)*(AE$3&lt;='Gastos com Pessoal'!$F$513:$F$522)*(IF('Gastos com Pessoal'!$M$513:$M$522&lt;=AE$3,1,0))*OFFSET('Gastos com Pessoal'!$H$512,1,MATCH(2&amp;$B31,'Gastos com Pessoal'!$I$532:$AJ$532&amp;'Gastos com Pessoal'!$I$512:$AJ$512,0),10,1)),0)+_xlfn.IFNA(SUM((AE$3&gt;='Gastos com Pessoal'!$E$513:$E$522)*(AE$3&lt;='Gastos com Pessoal'!$F$513:$F$522)*(IF('Gastos com Pessoal'!$S$513:$S$522&lt;=AE$3,1,0))*OFFSET('Gastos com Pessoal'!$H$512,1,MATCH(3&amp;$B31,'Gastos com Pessoal'!$I$532:$AJ$532&amp;'Gastos com Pessoal'!$I$512:$AJ$512,0),10,1)),0)+_xlfn.IFNA(SUM((AE$3&gt;='Gastos com Pessoal'!$E$513:$E$522)*(AE$3&lt;='Gastos com Pessoal'!$F$513:$F$522)*(IF('Gastos com Pessoal'!$Y$513:$Y$522&lt;=AE$3,1,0))*OFFSET('Gastos com Pessoal'!$H$512,1,MATCH(4&amp;$B31,'Gastos com Pessoal'!$I$532:$AJ$532&amp;'Gastos com Pessoal'!$I$512:$AJ$512,0),10,1)),0)+_xlfn.IFNA(SUM((AE$3&gt;='Gastos com Pessoal'!$E$513:$E$522)*(AE$3&lt;='Gastos com Pessoal'!$F$513:$F$522)*(IF('Gastos com Pessoal'!$AE$513:$AE$522&lt;=AE$3,1,0))*OFFSET('Gastos com Pessoal'!$H$512,1,MATCH(5&amp;$B31,'Gastos com Pessoal'!$I$532:$AJ$532&amp;'Gastos com Pessoal'!$I$512:$AJ$512,0),10,1)),0)</f>
        <v>0</v>
      </c>
      <c r="AF31" s="188">
        <f t="array" aca="1" ref="AF31" ca="1">_xlfn.IFNA(SUM((AF$3&gt;='Gastos com Pessoal'!$E$7:$E$506)*(AF$3&lt;='Gastos com Pessoal'!$F$7:$F$506)*OFFSET('Encargos e Benefícios'!$D$5,1,MATCH($B31,'Encargos e Benefícios'!$E$5:$AB$5,0),500,1)),0)+_xlfn.IFNA(SUM((AF$3&gt;='Gastos com Pessoal'!$E$513:$E$522)*(AF$3&lt;='Gastos com Pessoal'!$F$513:$F$522)*OFFSET('Encargos e Benefícios'!$D$511,1,MATCH($B31,'Encargos e Benefícios'!$E$511:$AB$511,0),10,1)),0)+_xlfn.IFNA(SUM((AF$3&gt;='Gastos com Pessoal'!$E$7:$E$506)*(AF$3&lt;='Gastos com Pessoal'!$F$7:$F$506)*(IF('Gastos com Pessoal'!$G$7:$G$506&lt;=AF$3,1,0))*OFFSET('Gastos com Pessoal'!$H$6,1,MATCH(1&amp;$B31,'Gastos com Pessoal'!$I$532:$AJ$532&amp;'Gastos com Pessoal'!$I$6:$AJ$6,0),500,1)),0)+_xlfn.IFNA(SUM((AF$3&gt;='Gastos com Pessoal'!$E$7:$E$506)*(AF$3&lt;='Gastos com Pessoal'!$F$7:$F$506)*(IF('Gastos com Pessoal'!$M$7:$M$506&lt;=AF$3,1,0))*OFFSET('Gastos com Pessoal'!$H$6,1,MATCH(2&amp;$B31,'Gastos com Pessoal'!$I$532:$AJ$532&amp;'Gastos com Pessoal'!$I$6:$AJ$6,0),500,1)),0)+_xlfn.IFNA(SUM((AF$3&gt;='Gastos com Pessoal'!$E$7:$E$506)*(AF$3&lt;='Gastos com Pessoal'!$F$7:$F$506)*(IF('Gastos com Pessoal'!$S$7:$S$506&lt;=AF$3,1,0))*OFFSET('Gastos com Pessoal'!$H$6,1,MATCH(3&amp;$B31,'Gastos com Pessoal'!$I$532:$AJ$532&amp;'Gastos com Pessoal'!$I$6:$AJ$6,0),500,1)),0)+_xlfn.IFNA(SUM((AF$3&gt;='Gastos com Pessoal'!$E$7:$E$506)*(AF$3&lt;='Gastos com Pessoal'!$F$7:$F$506)*(IF('Gastos com Pessoal'!$Y$7:$Y$506&lt;=AF$3,1,0))*OFFSET('Gastos com Pessoal'!$H$6,1,MATCH(4&amp;$B31,'Gastos com Pessoal'!$I$532:$AJ$532&amp;'Gastos com Pessoal'!$I$6:$AJ$6,0),500,1)),0)+_xlfn.IFNA(SUM((AF$3&gt;='Gastos com Pessoal'!$E$7:$E$506)*(AF$3&lt;='Gastos com Pessoal'!$F$7:$F$506)*(IF('Gastos com Pessoal'!$AE$7:$AE$506&lt;=AF$3,1,0))*OFFSET('Gastos com Pessoal'!$H$6,1,MATCH(5&amp;$B31,'Gastos com Pessoal'!$I$532:$AJ$532&amp;'Gastos com Pessoal'!$I$6:$AJ$6,0),500,1)),0)+_xlfn.IFNA(SUM((AF$3&gt;='Gastos com Pessoal'!$E$513:$E$522)*(AF$3&lt;='Gastos com Pessoal'!$F$513:$F$522)*(IF('Gastos com Pessoal'!$G$513:$G$522&lt;=AF$3,1,0))*OFFSET('Gastos com Pessoal'!$H$512,1,MATCH(1&amp;$B31,'Gastos com Pessoal'!$I$532:$AJ$532&amp;'Gastos com Pessoal'!$I$512:$AJ$512,0),10,1)),0)+_xlfn.IFNA(SUM((AF$3&gt;='Gastos com Pessoal'!$E$513:$E$522)*(AF$3&lt;='Gastos com Pessoal'!$F$513:$F$522)*(IF('Gastos com Pessoal'!$M$513:$M$522&lt;=AF$3,1,0))*OFFSET('Gastos com Pessoal'!$H$512,1,MATCH(2&amp;$B31,'Gastos com Pessoal'!$I$532:$AJ$532&amp;'Gastos com Pessoal'!$I$512:$AJ$512,0),10,1)),0)+_xlfn.IFNA(SUM((AF$3&gt;='Gastos com Pessoal'!$E$513:$E$522)*(AF$3&lt;='Gastos com Pessoal'!$F$513:$F$522)*(IF('Gastos com Pessoal'!$S$513:$S$522&lt;=AF$3,1,0))*OFFSET('Gastos com Pessoal'!$H$512,1,MATCH(3&amp;$B31,'Gastos com Pessoal'!$I$532:$AJ$532&amp;'Gastos com Pessoal'!$I$512:$AJ$512,0),10,1)),0)+_xlfn.IFNA(SUM((AF$3&gt;='Gastos com Pessoal'!$E$513:$E$522)*(AF$3&lt;='Gastos com Pessoal'!$F$513:$F$522)*(IF('Gastos com Pessoal'!$Y$513:$Y$522&lt;=AF$3,1,0))*OFFSET('Gastos com Pessoal'!$H$512,1,MATCH(4&amp;$B31,'Gastos com Pessoal'!$I$532:$AJ$532&amp;'Gastos com Pessoal'!$I$512:$AJ$512,0),10,1)),0)+_xlfn.IFNA(SUM((AF$3&gt;='Gastos com Pessoal'!$E$513:$E$522)*(AF$3&lt;='Gastos com Pessoal'!$F$513:$F$522)*(IF('Gastos com Pessoal'!$AE$513:$AE$522&lt;=AF$3,1,0))*OFFSET('Gastos com Pessoal'!$H$512,1,MATCH(5&amp;$B31,'Gastos com Pessoal'!$I$532:$AJ$532&amp;'Gastos com Pessoal'!$I$512:$AJ$512,0),10,1)),0)</f>
        <v>0</v>
      </c>
      <c r="AG31" s="188">
        <f t="array" aca="1" ref="AG31" ca="1">_xlfn.IFNA(SUM((AG$3&gt;='Gastos com Pessoal'!$E$7:$E$506)*(AG$3&lt;='Gastos com Pessoal'!$F$7:$F$506)*OFFSET('Encargos e Benefícios'!$D$5,1,MATCH($B31,'Encargos e Benefícios'!$E$5:$AB$5,0),500,1)),0)+_xlfn.IFNA(SUM((AG$3&gt;='Gastos com Pessoal'!$E$513:$E$522)*(AG$3&lt;='Gastos com Pessoal'!$F$513:$F$522)*OFFSET('Encargos e Benefícios'!$D$511,1,MATCH($B31,'Encargos e Benefícios'!$E$511:$AB$511,0),10,1)),0)+_xlfn.IFNA(SUM((AG$3&gt;='Gastos com Pessoal'!$E$7:$E$506)*(AG$3&lt;='Gastos com Pessoal'!$F$7:$F$506)*(IF('Gastos com Pessoal'!$G$7:$G$506&lt;=AG$3,1,0))*OFFSET('Gastos com Pessoal'!$H$6,1,MATCH(1&amp;$B31,'Gastos com Pessoal'!$I$532:$AJ$532&amp;'Gastos com Pessoal'!$I$6:$AJ$6,0),500,1)),0)+_xlfn.IFNA(SUM((AG$3&gt;='Gastos com Pessoal'!$E$7:$E$506)*(AG$3&lt;='Gastos com Pessoal'!$F$7:$F$506)*(IF('Gastos com Pessoal'!$M$7:$M$506&lt;=AG$3,1,0))*OFFSET('Gastos com Pessoal'!$H$6,1,MATCH(2&amp;$B31,'Gastos com Pessoal'!$I$532:$AJ$532&amp;'Gastos com Pessoal'!$I$6:$AJ$6,0),500,1)),0)+_xlfn.IFNA(SUM((AG$3&gt;='Gastos com Pessoal'!$E$7:$E$506)*(AG$3&lt;='Gastos com Pessoal'!$F$7:$F$506)*(IF('Gastos com Pessoal'!$S$7:$S$506&lt;=AG$3,1,0))*OFFSET('Gastos com Pessoal'!$H$6,1,MATCH(3&amp;$B31,'Gastos com Pessoal'!$I$532:$AJ$532&amp;'Gastos com Pessoal'!$I$6:$AJ$6,0),500,1)),0)+_xlfn.IFNA(SUM((AG$3&gt;='Gastos com Pessoal'!$E$7:$E$506)*(AG$3&lt;='Gastos com Pessoal'!$F$7:$F$506)*(IF('Gastos com Pessoal'!$Y$7:$Y$506&lt;=AG$3,1,0))*OFFSET('Gastos com Pessoal'!$H$6,1,MATCH(4&amp;$B31,'Gastos com Pessoal'!$I$532:$AJ$532&amp;'Gastos com Pessoal'!$I$6:$AJ$6,0),500,1)),0)+_xlfn.IFNA(SUM((AG$3&gt;='Gastos com Pessoal'!$E$7:$E$506)*(AG$3&lt;='Gastos com Pessoal'!$F$7:$F$506)*(IF('Gastos com Pessoal'!$AE$7:$AE$506&lt;=AG$3,1,0))*OFFSET('Gastos com Pessoal'!$H$6,1,MATCH(5&amp;$B31,'Gastos com Pessoal'!$I$532:$AJ$532&amp;'Gastos com Pessoal'!$I$6:$AJ$6,0),500,1)),0)+_xlfn.IFNA(SUM((AG$3&gt;='Gastos com Pessoal'!$E$513:$E$522)*(AG$3&lt;='Gastos com Pessoal'!$F$513:$F$522)*(IF('Gastos com Pessoal'!$G$513:$G$522&lt;=AG$3,1,0))*OFFSET('Gastos com Pessoal'!$H$512,1,MATCH(1&amp;$B31,'Gastos com Pessoal'!$I$532:$AJ$532&amp;'Gastos com Pessoal'!$I$512:$AJ$512,0),10,1)),0)+_xlfn.IFNA(SUM((AG$3&gt;='Gastos com Pessoal'!$E$513:$E$522)*(AG$3&lt;='Gastos com Pessoal'!$F$513:$F$522)*(IF('Gastos com Pessoal'!$M$513:$M$522&lt;=AG$3,1,0))*OFFSET('Gastos com Pessoal'!$H$512,1,MATCH(2&amp;$B31,'Gastos com Pessoal'!$I$532:$AJ$532&amp;'Gastos com Pessoal'!$I$512:$AJ$512,0),10,1)),0)+_xlfn.IFNA(SUM((AG$3&gt;='Gastos com Pessoal'!$E$513:$E$522)*(AG$3&lt;='Gastos com Pessoal'!$F$513:$F$522)*(IF('Gastos com Pessoal'!$S$513:$S$522&lt;=AG$3,1,0))*OFFSET('Gastos com Pessoal'!$H$512,1,MATCH(3&amp;$B31,'Gastos com Pessoal'!$I$532:$AJ$532&amp;'Gastos com Pessoal'!$I$512:$AJ$512,0),10,1)),0)+_xlfn.IFNA(SUM((AG$3&gt;='Gastos com Pessoal'!$E$513:$E$522)*(AG$3&lt;='Gastos com Pessoal'!$F$513:$F$522)*(IF('Gastos com Pessoal'!$Y$513:$Y$522&lt;=AG$3,1,0))*OFFSET('Gastos com Pessoal'!$H$512,1,MATCH(4&amp;$B31,'Gastos com Pessoal'!$I$532:$AJ$532&amp;'Gastos com Pessoal'!$I$512:$AJ$512,0),10,1)),0)+_xlfn.IFNA(SUM((AG$3&gt;='Gastos com Pessoal'!$E$513:$E$522)*(AG$3&lt;='Gastos com Pessoal'!$F$513:$F$522)*(IF('Gastos com Pessoal'!$AE$513:$AE$522&lt;=AG$3,1,0))*OFFSET('Gastos com Pessoal'!$H$512,1,MATCH(5&amp;$B31,'Gastos com Pessoal'!$I$532:$AJ$532&amp;'Gastos com Pessoal'!$I$512:$AJ$512,0),10,1)),0)</f>
        <v>0</v>
      </c>
      <c r="AH31" s="188">
        <f t="array" aca="1" ref="AH31" ca="1">_xlfn.IFNA(SUM((AH$3&gt;='Gastos com Pessoal'!$E$7:$E$506)*(AH$3&lt;='Gastos com Pessoal'!$F$7:$F$506)*OFFSET('Encargos e Benefícios'!$D$5,1,MATCH($B31,'Encargos e Benefícios'!$E$5:$AB$5,0),500,1)),0)+_xlfn.IFNA(SUM((AH$3&gt;='Gastos com Pessoal'!$E$513:$E$522)*(AH$3&lt;='Gastos com Pessoal'!$F$513:$F$522)*OFFSET('Encargos e Benefícios'!$D$511,1,MATCH($B31,'Encargos e Benefícios'!$E$511:$AB$511,0),10,1)),0)+_xlfn.IFNA(SUM((AH$3&gt;='Gastos com Pessoal'!$E$7:$E$506)*(AH$3&lt;='Gastos com Pessoal'!$F$7:$F$506)*(IF('Gastos com Pessoal'!$G$7:$G$506&lt;=AH$3,1,0))*OFFSET('Gastos com Pessoal'!$H$6,1,MATCH(1&amp;$B31,'Gastos com Pessoal'!$I$532:$AJ$532&amp;'Gastos com Pessoal'!$I$6:$AJ$6,0),500,1)),0)+_xlfn.IFNA(SUM((AH$3&gt;='Gastos com Pessoal'!$E$7:$E$506)*(AH$3&lt;='Gastos com Pessoal'!$F$7:$F$506)*(IF('Gastos com Pessoal'!$M$7:$M$506&lt;=AH$3,1,0))*OFFSET('Gastos com Pessoal'!$H$6,1,MATCH(2&amp;$B31,'Gastos com Pessoal'!$I$532:$AJ$532&amp;'Gastos com Pessoal'!$I$6:$AJ$6,0),500,1)),0)+_xlfn.IFNA(SUM((AH$3&gt;='Gastos com Pessoal'!$E$7:$E$506)*(AH$3&lt;='Gastos com Pessoal'!$F$7:$F$506)*(IF('Gastos com Pessoal'!$S$7:$S$506&lt;=AH$3,1,0))*OFFSET('Gastos com Pessoal'!$H$6,1,MATCH(3&amp;$B31,'Gastos com Pessoal'!$I$532:$AJ$532&amp;'Gastos com Pessoal'!$I$6:$AJ$6,0),500,1)),0)+_xlfn.IFNA(SUM((AH$3&gt;='Gastos com Pessoal'!$E$7:$E$506)*(AH$3&lt;='Gastos com Pessoal'!$F$7:$F$506)*(IF('Gastos com Pessoal'!$Y$7:$Y$506&lt;=AH$3,1,0))*OFFSET('Gastos com Pessoal'!$H$6,1,MATCH(4&amp;$B31,'Gastos com Pessoal'!$I$532:$AJ$532&amp;'Gastos com Pessoal'!$I$6:$AJ$6,0),500,1)),0)+_xlfn.IFNA(SUM((AH$3&gt;='Gastos com Pessoal'!$E$7:$E$506)*(AH$3&lt;='Gastos com Pessoal'!$F$7:$F$506)*(IF('Gastos com Pessoal'!$AE$7:$AE$506&lt;=AH$3,1,0))*OFFSET('Gastos com Pessoal'!$H$6,1,MATCH(5&amp;$B31,'Gastos com Pessoal'!$I$532:$AJ$532&amp;'Gastos com Pessoal'!$I$6:$AJ$6,0),500,1)),0)+_xlfn.IFNA(SUM((AH$3&gt;='Gastos com Pessoal'!$E$513:$E$522)*(AH$3&lt;='Gastos com Pessoal'!$F$513:$F$522)*(IF('Gastos com Pessoal'!$G$513:$G$522&lt;=AH$3,1,0))*OFFSET('Gastos com Pessoal'!$H$512,1,MATCH(1&amp;$B31,'Gastos com Pessoal'!$I$532:$AJ$532&amp;'Gastos com Pessoal'!$I$512:$AJ$512,0),10,1)),0)+_xlfn.IFNA(SUM((AH$3&gt;='Gastos com Pessoal'!$E$513:$E$522)*(AH$3&lt;='Gastos com Pessoal'!$F$513:$F$522)*(IF('Gastos com Pessoal'!$M$513:$M$522&lt;=AH$3,1,0))*OFFSET('Gastos com Pessoal'!$H$512,1,MATCH(2&amp;$B31,'Gastos com Pessoal'!$I$532:$AJ$532&amp;'Gastos com Pessoal'!$I$512:$AJ$512,0),10,1)),0)+_xlfn.IFNA(SUM((AH$3&gt;='Gastos com Pessoal'!$E$513:$E$522)*(AH$3&lt;='Gastos com Pessoal'!$F$513:$F$522)*(IF('Gastos com Pessoal'!$S$513:$S$522&lt;=AH$3,1,0))*OFFSET('Gastos com Pessoal'!$H$512,1,MATCH(3&amp;$B31,'Gastos com Pessoal'!$I$532:$AJ$532&amp;'Gastos com Pessoal'!$I$512:$AJ$512,0),10,1)),0)+_xlfn.IFNA(SUM((AH$3&gt;='Gastos com Pessoal'!$E$513:$E$522)*(AH$3&lt;='Gastos com Pessoal'!$F$513:$F$522)*(IF('Gastos com Pessoal'!$Y$513:$Y$522&lt;=AH$3,1,0))*OFFSET('Gastos com Pessoal'!$H$512,1,MATCH(4&amp;$B31,'Gastos com Pessoal'!$I$532:$AJ$532&amp;'Gastos com Pessoal'!$I$512:$AJ$512,0),10,1)),0)+_xlfn.IFNA(SUM((AH$3&gt;='Gastos com Pessoal'!$E$513:$E$522)*(AH$3&lt;='Gastos com Pessoal'!$F$513:$F$522)*(IF('Gastos com Pessoal'!$AE$513:$AE$522&lt;=AH$3,1,0))*OFFSET('Gastos com Pessoal'!$H$512,1,MATCH(5&amp;$B31,'Gastos com Pessoal'!$I$532:$AJ$532&amp;'Gastos com Pessoal'!$I$512:$AJ$512,0),10,1)),0)</f>
        <v>0</v>
      </c>
      <c r="AI31" s="188">
        <f t="array" aca="1" ref="AI31" ca="1">_xlfn.IFNA(SUM((AI$3&gt;='Gastos com Pessoal'!$E$7:$E$506)*(AI$3&lt;='Gastos com Pessoal'!$F$7:$F$506)*OFFSET('Encargos e Benefícios'!$D$5,1,MATCH($B31,'Encargos e Benefícios'!$E$5:$AB$5,0),500,1)),0)+_xlfn.IFNA(SUM((AI$3&gt;='Gastos com Pessoal'!$E$513:$E$522)*(AI$3&lt;='Gastos com Pessoal'!$F$513:$F$522)*OFFSET('Encargos e Benefícios'!$D$511,1,MATCH($B31,'Encargos e Benefícios'!$E$511:$AB$511,0),10,1)),0)+_xlfn.IFNA(SUM((AI$3&gt;='Gastos com Pessoal'!$E$7:$E$506)*(AI$3&lt;='Gastos com Pessoal'!$F$7:$F$506)*(IF('Gastos com Pessoal'!$G$7:$G$506&lt;=AI$3,1,0))*OFFSET('Gastos com Pessoal'!$H$6,1,MATCH(1&amp;$B31,'Gastos com Pessoal'!$I$532:$AJ$532&amp;'Gastos com Pessoal'!$I$6:$AJ$6,0),500,1)),0)+_xlfn.IFNA(SUM((AI$3&gt;='Gastos com Pessoal'!$E$7:$E$506)*(AI$3&lt;='Gastos com Pessoal'!$F$7:$F$506)*(IF('Gastos com Pessoal'!$M$7:$M$506&lt;=AI$3,1,0))*OFFSET('Gastos com Pessoal'!$H$6,1,MATCH(2&amp;$B31,'Gastos com Pessoal'!$I$532:$AJ$532&amp;'Gastos com Pessoal'!$I$6:$AJ$6,0),500,1)),0)+_xlfn.IFNA(SUM((AI$3&gt;='Gastos com Pessoal'!$E$7:$E$506)*(AI$3&lt;='Gastos com Pessoal'!$F$7:$F$506)*(IF('Gastos com Pessoal'!$S$7:$S$506&lt;=AI$3,1,0))*OFFSET('Gastos com Pessoal'!$H$6,1,MATCH(3&amp;$B31,'Gastos com Pessoal'!$I$532:$AJ$532&amp;'Gastos com Pessoal'!$I$6:$AJ$6,0),500,1)),0)+_xlfn.IFNA(SUM((AI$3&gt;='Gastos com Pessoal'!$E$7:$E$506)*(AI$3&lt;='Gastos com Pessoal'!$F$7:$F$506)*(IF('Gastos com Pessoal'!$Y$7:$Y$506&lt;=AI$3,1,0))*OFFSET('Gastos com Pessoal'!$H$6,1,MATCH(4&amp;$B31,'Gastos com Pessoal'!$I$532:$AJ$532&amp;'Gastos com Pessoal'!$I$6:$AJ$6,0),500,1)),0)+_xlfn.IFNA(SUM((AI$3&gt;='Gastos com Pessoal'!$E$7:$E$506)*(AI$3&lt;='Gastos com Pessoal'!$F$7:$F$506)*(IF('Gastos com Pessoal'!$AE$7:$AE$506&lt;=AI$3,1,0))*OFFSET('Gastos com Pessoal'!$H$6,1,MATCH(5&amp;$B31,'Gastos com Pessoal'!$I$532:$AJ$532&amp;'Gastos com Pessoal'!$I$6:$AJ$6,0),500,1)),0)+_xlfn.IFNA(SUM((AI$3&gt;='Gastos com Pessoal'!$E$513:$E$522)*(AI$3&lt;='Gastos com Pessoal'!$F$513:$F$522)*(IF('Gastos com Pessoal'!$G$513:$G$522&lt;=AI$3,1,0))*OFFSET('Gastos com Pessoal'!$H$512,1,MATCH(1&amp;$B31,'Gastos com Pessoal'!$I$532:$AJ$532&amp;'Gastos com Pessoal'!$I$512:$AJ$512,0),10,1)),0)+_xlfn.IFNA(SUM((AI$3&gt;='Gastos com Pessoal'!$E$513:$E$522)*(AI$3&lt;='Gastos com Pessoal'!$F$513:$F$522)*(IF('Gastos com Pessoal'!$M$513:$M$522&lt;=AI$3,1,0))*OFFSET('Gastos com Pessoal'!$H$512,1,MATCH(2&amp;$B31,'Gastos com Pessoal'!$I$532:$AJ$532&amp;'Gastos com Pessoal'!$I$512:$AJ$512,0),10,1)),0)+_xlfn.IFNA(SUM((AI$3&gt;='Gastos com Pessoal'!$E$513:$E$522)*(AI$3&lt;='Gastos com Pessoal'!$F$513:$F$522)*(IF('Gastos com Pessoal'!$S$513:$S$522&lt;=AI$3,1,0))*OFFSET('Gastos com Pessoal'!$H$512,1,MATCH(3&amp;$B31,'Gastos com Pessoal'!$I$532:$AJ$532&amp;'Gastos com Pessoal'!$I$512:$AJ$512,0),10,1)),0)+_xlfn.IFNA(SUM((AI$3&gt;='Gastos com Pessoal'!$E$513:$E$522)*(AI$3&lt;='Gastos com Pessoal'!$F$513:$F$522)*(IF('Gastos com Pessoal'!$Y$513:$Y$522&lt;=AI$3,1,0))*OFFSET('Gastos com Pessoal'!$H$512,1,MATCH(4&amp;$B31,'Gastos com Pessoal'!$I$532:$AJ$532&amp;'Gastos com Pessoal'!$I$512:$AJ$512,0),10,1)),0)+_xlfn.IFNA(SUM((AI$3&gt;='Gastos com Pessoal'!$E$513:$E$522)*(AI$3&lt;='Gastos com Pessoal'!$F$513:$F$522)*(IF('Gastos com Pessoal'!$AE$513:$AE$522&lt;=AI$3,1,0))*OFFSET('Gastos com Pessoal'!$H$512,1,MATCH(5&amp;$B31,'Gastos com Pessoal'!$I$532:$AJ$532&amp;'Gastos com Pessoal'!$I$512:$AJ$512,0),10,1)),0)</f>
        <v>0</v>
      </c>
      <c r="AJ31" s="188">
        <f t="array" aca="1" ref="AJ31" ca="1">_xlfn.IFNA(SUM((AJ$3&gt;='Gastos com Pessoal'!$E$7:$E$506)*(AJ$3&lt;='Gastos com Pessoal'!$F$7:$F$506)*OFFSET('Encargos e Benefícios'!$D$5,1,MATCH($B31,'Encargos e Benefícios'!$E$5:$AB$5,0),500,1)),0)+_xlfn.IFNA(SUM((AJ$3&gt;='Gastos com Pessoal'!$E$513:$E$522)*(AJ$3&lt;='Gastos com Pessoal'!$F$513:$F$522)*OFFSET('Encargos e Benefícios'!$D$511,1,MATCH($B31,'Encargos e Benefícios'!$E$511:$AB$511,0),10,1)),0)+_xlfn.IFNA(SUM((AJ$3&gt;='Gastos com Pessoal'!$E$7:$E$506)*(AJ$3&lt;='Gastos com Pessoal'!$F$7:$F$506)*(IF('Gastos com Pessoal'!$G$7:$G$506&lt;=AJ$3,1,0))*OFFSET('Gastos com Pessoal'!$H$6,1,MATCH(1&amp;$B31,'Gastos com Pessoal'!$I$532:$AJ$532&amp;'Gastos com Pessoal'!$I$6:$AJ$6,0),500,1)),0)+_xlfn.IFNA(SUM((AJ$3&gt;='Gastos com Pessoal'!$E$7:$E$506)*(AJ$3&lt;='Gastos com Pessoal'!$F$7:$F$506)*(IF('Gastos com Pessoal'!$M$7:$M$506&lt;=AJ$3,1,0))*OFFSET('Gastos com Pessoal'!$H$6,1,MATCH(2&amp;$B31,'Gastos com Pessoal'!$I$532:$AJ$532&amp;'Gastos com Pessoal'!$I$6:$AJ$6,0),500,1)),0)+_xlfn.IFNA(SUM((AJ$3&gt;='Gastos com Pessoal'!$E$7:$E$506)*(AJ$3&lt;='Gastos com Pessoal'!$F$7:$F$506)*(IF('Gastos com Pessoal'!$S$7:$S$506&lt;=AJ$3,1,0))*OFFSET('Gastos com Pessoal'!$H$6,1,MATCH(3&amp;$B31,'Gastos com Pessoal'!$I$532:$AJ$532&amp;'Gastos com Pessoal'!$I$6:$AJ$6,0),500,1)),0)+_xlfn.IFNA(SUM((AJ$3&gt;='Gastos com Pessoal'!$E$7:$E$506)*(AJ$3&lt;='Gastos com Pessoal'!$F$7:$F$506)*(IF('Gastos com Pessoal'!$Y$7:$Y$506&lt;=AJ$3,1,0))*OFFSET('Gastos com Pessoal'!$H$6,1,MATCH(4&amp;$B31,'Gastos com Pessoal'!$I$532:$AJ$532&amp;'Gastos com Pessoal'!$I$6:$AJ$6,0),500,1)),0)+_xlfn.IFNA(SUM((AJ$3&gt;='Gastos com Pessoal'!$E$7:$E$506)*(AJ$3&lt;='Gastos com Pessoal'!$F$7:$F$506)*(IF('Gastos com Pessoal'!$AE$7:$AE$506&lt;=AJ$3,1,0))*OFFSET('Gastos com Pessoal'!$H$6,1,MATCH(5&amp;$B31,'Gastos com Pessoal'!$I$532:$AJ$532&amp;'Gastos com Pessoal'!$I$6:$AJ$6,0),500,1)),0)+_xlfn.IFNA(SUM((AJ$3&gt;='Gastos com Pessoal'!$E$513:$E$522)*(AJ$3&lt;='Gastos com Pessoal'!$F$513:$F$522)*(IF('Gastos com Pessoal'!$G$513:$G$522&lt;=AJ$3,1,0))*OFFSET('Gastos com Pessoal'!$H$512,1,MATCH(1&amp;$B31,'Gastos com Pessoal'!$I$532:$AJ$532&amp;'Gastos com Pessoal'!$I$512:$AJ$512,0),10,1)),0)+_xlfn.IFNA(SUM((AJ$3&gt;='Gastos com Pessoal'!$E$513:$E$522)*(AJ$3&lt;='Gastos com Pessoal'!$F$513:$F$522)*(IF('Gastos com Pessoal'!$M$513:$M$522&lt;=AJ$3,1,0))*OFFSET('Gastos com Pessoal'!$H$512,1,MATCH(2&amp;$B31,'Gastos com Pessoal'!$I$532:$AJ$532&amp;'Gastos com Pessoal'!$I$512:$AJ$512,0),10,1)),0)+_xlfn.IFNA(SUM((AJ$3&gt;='Gastos com Pessoal'!$E$513:$E$522)*(AJ$3&lt;='Gastos com Pessoal'!$F$513:$F$522)*(IF('Gastos com Pessoal'!$S$513:$S$522&lt;=AJ$3,1,0))*OFFSET('Gastos com Pessoal'!$H$512,1,MATCH(3&amp;$B31,'Gastos com Pessoal'!$I$532:$AJ$532&amp;'Gastos com Pessoal'!$I$512:$AJ$512,0),10,1)),0)+_xlfn.IFNA(SUM((AJ$3&gt;='Gastos com Pessoal'!$E$513:$E$522)*(AJ$3&lt;='Gastos com Pessoal'!$F$513:$F$522)*(IF('Gastos com Pessoal'!$Y$513:$Y$522&lt;=AJ$3,1,0))*OFFSET('Gastos com Pessoal'!$H$512,1,MATCH(4&amp;$B31,'Gastos com Pessoal'!$I$532:$AJ$532&amp;'Gastos com Pessoal'!$I$512:$AJ$512,0),10,1)),0)+_xlfn.IFNA(SUM((AJ$3&gt;='Gastos com Pessoal'!$E$513:$E$522)*(AJ$3&lt;='Gastos com Pessoal'!$F$513:$F$522)*(IF('Gastos com Pessoal'!$AE$513:$AE$522&lt;=AJ$3,1,0))*OFFSET('Gastos com Pessoal'!$H$512,1,MATCH(5&amp;$B31,'Gastos com Pessoal'!$I$532:$AJ$532&amp;'Gastos com Pessoal'!$I$512:$AJ$512,0),10,1)),0)</f>
        <v>0</v>
      </c>
      <c r="AK31" s="188">
        <f t="array" aca="1" ref="AK31" ca="1">_xlfn.IFNA(SUM((AK$3&gt;='Gastos com Pessoal'!$E$7:$E$506)*(AK$3&lt;='Gastos com Pessoal'!$F$7:$F$506)*OFFSET('Encargos e Benefícios'!$D$5,1,MATCH($B31,'Encargos e Benefícios'!$E$5:$AB$5,0),500,1)),0)+_xlfn.IFNA(SUM((AK$3&gt;='Gastos com Pessoal'!$E$513:$E$522)*(AK$3&lt;='Gastos com Pessoal'!$F$513:$F$522)*OFFSET('Encargos e Benefícios'!$D$511,1,MATCH($B31,'Encargos e Benefícios'!$E$511:$AB$511,0),10,1)),0)+_xlfn.IFNA(SUM((AK$3&gt;='Gastos com Pessoal'!$E$7:$E$506)*(AK$3&lt;='Gastos com Pessoal'!$F$7:$F$506)*(IF('Gastos com Pessoal'!$G$7:$G$506&lt;=AK$3,1,0))*OFFSET('Gastos com Pessoal'!$H$6,1,MATCH(1&amp;$B31,'Gastos com Pessoal'!$I$532:$AJ$532&amp;'Gastos com Pessoal'!$I$6:$AJ$6,0),500,1)),0)+_xlfn.IFNA(SUM((AK$3&gt;='Gastos com Pessoal'!$E$7:$E$506)*(AK$3&lt;='Gastos com Pessoal'!$F$7:$F$506)*(IF('Gastos com Pessoal'!$M$7:$M$506&lt;=AK$3,1,0))*OFFSET('Gastos com Pessoal'!$H$6,1,MATCH(2&amp;$B31,'Gastos com Pessoal'!$I$532:$AJ$532&amp;'Gastos com Pessoal'!$I$6:$AJ$6,0),500,1)),0)+_xlfn.IFNA(SUM((AK$3&gt;='Gastos com Pessoal'!$E$7:$E$506)*(AK$3&lt;='Gastos com Pessoal'!$F$7:$F$506)*(IF('Gastos com Pessoal'!$S$7:$S$506&lt;=AK$3,1,0))*OFFSET('Gastos com Pessoal'!$H$6,1,MATCH(3&amp;$B31,'Gastos com Pessoal'!$I$532:$AJ$532&amp;'Gastos com Pessoal'!$I$6:$AJ$6,0),500,1)),0)+_xlfn.IFNA(SUM((AK$3&gt;='Gastos com Pessoal'!$E$7:$E$506)*(AK$3&lt;='Gastos com Pessoal'!$F$7:$F$506)*(IF('Gastos com Pessoal'!$Y$7:$Y$506&lt;=AK$3,1,0))*OFFSET('Gastos com Pessoal'!$H$6,1,MATCH(4&amp;$B31,'Gastos com Pessoal'!$I$532:$AJ$532&amp;'Gastos com Pessoal'!$I$6:$AJ$6,0),500,1)),0)+_xlfn.IFNA(SUM((AK$3&gt;='Gastos com Pessoal'!$E$7:$E$506)*(AK$3&lt;='Gastos com Pessoal'!$F$7:$F$506)*(IF('Gastos com Pessoal'!$AE$7:$AE$506&lt;=AK$3,1,0))*OFFSET('Gastos com Pessoal'!$H$6,1,MATCH(5&amp;$B31,'Gastos com Pessoal'!$I$532:$AJ$532&amp;'Gastos com Pessoal'!$I$6:$AJ$6,0),500,1)),0)+_xlfn.IFNA(SUM((AK$3&gt;='Gastos com Pessoal'!$E$513:$E$522)*(AK$3&lt;='Gastos com Pessoal'!$F$513:$F$522)*(IF('Gastos com Pessoal'!$G$513:$G$522&lt;=AK$3,1,0))*OFFSET('Gastos com Pessoal'!$H$512,1,MATCH(1&amp;$B31,'Gastos com Pessoal'!$I$532:$AJ$532&amp;'Gastos com Pessoal'!$I$512:$AJ$512,0),10,1)),0)+_xlfn.IFNA(SUM((AK$3&gt;='Gastos com Pessoal'!$E$513:$E$522)*(AK$3&lt;='Gastos com Pessoal'!$F$513:$F$522)*(IF('Gastos com Pessoal'!$M$513:$M$522&lt;=AK$3,1,0))*OFFSET('Gastos com Pessoal'!$H$512,1,MATCH(2&amp;$B31,'Gastos com Pessoal'!$I$532:$AJ$532&amp;'Gastos com Pessoal'!$I$512:$AJ$512,0),10,1)),0)+_xlfn.IFNA(SUM((AK$3&gt;='Gastos com Pessoal'!$E$513:$E$522)*(AK$3&lt;='Gastos com Pessoal'!$F$513:$F$522)*(IF('Gastos com Pessoal'!$S$513:$S$522&lt;=AK$3,1,0))*OFFSET('Gastos com Pessoal'!$H$512,1,MATCH(3&amp;$B31,'Gastos com Pessoal'!$I$532:$AJ$532&amp;'Gastos com Pessoal'!$I$512:$AJ$512,0),10,1)),0)+_xlfn.IFNA(SUM((AK$3&gt;='Gastos com Pessoal'!$E$513:$E$522)*(AK$3&lt;='Gastos com Pessoal'!$F$513:$F$522)*(IF('Gastos com Pessoal'!$Y$513:$Y$522&lt;=AK$3,1,0))*OFFSET('Gastos com Pessoal'!$H$512,1,MATCH(4&amp;$B31,'Gastos com Pessoal'!$I$532:$AJ$532&amp;'Gastos com Pessoal'!$I$512:$AJ$512,0),10,1)),0)+_xlfn.IFNA(SUM((AK$3&gt;='Gastos com Pessoal'!$E$513:$E$522)*(AK$3&lt;='Gastos com Pessoal'!$F$513:$F$522)*(IF('Gastos com Pessoal'!$AE$513:$AE$522&lt;=AK$3,1,0))*OFFSET('Gastos com Pessoal'!$H$512,1,MATCH(5&amp;$B31,'Gastos com Pessoal'!$I$532:$AJ$532&amp;'Gastos com Pessoal'!$I$512:$AJ$512,0),10,1)),0)</f>
        <v>0</v>
      </c>
      <c r="AL31" s="188">
        <f t="array" aca="1" ref="AL31" ca="1">_xlfn.IFNA(SUM((AL$3&gt;='Gastos com Pessoal'!$E$7:$E$506)*(AL$3&lt;='Gastos com Pessoal'!$F$7:$F$506)*OFFSET('Encargos e Benefícios'!$D$5,1,MATCH($B31,'Encargos e Benefícios'!$E$5:$AB$5,0),500,1)),0)+_xlfn.IFNA(SUM((AL$3&gt;='Gastos com Pessoal'!$E$513:$E$522)*(AL$3&lt;='Gastos com Pessoal'!$F$513:$F$522)*OFFSET('Encargos e Benefícios'!$D$511,1,MATCH($B31,'Encargos e Benefícios'!$E$511:$AB$511,0),10,1)),0)+_xlfn.IFNA(SUM((AL$3&gt;='Gastos com Pessoal'!$E$7:$E$506)*(AL$3&lt;='Gastos com Pessoal'!$F$7:$F$506)*(IF('Gastos com Pessoal'!$G$7:$G$506&lt;=AL$3,1,0))*OFFSET('Gastos com Pessoal'!$H$6,1,MATCH(1&amp;$B31,'Gastos com Pessoal'!$I$532:$AJ$532&amp;'Gastos com Pessoal'!$I$6:$AJ$6,0),500,1)),0)+_xlfn.IFNA(SUM((AL$3&gt;='Gastos com Pessoal'!$E$7:$E$506)*(AL$3&lt;='Gastos com Pessoal'!$F$7:$F$506)*(IF('Gastos com Pessoal'!$M$7:$M$506&lt;=AL$3,1,0))*OFFSET('Gastos com Pessoal'!$H$6,1,MATCH(2&amp;$B31,'Gastos com Pessoal'!$I$532:$AJ$532&amp;'Gastos com Pessoal'!$I$6:$AJ$6,0),500,1)),0)+_xlfn.IFNA(SUM((AL$3&gt;='Gastos com Pessoal'!$E$7:$E$506)*(AL$3&lt;='Gastos com Pessoal'!$F$7:$F$506)*(IF('Gastos com Pessoal'!$S$7:$S$506&lt;=AL$3,1,0))*OFFSET('Gastos com Pessoal'!$H$6,1,MATCH(3&amp;$B31,'Gastos com Pessoal'!$I$532:$AJ$532&amp;'Gastos com Pessoal'!$I$6:$AJ$6,0),500,1)),0)+_xlfn.IFNA(SUM((AL$3&gt;='Gastos com Pessoal'!$E$7:$E$506)*(AL$3&lt;='Gastos com Pessoal'!$F$7:$F$506)*(IF('Gastos com Pessoal'!$Y$7:$Y$506&lt;=AL$3,1,0))*OFFSET('Gastos com Pessoal'!$H$6,1,MATCH(4&amp;$B31,'Gastos com Pessoal'!$I$532:$AJ$532&amp;'Gastos com Pessoal'!$I$6:$AJ$6,0),500,1)),0)+_xlfn.IFNA(SUM((AL$3&gt;='Gastos com Pessoal'!$E$7:$E$506)*(AL$3&lt;='Gastos com Pessoal'!$F$7:$F$506)*(IF('Gastos com Pessoal'!$AE$7:$AE$506&lt;=AL$3,1,0))*OFFSET('Gastos com Pessoal'!$H$6,1,MATCH(5&amp;$B31,'Gastos com Pessoal'!$I$532:$AJ$532&amp;'Gastos com Pessoal'!$I$6:$AJ$6,0),500,1)),0)+_xlfn.IFNA(SUM((AL$3&gt;='Gastos com Pessoal'!$E$513:$E$522)*(AL$3&lt;='Gastos com Pessoal'!$F$513:$F$522)*(IF('Gastos com Pessoal'!$G$513:$G$522&lt;=AL$3,1,0))*OFFSET('Gastos com Pessoal'!$H$512,1,MATCH(1&amp;$B31,'Gastos com Pessoal'!$I$532:$AJ$532&amp;'Gastos com Pessoal'!$I$512:$AJ$512,0),10,1)),0)+_xlfn.IFNA(SUM((AL$3&gt;='Gastos com Pessoal'!$E$513:$E$522)*(AL$3&lt;='Gastos com Pessoal'!$F$513:$F$522)*(IF('Gastos com Pessoal'!$M$513:$M$522&lt;=AL$3,1,0))*OFFSET('Gastos com Pessoal'!$H$512,1,MATCH(2&amp;$B31,'Gastos com Pessoal'!$I$532:$AJ$532&amp;'Gastos com Pessoal'!$I$512:$AJ$512,0),10,1)),0)+_xlfn.IFNA(SUM((AL$3&gt;='Gastos com Pessoal'!$E$513:$E$522)*(AL$3&lt;='Gastos com Pessoal'!$F$513:$F$522)*(IF('Gastos com Pessoal'!$S$513:$S$522&lt;=AL$3,1,0))*OFFSET('Gastos com Pessoal'!$H$512,1,MATCH(3&amp;$B31,'Gastos com Pessoal'!$I$532:$AJ$532&amp;'Gastos com Pessoal'!$I$512:$AJ$512,0),10,1)),0)+_xlfn.IFNA(SUM((AL$3&gt;='Gastos com Pessoal'!$E$513:$E$522)*(AL$3&lt;='Gastos com Pessoal'!$F$513:$F$522)*(IF('Gastos com Pessoal'!$Y$513:$Y$522&lt;=AL$3,1,0))*OFFSET('Gastos com Pessoal'!$H$512,1,MATCH(4&amp;$B31,'Gastos com Pessoal'!$I$532:$AJ$532&amp;'Gastos com Pessoal'!$I$512:$AJ$512,0),10,1)),0)+_xlfn.IFNA(SUM((AL$3&gt;='Gastos com Pessoal'!$E$513:$E$522)*(AL$3&lt;='Gastos com Pessoal'!$F$513:$F$522)*(IF('Gastos com Pessoal'!$AE$513:$AE$522&lt;=AL$3,1,0))*OFFSET('Gastos com Pessoal'!$H$512,1,MATCH(5&amp;$B31,'Gastos com Pessoal'!$I$532:$AJ$532&amp;'Gastos com Pessoal'!$I$512:$AJ$512,0),10,1)),0)</f>
        <v>0</v>
      </c>
      <c r="AM31" s="188">
        <f t="array" aca="1" ref="AM31" ca="1">_xlfn.IFNA(SUM((AM$3&gt;='Gastos com Pessoal'!$E$7:$E$506)*(AM$3&lt;='Gastos com Pessoal'!$F$7:$F$506)*OFFSET('Encargos e Benefícios'!$D$5,1,MATCH($B31,'Encargos e Benefícios'!$E$5:$AB$5,0),500,1)),0)+_xlfn.IFNA(SUM((AM$3&gt;='Gastos com Pessoal'!$E$513:$E$522)*(AM$3&lt;='Gastos com Pessoal'!$F$513:$F$522)*OFFSET('Encargos e Benefícios'!$D$511,1,MATCH($B31,'Encargos e Benefícios'!$E$511:$AB$511,0),10,1)),0)+_xlfn.IFNA(SUM((AM$3&gt;='Gastos com Pessoal'!$E$7:$E$506)*(AM$3&lt;='Gastos com Pessoal'!$F$7:$F$506)*(IF('Gastos com Pessoal'!$G$7:$G$506&lt;=AM$3,1,0))*OFFSET('Gastos com Pessoal'!$H$6,1,MATCH(1&amp;$B31,'Gastos com Pessoal'!$I$532:$AJ$532&amp;'Gastos com Pessoal'!$I$6:$AJ$6,0),500,1)),0)+_xlfn.IFNA(SUM((AM$3&gt;='Gastos com Pessoal'!$E$7:$E$506)*(AM$3&lt;='Gastos com Pessoal'!$F$7:$F$506)*(IF('Gastos com Pessoal'!$M$7:$M$506&lt;=AM$3,1,0))*OFFSET('Gastos com Pessoal'!$H$6,1,MATCH(2&amp;$B31,'Gastos com Pessoal'!$I$532:$AJ$532&amp;'Gastos com Pessoal'!$I$6:$AJ$6,0),500,1)),0)+_xlfn.IFNA(SUM((AM$3&gt;='Gastos com Pessoal'!$E$7:$E$506)*(AM$3&lt;='Gastos com Pessoal'!$F$7:$F$506)*(IF('Gastos com Pessoal'!$S$7:$S$506&lt;=AM$3,1,0))*OFFSET('Gastos com Pessoal'!$H$6,1,MATCH(3&amp;$B31,'Gastos com Pessoal'!$I$532:$AJ$532&amp;'Gastos com Pessoal'!$I$6:$AJ$6,0),500,1)),0)+_xlfn.IFNA(SUM((AM$3&gt;='Gastos com Pessoal'!$E$7:$E$506)*(AM$3&lt;='Gastos com Pessoal'!$F$7:$F$506)*(IF('Gastos com Pessoal'!$Y$7:$Y$506&lt;=AM$3,1,0))*OFFSET('Gastos com Pessoal'!$H$6,1,MATCH(4&amp;$B31,'Gastos com Pessoal'!$I$532:$AJ$532&amp;'Gastos com Pessoal'!$I$6:$AJ$6,0),500,1)),0)+_xlfn.IFNA(SUM((AM$3&gt;='Gastos com Pessoal'!$E$7:$E$506)*(AM$3&lt;='Gastos com Pessoal'!$F$7:$F$506)*(IF('Gastos com Pessoal'!$AE$7:$AE$506&lt;=AM$3,1,0))*OFFSET('Gastos com Pessoal'!$H$6,1,MATCH(5&amp;$B31,'Gastos com Pessoal'!$I$532:$AJ$532&amp;'Gastos com Pessoal'!$I$6:$AJ$6,0),500,1)),0)+_xlfn.IFNA(SUM((AM$3&gt;='Gastos com Pessoal'!$E$513:$E$522)*(AM$3&lt;='Gastos com Pessoal'!$F$513:$F$522)*(IF('Gastos com Pessoal'!$G$513:$G$522&lt;=AM$3,1,0))*OFFSET('Gastos com Pessoal'!$H$512,1,MATCH(1&amp;$B31,'Gastos com Pessoal'!$I$532:$AJ$532&amp;'Gastos com Pessoal'!$I$512:$AJ$512,0),10,1)),0)+_xlfn.IFNA(SUM((AM$3&gt;='Gastos com Pessoal'!$E$513:$E$522)*(AM$3&lt;='Gastos com Pessoal'!$F$513:$F$522)*(IF('Gastos com Pessoal'!$M$513:$M$522&lt;=AM$3,1,0))*OFFSET('Gastos com Pessoal'!$H$512,1,MATCH(2&amp;$B31,'Gastos com Pessoal'!$I$532:$AJ$532&amp;'Gastos com Pessoal'!$I$512:$AJ$512,0),10,1)),0)+_xlfn.IFNA(SUM((AM$3&gt;='Gastos com Pessoal'!$E$513:$E$522)*(AM$3&lt;='Gastos com Pessoal'!$F$513:$F$522)*(IF('Gastos com Pessoal'!$S$513:$S$522&lt;=AM$3,1,0))*OFFSET('Gastos com Pessoal'!$H$512,1,MATCH(3&amp;$B31,'Gastos com Pessoal'!$I$532:$AJ$532&amp;'Gastos com Pessoal'!$I$512:$AJ$512,0),10,1)),0)+_xlfn.IFNA(SUM((AM$3&gt;='Gastos com Pessoal'!$E$513:$E$522)*(AM$3&lt;='Gastos com Pessoal'!$F$513:$F$522)*(IF('Gastos com Pessoal'!$Y$513:$Y$522&lt;=AM$3,1,0))*OFFSET('Gastos com Pessoal'!$H$512,1,MATCH(4&amp;$B31,'Gastos com Pessoal'!$I$532:$AJ$532&amp;'Gastos com Pessoal'!$I$512:$AJ$512,0),10,1)),0)+_xlfn.IFNA(SUM((AM$3&gt;='Gastos com Pessoal'!$E$513:$E$522)*(AM$3&lt;='Gastos com Pessoal'!$F$513:$F$522)*(IF('Gastos com Pessoal'!$AE$513:$AE$522&lt;=AM$3,1,0))*OFFSET('Gastos com Pessoal'!$H$512,1,MATCH(5&amp;$B31,'Gastos com Pessoal'!$I$532:$AJ$532&amp;'Gastos com Pessoal'!$I$512:$AJ$512,0),10,1)),0)</f>
        <v>0</v>
      </c>
      <c r="AN31" s="188">
        <f t="array" aca="1" ref="AN31" ca="1">_xlfn.IFNA(SUM((AN$3&gt;='Gastos com Pessoal'!$E$7:$E$506)*(AN$3&lt;='Gastos com Pessoal'!$F$7:$F$506)*OFFSET('Encargos e Benefícios'!$D$5,1,MATCH($B31,'Encargos e Benefícios'!$E$5:$AB$5,0),500,1)),0)+_xlfn.IFNA(SUM((AN$3&gt;='Gastos com Pessoal'!$E$513:$E$522)*(AN$3&lt;='Gastos com Pessoal'!$F$513:$F$522)*OFFSET('Encargos e Benefícios'!$D$511,1,MATCH($B31,'Encargos e Benefícios'!$E$511:$AB$511,0),10,1)),0)+_xlfn.IFNA(SUM((AN$3&gt;='Gastos com Pessoal'!$E$7:$E$506)*(AN$3&lt;='Gastos com Pessoal'!$F$7:$F$506)*(IF('Gastos com Pessoal'!$G$7:$G$506&lt;=AN$3,1,0))*OFFSET('Gastos com Pessoal'!$H$6,1,MATCH(1&amp;$B31,'Gastos com Pessoal'!$I$532:$AJ$532&amp;'Gastos com Pessoal'!$I$6:$AJ$6,0),500,1)),0)+_xlfn.IFNA(SUM((AN$3&gt;='Gastos com Pessoal'!$E$7:$E$506)*(AN$3&lt;='Gastos com Pessoal'!$F$7:$F$506)*(IF('Gastos com Pessoal'!$M$7:$M$506&lt;=AN$3,1,0))*OFFSET('Gastos com Pessoal'!$H$6,1,MATCH(2&amp;$B31,'Gastos com Pessoal'!$I$532:$AJ$532&amp;'Gastos com Pessoal'!$I$6:$AJ$6,0),500,1)),0)+_xlfn.IFNA(SUM((AN$3&gt;='Gastos com Pessoal'!$E$7:$E$506)*(AN$3&lt;='Gastos com Pessoal'!$F$7:$F$506)*(IF('Gastos com Pessoal'!$S$7:$S$506&lt;=AN$3,1,0))*OFFSET('Gastos com Pessoal'!$H$6,1,MATCH(3&amp;$B31,'Gastos com Pessoal'!$I$532:$AJ$532&amp;'Gastos com Pessoal'!$I$6:$AJ$6,0),500,1)),0)+_xlfn.IFNA(SUM((AN$3&gt;='Gastos com Pessoal'!$E$7:$E$506)*(AN$3&lt;='Gastos com Pessoal'!$F$7:$F$506)*(IF('Gastos com Pessoal'!$Y$7:$Y$506&lt;=AN$3,1,0))*OFFSET('Gastos com Pessoal'!$H$6,1,MATCH(4&amp;$B31,'Gastos com Pessoal'!$I$532:$AJ$532&amp;'Gastos com Pessoal'!$I$6:$AJ$6,0),500,1)),0)+_xlfn.IFNA(SUM((AN$3&gt;='Gastos com Pessoal'!$E$7:$E$506)*(AN$3&lt;='Gastos com Pessoal'!$F$7:$F$506)*(IF('Gastos com Pessoal'!$AE$7:$AE$506&lt;=AN$3,1,0))*OFFSET('Gastos com Pessoal'!$H$6,1,MATCH(5&amp;$B31,'Gastos com Pessoal'!$I$532:$AJ$532&amp;'Gastos com Pessoal'!$I$6:$AJ$6,0),500,1)),0)+_xlfn.IFNA(SUM((AN$3&gt;='Gastos com Pessoal'!$E$513:$E$522)*(AN$3&lt;='Gastos com Pessoal'!$F$513:$F$522)*(IF('Gastos com Pessoal'!$G$513:$G$522&lt;=AN$3,1,0))*OFFSET('Gastos com Pessoal'!$H$512,1,MATCH(1&amp;$B31,'Gastos com Pessoal'!$I$532:$AJ$532&amp;'Gastos com Pessoal'!$I$512:$AJ$512,0),10,1)),0)+_xlfn.IFNA(SUM((AN$3&gt;='Gastos com Pessoal'!$E$513:$E$522)*(AN$3&lt;='Gastos com Pessoal'!$F$513:$F$522)*(IF('Gastos com Pessoal'!$M$513:$M$522&lt;=AN$3,1,0))*OFFSET('Gastos com Pessoal'!$H$512,1,MATCH(2&amp;$B31,'Gastos com Pessoal'!$I$532:$AJ$532&amp;'Gastos com Pessoal'!$I$512:$AJ$512,0),10,1)),0)+_xlfn.IFNA(SUM((AN$3&gt;='Gastos com Pessoal'!$E$513:$E$522)*(AN$3&lt;='Gastos com Pessoal'!$F$513:$F$522)*(IF('Gastos com Pessoal'!$S$513:$S$522&lt;=AN$3,1,0))*OFFSET('Gastos com Pessoal'!$H$512,1,MATCH(3&amp;$B31,'Gastos com Pessoal'!$I$532:$AJ$532&amp;'Gastos com Pessoal'!$I$512:$AJ$512,0),10,1)),0)+_xlfn.IFNA(SUM((AN$3&gt;='Gastos com Pessoal'!$E$513:$E$522)*(AN$3&lt;='Gastos com Pessoal'!$F$513:$F$522)*(IF('Gastos com Pessoal'!$Y$513:$Y$522&lt;=AN$3,1,0))*OFFSET('Gastos com Pessoal'!$H$512,1,MATCH(4&amp;$B31,'Gastos com Pessoal'!$I$532:$AJ$532&amp;'Gastos com Pessoal'!$I$512:$AJ$512,0),10,1)),0)+_xlfn.IFNA(SUM((AN$3&gt;='Gastos com Pessoal'!$E$513:$E$522)*(AN$3&lt;='Gastos com Pessoal'!$F$513:$F$522)*(IF('Gastos com Pessoal'!$AE$513:$AE$522&lt;=AN$3,1,0))*OFFSET('Gastos com Pessoal'!$H$512,1,MATCH(5&amp;$B31,'Gastos com Pessoal'!$I$532:$AJ$532&amp;'Gastos com Pessoal'!$I$512:$AJ$512,0),10,1)),0)</f>
        <v>0</v>
      </c>
      <c r="AO31" s="188">
        <f t="array" aca="1" ref="AO31" ca="1">_xlfn.IFNA(SUM((AO$3&gt;='Gastos com Pessoal'!$E$7:$E$506)*(AO$3&lt;='Gastos com Pessoal'!$F$7:$F$506)*OFFSET('Encargos e Benefícios'!$D$5,1,MATCH($B31,'Encargos e Benefícios'!$E$5:$AB$5,0),500,1)),0)+_xlfn.IFNA(SUM((AO$3&gt;='Gastos com Pessoal'!$E$513:$E$522)*(AO$3&lt;='Gastos com Pessoal'!$F$513:$F$522)*OFFSET('Encargos e Benefícios'!$D$511,1,MATCH($B31,'Encargos e Benefícios'!$E$511:$AB$511,0),10,1)),0)+_xlfn.IFNA(SUM((AO$3&gt;='Gastos com Pessoal'!$E$7:$E$506)*(AO$3&lt;='Gastos com Pessoal'!$F$7:$F$506)*(IF('Gastos com Pessoal'!$G$7:$G$506&lt;=AO$3,1,0))*OFFSET('Gastos com Pessoal'!$H$6,1,MATCH(1&amp;$B31,'Gastos com Pessoal'!$I$532:$AJ$532&amp;'Gastos com Pessoal'!$I$6:$AJ$6,0),500,1)),0)+_xlfn.IFNA(SUM((AO$3&gt;='Gastos com Pessoal'!$E$7:$E$506)*(AO$3&lt;='Gastos com Pessoal'!$F$7:$F$506)*(IF('Gastos com Pessoal'!$M$7:$M$506&lt;=AO$3,1,0))*OFFSET('Gastos com Pessoal'!$H$6,1,MATCH(2&amp;$B31,'Gastos com Pessoal'!$I$532:$AJ$532&amp;'Gastos com Pessoal'!$I$6:$AJ$6,0),500,1)),0)+_xlfn.IFNA(SUM((AO$3&gt;='Gastos com Pessoal'!$E$7:$E$506)*(AO$3&lt;='Gastos com Pessoal'!$F$7:$F$506)*(IF('Gastos com Pessoal'!$S$7:$S$506&lt;=AO$3,1,0))*OFFSET('Gastos com Pessoal'!$H$6,1,MATCH(3&amp;$B31,'Gastos com Pessoal'!$I$532:$AJ$532&amp;'Gastos com Pessoal'!$I$6:$AJ$6,0),500,1)),0)+_xlfn.IFNA(SUM((AO$3&gt;='Gastos com Pessoal'!$E$7:$E$506)*(AO$3&lt;='Gastos com Pessoal'!$F$7:$F$506)*(IF('Gastos com Pessoal'!$Y$7:$Y$506&lt;=AO$3,1,0))*OFFSET('Gastos com Pessoal'!$H$6,1,MATCH(4&amp;$B31,'Gastos com Pessoal'!$I$532:$AJ$532&amp;'Gastos com Pessoal'!$I$6:$AJ$6,0),500,1)),0)+_xlfn.IFNA(SUM((AO$3&gt;='Gastos com Pessoal'!$E$7:$E$506)*(AO$3&lt;='Gastos com Pessoal'!$F$7:$F$506)*(IF('Gastos com Pessoal'!$AE$7:$AE$506&lt;=AO$3,1,0))*OFFSET('Gastos com Pessoal'!$H$6,1,MATCH(5&amp;$B31,'Gastos com Pessoal'!$I$532:$AJ$532&amp;'Gastos com Pessoal'!$I$6:$AJ$6,0),500,1)),0)+_xlfn.IFNA(SUM((AO$3&gt;='Gastos com Pessoal'!$E$513:$E$522)*(AO$3&lt;='Gastos com Pessoal'!$F$513:$F$522)*(IF('Gastos com Pessoal'!$G$513:$G$522&lt;=AO$3,1,0))*OFFSET('Gastos com Pessoal'!$H$512,1,MATCH(1&amp;$B31,'Gastos com Pessoal'!$I$532:$AJ$532&amp;'Gastos com Pessoal'!$I$512:$AJ$512,0),10,1)),0)+_xlfn.IFNA(SUM((AO$3&gt;='Gastos com Pessoal'!$E$513:$E$522)*(AO$3&lt;='Gastos com Pessoal'!$F$513:$F$522)*(IF('Gastos com Pessoal'!$M$513:$M$522&lt;=AO$3,1,0))*OFFSET('Gastos com Pessoal'!$H$512,1,MATCH(2&amp;$B31,'Gastos com Pessoal'!$I$532:$AJ$532&amp;'Gastos com Pessoal'!$I$512:$AJ$512,0),10,1)),0)+_xlfn.IFNA(SUM((AO$3&gt;='Gastos com Pessoal'!$E$513:$E$522)*(AO$3&lt;='Gastos com Pessoal'!$F$513:$F$522)*(IF('Gastos com Pessoal'!$S$513:$S$522&lt;=AO$3,1,0))*OFFSET('Gastos com Pessoal'!$H$512,1,MATCH(3&amp;$B31,'Gastos com Pessoal'!$I$532:$AJ$532&amp;'Gastos com Pessoal'!$I$512:$AJ$512,0),10,1)),0)+_xlfn.IFNA(SUM((AO$3&gt;='Gastos com Pessoal'!$E$513:$E$522)*(AO$3&lt;='Gastos com Pessoal'!$F$513:$F$522)*(IF('Gastos com Pessoal'!$Y$513:$Y$522&lt;=AO$3,1,0))*OFFSET('Gastos com Pessoal'!$H$512,1,MATCH(4&amp;$B31,'Gastos com Pessoal'!$I$532:$AJ$532&amp;'Gastos com Pessoal'!$I$512:$AJ$512,0),10,1)),0)+_xlfn.IFNA(SUM((AO$3&gt;='Gastos com Pessoal'!$E$513:$E$522)*(AO$3&lt;='Gastos com Pessoal'!$F$513:$F$522)*(IF('Gastos com Pessoal'!$AE$513:$AE$522&lt;=AO$3,1,0))*OFFSET('Gastos com Pessoal'!$H$512,1,MATCH(5&amp;$B31,'Gastos com Pessoal'!$I$532:$AJ$532&amp;'Gastos com Pessoal'!$I$512:$AJ$512,0),10,1)),0)</f>
        <v>0</v>
      </c>
      <c r="AP31" s="188">
        <f t="array" aca="1" ref="AP31" ca="1">_xlfn.IFNA(SUM((AP$3&gt;='Gastos com Pessoal'!$E$7:$E$506)*(AP$3&lt;='Gastos com Pessoal'!$F$7:$F$506)*OFFSET('Encargos e Benefícios'!$D$5,1,MATCH($B31,'Encargos e Benefícios'!$E$5:$AB$5,0),500,1)),0)+_xlfn.IFNA(SUM((AP$3&gt;='Gastos com Pessoal'!$E$513:$E$522)*(AP$3&lt;='Gastos com Pessoal'!$F$513:$F$522)*OFFSET('Encargos e Benefícios'!$D$511,1,MATCH($B31,'Encargos e Benefícios'!$E$511:$AB$511,0),10,1)),0)+_xlfn.IFNA(SUM((AP$3&gt;='Gastos com Pessoal'!$E$7:$E$506)*(AP$3&lt;='Gastos com Pessoal'!$F$7:$F$506)*(IF('Gastos com Pessoal'!$G$7:$G$506&lt;=AP$3,1,0))*OFFSET('Gastos com Pessoal'!$H$6,1,MATCH(1&amp;$B31,'Gastos com Pessoal'!$I$532:$AJ$532&amp;'Gastos com Pessoal'!$I$6:$AJ$6,0),500,1)),0)+_xlfn.IFNA(SUM((AP$3&gt;='Gastos com Pessoal'!$E$7:$E$506)*(AP$3&lt;='Gastos com Pessoal'!$F$7:$F$506)*(IF('Gastos com Pessoal'!$M$7:$M$506&lt;=AP$3,1,0))*OFFSET('Gastos com Pessoal'!$H$6,1,MATCH(2&amp;$B31,'Gastos com Pessoal'!$I$532:$AJ$532&amp;'Gastos com Pessoal'!$I$6:$AJ$6,0),500,1)),0)+_xlfn.IFNA(SUM((AP$3&gt;='Gastos com Pessoal'!$E$7:$E$506)*(AP$3&lt;='Gastos com Pessoal'!$F$7:$F$506)*(IF('Gastos com Pessoal'!$S$7:$S$506&lt;=AP$3,1,0))*OFFSET('Gastos com Pessoal'!$H$6,1,MATCH(3&amp;$B31,'Gastos com Pessoal'!$I$532:$AJ$532&amp;'Gastos com Pessoal'!$I$6:$AJ$6,0),500,1)),0)+_xlfn.IFNA(SUM((AP$3&gt;='Gastos com Pessoal'!$E$7:$E$506)*(AP$3&lt;='Gastos com Pessoal'!$F$7:$F$506)*(IF('Gastos com Pessoal'!$Y$7:$Y$506&lt;=AP$3,1,0))*OFFSET('Gastos com Pessoal'!$H$6,1,MATCH(4&amp;$B31,'Gastos com Pessoal'!$I$532:$AJ$532&amp;'Gastos com Pessoal'!$I$6:$AJ$6,0),500,1)),0)+_xlfn.IFNA(SUM((AP$3&gt;='Gastos com Pessoal'!$E$7:$E$506)*(AP$3&lt;='Gastos com Pessoal'!$F$7:$F$506)*(IF('Gastos com Pessoal'!$AE$7:$AE$506&lt;=AP$3,1,0))*OFFSET('Gastos com Pessoal'!$H$6,1,MATCH(5&amp;$B31,'Gastos com Pessoal'!$I$532:$AJ$532&amp;'Gastos com Pessoal'!$I$6:$AJ$6,0),500,1)),0)+_xlfn.IFNA(SUM((AP$3&gt;='Gastos com Pessoal'!$E$513:$E$522)*(AP$3&lt;='Gastos com Pessoal'!$F$513:$F$522)*(IF('Gastos com Pessoal'!$G$513:$G$522&lt;=AP$3,1,0))*OFFSET('Gastos com Pessoal'!$H$512,1,MATCH(1&amp;$B31,'Gastos com Pessoal'!$I$532:$AJ$532&amp;'Gastos com Pessoal'!$I$512:$AJ$512,0),10,1)),0)+_xlfn.IFNA(SUM((AP$3&gt;='Gastos com Pessoal'!$E$513:$E$522)*(AP$3&lt;='Gastos com Pessoal'!$F$513:$F$522)*(IF('Gastos com Pessoal'!$M$513:$M$522&lt;=AP$3,1,0))*OFFSET('Gastos com Pessoal'!$H$512,1,MATCH(2&amp;$B31,'Gastos com Pessoal'!$I$532:$AJ$532&amp;'Gastos com Pessoal'!$I$512:$AJ$512,0),10,1)),0)+_xlfn.IFNA(SUM((AP$3&gt;='Gastos com Pessoal'!$E$513:$E$522)*(AP$3&lt;='Gastos com Pessoal'!$F$513:$F$522)*(IF('Gastos com Pessoal'!$S$513:$S$522&lt;=AP$3,1,0))*OFFSET('Gastos com Pessoal'!$H$512,1,MATCH(3&amp;$B31,'Gastos com Pessoal'!$I$532:$AJ$532&amp;'Gastos com Pessoal'!$I$512:$AJ$512,0),10,1)),0)+_xlfn.IFNA(SUM((AP$3&gt;='Gastos com Pessoal'!$E$513:$E$522)*(AP$3&lt;='Gastos com Pessoal'!$F$513:$F$522)*(IF('Gastos com Pessoal'!$Y$513:$Y$522&lt;=AP$3,1,0))*OFFSET('Gastos com Pessoal'!$H$512,1,MATCH(4&amp;$B31,'Gastos com Pessoal'!$I$532:$AJ$532&amp;'Gastos com Pessoal'!$I$512:$AJ$512,0),10,1)),0)+_xlfn.IFNA(SUM((AP$3&gt;='Gastos com Pessoal'!$E$513:$E$522)*(AP$3&lt;='Gastos com Pessoal'!$F$513:$F$522)*(IF('Gastos com Pessoal'!$AE$513:$AE$522&lt;=AP$3,1,0))*OFFSET('Gastos com Pessoal'!$H$512,1,MATCH(5&amp;$B31,'Gastos com Pessoal'!$I$532:$AJ$532&amp;'Gastos com Pessoal'!$I$512:$AJ$512,0),10,1)),0)</f>
        <v>0</v>
      </c>
      <c r="AQ31" s="188">
        <f t="array" aca="1" ref="AQ31" ca="1">_xlfn.IFNA(SUM((AQ$3&gt;='Gastos com Pessoal'!$E$7:$E$506)*(AQ$3&lt;='Gastos com Pessoal'!$F$7:$F$506)*OFFSET('Encargos e Benefícios'!$D$5,1,MATCH($B31,'Encargos e Benefícios'!$E$5:$AB$5,0),500,1)),0)+_xlfn.IFNA(SUM((AQ$3&gt;='Gastos com Pessoal'!$E$513:$E$522)*(AQ$3&lt;='Gastos com Pessoal'!$F$513:$F$522)*OFFSET('Encargos e Benefícios'!$D$511,1,MATCH($B31,'Encargos e Benefícios'!$E$511:$AB$511,0),10,1)),0)+_xlfn.IFNA(SUM((AQ$3&gt;='Gastos com Pessoal'!$E$7:$E$506)*(AQ$3&lt;='Gastos com Pessoal'!$F$7:$F$506)*(IF('Gastos com Pessoal'!$G$7:$G$506&lt;=AQ$3,1,0))*OFFSET('Gastos com Pessoal'!$H$6,1,MATCH(1&amp;$B31,'Gastos com Pessoal'!$I$532:$AJ$532&amp;'Gastos com Pessoal'!$I$6:$AJ$6,0),500,1)),0)+_xlfn.IFNA(SUM((AQ$3&gt;='Gastos com Pessoal'!$E$7:$E$506)*(AQ$3&lt;='Gastos com Pessoal'!$F$7:$F$506)*(IF('Gastos com Pessoal'!$M$7:$M$506&lt;=AQ$3,1,0))*OFFSET('Gastos com Pessoal'!$H$6,1,MATCH(2&amp;$B31,'Gastos com Pessoal'!$I$532:$AJ$532&amp;'Gastos com Pessoal'!$I$6:$AJ$6,0),500,1)),0)+_xlfn.IFNA(SUM((AQ$3&gt;='Gastos com Pessoal'!$E$7:$E$506)*(AQ$3&lt;='Gastos com Pessoal'!$F$7:$F$506)*(IF('Gastos com Pessoal'!$S$7:$S$506&lt;=AQ$3,1,0))*OFFSET('Gastos com Pessoal'!$H$6,1,MATCH(3&amp;$B31,'Gastos com Pessoal'!$I$532:$AJ$532&amp;'Gastos com Pessoal'!$I$6:$AJ$6,0),500,1)),0)+_xlfn.IFNA(SUM((AQ$3&gt;='Gastos com Pessoal'!$E$7:$E$506)*(AQ$3&lt;='Gastos com Pessoal'!$F$7:$F$506)*(IF('Gastos com Pessoal'!$Y$7:$Y$506&lt;=AQ$3,1,0))*OFFSET('Gastos com Pessoal'!$H$6,1,MATCH(4&amp;$B31,'Gastos com Pessoal'!$I$532:$AJ$532&amp;'Gastos com Pessoal'!$I$6:$AJ$6,0),500,1)),0)+_xlfn.IFNA(SUM((AQ$3&gt;='Gastos com Pessoal'!$E$7:$E$506)*(AQ$3&lt;='Gastos com Pessoal'!$F$7:$F$506)*(IF('Gastos com Pessoal'!$AE$7:$AE$506&lt;=AQ$3,1,0))*OFFSET('Gastos com Pessoal'!$H$6,1,MATCH(5&amp;$B31,'Gastos com Pessoal'!$I$532:$AJ$532&amp;'Gastos com Pessoal'!$I$6:$AJ$6,0),500,1)),0)+_xlfn.IFNA(SUM((AQ$3&gt;='Gastos com Pessoal'!$E$513:$E$522)*(AQ$3&lt;='Gastos com Pessoal'!$F$513:$F$522)*(IF('Gastos com Pessoal'!$G$513:$G$522&lt;=AQ$3,1,0))*OFFSET('Gastos com Pessoal'!$H$512,1,MATCH(1&amp;$B31,'Gastos com Pessoal'!$I$532:$AJ$532&amp;'Gastos com Pessoal'!$I$512:$AJ$512,0),10,1)),0)+_xlfn.IFNA(SUM((AQ$3&gt;='Gastos com Pessoal'!$E$513:$E$522)*(AQ$3&lt;='Gastos com Pessoal'!$F$513:$F$522)*(IF('Gastos com Pessoal'!$M$513:$M$522&lt;=AQ$3,1,0))*OFFSET('Gastos com Pessoal'!$H$512,1,MATCH(2&amp;$B31,'Gastos com Pessoal'!$I$532:$AJ$532&amp;'Gastos com Pessoal'!$I$512:$AJ$512,0),10,1)),0)+_xlfn.IFNA(SUM((AQ$3&gt;='Gastos com Pessoal'!$E$513:$E$522)*(AQ$3&lt;='Gastos com Pessoal'!$F$513:$F$522)*(IF('Gastos com Pessoal'!$S$513:$S$522&lt;=AQ$3,1,0))*OFFSET('Gastos com Pessoal'!$H$512,1,MATCH(3&amp;$B31,'Gastos com Pessoal'!$I$532:$AJ$532&amp;'Gastos com Pessoal'!$I$512:$AJ$512,0),10,1)),0)+_xlfn.IFNA(SUM((AQ$3&gt;='Gastos com Pessoal'!$E$513:$E$522)*(AQ$3&lt;='Gastos com Pessoal'!$F$513:$F$522)*(IF('Gastos com Pessoal'!$Y$513:$Y$522&lt;=AQ$3,1,0))*OFFSET('Gastos com Pessoal'!$H$512,1,MATCH(4&amp;$B31,'Gastos com Pessoal'!$I$532:$AJ$532&amp;'Gastos com Pessoal'!$I$512:$AJ$512,0),10,1)),0)+_xlfn.IFNA(SUM((AQ$3&gt;='Gastos com Pessoal'!$E$513:$E$522)*(AQ$3&lt;='Gastos com Pessoal'!$F$513:$F$522)*(IF('Gastos com Pessoal'!$AE$513:$AE$522&lt;=AQ$3,1,0))*OFFSET('Gastos com Pessoal'!$H$512,1,MATCH(5&amp;$B31,'Gastos com Pessoal'!$I$532:$AJ$532&amp;'Gastos com Pessoal'!$I$512:$AJ$512,0),10,1)),0)</f>
        <v>0</v>
      </c>
      <c r="AR31" s="188">
        <f t="array" aca="1" ref="AR31" ca="1">_xlfn.IFNA(SUM((AR$3&gt;='Gastos com Pessoal'!$E$7:$E$506)*(AR$3&lt;='Gastos com Pessoal'!$F$7:$F$506)*OFFSET('Encargos e Benefícios'!$D$5,1,MATCH($B31,'Encargos e Benefícios'!$E$5:$AB$5,0),500,1)),0)+_xlfn.IFNA(SUM((AR$3&gt;='Gastos com Pessoal'!$E$513:$E$522)*(AR$3&lt;='Gastos com Pessoal'!$F$513:$F$522)*OFFSET('Encargos e Benefícios'!$D$511,1,MATCH($B31,'Encargos e Benefícios'!$E$511:$AB$511,0),10,1)),0)+_xlfn.IFNA(SUM((AR$3&gt;='Gastos com Pessoal'!$E$7:$E$506)*(AR$3&lt;='Gastos com Pessoal'!$F$7:$F$506)*(IF('Gastos com Pessoal'!$G$7:$G$506&lt;=AR$3,1,0))*OFFSET('Gastos com Pessoal'!$H$6,1,MATCH(1&amp;$B31,'Gastos com Pessoal'!$I$532:$AJ$532&amp;'Gastos com Pessoal'!$I$6:$AJ$6,0),500,1)),0)+_xlfn.IFNA(SUM((AR$3&gt;='Gastos com Pessoal'!$E$7:$E$506)*(AR$3&lt;='Gastos com Pessoal'!$F$7:$F$506)*(IF('Gastos com Pessoal'!$M$7:$M$506&lt;=AR$3,1,0))*OFFSET('Gastos com Pessoal'!$H$6,1,MATCH(2&amp;$B31,'Gastos com Pessoal'!$I$532:$AJ$532&amp;'Gastos com Pessoal'!$I$6:$AJ$6,0),500,1)),0)+_xlfn.IFNA(SUM((AR$3&gt;='Gastos com Pessoal'!$E$7:$E$506)*(AR$3&lt;='Gastos com Pessoal'!$F$7:$F$506)*(IF('Gastos com Pessoal'!$S$7:$S$506&lt;=AR$3,1,0))*OFFSET('Gastos com Pessoal'!$H$6,1,MATCH(3&amp;$B31,'Gastos com Pessoal'!$I$532:$AJ$532&amp;'Gastos com Pessoal'!$I$6:$AJ$6,0),500,1)),0)+_xlfn.IFNA(SUM((AR$3&gt;='Gastos com Pessoal'!$E$7:$E$506)*(AR$3&lt;='Gastos com Pessoal'!$F$7:$F$506)*(IF('Gastos com Pessoal'!$Y$7:$Y$506&lt;=AR$3,1,0))*OFFSET('Gastos com Pessoal'!$H$6,1,MATCH(4&amp;$B31,'Gastos com Pessoal'!$I$532:$AJ$532&amp;'Gastos com Pessoal'!$I$6:$AJ$6,0),500,1)),0)+_xlfn.IFNA(SUM((AR$3&gt;='Gastos com Pessoal'!$E$7:$E$506)*(AR$3&lt;='Gastos com Pessoal'!$F$7:$F$506)*(IF('Gastos com Pessoal'!$AE$7:$AE$506&lt;=AR$3,1,0))*OFFSET('Gastos com Pessoal'!$H$6,1,MATCH(5&amp;$B31,'Gastos com Pessoal'!$I$532:$AJ$532&amp;'Gastos com Pessoal'!$I$6:$AJ$6,0),500,1)),0)+_xlfn.IFNA(SUM((AR$3&gt;='Gastos com Pessoal'!$E$513:$E$522)*(AR$3&lt;='Gastos com Pessoal'!$F$513:$F$522)*(IF('Gastos com Pessoal'!$G$513:$G$522&lt;=AR$3,1,0))*OFFSET('Gastos com Pessoal'!$H$512,1,MATCH(1&amp;$B31,'Gastos com Pessoal'!$I$532:$AJ$532&amp;'Gastos com Pessoal'!$I$512:$AJ$512,0),10,1)),0)+_xlfn.IFNA(SUM((AR$3&gt;='Gastos com Pessoal'!$E$513:$E$522)*(AR$3&lt;='Gastos com Pessoal'!$F$513:$F$522)*(IF('Gastos com Pessoal'!$M$513:$M$522&lt;=AR$3,1,0))*OFFSET('Gastos com Pessoal'!$H$512,1,MATCH(2&amp;$B31,'Gastos com Pessoal'!$I$532:$AJ$532&amp;'Gastos com Pessoal'!$I$512:$AJ$512,0),10,1)),0)+_xlfn.IFNA(SUM((AR$3&gt;='Gastos com Pessoal'!$E$513:$E$522)*(AR$3&lt;='Gastos com Pessoal'!$F$513:$F$522)*(IF('Gastos com Pessoal'!$S$513:$S$522&lt;=AR$3,1,0))*OFFSET('Gastos com Pessoal'!$H$512,1,MATCH(3&amp;$B31,'Gastos com Pessoal'!$I$532:$AJ$532&amp;'Gastos com Pessoal'!$I$512:$AJ$512,0),10,1)),0)+_xlfn.IFNA(SUM((AR$3&gt;='Gastos com Pessoal'!$E$513:$E$522)*(AR$3&lt;='Gastos com Pessoal'!$F$513:$F$522)*(IF('Gastos com Pessoal'!$Y$513:$Y$522&lt;=AR$3,1,0))*OFFSET('Gastos com Pessoal'!$H$512,1,MATCH(4&amp;$B31,'Gastos com Pessoal'!$I$532:$AJ$532&amp;'Gastos com Pessoal'!$I$512:$AJ$512,0),10,1)),0)+_xlfn.IFNA(SUM((AR$3&gt;='Gastos com Pessoal'!$E$513:$E$522)*(AR$3&lt;='Gastos com Pessoal'!$F$513:$F$522)*(IF('Gastos com Pessoal'!$AE$513:$AE$522&lt;=AR$3,1,0))*OFFSET('Gastos com Pessoal'!$H$512,1,MATCH(5&amp;$B31,'Gastos com Pessoal'!$I$532:$AJ$532&amp;'Gastos com Pessoal'!$I$512:$AJ$512,0),10,1)),0)</f>
        <v>0</v>
      </c>
      <c r="AS31" s="188">
        <f t="array" aca="1" ref="AS31" ca="1">_xlfn.IFNA(SUM((AS$3&gt;='Gastos com Pessoal'!$E$7:$E$506)*(AS$3&lt;='Gastos com Pessoal'!$F$7:$F$506)*OFFSET('Encargos e Benefícios'!$D$5,1,MATCH($B31,'Encargos e Benefícios'!$E$5:$AB$5,0),500,1)),0)+_xlfn.IFNA(SUM((AS$3&gt;='Gastos com Pessoal'!$E$513:$E$522)*(AS$3&lt;='Gastos com Pessoal'!$F$513:$F$522)*OFFSET('Encargos e Benefícios'!$D$511,1,MATCH($B31,'Encargos e Benefícios'!$E$511:$AB$511,0),10,1)),0)+_xlfn.IFNA(SUM((AS$3&gt;='Gastos com Pessoal'!$E$7:$E$506)*(AS$3&lt;='Gastos com Pessoal'!$F$7:$F$506)*(IF('Gastos com Pessoal'!$G$7:$G$506&lt;=AS$3,1,0))*OFFSET('Gastos com Pessoal'!$H$6,1,MATCH(1&amp;$B31,'Gastos com Pessoal'!$I$532:$AJ$532&amp;'Gastos com Pessoal'!$I$6:$AJ$6,0),500,1)),0)+_xlfn.IFNA(SUM((AS$3&gt;='Gastos com Pessoal'!$E$7:$E$506)*(AS$3&lt;='Gastos com Pessoal'!$F$7:$F$506)*(IF('Gastos com Pessoal'!$M$7:$M$506&lt;=AS$3,1,0))*OFFSET('Gastos com Pessoal'!$H$6,1,MATCH(2&amp;$B31,'Gastos com Pessoal'!$I$532:$AJ$532&amp;'Gastos com Pessoal'!$I$6:$AJ$6,0),500,1)),0)+_xlfn.IFNA(SUM((AS$3&gt;='Gastos com Pessoal'!$E$7:$E$506)*(AS$3&lt;='Gastos com Pessoal'!$F$7:$F$506)*(IF('Gastos com Pessoal'!$S$7:$S$506&lt;=AS$3,1,0))*OFFSET('Gastos com Pessoal'!$H$6,1,MATCH(3&amp;$B31,'Gastos com Pessoal'!$I$532:$AJ$532&amp;'Gastos com Pessoal'!$I$6:$AJ$6,0),500,1)),0)+_xlfn.IFNA(SUM((AS$3&gt;='Gastos com Pessoal'!$E$7:$E$506)*(AS$3&lt;='Gastos com Pessoal'!$F$7:$F$506)*(IF('Gastos com Pessoal'!$Y$7:$Y$506&lt;=AS$3,1,0))*OFFSET('Gastos com Pessoal'!$H$6,1,MATCH(4&amp;$B31,'Gastos com Pessoal'!$I$532:$AJ$532&amp;'Gastos com Pessoal'!$I$6:$AJ$6,0),500,1)),0)+_xlfn.IFNA(SUM((AS$3&gt;='Gastos com Pessoal'!$E$7:$E$506)*(AS$3&lt;='Gastos com Pessoal'!$F$7:$F$506)*(IF('Gastos com Pessoal'!$AE$7:$AE$506&lt;=AS$3,1,0))*OFFSET('Gastos com Pessoal'!$H$6,1,MATCH(5&amp;$B31,'Gastos com Pessoal'!$I$532:$AJ$532&amp;'Gastos com Pessoal'!$I$6:$AJ$6,0),500,1)),0)+_xlfn.IFNA(SUM((AS$3&gt;='Gastos com Pessoal'!$E$513:$E$522)*(AS$3&lt;='Gastos com Pessoal'!$F$513:$F$522)*(IF('Gastos com Pessoal'!$G$513:$G$522&lt;=AS$3,1,0))*OFFSET('Gastos com Pessoal'!$H$512,1,MATCH(1&amp;$B31,'Gastos com Pessoal'!$I$532:$AJ$532&amp;'Gastos com Pessoal'!$I$512:$AJ$512,0),10,1)),0)+_xlfn.IFNA(SUM((AS$3&gt;='Gastos com Pessoal'!$E$513:$E$522)*(AS$3&lt;='Gastos com Pessoal'!$F$513:$F$522)*(IF('Gastos com Pessoal'!$M$513:$M$522&lt;=AS$3,1,0))*OFFSET('Gastos com Pessoal'!$H$512,1,MATCH(2&amp;$B31,'Gastos com Pessoal'!$I$532:$AJ$532&amp;'Gastos com Pessoal'!$I$512:$AJ$512,0),10,1)),0)+_xlfn.IFNA(SUM((AS$3&gt;='Gastos com Pessoal'!$E$513:$E$522)*(AS$3&lt;='Gastos com Pessoal'!$F$513:$F$522)*(IF('Gastos com Pessoal'!$S$513:$S$522&lt;=AS$3,1,0))*OFFSET('Gastos com Pessoal'!$H$512,1,MATCH(3&amp;$B31,'Gastos com Pessoal'!$I$532:$AJ$532&amp;'Gastos com Pessoal'!$I$512:$AJ$512,0),10,1)),0)+_xlfn.IFNA(SUM((AS$3&gt;='Gastos com Pessoal'!$E$513:$E$522)*(AS$3&lt;='Gastos com Pessoal'!$F$513:$F$522)*(IF('Gastos com Pessoal'!$Y$513:$Y$522&lt;=AS$3,1,0))*OFFSET('Gastos com Pessoal'!$H$512,1,MATCH(4&amp;$B31,'Gastos com Pessoal'!$I$532:$AJ$532&amp;'Gastos com Pessoal'!$I$512:$AJ$512,0),10,1)),0)+_xlfn.IFNA(SUM((AS$3&gt;='Gastos com Pessoal'!$E$513:$E$522)*(AS$3&lt;='Gastos com Pessoal'!$F$513:$F$522)*(IF('Gastos com Pessoal'!$AE$513:$AE$522&lt;=AS$3,1,0))*OFFSET('Gastos com Pessoal'!$H$512,1,MATCH(5&amp;$B31,'Gastos com Pessoal'!$I$532:$AJ$532&amp;'Gastos com Pessoal'!$I$512:$AJ$512,0),10,1)),0)</f>
        <v>0</v>
      </c>
      <c r="AT31" s="188">
        <f t="array" aca="1" ref="AT31" ca="1">_xlfn.IFNA(SUM((AT$3&gt;='Gastos com Pessoal'!$E$7:$E$506)*(AT$3&lt;='Gastos com Pessoal'!$F$7:$F$506)*OFFSET('Encargos e Benefícios'!$D$5,1,MATCH($B31,'Encargos e Benefícios'!$E$5:$AB$5,0),500,1)),0)+_xlfn.IFNA(SUM((AT$3&gt;='Gastos com Pessoal'!$E$513:$E$522)*(AT$3&lt;='Gastos com Pessoal'!$F$513:$F$522)*OFFSET('Encargos e Benefícios'!$D$511,1,MATCH($B31,'Encargos e Benefícios'!$E$511:$AB$511,0),10,1)),0)+_xlfn.IFNA(SUM((AT$3&gt;='Gastos com Pessoal'!$E$7:$E$506)*(AT$3&lt;='Gastos com Pessoal'!$F$7:$F$506)*(IF('Gastos com Pessoal'!$G$7:$G$506&lt;=AT$3,1,0))*OFFSET('Gastos com Pessoal'!$H$6,1,MATCH(1&amp;$B31,'Gastos com Pessoal'!$I$532:$AJ$532&amp;'Gastos com Pessoal'!$I$6:$AJ$6,0),500,1)),0)+_xlfn.IFNA(SUM((AT$3&gt;='Gastos com Pessoal'!$E$7:$E$506)*(AT$3&lt;='Gastos com Pessoal'!$F$7:$F$506)*(IF('Gastos com Pessoal'!$M$7:$M$506&lt;=AT$3,1,0))*OFFSET('Gastos com Pessoal'!$H$6,1,MATCH(2&amp;$B31,'Gastos com Pessoal'!$I$532:$AJ$532&amp;'Gastos com Pessoal'!$I$6:$AJ$6,0),500,1)),0)+_xlfn.IFNA(SUM((AT$3&gt;='Gastos com Pessoal'!$E$7:$E$506)*(AT$3&lt;='Gastos com Pessoal'!$F$7:$F$506)*(IF('Gastos com Pessoal'!$S$7:$S$506&lt;=AT$3,1,0))*OFFSET('Gastos com Pessoal'!$H$6,1,MATCH(3&amp;$B31,'Gastos com Pessoal'!$I$532:$AJ$532&amp;'Gastos com Pessoal'!$I$6:$AJ$6,0),500,1)),0)+_xlfn.IFNA(SUM((AT$3&gt;='Gastos com Pessoal'!$E$7:$E$506)*(AT$3&lt;='Gastos com Pessoal'!$F$7:$F$506)*(IF('Gastos com Pessoal'!$Y$7:$Y$506&lt;=AT$3,1,0))*OFFSET('Gastos com Pessoal'!$H$6,1,MATCH(4&amp;$B31,'Gastos com Pessoal'!$I$532:$AJ$532&amp;'Gastos com Pessoal'!$I$6:$AJ$6,0),500,1)),0)+_xlfn.IFNA(SUM((AT$3&gt;='Gastos com Pessoal'!$E$7:$E$506)*(AT$3&lt;='Gastos com Pessoal'!$F$7:$F$506)*(IF('Gastos com Pessoal'!$AE$7:$AE$506&lt;=AT$3,1,0))*OFFSET('Gastos com Pessoal'!$H$6,1,MATCH(5&amp;$B31,'Gastos com Pessoal'!$I$532:$AJ$532&amp;'Gastos com Pessoal'!$I$6:$AJ$6,0),500,1)),0)+_xlfn.IFNA(SUM((AT$3&gt;='Gastos com Pessoal'!$E$513:$E$522)*(AT$3&lt;='Gastos com Pessoal'!$F$513:$F$522)*(IF('Gastos com Pessoal'!$G$513:$G$522&lt;=AT$3,1,0))*OFFSET('Gastos com Pessoal'!$H$512,1,MATCH(1&amp;$B31,'Gastos com Pessoal'!$I$532:$AJ$532&amp;'Gastos com Pessoal'!$I$512:$AJ$512,0),10,1)),0)+_xlfn.IFNA(SUM((AT$3&gt;='Gastos com Pessoal'!$E$513:$E$522)*(AT$3&lt;='Gastos com Pessoal'!$F$513:$F$522)*(IF('Gastos com Pessoal'!$M$513:$M$522&lt;=AT$3,1,0))*OFFSET('Gastos com Pessoal'!$H$512,1,MATCH(2&amp;$B31,'Gastos com Pessoal'!$I$532:$AJ$532&amp;'Gastos com Pessoal'!$I$512:$AJ$512,0),10,1)),0)+_xlfn.IFNA(SUM((AT$3&gt;='Gastos com Pessoal'!$E$513:$E$522)*(AT$3&lt;='Gastos com Pessoal'!$F$513:$F$522)*(IF('Gastos com Pessoal'!$S$513:$S$522&lt;=AT$3,1,0))*OFFSET('Gastos com Pessoal'!$H$512,1,MATCH(3&amp;$B31,'Gastos com Pessoal'!$I$532:$AJ$532&amp;'Gastos com Pessoal'!$I$512:$AJ$512,0),10,1)),0)+_xlfn.IFNA(SUM((AT$3&gt;='Gastos com Pessoal'!$E$513:$E$522)*(AT$3&lt;='Gastos com Pessoal'!$F$513:$F$522)*(IF('Gastos com Pessoal'!$Y$513:$Y$522&lt;=AT$3,1,0))*OFFSET('Gastos com Pessoal'!$H$512,1,MATCH(4&amp;$B31,'Gastos com Pessoal'!$I$532:$AJ$532&amp;'Gastos com Pessoal'!$I$512:$AJ$512,0),10,1)),0)+_xlfn.IFNA(SUM((AT$3&gt;='Gastos com Pessoal'!$E$513:$E$522)*(AT$3&lt;='Gastos com Pessoal'!$F$513:$F$522)*(IF('Gastos com Pessoal'!$AE$513:$AE$522&lt;=AT$3,1,0))*OFFSET('Gastos com Pessoal'!$H$512,1,MATCH(5&amp;$B31,'Gastos com Pessoal'!$I$532:$AJ$532&amp;'Gastos com Pessoal'!$I$512:$AJ$512,0),10,1)),0)</f>
        <v>0</v>
      </c>
      <c r="AU31" s="188">
        <f t="array" aca="1" ref="AU31" ca="1">_xlfn.IFNA(SUM((AU$3&gt;='Gastos com Pessoal'!$E$7:$E$506)*(AU$3&lt;='Gastos com Pessoal'!$F$7:$F$506)*OFFSET('Encargos e Benefícios'!$D$5,1,MATCH($B31,'Encargos e Benefícios'!$E$5:$AB$5,0),500,1)),0)+_xlfn.IFNA(SUM((AU$3&gt;='Gastos com Pessoal'!$E$513:$E$522)*(AU$3&lt;='Gastos com Pessoal'!$F$513:$F$522)*OFFSET('Encargos e Benefícios'!$D$511,1,MATCH($B31,'Encargos e Benefícios'!$E$511:$AB$511,0),10,1)),0)+_xlfn.IFNA(SUM((AU$3&gt;='Gastos com Pessoal'!$E$7:$E$506)*(AU$3&lt;='Gastos com Pessoal'!$F$7:$F$506)*(IF('Gastos com Pessoal'!$G$7:$G$506&lt;=AU$3,1,0))*OFFSET('Gastos com Pessoal'!$H$6,1,MATCH(1&amp;$B31,'Gastos com Pessoal'!$I$532:$AJ$532&amp;'Gastos com Pessoal'!$I$6:$AJ$6,0),500,1)),0)+_xlfn.IFNA(SUM((AU$3&gt;='Gastos com Pessoal'!$E$7:$E$506)*(AU$3&lt;='Gastos com Pessoal'!$F$7:$F$506)*(IF('Gastos com Pessoal'!$M$7:$M$506&lt;=AU$3,1,0))*OFFSET('Gastos com Pessoal'!$H$6,1,MATCH(2&amp;$B31,'Gastos com Pessoal'!$I$532:$AJ$532&amp;'Gastos com Pessoal'!$I$6:$AJ$6,0),500,1)),0)+_xlfn.IFNA(SUM((AU$3&gt;='Gastos com Pessoal'!$E$7:$E$506)*(AU$3&lt;='Gastos com Pessoal'!$F$7:$F$506)*(IF('Gastos com Pessoal'!$S$7:$S$506&lt;=AU$3,1,0))*OFFSET('Gastos com Pessoal'!$H$6,1,MATCH(3&amp;$B31,'Gastos com Pessoal'!$I$532:$AJ$532&amp;'Gastos com Pessoal'!$I$6:$AJ$6,0),500,1)),0)+_xlfn.IFNA(SUM((AU$3&gt;='Gastos com Pessoal'!$E$7:$E$506)*(AU$3&lt;='Gastos com Pessoal'!$F$7:$F$506)*(IF('Gastos com Pessoal'!$Y$7:$Y$506&lt;=AU$3,1,0))*OFFSET('Gastos com Pessoal'!$H$6,1,MATCH(4&amp;$B31,'Gastos com Pessoal'!$I$532:$AJ$532&amp;'Gastos com Pessoal'!$I$6:$AJ$6,0),500,1)),0)+_xlfn.IFNA(SUM((AU$3&gt;='Gastos com Pessoal'!$E$7:$E$506)*(AU$3&lt;='Gastos com Pessoal'!$F$7:$F$506)*(IF('Gastos com Pessoal'!$AE$7:$AE$506&lt;=AU$3,1,0))*OFFSET('Gastos com Pessoal'!$H$6,1,MATCH(5&amp;$B31,'Gastos com Pessoal'!$I$532:$AJ$532&amp;'Gastos com Pessoal'!$I$6:$AJ$6,0),500,1)),0)+_xlfn.IFNA(SUM((AU$3&gt;='Gastos com Pessoal'!$E$513:$E$522)*(AU$3&lt;='Gastos com Pessoal'!$F$513:$F$522)*(IF('Gastos com Pessoal'!$G$513:$G$522&lt;=AU$3,1,0))*OFFSET('Gastos com Pessoal'!$H$512,1,MATCH(1&amp;$B31,'Gastos com Pessoal'!$I$532:$AJ$532&amp;'Gastos com Pessoal'!$I$512:$AJ$512,0),10,1)),0)+_xlfn.IFNA(SUM((AU$3&gt;='Gastos com Pessoal'!$E$513:$E$522)*(AU$3&lt;='Gastos com Pessoal'!$F$513:$F$522)*(IF('Gastos com Pessoal'!$M$513:$M$522&lt;=AU$3,1,0))*OFFSET('Gastos com Pessoal'!$H$512,1,MATCH(2&amp;$B31,'Gastos com Pessoal'!$I$532:$AJ$532&amp;'Gastos com Pessoal'!$I$512:$AJ$512,0),10,1)),0)+_xlfn.IFNA(SUM((AU$3&gt;='Gastos com Pessoal'!$E$513:$E$522)*(AU$3&lt;='Gastos com Pessoal'!$F$513:$F$522)*(IF('Gastos com Pessoal'!$S$513:$S$522&lt;=AU$3,1,0))*OFFSET('Gastos com Pessoal'!$H$512,1,MATCH(3&amp;$B31,'Gastos com Pessoal'!$I$532:$AJ$532&amp;'Gastos com Pessoal'!$I$512:$AJ$512,0),10,1)),0)+_xlfn.IFNA(SUM((AU$3&gt;='Gastos com Pessoal'!$E$513:$E$522)*(AU$3&lt;='Gastos com Pessoal'!$F$513:$F$522)*(IF('Gastos com Pessoal'!$Y$513:$Y$522&lt;=AU$3,1,0))*OFFSET('Gastos com Pessoal'!$H$512,1,MATCH(4&amp;$B31,'Gastos com Pessoal'!$I$532:$AJ$532&amp;'Gastos com Pessoal'!$I$512:$AJ$512,0),10,1)),0)+_xlfn.IFNA(SUM((AU$3&gt;='Gastos com Pessoal'!$E$513:$E$522)*(AU$3&lt;='Gastos com Pessoal'!$F$513:$F$522)*(IF('Gastos com Pessoal'!$AE$513:$AE$522&lt;=AU$3,1,0))*OFFSET('Gastos com Pessoal'!$H$512,1,MATCH(5&amp;$B31,'Gastos com Pessoal'!$I$532:$AJ$532&amp;'Gastos com Pessoal'!$I$512:$AJ$512,0),10,1)),0)</f>
        <v>0</v>
      </c>
      <c r="AV31" s="188">
        <f t="array" aca="1" ref="AV31" ca="1">_xlfn.IFNA(SUM((AV$3&gt;='Gastos com Pessoal'!$E$7:$E$506)*(AV$3&lt;='Gastos com Pessoal'!$F$7:$F$506)*OFFSET('Encargos e Benefícios'!$D$5,1,MATCH($B31,'Encargos e Benefícios'!$E$5:$AB$5,0),500,1)),0)+_xlfn.IFNA(SUM((AV$3&gt;='Gastos com Pessoal'!$E$513:$E$522)*(AV$3&lt;='Gastos com Pessoal'!$F$513:$F$522)*OFFSET('Encargos e Benefícios'!$D$511,1,MATCH($B31,'Encargos e Benefícios'!$E$511:$AB$511,0),10,1)),0)+_xlfn.IFNA(SUM((AV$3&gt;='Gastos com Pessoal'!$E$7:$E$506)*(AV$3&lt;='Gastos com Pessoal'!$F$7:$F$506)*(IF('Gastos com Pessoal'!$G$7:$G$506&lt;=AV$3,1,0))*OFFSET('Gastos com Pessoal'!$H$6,1,MATCH(1&amp;$B31,'Gastos com Pessoal'!$I$532:$AJ$532&amp;'Gastos com Pessoal'!$I$6:$AJ$6,0),500,1)),0)+_xlfn.IFNA(SUM((AV$3&gt;='Gastos com Pessoal'!$E$7:$E$506)*(AV$3&lt;='Gastos com Pessoal'!$F$7:$F$506)*(IF('Gastos com Pessoal'!$M$7:$M$506&lt;=AV$3,1,0))*OFFSET('Gastos com Pessoal'!$H$6,1,MATCH(2&amp;$B31,'Gastos com Pessoal'!$I$532:$AJ$532&amp;'Gastos com Pessoal'!$I$6:$AJ$6,0),500,1)),0)+_xlfn.IFNA(SUM((AV$3&gt;='Gastos com Pessoal'!$E$7:$E$506)*(AV$3&lt;='Gastos com Pessoal'!$F$7:$F$506)*(IF('Gastos com Pessoal'!$S$7:$S$506&lt;=AV$3,1,0))*OFFSET('Gastos com Pessoal'!$H$6,1,MATCH(3&amp;$B31,'Gastos com Pessoal'!$I$532:$AJ$532&amp;'Gastos com Pessoal'!$I$6:$AJ$6,0),500,1)),0)+_xlfn.IFNA(SUM((AV$3&gt;='Gastos com Pessoal'!$E$7:$E$506)*(AV$3&lt;='Gastos com Pessoal'!$F$7:$F$506)*(IF('Gastos com Pessoal'!$Y$7:$Y$506&lt;=AV$3,1,0))*OFFSET('Gastos com Pessoal'!$H$6,1,MATCH(4&amp;$B31,'Gastos com Pessoal'!$I$532:$AJ$532&amp;'Gastos com Pessoal'!$I$6:$AJ$6,0),500,1)),0)+_xlfn.IFNA(SUM((AV$3&gt;='Gastos com Pessoal'!$E$7:$E$506)*(AV$3&lt;='Gastos com Pessoal'!$F$7:$F$506)*(IF('Gastos com Pessoal'!$AE$7:$AE$506&lt;=AV$3,1,0))*OFFSET('Gastos com Pessoal'!$H$6,1,MATCH(5&amp;$B31,'Gastos com Pessoal'!$I$532:$AJ$532&amp;'Gastos com Pessoal'!$I$6:$AJ$6,0),500,1)),0)+_xlfn.IFNA(SUM((AV$3&gt;='Gastos com Pessoal'!$E$513:$E$522)*(AV$3&lt;='Gastos com Pessoal'!$F$513:$F$522)*(IF('Gastos com Pessoal'!$G$513:$G$522&lt;=AV$3,1,0))*OFFSET('Gastos com Pessoal'!$H$512,1,MATCH(1&amp;$B31,'Gastos com Pessoal'!$I$532:$AJ$532&amp;'Gastos com Pessoal'!$I$512:$AJ$512,0),10,1)),0)+_xlfn.IFNA(SUM((AV$3&gt;='Gastos com Pessoal'!$E$513:$E$522)*(AV$3&lt;='Gastos com Pessoal'!$F$513:$F$522)*(IF('Gastos com Pessoal'!$M$513:$M$522&lt;=AV$3,1,0))*OFFSET('Gastos com Pessoal'!$H$512,1,MATCH(2&amp;$B31,'Gastos com Pessoal'!$I$532:$AJ$532&amp;'Gastos com Pessoal'!$I$512:$AJ$512,0),10,1)),0)+_xlfn.IFNA(SUM((AV$3&gt;='Gastos com Pessoal'!$E$513:$E$522)*(AV$3&lt;='Gastos com Pessoal'!$F$513:$F$522)*(IF('Gastos com Pessoal'!$S$513:$S$522&lt;=AV$3,1,0))*OFFSET('Gastos com Pessoal'!$H$512,1,MATCH(3&amp;$B31,'Gastos com Pessoal'!$I$532:$AJ$532&amp;'Gastos com Pessoal'!$I$512:$AJ$512,0),10,1)),0)+_xlfn.IFNA(SUM((AV$3&gt;='Gastos com Pessoal'!$E$513:$E$522)*(AV$3&lt;='Gastos com Pessoal'!$F$513:$F$522)*(IF('Gastos com Pessoal'!$Y$513:$Y$522&lt;=AV$3,1,0))*OFFSET('Gastos com Pessoal'!$H$512,1,MATCH(4&amp;$B31,'Gastos com Pessoal'!$I$532:$AJ$532&amp;'Gastos com Pessoal'!$I$512:$AJ$512,0),10,1)),0)+_xlfn.IFNA(SUM((AV$3&gt;='Gastos com Pessoal'!$E$513:$E$522)*(AV$3&lt;='Gastos com Pessoal'!$F$513:$F$522)*(IF('Gastos com Pessoal'!$AE$513:$AE$522&lt;=AV$3,1,0))*OFFSET('Gastos com Pessoal'!$H$512,1,MATCH(5&amp;$B31,'Gastos com Pessoal'!$I$532:$AJ$532&amp;'Gastos com Pessoal'!$I$512:$AJ$512,0),10,1)),0)</f>
        <v>0</v>
      </c>
      <c r="AW31" s="188">
        <f t="array" aca="1" ref="AW31" ca="1">_xlfn.IFNA(SUM((AW$3&gt;='Gastos com Pessoal'!$E$7:$E$506)*(AW$3&lt;='Gastos com Pessoal'!$F$7:$F$506)*OFFSET('Encargos e Benefícios'!$D$5,1,MATCH($B31,'Encargos e Benefícios'!$E$5:$AB$5,0),500,1)),0)+_xlfn.IFNA(SUM((AW$3&gt;='Gastos com Pessoal'!$E$513:$E$522)*(AW$3&lt;='Gastos com Pessoal'!$F$513:$F$522)*OFFSET('Encargos e Benefícios'!$D$511,1,MATCH($B31,'Encargos e Benefícios'!$E$511:$AB$511,0),10,1)),0)+_xlfn.IFNA(SUM((AW$3&gt;='Gastos com Pessoal'!$E$7:$E$506)*(AW$3&lt;='Gastos com Pessoal'!$F$7:$F$506)*(IF('Gastos com Pessoal'!$G$7:$G$506&lt;=AW$3,1,0))*OFFSET('Gastos com Pessoal'!$H$6,1,MATCH(1&amp;$B31,'Gastos com Pessoal'!$I$532:$AJ$532&amp;'Gastos com Pessoal'!$I$6:$AJ$6,0),500,1)),0)+_xlfn.IFNA(SUM((AW$3&gt;='Gastos com Pessoal'!$E$7:$E$506)*(AW$3&lt;='Gastos com Pessoal'!$F$7:$F$506)*(IF('Gastos com Pessoal'!$M$7:$M$506&lt;=AW$3,1,0))*OFFSET('Gastos com Pessoal'!$H$6,1,MATCH(2&amp;$B31,'Gastos com Pessoal'!$I$532:$AJ$532&amp;'Gastos com Pessoal'!$I$6:$AJ$6,0),500,1)),0)+_xlfn.IFNA(SUM((AW$3&gt;='Gastos com Pessoal'!$E$7:$E$506)*(AW$3&lt;='Gastos com Pessoal'!$F$7:$F$506)*(IF('Gastos com Pessoal'!$S$7:$S$506&lt;=AW$3,1,0))*OFFSET('Gastos com Pessoal'!$H$6,1,MATCH(3&amp;$B31,'Gastos com Pessoal'!$I$532:$AJ$532&amp;'Gastos com Pessoal'!$I$6:$AJ$6,0),500,1)),0)+_xlfn.IFNA(SUM((AW$3&gt;='Gastos com Pessoal'!$E$7:$E$506)*(AW$3&lt;='Gastos com Pessoal'!$F$7:$F$506)*(IF('Gastos com Pessoal'!$Y$7:$Y$506&lt;=AW$3,1,0))*OFFSET('Gastos com Pessoal'!$H$6,1,MATCH(4&amp;$B31,'Gastos com Pessoal'!$I$532:$AJ$532&amp;'Gastos com Pessoal'!$I$6:$AJ$6,0),500,1)),0)+_xlfn.IFNA(SUM((AW$3&gt;='Gastos com Pessoal'!$E$7:$E$506)*(AW$3&lt;='Gastos com Pessoal'!$F$7:$F$506)*(IF('Gastos com Pessoal'!$AE$7:$AE$506&lt;=AW$3,1,0))*OFFSET('Gastos com Pessoal'!$H$6,1,MATCH(5&amp;$B31,'Gastos com Pessoal'!$I$532:$AJ$532&amp;'Gastos com Pessoal'!$I$6:$AJ$6,0),500,1)),0)+_xlfn.IFNA(SUM((AW$3&gt;='Gastos com Pessoal'!$E$513:$E$522)*(AW$3&lt;='Gastos com Pessoal'!$F$513:$F$522)*(IF('Gastos com Pessoal'!$G$513:$G$522&lt;=AW$3,1,0))*OFFSET('Gastos com Pessoal'!$H$512,1,MATCH(1&amp;$B31,'Gastos com Pessoal'!$I$532:$AJ$532&amp;'Gastos com Pessoal'!$I$512:$AJ$512,0),10,1)),0)+_xlfn.IFNA(SUM((AW$3&gt;='Gastos com Pessoal'!$E$513:$E$522)*(AW$3&lt;='Gastos com Pessoal'!$F$513:$F$522)*(IF('Gastos com Pessoal'!$M$513:$M$522&lt;=AW$3,1,0))*OFFSET('Gastos com Pessoal'!$H$512,1,MATCH(2&amp;$B31,'Gastos com Pessoal'!$I$532:$AJ$532&amp;'Gastos com Pessoal'!$I$512:$AJ$512,0),10,1)),0)+_xlfn.IFNA(SUM((AW$3&gt;='Gastos com Pessoal'!$E$513:$E$522)*(AW$3&lt;='Gastos com Pessoal'!$F$513:$F$522)*(IF('Gastos com Pessoal'!$S$513:$S$522&lt;=AW$3,1,0))*OFFSET('Gastos com Pessoal'!$H$512,1,MATCH(3&amp;$B31,'Gastos com Pessoal'!$I$532:$AJ$532&amp;'Gastos com Pessoal'!$I$512:$AJ$512,0),10,1)),0)+_xlfn.IFNA(SUM((AW$3&gt;='Gastos com Pessoal'!$E$513:$E$522)*(AW$3&lt;='Gastos com Pessoal'!$F$513:$F$522)*(IF('Gastos com Pessoal'!$Y$513:$Y$522&lt;=AW$3,1,0))*OFFSET('Gastos com Pessoal'!$H$512,1,MATCH(4&amp;$B31,'Gastos com Pessoal'!$I$532:$AJ$532&amp;'Gastos com Pessoal'!$I$512:$AJ$512,0),10,1)),0)+_xlfn.IFNA(SUM((AW$3&gt;='Gastos com Pessoal'!$E$513:$E$522)*(AW$3&lt;='Gastos com Pessoal'!$F$513:$F$522)*(IF('Gastos com Pessoal'!$AE$513:$AE$522&lt;=AW$3,1,0))*OFFSET('Gastos com Pessoal'!$H$512,1,MATCH(5&amp;$B31,'Gastos com Pessoal'!$I$532:$AJ$532&amp;'Gastos com Pessoal'!$I$512:$AJ$512,0),10,1)),0)</f>
        <v>0</v>
      </c>
      <c r="AX31" s="188">
        <f t="array" aca="1" ref="AX31" ca="1">_xlfn.IFNA(SUM((AX$3&gt;='Gastos com Pessoal'!$E$7:$E$506)*(AX$3&lt;='Gastos com Pessoal'!$F$7:$F$506)*OFFSET('Encargos e Benefícios'!$D$5,1,MATCH($B31,'Encargos e Benefícios'!$E$5:$AB$5,0),500,1)),0)+_xlfn.IFNA(SUM((AX$3&gt;='Gastos com Pessoal'!$E$513:$E$522)*(AX$3&lt;='Gastos com Pessoal'!$F$513:$F$522)*OFFSET('Encargos e Benefícios'!$D$511,1,MATCH($B31,'Encargos e Benefícios'!$E$511:$AB$511,0),10,1)),0)+_xlfn.IFNA(SUM((AX$3&gt;='Gastos com Pessoal'!$E$7:$E$506)*(AX$3&lt;='Gastos com Pessoal'!$F$7:$F$506)*(IF('Gastos com Pessoal'!$G$7:$G$506&lt;=AX$3,1,0))*OFFSET('Gastos com Pessoal'!$H$6,1,MATCH(1&amp;$B31,'Gastos com Pessoal'!$I$532:$AJ$532&amp;'Gastos com Pessoal'!$I$6:$AJ$6,0),500,1)),0)+_xlfn.IFNA(SUM((AX$3&gt;='Gastos com Pessoal'!$E$7:$E$506)*(AX$3&lt;='Gastos com Pessoal'!$F$7:$F$506)*(IF('Gastos com Pessoal'!$M$7:$M$506&lt;=AX$3,1,0))*OFFSET('Gastos com Pessoal'!$H$6,1,MATCH(2&amp;$B31,'Gastos com Pessoal'!$I$532:$AJ$532&amp;'Gastos com Pessoal'!$I$6:$AJ$6,0),500,1)),0)+_xlfn.IFNA(SUM((AX$3&gt;='Gastos com Pessoal'!$E$7:$E$506)*(AX$3&lt;='Gastos com Pessoal'!$F$7:$F$506)*(IF('Gastos com Pessoal'!$S$7:$S$506&lt;=AX$3,1,0))*OFFSET('Gastos com Pessoal'!$H$6,1,MATCH(3&amp;$B31,'Gastos com Pessoal'!$I$532:$AJ$532&amp;'Gastos com Pessoal'!$I$6:$AJ$6,0),500,1)),0)+_xlfn.IFNA(SUM((AX$3&gt;='Gastos com Pessoal'!$E$7:$E$506)*(AX$3&lt;='Gastos com Pessoal'!$F$7:$F$506)*(IF('Gastos com Pessoal'!$Y$7:$Y$506&lt;=AX$3,1,0))*OFFSET('Gastos com Pessoal'!$H$6,1,MATCH(4&amp;$B31,'Gastos com Pessoal'!$I$532:$AJ$532&amp;'Gastos com Pessoal'!$I$6:$AJ$6,0),500,1)),0)+_xlfn.IFNA(SUM((AX$3&gt;='Gastos com Pessoal'!$E$7:$E$506)*(AX$3&lt;='Gastos com Pessoal'!$F$7:$F$506)*(IF('Gastos com Pessoal'!$AE$7:$AE$506&lt;=AX$3,1,0))*OFFSET('Gastos com Pessoal'!$H$6,1,MATCH(5&amp;$B31,'Gastos com Pessoal'!$I$532:$AJ$532&amp;'Gastos com Pessoal'!$I$6:$AJ$6,0),500,1)),0)+_xlfn.IFNA(SUM((AX$3&gt;='Gastos com Pessoal'!$E$513:$E$522)*(AX$3&lt;='Gastos com Pessoal'!$F$513:$F$522)*(IF('Gastos com Pessoal'!$G$513:$G$522&lt;=AX$3,1,0))*OFFSET('Gastos com Pessoal'!$H$512,1,MATCH(1&amp;$B31,'Gastos com Pessoal'!$I$532:$AJ$532&amp;'Gastos com Pessoal'!$I$512:$AJ$512,0),10,1)),0)+_xlfn.IFNA(SUM((AX$3&gt;='Gastos com Pessoal'!$E$513:$E$522)*(AX$3&lt;='Gastos com Pessoal'!$F$513:$F$522)*(IF('Gastos com Pessoal'!$M$513:$M$522&lt;=AX$3,1,0))*OFFSET('Gastos com Pessoal'!$H$512,1,MATCH(2&amp;$B31,'Gastos com Pessoal'!$I$532:$AJ$532&amp;'Gastos com Pessoal'!$I$512:$AJ$512,0),10,1)),0)+_xlfn.IFNA(SUM((AX$3&gt;='Gastos com Pessoal'!$E$513:$E$522)*(AX$3&lt;='Gastos com Pessoal'!$F$513:$F$522)*(IF('Gastos com Pessoal'!$S$513:$S$522&lt;=AX$3,1,0))*OFFSET('Gastos com Pessoal'!$H$512,1,MATCH(3&amp;$B31,'Gastos com Pessoal'!$I$532:$AJ$532&amp;'Gastos com Pessoal'!$I$512:$AJ$512,0),10,1)),0)+_xlfn.IFNA(SUM((AX$3&gt;='Gastos com Pessoal'!$E$513:$E$522)*(AX$3&lt;='Gastos com Pessoal'!$F$513:$F$522)*(IF('Gastos com Pessoal'!$Y$513:$Y$522&lt;=AX$3,1,0))*OFFSET('Gastos com Pessoal'!$H$512,1,MATCH(4&amp;$B31,'Gastos com Pessoal'!$I$532:$AJ$532&amp;'Gastos com Pessoal'!$I$512:$AJ$512,0),10,1)),0)+_xlfn.IFNA(SUM((AX$3&gt;='Gastos com Pessoal'!$E$513:$E$522)*(AX$3&lt;='Gastos com Pessoal'!$F$513:$F$522)*(IF('Gastos com Pessoal'!$AE$513:$AE$522&lt;=AX$3,1,0))*OFFSET('Gastos com Pessoal'!$H$512,1,MATCH(5&amp;$B31,'Gastos com Pessoal'!$I$532:$AJ$532&amp;'Gastos com Pessoal'!$I$512:$AJ$512,0),10,1)),0)</f>
        <v>0</v>
      </c>
      <c r="AY31" s="188">
        <f t="array" aca="1" ref="AY31" ca="1">_xlfn.IFNA(SUM((AY$3&gt;='Gastos com Pessoal'!$E$7:$E$506)*(AY$3&lt;='Gastos com Pessoal'!$F$7:$F$506)*OFFSET('Encargos e Benefícios'!$D$5,1,MATCH($B31,'Encargos e Benefícios'!$E$5:$AB$5,0),500,1)),0)+_xlfn.IFNA(SUM((AY$3&gt;='Gastos com Pessoal'!$E$513:$E$522)*(AY$3&lt;='Gastos com Pessoal'!$F$513:$F$522)*OFFSET('Encargos e Benefícios'!$D$511,1,MATCH($B31,'Encargos e Benefícios'!$E$511:$AB$511,0),10,1)),0)+_xlfn.IFNA(SUM((AY$3&gt;='Gastos com Pessoal'!$E$7:$E$506)*(AY$3&lt;='Gastos com Pessoal'!$F$7:$F$506)*(IF('Gastos com Pessoal'!$G$7:$G$506&lt;=AY$3,1,0))*OFFSET('Gastos com Pessoal'!$H$6,1,MATCH(1&amp;$B31,'Gastos com Pessoal'!$I$532:$AJ$532&amp;'Gastos com Pessoal'!$I$6:$AJ$6,0),500,1)),0)+_xlfn.IFNA(SUM((AY$3&gt;='Gastos com Pessoal'!$E$7:$E$506)*(AY$3&lt;='Gastos com Pessoal'!$F$7:$F$506)*(IF('Gastos com Pessoal'!$M$7:$M$506&lt;=AY$3,1,0))*OFFSET('Gastos com Pessoal'!$H$6,1,MATCH(2&amp;$B31,'Gastos com Pessoal'!$I$532:$AJ$532&amp;'Gastos com Pessoal'!$I$6:$AJ$6,0),500,1)),0)+_xlfn.IFNA(SUM((AY$3&gt;='Gastos com Pessoal'!$E$7:$E$506)*(AY$3&lt;='Gastos com Pessoal'!$F$7:$F$506)*(IF('Gastos com Pessoal'!$S$7:$S$506&lt;=AY$3,1,0))*OFFSET('Gastos com Pessoal'!$H$6,1,MATCH(3&amp;$B31,'Gastos com Pessoal'!$I$532:$AJ$532&amp;'Gastos com Pessoal'!$I$6:$AJ$6,0),500,1)),0)+_xlfn.IFNA(SUM((AY$3&gt;='Gastos com Pessoal'!$E$7:$E$506)*(AY$3&lt;='Gastos com Pessoal'!$F$7:$F$506)*(IF('Gastos com Pessoal'!$Y$7:$Y$506&lt;=AY$3,1,0))*OFFSET('Gastos com Pessoal'!$H$6,1,MATCH(4&amp;$B31,'Gastos com Pessoal'!$I$532:$AJ$532&amp;'Gastos com Pessoal'!$I$6:$AJ$6,0),500,1)),0)+_xlfn.IFNA(SUM((AY$3&gt;='Gastos com Pessoal'!$E$7:$E$506)*(AY$3&lt;='Gastos com Pessoal'!$F$7:$F$506)*(IF('Gastos com Pessoal'!$AE$7:$AE$506&lt;=AY$3,1,0))*OFFSET('Gastos com Pessoal'!$H$6,1,MATCH(5&amp;$B31,'Gastos com Pessoal'!$I$532:$AJ$532&amp;'Gastos com Pessoal'!$I$6:$AJ$6,0),500,1)),0)+_xlfn.IFNA(SUM((AY$3&gt;='Gastos com Pessoal'!$E$513:$E$522)*(AY$3&lt;='Gastos com Pessoal'!$F$513:$F$522)*(IF('Gastos com Pessoal'!$G$513:$G$522&lt;=AY$3,1,0))*OFFSET('Gastos com Pessoal'!$H$512,1,MATCH(1&amp;$B31,'Gastos com Pessoal'!$I$532:$AJ$532&amp;'Gastos com Pessoal'!$I$512:$AJ$512,0),10,1)),0)+_xlfn.IFNA(SUM((AY$3&gt;='Gastos com Pessoal'!$E$513:$E$522)*(AY$3&lt;='Gastos com Pessoal'!$F$513:$F$522)*(IF('Gastos com Pessoal'!$M$513:$M$522&lt;=AY$3,1,0))*OFFSET('Gastos com Pessoal'!$H$512,1,MATCH(2&amp;$B31,'Gastos com Pessoal'!$I$532:$AJ$532&amp;'Gastos com Pessoal'!$I$512:$AJ$512,0),10,1)),0)+_xlfn.IFNA(SUM((AY$3&gt;='Gastos com Pessoal'!$E$513:$E$522)*(AY$3&lt;='Gastos com Pessoal'!$F$513:$F$522)*(IF('Gastos com Pessoal'!$S$513:$S$522&lt;=AY$3,1,0))*OFFSET('Gastos com Pessoal'!$H$512,1,MATCH(3&amp;$B31,'Gastos com Pessoal'!$I$532:$AJ$532&amp;'Gastos com Pessoal'!$I$512:$AJ$512,0),10,1)),0)+_xlfn.IFNA(SUM((AY$3&gt;='Gastos com Pessoal'!$E$513:$E$522)*(AY$3&lt;='Gastos com Pessoal'!$F$513:$F$522)*(IF('Gastos com Pessoal'!$Y$513:$Y$522&lt;=AY$3,1,0))*OFFSET('Gastos com Pessoal'!$H$512,1,MATCH(4&amp;$B31,'Gastos com Pessoal'!$I$532:$AJ$532&amp;'Gastos com Pessoal'!$I$512:$AJ$512,0),10,1)),0)+_xlfn.IFNA(SUM((AY$3&gt;='Gastos com Pessoal'!$E$513:$E$522)*(AY$3&lt;='Gastos com Pessoal'!$F$513:$F$522)*(IF('Gastos com Pessoal'!$AE$513:$AE$522&lt;=AY$3,1,0))*OFFSET('Gastos com Pessoal'!$H$512,1,MATCH(5&amp;$B31,'Gastos com Pessoal'!$I$532:$AJ$532&amp;'Gastos com Pessoal'!$I$512:$AJ$512,0),10,1)),0)</f>
        <v>0</v>
      </c>
      <c r="AZ31" s="188">
        <f t="array" aca="1" ref="AZ31" ca="1">_xlfn.IFNA(SUM((AZ$3&gt;='Gastos com Pessoal'!$E$7:$E$506)*(AZ$3&lt;='Gastos com Pessoal'!$F$7:$F$506)*OFFSET('Encargos e Benefícios'!$D$5,1,MATCH($B31,'Encargos e Benefícios'!$E$5:$AB$5,0),500,1)),0)+_xlfn.IFNA(SUM((AZ$3&gt;='Gastos com Pessoal'!$E$513:$E$522)*(AZ$3&lt;='Gastos com Pessoal'!$F$513:$F$522)*OFFSET('Encargos e Benefícios'!$D$511,1,MATCH($B31,'Encargos e Benefícios'!$E$511:$AB$511,0),10,1)),0)+_xlfn.IFNA(SUM((AZ$3&gt;='Gastos com Pessoal'!$E$7:$E$506)*(AZ$3&lt;='Gastos com Pessoal'!$F$7:$F$506)*(IF('Gastos com Pessoal'!$G$7:$G$506&lt;=AZ$3,1,0))*OFFSET('Gastos com Pessoal'!$H$6,1,MATCH(1&amp;$B31,'Gastos com Pessoal'!$I$532:$AJ$532&amp;'Gastos com Pessoal'!$I$6:$AJ$6,0),500,1)),0)+_xlfn.IFNA(SUM((AZ$3&gt;='Gastos com Pessoal'!$E$7:$E$506)*(AZ$3&lt;='Gastos com Pessoal'!$F$7:$F$506)*(IF('Gastos com Pessoal'!$M$7:$M$506&lt;=AZ$3,1,0))*OFFSET('Gastos com Pessoal'!$H$6,1,MATCH(2&amp;$B31,'Gastos com Pessoal'!$I$532:$AJ$532&amp;'Gastos com Pessoal'!$I$6:$AJ$6,0),500,1)),0)+_xlfn.IFNA(SUM((AZ$3&gt;='Gastos com Pessoal'!$E$7:$E$506)*(AZ$3&lt;='Gastos com Pessoal'!$F$7:$F$506)*(IF('Gastos com Pessoal'!$S$7:$S$506&lt;=AZ$3,1,0))*OFFSET('Gastos com Pessoal'!$H$6,1,MATCH(3&amp;$B31,'Gastos com Pessoal'!$I$532:$AJ$532&amp;'Gastos com Pessoal'!$I$6:$AJ$6,0),500,1)),0)+_xlfn.IFNA(SUM((AZ$3&gt;='Gastos com Pessoal'!$E$7:$E$506)*(AZ$3&lt;='Gastos com Pessoal'!$F$7:$F$506)*(IF('Gastos com Pessoal'!$Y$7:$Y$506&lt;=AZ$3,1,0))*OFFSET('Gastos com Pessoal'!$H$6,1,MATCH(4&amp;$B31,'Gastos com Pessoal'!$I$532:$AJ$532&amp;'Gastos com Pessoal'!$I$6:$AJ$6,0),500,1)),0)+_xlfn.IFNA(SUM((AZ$3&gt;='Gastos com Pessoal'!$E$7:$E$506)*(AZ$3&lt;='Gastos com Pessoal'!$F$7:$F$506)*(IF('Gastos com Pessoal'!$AE$7:$AE$506&lt;=AZ$3,1,0))*OFFSET('Gastos com Pessoal'!$H$6,1,MATCH(5&amp;$B31,'Gastos com Pessoal'!$I$532:$AJ$532&amp;'Gastos com Pessoal'!$I$6:$AJ$6,0),500,1)),0)+_xlfn.IFNA(SUM((AZ$3&gt;='Gastos com Pessoal'!$E$513:$E$522)*(AZ$3&lt;='Gastos com Pessoal'!$F$513:$F$522)*(IF('Gastos com Pessoal'!$G$513:$G$522&lt;=AZ$3,1,0))*OFFSET('Gastos com Pessoal'!$H$512,1,MATCH(1&amp;$B31,'Gastos com Pessoal'!$I$532:$AJ$532&amp;'Gastos com Pessoal'!$I$512:$AJ$512,0),10,1)),0)+_xlfn.IFNA(SUM((AZ$3&gt;='Gastos com Pessoal'!$E$513:$E$522)*(AZ$3&lt;='Gastos com Pessoal'!$F$513:$F$522)*(IF('Gastos com Pessoal'!$M$513:$M$522&lt;=AZ$3,1,0))*OFFSET('Gastos com Pessoal'!$H$512,1,MATCH(2&amp;$B31,'Gastos com Pessoal'!$I$532:$AJ$532&amp;'Gastos com Pessoal'!$I$512:$AJ$512,0),10,1)),0)+_xlfn.IFNA(SUM((AZ$3&gt;='Gastos com Pessoal'!$E$513:$E$522)*(AZ$3&lt;='Gastos com Pessoal'!$F$513:$F$522)*(IF('Gastos com Pessoal'!$S$513:$S$522&lt;=AZ$3,1,0))*OFFSET('Gastos com Pessoal'!$H$512,1,MATCH(3&amp;$B31,'Gastos com Pessoal'!$I$532:$AJ$532&amp;'Gastos com Pessoal'!$I$512:$AJ$512,0),10,1)),0)+_xlfn.IFNA(SUM((AZ$3&gt;='Gastos com Pessoal'!$E$513:$E$522)*(AZ$3&lt;='Gastos com Pessoal'!$F$513:$F$522)*(IF('Gastos com Pessoal'!$Y$513:$Y$522&lt;=AZ$3,1,0))*OFFSET('Gastos com Pessoal'!$H$512,1,MATCH(4&amp;$B31,'Gastos com Pessoal'!$I$532:$AJ$532&amp;'Gastos com Pessoal'!$I$512:$AJ$512,0),10,1)),0)+_xlfn.IFNA(SUM((AZ$3&gt;='Gastos com Pessoal'!$E$513:$E$522)*(AZ$3&lt;='Gastos com Pessoal'!$F$513:$F$522)*(IF('Gastos com Pessoal'!$AE$513:$AE$522&lt;=AZ$3,1,0))*OFFSET('Gastos com Pessoal'!$H$512,1,MATCH(5&amp;$B31,'Gastos com Pessoal'!$I$532:$AJ$532&amp;'Gastos com Pessoal'!$I$512:$AJ$512,0),10,1)),0)</f>
        <v>0</v>
      </c>
      <c r="BA31" s="188">
        <f t="array" aca="1" ref="BA31" ca="1">_xlfn.IFNA(SUM((BA$3&gt;='Gastos com Pessoal'!$E$7:$E$506)*(BA$3&lt;='Gastos com Pessoal'!$F$7:$F$506)*OFFSET('Encargos e Benefícios'!$D$5,1,MATCH($B31,'Encargos e Benefícios'!$E$5:$AB$5,0),500,1)),0)+_xlfn.IFNA(SUM((BA$3&gt;='Gastos com Pessoal'!$E$513:$E$522)*(BA$3&lt;='Gastos com Pessoal'!$F$513:$F$522)*OFFSET('Encargos e Benefícios'!$D$511,1,MATCH($B31,'Encargos e Benefícios'!$E$511:$AB$511,0),10,1)),0)+_xlfn.IFNA(SUM((BA$3&gt;='Gastos com Pessoal'!$E$7:$E$506)*(BA$3&lt;='Gastos com Pessoal'!$F$7:$F$506)*(IF('Gastos com Pessoal'!$G$7:$G$506&lt;=BA$3,1,0))*OFFSET('Gastos com Pessoal'!$H$6,1,MATCH(1&amp;$B31,'Gastos com Pessoal'!$I$532:$AJ$532&amp;'Gastos com Pessoal'!$I$6:$AJ$6,0),500,1)),0)+_xlfn.IFNA(SUM((BA$3&gt;='Gastos com Pessoal'!$E$7:$E$506)*(BA$3&lt;='Gastos com Pessoal'!$F$7:$F$506)*(IF('Gastos com Pessoal'!$M$7:$M$506&lt;=BA$3,1,0))*OFFSET('Gastos com Pessoal'!$H$6,1,MATCH(2&amp;$B31,'Gastos com Pessoal'!$I$532:$AJ$532&amp;'Gastos com Pessoal'!$I$6:$AJ$6,0),500,1)),0)+_xlfn.IFNA(SUM((BA$3&gt;='Gastos com Pessoal'!$E$7:$E$506)*(BA$3&lt;='Gastos com Pessoal'!$F$7:$F$506)*(IF('Gastos com Pessoal'!$S$7:$S$506&lt;=BA$3,1,0))*OFFSET('Gastos com Pessoal'!$H$6,1,MATCH(3&amp;$B31,'Gastos com Pessoal'!$I$532:$AJ$532&amp;'Gastos com Pessoal'!$I$6:$AJ$6,0),500,1)),0)+_xlfn.IFNA(SUM((BA$3&gt;='Gastos com Pessoal'!$E$7:$E$506)*(BA$3&lt;='Gastos com Pessoal'!$F$7:$F$506)*(IF('Gastos com Pessoal'!$Y$7:$Y$506&lt;=BA$3,1,0))*OFFSET('Gastos com Pessoal'!$H$6,1,MATCH(4&amp;$B31,'Gastos com Pessoal'!$I$532:$AJ$532&amp;'Gastos com Pessoal'!$I$6:$AJ$6,0),500,1)),0)+_xlfn.IFNA(SUM((BA$3&gt;='Gastos com Pessoal'!$E$7:$E$506)*(BA$3&lt;='Gastos com Pessoal'!$F$7:$F$506)*(IF('Gastos com Pessoal'!$AE$7:$AE$506&lt;=BA$3,1,0))*OFFSET('Gastos com Pessoal'!$H$6,1,MATCH(5&amp;$B31,'Gastos com Pessoal'!$I$532:$AJ$532&amp;'Gastos com Pessoal'!$I$6:$AJ$6,0),500,1)),0)+_xlfn.IFNA(SUM((BA$3&gt;='Gastos com Pessoal'!$E$513:$E$522)*(BA$3&lt;='Gastos com Pessoal'!$F$513:$F$522)*(IF('Gastos com Pessoal'!$G$513:$G$522&lt;=BA$3,1,0))*OFFSET('Gastos com Pessoal'!$H$512,1,MATCH(1&amp;$B31,'Gastos com Pessoal'!$I$532:$AJ$532&amp;'Gastos com Pessoal'!$I$512:$AJ$512,0),10,1)),0)+_xlfn.IFNA(SUM((BA$3&gt;='Gastos com Pessoal'!$E$513:$E$522)*(BA$3&lt;='Gastos com Pessoal'!$F$513:$F$522)*(IF('Gastos com Pessoal'!$M$513:$M$522&lt;=BA$3,1,0))*OFFSET('Gastos com Pessoal'!$H$512,1,MATCH(2&amp;$B31,'Gastos com Pessoal'!$I$532:$AJ$532&amp;'Gastos com Pessoal'!$I$512:$AJ$512,0),10,1)),0)+_xlfn.IFNA(SUM((BA$3&gt;='Gastos com Pessoal'!$E$513:$E$522)*(BA$3&lt;='Gastos com Pessoal'!$F$513:$F$522)*(IF('Gastos com Pessoal'!$S$513:$S$522&lt;=BA$3,1,0))*OFFSET('Gastos com Pessoal'!$H$512,1,MATCH(3&amp;$B31,'Gastos com Pessoal'!$I$532:$AJ$532&amp;'Gastos com Pessoal'!$I$512:$AJ$512,0),10,1)),0)+_xlfn.IFNA(SUM((BA$3&gt;='Gastos com Pessoal'!$E$513:$E$522)*(BA$3&lt;='Gastos com Pessoal'!$F$513:$F$522)*(IF('Gastos com Pessoal'!$Y$513:$Y$522&lt;=BA$3,1,0))*OFFSET('Gastos com Pessoal'!$H$512,1,MATCH(4&amp;$B31,'Gastos com Pessoal'!$I$532:$AJ$532&amp;'Gastos com Pessoal'!$I$512:$AJ$512,0),10,1)),0)+_xlfn.IFNA(SUM((BA$3&gt;='Gastos com Pessoal'!$E$513:$E$522)*(BA$3&lt;='Gastos com Pessoal'!$F$513:$F$522)*(IF('Gastos com Pessoal'!$AE$513:$AE$522&lt;=BA$3,1,0))*OFFSET('Gastos com Pessoal'!$H$512,1,MATCH(5&amp;$B31,'Gastos com Pessoal'!$I$532:$AJ$532&amp;'Gastos com Pessoal'!$I$512:$AJ$512,0),10,1)),0)</f>
        <v>0</v>
      </c>
      <c r="BB31" s="188">
        <f t="array" aca="1" ref="BB31" ca="1">_xlfn.IFNA(SUM((BB$3&gt;='Gastos com Pessoal'!$E$7:$E$506)*(BB$3&lt;='Gastos com Pessoal'!$F$7:$F$506)*OFFSET('Encargos e Benefícios'!$D$5,1,MATCH($B31,'Encargos e Benefícios'!$E$5:$AB$5,0),500,1)),0)+_xlfn.IFNA(SUM((BB$3&gt;='Gastos com Pessoal'!$E$513:$E$522)*(BB$3&lt;='Gastos com Pessoal'!$F$513:$F$522)*OFFSET('Encargos e Benefícios'!$D$511,1,MATCH($B31,'Encargos e Benefícios'!$E$511:$AB$511,0),10,1)),0)+_xlfn.IFNA(SUM((BB$3&gt;='Gastos com Pessoal'!$E$7:$E$506)*(BB$3&lt;='Gastos com Pessoal'!$F$7:$F$506)*(IF('Gastos com Pessoal'!$G$7:$G$506&lt;=BB$3,1,0))*OFFSET('Gastos com Pessoal'!$H$6,1,MATCH(1&amp;$B31,'Gastos com Pessoal'!$I$532:$AJ$532&amp;'Gastos com Pessoal'!$I$6:$AJ$6,0),500,1)),0)+_xlfn.IFNA(SUM((BB$3&gt;='Gastos com Pessoal'!$E$7:$E$506)*(BB$3&lt;='Gastos com Pessoal'!$F$7:$F$506)*(IF('Gastos com Pessoal'!$M$7:$M$506&lt;=BB$3,1,0))*OFFSET('Gastos com Pessoal'!$H$6,1,MATCH(2&amp;$B31,'Gastos com Pessoal'!$I$532:$AJ$532&amp;'Gastos com Pessoal'!$I$6:$AJ$6,0),500,1)),0)+_xlfn.IFNA(SUM((BB$3&gt;='Gastos com Pessoal'!$E$7:$E$506)*(BB$3&lt;='Gastos com Pessoal'!$F$7:$F$506)*(IF('Gastos com Pessoal'!$S$7:$S$506&lt;=BB$3,1,0))*OFFSET('Gastos com Pessoal'!$H$6,1,MATCH(3&amp;$B31,'Gastos com Pessoal'!$I$532:$AJ$532&amp;'Gastos com Pessoal'!$I$6:$AJ$6,0),500,1)),0)+_xlfn.IFNA(SUM((BB$3&gt;='Gastos com Pessoal'!$E$7:$E$506)*(BB$3&lt;='Gastos com Pessoal'!$F$7:$F$506)*(IF('Gastos com Pessoal'!$Y$7:$Y$506&lt;=BB$3,1,0))*OFFSET('Gastos com Pessoal'!$H$6,1,MATCH(4&amp;$B31,'Gastos com Pessoal'!$I$532:$AJ$532&amp;'Gastos com Pessoal'!$I$6:$AJ$6,0),500,1)),0)+_xlfn.IFNA(SUM((BB$3&gt;='Gastos com Pessoal'!$E$7:$E$506)*(BB$3&lt;='Gastos com Pessoal'!$F$7:$F$506)*(IF('Gastos com Pessoal'!$AE$7:$AE$506&lt;=BB$3,1,0))*OFFSET('Gastos com Pessoal'!$H$6,1,MATCH(5&amp;$B31,'Gastos com Pessoal'!$I$532:$AJ$532&amp;'Gastos com Pessoal'!$I$6:$AJ$6,0),500,1)),0)+_xlfn.IFNA(SUM((BB$3&gt;='Gastos com Pessoal'!$E$513:$E$522)*(BB$3&lt;='Gastos com Pessoal'!$F$513:$F$522)*(IF('Gastos com Pessoal'!$G$513:$G$522&lt;=BB$3,1,0))*OFFSET('Gastos com Pessoal'!$H$512,1,MATCH(1&amp;$B31,'Gastos com Pessoal'!$I$532:$AJ$532&amp;'Gastos com Pessoal'!$I$512:$AJ$512,0),10,1)),0)+_xlfn.IFNA(SUM((BB$3&gt;='Gastos com Pessoal'!$E$513:$E$522)*(BB$3&lt;='Gastos com Pessoal'!$F$513:$F$522)*(IF('Gastos com Pessoal'!$M$513:$M$522&lt;=BB$3,1,0))*OFFSET('Gastos com Pessoal'!$H$512,1,MATCH(2&amp;$B31,'Gastos com Pessoal'!$I$532:$AJ$532&amp;'Gastos com Pessoal'!$I$512:$AJ$512,0),10,1)),0)+_xlfn.IFNA(SUM((BB$3&gt;='Gastos com Pessoal'!$E$513:$E$522)*(BB$3&lt;='Gastos com Pessoal'!$F$513:$F$522)*(IF('Gastos com Pessoal'!$S$513:$S$522&lt;=BB$3,1,0))*OFFSET('Gastos com Pessoal'!$H$512,1,MATCH(3&amp;$B31,'Gastos com Pessoal'!$I$532:$AJ$532&amp;'Gastos com Pessoal'!$I$512:$AJ$512,0),10,1)),0)+_xlfn.IFNA(SUM((BB$3&gt;='Gastos com Pessoal'!$E$513:$E$522)*(BB$3&lt;='Gastos com Pessoal'!$F$513:$F$522)*(IF('Gastos com Pessoal'!$Y$513:$Y$522&lt;=BB$3,1,0))*OFFSET('Gastos com Pessoal'!$H$512,1,MATCH(4&amp;$B31,'Gastos com Pessoal'!$I$532:$AJ$532&amp;'Gastos com Pessoal'!$I$512:$AJ$512,0),10,1)),0)+_xlfn.IFNA(SUM((BB$3&gt;='Gastos com Pessoal'!$E$513:$E$522)*(BB$3&lt;='Gastos com Pessoal'!$F$513:$F$522)*(IF('Gastos com Pessoal'!$AE$513:$AE$522&lt;=BB$3,1,0))*OFFSET('Gastos com Pessoal'!$H$512,1,MATCH(5&amp;$B31,'Gastos com Pessoal'!$I$532:$AJ$532&amp;'Gastos com Pessoal'!$I$512:$AJ$512,0),10,1)),0)</f>
        <v>0</v>
      </c>
      <c r="BC31" s="188">
        <f t="array" aca="1" ref="BC31" ca="1">_xlfn.IFNA(SUM((BC$3&gt;='Gastos com Pessoal'!$E$7:$E$506)*(BC$3&lt;='Gastos com Pessoal'!$F$7:$F$506)*OFFSET('Encargos e Benefícios'!$D$5,1,MATCH($B31,'Encargos e Benefícios'!$E$5:$AB$5,0),500,1)),0)+_xlfn.IFNA(SUM((BC$3&gt;='Gastos com Pessoal'!$E$513:$E$522)*(BC$3&lt;='Gastos com Pessoal'!$F$513:$F$522)*OFFSET('Encargos e Benefícios'!$D$511,1,MATCH($B31,'Encargos e Benefícios'!$E$511:$AB$511,0),10,1)),0)+_xlfn.IFNA(SUM((BC$3&gt;='Gastos com Pessoal'!$E$7:$E$506)*(BC$3&lt;='Gastos com Pessoal'!$F$7:$F$506)*(IF('Gastos com Pessoal'!$G$7:$G$506&lt;=BC$3,1,0))*OFFSET('Gastos com Pessoal'!$H$6,1,MATCH(1&amp;$B31,'Gastos com Pessoal'!$I$532:$AJ$532&amp;'Gastos com Pessoal'!$I$6:$AJ$6,0),500,1)),0)+_xlfn.IFNA(SUM((BC$3&gt;='Gastos com Pessoal'!$E$7:$E$506)*(BC$3&lt;='Gastos com Pessoal'!$F$7:$F$506)*(IF('Gastos com Pessoal'!$M$7:$M$506&lt;=BC$3,1,0))*OFFSET('Gastos com Pessoal'!$H$6,1,MATCH(2&amp;$B31,'Gastos com Pessoal'!$I$532:$AJ$532&amp;'Gastos com Pessoal'!$I$6:$AJ$6,0),500,1)),0)+_xlfn.IFNA(SUM((BC$3&gt;='Gastos com Pessoal'!$E$7:$E$506)*(BC$3&lt;='Gastos com Pessoal'!$F$7:$F$506)*(IF('Gastos com Pessoal'!$S$7:$S$506&lt;=BC$3,1,0))*OFFSET('Gastos com Pessoal'!$H$6,1,MATCH(3&amp;$B31,'Gastos com Pessoal'!$I$532:$AJ$532&amp;'Gastos com Pessoal'!$I$6:$AJ$6,0),500,1)),0)+_xlfn.IFNA(SUM((BC$3&gt;='Gastos com Pessoal'!$E$7:$E$506)*(BC$3&lt;='Gastos com Pessoal'!$F$7:$F$506)*(IF('Gastos com Pessoal'!$Y$7:$Y$506&lt;=BC$3,1,0))*OFFSET('Gastos com Pessoal'!$H$6,1,MATCH(4&amp;$B31,'Gastos com Pessoal'!$I$532:$AJ$532&amp;'Gastos com Pessoal'!$I$6:$AJ$6,0),500,1)),0)+_xlfn.IFNA(SUM((BC$3&gt;='Gastos com Pessoal'!$E$7:$E$506)*(BC$3&lt;='Gastos com Pessoal'!$F$7:$F$506)*(IF('Gastos com Pessoal'!$AE$7:$AE$506&lt;=BC$3,1,0))*OFFSET('Gastos com Pessoal'!$H$6,1,MATCH(5&amp;$B31,'Gastos com Pessoal'!$I$532:$AJ$532&amp;'Gastos com Pessoal'!$I$6:$AJ$6,0),500,1)),0)+_xlfn.IFNA(SUM((BC$3&gt;='Gastos com Pessoal'!$E$513:$E$522)*(BC$3&lt;='Gastos com Pessoal'!$F$513:$F$522)*(IF('Gastos com Pessoal'!$G$513:$G$522&lt;=BC$3,1,0))*OFFSET('Gastos com Pessoal'!$H$512,1,MATCH(1&amp;$B31,'Gastos com Pessoal'!$I$532:$AJ$532&amp;'Gastos com Pessoal'!$I$512:$AJ$512,0),10,1)),0)+_xlfn.IFNA(SUM((BC$3&gt;='Gastos com Pessoal'!$E$513:$E$522)*(BC$3&lt;='Gastos com Pessoal'!$F$513:$F$522)*(IF('Gastos com Pessoal'!$M$513:$M$522&lt;=BC$3,1,0))*OFFSET('Gastos com Pessoal'!$H$512,1,MATCH(2&amp;$B31,'Gastos com Pessoal'!$I$532:$AJ$532&amp;'Gastos com Pessoal'!$I$512:$AJ$512,0),10,1)),0)+_xlfn.IFNA(SUM((BC$3&gt;='Gastos com Pessoal'!$E$513:$E$522)*(BC$3&lt;='Gastos com Pessoal'!$F$513:$F$522)*(IF('Gastos com Pessoal'!$S$513:$S$522&lt;=BC$3,1,0))*OFFSET('Gastos com Pessoal'!$H$512,1,MATCH(3&amp;$B31,'Gastos com Pessoal'!$I$532:$AJ$532&amp;'Gastos com Pessoal'!$I$512:$AJ$512,0),10,1)),0)+_xlfn.IFNA(SUM((BC$3&gt;='Gastos com Pessoal'!$E$513:$E$522)*(BC$3&lt;='Gastos com Pessoal'!$F$513:$F$522)*(IF('Gastos com Pessoal'!$Y$513:$Y$522&lt;=BC$3,1,0))*OFFSET('Gastos com Pessoal'!$H$512,1,MATCH(4&amp;$B31,'Gastos com Pessoal'!$I$532:$AJ$532&amp;'Gastos com Pessoal'!$I$512:$AJ$512,0),10,1)),0)+_xlfn.IFNA(SUM((BC$3&gt;='Gastos com Pessoal'!$E$513:$E$522)*(BC$3&lt;='Gastos com Pessoal'!$F$513:$F$522)*(IF('Gastos com Pessoal'!$AE$513:$AE$522&lt;=BC$3,1,0))*OFFSET('Gastos com Pessoal'!$H$512,1,MATCH(5&amp;$B31,'Gastos com Pessoal'!$I$532:$AJ$532&amp;'Gastos com Pessoal'!$I$512:$AJ$512,0),10,1)),0)</f>
        <v>0</v>
      </c>
      <c r="BD31" s="188">
        <f t="array" aca="1" ref="BD31" ca="1">_xlfn.IFNA(SUM((BD$3&gt;='Gastos com Pessoal'!$E$7:$E$506)*(BD$3&lt;='Gastos com Pessoal'!$F$7:$F$506)*OFFSET('Encargos e Benefícios'!$D$5,1,MATCH($B31,'Encargos e Benefícios'!$E$5:$AB$5,0),500,1)),0)+_xlfn.IFNA(SUM((BD$3&gt;='Gastos com Pessoal'!$E$513:$E$522)*(BD$3&lt;='Gastos com Pessoal'!$F$513:$F$522)*OFFSET('Encargos e Benefícios'!$D$511,1,MATCH($B31,'Encargos e Benefícios'!$E$511:$AB$511,0),10,1)),0)+_xlfn.IFNA(SUM((BD$3&gt;='Gastos com Pessoal'!$E$7:$E$506)*(BD$3&lt;='Gastos com Pessoal'!$F$7:$F$506)*(IF('Gastos com Pessoal'!$G$7:$G$506&lt;=BD$3,1,0))*OFFSET('Gastos com Pessoal'!$H$6,1,MATCH(1&amp;$B31,'Gastos com Pessoal'!$I$532:$AJ$532&amp;'Gastos com Pessoal'!$I$6:$AJ$6,0),500,1)),0)+_xlfn.IFNA(SUM((BD$3&gt;='Gastos com Pessoal'!$E$7:$E$506)*(BD$3&lt;='Gastos com Pessoal'!$F$7:$F$506)*(IF('Gastos com Pessoal'!$M$7:$M$506&lt;=BD$3,1,0))*OFFSET('Gastos com Pessoal'!$H$6,1,MATCH(2&amp;$B31,'Gastos com Pessoal'!$I$532:$AJ$532&amp;'Gastos com Pessoal'!$I$6:$AJ$6,0),500,1)),0)+_xlfn.IFNA(SUM((BD$3&gt;='Gastos com Pessoal'!$E$7:$E$506)*(BD$3&lt;='Gastos com Pessoal'!$F$7:$F$506)*(IF('Gastos com Pessoal'!$S$7:$S$506&lt;=BD$3,1,0))*OFFSET('Gastos com Pessoal'!$H$6,1,MATCH(3&amp;$B31,'Gastos com Pessoal'!$I$532:$AJ$532&amp;'Gastos com Pessoal'!$I$6:$AJ$6,0),500,1)),0)+_xlfn.IFNA(SUM((BD$3&gt;='Gastos com Pessoal'!$E$7:$E$506)*(BD$3&lt;='Gastos com Pessoal'!$F$7:$F$506)*(IF('Gastos com Pessoal'!$Y$7:$Y$506&lt;=BD$3,1,0))*OFFSET('Gastos com Pessoal'!$H$6,1,MATCH(4&amp;$B31,'Gastos com Pessoal'!$I$532:$AJ$532&amp;'Gastos com Pessoal'!$I$6:$AJ$6,0),500,1)),0)+_xlfn.IFNA(SUM((BD$3&gt;='Gastos com Pessoal'!$E$7:$E$506)*(BD$3&lt;='Gastos com Pessoal'!$F$7:$F$506)*(IF('Gastos com Pessoal'!$AE$7:$AE$506&lt;=BD$3,1,0))*OFFSET('Gastos com Pessoal'!$H$6,1,MATCH(5&amp;$B31,'Gastos com Pessoal'!$I$532:$AJ$532&amp;'Gastos com Pessoal'!$I$6:$AJ$6,0),500,1)),0)+_xlfn.IFNA(SUM((BD$3&gt;='Gastos com Pessoal'!$E$513:$E$522)*(BD$3&lt;='Gastos com Pessoal'!$F$513:$F$522)*(IF('Gastos com Pessoal'!$G$513:$G$522&lt;=BD$3,1,0))*OFFSET('Gastos com Pessoal'!$H$512,1,MATCH(1&amp;$B31,'Gastos com Pessoal'!$I$532:$AJ$532&amp;'Gastos com Pessoal'!$I$512:$AJ$512,0),10,1)),0)+_xlfn.IFNA(SUM((BD$3&gt;='Gastos com Pessoal'!$E$513:$E$522)*(BD$3&lt;='Gastos com Pessoal'!$F$513:$F$522)*(IF('Gastos com Pessoal'!$M$513:$M$522&lt;=BD$3,1,0))*OFFSET('Gastos com Pessoal'!$H$512,1,MATCH(2&amp;$B31,'Gastos com Pessoal'!$I$532:$AJ$532&amp;'Gastos com Pessoal'!$I$512:$AJ$512,0),10,1)),0)+_xlfn.IFNA(SUM((BD$3&gt;='Gastos com Pessoal'!$E$513:$E$522)*(BD$3&lt;='Gastos com Pessoal'!$F$513:$F$522)*(IF('Gastos com Pessoal'!$S$513:$S$522&lt;=BD$3,1,0))*OFFSET('Gastos com Pessoal'!$H$512,1,MATCH(3&amp;$B31,'Gastos com Pessoal'!$I$532:$AJ$532&amp;'Gastos com Pessoal'!$I$512:$AJ$512,0),10,1)),0)+_xlfn.IFNA(SUM((BD$3&gt;='Gastos com Pessoal'!$E$513:$E$522)*(BD$3&lt;='Gastos com Pessoal'!$F$513:$F$522)*(IF('Gastos com Pessoal'!$Y$513:$Y$522&lt;=BD$3,1,0))*OFFSET('Gastos com Pessoal'!$H$512,1,MATCH(4&amp;$B31,'Gastos com Pessoal'!$I$532:$AJ$532&amp;'Gastos com Pessoal'!$I$512:$AJ$512,0),10,1)),0)+_xlfn.IFNA(SUM((BD$3&gt;='Gastos com Pessoal'!$E$513:$E$522)*(BD$3&lt;='Gastos com Pessoal'!$F$513:$F$522)*(IF('Gastos com Pessoal'!$AE$513:$AE$522&lt;=BD$3,1,0))*OFFSET('Gastos com Pessoal'!$H$512,1,MATCH(5&amp;$B31,'Gastos com Pessoal'!$I$532:$AJ$532&amp;'Gastos com Pessoal'!$I$512:$AJ$512,0),10,1)),0)</f>
        <v>0</v>
      </c>
      <c r="BE31" s="188">
        <f t="array" aca="1" ref="BE31" ca="1">_xlfn.IFNA(SUM((BE$3&gt;='Gastos com Pessoal'!$E$7:$E$506)*(BE$3&lt;='Gastos com Pessoal'!$F$7:$F$506)*OFFSET('Encargos e Benefícios'!$D$5,1,MATCH($B31,'Encargos e Benefícios'!$E$5:$AB$5,0),500,1)),0)+_xlfn.IFNA(SUM((BE$3&gt;='Gastos com Pessoal'!$E$513:$E$522)*(BE$3&lt;='Gastos com Pessoal'!$F$513:$F$522)*OFFSET('Encargos e Benefícios'!$D$511,1,MATCH($B31,'Encargos e Benefícios'!$E$511:$AB$511,0),10,1)),0)+_xlfn.IFNA(SUM((BE$3&gt;='Gastos com Pessoal'!$E$7:$E$506)*(BE$3&lt;='Gastos com Pessoal'!$F$7:$F$506)*(IF('Gastos com Pessoal'!$G$7:$G$506&lt;=BE$3,1,0))*OFFSET('Gastos com Pessoal'!$H$6,1,MATCH(1&amp;$B31,'Gastos com Pessoal'!$I$532:$AJ$532&amp;'Gastos com Pessoal'!$I$6:$AJ$6,0),500,1)),0)+_xlfn.IFNA(SUM((BE$3&gt;='Gastos com Pessoal'!$E$7:$E$506)*(BE$3&lt;='Gastos com Pessoal'!$F$7:$F$506)*(IF('Gastos com Pessoal'!$M$7:$M$506&lt;=BE$3,1,0))*OFFSET('Gastos com Pessoal'!$H$6,1,MATCH(2&amp;$B31,'Gastos com Pessoal'!$I$532:$AJ$532&amp;'Gastos com Pessoal'!$I$6:$AJ$6,0),500,1)),0)+_xlfn.IFNA(SUM((BE$3&gt;='Gastos com Pessoal'!$E$7:$E$506)*(BE$3&lt;='Gastos com Pessoal'!$F$7:$F$506)*(IF('Gastos com Pessoal'!$S$7:$S$506&lt;=BE$3,1,0))*OFFSET('Gastos com Pessoal'!$H$6,1,MATCH(3&amp;$B31,'Gastos com Pessoal'!$I$532:$AJ$532&amp;'Gastos com Pessoal'!$I$6:$AJ$6,0),500,1)),0)+_xlfn.IFNA(SUM((BE$3&gt;='Gastos com Pessoal'!$E$7:$E$506)*(BE$3&lt;='Gastos com Pessoal'!$F$7:$F$506)*(IF('Gastos com Pessoal'!$Y$7:$Y$506&lt;=BE$3,1,0))*OFFSET('Gastos com Pessoal'!$H$6,1,MATCH(4&amp;$B31,'Gastos com Pessoal'!$I$532:$AJ$532&amp;'Gastos com Pessoal'!$I$6:$AJ$6,0),500,1)),0)+_xlfn.IFNA(SUM((BE$3&gt;='Gastos com Pessoal'!$E$7:$E$506)*(BE$3&lt;='Gastos com Pessoal'!$F$7:$F$506)*(IF('Gastos com Pessoal'!$AE$7:$AE$506&lt;=BE$3,1,0))*OFFSET('Gastos com Pessoal'!$H$6,1,MATCH(5&amp;$B31,'Gastos com Pessoal'!$I$532:$AJ$532&amp;'Gastos com Pessoal'!$I$6:$AJ$6,0),500,1)),0)+_xlfn.IFNA(SUM((BE$3&gt;='Gastos com Pessoal'!$E$513:$E$522)*(BE$3&lt;='Gastos com Pessoal'!$F$513:$F$522)*(IF('Gastos com Pessoal'!$G$513:$G$522&lt;=BE$3,1,0))*OFFSET('Gastos com Pessoal'!$H$512,1,MATCH(1&amp;$B31,'Gastos com Pessoal'!$I$532:$AJ$532&amp;'Gastos com Pessoal'!$I$512:$AJ$512,0),10,1)),0)+_xlfn.IFNA(SUM((BE$3&gt;='Gastos com Pessoal'!$E$513:$E$522)*(BE$3&lt;='Gastos com Pessoal'!$F$513:$F$522)*(IF('Gastos com Pessoal'!$M$513:$M$522&lt;=BE$3,1,0))*OFFSET('Gastos com Pessoal'!$H$512,1,MATCH(2&amp;$B31,'Gastos com Pessoal'!$I$532:$AJ$532&amp;'Gastos com Pessoal'!$I$512:$AJ$512,0),10,1)),0)+_xlfn.IFNA(SUM((BE$3&gt;='Gastos com Pessoal'!$E$513:$E$522)*(BE$3&lt;='Gastos com Pessoal'!$F$513:$F$522)*(IF('Gastos com Pessoal'!$S$513:$S$522&lt;=BE$3,1,0))*OFFSET('Gastos com Pessoal'!$H$512,1,MATCH(3&amp;$B31,'Gastos com Pessoal'!$I$532:$AJ$532&amp;'Gastos com Pessoal'!$I$512:$AJ$512,0),10,1)),0)+_xlfn.IFNA(SUM((BE$3&gt;='Gastos com Pessoal'!$E$513:$E$522)*(BE$3&lt;='Gastos com Pessoal'!$F$513:$F$522)*(IF('Gastos com Pessoal'!$Y$513:$Y$522&lt;=BE$3,1,0))*OFFSET('Gastos com Pessoal'!$H$512,1,MATCH(4&amp;$B31,'Gastos com Pessoal'!$I$532:$AJ$532&amp;'Gastos com Pessoal'!$I$512:$AJ$512,0),10,1)),0)+_xlfn.IFNA(SUM((BE$3&gt;='Gastos com Pessoal'!$E$513:$E$522)*(BE$3&lt;='Gastos com Pessoal'!$F$513:$F$522)*(IF('Gastos com Pessoal'!$AE$513:$AE$522&lt;=BE$3,1,0))*OFFSET('Gastos com Pessoal'!$H$512,1,MATCH(5&amp;$B31,'Gastos com Pessoal'!$I$532:$AJ$532&amp;'Gastos com Pessoal'!$I$512:$AJ$512,0),10,1)),0)</f>
        <v>0</v>
      </c>
      <c r="BF31" s="188">
        <f t="array" aca="1" ref="BF31" ca="1">_xlfn.IFNA(SUM((BF$3&gt;='Gastos com Pessoal'!$E$7:$E$506)*(BF$3&lt;='Gastos com Pessoal'!$F$7:$F$506)*OFFSET('Encargos e Benefícios'!$D$5,1,MATCH($B31,'Encargos e Benefícios'!$E$5:$AB$5,0),500,1)),0)+_xlfn.IFNA(SUM((BF$3&gt;='Gastos com Pessoal'!$E$513:$E$522)*(BF$3&lt;='Gastos com Pessoal'!$F$513:$F$522)*OFFSET('Encargos e Benefícios'!$D$511,1,MATCH($B31,'Encargos e Benefícios'!$E$511:$AB$511,0),10,1)),0)+_xlfn.IFNA(SUM((BF$3&gt;='Gastos com Pessoal'!$E$7:$E$506)*(BF$3&lt;='Gastos com Pessoal'!$F$7:$F$506)*(IF('Gastos com Pessoal'!$G$7:$G$506&lt;=BF$3,1,0))*OFFSET('Gastos com Pessoal'!$H$6,1,MATCH(1&amp;$B31,'Gastos com Pessoal'!$I$532:$AJ$532&amp;'Gastos com Pessoal'!$I$6:$AJ$6,0),500,1)),0)+_xlfn.IFNA(SUM((BF$3&gt;='Gastos com Pessoal'!$E$7:$E$506)*(BF$3&lt;='Gastos com Pessoal'!$F$7:$F$506)*(IF('Gastos com Pessoal'!$M$7:$M$506&lt;=BF$3,1,0))*OFFSET('Gastos com Pessoal'!$H$6,1,MATCH(2&amp;$B31,'Gastos com Pessoal'!$I$532:$AJ$532&amp;'Gastos com Pessoal'!$I$6:$AJ$6,0),500,1)),0)+_xlfn.IFNA(SUM((BF$3&gt;='Gastos com Pessoal'!$E$7:$E$506)*(BF$3&lt;='Gastos com Pessoal'!$F$7:$F$506)*(IF('Gastos com Pessoal'!$S$7:$S$506&lt;=BF$3,1,0))*OFFSET('Gastos com Pessoal'!$H$6,1,MATCH(3&amp;$B31,'Gastos com Pessoal'!$I$532:$AJ$532&amp;'Gastos com Pessoal'!$I$6:$AJ$6,0),500,1)),0)+_xlfn.IFNA(SUM((BF$3&gt;='Gastos com Pessoal'!$E$7:$E$506)*(BF$3&lt;='Gastos com Pessoal'!$F$7:$F$506)*(IF('Gastos com Pessoal'!$Y$7:$Y$506&lt;=BF$3,1,0))*OFFSET('Gastos com Pessoal'!$H$6,1,MATCH(4&amp;$B31,'Gastos com Pessoal'!$I$532:$AJ$532&amp;'Gastos com Pessoal'!$I$6:$AJ$6,0),500,1)),0)+_xlfn.IFNA(SUM((BF$3&gt;='Gastos com Pessoal'!$E$7:$E$506)*(BF$3&lt;='Gastos com Pessoal'!$F$7:$F$506)*(IF('Gastos com Pessoal'!$AE$7:$AE$506&lt;=BF$3,1,0))*OFFSET('Gastos com Pessoal'!$H$6,1,MATCH(5&amp;$B31,'Gastos com Pessoal'!$I$532:$AJ$532&amp;'Gastos com Pessoal'!$I$6:$AJ$6,0),500,1)),0)+_xlfn.IFNA(SUM((BF$3&gt;='Gastos com Pessoal'!$E$513:$E$522)*(BF$3&lt;='Gastos com Pessoal'!$F$513:$F$522)*(IF('Gastos com Pessoal'!$G$513:$G$522&lt;=BF$3,1,0))*OFFSET('Gastos com Pessoal'!$H$512,1,MATCH(1&amp;$B31,'Gastos com Pessoal'!$I$532:$AJ$532&amp;'Gastos com Pessoal'!$I$512:$AJ$512,0),10,1)),0)+_xlfn.IFNA(SUM((BF$3&gt;='Gastos com Pessoal'!$E$513:$E$522)*(BF$3&lt;='Gastos com Pessoal'!$F$513:$F$522)*(IF('Gastos com Pessoal'!$M$513:$M$522&lt;=BF$3,1,0))*OFFSET('Gastos com Pessoal'!$H$512,1,MATCH(2&amp;$B31,'Gastos com Pessoal'!$I$532:$AJ$532&amp;'Gastos com Pessoal'!$I$512:$AJ$512,0),10,1)),0)+_xlfn.IFNA(SUM((BF$3&gt;='Gastos com Pessoal'!$E$513:$E$522)*(BF$3&lt;='Gastos com Pessoal'!$F$513:$F$522)*(IF('Gastos com Pessoal'!$S$513:$S$522&lt;=BF$3,1,0))*OFFSET('Gastos com Pessoal'!$H$512,1,MATCH(3&amp;$B31,'Gastos com Pessoal'!$I$532:$AJ$532&amp;'Gastos com Pessoal'!$I$512:$AJ$512,0),10,1)),0)+_xlfn.IFNA(SUM((BF$3&gt;='Gastos com Pessoal'!$E$513:$E$522)*(BF$3&lt;='Gastos com Pessoal'!$F$513:$F$522)*(IF('Gastos com Pessoal'!$Y$513:$Y$522&lt;=BF$3,1,0))*OFFSET('Gastos com Pessoal'!$H$512,1,MATCH(4&amp;$B31,'Gastos com Pessoal'!$I$532:$AJ$532&amp;'Gastos com Pessoal'!$I$512:$AJ$512,0),10,1)),0)+_xlfn.IFNA(SUM((BF$3&gt;='Gastos com Pessoal'!$E$513:$E$522)*(BF$3&lt;='Gastos com Pessoal'!$F$513:$F$522)*(IF('Gastos com Pessoal'!$AE$513:$AE$522&lt;=BF$3,1,0))*OFFSET('Gastos com Pessoal'!$H$512,1,MATCH(5&amp;$B31,'Gastos com Pessoal'!$I$532:$AJ$532&amp;'Gastos com Pessoal'!$I$512:$AJ$512,0),10,1)),0)</f>
        <v>0</v>
      </c>
      <c r="BG31" s="188">
        <f t="array" aca="1" ref="BG31" ca="1">_xlfn.IFNA(SUM((BG$3&gt;='Gastos com Pessoal'!$E$7:$E$506)*(BG$3&lt;='Gastos com Pessoal'!$F$7:$F$506)*OFFSET('Encargos e Benefícios'!$D$5,1,MATCH($B31,'Encargos e Benefícios'!$E$5:$AB$5,0),500,1)),0)+_xlfn.IFNA(SUM((BG$3&gt;='Gastos com Pessoal'!$E$513:$E$522)*(BG$3&lt;='Gastos com Pessoal'!$F$513:$F$522)*OFFSET('Encargos e Benefícios'!$D$511,1,MATCH($B31,'Encargos e Benefícios'!$E$511:$AB$511,0),10,1)),0)+_xlfn.IFNA(SUM((BG$3&gt;='Gastos com Pessoal'!$E$7:$E$506)*(BG$3&lt;='Gastos com Pessoal'!$F$7:$F$506)*(IF('Gastos com Pessoal'!$G$7:$G$506&lt;=BG$3,1,0))*OFFSET('Gastos com Pessoal'!$H$6,1,MATCH(1&amp;$B31,'Gastos com Pessoal'!$I$532:$AJ$532&amp;'Gastos com Pessoal'!$I$6:$AJ$6,0),500,1)),0)+_xlfn.IFNA(SUM((BG$3&gt;='Gastos com Pessoal'!$E$7:$E$506)*(BG$3&lt;='Gastos com Pessoal'!$F$7:$F$506)*(IF('Gastos com Pessoal'!$M$7:$M$506&lt;=BG$3,1,0))*OFFSET('Gastos com Pessoal'!$H$6,1,MATCH(2&amp;$B31,'Gastos com Pessoal'!$I$532:$AJ$532&amp;'Gastos com Pessoal'!$I$6:$AJ$6,0),500,1)),0)+_xlfn.IFNA(SUM((BG$3&gt;='Gastos com Pessoal'!$E$7:$E$506)*(BG$3&lt;='Gastos com Pessoal'!$F$7:$F$506)*(IF('Gastos com Pessoal'!$S$7:$S$506&lt;=BG$3,1,0))*OFFSET('Gastos com Pessoal'!$H$6,1,MATCH(3&amp;$B31,'Gastos com Pessoal'!$I$532:$AJ$532&amp;'Gastos com Pessoal'!$I$6:$AJ$6,0),500,1)),0)+_xlfn.IFNA(SUM((BG$3&gt;='Gastos com Pessoal'!$E$7:$E$506)*(BG$3&lt;='Gastos com Pessoal'!$F$7:$F$506)*(IF('Gastos com Pessoal'!$Y$7:$Y$506&lt;=BG$3,1,0))*OFFSET('Gastos com Pessoal'!$H$6,1,MATCH(4&amp;$B31,'Gastos com Pessoal'!$I$532:$AJ$532&amp;'Gastos com Pessoal'!$I$6:$AJ$6,0),500,1)),0)+_xlfn.IFNA(SUM((BG$3&gt;='Gastos com Pessoal'!$E$7:$E$506)*(BG$3&lt;='Gastos com Pessoal'!$F$7:$F$506)*(IF('Gastos com Pessoal'!$AE$7:$AE$506&lt;=BG$3,1,0))*OFFSET('Gastos com Pessoal'!$H$6,1,MATCH(5&amp;$B31,'Gastos com Pessoal'!$I$532:$AJ$532&amp;'Gastos com Pessoal'!$I$6:$AJ$6,0),500,1)),0)+_xlfn.IFNA(SUM((BG$3&gt;='Gastos com Pessoal'!$E$513:$E$522)*(BG$3&lt;='Gastos com Pessoal'!$F$513:$F$522)*(IF('Gastos com Pessoal'!$G$513:$G$522&lt;=BG$3,1,0))*OFFSET('Gastos com Pessoal'!$H$512,1,MATCH(1&amp;$B31,'Gastos com Pessoal'!$I$532:$AJ$532&amp;'Gastos com Pessoal'!$I$512:$AJ$512,0),10,1)),0)+_xlfn.IFNA(SUM((BG$3&gt;='Gastos com Pessoal'!$E$513:$E$522)*(BG$3&lt;='Gastos com Pessoal'!$F$513:$F$522)*(IF('Gastos com Pessoal'!$M$513:$M$522&lt;=BG$3,1,0))*OFFSET('Gastos com Pessoal'!$H$512,1,MATCH(2&amp;$B31,'Gastos com Pessoal'!$I$532:$AJ$532&amp;'Gastos com Pessoal'!$I$512:$AJ$512,0),10,1)),0)+_xlfn.IFNA(SUM((BG$3&gt;='Gastos com Pessoal'!$E$513:$E$522)*(BG$3&lt;='Gastos com Pessoal'!$F$513:$F$522)*(IF('Gastos com Pessoal'!$S$513:$S$522&lt;=BG$3,1,0))*OFFSET('Gastos com Pessoal'!$H$512,1,MATCH(3&amp;$B31,'Gastos com Pessoal'!$I$532:$AJ$532&amp;'Gastos com Pessoal'!$I$512:$AJ$512,0),10,1)),0)+_xlfn.IFNA(SUM((BG$3&gt;='Gastos com Pessoal'!$E$513:$E$522)*(BG$3&lt;='Gastos com Pessoal'!$F$513:$F$522)*(IF('Gastos com Pessoal'!$Y$513:$Y$522&lt;=BG$3,1,0))*OFFSET('Gastos com Pessoal'!$H$512,1,MATCH(4&amp;$B31,'Gastos com Pessoal'!$I$532:$AJ$532&amp;'Gastos com Pessoal'!$I$512:$AJ$512,0),10,1)),0)+_xlfn.IFNA(SUM((BG$3&gt;='Gastos com Pessoal'!$E$513:$E$522)*(BG$3&lt;='Gastos com Pessoal'!$F$513:$F$522)*(IF('Gastos com Pessoal'!$AE$513:$AE$522&lt;=BG$3,1,0))*OFFSET('Gastos com Pessoal'!$H$512,1,MATCH(5&amp;$B31,'Gastos com Pessoal'!$I$532:$AJ$532&amp;'Gastos com Pessoal'!$I$512:$AJ$512,0),10,1)),0)</f>
        <v>0</v>
      </c>
      <c r="BH31" s="188">
        <f t="array" aca="1" ref="BH31" ca="1">_xlfn.IFNA(SUM((BH$3&gt;='Gastos com Pessoal'!$E$7:$E$506)*(BH$3&lt;='Gastos com Pessoal'!$F$7:$F$506)*OFFSET('Encargos e Benefícios'!$D$5,1,MATCH($B31,'Encargos e Benefícios'!$E$5:$AB$5,0),500,1)),0)+_xlfn.IFNA(SUM((BH$3&gt;='Gastos com Pessoal'!$E$513:$E$522)*(BH$3&lt;='Gastos com Pessoal'!$F$513:$F$522)*OFFSET('Encargos e Benefícios'!$D$511,1,MATCH($B31,'Encargos e Benefícios'!$E$511:$AB$511,0),10,1)),0)+_xlfn.IFNA(SUM((BH$3&gt;='Gastos com Pessoal'!$E$7:$E$506)*(BH$3&lt;='Gastos com Pessoal'!$F$7:$F$506)*(IF('Gastos com Pessoal'!$G$7:$G$506&lt;=BH$3,1,0))*OFFSET('Gastos com Pessoal'!$H$6,1,MATCH(1&amp;$B31,'Gastos com Pessoal'!$I$532:$AJ$532&amp;'Gastos com Pessoal'!$I$6:$AJ$6,0),500,1)),0)+_xlfn.IFNA(SUM((BH$3&gt;='Gastos com Pessoal'!$E$7:$E$506)*(BH$3&lt;='Gastos com Pessoal'!$F$7:$F$506)*(IF('Gastos com Pessoal'!$M$7:$M$506&lt;=BH$3,1,0))*OFFSET('Gastos com Pessoal'!$H$6,1,MATCH(2&amp;$B31,'Gastos com Pessoal'!$I$532:$AJ$532&amp;'Gastos com Pessoal'!$I$6:$AJ$6,0),500,1)),0)+_xlfn.IFNA(SUM((BH$3&gt;='Gastos com Pessoal'!$E$7:$E$506)*(BH$3&lt;='Gastos com Pessoal'!$F$7:$F$506)*(IF('Gastos com Pessoal'!$S$7:$S$506&lt;=BH$3,1,0))*OFFSET('Gastos com Pessoal'!$H$6,1,MATCH(3&amp;$B31,'Gastos com Pessoal'!$I$532:$AJ$532&amp;'Gastos com Pessoal'!$I$6:$AJ$6,0),500,1)),0)+_xlfn.IFNA(SUM((BH$3&gt;='Gastos com Pessoal'!$E$7:$E$506)*(BH$3&lt;='Gastos com Pessoal'!$F$7:$F$506)*(IF('Gastos com Pessoal'!$Y$7:$Y$506&lt;=BH$3,1,0))*OFFSET('Gastos com Pessoal'!$H$6,1,MATCH(4&amp;$B31,'Gastos com Pessoal'!$I$532:$AJ$532&amp;'Gastos com Pessoal'!$I$6:$AJ$6,0),500,1)),0)+_xlfn.IFNA(SUM((BH$3&gt;='Gastos com Pessoal'!$E$7:$E$506)*(BH$3&lt;='Gastos com Pessoal'!$F$7:$F$506)*(IF('Gastos com Pessoal'!$AE$7:$AE$506&lt;=BH$3,1,0))*OFFSET('Gastos com Pessoal'!$H$6,1,MATCH(5&amp;$B31,'Gastos com Pessoal'!$I$532:$AJ$532&amp;'Gastos com Pessoal'!$I$6:$AJ$6,0),500,1)),0)+_xlfn.IFNA(SUM((BH$3&gt;='Gastos com Pessoal'!$E$513:$E$522)*(BH$3&lt;='Gastos com Pessoal'!$F$513:$F$522)*(IF('Gastos com Pessoal'!$G$513:$G$522&lt;=BH$3,1,0))*OFFSET('Gastos com Pessoal'!$H$512,1,MATCH(1&amp;$B31,'Gastos com Pessoal'!$I$532:$AJ$532&amp;'Gastos com Pessoal'!$I$512:$AJ$512,0),10,1)),0)+_xlfn.IFNA(SUM((BH$3&gt;='Gastos com Pessoal'!$E$513:$E$522)*(BH$3&lt;='Gastos com Pessoal'!$F$513:$F$522)*(IF('Gastos com Pessoal'!$M$513:$M$522&lt;=BH$3,1,0))*OFFSET('Gastos com Pessoal'!$H$512,1,MATCH(2&amp;$B31,'Gastos com Pessoal'!$I$532:$AJ$532&amp;'Gastos com Pessoal'!$I$512:$AJ$512,0),10,1)),0)+_xlfn.IFNA(SUM((BH$3&gt;='Gastos com Pessoal'!$E$513:$E$522)*(BH$3&lt;='Gastos com Pessoal'!$F$513:$F$522)*(IF('Gastos com Pessoal'!$S$513:$S$522&lt;=BH$3,1,0))*OFFSET('Gastos com Pessoal'!$H$512,1,MATCH(3&amp;$B31,'Gastos com Pessoal'!$I$532:$AJ$532&amp;'Gastos com Pessoal'!$I$512:$AJ$512,0),10,1)),0)+_xlfn.IFNA(SUM((BH$3&gt;='Gastos com Pessoal'!$E$513:$E$522)*(BH$3&lt;='Gastos com Pessoal'!$F$513:$F$522)*(IF('Gastos com Pessoal'!$Y$513:$Y$522&lt;=BH$3,1,0))*OFFSET('Gastos com Pessoal'!$H$512,1,MATCH(4&amp;$B31,'Gastos com Pessoal'!$I$532:$AJ$532&amp;'Gastos com Pessoal'!$I$512:$AJ$512,0),10,1)),0)+_xlfn.IFNA(SUM((BH$3&gt;='Gastos com Pessoal'!$E$513:$E$522)*(BH$3&lt;='Gastos com Pessoal'!$F$513:$F$522)*(IF('Gastos com Pessoal'!$AE$513:$AE$522&lt;=BH$3,1,0))*OFFSET('Gastos com Pessoal'!$H$512,1,MATCH(5&amp;$B31,'Gastos com Pessoal'!$I$532:$AJ$532&amp;'Gastos com Pessoal'!$I$512:$AJ$512,0),10,1)),0)</f>
        <v>0</v>
      </c>
      <c r="BI31" s="188">
        <f t="array" aca="1" ref="BI31" ca="1">_xlfn.IFNA(SUM((BI$3&gt;='Gastos com Pessoal'!$E$7:$E$506)*(BI$3&lt;='Gastos com Pessoal'!$F$7:$F$506)*OFFSET('Encargos e Benefícios'!$D$5,1,MATCH($B31,'Encargos e Benefícios'!$E$5:$AB$5,0),500,1)),0)+_xlfn.IFNA(SUM((BI$3&gt;='Gastos com Pessoal'!$E$513:$E$522)*(BI$3&lt;='Gastos com Pessoal'!$F$513:$F$522)*OFFSET('Encargos e Benefícios'!$D$511,1,MATCH($B31,'Encargos e Benefícios'!$E$511:$AB$511,0),10,1)),0)+_xlfn.IFNA(SUM((BI$3&gt;='Gastos com Pessoal'!$E$7:$E$506)*(BI$3&lt;='Gastos com Pessoal'!$F$7:$F$506)*(IF('Gastos com Pessoal'!$G$7:$G$506&lt;=BI$3,1,0))*OFFSET('Gastos com Pessoal'!$H$6,1,MATCH(1&amp;$B31,'Gastos com Pessoal'!$I$532:$AJ$532&amp;'Gastos com Pessoal'!$I$6:$AJ$6,0),500,1)),0)+_xlfn.IFNA(SUM((BI$3&gt;='Gastos com Pessoal'!$E$7:$E$506)*(BI$3&lt;='Gastos com Pessoal'!$F$7:$F$506)*(IF('Gastos com Pessoal'!$M$7:$M$506&lt;=BI$3,1,0))*OFFSET('Gastos com Pessoal'!$H$6,1,MATCH(2&amp;$B31,'Gastos com Pessoal'!$I$532:$AJ$532&amp;'Gastos com Pessoal'!$I$6:$AJ$6,0),500,1)),0)+_xlfn.IFNA(SUM((BI$3&gt;='Gastos com Pessoal'!$E$7:$E$506)*(BI$3&lt;='Gastos com Pessoal'!$F$7:$F$506)*(IF('Gastos com Pessoal'!$S$7:$S$506&lt;=BI$3,1,0))*OFFSET('Gastos com Pessoal'!$H$6,1,MATCH(3&amp;$B31,'Gastos com Pessoal'!$I$532:$AJ$532&amp;'Gastos com Pessoal'!$I$6:$AJ$6,0),500,1)),0)+_xlfn.IFNA(SUM((BI$3&gt;='Gastos com Pessoal'!$E$7:$E$506)*(BI$3&lt;='Gastos com Pessoal'!$F$7:$F$506)*(IF('Gastos com Pessoal'!$Y$7:$Y$506&lt;=BI$3,1,0))*OFFSET('Gastos com Pessoal'!$H$6,1,MATCH(4&amp;$B31,'Gastos com Pessoal'!$I$532:$AJ$532&amp;'Gastos com Pessoal'!$I$6:$AJ$6,0),500,1)),0)+_xlfn.IFNA(SUM((BI$3&gt;='Gastos com Pessoal'!$E$7:$E$506)*(BI$3&lt;='Gastos com Pessoal'!$F$7:$F$506)*(IF('Gastos com Pessoal'!$AE$7:$AE$506&lt;=BI$3,1,0))*OFFSET('Gastos com Pessoal'!$H$6,1,MATCH(5&amp;$B31,'Gastos com Pessoal'!$I$532:$AJ$532&amp;'Gastos com Pessoal'!$I$6:$AJ$6,0),500,1)),0)+_xlfn.IFNA(SUM((BI$3&gt;='Gastos com Pessoal'!$E$513:$E$522)*(BI$3&lt;='Gastos com Pessoal'!$F$513:$F$522)*(IF('Gastos com Pessoal'!$G$513:$G$522&lt;=BI$3,1,0))*OFFSET('Gastos com Pessoal'!$H$512,1,MATCH(1&amp;$B31,'Gastos com Pessoal'!$I$532:$AJ$532&amp;'Gastos com Pessoal'!$I$512:$AJ$512,0),10,1)),0)+_xlfn.IFNA(SUM((BI$3&gt;='Gastos com Pessoal'!$E$513:$E$522)*(BI$3&lt;='Gastos com Pessoal'!$F$513:$F$522)*(IF('Gastos com Pessoal'!$M$513:$M$522&lt;=BI$3,1,0))*OFFSET('Gastos com Pessoal'!$H$512,1,MATCH(2&amp;$B31,'Gastos com Pessoal'!$I$532:$AJ$532&amp;'Gastos com Pessoal'!$I$512:$AJ$512,0),10,1)),0)+_xlfn.IFNA(SUM((BI$3&gt;='Gastos com Pessoal'!$E$513:$E$522)*(BI$3&lt;='Gastos com Pessoal'!$F$513:$F$522)*(IF('Gastos com Pessoal'!$S$513:$S$522&lt;=BI$3,1,0))*OFFSET('Gastos com Pessoal'!$H$512,1,MATCH(3&amp;$B31,'Gastos com Pessoal'!$I$532:$AJ$532&amp;'Gastos com Pessoal'!$I$512:$AJ$512,0),10,1)),0)+_xlfn.IFNA(SUM((BI$3&gt;='Gastos com Pessoal'!$E$513:$E$522)*(BI$3&lt;='Gastos com Pessoal'!$F$513:$F$522)*(IF('Gastos com Pessoal'!$Y$513:$Y$522&lt;=BI$3,1,0))*OFFSET('Gastos com Pessoal'!$H$512,1,MATCH(4&amp;$B31,'Gastos com Pessoal'!$I$532:$AJ$532&amp;'Gastos com Pessoal'!$I$512:$AJ$512,0),10,1)),0)+_xlfn.IFNA(SUM((BI$3&gt;='Gastos com Pessoal'!$E$513:$E$522)*(BI$3&lt;='Gastos com Pessoal'!$F$513:$F$522)*(IF('Gastos com Pessoal'!$AE$513:$AE$522&lt;=BI$3,1,0))*OFFSET('Gastos com Pessoal'!$H$512,1,MATCH(5&amp;$B31,'Gastos com Pessoal'!$I$532:$AJ$532&amp;'Gastos com Pessoal'!$I$512:$AJ$512,0),10,1)),0)</f>
        <v>0</v>
      </c>
      <c r="BJ31" s="188">
        <f t="array" aca="1" ref="BJ31" ca="1">_xlfn.IFNA(SUM((BJ$3&gt;='Gastos com Pessoal'!$E$7:$E$506)*(BJ$3&lt;='Gastos com Pessoal'!$F$7:$F$506)*OFFSET('Encargos e Benefícios'!$D$5,1,MATCH($B31,'Encargos e Benefícios'!$E$5:$AB$5,0),500,1)),0)+_xlfn.IFNA(SUM((BJ$3&gt;='Gastos com Pessoal'!$E$513:$E$522)*(BJ$3&lt;='Gastos com Pessoal'!$F$513:$F$522)*OFFSET('Encargos e Benefícios'!$D$511,1,MATCH($B31,'Encargos e Benefícios'!$E$511:$AB$511,0),10,1)),0)+_xlfn.IFNA(SUM((BJ$3&gt;='Gastos com Pessoal'!$E$7:$E$506)*(BJ$3&lt;='Gastos com Pessoal'!$F$7:$F$506)*(IF('Gastos com Pessoal'!$G$7:$G$506&lt;=BJ$3,1,0))*OFFSET('Gastos com Pessoal'!$H$6,1,MATCH(1&amp;$B31,'Gastos com Pessoal'!$I$532:$AJ$532&amp;'Gastos com Pessoal'!$I$6:$AJ$6,0),500,1)),0)+_xlfn.IFNA(SUM((BJ$3&gt;='Gastos com Pessoal'!$E$7:$E$506)*(BJ$3&lt;='Gastos com Pessoal'!$F$7:$F$506)*(IF('Gastos com Pessoal'!$M$7:$M$506&lt;=BJ$3,1,0))*OFFSET('Gastos com Pessoal'!$H$6,1,MATCH(2&amp;$B31,'Gastos com Pessoal'!$I$532:$AJ$532&amp;'Gastos com Pessoal'!$I$6:$AJ$6,0),500,1)),0)+_xlfn.IFNA(SUM((BJ$3&gt;='Gastos com Pessoal'!$E$7:$E$506)*(BJ$3&lt;='Gastos com Pessoal'!$F$7:$F$506)*(IF('Gastos com Pessoal'!$S$7:$S$506&lt;=BJ$3,1,0))*OFFSET('Gastos com Pessoal'!$H$6,1,MATCH(3&amp;$B31,'Gastos com Pessoal'!$I$532:$AJ$532&amp;'Gastos com Pessoal'!$I$6:$AJ$6,0),500,1)),0)+_xlfn.IFNA(SUM((BJ$3&gt;='Gastos com Pessoal'!$E$7:$E$506)*(BJ$3&lt;='Gastos com Pessoal'!$F$7:$F$506)*(IF('Gastos com Pessoal'!$Y$7:$Y$506&lt;=BJ$3,1,0))*OFFSET('Gastos com Pessoal'!$H$6,1,MATCH(4&amp;$B31,'Gastos com Pessoal'!$I$532:$AJ$532&amp;'Gastos com Pessoal'!$I$6:$AJ$6,0),500,1)),0)+_xlfn.IFNA(SUM((BJ$3&gt;='Gastos com Pessoal'!$E$7:$E$506)*(BJ$3&lt;='Gastos com Pessoal'!$F$7:$F$506)*(IF('Gastos com Pessoal'!$AE$7:$AE$506&lt;=BJ$3,1,0))*OFFSET('Gastos com Pessoal'!$H$6,1,MATCH(5&amp;$B31,'Gastos com Pessoal'!$I$532:$AJ$532&amp;'Gastos com Pessoal'!$I$6:$AJ$6,0),500,1)),0)+_xlfn.IFNA(SUM((BJ$3&gt;='Gastos com Pessoal'!$E$513:$E$522)*(BJ$3&lt;='Gastos com Pessoal'!$F$513:$F$522)*(IF('Gastos com Pessoal'!$G$513:$G$522&lt;=BJ$3,1,0))*OFFSET('Gastos com Pessoal'!$H$512,1,MATCH(1&amp;$B31,'Gastos com Pessoal'!$I$532:$AJ$532&amp;'Gastos com Pessoal'!$I$512:$AJ$512,0),10,1)),0)+_xlfn.IFNA(SUM((BJ$3&gt;='Gastos com Pessoal'!$E$513:$E$522)*(BJ$3&lt;='Gastos com Pessoal'!$F$513:$F$522)*(IF('Gastos com Pessoal'!$M$513:$M$522&lt;=BJ$3,1,0))*OFFSET('Gastos com Pessoal'!$H$512,1,MATCH(2&amp;$B31,'Gastos com Pessoal'!$I$532:$AJ$532&amp;'Gastos com Pessoal'!$I$512:$AJ$512,0),10,1)),0)+_xlfn.IFNA(SUM((BJ$3&gt;='Gastos com Pessoal'!$E$513:$E$522)*(BJ$3&lt;='Gastos com Pessoal'!$F$513:$F$522)*(IF('Gastos com Pessoal'!$S$513:$S$522&lt;=BJ$3,1,0))*OFFSET('Gastos com Pessoal'!$H$512,1,MATCH(3&amp;$B31,'Gastos com Pessoal'!$I$532:$AJ$532&amp;'Gastos com Pessoal'!$I$512:$AJ$512,0),10,1)),0)+_xlfn.IFNA(SUM((BJ$3&gt;='Gastos com Pessoal'!$E$513:$E$522)*(BJ$3&lt;='Gastos com Pessoal'!$F$513:$F$522)*(IF('Gastos com Pessoal'!$Y$513:$Y$522&lt;=BJ$3,1,0))*OFFSET('Gastos com Pessoal'!$H$512,1,MATCH(4&amp;$B31,'Gastos com Pessoal'!$I$532:$AJ$532&amp;'Gastos com Pessoal'!$I$512:$AJ$512,0),10,1)),0)+_xlfn.IFNA(SUM((BJ$3&gt;='Gastos com Pessoal'!$E$513:$E$522)*(BJ$3&lt;='Gastos com Pessoal'!$F$513:$F$522)*(IF('Gastos com Pessoal'!$AE$513:$AE$522&lt;=BJ$3,1,0))*OFFSET('Gastos com Pessoal'!$H$512,1,MATCH(5&amp;$B31,'Gastos com Pessoal'!$I$532:$AJ$532&amp;'Gastos com Pessoal'!$I$512:$AJ$512,0),10,1)),0)</f>
        <v>0</v>
      </c>
      <c r="BK31" s="189">
        <f ca="1">SUM(C31:BJ31)</f>
        <v>0</v>
      </c>
      <c r="BL31" s="136">
        <f ca="1">IF($BK$152=0,0,BK31/$BK$152)</f>
        <v>0</v>
      </c>
    </row>
    <row r="32" spans="1:64" s="160" customFormat="1" ht="23.25" customHeight="1">
      <c r="A32" s="190"/>
      <c r="B32" s="191" t="s">
        <v>152</v>
      </c>
      <c r="C32" s="192">
        <f t="shared" ref="C32:AH32" ca="1" si="12">SUBTOTAL(109,C30:C31)</f>
        <v>0</v>
      </c>
      <c r="D32" s="192">
        <f t="shared" ca="1" si="12"/>
        <v>0</v>
      </c>
      <c r="E32" s="192">
        <f t="shared" ca="1" si="12"/>
        <v>0</v>
      </c>
      <c r="F32" s="192">
        <f t="shared" ca="1" si="12"/>
        <v>0</v>
      </c>
      <c r="G32" s="192">
        <f t="shared" ca="1" si="12"/>
        <v>0</v>
      </c>
      <c r="H32" s="192">
        <f t="shared" ca="1" si="12"/>
        <v>0</v>
      </c>
      <c r="I32" s="192">
        <f t="shared" ca="1" si="12"/>
        <v>0</v>
      </c>
      <c r="J32" s="192">
        <f t="shared" ca="1" si="12"/>
        <v>0</v>
      </c>
      <c r="K32" s="192">
        <f t="shared" ca="1" si="12"/>
        <v>0</v>
      </c>
      <c r="L32" s="192">
        <f t="shared" ca="1" si="12"/>
        <v>0</v>
      </c>
      <c r="M32" s="192">
        <f t="shared" ca="1" si="12"/>
        <v>0</v>
      </c>
      <c r="N32" s="192">
        <f t="shared" ca="1" si="12"/>
        <v>0</v>
      </c>
      <c r="O32" s="192">
        <f t="shared" ca="1" si="12"/>
        <v>0</v>
      </c>
      <c r="P32" s="192">
        <f t="shared" ca="1" si="12"/>
        <v>0</v>
      </c>
      <c r="Q32" s="192">
        <f t="shared" ca="1" si="12"/>
        <v>0</v>
      </c>
      <c r="R32" s="192">
        <f t="shared" ca="1" si="12"/>
        <v>0</v>
      </c>
      <c r="S32" s="192">
        <f t="shared" ca="1" si="12"/>
        <v>0</v>
      </c>
      <c r="T32" s="192">
        <f t="shared" ca="1" si="12"/>
        <v>0</v>
      </c>
      <c r="U32" s="192">
        <f t="shared" ca="1" si="12"/>
        <v>0</v>
      </c>
      <c r="V32" s="192">
        <f t="shared" ca="1" si="12"/>
        <v>0</v>
      </c>
      <c r="W32" s="192">
        <f t="shared" ca="1" si="12"/>
        <v>0</v>
      </c>
      <c r="X32" s="192">
        <f t="shared" ca="1" si="12"/>
        <v>0</v>
      </c>
      <c r="Y32" s="192">
        <f t="shared" ca="1" si="12"/>
        <v>0</v>
      </c>
      <c r="Z32" s="192">
        <f t="shared" ca="1" si="12"/>
        <v>0</v>
      </c>
      <c r="AA32" s="192">
        <f t="shared" ca="1" si="12"/>
        <v>0</v>
      </c>
      <c r="AB32" s="192">
        <f t="shared" ca="1" si="12"/>
        <v>0</v>
      </c>
      <c r="AC32" s="192">
        <f t="shared" ca="1" si="12"/>
        <v>0</v>
      </c>
      <c r="AD32" s="192">
        <f t="shared" ca="1" si="12"/>
        <v>0</v>
      </c>
      <c r="AE32" s="192">
        <f t="shared" ca="1" si="12"/>
        <v>0</v>
      </c>
      <c r="AF32" s="192">
        <f t="shared" ca="1" si="12"/>
        <v>0</v>
      </c>
      <c r="AG32" s="192">
        <f t="shared" ca="1" si="12"/>
        <v>0</v>
      </c>
      <c r="AH32" s="192">
        <f t="shared" ca="1" si="12"/>
        <v>0</v>
      </c>
      <c r="AI32" s="192">
        <f t="shared" ref="AI32:BJ32" ca="1" si="13">SUBTOTAL(109,AI30:AI31)</f>
        <v>0</v>
      </c>
      <c r="AJ32" s="192">
        <f t="shared" ca="1" si="13"/>
        <v>0</v>
      </c>
      <c r="AK32" s="192">
        <f t="shared" ca="1" si="13"/>
        <v>0</v>
      </c>
      <c r="AL32" s="192">
        <f t="shared" ca="1" si="13"/>
        <v>0</v>
      </c>
      <c r="AM32" s="192">
        <f t="shared" ca="1" si="13"/>
        <v>0</v>
      </c>
      <c r="AN32" s="192">
        <f t="shared" ca="1" si="13"/>
        <v>0</v>
      </c>
      <c r="AO32" s="192">
        <f t="shared" ca="1" si="13"/>
        <v>0</v>
      </c>
      <c r="AP32" s="192">
        <f t="shared" ca="1" si="13"/>
        <v>0</v>
      </c>
      <c r="AQ32" s="192">
        <f t="shared" ca="1" si="13"/>
        <v>0</v>
      </c>
      <c r="AR32" s="192">
        <f t="shared" ca="1" si="13"/>
        <v>0</v>
      </c>
      <c r="AS32" s="192">
        <f t="shared" ca="1" si="13"/>
        <v>0</v>
      </c>
      <c r="AT32" s="192">
        <f t="shared" ca="1" si="13"/>
        <v>0</v>
      </c>
      <c r="AU32" s="192">
        <f t="shared" ca="1" si="13"/>
        <v>0</v>
      </c>
      <c r="AV32" s="192">
        <f t="shared" ca="1" si="13"/>
        <v>0</v>
      </c>
      <c r="AW32" s="192">
        <f t="shared" ca="1" si="13"/>
        <v>0</v>
      </c>
      <c r="AX32" s="192">
        <f t="shared" ca="1" si="13"/>
        <v>0</v>
      </c>
      <c r="AY32" s="192">
        <f t="shared" ca="1" si="13"/>
        <v>0</v>
      </c>
      <c r="AZ32" s="192">
        <f t="shared" ca="1" si="13"/>
        <v>0</v>
      </c>
      <c r="BA32" s="192">
        <f t="shared" ca="1" si="13"/>
        <v>0</v>
      </c>
      <c r="BB32" s="192">
        <f t="shared" ca="1" si="13"/>
        <v>0</v>
      </c>
      <c r="BC32" s="192">
        <f t="shared" ca="1" si="13"/>
        <v>0</v>
      </c>
      <c r="BD32" s="192">
        <f t="shared" ca="1" si="13"/>
        <v>0</v>
      </c>
      <c r="BE32" s="192">
        <f t="shared" ca="1" si="13"/>
        <v>0</v>
      </c>
      <c r="BF32" s="192">
        <f t="shared" ca="1" si="13"/>
        <v>0</v>
      </c>
      <c r="BG32" s="192">
        <f t="shared" ca="1" si="13"/>
        <v>0</v>
      </c>
      <c r="BH32" s="192">
        <f t="shared" ca="1" si="13"/>
        <v>0</v>
      </c>
      <c r="BI32" s="192">
        <f t="shared" ca="1" si="13"/>
        <v>0</v>
      </c>
      <c r="BJ32" s="192">
        <f t="shared" ca="1" si="13"/>
        <v>0</v>
      </c>
      <c r="BK32" s="192">
        <f ca="1">SUBTOTAL(109,BK30:BK30)</f>
        <v>0</v>
      </c>
      <c r="BL32" s="193">
        <f ca="1">IF($BK$152=0,0,BK32/$BK$152)</f>
        <v>0</v>
      </c>
    </row>
    <row r="33" spans="1:64" s="160" customFormat="1" ht="23.25" customHeight="1">
      <c r="A33" s="213" t="s">
        <v>85</v>
      </c>
      <c r="B33" s="206" t="s">
        <v>86</v>
      </c>
      <c r="C33" s="214"/>
      <c r="D33" s="214"/>
      <c r="E33" s="214"/>
      <c r="F33" s="214"/>
      <c r="G33" s="214"/>
      <c r="H33" s="214"/>
      <c r="I33" s="214"/>
      <c r="J33" s="214"/>
      <c r="K33" s="214"/>
      <c r="L33" s="214"/>
      <c r="M33" s="214"/>
      <c r="N33" s="214"/>
      <c r="O33" s="214"/>
      <c r="P33" s="214"/>
      <c r="Q33" s="214"/>
      <c r="R33" s="214"/>
      <c r="S33" s="214"/>
      <c r="T33" s="214"/>
      <c r="U33" s="214"/>
      <c r="V33" s="214"/>
      <c r="W33" s="214"/>
      <c r="X33" s="214"/>
      <c r="Y33" s="214"/>
      <c r="Z33" s="214"/>
      <c r="AA33" s="214"/>
      <c r="AB33" s="214"/>
      <c r="AC33" s="214"/>
      <c r="AD33" s="214"/>
      <c r="AE33" s="214"/>
      <c r="AF33" s="214"/>
      <c r="AG33" s="214"/>
      <c r="AH33" s="214"/>
      <c r="AI33" s="214"/>
      <c r="AJ33" s="214"/>
      <c r="AK33" s="214"/>
      <c r="AL33" s="214"/>
      <c r="AM33" s="214"/>
      <c r="AN33" s="214"/>
      <c r="AO33" s="214"/>
      <c r="AP33" s="214"/>
      <c r="AQ33" s="214"/>
      <c r="AR33" s="214"/>
      <c r="AS33" s="214"/>
      <c r="AT33" s="214"/>
      <c r="AU33" s="214"/>
      <c r="AV33" s="214"/>
      <c r="AW33" s="214"/>
      <c r="AX33" s="214"/>
      <c r="AY33" s="214"/>
      <c r="AZ33" s="214"/>
      <c r="BA33" s="214"/>
      <c r="BB33" s="214"/>
      <c r="BC33" s="214"/>
      <c r="BD33" s="214"/>
      <c r="BE33" s="214"/>
      <c r="BF33" s="214"/>
      <c r="BG33" s="214"/>
      <c r="BH33" s="214"/>
      <c r="BI33" s="214"/>
      <c r="BJ33" s="214"/>
      <c r="BK33" s="210"/>
      <c r="BL33" s="211"/>
    </row>
    <row r="34" spans="1:64" s="160" customFormat="1" ht="23.25" customHeight="1">
      <c r="A34" s="198" t="s">
        <v>153</v>
      </c>
      <c r="B34" s="81" t="s">
        <v>154</v>
      </c>
      <c r="C34" s="188">
        <f t="array" aca="1" ref="C34" ca="1">_xlfn.IFNA(SUM((C$3&gt;='Gastos com Pessoal'!$E$7:$E$506)*(C$3&lt;='Gastos com Pessoal'!$F$7:$F$506)*OFFSET('Encargos e Benefícios'!$D$5,1,MATCH($B34,'Encargos e Benefícios'!$E$5:$AB$5,0),500,1))*(IF('Gastos com Pessoal'!$G$7:$G$506&lt;=C$3,('Gastos com Pessoal'!$H$7:$H$506)+1,1))*(IF('Gastos com Pessoal'!$M$7:$M$506&lt;=C$3,('Gastos com Pessoal'!$N$7:$N$506)+1,1))*(IF('Gastos com Pessoal'!$S$7:$S$506&lt;=C$3,('Gastos com Pessoal'!$T$7:$T$506)+1,1))*(IF('Gastos com Pessoal'!$Y$7:$Y$506&lt;=C$3,('Gastos com Pessoal'!$Z$7:$Z$506)+1,1))*(IF('Gastos com Pessoal'!$AE$7:$AE$506&lt;=C$3,('Gastos com Pessoal'!$AF$7:$AF$506)+1,1)),0)</f>
        <v>485398.69861066679</v>
      </c>
      <c r="D34" s="188">
        <f t="array" aca="1" ref="D34" ca="1">_xlfn.IFNA(SUM((D$3&gt;='Gastos com Pessoal'!$E$7:$E$506)*(D$3&lt;='Gastos com Pessoal'!$F$7:$F$506)*OFFSET('Encargos e Benefícios'!$D$5,1,MATCH($B34,'Encargos e Benefícios'!$E$5:$AB$5,0),500,1))*(IF('Gastos com Pessoal'!$G$7:$G$506&lt;=D$3,('Gastos com Pessoal'!$H$7:$H$506)+1,1))*(IF('Gastos com Pessoal'!$M$7:$M$506&lt;=D$3,('Gastos com Pessoal'!$N$7:$N$506)+1,1))*(IF('Gastos com Pessoal'!$S$7:$S$506&lt;=D$3,('Gastos com Pessoal'!$T$7:$T$506)+1,1))*(IF('Gastos com Pessoal'!$Y$7:$Y$506&lt;=D$3,('Gastos com Pessoal'!$Z$7:$Z$506)+1,1))*(IF('Gastos com Pessoal'!$AE$7:$AE$506&lt;=D$3,('Gastos com Pessoal'!$AF$7:$AF$506)+1,1)),0)</f>
        <v>488446.19861066679</v>
      </c>
      <c r="E34" s="188">
        <f t="array" aca="1" ref="E34" ca="1">_xlfn.IFNA(SUM((E$3&gt;='Gastos com Pessoal'!$E$7:$E$506)*(E$3&lt;='Gastos com Pessoal'!$F$7:$F$506)*OFFSET('Encargos e Benefícios'!$D$5,1,MATCH($B34,'Encargos e Benefícios'!$E$5:$AB$5,0),500,1))*(IF('Gastos com Pessoal'!$G$7:$G$506&lt;=E$3,('Gastos com Pessoal'!$H$7:$H$506)+1,1))*(IF('Gastos com Pessoal'!$M$7:$M$506&lt;=E$3,('Gastos com Pessoal'!$N$7:$N$506)+1,1))*(IF('Gastos com Pessoal'!$S$7:$S$506&lt;=E$3,('Gastos com Pessoal'!$T$7:$T$506)+1,1))*(IF('Gastos com Pessoal'!$Y$7:$Y$506&lt;=E$3,('Gastos com Pessoal'!$Z$7:$Z$506)+1,1))*(IF('Gastos com Pessoal'!$AE$7:$AE$506&lt;=E$3,('Gastos com Pessoal'!$AF$7:$AF$506)+1,1)),0)</f>
        <v>512468.91778777796</v>
      </c>
      <c r="F34" s="188">
        <f t="array" aca="1" ref="F34" ca="1">_xlfn.IFNA(SUM((F$3&gt;='Gastos com Pessoal'!$E$7:$E$506)*(F$3&lt;='Gastos com Pessoal'!$F$7:$F$506)*OFFSET('Encargos e Benefícios'!$D$5,1,MATCH($B34,'Encargos e Benefícios'!$E$5:$AB$5,0),500,1))*(IF('Gastos com Pessoal'!$G$7:$G$506&lt;=F$3,('Gastos com Pessoal'!$H$7:$H$506)+1,1))*(IF('Gastos com Pessoal'!$M$7:$M$506&lt;=F$3,('Gastos com Pessoal'!$N$7:$N$506)+1,1))*(IF('Gastos com Pessoal'!$S$7:$S$506&lt;=F$3,('Gastos com Pessoal'!$T$7:$T$506)+1,1))*(IF('Gastos com Pessoal'!$Y$7:$Y$506&lt;=F$3,('Gastos com Pessoal'!$Z$7:$Z$506)+1,1))*(IF('Gastos com Pessoal'!$AE$7:$AE$506&lt;=F$3,('Gastos com Pessoal'!$AF$7:$AF$506)+1,1)),0)</f>
        <v>516353.84307805571</v>
      </c>
      <c r="G34" s="188">
        <f t="array" aca="1" ref="G34" ca="1">_xlfn.IFNA(SUM((G$3&gt;='Gastos com Pessoal'!$E$7:$E$506)*(G$3&lt;='Gastos com Pessoal'!$F$7:$F$506)*OFFSET('Encargos e Benefícios'!$D$5,1,MATCH($B34,'Encargos e Benefícios'!$E$5:$AB$5,0),500,1))*(IF('Gastos com Pessoal'!$G$7:$G$506&lt;=G$3,('Gastos com Pessoal'!$H$7:$H$506)+1,1))*(IF('Gastos com Pessoal'!$M$7:$M$506&lt;=G$3,('Gastos com Pessoal'!$N$7:$N$506)+1,1))*(IF('Gastos com Pessoal'!$S$7:$S$506&lt;=G$3,('Gastos com Pessoal'!$T$7:$T$506)+1,1))*(IF('Gastos com Pessoal'!$Y$7:$Y$506&lt;=G$3,('Gastos com Pessoal'!$Z$7:$Z$506)+1,1))*(IF('Gastos com Pessoal'!$AE$7:$AE$506&lt;=G$3,('Gastos com Pessoal'!$AF$7:$AF$506)+1,1)),0)</f>
        <v>546508.90751381416</v>
      </c>
      <c r="H34" s="188">
        <f t="array" aca="1" ref="H34" ca="1">_xlfn.IFNA(SUM((H$3&gt;='Gastos com Pessoal'!$E$7:$E$506)*(H$3&lt;='Gastos com Pessoal'!$F$7:$F$506)*OFFSET('Encargos e Benefícios'!$D$5,1,MATCH($B34,'Encargos e Benefícios'!$E$5:$AB$5,0),500,1))*(IF('Gastos com Pessoal'!$G$7:$G$506&lt;=H$3,('Gastos com Pessoal'!$H$7:$H$506)+1,1))*(IF('Gastos com Pessoal'!$M$7:$M$506&lt;=H$3,('Gastos com Pessoal'!$N$7:$N$506)+1,1))*(IF('Gastos com Pessoal'!$S$7:$S$506&lt;=H$3,('Gastos com Pessoal'!$T$7:$T$506)+1,1))*(IF('Gastos com Pessoal'!$Y$7:$Y$506&lt;=H$3,('Gastos com Pessoal'!$Z$7:$Z$506)+1,1))*(IF('Gastos com Pessoal'!$AE$7:$AE$506&lt;=H$3,('Gastos com Pessoal'!$AF$7:$AF$506)+1,1)),0)</f>
        <v>571934.55349086865</v>
      </c>
      <c r="I34" s="188">
        <f t="array" aca="1" ref="I34" ca="1">_xlfn.IFNA(SUM((I$3&gt;='Gastos com Pessoal'!$E$7:$E$506)*(I$3&lt;='Gastos com Pessoal'!$F$7:$F$506)*OFFSET('Encargos e Benefícios'!$D$5,1,MATCH($B34,'Encargos e Benefícios'!$E$5:$AB$5,0),500,1))*(IF('Gastos com Pessoal'!$G$7:$G$506&lt;=I$3,('Gastos com Pessoal'!$H$7:$H$506)+1,1))*(IF('Gastos com Pessoal'!$M$7:$M$506&lt;=I$3,('Gastos com Pessoal'!$N$7:$N$506)+1,1))*(IF('Gastos com Pessoal'!$S$7:$S$506&lt;=I$3,('Gastos com Pessoal'!$T$7:$T$506)+1,1))*(IF('Gastos com Pessoal'!$Y$7:$Y$506&lt;=I$3,('Gastos com Pessoal'!$Z$7:$Z$506)+1,1))*(IF('Gastos com Pessoal'!$AE$7:$AE$506&lt;=I$3,('Gastos com Pessoal'!$AF$7:$AF$506)+1,1)),0)</f>
        <v>576286.48133343877</v>
      </c>
      <c r="J34" s="188">
        <f t="array" aca="1" ref="J34" ca="1">_xlfn.IFNA(SUM((J$3&gt;='Gastos com Pessoal'!$E$7:$E$506)*(J$3&lt;='Gastos com Pessoal'!$F$7:$F$506)*OFFSET('Encargos e Benefícios'!$D$5,1,MATCH($B34,'Encargos e Benefícios'!$E$5:$AB$5,0),500,1))*(IF('Gastos com Pessoal'!$G$7:$G$506&lt;=J$3,('Gastos com Pessoal'!$H$7:$H$506)+1,1))*(IF('Gastos com Pessoal'!$M$7:$M$506&lt;=J$3,('Gastos com Pessoal'!$N$7:$N$506)+1,1))*(IF('Gastos com Pessoal'!$S$7:$S$506&lt;=J$3,('Gastos com Pessoal'!$T$7:$T$506)+1,1))*(IF('Gastos com Pessoal'!$Y$7:$Y$506&lt;=J$3,('Gastos com Pessoal'!$Z$7:$Z$506)+1,1))*(IF('Gastos com Pessoal'!$AE$7:$AE$506&lt;=J$3,('Gastos com Pessoal'!$AF$7:$AF$506)+1,1)),0)</f>
        <v>576286.48133343877</v>
      </c>
      <c r="K34" s="188">
        <f t="array" aca="1" ref="K34" ca="1">_xlfn.IFNA(SUM((K$3&gt;='Gastos com Pessoal'!$E$7:$E$506)*(K$3&lt;='Gastos com Pessoal'!$F$7:$F$506)*OFFSET('Encargos e Benefícios'!$D$5,1,MATCH($B34,'Encargos e Benefícios'!$E$5:$AB$5,0),500,1))*(IF('Gastos com Pessoal'!$G$7:$G$506&lt;=K$3,('Gastos com Pessoal'!$H$7:$H$506)+1,1))*(IF('Gastos com Pessoal'!$M$7:$M$506&lt;=K$3,('Gastos com Pessoal'!$N$7:$N$506)+1,1))*(IF('Gastos com Pessoal'!$S$7:$S$506&lt;=K$3,('Gastos com Pessoal'!$T$7:$T$506)+1,1))*(IF('Gastos com Pessoal'!$Y$7:$Y$506&lt;=K$3,('Gastos com Pessoal'!$Z$7:$Z$506)+1,1))*(IF('Gastos com Pessoal'!$AE$7:$AE$506&lt;=K$3,('Gastos com Pessoal'!$AF$7:$AF$506)+1,1)),0)</f>
        <v>603217.63457894803</v>
      </c>
      <c r="L34" s="188">
        <f t="array" aca="1" ref="L34" ca="1">_xlfn.IFNA(SUM((L$3&gt;='Gastos com Pessoal'!$E$7:$E$506)*(L$3&lt;='Gastos com Pessoal'!$F$7:$F$506)*OFFSET('Encargos e Benefícios'!$D$5,1,MATCH($B34,'Encargos e Benefícios'!$E$5:$AB$5,0),500,1))*(IF('Gastos com Pessoal'!$G$7:$G$506&lt;=L$3,('Gastos com Pessoal'!$H$7:$H$506)+1,1))*(IF('Gastos com Pessoal'!$M$7:$M$506&lt;=L$3,('Gastos com Pessoal'!$N$7:$N$506)+1,1))*(IF('Gastos com Pessoal'!$S$7:$S$506&lt;=L$3,('Gastos com Pessoal'!$T$7:$T$506)+1,1))*(IF('Gastos com Pessoal'!$Y$7:$Y$506&lt;=L$3,('Gastos com Pessoal'!$Z$7:$Z$506)+1,1))*(IF('Gastos com Pessoal'!$AE$7:$AE$506&lt;=L$3,('Gastos com Pessoal'!$AF$7:$AF$506)+1,1)),0)</f>
        <v>607569.56242151803</v>
      </c>
      <c r="M34" s="188">
        <f t="array" aca="1" ref="M34" ca="1">_xlfn.IFNA(SUM((M$3&gt;='Gastos com Pessoal'!$E$7:$E$506)*(M$3&lt;='Gastos com Pessoal'!$F$7:$F$506)*OFFSET('Encargos e Benefícios'!$D$5,1,MATCH($B34,'Encargos e Benefícios'!$E$5:$AB$5,0),500,1))*(IF('Gastos com Pessoal'!$G$7:$G$506&lt;=M$3,('Gastos com Pessoal'!$H$7:$H$506)+1,1))*(IF('Gastos com Pessoal'!$M$7:$M$506&lt;=M$3,('Gastos com Pessoal'!$N$7:$N$506)+1,1))*(IF('Gastos com Pessoal'!$S$7:$S$506&lt;=M$3,('Gastos com Pessoal'!$T$7:$T$506)+1,1))*(IF('Gastos com Pessoal'!$Y$7:$Y$506&lt;=M$3,('Gastos com Pessoal'!$Z$7:$Z$506)+1,1))*(IF('Gastos com Pessoal'!$AE$7:$AE$506&lt;=M$3,('Gastos com Pessoal'!$AF$7:$AF$506)+1,1)),0)</f>
        <v>607569.56242151803</v>
      </c>
      <c r="N34" s="188">
        <f t="array" aca="1" ref="N34" ca="1">_xlfn.IFNA(SUM((N$3&gt;='Gastos com Pessoal'!$E$7:$E$506)*(N$3&lt;='Gastos com Pessoal'!$F$7:$F$506)*OFFSET('Encargos e Benefícios'!$D$5,1,MATCH($B34,'Encargos e Benefícios'!$E$5:$AB$5,0),500,1))*(IF('Gastos com Pessoal'!$G$7:$G$506&lt;=N$3,('Gastos com Pessoal'!$H$7:$H$506)+1,1))*(IF('Gastos com Pessoal'!$M$7:$M$506&lt;=N$3,('Gastos com Pessoal'!$N$7:$N$506)+1,1))*(IF('Gastos com Pessoal'!$S$7:$S$506&lt;=N$3,('Gastos com Pessoal'!$T$7:$T$506)+1,1))*(IF('Gastos com Pessoal'!$Y$7:$Y$506&lt;=N$3,('Gastos com Pessoal'!$Z$7:$Z$506)+1,1))*(IF('Gastos com Pessoal'!$AE$7:$AE$506&lt;=N$3,('Gastos com Pessoal'!$AF$7:$AF$506)+1,1)),0)</f>
        <v>634500.71566702728</v>
      </c>
      <c r="O34" s="188">
        <f t="array" aca="1" ref="O34" ca="1">_xlfn.IFNA(SUM((O$3&gt;='Gastos com Pessoal'!$E$7:$E$506)*(O$3&lt;='Gastos com Pessoal'!$F$7:$F$506)*OFFSET('Encargos e Benefícios'!$D$5,1,MATCH($B34,'Encargos e Benefícios'!$E$5:$AB$5,0),500,1))*(IF('Gastos com Pessoal'!$G$7:$G$506&lt;=O$3,('Gastos com Pessoal'!$H$7:$H$506)+1,1))*(IF('Gastos com Pessoal'!$M$7:$M$506&lt;=O$3,('Gastos com Pessoal'!$N$7:$N$506)+1,1))*(IF('Gastos com Pessoal'!$S$7:$S$506&lt;=O$3,('Gastos com Pessoal'!$T$7:$T$506)+1,1))*(IF('Gastos com Pessoal'!$Y$7:$Y$506&lt;=O$3,('Gastos com Pessoal'!$Z$7:$Z$506)+1,1))*(IF('Gastos com Pessoal'!$AE$7:$AE$506&lt;=O$3,('Gastos com Pessoal'!$AF$7:$AF$506)+1,1)),0)</f>
        <v>634500.71566702728</v>
      </c>
      <c r="P34" s="188">
        <f t="array" aca="1" ref="P34" ca="1">_xlfn.IFNA(SUM((P$3&gt;='Gastos com Pessoal'!$E$7:$E$506)*(P$3&lt;='Gastos com Pessoal'!$F$7:$F$506)*OFFSET('Encargos e Benefícios'!$D$5,1,MATCH($B34,'Encargos e Benefícios'!$E$5:$AB$5,0),500,1))*(IF('Gastos com Pessoal'!$G$7:$G$506&lt;=P$3,('Gastos com Pessoal'!$H$7:$H$506)+1,1))*(IF('Gastos com Pessoal'!$M$7:$M$506&lt;=P$3,('Gastos com Pessoal'!$N$7:$N$506)+1,1))*(IF('Gastos com Pessoal'!$S$7:$S$506&lt;=P$3,('Gastos com Pessoal'!$T$7:$T$506)+1,1))*(IF('Gastos com Pessoal'!$Y$7:$Y$506&lt;=P$3,('Gastos com Pessoal'!$Z$7:$Z$506)+1,1))*(IF('Gastos com Pessoal'!$AE$7:$AE$506&lt;=P$3,('Gastos com Pessoal'!$AF$7:$AF$506)+1,1)),0)</f>
        <v>634500.71566702728</v>
      </c>
      <c r="Q34" s="188">
        <f t="array" aca="1" ref="Q34" ca="1">_xlfn.IFNA(SUM((Q$3&gt;='Gastos com Pessoal'!$E$7:$E$506)*(Q$3&lt;='Gastos com Pessoal'!$F$7:$F$506)*OFFSET('Encargos e Benefícios'!$D$5,1,MATCH($B34,'Encargos e Benefícios'!$E$5:$AB$5,0),500,1))*(IF('Gastos com Pessoal'!$G$7:$G$506&lt;=Q$3,('Gastos com Pessoal'!$H$7:$H$506)+1,1))*(IF('Gastos com Pessoal'!$M$7:$M$506&lt;=Q$3,('Gastos com Pessoal'!$N$7:$N$506)+1,1))*(IF('Gastos com Pessoal'!$S$7:$S$506&lt;=Q$3,('Gastos com Pessoal'!$T$7:$T$506)+1,1))*(IF('Gastos com Pessoal'!$Y$7:$Y$506&lt;=Q$3,('Gastos com Pessoal'!$Z$7:$Z$506)+1,1))*(IF('Gastos com Pessoal'!$AE$7:$AE$506&lt;=Q$3,('Gastos com Pessoal'!$AF$7:$AF$506)+1,1)),0)</f>
        <v>634500.71566702728</v>
      </c>
      <c r="R34" s="188">
        <f t="array" aca="1" ref="R34" ca="1">_xlfn.IFNA(SUM((R$3&gt;='Gastos com Pessoal'!$E$7:$E$506)*(R$3&lt;='Gastos com Pessoal'!$F$7:$F$506)*OFFSET('Encargos e Benefícios'!$D$5,1,MATCH($B34,'Encargos e Benefícios'!$E$5:$AB$5,0),500,1))*(IF('Gastos com Pessoal'!$G$7:$G$506&lt;=R$3,('Gastos com Pessoal'!$H$7:$H$506)+1,1))*(IF('Gastos com Pessoal'!$M$7:$M$506&lt;=R$3,('Gastos com Pessoal'!$N$7:$N$506)+1,1))*(IF('Gastos com Pessoal'!$S$7:$S$506&lt;=R$3,('Gastos com Pessoal'!$T$7:$T$506)+1,1))*(IF('Gastos com Pessoal'!$Y$7:$Y$506&lt;=R$3,('Gastos com Pessoal'!$Z$7:$Z$506)+1,1))*(IF('Gastos com Pessoal'!$AE$7:$AE$506&lt;=R$3,('Gastos com Pessoal'!$AF$7:$AF$506)+1,1)),0)</f>
        <v>634500.71566702728</v>
      </c>
      <c r="S34" s="188">
        <f t="array" aca="1" ref="S34" ca="1">_xlfn.IFNA(SUM((S$3&gt;='Gastos com Pessoal'!$E$7:$E$506)*(S$3&lt;='Gastos com Pessoal'!$F$7:$F$506)*OFFSET('Encargos e Benefícios'!$D$5,1,MATCH($B34,'Encargos e Benefícios'!$E$5:$AB$5,0),500,1))*(IF('Gastos com Pessoal'!$G$7:$G$506&lt;=S$3,('Gastos com Pessoal'!$H$7:$H$506)+1,1))*(IF('Gastos com Pessoal'!$M$7:$M$506&lt;=S$3,('Gastos com Pessoal'!$N$7:$N$506)+1,1))*(IF('Gastos com Pessoal'!$S$7:$S$506&lt;=S$3,('Gastos com Pessoal'!$T$7:$T$506)+1,1))*(IF('Gastos com Pessoal'!$Y$7:$Y$506&lt;=S$3,('Gastos com Pessoal'!$Z$7:$Z$506)+1,1))*(IF('Gastos com Pessoal'!$AE$7:$AE$506&lt;=S$3,('Gastos com Pessoal'!$AF$7:$AF$506)+1,1)),0)</f>
        <v>671555.55746198166</v>
      </c>
      <c r="T34" s="188">
        <f t="array" aca="1" ref="T34" ca="1">_xlfn.IFNA(SUM((T$3&gt;='Gastos com Pessoal'!$E$7:$E$506)*(T$3&lt;='Gastos com Pessoal'!$F$7:$F$506)*OFFSET('Encargos e Benefícios'!$D$5,1,MATCH($B34,'Encargos e Benefícios'!$E$5:$AB$5,0),500,1))*(IF('Gastos com Pessoal'!$G$7:$G$506&lt;=T$3,('Gastos com Pessoal'!$H$7:$H$506)+1,1))*(IF('Gastos com Pessoal'!$M$7:$M$506&lt;=T$3,('Gastos com Pessoal'!$N$7:$N$506)+1,1))*(IF('Gastos com Pessoal'!$S$7:$S$506&lt;=T$3,('Gastos com Pessoal'!$T$7:$T$506)+1,1))*(IF('Gastos com Pessoal'!$Y$7:$Y$506&lt;=T$3,('Gastos com Pessoal'!$Z$7:$Z$506)+1,1))*(IF('Gastos com Pessoal'!$AE$7:$AE$506&lt;=T$3,('Gastos com Pessoal'!$AF$7:$AF$506)+1,1)),0)</f>
        <v>671555.55746198166</v>
      </c>
      <c r="U34" s="188">
        <f t="array" aca="1" ref="U34" ca="1">_xlfn.IFNA(SUM((U$3&gt;='Gastos com Pessoal'!$E$7:$E$506)*(U$3&lt;='Gastos com Pessoal'!$F$7:$F$506)*OFFSET('Encargos e Benefícios'!$D$5,1,MATCH($B34,'Encargos e Benefícios'!$E$5:$AB$5,0),500,1))*(IF('Gastos com Pessoal'!$G$7:$G$506&lt;=U$3,('Gastos com Pessoal'!$H$7:$H$506)+1,1))*(IF('Gastos com Pessoal'!$M$7:$M$506&lt;=U$3,('Gastos com Pessoal'!$N$7:$N$506)+1,1))*(IF('Gastos com Pessoal'!$S$7:$S$506&lt;=U$3,('Gastos com Pessoal'!$T$7:$T$506)+1,1))*(IF('Gastos com Pessoal'!$Y$7:$Y$506&lt;=U$3,('Gastos com Pessoal'!$Z$7:$Z$506)+1,1))*(IF('Gastos com Pessoal'!$AE$7:$AE$506&lt;=U$3,('Gastos com Pessoal'!$AF$7:$AF$506)+1,1)),0)</f>
        <v>671555.55746198166</v>
      </c>
      <c r="V34" s="188">
        <f t="array" aca="1" ref="V34" ca="1">_xlfn.IFNA(SUM((V$3&gt;='Gastos com Pessoal'!$E$7:$E$506)*(V$3&lt;='Gastos com Pessoal'!$F$7:$F$506)*OFFSET('Encargos e Benefícios'!$D$5,1,MATCH($B34,'Encargos e Benefícios'!$E$5:$AB$5,0),500,1))*(IF('Gastos com Pessoal'!$G$7:$G$506&lt;=V$3,('Gastos com Pessoal'!$H$7:$H$506)+1,1))*(IF('Gastos com Pessoal'!$M$7:$M$506&lt;=V$3,('Gastos com Pessoal'!$N$7:$N$506)+1,1))*(IF('Gastos com Pessoal'!$S$7:$S$506&lt;=V$3,('Gastos com Pessoal'!$T$7:$T$506)+1,1))*(IF('Gastos com Pessoal'!$Y$7:$Y$506&lt;=V$3,('Gastos com Pessoal'!$Z$7:$Z$506)+1,1))*(IF('Gastos com Pessoal'!$AE$7:$AE$506&lt;=V$3,('Gastos com Pessoal'!$AF$7:$AF$506)+1,1)),0)</f>
        <v>671555.55746198166</v>
      </c>
      <c r="W34" s="188">
        <f t="array" aca="1" ref="W34" ca="1">_xlfn.IFNA(SUM((W$3&gt;='Gastos com Pessoal'!$E$7:$E$506)*(W$3&lt;='Gastos com Pessoal'!$F$7:$F$506)*OFFSET('Encargos e Benefícios'!$D$5,1,MATCH($B34,'Encargos e Benefícios'!$E$5:$AB$5,0),500,1))*(IF('Gastos com Pessoal'!$G$7:$G$506&lt;=W$3,('Gastos com Pessoal'!$H$7:$H$506)+1,1))*(IF('Gastos com Pessoal'!$M$7:$M$506&lt;=W$3,('Gastos com Pessoal'!$N$7:$N$506)+1,1))*(IF('Gastos com Pessoal'!$S$7:$S$506&lt;=W$3,('Gastos com Pessoal'!$T$7:$T$506)+1,1))*(IF('Gastos com Pessoal'!$Y$7:$Y$506&lt;=W$3,('Gastos com Pessoal'!$Z$7:$Z$506)+1,1))*(IF('Gastos com Pessoal'!$AE$7:$AE$506&lt;=W$3,('Gastos com Pessoal'!$AF$7:$AF$506)+1,1)),0)</f>
        <v>671555.55746198166</v>
      </c>
      <c r="X34" s="188">
        <f t="array" aca="1" ref="X34" ca="1">_xlfn.IFNA(SUM((X$3&gt;='Gastos com Pessoal'!$E$7:$E$506)*(X$3&lt;='Gastos com Pessoal'!$F$7:$F$506)*OFFSET('Encargos e Benefícios'!$D$5,1,MATCH($B34,'Encargos e Benefícios'!$E$5:$AB$5,0),500,1))*(IF('Gastos com Pessoal'!$G$7:$G$506&lt;=X$3,('Gastos com Pessoal'!$H$7:$H$506)+1,1))*(IF('Gastos com Pessoal'!$M$7:$M$506&lt;=X$3,('Gastos com Pessoal'!$N$7:$N$506)+1,1))*(IF('Gastos com Pessoal'!$S$7:$S$506&lt;=X$3,('Gastos com Pessoal'!$T$7:$T$506)+1,1))*(IF('Gastos com Pessoal'!$Y$7:$Y$506&lt;=X$3,('Gastos com Pessoal'!$Z$7:$Z$506)+1,1))*(IF('Gastos com Pessoal'!$AE$7:$AE$506&lt;=X$3,('Gastos com Pessoal'!$AF$7:$AF$506)+1,1)),0)</f>
        <v>671555.55746198166</v>
      </c>
      <c r="Y34" s="188">
        <f t="array" aca="1" ref="Y34" ca="1">_xlfn.IFNA(SUM((Y$3&gt;='Gastos com Pessoal'!$E$7:$E$506)*(Y$3&lt;='Gastos com Pessoal'!$F$7:$F$506)*OFFSET('Encargos e Benefícios'!$D$5,1,MATCH($B34,'Encargos e Benefícios'!$E$5:$AB$5,0),500,1))*(IF('Gastos com Pessoal'!$G$7:$G$506&lt;=Y$3,('Gastos com Pessoal'!$H$7:$H$506)+1,1))*(IF('Gastos com Pessoal'!$M$7:$M$506&lt;=Y$3,('Gastos com Pessoal'!$N$7:$N$506)+1,1))*(IF('Gastos com Pessoal'!$S$7:$S$506&lt;=Y$3,('Gastos com Pessoal'!$T$7:$T$506)+1,1))*(IF('Gastos com Pessoal'!$Y$7:$Y$506&lt;=Y$3,('Gastos com Pessoal'!$Z$7:$Z$506)+1,1))*(IF('Gastos com Pessoal'!$AE$7:$AE$506&lt;=Y$3,('Gastos com Pessoal'!$AF$7:$AF$506)+1,1)),0)</f>
        <v>671555.55746198166</v>
      </c>
      <c r="Z34" s="188">
        <f t="array" aca="1" ref="Z34" ca="1">_xlfn.IFNA(SUM((Z$3&gt;='Gastos com Pessoal'!$E$7:$E$506)*(Z$3&lt;='Gastos com Pessoal'!$F$7:$F$506)*OFFSET('Encargos e Benefícios'!$D$5,1,MATCH($B34,'Encargos e Benefícios'!$E$5:$AB$5,0),500,1))*(IF('Gastos com Pessoal'!$G$7:$G$506&lt;=Z$3,('Gastos com Pessoal'!$H$7:$H$506)+1,1))*(IF('Gastos com Pessoal'!$M$7:$M$506&lt;=Z$3,('Gastos com Pessoal'!$N$7:$N$506)+1,1))*(IF('Gastos com Pessoal'!$S$7:$S$506&lt;=Z$3,('Gastos com Pessoal'!$T$7:$T$506)+1,1))*(IF('Gastos com Pessoal'!$Y$7:$Y$506&lt;=Z$3,('Gastos com Pessoal'!$Z$7:$Z$506)+1,1))*(IF('Gastos com Pessoal'!$AE$7:$AE$506&lt;=Z$3,('Gastos com Pessoal'!$AF$7:$AF$506)+1,1)),0)</f>
        <v>671555.55746198166</v>
      </c>
      <c r="AA34" s="188">
        <f t="array" aca="1" ref="AA34" ca="1">_xlfn.IFNA(SUM((AA$3&gt;='Gastos com Pessoal'!$E$7:$E$506)*(AA$3&lt;='Gastos com Pessoal'!$F$7:$F$506)*OFFSET('Encargos e Benefícios'!$D$5,1,MATCH($B34,'Encargos e Benefícios'!$E$5:$AB$5,0),500,1))*(IF('Gastos com Pessoal'!$G$7:$G$506&lt;=AA$3,('Gastos com Pessoal'!$H$7:$H$506)+1,1))*(IF('Gastos com Pessoal'!$M$7:$M$506&lt;=AA$3,('Gastos com Pessoal'!$N$7:$N$506)+1,1))*(IF('Gastos com Pessoal'!$S$7:$S$506&lt;=AA$3,('Gastos com Pessoal'!$T$7:$T$506)+1,1))*(IF('Gastos com Pessoal'!$Y$7:$Y$506&lt;=AA$3,('Gastos com Pessoal'!$Z$7:$Z$506)+1,1))*(IF('Gastos com Pessoal'!$AE$7:$AE$506&lt;=AA$3,('Gastos com Pessoal'!$AF$7:$AF$506)+1,1)),0)</f>
        <v>671555.55746198166</v>
      </c>
      <c r="AB34" s="188">
        <f t="array" aca="1" ref="AB34" ca="1">_xlfn.IFNA(SUM((AB$3&gt;='Gastos com Pessoal'!$E$7:$E$506)*(AB$3&lt;='Gastos com Pessoal'!$F$7:$F$506)*OFFSET('Encargos e Benefícios'!$D$5,1,MATCH($B34,'Encargos e Benefícios'!$E$5:$AB$5,0),500,1))*(IF('Gastos com Pessoal'!$G$7:$G$506&lt;=AB$3,('Gastos com Pessoal'!$H$7:$H$506)+1,1))*(IF('Gastos com Pessoal'!$M$7:$M$506&lt;=AB$3,('Gastos com Pessoal'!$N$7:$N$506)+1,1))*(IF('Gastos com Pessoal'!$S$7:$S$506&lt;=AB$3,('Gastos com Pessoal'!$T$7:$T$506)+1,1))*(IF('Gastos com Pessoal'!$Y$7:$Y$506&lt;=AB$3,('Gastos com Pessoal'!$Z$7:$Z$506)+1,1))*(IF('Gastos com Pessoal'!$AE$7:$AE$506&lt;=AB$3,('Gastos com Pessoal'!$AF$7:$AF$506)+1,1)),0)</f>
        <v>671555.55746198166</v>
      </c>
      <c r="AC34" s="188">
        <f t="array" aca="1" ref="AC34" ca="1">_xlfn.IFNA(SUM((AC$3&gt;='Gastos com Pessoal'!$E$7:$E$506)*(AC$3&lt;='Gastos com Pessoal'!$F$7:$F$506)*OFFSET('Encargos e Benefícios'!$D$5,1,MATCH($B34,'Encargos e Benefícios'!$E$5:$AB$5,0),500,1))*(IF('Gastos com Pessoal'!$G$7:$G$506&lt;=AC$3,('Gastos com Pessoal'!$H$7:$H$506)+1,1))*(IF('Gastos com Pessoal'!$M$7:$M$506&lt;=AC$3,('Gastos com Pessoal'!$N$7:$N$506)+1,1))*(IF('Gastos com Pessoal'!$S$7:$S$506&lt;=AC$3,('Gastos com Pessoal'!$T$7:$T$506)+1,1))*(IF('Gastos com Pessoal'!$Y$7:$Y$506&lt;=AC$3,('Gastos com Pessoal'!$Z$7:$Z$506)+1,1))*(IF('Gastos com Pessoal'!$AE$7:$AE$506&lt;=AC$3,('Gastos com Pessoal'!$AF$7:$AF$506)+1,1)),0)</f>
        <v>671555.55746198166</v>
      </c>
      <c r="AD34" s="188">
        <f t="array" aca="1" ref="AD34" ca="1">_xlfn.IFNA(SUM((AD$3&gt;='Gastos com Pessoal'!$E$7:$E$506)*(AD$3&lt;='Gastos com Pessoal'!$F$7:$F$506)*OFFSET('Encargos e Benefícios'!$D$5,1,MATCH($B34,'Encargos e Benefícios'!$E$5:$AB$5,0),500,1))*(IF('Gastos com Pessoal'!$G$7:$G$506&lt;=AD$3,('Gastos com Pessoal'!$H$7:$H$506)+1,1))*(IF('Gastos com Pessoal'!$M$7:$M$506&lt;=AD$3,('Gastos com Pessoal'!$N$7:$N$506)+1,1))*(IF('Gastos com Pessoal'!$S$7:$S$506&lt;=AD$3,('Gastos com Pessoal'!$T$7:$T$506)+1,1))*(IF('Gastos com Pessoal'!$Y$7:$Y$506&lt;=AD$3,('Gastos com Pessoal'!$Z$7:$Z$506)+1,1))*(IF('Gastos com Pessoal'!$AE$7:$AE$506&lt;=AD$3,('Gastos com Pessoal'!$AF$7:$AF$506)+1,1)),0)</f>
        <v>671555.55746198166</v>
      </c>
      <c r="AE34" s="188">
        <f t="array" aca="1" ref="AE34" ca="1">_xlfn.IFNA(SUM((AE$3&gt;='Gastos com Pessoal'!$E$7:$E$506)*(AE$3&lt;='Gastos com Pessoal'!$F$7:$F$506)*OFFSET('Encargos e Benefícios'!$D$5,1,MATCH($B34,'Encargos e Benefícios'!$E$5:$AB$5,0),500,1))*(IF('Gastos com Pessoal'!$G$7:$G$506&lt;=AE$3,('Gastos com Pessoal'!$H$7:$H$506)+1,1))*(IF('Gastos com Pessoal'!$M$7:$M$506&lt;=AE$3,('Gastos com Pessoal'!$N$7:$N$506)+1,1))*(IF('Gastos com Pessoal'!$S$7:$S$506&lt;=AE$3,('Gastos com Pessoal'!$T$7:$T$506)+1,1))*(IF('Gastos com Pessoal'!$Y$7:$Y$506&lt;=AE$3,('Gastos com Pessoal'!$Z$7:$Z$506)+1,1))*(IF('Gastos com Pessoal'!$AE$7:$AE$506&lt;=AE$3,('Gastos com Pessoal'!$AF$7:$AF$506)+1,1)),0)</f>
        <v>710774.40201776137</v>
      </c>
      <c r="AF34" s="188">
        <f t="array" aca="1" ref="AF34" ca="1">_xlfn.IFNA(SUM((AF$3&gt;='Gastos com Pessoal'!$E$7:$E$506)*(AF$3&lt;='Gastos com Pessoal'!$F$7:$F$506)*OFFSET('Encargos e Benefícios'!$D$5,1,MATCH($B34,'Encargos e Benefícios'!$E$5:$AB$5,0),500,1))*(IF('Gastos com Pessoal'!$G$7:$G$506&lt;=AF$3,('Gastos com Pessoal'!$H$7:$H$506)+1,1))*(IF('Gastos com Pessoal'!$M$7:$M$506&lt;=AF$3,('Gastos com Pessoal'!$N$7:$N$506)+1,1))*(IF('Gastos com Pessoal'!$S$7:$S$506&lt;=AF$3,('Gastos com Pessoal'!$T$7:$T$506)+1,1))*(IF('Gastos com Pessoal'!$Y$7:$Y$506&lt;=AF$3,('Gastos com Pessoal'!$Z$7:$Z$506)+1,1))*(IF('Gastos com Pessoal'!$AE$7:$AE$506&lt;=AF$3,('Gastos com Pessoal'!$AF$7:$AF$506)+1,1)),0)</f>
        <v>710774.40201776137</v>
      </c>
      <c r="AG34" s="188">
        <f t="array" aca="1" ref="AG34" ca="1">_xlfn.IFNA(SUM((AG$3&gt;='Gastos com Pessoal'!$E$7:$E$506)*(AG$3&lt;='Gastos com Pessoal'!$F$7:$F$506)*OFFSET('Encargos e Benefícios'!$D$5,1,MATCH($B34,'Encargos e Benefícios'!$E$5:$AB$5,0),500,1))*(IF('Gastos com Pessoal'!$G$7:$G$506&lt;=AG$3,('Gastos com Pessoal'!$H$7:$H$506)+1,1))*(IF('Gastos com Pessoal'!$M$7:$M$506&lt;=AG$3,('Gastos com Pessoal'!$N$7:$N$506)+1,1))*(IF('Gastos com Pessoal'!$S$7:$S$506&lt;=AG$3,('Gastos com Pessoal'!$T$7:$T$506)+1,1))*(IF('Gastos com Pessoal'!$Y$7:$Y$506&lt;=AG$3,('Gastos com Pessoal'!$Z$7:$Z$506)+1,1))*(IF('Gastos com Pessoal'!$AE$7:$AE$506&lt;=AG$3,('Gastos com Pessoal'!$AF$7:$AF$506)+1,1)),0)</f>
        <v>710774.40201776137</v>
      </c>
      <c r="AH34" s="188">
        <f t="array" aca="1" ref="AH34" ca="1">_xlfn.IFNA(SUM((AH$3&gt;='Gastos com Pessoal'!$E$7:$E$506)*(AH$3&lt;='Gastos com Pessoal'!$F$7:$F$506)*OFFSET('Encargos e Benefícios'!$D$5,1,MATCH($B34,'Encargos e Benefícios'!$E$5:$AB$5,0),500,1))*(IF('Gastos com Pessoal'!$G$7:$G$506&lt;=AH$3,('Gastos com Pessoal'!$H$7:$H$506)+1,1))*(IF('Gastos com Pessoal'!$M$7:$M$506&lt;=AH$3,('Gastos com Pessoal'!$N$7:$N$506)+1,1))*(IF('Gastos com Pessoal'!$S$7:$S$506&lt;=AH$3,('Gastos com Pessoal'!$T$7:$T$506)+1,1))*(IF('Gastos com Pessoal'!$Y$7:$Y$506&lt;=AH$3,('Gastos com Pessoal'!$Z$7:$Z$506)+1,1))*(IF('Gastos com Pessoal'!$AE$7:$AE$506&lt;=AH$3,('Gastos com Pessoal'!$AF$7:$AF$506)+1,1)),0)</f>
        <v>710774.40201776137</v>
      </c>
      <c r="AI34" s="188">
        <f t="array" aca="1" ref="AI34" ca="1">_xlfn.IFNA(SUM((AI$3&gt;='Gastos com Pessoal'!$E$7:$E$506)*(AI$3&lt;='Gastos com Pessoal'!$F$7:$F$506)*OFFSET('Encargos e Benefícios'!$D$5,1,MATCH($B34,'Encargos e Benefícios'!$E$5:$AB$5,0),500,1))*(IF('Gastos com Pessoal'!$G$7:$G$506&lt;=AI$3,('Gastos com Pessoal'!$H$7:$H$506)+1,1))*(IF('Gastos com Pessoal'!$M$7:$M$506&lt;=AI$3,('Gastos com Pessoal'!$N$7:$N$506)+1,1))*(IF('Gastos com Pessoal'!$S$7:$S$506&lt;=AI$3,('Gastos com Pessoal'!$T$7:$T$506)+1,1))*(IF('Gastos com Pessoal'!$Y$7:$Y$506&lt;=AI$3,('Gastos com Pessoal'!$Z$7:$Z$506)+1,1))*(IF('Gastos com Pessoal'!$AE$7:$AE$506&lt;=AI$3,('Gastos com Pessoal'!$AF$7:$AF$506)+1,1)),0)</f>
        <v>710774.40201776137</v>
      </c>
      <c r="AJ34" s="188">
        <f t="array" aca="1" ref="AJ34" ca="1">_xlfn.IFNA(SUM((AJ$3&gt;='Gastos com Pessoal'!$E$7:$E$506)*(AJ$3&lt;='Gastos com Pessoal'!$F$7:$F$506)*OFFSET('Encargos e Benefícios'!$D$5,1,MATCH($B34,'Encargos e Benefícios'!$E$5:$AB$5,0),500,1))*(IF('Gastos com Pessoal'!$G$7:$G$506&lt;=AJ$3,('Gastos com Pessoal'!$H$7:$H$506)+1,1))*(IF('Gastos com Pessoal'!$M$7:$M$506&lt;=AJ$3,('Gastos com Pessoal'!$N$7:$N$506)+1,1))*(IF('Gastos com Pessoal'!$S$7:$S$506&lt;=AJ$3,('Gastos com Pessoal'!$T$7:$T$506)+1,1))*(IF('Gastos com Pessoal'!$Y$7:$Y$506&lt;=AJ$3,('Gastos com Pessoal'!$Z$7:$Z$506)+1,1))*(IF('Gastos com Pessoal'!$AE$7:$AE$506&lt;=AJ$3,('Gastos com Pessoal'!$AF$7:$AF$506)+1,1)),0)</f>
        <v>710774.40201776137</v>
      </c>
      <c r="AK34" s="188">
        <f t="array" aca="1" ref="AK34" ca="1">_xlfn.IFNA(SUM((AK$3&gt;='Gastos com Pessoal'!$E$7:$E$506)*(AK$3&lt;='Gastos com Pessoal'!$F$7:$F$506)*OFFSET('Encargos e Benefícios'!$D$5,1,MATCH($B34,'Encargos e Benefícios'!$E$5:$AB$5,0),500,1))*(IF('Gastos com Pessoal'!$G$7:$G$506&lt;=AK$3,('Gastos com Pessoal'!$H$7:$H$506)+1,1))*(IF('Gastos com Pessoal'!$M$7:$M$506&lt;=AK$3,('Gastos com Pessoal'!$N$7:$N$506)+1,1))*(IF('Gastos com Pessoal'!$S$7:$S$506&lt;=AK$3,('Gastos com Pessoal'!$T$7:$T$506)+1,1))*(IF('Gastos com Pessoal'!$Y$7:$Y$506&lt;=AK$3,('Gastos com Pessoal'!$Z$7:$Z$506)+1,1))*(IF('Gastos com Pessoal'!$AE$7:$AE$506&lt;=AK$3,('Gastos com Pessoal'!$AF$7:$AF$506)+1,1)),0)</f>
        <v>710774.40201776137</v>
      </c>
      <c r="AL34" s="188">
        <f t="array" aca="1" ref="AL34" ca="1">_xlfn.IFNA(SUM((AL$3&gt;='Gastos com Pessoal'!$E$7:$E$506)*(AL$3&lt;='Gastos com Pessoal'!$F$7:$F$506)*OFFSET('Encargos e Benefícios'!$D$5,1,MATCH($B34,'Encargos e Benefícios'!$E$5:$AB$5,0),500,1))*(IF('Gastos com Pessoal'!$G$7:$G$506&lt;=AL$3,('Gastos com Pessoal'!$H$7:$H$506)+1,1))*(IF('Gastos com Pessoal'!$M$7:$M$506&lt;=AL$3,('Gastos com Pessoal'!$N$7:$N$506)+1,1))*(IF('Gastos com Pessoal'!$S$7:$S$506&lt;=AL$3,('Gastos com Pessoal'!$T$7:$T$506)+1,1))*(IF('Gastos com Pessoal'!$Y$7:$Y$506&lt;=AL$3,('Gastos com Pessoal'!$Z$7:$Z$506)+1,1))*(IF('Gastos com Pessoal'!$AE$7:$AE$506&lt;=AL$3,('Gastos com Pessoal'!$AF$7:$AF$506)+1,1)),0)</f>
        <v>710774.40201776137</v>
      </c>
      <c r="AM34" s="188">
        <f t="array" aca="1" ref="AM34" ca="1">_xlfn.IFNA(SUM((AM$3&gt;='Gastos com Pessoal'!$E$7:$E$506)*(AM$3&lt;='Gastos com Pessoal'!$F$7:$F$506)*OFFSET('Encargos e Benefícios'!$D$5,1,MATCH($B34,'Encargos e Benefícios'!$E$5:$AB$5,0),500,1))*(IF('Gastos com Pessoal'!$G$7:$G$506&lt;=AM$3,('Gastos com Pessoal'!$H$7:$H$506)+1,1))*(IF('Gastos com Pessoal'!$M$7:$M$506&lt;=AM$3,('Gastos com Pessoal'!$N$7:$N$506)+1,1))*(IF('Gastos com Pessoal'!$S$7:$S$506&lt;=AM$3,('Gastos com Pessoal'!$T$7:$T$506)+1,1))*(IF('Gastos com Pessoal'!$Y$7:$Y$506&lt;=AM$3,('Gastos com Pessoal'!$Z$7:$Z$506)+1,1))*(IF('Gastos com Pessoal'!$AE$7:$AE$506&lt;=AM$3,('Gastos com Pessoal'!$AF$7:$AF$506)+1,1)),0)</f>
        <v>710774.40201776137</v>
      </c>
      <c r="AN34" s="188">
        <f t="array" aca="1" ref="AN34" ca="1">_xlfn.IFNA(SUM((AN$3&gt;='Gastos com Pessoal'!$E$7:$E$506)*(AN$3&lt;='Gastos com Pessoal'!$F$7:$F$506)*OFFSET('Encargos e Benefícios'!$D$5,1,MATCH($B34,'Encargos e Benefícios'!$E$5:$AB$5,0),500,1))*(IF('Gastos com Pessoal'!$G$7:$G$506&lt;=AN$3,('Gastos com Pessoal'!$H$7:$H$506)+1,1))*(IF('Gastos com Pessoal'!$M$7:$M$506&lt;=AN$3,('Gastos com Pessoal'!$N$7:$N$506)+1,1))*(IF('Gastos com Pessoal'!$S$7:$S$506&lt;=AN$3,('Gastos com Pessoal'!$T$7:$T$506)+1,1))*(IF('Gastos com Pessoal'!$Y$7:$Y$506&lt;=AN$3,('Gastos com Pessoal'!$Z$7:$Z$506)+1,1))*(IF('Gastos com Pessoal'!$AE$7:$AE$506&lt;=AN$3,('Gastos com Pessoal'!$AF$7:$AF$506)+1,1)),0)</f>
        <v>710774.40201776137</v>
      </c>
      <c r="AO34" s="188">
        <f t="array" aca="1" ref="AO34" ca="1">_xlfn.IFNA(SUM((AO$3&gt;='Gastos com Pessoal'!$E$7:$E$506)*(AO$3&lt;='Gastos com Pessoal'!$F$7:$F$506)*OFFSET('Encargos e Benefícios'!$D$5,1,MATCH($B34,'Encargos e Benefícios'!$E$5:$AB$5,0),500,1))*(IF('Gastos com Pessoal'!$G$7:$G$506&lt;=AO$3,('Gastos com Pessoal'!$H$7:$H$506)+1,1))*(IF('Gastos com Pessoal'!$M$7:$M$506&lt;=AO$3,('Gastos com Pessoal'!$N$7:$N$506)+1,1))*(IF('Gastos com Pessoal'!$S$7:$S$506&lt;=AO$3,('Gastos com Pessoal'!$T$7:$T$506)+1,1))*(IF('Gastos com Pessoal'!$Y$7:$Y$506&lt;=AO$3,('Gastos com Pessoal'!$Z$7:$Z$506)+1,1))*(IF('Gastos com Pessoal'!$AE$7:$AE$506&lt;=AO$3,('Gastos com Pessoal'!$AF$7:$AF$506)+1,1)),0)</f>
        <v>710774.40201776137</v>
      </c>
      <c r="AP34" s="188">
        <f t="array" aca="1" ref="AP34" ca="1">_xlfn.IFNA(SUM((AP$3&gt;='Gastos com Pessoal'!$E$7:$E$506)*(AP$3&lt;='Gastos com Pessoal'!$F$7:$F$506)*OFFSET('Encargos e Benefícios'!$D$5,1,MATCH($B34,'Encargos e Benefícios'!$E$5:$AB$5,0),500,1))*(IF('Gastos com Pessoal'!$G$7:$G$506&lt;=AP$3,('Gastos com Pessoal'!$H$7:$H$506)+1,1))*(IF('Gastos com Pessoal'!$M$7:$M$506&lt;=AP$3,('Gastos com Pessoal'!$N$7:$N$506)+1,1))*(IF('Gastos com Pessoal'!$S$7:$S$506&lt;=AP$3,('Gastos com Pessoal'!$T$7:$T$506)+1,1))*(IF('Gastos com Pessoal'!$Y$7:$Y$506&lt;=AP$3,('Gastos com Pessoal'!$Z$7:$Z$506)+1,1))*(IF('Gastos com Pessoal'!$AE$7:$AE$506&lt;=AP$3,('Gastos com Pessoal'!$AF$7:$AF$506)+1,1)),0)</f>
        <v>710774.40201776137</v>
      </c>
      <c r="AQ34" s="188">
        <f t="array" aca="1" ref="AQ34" ca="1">_xlfn.IFNA(SUM((AQ$3&gt;='Gastos com Pessoal'!$E$7:$E$506)*(AQ$3&lt;='Gastos com Pessoal'!$F$7:$F$506)*OFFSET('Encargos e Benefícios'!$D$5,1,MATCH($B34,'Encargos e Benefícios'!$E$5:$AB$5,0),500,1))*(IF('Gastos com Pessoal'!$G$7:$G$506&lt;=AQ$3,('Gastos com Pessoal'!$H$7:$H$506)+1,1))*(IF('Gastos com Pessoal'!$M$7:$M$506&lt;=AQ$3,('Gastos com Pessoal'!$N$7:$N$506)+1,1))*(IF('Gastos com Pessoal'!$S$7:$S$506&lt;=AQ$3,('Gastos com Pessoal'!$T$7:$T$506)+1,1))*(IF('Gastos com Pessoal'!$Y$7:$Y$506&lt;=AQ$3,('Gastos com Pessoal'!$Z$7:$Z$506)+1,1))*(IF('Gastos com Pessoal'!$AE$7:$AE$506&lt;=AQ$3,('Gastos com Pessoal'!$AF$7:$AF$506)+1,1)),0)</f>
        <v>752283.62709559861</v>
      </c>
      <c r="AR34" s="188">
        <f t="array" aca="1" ref="AR34" ca="1">_xlfn.IFNA(SUM((AR$3&gt;='Gastos com Pessoal'!$E$7:$E$506)*(AR$3&lt;='Gastos com Pessoal'!$F$7:$F$506)*OFFSET('Encargos e Benefícios'!$D$5,1,MATCH($B34,'Encargos e Benefícios'!$E$5:$AB$5,0),500,1))*(IF('Gastos com Pessoal'!$G$7:$G$506&lt;=AR$3,('Gastos com Pessoal'!$H$7:$H$506)+1,1))*(IF('Gastos com Pessoal'!$M$7:$M$506&lt;=AR$3,('Gastos com Pessoal'!$N$7:$N$506)+1,1))*(IF('Gastos com Pessoal'!$S$7:$S$506&lt;=AR$3,('Gastos com Pessoal'!$T$7:$T$506)+1,1))*(IF('Gastos com Pessoal'!$Y$7:$Y$506&lt;=AR$3,('Gastos com Pessoal'!$Z$7:$Z$506)+1,1))*(IF('Gastos com Pessoal'!$AE$7:$AE$506&lt;=AR$3,('Gastos com Pessoal'!$AF$7:$AF$506)+1,1)),0)</f>
        <v>752283.62709559861</v>
      </c>
      <c r="AS34" s="188">
        <f t="array" aca="1" ref="AS34" ca="1">_xlfn.IFNA(SUM((AS$3&gt;='Gastos com Pessoal'!$E$7:$E$506)*(AS$3&lt;='Gastos com Pessoal'!$F$7:$F$506)*OFFSET('Encargos e Benefícios'!$D$5,1,MATCH($B34,'Encargos e Benefícios'!$E$5:$AB$5,0),500,1))*(IF('Gastos com Pessoal'!$G$7:$G$506&lt;=AS$3,('Gastos com Pessoal'!$H$7:$H$506)+1,1))*(IF('Gastos com Pessoal'!$M$7:$M$506&lt;=AS$3,('Gastos com Pessoal'!$N$7:$N$506)+1,1))*(IF('Gastos com Pessoal'!$S$7:$S$506&lt;=AS$3,('Gastos com Pessoal'!$T$7:$T$506)+1,1))*(IF('Gastos com Pessoal'!$Y$7:$Y$506&lt;=AS$3,('Gastos com Pessoal'!$Z$7:$Z$506)+1,1))*(IF('Gastos com Pessoal'!$AE$7:$AE$506&lt;=AS$3,('Gastos com Pessoal'!$AF$7:$AF$506)+1,1)),0)</f>
        <v>752283.62709559861</v>
      </c>
      <c r="AT34" s="188">
        <f t="array" aca="1" ref="AT34" ca="1">_xlfn.IFNA(SUM((AT$3&gt;='Gastos com Pessoal'!$E$7:$E$506)*(AT$3&lt;='Gastos com Pessoal'!$F$7:$F$506)*OFFSET('Encargos e Benefícios'!$D$5,1,MATCH($B34,'Encargos e Benefícios'!$E$5:$AB$5,0),500,1))*(IF('Gastos com Pessoal'!$G$7:$G$506&lt;=AT$3,('Gastos com Pessoal'!$H$7:$H$506)+1,1))*(IF('Gastos com Pessoal'!$M$7:$M$506&lt;=AT$3,('Gastos com Pessoal'!$N$7:$N$506)+1,1))*(IF('Gastos com Pessoal'!$S$7:$S$506&lt;=AT$3,('Gastos com Pessoal'!$T$7:$T$506)+1,1))*(IF('Gastos com Pessoal'!$Y$7:$Y$506&lt;=AT$3,('Gastos com Pessoal'!$Z$7:$Z$506)+1,1))*(IF('Gastos com Pessoal'!$AE$7:$AE$506&lt;=AT$3,('Gastos com Pessoal'!$AF$7:$AF$506)+1,1)),0)</f>
        <v>752283.62709559861</v>
      </c>
      <c r="AU34" s="188">
        <f t="array" aca="1" ref="AU34" ca="1">_xlfn.IFNA(SUM((AU$3&gt;='Gastos com Pessoal'!$E$7:$E$506)*(AU$3&lt;='Gastos com Pessoal'!$F$7:$F$506)*OFFSET('Encargos e Benefícios'!$D$5,1,MATCH($B34,'Encargos e Benefícios'!$E$5:$AB$5,0),500,1))*(IF('Gastos com Pessoal'!$G$7:$G$506&lt;=AU$3,('Gastos com Pessoal'!$H$7:$H$506)+1,1))*(IF('Gastos com Pessoal'!$M$7:$M$506&lt;=AU$3,('Gastos com Pessoal'!$N$7:$N$506)+1,1))*(IF('Gastos com Pessoal'!$S$7:$S$506&lt;=AU$3,('Gastos com Pessoal'!$T$7:$T$506)+1,1))*(IF('Gastos com Pessoal'!$Y$7:$Y$506&lt;=AU$3,('Gastos com Pessoal'!$Z$7:$Z$506)+1,1))*(IF('Gastos com Pessoal'!$AE$7:$AE$506&lt;=AU$3,('Gastos com Pessoal'!$AF$7:$AF$506)+1,1)),0)</f>
        <v>752283.62709559861</v>
      </c>
      <c r="AV34" s="188">
        <f t="array" aca="1" ref="AV34" ca="1">_xlfn.IFNA(SUM((AV$3&gt;='Gastos com Pessoal'!$E$7:$E$506)*(AV$3&lt;='Gastos com Pessoal'!$F$7:$F$506)*OFFSET('Encargos e Benefícios'!$D$5,1,MATCH($B34,'Encargos e Benefícios'!$E$5:$AB$5,0),500,1))*(IF('Gastos com Pessoal'!$G$7:$G$506&lt;=AV$3,('Gastos com Pessoal'!$H$7:$H$506)+1,1))*(IF('Gastos com Pessoal'!$M$7:$M$506&lt;=AV$3,('Gastos com Pessoal'!$N$7:$N$506)+1,1))*(IF('Gastos com Pessoal'!$S$7:$S$506&lt;=AV$3,('Gastos com Pessoal'!$T$7:$T$506)+1,1))*(IF('Gastos com Pessoal'!$Y$7:$Y$506&lt;=AV$3,('Gastos com Pessoal'!$Z$7:$Z$506)+1,1))*(IF('Gastos com Pessoal'!$AE$7:$AE$506&lt;=AV$3,('Gastos com Pessoal'!$AF$7:$AF$506)+1,1)),0)</f>
        <v>752283.62709559861</v>
      </c>
      <c r="AW34" s="188">
        <f t="array" aca="1" ref="AW34" ca="1">_xlfn.IFNA(SUM((AW$3&gt;='Gastos com Pessoal'!$E$7:$E$506)*(AW$3&lt;='Gastos com Pessoal'!$F$7:$F$506)*OFFSET('Encargos e Benefícios'!$D$5,1,MATCH($B34,'Encargos e Benefícios'!$E$5:$AB$5,0),500,1))*(IF('Gastos com Pessoal'!$G$7:$G$506&lt;=AW$3,('Gastos com Pessoal'!$H$7:$H$506)+1,1))*(IF('Gastos com Pessoal'!$M$7:$M$506&lt;=AW$3,('Gastos com Pessoal'!$N$7:$N$506)+1,1))*(IF('Gastos com Pessoal'!$S$7:$S$506&lt;=AW$3,('Gastos com Pessoal'!$T$7:$T$506)+1,1))*(IF('Gastos com Pessoal'!$Y$7:$Y$506&lt;=AW$3,('Gastos com Pessoal'!$Z$7:$Z$506)+1,1))*(IF('Gastos com Pessoal'!$AE$7:$AE$506&lt;=AW$3,('Gastos com Pessoal'!$AF$7:$AF$506)+1,1)),0)</f>
        <v>752283.62709559861</v>
      </c>
      <c r="AX34" s="188">
        <f t="array" aca="1" ref="AX34" ca="1">_xlfn.IFNA(SUM((AX$3&gt;='Gastos com Pessoal'!$E$7:$E$506)*(AX$3&lt;='Gastos com Pessoal'!$F$7:$F$506)*OFFSET('Encargos e Benefícios'!$D$5,1,MATCH($B34,'Encargos e Benefícios'!$E$5:$AB$5,0),500,1))*(IF('Gastos com Pessoal'!$G$7:$G$506&lt;=AX$3,('Gastos com Pessoal'!$H$7:$H$506)+1,1))*(IF('Gastos com Pessoal'!$M$7:$M$506&lt;=AX$3,('Gastos com Pessoal'!$N$7:$N$506)+1,1))*(IF('Gastos com Pessoal'!$S$7:$S$506&lt;=AX$3,('Gastos com Pessoal'!$T$7:$T$506)+1,1))*(IF('Gastos com Pessoal'!$Y$7:$Y$506&lt;=AX$3,('Gastos com Pessoal'!$Z$7:$Z$506)+1,1))*(IF('Gastos com Pessoal'!$AE$7:$AE$506&lt;=AX$3,('Gastos com Pessoal'!$AF$7:$AF$506)+1,1)),0)</f>
        <v>0</v>
      </c>
      <c r="AY34" s="188">
        <f t="array" aca="1" ref="AY34" ca="1">_xlfn.IFNA(SUM((AY$3&gt;='Gastos com Pessoal'!$E$7:$E$506)*(AY$3&lt;='Gastos com Pessoal'!$F$7:$F$506)*OFFSET('Encargos e Benefícios'!$D$5,1,MATCH($B34,'Encargos e Benefícios'!$E$5:$AB$5,0),500,1))*(IF('Gastos com Pessoal'!$G$7:$G$506&lt;=AY$3,('Gastos com Pessoal'!$H$7:$H$506)+1,1))*(IF('Gastos com Pessoal'!$M$7:$M$506&lt;=AY$3,('Gastos com Pessoal'!$N$7:$N$506)+1,1))*(IF('Gastos com Pessoal'!$S$7:$S$506&lt;=AY$3,('Gastos com Pessoal'!$T$7:$T$506)+1,1))*(IF('Gastos com Pessoal'!$Y$7:$Y$506&lt;=AY$3,('Gastos com Pessoal'!$Z$7:$Z$506)+1,1))*(IF('Gastos com Pessoal'!$AE$7:$AE$506&lt;=AY$3,('Gastos com Pessoal'!$AF$7:$AF$506)+1,1)),0)</f>
        <v>0</v>
      </c>
      <c r="AZ34" s="188">
        <f t="array" aca="1" ref="AZ34" ca="1">_xlfn.IFNA(SUM((AZ$3&gt;='Gastos com Pessoal'!$E$7:$E$506)*(AZ$3&lt;='Gastos com Pessoal'!$F$7:$F$506)*OFFSET('Encargos e Benefícios'!$D$5,1,MATCH($B34,'Encargos e Benefícios'!$E$5:$AB$5,0),500,1))*(IF('Gastos com Pessoal'!$G$7:$G$506&lt;=AZ$3,('Gastos com Pessoal'!$H$7:$H$506)+1,1))*(IF('Gastos com Pessoal'!$M$7:$M$506&lt;=AZ$3,('Gastos com Pessoal'!$N$7:$N$506)+1,1))*(IF('Gastos com Pessoal'!$S$7:$S$506&lt;=AZ$3,('Gastos com Pessoal'!$T$7:$T$506)+1,1))*(IF('Gastos com Pessoal'!$Y$7:$Y$506&lt;=AZ$3,('Gastos com Pessoal'!$Z$7:$Z$506)+1,1))*(IF('Gastos com Pessoal'!$AE$7:$AE$506&lt;=AZ$3,('Gastos com Pessoal'!$AF$7:$AF$506)+1,1)),0)</f>
        <v>0</v>
      </c>
      <c r="BA34" s="188">
        <f t="array" aca="1" ref="BA34" ca="1">_xlfn.IFNA(SUM((BA$3&gt;='Gastos com Pessoal'!$E$7:$E$506)*(BA$3&lt;='Gastos com Pessoal'!$F$7:$F$506)*OFFSET('Encargos e Benefícios'!$D$5,1,MATCH($B34,'Encargos e Benefícios'!$E$5:$AB$5,0),500,1))*(IF('Gastos com Pessoal'!$G$7:$G$506&lt;=BA$3,('Gastos com Pessoal'!$H$7:$H$506)+1,1))*(IF('Gastos com Pessoal'!$M$7:$M$506&lt;=BA$3,('Gastos com Pessoal'!$N$7:$N$506)+1,1))*(IF('Gastos com Pessoal'!$S$7:$S$506&lt;=BA$3,('Gastos com Pessoal'!$T$7:$T$506)+1,1))*(IF('Gastos com Pessoal'!$Y$7:$Y$506&lt;=BA$3,('Gastos com Pessoal'!$Z$7:$Z$506)+1,1))*(IF('Gastos com Pessoal'!$AE$7:$AE$506&lt;=BA$3,('Gastos com Pessoal'!$AF$7:$AF$506)+1,1)),0)</f>
        <v>0</v>
      </c>
      <c r="BB34" s="188">
        <f t="array" aca="1" ref="BB34" ca="1">_xlfn.IFNA(SUM((BB$3&gt;='Gastos com Pessoal'!$E$7:$E$506)*(BB$3&lt;='Gastos com Pessoal'!$F$7:$F$506)*OFFSET('Encargos e Benefícios'!$D$5,1,MATCH($B34,'Encargos e Benefícios'!$E$5:$AB$5,0),500,1))*(IF('Gastos com Pessoal'!$G$7:$G$506&lt;=BB$3,('Gastos com Pessoal'!$H$7:$H$506)+1,1))*(IF('Gastos com Pessoal'!$M$7:$M$506&lt;=BB$3,('Gastos com Pessoal'!$N$7:$N$506)+1,1))*(IF('Gastos com Pessoal'!$S$7:$S$506&lt;=BB$3,('Gastos com Pessoal'!$T$7:$T$506)+1,1))*(IF('Gastos com Pessoal'!$Y$7:$Y$506&lt;=BB$3,('Gastos com Pessoal'!$Z$7:$Z$506)+1,1))*(IF('Gastos com Pessoal'!$AE$7:$AE$506&lt;=BB$3,('Gastos com Pessoal'!$AF$7:$AF$506)+1,1)),0)</f>
        <v>0</v>
      </c>
      <c r="BC34" s="188">
        <f t="array" aca="1" ref="BC34" ca="1">_xlfn.IFNA(SUM((BC$3&gt;='Gastos com Pessoal'!$E$7:$E$506)*(BC$3&lt;='Gastos com Pessoal'!$F$7:$F$506)*OFFSET('Encargos e Benefícios'!$D$5,1,MATCH($B34,'Encargos e Benefícios'!$E$5:$AB$5,0),500,1))*(IF('Gastos com Pessoal'!$G$7:$G$506&lt;=BC$3,('Gastos com Pessoal'!$H$7:$H$506)+1,1))*(IF('Gastos com Pessoal'!$M$7:$M$506&lt;=BC$3,('Gastos com Pessoal'!$N$7:$N$506)+1,1))*(IF('Gastos com Pessoal'!$S$7:$S$506&lt;=BC$3,('Gastos com Pessoal'!$T$7:$T$506)+1,1))*(IF('Gastos com Pessoal'!$Y$7:$Y$506&lt;=BC$3,('Gastos com Pessoal'!$Z$7:$Z$506)+1,1))*(IF('Gastos com Pessoal'!$AE$7:$AE$506&lt;=BC$3,('Gastos com Pessoal'!$AF$7:$AF$506)+1,1)),0)</f>
        <v>0</v>
      </c>
      <c r="BD34" s="188">
        <f t="array" aca="1" ref="BD34" ca="1">_xlfn.IFNA(SUM((BD$3&gt;='Gastos com Pessoal'!$E$7:$E$506)*(BD$3&lt;='Gastos com Pessoal'!$F$7:$F$506)*OFFSET('Encargos e Benefícios'!$D$5,1,MATCH($B34,'Encargos e Benefícios'!$E$5:$AB$5,0),500,1))*(IF('Gastos com Pessoal'!$G$7:$G$506&lt;=BD$3,('Gastos com Pessoal'!$H$7:$H$506)+1,1))*(IF('Gastos com Pessoal'!$M$7:$M$506&lt;=BD$3,('Gastos com Pessoal'!$N$7:$N$506)+1,1))*(IF('Gastos com Pessoal'!$S$7:$S$506&lt;=BD$3,('Gastos com Pessoal'!$T$7:$T$506)+1,1))*(IF('Gastos com Pessoal'!$Y$7:$Y$506&lt;=BD$3,('Gastos com Pessoal'!$Z$7:$Z$506)+1,1))*(IF('Gastos com Pessoal'!$AE$7:$AE$506&lt;=BD$3,('Gastos com Pessoal'!$AF$7:$AF$506)+1,1)),0)</f>
        <v>0</v>
      </c>
      <c r="BE34" s="188">
        <f t="array" aca="1" ref="BE34" ca="1">_xlfn.IFNA(SUM((BE$3&gt;='Gastos com Pessoal'!$E$7:$E$506)*(BE$3&lt;='Gastos com Pessoal'!$F$7:$F$506)*OFFSET('Encargos e Benefícios'!$D$5,1,MATCH($B34,'Encargos e Benefícios'!$E$5:$AB$5,0),500,1))*(IF('Gastos com Pessoal'!$G$7:$G$506&lt;=BE$3,('Gastos com Pessoal'!$H$7:$H$506)+1,1))*(IF('Gastos com Pessoal'!$M$7:$M$506&lt;=BE$3,('Gastos com Pessoal'!$N$7:$N$506)+1,1))*(IF('Gastos com Pessoal'!$S$7:$S$506&lt;=BE$3,('Gastos com Pessoal'!$T$7:$T$506)+1,1))*(IF('Gastos com Pessoal'!$Y$7:$Y$506&lt;=BE$3,('Gastos com Pessoal'!$Z$7:$Z$506)+1,1))*(IF('Gastos com Pessoal'!$AE$7:$AE$506&lt;=BE$3,('Gastos com Pessoal'!$AF$7:$AF$506)+1,1)),0)</f>
        <v>0</v>
      </c>
      <c r="BF34" s="188">
        <f t="array" aca="1" ref="BF34" ca="1">_xlfn.IFNA(SUM((BF$3&gt;='Gastos com Pessoal'!$E$7:$E$506)*(BF$3&lt;='Gastos com Pessoal'!$F$7:$F$506)*OFFSET('Encargos e Benefícios'!$D$5,1,MATCH($B34,'Encargos e Benefícios'!$E$5:$AB$5,0),500,1))*(IF('Gastos com Pessoal'!$G$7:$G$506&lt;=BF$3,('Gastos com Pessoal'!$H$7:$H$506)+1,1))*(IF('Gastos com Pessoal'!$M$7:$M$506&lt;=BF$3,('Gastos com Pessoal'!$N$7:$N$506)+1,1))*(IF('Gastos com Pessoal'!$S$7:$S$506&lt;=BF$3,('Gastos com Pessoal'!$T$7:$T$506)+1,1))*(IF('Gastos com Pessoal'!$Y$7:$Y$506&lt;=BF$3,('Gastos com Pessoal'!$Z$7:$Z$506)+1,1))*(IF('Gastos com Pessoal'!$AE$7:$AE$506&lt;=BF$3,('Gastos com Pessoal'!$AF$7:$AF$506)+1,1)),0)</f>
        <v>0</v>
      </c>
      <c r="BG34" s="188">
        <f t="array" aca="1" ref="BG34" ca="1">_xlfn.IFNA(SUM((BG$3&gt;='Gastos com Pessoal'!$E$7:$E$506)*(BG$3&lt;='Gastos com Pessoal'!$F$7:$F$506)*OFFSET('Encargos e Benefícios'!$D$5,1,MATCH($B34,'Encargos e Benefícios'!$E$5:$AB$5,0),500,1))*(IF('Gastos com Pessoal'!$G$7:$G$506&lt;=BG$3,('Gastos com Pessoal'!$H$7:$H$506)+1,1))*(IF('Gastos com Pessoal'!$M$7:$M$506&lt;=BG$3,('Gastos com Pessoal'!$N$7:$N$506)+1,1))*(IF('Gastos com Pessoal'!$S$7:$S$506&lt;=BG$3,('Gastos com Pessoal'!$T$7:$T$506)+1,1))*(IF('Gastos com Pessoal'!$Y$7:$Y$506&lt;=BG$3,('Gastos com Pessoal'!$Z$7:$Z$506)+1,1))*(IF('Gastos com Pessoal'!$AE$7:$AE$506&lt;=BG$3,('Gastos com Pessoal'!$AF$7:$AF$506)+1,1)),0)</f>
        <v>0</v>
      </c>
      <c r="BH34" s="188">
        <f t="array" aca="1" ref="BH34" ca="1">_xlfn.IFNA(SUM((BH$3&gt;='Gastos com Pessoal'!$E$7:$E$506)*(BH$3&lt;='Gastos com Pessoal'!$F$7:$F$506)*OFFSET('Encargos e Benefícios'!$D$5,1,MATCH($B34,'Encargos e Benefícios'!$E$5:$AB$5,0),500,1))*(IF('Gastos com Pessoal'!$G$7:$G$506&lt;=BH$3,('Gastos com Pessoal'!$H$7:$H$506)+1,1))*(IF('Gastos com Pessoal'!$M$7:$M$506&lt;=BH$3,('Gastos com Pessoal'!$N$7:$N$506)+1,1))*(IF('Gastos com Pessoal'!$S$7:$S$506&lt;=BH$3,('Gastos com Pessoal'!$T$7:$T$506)+1,1))*(IF('Gastos com Pessoal'!$Y$7:$Y$506&lt;=BH$3,('Gastos com Pessoal'!$Z$7:$Z$506)+1,1))*(IF('Gastos com Pessoal'!$AE$7:$AE$506&lt;=BH$3,('Gastos com Pessoal'!$AF$7:$AF$506)+1,1)),0)</f>
        <v>0</v>
      </c>
      <c r="BI34" s="188">
        <f t="array" aca="1" ref="BI34" ca="1">_xlfn.IFNA(SUM((BI$3&gt;='Gastos com Pessoal'!$E$7:$E$506)*(BI$3&lt;='Gastos com Pessoal'!$F$7:$F$506)*OFFSET('Encargos e Benefícios'!$D$5,1,MATCH($B34,'Encargos e Benefícios'!$E$5:$AB$5,0),500,1))*(IF('Gastos com Pessoal'!$G$7:$G$506&lt;=BI$3,('Gastos com Pessoal'!$H$7:$H$506)+1,1))*(IF('Gastos com Pessoal'!$M$7:$M$506&lt;=BI$3,('Gastos com Pessoal'!$N$7:$N$506)+1,1))*(IF('Gastos com Pessoal'!$S$7:$S$506&lt;=BI$3,('Gastos com Pessoal'!$T$7:$T$506)+1,1))*(IF('Gastos com Pessoal'!$Y$7:$Y$506&lt;=BI$3,('Gastos com Pessoal'!$Z$7:$Z$506)+1,1))*(IF('Gastos com Pessoal'!$AE$7:$AE$506&lt;=BI$3,('Gastos com Pessoal'!$AF$7:$AF$506)+1,1)),0)</f>
        <v>0</v>
      </c>
      <c r="BJ34" s="188">
        <f t="array" aca="1" ref="BJ34" ca="1">_xlfn.IFNA(SUM((BJ$3&gt;='Gastos com Pessoal'!$E$7:$E$506)*(BJ$3&lt;='Gastos com Pessoal'!$F$7:$F$506)*OFFSET('Encargos e Benefícios'!$D$5,1,MATCH($B34,'Encargos e Benefícios'!$E$5:$AB$5,0),500,1))*(IF('Gastos com Pessoal'!$G$7:$G$506&lt;=BJ$3,('Gastos com Pessoal'!$H$7:$H$506)+1,1))*(IF('Gastos com Pessoal'!$M$7:$M$506&lt;=BJ$3,('Gastos com Pessoal'!$N$7:$N$506)+1,1))*(IF('Gastos com Pessoal'!$S$7:$S$506&lt;=BJ$3,('Gastos com Pessoal'!$T$7:$T$506)+1,1))*(IF('Gastos com Pessoal'!$Y$7:$Y$506&lt;=BJ$3,('Gastos com Pessoal'!$Z$7:$Z$506)+1,1))*(IF('Gastos com Pessoal'!$AE$7:$AE$506&lt;=BJ$3,('Gastos com Pessoal'!$AF$7:$AF$506)+1,1)),0)</f>
        <v>0</v>
      </c>
      <c r="BK34" s="189">
        <f t="shared" ref="BK34:BK45" ca="1" si="14">SUM(C34:BJ34)</f>
        <v>31118489.322941944</v>
      </c>
      <c r="BL34" s="136">
        <f t="shared" ref="BL34:BL46" ca="1" si="15">IF($BK$152=0,0,BK34/$BK$152)</f>
        <v>0.10714089990434247</v>
      </c>
    </row>
    <row r="35" spans="1:64" s="160" customFormat="1" ht="23.25" customHeight="1">
      <c r="A35" s="198" t="s">
        <v>155</v>
      </c>
      <c r="B35" s="81" t="s">
        <v>156</v>
      </c>
      <c r="C35" s="188">
        <f t="array" aca="1" ref="C35" ca="1">_xlfn.IFNA(SUM((C$3&gt;='Gastos com Pessoal'!$E$7:$E$506)*(C$3&lt;='Gastos com Pessoal'!$F$7:$F$506)*OFFSET('Encargos e Benefícios'!$D$5,1,MATCH($B35,'Encargos e Benefícios'!$E$5:$AB$5,0),500,1))*(IF('Gastos com Pessoal'!$G$7:$G$506&lt;=C$3,('Gastos com Pessoal'!$H$7:$H$506)+1,1))*(IF('Gastos com Pessoal'!$M$7:$M$506&lt;=C$3,('Gastos com Pessoal'!$N$7:$N$506)+1,1))*(IF('Gastos com Pessoal'!$S$7:$S$506&lt;=C$3,('Gastos com Pessoal'!$T$7:$T$506)+1,1))*(IF('Gastos com Pessoal'!$Y$7:$Y$506&lt;=C$3,('Gastos com Pessoal'!$Z$7:$Z$506)+1,1))*(IF('Gastos com Pessoal'!$AE$7:$AE$506&lt;=C$3,('Gastos com Pessoal'!$AF$7:$AF$506)+1,1)),0)</f>
        <v>17657.402470488876</v>
      </c>
      <c r="D35" s="188">
        <f t="array" aca="1" ref="D35" ca="1">_xlfn.IFNA(SUM((D$3&gt;='Gastos com Pessoal'!$E$7:$E$506)*(D$3&lt;='Gastos com Pessoal'!$F$7:$F$506)*OFFSET('Encargos e Benefícios'!$D$5,1,MATCH($B35,'Encargos e Benefícios'!$E$5:$AB$5,0),500,1))*(IF('Gastos com Pessoal'!$G$7:$G$506&lt;=D$3,('Gastos com Pessoal'!$H$7:$H$506)+1,1))*(IF('Gastos com Pessoal'!$M$7:$M$506&lt;=D$3,('Gastos com Pessoal'!$N$7:$N$506)+1,1))*(IF('Gastos com Pessoal'!$S$7:$S$506&lt;=D$3,('Gastos com Pessoal'!$T$7:$T$506)+1,1))*(IF('Gastos com Pessoal'!$Y$7:$Y$506&lt;=D$3,('Gastos com Pessoal'!$Z$7:$Z$506)+1,1))*(IF('Gastos com Pessoal'!$AE$7:$AE$506&lt;=D$3,('Gastos com Pessoal'!$AF$7:$AF$506)+1,1)),0)</f>
        <v>17772.402470488876</v>
      </c>
      <c r="E35" s="188">
        <f t="array" aca="1" ref="E35" ca="1">_xlfn.IFNA(SUM((E$3&gt;='Gastos com Pessoal'!$E$7:$E$506)*(E$3&lt;='Gastos com Pessoal'!$F$7:$F$506)*OFFSET('Encargos e Benefícios'!$D$5,1,MATCH($B35,'Encargos e Benefícios'!$E$5:$AB$5,0),500,1))*(IF('Gastos com Pessoal'!$G$7:$G$506&lt;=E$3,('Gastos com Pessoal'!$H$7:$H$506)+1,1))*(IF('Gastos com Pessoal'!$M$7:$M$506&lt;=E$3,('Gastos com Pessoal'!$N$7:$N$506)+1,1))*(IF('Gastos com Pessoal'!$S$7:$S$506&lt;=E$3,('Gastos com Pessoal'!$T$7:$T$506)+1,1))*(IF('Gastos com Pessoal'!$Y$7:$Y$506&lt;=E$3,('Gastos com Pessoal'!$Z$7:$Z$506)+1,1))*(IF('Gastos com Pessoal'!$AE$7:$AE$506&lt;=E$3,('Gastos com Pessoal'!$AF$7:$AF$506)+1,1)),0)</f>
        <v>18637.912055111105</v>
      </c>
      <c r="F35" s="188">
        <f t="array" aca="1" ref="F35" ca="1">_xlfn.IFNA(SUM((F$3&gt;='Gastos com Pessoal'!$E$7:$E$506)*(F$3&lt;='Gastos com Pessoal'!$F$7:$F$506)*OFFSET('Encargos e Benefícios'!$D$5,1,MATCH($B35,'Encargos e Benefícios'!$E$5:$AB$5,0),500,1))*(IF('Gastos com Pessoal'!$G$7:$G$506&lt;=F$3,('Gastos com Pessoal'!$H$7:$H$506)+1,1))*(IF('Gastos com Pessoal'!$M$7:$M$506&lt;=F$3,('Gastos com Pessoal'!$N$7:$N$506)+1,1))*(IF('Gastos com Pessoal'!$S$7:$S$506&lt;=F$3,('Gastos com Pessoal'!$T$7:$T$506)+1,1))*(IF('Gastos com Pessoal'!$Y$7:$Y$506&lt;=F$3,('Gastos com Pessoal'!$Z$7:$Z$506)+1,1))*(IF('Gastos com Pessoal'!$AE$7:$AE$506&lt;=F$3,('Gastos com Pessoal'!$AF$7:$AF$506)+1,1)),0)</f>
        <v>18779.18206566666</v>
      </c>
      <c r="G35" s="188">
        <f t="array" aca="1" ref="G35" ca="1">_xlfn.IFNA(SUM((G$3&gt;='Gastos com Pessoal'!$E$7:$E$506)*(G$3&lt;='Gastos com Pessoal'!$F$7:$F$506)*OFFSET('Encargos e Benefícios'!$D$5,1,MATCH($B35,'Encargos e Benefícios'!$E$5:$AB$5,0),500,1))*(IF('Gastos com Pessoal'!$G$7:$G$506&lt;=G$3,('Gastos com Pessoal'!$H$7:$H$506)+1,1))*(IF('Gastos com Pessoal'!$M$7:$M$506&lt;=G$3,('Gastos com Pessoal'!$N$7:$N$506)+1,1))*(IF('Gastos com Pessoal'!$S$7:$S$506&lt;=G$3,('Gastos com Pessoal'!$T$7:$T$506)+1,1))*(IF('Gastos com Pessoal'!$Y$7:$Y$506&lt;=G$3,('Gastos com Pessoal'!$Z$7:$Z$506)+1,1))*(IF('Gastos com Pessoal'!$AE$7:$AE$506&lt;=G$3,('Gastos com Pessoal'!$AF$7:$AF$506)+1,1)),0)</f>
        <v>19875.886298301593</v>
      </c>
      <c r="H35" s="188">
        <f t="array" aca="1" ref="H35" ca="1">_xlfn.IFNA(SUM((H$3&gt;='Gastos com Pessoal'!$E$7:$E$506)*(H$3&lt;='Gastos com Pessoal'!$F$7:$F$506)*OFFSET('Encargos e Benefícios'!$D$5,1,MATCH($B35,'Encargos e Benefícios'!$E$5:$AB$5,0),500,1))*(IF('Gastos com Pessoal'!$G$7:$G$506&lt;=H$3,('Gastos com Pessoal'!$H$7:$H$506)+1,1))*(IF('Gastos com Pessoal'!$M$7:$M$506&lt;=H$3,('Gastos com Pessoal'!$N$7:$N$506)+1,1))*(IF('Gastos com Pessoal'!$S$7:$S$506&lt;=H$3,('Gastos com Pessoal'!$T$7:$T$506)+1,1))*(IF('Gastos com Pessoal'!$Y$7:$Y$506&lt;=H$3,('Gastos com Pessoal'!$Z$7:$Z$506)+1,1))*(IF('Gastos com Pessoal'!$AE$7:$AE$506&lt;=H$3,('Gastos com Pessoal'!$AF$7:$AF$506)+1,1)),0)</f>
        <v>20791.941642665763</v>
      </c>
      <c r="I35" s="188">
        <f t="array" aca="1" ref="I35" ca="1">_xlfn.IFNA(SUM((I$3&gt;='Gastos com Pessoal'!$E$7:$E$506)*(I$3&lt;='Gastos com Pessoal'!$F$7:$F$506)*OFFSET('Encargos e Benefícios'!$D$5,1,MATCH($B35,'Encargos e Benefícios'!$E$5:$AB$5,0),500,1))*(IF('Gastos com Pessoal'!$G$7:$G$506&lt;=I$3,('Gastos com Pessoal'!$H$7:$H$506)+1,1))*(IF('Gastos com Pessoal'!$M$7:$M$506&lt;=I$3,('Gastos com Pessoal'!$N$7:$N$506)+1,1))*(IF('Gastos com Pessoal'!$S$7:$S$506&lt;=I$3,('Gastos com Pessoal'!$T$7:$T$506)+1,1))*(IF('Gastos com Pessoal'!$Y$7:$Y$506&lt;=I$3,('Gastos com Pessoal'!$Z$7:$Z$506)+1,1))*(IF('Gastos com Pessoal'!$AE$7:$AE$506&lt;=I$3,('Gastos com Pessoal'!$AF$7:$AF$506)+1,1)),0)</f>
        <v>20950.193564213769</v>
      </c>
      <c r="J35" s="188">
        <f t="array" aca="1" ref="J35" ca="1">_xlfn.IFNA(SUM((J$3&gt;='Gastos com Pessoal'!$E$7:$E$506)*(J$3&lt;='Gastos com Pessoal'!$F$7:$F$506)*OFFSET('Encargos e Benefícios'!$D$5,1,MATCH($B35,'Encargos e Benefícios'!$E$5:$AB$5,0),500,1))*(IF('Gastos com Pessoal'!$G$7:$G$506&lt;=J$3,('Gastos com Pessoal'!$H$7:$H$506)+1,1))*(IF('Gastos com Pessoal'!$M$7:$M$506&lt;=J$3,('Gastos com Pessoal'!$N$7:$N$506)+1,1))*(IF('Gastos com Pessoal'!$S$7:$S$506&lt;=J$3,('Gastos com Pessoal'!$T$7:$T$506)+1,1))*(IF('Gastos com Pessoal'!$Y$7:$Y$506&lt;=J$3,('Gastos com Pessoal'!$Z$7:$Z$506)+1,1))*(IF('Gastos com Pessoal'!$AE$7:$AE$506&lt;=J$3,('Gastos com Pessoal'!$AF$7:$AF$506)+1,1)),0)</f>
        <v>20950.193564213769</v>
      </c>
      <c r="K35" s="188">
        <f t="array" aca="1" ref="K35" ca="1">_xlfn.IFNA(SUM((K$3&gt;='Gastos com Pessoal'!$E$7:$E$506)*(K$3&lt;='Gastos com Pessoal'!$F$7:$F$506)*OFFSET('Encargos e Benefícios'!$D$5,1,MATCH($B35,'Encargos e Benefícios'!$E$5:$AB$5,0),500,1))*(IF('Gastos com Pessoal'!$G$7:$G$506&lt;=K$3,('Gastos com Pessoal'!$H$7:$H$506)+1,1))*(IF('Gastos com Pessoal'!$M$7:$M$506&lt;=K$3,('Gastos com Pessoal'!$N$7:$N$506)+1,1))*(IF('Gastos com Pessoal'!$S$7:$S$506&lt;=K$3,('Gastos com Pessoal'!$T$7:$T$506)+1,1))*(IF('Gastos com Pessoal'!$Y$7:$Y$506&lt;=K$3,('Gastos com Pessoal'!$Z$7:$Z$506)+1,1))*(IF('Gastos com Pessoal'!$AE$7:$AE$506&lt;=K$3,('Gastos com Pessoal'!$AF$7:$AF$506)+1,1)),0)</f>
        <v>21929.508227686834</v>
      </c>
      <c r="L35" s="188">
        <f t="array" aca="1" ref="L35" ca="1">_xlfn.IFNA(SUM((L$3&gt;='Gastos com Pessoal'!$E$7:$E$506)*(L$3&lt;='Gastos com Pessoal'!$F$7:$F$506)*OFFSET('Encargos e Benefícios'!$D$5,1,MATCH($B35,'Encargos e Benefícios'!$E$5:$AB$5,0),500,1))*(IF('Gastos com Pessoal'!$G$7:$G$506&lt;=L$3,('Gastos com Pessoal'!$H$7:$H$506)+1,1))*(IF('Gastos com Pessoal'!$M$7:$M$506&lt;=L$3,('Gastos com Pessoal'!$N$7:$N$506)+1,1))*(IF('Gastos com Pessoal'!$S$7:$S$506&lt;=L$3,('Gastos com Pessoal'!$T$7:$T$506)+1,1))*(IF('Gastos com Pessoal'!$Y$7:$Y$506&lt;=L$3,('Gastos com Pessoal'!$Z$7:$Z$506)+1,1))*(IF('Gastos com Pessoal'!$AE$7:$AE$506&lt;=L$3,('Gastos com Pessoal'!$AF$7:$AF$506)+1,1)),0)</f>
        <v>22087.76014923484</v>
      </c>
      <c r="M35" s="188">
        <f t="array" aca="1" ref="M35" ca="1">_xlfn.IFNA(SUM((M$3&gt;='Gastos com Pessoal'!$E$7:$E$506)*(M$3&lt;='Gastos com Pessoal'!$F$7:$F$506)*OFFSET('Encargos e Benefícios'!$D$5,1,MATCH($B35,'Encargos e Benefícios'!$E$5:$AB$5,0),500,1))*(IF('Gastos com Pessoal'!$G$7:$G$506&lt;=M$3,('Gastos com Pessoal'!$H$7:$H$506)+1,1))*(IF('Gastos com Pessoal'!$M$7:$M$506&lt;=M$3,('Gastos com Pessoal'!$N$7:$N$506)+1,1))*(IF('Gastos com Pessoal'!$S$7:$S$506&lt;=M$3,('Gastos com Pessoal'!$T$7:$T$506)+1,1))*(IF('Gastos com Pessoal'!$Y$7:$Y$506&lt;=M$3,('Gastos com Pessoal'!$Z$7:$Z$506)+1,1))*(IF('Gastos com Pessoal'!$AE$7:$AE$506&lt;=M$3,('Gastos com Pessoal'!$AF$7:$AF$506)+1,1)),0)</f>
        <v>22087.76014923484</v>
      </c>
      <c r="N35" s="188">
        <f t="array" aca="1" ref="N35" ca="1">_xlfn.IFNA(SUM((N$3&gt;='Gastos com Pessoal'!$E$7:$E$506)*(N$3&lt;='Gastos com Pessoal'!$F$7:$F$506)*OFFSET('Encargos e Benefícios'!$D$5,1,MATCH($B35,'Encargos e Benefícios'!$E$5:$AB$5,0),500,1))*(IF('Gastos com Pessoal'!$G$7:$G$506&lt;=N$3,('Gastos com Pessoal'!$H$7:$H$506)+1,1))*(IF('Gastos com Pessoal'!$M$7:$M$506&lt;=N$3,('Gastos com Pessoal'!$N$7:$N$506)+1,1))*(IF('Gastos com Pessoal'!$S$7:$S$506&lt;=N$3,('Gastos com Pessoal'!$T$7:$T$506)+1,1))*(IF('Gastos com Pessoal'!$Y$7:$Y$506&lt;=N$3,('Gastos com Pessoal'!$Z$7:$Z$506)+1,1))*(IF('Gastos com Pessoal'!$AE$7:$AE$506&lt;=N$3,('Gastos com Pessoal'!$AF$7:$AF$506)+1,1)),0)</f>
        <v>23067.07481270791</v>
      </c>
      <c r="O35" s="188">
        <f t="array" aca="1" ref="O35" ca="1">_xlfn.IFNA(SUM((O$3&gt;='Gastos com Pessoal'!$E$7:$E$506)*(O$3&lt;='Gastos com Pessoal'!$F$7:$F$506)*OFFSET('Encargos e Benefícios'!$D$5,1,MATCH($B35,'Encargos e Benefícios'!$E$5:$AB$5,0),500,1))*(IF('Gastos com Pessoal'!$G$7:$G$506&lt;=O$3,('Gastos com Pessoal'!$H$7:$H$506)+1,1))*(IF('Gastos com Pessoal'!$M$7:$M$506&lt;=O$3,('Gastos com Pessoal'!$N$7:$N$506)+1,1))*(IF('Gastos com Pessoal'!$S$7:$S$506&lt;=O$3,('Gastos com Pessoal'!$T$7:$T$506)+1,1))*(IF('Gastos com Pessoal'!$Y$7:$Y$506&lt;=O$3,('Gastos com Pessoal'!$Z$7:$Z$506)+1,1))*(IF('Gastos com Pessoal'!$AE$7:$AE$506&lt;=O$3,('Gastos com Pessoal'!$AF$7:$AF$506)+1,1)),0)</f>
        <v>23067.07481270791</v>
      </c>
      <c r="P35" s="188">
        <f t="array" aca="1" ref="P35" ca="1">_xlfn.IFNA(SUM((P$3&gt;='Gastos com Pessoal'!$E$7:$E$506)*(P$3&lt;='Gastos com Pessoal'!$F$7:$F$506)*OFFSET('Encargos e Benefícios'!$D$5,1,MATCH($B35,'Encargos e Benefícios'!$E$5:$AB$5,0),500,1))*(IF('Gastos com Pessoal'!$G$7:$G$506&lt;=P$3,('Gastos com Pessoal'!$H$7:$H$506)+1,1))*(IF('Gastos com Pessoal'!$M$7:$M$506&lt;=P$3,('Gastos com Pessoal'!$N$7:$N$506)+1,1))*(IF('Gastos com Pessoal'!$S$7:$S$506&lt;=P$3,('Gastos com Pessoal'!$T$7:$T$506)+1,1))*(IF('Gastos com Pessoal'!$Y$7:$Y$506&lt;=P$3,('Gastos com Pessoal'!$Z$7:$Z$506)+1,1))*(IF('Gastos com Pessoal'!$AE$7:$AE$506&lt;=P$3,('Gastos com Pessoal'!$AF$7:$AF$506)+1,1)),0)</f>
        <v>23067.07481270791</v>
      </c>
      <c r="Q35" s="188">
        <f t="array" aca="1" ref="Q35" ca="1">_xlfn.IFNA(SUM((Q$3&gt;='Gastos com Pessoal'!$E$7:$E$506)*(Q$3&lt;='Gastos com Pessoal'!$F$7:$F$506)*OFFSET('Encargos e Benefícios'!$D$5,1,MATCH($B35,'Encargos e Benefícios'!$E$5:$AB$5,0),500,1))*(IF('Gastos com Pessoal'!$G$7:$G$506&lt;=Q$3,('Gastos com Pessoal'!$H$7:$H$506)+1,1))*(IF('Gastos com Pessoal'!$M$7:$M$506&lt;=Q$3,('Gastos com Pessoal'!$N$7:$N$506)+1,1))*(IF('Gastos com Pessoal'!$S$7:$S$506&lt;=Q$3,('Gastos com Pessoal'!$T$7:$T$506)+1,1))*(IF('Gastos com Pessoal'!$Y$7:$Y$506&lt;=Q$3,('Gastos com Pessoal'!$Z$7:$Z$506)+1,1))*(IF('Gastos com Pessoal'!$AE$7:$AE$506&lt;=Q$3,('Gastos com Pessoal'!$AF$7:$AF$506)+1,1)),0)</f>
        <v>23067.07481270791</v>
      </c>
      <c r="R35" s="188">
        <f t="array" aca="1" ref="R35" ca="1">_xlfn.IFNA(SUM((R$3&gt;='Gastos com Pessoal'!$E$7:$E$506)*(R$3&lt;='Gastos com Pessoal'!$F$7:$F$506)*OFFSET('Encargos e Benefícios'!$D$5,1,MATCH($B35,'Encargos e Benefícios'!$E$5:$AB$5,0),500,1))*(IF('Gastos com Pessoal'!$G$7:$G$506&lt;=R$3,('Gastos com Pessoal'!$H$7:$H$506)+1,1))*(IF('Gastos com Pessoal'!$M$7:$M$506&lt;=R$3,('Gastos com Pessoal'!$N$7:$N$506)+1,1))*(IF('Gastos com Pessoal'!$S$7:$S$506&lt;=R$3,('Gastos com Pessoal'!$T$7:$T$506)+1,1))*(IF('Gastos com Pessoal'!$Y$7:$Y$506&lt;=R$3,('Gastos com Pessoal'!$Z$7:$Z$506)+1,1))*(IF('Gastos com Pessoal'!$AE$7:$AE$506&lt;=R$3,('Gastos com Pessoal'!$AF$7:$AF$506)+1,1)),0)</f>
        <v>23067.07481270791</v>
      </c>
      <c r="S35" s="188">
        <f t="array" aca="1" ref="S35" ca="1">_xlfn.IFNA(SUM((S$3&gt;='Gastos com Pessoal'!$E$7:$E$506)*(S$3&lt;='Gastos com Pessoal'!$F$7:$F$506)*OFFSET('Encargos e Benefícios'!$D$5,1,MATCH($B35,'Encargos e Benefícios'!$E$5:$AB$5,0),500,1))*(IF('Gastos com Pessoal'!$G$7:$G$506&lt;=S$3,('Gastos com Pessoal'!$H$7:$H$506)+1,1))*(IF('Gastos com Pessoal'!$M$7:$M$506&lt;=S$3,('Gastos com Pessoal'!$N$7:$N$506)+1,1))*(IF('Gastos com Pessoal'!$S$7:$S$506&lt;=S$3,('Gastos com Pessoal'!$T$7:$T$506)+1,1))*(IF('Gastos com Pessoal'!$Y$7:$Y$506&lt;=S$3,('Gastos com Pessoal'!$Z$7:$Z$506)+1,1))*(IF('Gastos com Pessoal'!$AE$7:$AE$506&lt;=S$3,('Gastos com Pessoal'!$AF$7:$AF$506)+1,1)),0)</f>
        <v>24414.191981770051</v>
      </c>
      <c r="T35" s="188">
        <f t="array" aca="1" ref="T35" ca="1">_xlfn.IFNA(SUM((T$3&gt;='Gastos com Pessoal'!$E$7:$E$506)*(T$3&lt;='Gastos com Pessoal'!$F$7:$F$506)*OFFSET('Encargos e Benefícios'!$D$5,1,MATCH($B35,'Encargos e Benefícios'!$E$5:$AB$5,0),500,1))*(IF('Gastos com Pessoal'!$G$7:$G$506&lt;=T$3,('Gastos com Pessoal'!$H$7:$H$506)+1,1))*(IF('Gastos com Pessoal'!$M$7:$M$506&lt;=T$3,('Gastos com Pessoal'!$N$7:$N$506)+1,1))*(IF('Gastos com Pessoal'!$S$7:$S$506&lt;=T$3,('Gastos com Pessoal'!$T$7:$T$506)+1,1))*(IF('Gastos com Pessoal'!$Y$7:$Y$506&lt;=T$3,('Gastos com Pessoal'!$Z$7:$Z$506)+1,1))*(IF('Gastos com Pessoal'!$AE$7:$AE$506&lt;=T$3,('Gastos com Pessoal'!$AF$7:$AF$506)+1,1)),0)</f>
        <v>24414.191981770051</v>
      </c>
      <c r="U35" s="188">
        <f t="array" aca="1" ref="U35" ca="1">_xlfn.IFNA(SUM((U$3&gt;='Gastos com Pessoal'!$E$7:$E$506)*(U$3&lt;='Gastos com Pessoal'!$F$7:$F$506)*OFFSET('Encargos e Benefícios'!$D$5,1,MATCH($B35,'Encargos e Benefícios'!$E$5:$AB$5,0),500,1))*(IF('Gastos com Pessoal'!$G$7:$G$506&lt;=U$3,('Gastos com Pessoal'!$H$7:$H$506)+1,1))*(IF('Gastos com Pessoal'!$M$7:$M$506&lt;=U$3,('Gastos com Pessoal'!$N$7:$N$506)+1,1))*(IF('Gastos com Pessoal'!$S$7:$S$506&lt;=U$3,('Gastos com Pessoal'!$T$7:$T$506)+1,1))*(IF('Gastos com Pessoal'!$Y$7:$Y$506&lt;=U$3,('Gastos com Pessoal'!$Z$7:$Z$506)+1,1))*(IF('Gastos com Pessoal'!$AE$7:$AE$506&lt;=U$3,('Gastos com Pessoal'!$AF$7:$AF$506)+1,1)),0)</f>
        <v>24414.191981770051</v>
      </c>
      <c r="V35" s="188">
        <f t="array" aca="1" ref="V35" ca="1">_xlfn.IFNA(SUM((V$3&gt;='Gastos com Pessoal'!$E$7:$E$506)*(V$3&lt;='Gastos com Pessoal'!$F$7:$F$506)*OFFSET('Encargos e Benefícios'!$D$5,1,MATCH($B35,'Encargos e Benefícios'!$E$5:$AB$5,0),500,1))*(IF('Gastos com Pessoal'!$G$7:$G$506&lt;=V$3,('Gastos com Pessoal'!$H$7:$H$506)+1,1))*(IF('Gastos com Pessoal'!$M$7:$M$506&lt;=V$3,('Gastos com Pessoal'!$N$7:$N$506)+1,1))*(IF('Gastos com Pessoal'!$S$7:$S$506&lt;=V$3,('Gastos com Pessoal'!$T$7:$T$506)+1,1))*(IF('Gastos com Pessoal'!$Y$7:$Y$506&lt;=V$3,('Gastos com Pessoal'!$Z$7:$Z$506)+1,1))*(IF('Gastos com Pessoal'!$AE$7:$AE$506&lt;=V$3,('Gastos com Pessoal'!$AF$7:$AF$506)+1,1)),0)</f>
        <v>24414.191981770051</v>
      </c>
      <c r="W35" s="188">
        <f t="array" aca="1" ref="W35" ca="1">_xlfn.IFNA(SUM((W$3&gt;='Gastos com Pessoal'!$E$7:$E$506)*(W$3&lt;='Gastos com Pessoal'!$F$7:$F$506)*OFFSET('Encargos e Benefícios'!$D$5,1,MATCH($B35,'Encargos e Benefícios'!$E$5:$AB$5,0),500,1))*(IF('Gastos com Pessoal'!$G$7:$G$506&lt;=W$3,('Gastos com Pessoal'!$H$7:$H$506)+1,1))*(IF('Gastos com Pessoal'!$M$7:$M$506&lt;=W$3,('Gastos com Pessoal'!$N$7:$N$506)+1,1))*(IF('Gastos com Pessoal'!$S$7:$S$506&lt;=W$3,('Gastos com Pessoal'!$T$7:$T$506)+1,1))*(IF('Gastos com Pessoal'!$Y$7:$Y$506&lt;=W$3,('Gastos com Pessoal'!$Z$7:$Z$506)+1,1))*(IF('Gastos com Pessoal'!$AE$7:$AE$506&lt;=W$3,('Gastos com Pessoal'!$AF$7:$AF$506)+1,1)),0)</f>
        <v>24414.191981770051</v>
      </c>
      <c r="X35" s="188">
        <f t="array" aca="1" ref="X35" ca="1">_xlfn.IFNA(SUM((X$3&gt;='Gastos com Pessoal'!$E$7:$E$506)*(X$3&lt;='Gastos com Pessoal'!$F$7:$F$506)*OFFSET('Encargos e Benefícios'!$D$5,1,MATCH($B35,'Encargos e Benefícios'!$E$5:$AB$5,0),500,1))*(IF('Gastos com Pessoal'!$G$7:$G$506&lt;=X$3,('Gastos com Pessoal'!$H$7:$H$506)+1,1))*(IF('Gastos com Pessoal'!$M$7:$M$506&lt;=X$3,('Gastos com Pessoal'!$N$7:$N$506)+1,1))*(IF('Gastos com Pessoal'!$S$7:$S$506&lt;=X$3,('Gastos com Pessoal'!$T$7:$T$506)+1,1))*(IF('Gastos com Pessoal'!$Y$7:$Y$506&lt;=X$3,('Gastos com Pessoal'!$Z$7:$Z$506)+1,1))*(IF('Gastos com Pessoal'!$AE$7:$AE$506&lt;=X$3,('Gastos com Pessoal'!$AF$7:$AF$506)+1,1)),0)</f>
        <v>24414.191981770051</v>
      </c>
      <c r="Y35" s="188">
        <f t="array" aca="1" ref="Y35" ca="1">_xlfn.IFNA(SUM((Y$3&gt;='Gastos com Pessoal'!$E$7:$E$506)*(Y$3&lt;='Gastos com Pessoal'!$F$7:$F$506)*OFFSET('Encargos e Benefícios'!$D$5,1,MATCH($B35,'Encargos e Benefícios'!$E$5:$AB$5,0),500,1))*(IF('Gastos com Pessoal'!$G$7:$G$506&lt;=Y$3,('Gastos com Pessoal'!$H$7:$H$506)+1,1))*(IF('Gastos com Pessoal'!$M$7:$M$506&lt;=Y$3,('Gastos com Pessoal'!$N$7:$N$506)+1,1))*(IF('Gastos com Pessoal'!$S$7:$S$506&lt;=Y$3,('Gastos com Pessoal'!$T$7:$T$506)+1,1))*(IF('Gastos com Pessoal'!$Y$7:$Y$506&lt;=Y$3,('Gastos com Pessoal'!$Z$7:$Z$506)+1,1))*(IF('Gastos com Pessoal'!$AE$7:$AE$506&lt;=Y$3,('Gastos com Pessoal'!$AF$7:$AF$506)+1,1)),0)</f>
        <v>24414.191981770051</v>
      </c>
      <c r="Z35" s="188">
        <f t="array" aca="1" ref="Z35" ca="1">_xlfn.IFNA(SUM((Z$3&gt;='Gastos com Pessoal'!$E$7:$E$506)*(Z$3&lt;='Gastos com Pessoal'!$F$7:$F$506)*OFFSET('Encargos e Benefícios'!$D$5,1,MATCH($B35,'Encargos e Benefícios'!$E$5:$AB$5,0),500,1))*(IF('Gastos com Pessoal'!$G$7:$G$506&lt;=Z$3,('Gastos com Pessoal'!$H$7:$H$506)+1,1))*(IF('Gastos com Pessoal'!$M$7:$M$506&lt;=Z$3,('Gastos com Pessoal'!$N$7:$N$506)+1,1))*(IF('Gastos com Pessoal'!$S$7:$S$506&lt;=Z$3,('Gastos com Pessoal'!$T$7:$T$506)+1,1))*(IF('Gastos com Pessoal'!$Y$7:$Y$506&lt;=Z$3,('Gastos com Pessoal'!$Z$7:$Z$506)+1,1))*(IF('Gastos com Pessoal'!$AE$7:$AE$506&lt;=Z$3,('Gastos com Pessoal'!$AF$7:$AF$506)+1,1)),0)</f>
        <v>24414.191981770051</v>
      </c>
      <c r="AA35" s="188">
        <f t="array" aca="1" ref="AA35" ca="1">_xlfn.IFNA(SUM((AA$3&gt;='Gastos com Pessoal'!$E$7:$E$506)*(AA$3&lt;='Gastos com Pessoal'!$F$7:$F$506)*OFFSET('Encargos e Benefícios'!$D$5,1,MATCH($B35,'Encargos e Benefícios'!$E$5:$AB$5,0),500,1))*(IF('Gastos com Pessoal'!$G$7:$G$506&lt;=AA$3,('Gastos com Pessoal'!$H$7:$H$506)+1,1))*(IF('Gastos com Pessoal'!$M$7:$M$506&lt;=AA$3,('Gastos com Pessoal'!$N$7:$N$506)+1,1))*(IF('Gastos com Pessoal'!$S$7:$S$506&lt;=AA$3,('Gastos com Pessoal'!$T$7:$T$506)+1,1))*(IF('Gastos com Pessoal'!$Y$7:$Y$506&lt;=AA$3,('Gastos com Pessoal'!$Z$7:$Z$506)+1,1))*(IF('Gastos com Pessoal'!$AE$7:$AE$506&lt;=AA$3,('Gastos com Pessoal'!$AF$7:$AF$506)+1,1)),0)</f>
        <v>24414.191981770051</v>
      </c>
      <c r="AB35" s="188">
        <f t="array" aca="1" ref="AB35" ca="1">_xlfn.IFNA(SUM((AB$3&gt;='Gastos com Pessoal'!$E$7:$E$506)*(AB$3&lt;='Gastos com Pessoal'!$F$7:$F$506)*OFFSET('Encargos e Benefícios'!$D$5,1,MATCH($B35,'Encargos e Benefícios'!$E$5:$AB$5,0),500,1))*(IF('Gastos com Pessoal'!$G$7:$G$506&lt;=AB$3,('Gastos com Pessoal'!$H$7:$H$506)+1,1))*(IF('Gastos com Pessoal'!$M$7:$M$506&lt;=AB$3,('Gastos com Pessoal'!$N$7:$N$506)+1,1))*(IF('Gastos com Pessoal'!$S$7:$S$506&lt;=AB$3,('Gastos com Pessoal'!$T$7:$T$506)+1,1))*(IF('Gastos com Pessoal'!$Y$7:$Y$506&lt;=AB$3,('Gastos com Pessoal'!$Z$7:$Z$506)+1,1))*(IF('Gastos com Pessoal'!$AE$7:$AE$506&lt;=AB$3,('Gastos com Pessoal'!$AF$7:$AF$506)+1,1)),0)</f>
        <v>24414.191981770051</v>
      </c>
      <c r="AC35" s="188">
        <f t="array" aca="1" ref="AC35" ca="1">_xlfn.IFNA(SUM((AC$3&gt;='Gastos com Pessoal'!$E$7:$E$506)*(AC$3&lt;='Gastos com Pessoal'!$F$7:$F$506)*OFFSET('Encargos e Benefícios'!$D$5,1,MATCH($B35,'Encargos e Benefícios'!$E$5:$AB$5,0),500,1))*(IF('Gastos com Pessoal'!$G$7:$G$506&lt;=AC$3,('Gastos com Pessoal'!$H$7:$H$506)+1,1))*(IF('Gastos com Pessoal'!$M$7:$M$506&lt;=AC$3,('Gastos com Pessoal'!$N$7:$N$506)+1,1))*(IF('Gastos com Pessoal'!$S$7:$S$506&lt;=AC$3,('Gastos com Pessoal'!$T$7:$T$506)+1,1))*(IF('Gastos com Pessoal'!$Y$7:$Y$506&lt;=AC$3,('Gastos com Pessoal'!$Z$7:$Z$506)+1,1))*(IF('Gastos com Pessoal'!$AE$7:$AE$506&lt;=AC$3,('Gastos com Pessoal'!$AF$7:$AF$506)+1,1)),0)</f>
        <v>24414.191981770051</v>
      </c>
      <c r="AD35" s="188">
        <f t="array" aca="1" ref="AD35" ca="1">_xlfn.IFNA(SUM((AD$3&gt;='Gastos com Pessoal'!$E$7:$E$506)*(AD$3&lt;='Gastos com Pessoal'!$F$7:$F$506)*OFFSET('Encargos e Benefícios'!$D$5,1,MATCH($B35,'Encargos e Benefícios'!$E$5:$AB$5,0),500,1))*(IF('Gastos com Pessoal'!$G$7:$G$506&lt;=AD$3,('Gastos com Pessoal'!$H$7:$H$506)+1,1))*(IF('Gastos com Pessoal'!$M$7:$M$506&lt;=AD$3,('Gastos com Pessoal'!$N$7:$N$506)+1,1))*(IF('Gastos com Pessoal'!$S$7:$S$506&lt;=AD$3,('Gastos com Pessoal'!$T$7:$T$506)+1,1))*(IF('Gastos com Pessoal'!$Y$7:$Y$506&lt;=AD$3,('Gastos com Pessoal'!$Z$7:$Z$506)+1,1))*(IF('Gastos com Pessoal'!$AE$7:$AE$506&lt;=AD$3,('Gastos com Pessoal'!$AF$7:$AF$506)+1,1)),0)</f>
        <v>24414.191981770051</v>
      </c>
      <c r="AE35" s="188">
        <f t="array" aca="1" ref="AE35" ca="1">_xlfn.IFNA(SUM((AE$3&gt;='Gastos com Pessoal'!$E$7:$E$506)*(AE$3&lt;='Gastos com Pessoal'!$F$7:$F$506)*OFFSET('Encargos e Benefícios'!$D$5,1,MATCH($B35,'Encargos e Benefícios'!$E$5:$AB$5,0),500,1))*(IF('Gastos com Pessoal'!$G$7:$G$506&lt;=AE$3,('Gastos com Pessoal'!$H$7:$H$506)+1,1))*(IF('Gastos com Pessoal'!$M$7:$M$506&lt;=AE$3,('Gastos com Pessoal'!$N$7:$N$506)+1,1))*(IF('Gastos com Pessoal'!$S$7:$S$506&lt;=AE$3,('Gastos com Pessoal'!$T$7:$T$506)+1,1))*(IF('Gastos com Pessoal'!$Y$7:$Y$506&lt;=AE$3,('Gastos com Pessoal'!$Z$7:$Z$506)+1,1))*(IF('Gastos com Pessoal'!$AE$7:$AE$506&lt;=AE$3,('Gastos com Pessoal'!$AF$7:$AF$506)+1,1)),0)</f>
        <v>25839.980793505423</v>
      </c>
      <c r="AF35" s="188">
        <f t="array" aca="1" ref="AF35" ca="1">_xlfn.IFNA(SUM((AF$3&gt;='Gastos com Pessoal'!$E$7:$E$506)*(AF$3&lt;='Gastos com Pessoal'!$F$7:$F$506)*OFFSET('Encargos e Benefícios'!$D$5,1,MATCH($B35,'Encargos e Benefícios'!$E$5:$AB$5,0),500,1))*(IF('Gastos com Pessoal'!$G$7:$G$506&lt;=AF$3,('Gastos com Pessoal'!$H$7:$H$506)+1,1))*(IF('Gastos com Pessoal'!$M$7:$M$506&lt;=AF$3,('Gastos com Pessoal'!$N$7:$N$506)+1,1))*(IF('Gastos com Pessoal'!$S$7:$S$506&lt;=AF$3,('Gastos com Pessoal'!$T$7:$T$506)+1,1))*(IF('Gastos com Pessoal'!$Y$7:$Y$506&lt;=AF$3,('Gastos com Pessoal'!$Z$7:$Z$506)+1,1))*(IF('Gastos com Pessoal'!$AE$7:$AE$506&lt;=AF$3,('Gastos com Pessoal'!$AF$7:$AF$506)+1,1)),0)</f>
        <v>25839.980793505423</v>
      </c>
      <c r="AG35" s="188">
        <f t="array" aca="1" ref="AG35" ca="1">_xlfn.IFNA(SUM((AG$3&gt;='Gastos com Pessoal'!$E$7:$E$506)*(AG$3&lt;='Gastos com Pessoal'!$F$7:$F$506)*OFFSET('Encargos e Benefícios'!$D$5,1,MATCH($B35,'Encargos e Benefícios'!$E$5:$AB$5,0),500,1))*(IF('Gastos com Pessoal'!$G$7:$G$506&lt;=AG$3,('Gastos com Pessoal'!$H$7:$H$506)+1,1))*(IF('Gastos com Pessoal'!$M$7:$M$506&lt;=AG$3,('Gastos com Pessoal'!$N$7:$N$506)+1,1))*(IF('Gastos com Pessoal'!$S$7:$S$506&lt;=AG$3,('Gastos com Pessoal'!$T$7:$T$506)+1,1))*(IF('Gastos com Pessoal'!$Y$7:$Y$506&lt;=AG$3,('Gastos com Pessoal'!$Z$7:$Z$506)+1,1))*(IF('Gastos com Pessoal'!$AE$7:$AE$506&lt;=AG$3,('Gastos com Pessoal'!$AF$7:$AF$506)+1,1)),0)</f>
        <v>25839.980793505423</v>
      </c>
      <c r="AH35" s="188">
        <f t="array" aca="1" ref="AH35" ca="1">_xlfn.IFNA(SUM((AH$3&gt;='Gastos com Pessoal'!$E$7:$E$506)*(AH$3&lt;='Gastos com Pessoal'!$F$7:$F$506)*OFFSET('Encargos e Benefícios'!$D$5,1,MATCH($B35,'Encargos e Benefícios'!$E$5:$AB$5,0),500,1))*(IF('Gastos com Pessoal'!$G$7:$G$506&lt;=AH$3,('Gastos com Pessoal'!$H$7:$H$506)+1,1))*(IF('Gastos com Pessoal'!$M$7:$M$506&lt;=AH$3,('Gastos com Pessoal'!$N$7:$N$506)+1,1))*(IF('Gastos com Pessoal'!$S$7:$S$506&lt;=AH$3,('Gastos com Pessoal'!$T$7:$T$506)+1,1))*(IF('Gastos com Pessoal'!$Y$7:$Y$506&lt;=AH$3,('Gastos com Pessoal'!$Z$7:$Z$506)+1,1))*(IF('Gastos com Pessoal'!$AE$7:$AE$506&lt;=AH$3,('Gastos com Pessoal'!$AF$7:$AF$506)+1,1)),0)</f>
        <v>25839.980793505423</v>
      </c>
      <c r="AI35" s="188">
        <f t="array" aca="1" ref="AI35" ca="1">_xlfn.IFNA(SUM((AI$3&gt;='Gastos com Pessoal'!$E$7:$E$506)*(AI$3&lt;='Gastos com Pessoal'!$F$7:$F$506)*OFFSET('Encargos e Benefícios'!$D$5,1,MATCH($B35,'Encargos e Benefícios'!$E$5:$AB$5,0),500,1))*(IF('Gastos com Pessoal'!$G$7:$G$506&lt;=AI$3,('Gastos com Pessoal'!$H$7:$H$506)+1,1))*(IF('Gastos com Pessoal'!$M$7:$M$506&lt;=AI$3,('Gastos com Pessoal'!$N$7:$N$506)+1,1))*(IF('Gastos com Pessoal'!$S$7:$S$506&lt;=AI$3,('Gastos com Pessoal'!$T$7:$T$506)+1,1))*(IF('Gastos com Pessoal'!$Y$7:$Y$506&lt;=AI$3,('Gastos com Pessoal'!$Z$7:$Z$506)+1,1))*(IF('Gastos com Pessoal'!$AE$7:$AE$506&lt;=AI$3,('Gastos com Pessoal'!$AF$7:$AF$506)+1,1)),0)</f>
        <v>25839.980793505423</v>
      </c>
      <c r="AJ35" s="188">
        <f t="array" aca="1" ref="AJ35" ca="1">_xlfn.IFNA(SUM((AJ$3&gt;='Gastos com Pessoal'!$E$7:$E$506)*(AJ$3&lt;='Gastos com Pessoal'!$F$7:$F$506)*OFFSET('Encargos e Benefícios'!$D$5,1,MATCH($B35,'Encargos e Benefícios'!$E$5:$AB$5,0),500,1))*(IF('Gastos com Pessoal'!$G$7:$G$506&lt;=AJ$3,('Gastos com Pessoal'!$H$7:$H$506)+1,1))*(IF('Gastos com Pessoal'!$M$7:$M$506&lt;=AJ$3,('Gastos com Pessoal'!$N$7:$N$506)+1,1))*(IF('Gastos com Pessoal'!$S$7:$S$506&lt;=AJ$3,('Gastos com Pessoal'!$T$7:$T$506)+1,1))*(IF('Gastos com Pessoal'!$Y$7:$Y$506&lt;=AJ$3,('Gastos com Pessoal'!$Z$7:$Z$506)+1,1))*(IF('Gastos com Pessoal'!$AE$7:$AE$506&lt;=AJ$3,('Gastos com Pessoal'!$AF$7:$AF$506)+1,1)),0)</f>
        <v>25839.980793505423</v>
      </c>
      <c r="AK35" s="188">
        <f t="array" aca="1" ref="AK35" ca="1">_xlfn.IFNA(SUM((AK$3&gt;='Gastos com Pessoal'!$E$7:$E$506)*(AK$3&lt;='Gastos com Pessoal'!$F$7:$F$506)*OFFSET('Encargos e Benefícios'!$D$5,1,MATCH($B35,'Encargos e Benefícios'!$E$5:$AB$5,0),500,1))*(IF('Gastos com Pessoal'!$G$7:$G$506&lt;=AK$3,('Gastos com Pessoal'!$H$7:$H$506)+1,1))*(IF('Gastos com Pessoal'!$M$7:$M$506&lt;=AK$3,('Gastos com Pessoal'!$N$7:$N$506)+1,1))*(IF('Gastos com Pessoal'!$S$7:$S$506&lt;=AK$3,('Gastos com Pessoal'!$T$7:$T$506)+1,1))*(IF('Gastos com Pessoal'!$Y$7:$Y$506&lt;=AK$3,('Gastos com Pessoal'!$Z$7:$Z$506)+1,1))*(IF('Gastos com Pessoal'!$AE$7:$AE$506&lt;=AK$3,('Gastos com Pessoal'!$AF$7:$AF$506)+1,1)),0)</f>
        <v>25839.980793505423</v>
      </c>
      <c r="AL35" s="188">
        <f t="array" aca="1" ref="AL35" ca="1">_xlfn.IFNA(SUM((AL$3&gt;='Gastos com Pessoal'!$E$7:$E$506)*(AL$3&lt;='Gastos com Pessoal'!$F$7:$F$506)*OFFSET('Encargos e Benefícios'!$D$5,1,MATCH($B35,'Encargos e Benefícios'!$E$5:$AB$5,0),500,1))*(IF('Gastos com Pessoal'!$G$7:$G$506&lt;=AL$3,('Gastos com Pessoal'!$H$7:$H$506)+1,1))*(IF('Gastos com Pessoal'!$M$7:$M$506&lt;=AL$3,('Gastos com Pessoal'!$N$7:$N$506)+1,1))*(IF('Gastos com Pessoal'!$S$7:$S$506&lt;=AL$3,('Gastos com Pessoal'!$T$7:$T$506)+1,1))*(IF('Gastos com Pessoal'!$Y$7:$Y$506&lt;=AL$3,('Gastos com Pessoal'!$Z$7:$Z$506)+1,1))*(IF('Gastos com Pessoal'!$AE$7:$AE$506&lt;=AL$3,('Gastos com Pessoal'!$AF$7:$AF$506)+1,1)),0)</f>
        <v>25839.980793505423</v>
      </c>
      <c r="AM35" s="188">
        <f t="array" aca="1" ref="AM35" ca="1">_xlfn.IFNA(SUM((AM$3&gt;='Gastos com Pessoal'!$E$7:$E$506)*(AM$3&lt;='Gastos com Pessoal'!$F$7:$F$506)*OFFSET('Encargos e Benefícios'!$D$5,1,MATCH($B35,'Encargos e Benefícios'!$E$5:$AB$5,0),500,1))*(IF('Gastos com Pessoal'!$G$7:$G$506&lt;=AM$3,('Gastos com Pessoal'!$H$7:$H$506)+1,1))*(IF('Gastos com Pessoal'!$M$7:$M$506&lt;=AM$3,('Gastos com Pessoal'!$N$7:$N$506)+1,1))*(IF('Gastos com Pessoal'!$S$7:$S$506&lt;=AM$3,('Gastos com Pessoal'!$T$7:$T$506)+1,1))*(IF('Gastos com Pessoal'!$Y$7:$Y$506&lt;=AM$3,('Gastos com Pessoal'!$Z$7:$Z$506)+1,1))*(IF('Gastos com Pessoal'!$AE$7:$AE$506&lt;=AM$3,('Gastos com Pessoal'!$AF$7:$AF$506)+1,1)),0)</f>
        <v>25839.980793505423</v>
      </c>
      <c r="AN35" s="188">
        <f t="array" aca="1" ref="AN35" ca="1">_xlfn.IFNA(SUM((AN$3&gt;='Gastos com Pessoal'!$E$7:$E$506)*(AN$3&lt;='Gastos com Pessoal'!$F$7:$F$506)*OFFSET('Encargos e Benefícios'!$D$5,1,MATCH($B35,'Encargos e Benefícios'!$E$5:$AB$5,0),500,1))*(IF('Gastos com Pessoal'!$G$7:$G$506&lt;=AN$3,('Gastos com Pessoal'!$H$7:$H$506)+1,1))*(IF('Gastos com Pessoal'!$M$7:$M$506&lt;=AN$3,('Gastos com Pessoal'!$N$7:$N$506)+1,1))*(IF('Gastos com Pessoal'!$S$7:$S$506&lt;=AN$3,('Gastos com Pessoal'!$T$7:$T$506)+1,1))*(IF('Gastos com Pessoal'!$Y$7:$Y$506&lt;=AN$3,('Gastos com Pessoal'!$Z$7:$Z$506)+1,1))*(IF('Gastos com Pessoal'!$AE$7:$AE$506&lt;=AN$3,('Gastos com Pessoal'!$AF$7:$AF$506)+1,1)),0)</f>
        <v>25839.980793505423</v>
      </c>
      <c r="AO35" s="188">
        <f t="array" aca="1" ref="AO35" ca="1">_xlfn.IFNA(SUM((AO$3&gt;='Gastos com Pessoal'!$E$7:$E$506)*(AO$3&lt;='Gastos com Pessoal'!$F$7:$F$506)*OFFSET('Encargos e Benefícios'!$D$5,1,MATCH($B35,'Encargos e Benefícios'!$E$5:$AB$5,0),500,1))*(IF('Gastos com Pessoal'!$G$7:$G$506&lt;=AO$3,('Gastos com Pessoal'!$H$7:$H$506)+1,1))*(IF('Gastos com Pessoal'!$M$7:$M$506&lt;=AO$3,('Gastos com Pessoal'!$N$7:$N$506)+1,1))*(IF('Gastos com Pessoal'!$S$7:$S$506&lt;=AO$3,('Gastos com Pessoal'!$T$7:$T$506)+1,1))*(IF('Gastos com Pessoal'!$Y$7:$Y$506&lt;=AO$3,('Gastos com Pessoal'!$Z$7:$Z$506)+1,1))*(IF('Gastos com Pessoal'!$AE$7:$AE$506&lt;=AO$3,('Gastos com Pessoal'!$AF$7:$AF$506)+1,1)),0)</f>
        <v>25839.980793505423</v>
      </c>
      <c r="AP35" s="188">
        <f t="array" aca="1" ref="AP35" ca="1">_xlfn.IFNA(SUM((AP$3&gt;='Gastos com Pessoal'!$E$7:$E$506)*(AP$3&lt;='Gastos com Pessoal'!$F$7:$F$506)*OFFSET('Encargos e Benefícios'!$D$5,1,MATCH($B35,'Encargos e Benefícios'!$E$5:$AB$5,0),500,1))*(IF('Gastos com Pessoal'!$G$7:$G$506&lt;=AP$3,('Gastos com Pessoal'!$H$7:$H$506)+1,1))*(IF('Gastos com Pessoal'!$M$7:$M$506&lt;=AP$3,('Gastos com Pessoal'!$N$7:$N$506)+1,1))*(IF('Gastos com Pessoal'!$S$7:$S$506&lt;=AP$3,('Gastos com Pessoal'!$T$7:$T$506)+1,1))*(IF('Gastos com Pessoal'!$Y$7:$Y$506&lt;=AP$3,('Gastos com Pessoal'!$Z$7:$Z$506)+1,1))*(IF('Gastos com Pessoal'!$AE$7:$AE$506&lt;=AP$3,('Gastos com Pessoal'!$AF$7:$AF$506)+1,1)),0)</f>
        <v>25839.980793505423</v>
      </c>
      <c r="AQ35" s="188">
        <f t="array" aca="1" ref="AQ35" ca="1">_xlfn.IFNA(SUM((AQ$3&gt;='Gastos com Pessoal'!$E$7:$E$506)*(AQ$3&lt;='Gastos com Pessoal'!$F$7:$F$506)*OFFSET('Encargos e Benefícios'!$D$5,1,MATCH($B35,'Encargos e Benefícios'!$E$5:$AB$5,0),500,1))*(IF('Gastos com Pessoal'!$G$7:$G$506&lt;=AQ$3,('Gastos com Pessoal'!$H$7:$H$506)+1,1))*(IF('Gastos com Pessoal'!$M$7:$M$506&lt;=AQ$3,('Gastos com Pessoal'!$N$7:$N$506)+1,1))*(IF('Gastos com Pessoal'!$S$7:$S$506&lt;=AQ$3,('Gastos com Pessoal'!$T$7:$T$506)+1,1))*(IF('Gastos com Pessoal'!$Y$7:$Y$506&lt;=AQ$3,('Gastos com Pessoal'!$Z$7:$Z$506)+1,1))*(IF('Gastos com Pessoal'!$AE$7:$AE$506&lt;=AQ$3,('Gastos com Pessoal'!$AF$7:$AF$506)+1,1)),0)</f>
        <v>27349.035671846141</v>
      </c>
      <c r="AR35" s="188">
        <f t="array" aca="1" ref="AR35" ca="1">_xlfn.IFNA(SUM((AR$3&gt;='Gastos com Pessoal'!$E$7:$E$506)*(AR$3&lt;='Gastos com Pessoal'!$F$7:$F$506)*OFFSET('Encargos e Benefícios'!$D$5,1,MATCH($B35,'Encargos e Benefícios'!$E$5:$AB$5,0),500,1))*(IF('Gastos com Pessoal'!$G$7:$G$506&lt;=AR$3,('Gastos com Pessoal'!$H$7:$H$506)+1,1))*(IF('Gastos com Pessoal'!$M$7:$M$506&lt;=AR$3,('Gastos com Pessoal'!$N$7:$N$506)+1,1))*(IF('Gastos com Pessoal'!$S$7:$S$506&lt;=AR$3,('Gastos com Pessoal'!$T$7:$T$506)+1,1))*(IF('Gastos com Pessoal'!$Y$7:$Y$506&lt;=AR$3,('Gastos com Pessoal'!$Z$7:$Z$506)+1,1))*(IF('Gastos com Pessoal'!$AE$7:$AE$506&lt;=AR$3,('Gastos com Pessoal'!$AF$7:$AF$506)+1,1)),0)</f>
        <v>27349.035671846141</v>
      </c>
      <c r="AS35" s="188">
        <f t="array" aca="1" ref="AS35" ca="1">_xlfn.IFNA(SUM((AS$3&gt;='Gastos com Pessoal'!$E$7:$E$506)*(AS$3&lt;='Gastos com Pessoal'!$F$7:$F$506)*OFFSET('Encargos e Benefícios'!$D$5,1,MATCH($B35,'Encargos e Benefícios'!$E$5:$AB$5,0),500,1))*(IF('Gastos com Pessoal'!$G$7:$G$506&lt;=AS$3,('Gastos com Pessoal'!$H$7:$H$506)+1,1))*(IF('Gastos com Pessoal'!$M$7:$M$506&lt;=AS$3,('Gastos com Pessoal'!$N$7:$N$506)+1,1))*(IF('Gastos com Pessoal'!$S$7:$S$506&lt;=AS$3,('Gastos com Pessoal'!$T$7:$T$506)+1,1))*(IF('Gastos com Pessoal'!$Y$7:$Y$506&lt;=AS$3,('Gastos com Pessoal'!$Z$7:$Z$506)+1,1))*(IF('Gastos com Pessoal'!$AE$7:$AE$506&lt;=AS$3,('Gastos com Pessoal'!$AF$7:$AF$506)+1,1)),0)</f>
        <v>27349.035671846141</v>
      </c>
      <c r="AT35" s="188">
        <f t="array" aca="1" ref="AT35" ca="1">_xlfn.IFNA(SUM((AT$3&gt;='Gastos com Pessoal'!$E$7:$E$506)*(AT$3&lt;='Gastos com Pessoal'!$F$7:$F$506)*OFFSET('Encargos e Benefícios'!$D$5,1,MATCH($B35,'Encargos e Benefícios'!$E$5:$AB$5,0),500,1))*(IF('Gastos com Pessoal'!$G$7:$G$506&lt;=AT$3,('Gastos com Pessoal'!$H$7:$H$506)+1,1))*(IF('Gastos com Pessoal'!$M$7:$M$506&lt;=AT$3,('Gastos com Pessoal'!$N$7:$N$506)+1,1))*(IF('Gastos com Pessoal'!$S$7:$S$506&lt;=AT$3,('Gastos com Pessoal'!$T$7:$T$506)+1,1))*(IF('Gastos com Pessoal'!$Y$7:$Y$506&lt;=AT$3,('Gastos com Pessoal'!$Z$7:$Z$506)+1,1))*(IF('Gastos com Pessoal'!$AE$7:$AE$506&lt;=AT$3,('Gastos com Pessoal'!$AF$7:$AF$506)+1,1)),0)</f>
        <v>27349.035671846141</v>
      </c>
      <c r="AU35" s="188">
        <f t="array" aca="1" ref="AU35" ca="1">_xlfn.IFNA(SUM((AU$3&gt;='Gastos com Pessoal'!$E$7:$E$506)*(AU$3&lt;='Gastos com Pessoal'!$F$7:$F$506)*OFFSET('Encargos e Benefícios'!$D$5,1,MATCH($B35,'Encargos e Benefícios'!$E$5:$AB$5,0),500,1))*(IF('Gastos com Pessoal'!$G$7:$G$506&lt;=AU$3,('Gastos com Pessoal'!$H$7:$H$506)+1,1))*(IF('Gastos com Pessoal'!$M$7:$M$506&lt;=AU$3,('Gastos com Pessoal'!$N$7:$N$506)+1,1))*(IF('Gastos com Pessoal'!$S$7:$S$506&lt;=AU$3,('Gastos com Pessoal'!$T$7:$T$506)+1,1))*(IF('Gastos com Pessoal'!$Y$7:$Y$506&lt;=AU$3,('Gastos com Pessoal'!$Z$7:$Z$506)+1,1))*(IF('Gastos com Pessoal'!$AE$7:$AE$506&lt;=AU$3,('Gastos com Pessoal'!$AF$7:$AF$506)+1,1)),0)</f>
        <v>27349.035671846141</v>
      </c>
      <c r="AV35" s="188">
        <f t="array" aca="1" ref="AV35" ca="1">_xlfn.IFNA(SUM((AV$3&gt;='Gastos com Pessoal'!$E$7:$E$506)*(AV$3&lt;='Gastos com Pessoal'!$F$7:$F$506)*OFFSET('Encargos e Benefícios'!$D$5,1,MATCH($B35,'Encargos e Benefícios'!$E$5:$AB$5,0),500,1))*(IF('Gastos com Pessoal'!$G$7:$G$506&lt;=AV$3,('Gastos com Pessoal'!$H$7:$H$506)+1,1))*(IF('Gastos com Pessoal'!$M$7:$M$506&lt;=AV$3,('Gastos com Pessoal'!$N$7:$N$506)+1,1))*(IF('Gastos com Pessoal'!$S$7:$S$506&lt;=AV$3,('Gastos com Pessoal'!$T$7:$T$506)+1,1))*(IF('Gastos com Pessoal'!$Y$7:$Y$506&lt;=AV$3,('Gastos com Pessoal'!$Z$7:$Z$506)+1,1))*(IF('Gastos com Pessoal'!$AE$7:$AE$506&lt;=AV$3,('Gastos com Pessoal'!$AF$7:$AF$506)+1,1)),0)</f>
        <v>27349.035671846141</v>
      </c>
      <c r="AW35" s="188">
        <f t="array" aca="1" ref="AW35" ca="1">_xlfn.IFNA(SUM((AW$3&gt;='Gastos com Pessoal'!$E$7:$E$506)*(AW$3&lt;='Gastos com Pessoal'!$F$7:$F$506)*OFFSET('Encargos e Benefícios'!$D$5,1,MATCH($B35,'Encargos e Benefícios'!$E$5:$AB$5,0),500,1))*(IF('Gastos com Pessoal'!$G$7:$G$506&lt;=AW$3,('Gastos com Pessoal'!$H$7:$H$506)+1,1))*(IF('Gastos com Pessoal'!$M$7:$M$506&lt;=AW$3,('Gastos com Pessoal'!$N$7:$N$506)+1,1))*(IF('Gastos com Pessoal'!$S$7:$S$506&lt;=AW$3,('Gastos com Pessoal'!$T$7:$T$506)+1,1))*(IF('Gastos com Pessoal'!$Y$7:$Y$506&lt;=AW$3,('Gastos com Pessoal'!$Z$7:$Z$506)+1,1))*(IF('Gastos com Pessoal'!$AE$7:$AE$506&lt;=AW$3,('Gastos com Pessoal'!$AF$7:$AF$506)+1,1)),0)</f>
        <v>27349.035671846141</v>
      </c>
      <c r="AX35" s="188">
        <f t="array" aca="1" ref="AX35" ca="1">_xlfn.IFNA(SUM((AX$3&gt;='Gastos com Pessoal'!$E$7:$E$506)*(AX$3&lt;='Gastos com Pessoal'!$F$7:$F$506)*OFFSET('Encargos e Benefícios'!$D$5,1,MATCH($B35,'Encargos e Benefícios'!$E$5:$AB$5,0),500,1))*(IF('Gastos com Pessoal'!$G$7:$G$506&lt;=AX$3,('Gastos com Pessoal'!$H$7:$H$506)+1,1))*(IF('Gastos com Pessoal'!$M$7:$M$506&lt;=AX$3,('Gastos com Pessoal'!$N$7:$N$506)+1,1))*(IF('Gastos com Pessoal'!$S$7:$S$506&lt;=AX$3,('Gastos com Pessoal'!$T$7:$T$506)+1,1))*(IF('Gastos com Pessoal'!$Y$7:$Y$506&lt;=AX$3,('Gastos com Pessoal'!$Z$7:$Z$506)+1,1))*(IF('Gastos com Pessoal'!$AE$7:$AE$506&lt;=AX$3,('Gastos com Pessoal'!$AF$7:$AF$506)+1,1)),0)</f>
        <v>0</v>
      </c>
      <c r="AY35" s="188">
        <f t="array" aca="1" ref="AY35" ca="1">_xlfn.IFNA(SUM((AY$3&gt;='Gastos com Pessoal'!$E$7:$E$506)*(AY$3&lt;='Gastos com Pessoal'!$F$7:$F$506)*OFFSET('Encargos e Benefícios'!$D$5,1,MATCH($B35,'Encargos e Benefícios'!$E$5:$AB$5,0),500,1))*(IF('Gastos com Pessoal'!$G$7:$G$506&lt;=AY$3,('Gastos com Pessoal'!$H$7:$H$506)+1,1))*(IF('Gastos com Pessoal'!$M$7:$M$506&lt;=AY$3,('Gastos com Pessoal'!$N$7:$N$506)+1,1))*(IF('Gastos com Pessoal'!$S$7:$S$506&lt;=AY$3,('Gastos com Pessoal'!$T$7:$T$506)+1,1))*(IF('Gastos com Pessoal'!$Y$7:$Y$506&lt;=AY$3,('Gastos com Pessoal'!$Z$7:$Z$506)+1,1))*(IF('Gastos com Pessoal'!$AE$7:$AE$506&lt;=AY$3,('Gastos com Pessoal'!$AF$7:$AF$506)+1,1)),0)</f>
        <v>0</v>
      </c>
      <c r="AZ35" s="188">
        <f t="array" aca="1" ref="AZ35" ca="1">_xlfn.IFNA(SUM((AZ$3&gt;='Gastos com Pessoal'!$E$7:$E$506)*(AZ$3&lt;='Gastos com Pessoal'!$F$7:$F$506)*OFFSET('Encargos e Benefícios'!$D$5,1,MATCH($B35,'Encargos e Benefícios'!$E$5:$AB$5,0),500,1))*(IF('Gastos com Pessoal'!$G$7:$G$506&lt;=AZ$3,('Gastos com Pessoal'!$H$7:$H$506)+1,1))*(IF('Gastos com Pessoal'!$M$7:$M$506&lt;=AZ$3,('Gastos com Pessoal'!$N$7:$N$506)+1,1))*(IF('Gastos com Pessoal'!$S$7:$S$506&lt;=AZ$3,('Gastos com Pessoal'!$T$7:$T$506)+1,1))*(IF('Gastos com Pessoal'!$Y$7:$Y$506&lt;=AZ$3,('Gastos com Pessoal'!$Z$7:$Z$506)+1,1))*(IF('Gastos com Pessoal'!$AE$7:$AE$506&lt;=AZ$3,('Gastos com Pessoal'!$AF$7:$AF$506)+1,1)),0)</f>
        <v>0</v>
      </c>
      <c r="BA35" s="188">
        <f t="array" aca="1" ref="BA35" ca="1">_xlfn.IFNA(SUM((BA$3&gt;='Gastos com Pessoal'!$E$7:$E$506)*(BA$3&lt;='Gastos com Pessoal'!$F$7:$F$506)*OFFSET('Encargos e Benefícios'!$D$5,1,MATCH($B35,'Encargos e Benefícios'!$E$5:$AB$5,0),500,1))*(IF('Gastos com Pessoal'!$G$7:$G$506&lt;=BA$3,('Gastos com Pessoal'!$H$7:$H$506)+1,1))*(IF('Gastos com Pessoal'!$M$7:$M$506&lt;=BA$3,('Gastos com Pessoal'!$N$7:$N$506)+1,1))*(IF('Gastos com Pessoal'!$S$7:$S$506&lt;=BA$3,('Gastos com Pessoal'!$T$7:$T$506)+1,1))*(IF('Gastos com Pessoal'!$Y$7:$Y$506&lt;=BA$3,('Gastos com Pessoal'!$Z$7:$Z$506)+1,1))*(IF('Gastos com Pessoal'!$AE$7:$AE$506&lt;=BA$3,('Gastos com Pessoal'!$AF$7:$AF$506)+1,1)),0)</f>
        <v>0</v>
      </c>
      <c r="BB35" s="188">
        <f t="array" aca="1" ref="BB35" ca="1">_xlfn.IFNA(SUM((BB$3&gt;='Gastos com Pessoal'!$E$7:$E$506)*(BB$3&lt;='Gastos com Pessoal'!$F$7:$F$506)*OFFSET('Encargos e Benefícios'!$D$5,1,MATCH($B35,'Encargos e Benefícios'!$E$5:$AB$5,0),500,1))*(IF('Gastos com Pessoal'!$G$7:$G$506&lt;=BB$3,('Gastos com Pessoal'!$H$7:$H$506)+1,1))*(IF('Gastos com Pessoal'!$M$7:$M$506&lt;=BB$3,('Gastos com Pessoal'!$N$7:$N$506)+1,1))*(IF('Gastos com Pessoal'!$S$7:$S$506&lt;=BB$3,('Gastos com Pessoal'!$T$7:$T$506)+1,1))*(IF('Gastos com Pessoal'!$Y$7:$Y$506&lt;=BB$3,('Gastos com Pessoal'!$Z$7:$Z$506)+1,1))*(IF('Gastos com Pessoal'!$AE$7:$AE$506&lt;=BB$3,('Gastos com Pessoal'!$AF$7:$AF$506)+1,1)),0)</f>
        <v>0</v>
      </c>
      <c r="BC35" s="188">
        <f t="array" aca="1" ref="BC35" ca="1">_xlfn.IFNA(SUM((BC$3&gt;='Gastos com Pessoal'!$E$7:$E$506)*(BC$3&lt;='Gastos com Pessoal'!$F$7:$F$506)*OFFSET('Encargos e Benefícios'!$D$5,1,MATCH($B35,'Encargos e Benefícios'!$E$5:$AB$5,0),500,1))*(IF('Gastos com Pessoal'!$G$7:$G$506&lt;=BC$3,('Gastos com Pessoal'!$H$7:$H$506)+1,1))*(IF('Gastos com Pessoal'!$M$7:$M$506&lt;=BC$3,('Gastos com Pessoal'!$N$7:$N$506)+1,1))*(IF('Gastos com Pessoal'!$S$7:$S$506&lt;=BC$3,('Gastos com Pessoal'!$T$7:$T$506)+1,1))*(IF('Gastos com Pessoal'!$Y$7:$Y$506&lt;=BC$3,('Gastos com Pessoal'!$Z$7:$Z$506)+1,1))*(IF('Gastos com Pessoal'!$AE$7:$AE$506&lt;=BC$3,('Gastos com Pessoal'!$AF$7:$AF$506)+1,1)),0)</f>
        <v>0</v>
      </c>
      <c r="BD35" s="188">
        <f t="array" aca="1" ref="BD35" ca="1">_xlfn.IFNA(SUM((BD$3&gt;='Gastos com Pessoal'!$E$7:$E$506)*(BD$3&lt;='Gastos com Pessoal'!$F$7:$F$506)*OFFSET('Encargos e Benefícios'!$D$5,1,MATCH($B35,'Encargos e Benefícios'!$E$5:$AB$5,0),500,1))*(IF('Gastos com Pessoal'!$G$7:$G$506&lt;=BD$3,('Gastos com Pessoal'!$H$7:$H$506)+1,1))*(IF('Gastos com Pessoal'!$M$7:$M$506&lt;=BD$3,('Gastos com Pessoal'!$N$7:$N$506)+1,1))*(IF('Gastos com Pessoal'!$S$7:$S$506&lt;=BD$3,('Gastos com Pessoal'!$T$7:$T$506)+1,1))*(IF('Gastos com Pessoal'!$Y$7:$Y$506&lt;=BD$3,('Gastos com Pessoal'!$Z$7:$Z$506)+1,1))*(IF('Gastos com Pessoal'!$AE$7:$AE$506&lt;=BD$3,('Gastos com Pessoal'!$AF$7:$AF$506)+1,1)),0)</f>
        <v>0</v>
      </c>
      <c r="BE35" s="188">
        <f t="array" aca="1" ref="BE35" ca="1">_xlfn.IFNA(SUM((BE$3&gt;='Gastos com Pessoal'!$E$7:$E$506)*(BE$3&lt;='Gastos com Pessoal'!$F$7:$F$506)*OFFSET('Encargos e Benefícios'!$D$5,1,MATCH($B35,'Encargos e Benefícios'!$E$5:$AB$5,0),500,1))*(IF('Gastos com Pessoal'!$G$7:$G$506&lt;=BE$3,('Gastos com Pessoal'!$H$7:$H$506)+1,1))*(IF('Gastos com Pessoal'!$M$7:$M$506&lt;=BE$3,('Gastos com Pessoal'!$N$7:$N$506)+1,1))*(IF('Gastos com Pessoal'!$S$7:$S$506&lt;=BE$3,('Gastos com Pessoal'!$T$7:$T$506)+1,1))*(IF('Gastos com Pessoal'!$Y$7:$Y$506&lt;=BE$3,('Gastos com Pessoal'!$Z$7:$Z$506)+1,1))*(IF('Gastos com Pessoal'!$AE$7:$AE$506&lt;=BE$3,('Gastos com Pessoal'!$AF$7:$AF$506)+1,1)),0)</f>
        <v>0</v>
      </c>
      <c r="BF35" s="188">
        <f t="array" aca="1" ref="BF35" ca="1">_xlfn.IFNA(SUM((BF$3&gt;='Gastos com Pessoal'!$E$7:$E$506)*(BF$3&lt;='Gastos com Pessoal'!$F$7:$F$506)*OFFSET('Encargos e Benefícios'!$D$5,1,MATCH($B35,'Encargos e Benefícios'!$E$5:$AB$5,0),500,1))*(IF('Gastos com Pessoal'!$G$7:$G$506&lt;=BF$3,('Gastos com Pessoal'!$H$7:$H$506)+1,1))*(IF('Gastos com Pessoal'!$M$7:$M$506&lt;=BF$3,('Gastos com Pessoal'!$N$7:$N$506)+1,1))*(IF('Gastos com Pessoal'!$S$7:$S$506&lt;=BF$3,('Gastos com Pessoal'!$T$7:$T$506)+1,1))*(IF('Gastos com Pessoal'!$Y$7:$Y$506&lt;=BF$3,('Gastos com Pessoal'!$Z$7:$Z$506)+1,1))*(IF('Gastos com Pessoal'!$AE$7:$AE$506&lt;=BF$3,('Gastos com Pessoal'!$AF$7:$AF$506)+1,1)),0)</f>
        <v>0</v>
      </c>
      <c r="BG35" s="188">
        <f t="array" aca="1" ref="BG35" ca="1">_xlfn.IFNA(SUM((BG$3&gt;='Gastos com Pessoal'!$E$7:$E$506)*(BG$3&lt;='Gastos com Pessoal'!$F$7:$F$506)*OFFSET('Encargos e Benefícios'!$D$5,1,MATCH($B35,'Encargos e Benefícios'!$E$5:$AB$5,0),500,1))*(IF('Gastos com Pessoal'!$G$7:$G$506&lt;=BG$3,('Gastos com Pessoal'!$H$7:$H$506)+1,1))*(IF('Gastos com Pessoal'!$M$7:$M$506&lt;=BG$3,('Gastos com Pessoal'!$N$7:$N$506)+1,1))*(IF('Gastos com Pessoal'!$S$7:$S$506&lt;=BG$3,('Gastos com Pessoal'!$T$7:$T$506)+1,1))*(IF('Gastos com Pessoal'!$Y$7:$Y$506&lt;=BG$3,('Gastos com Pessoal'!$Z$7:$Z$506)+1,1))*(IF('Gastos com Pessoal'!$AE$7:$AE$506&lt;=BG$3,('Gastos com Pessoal'!$AF$7:$AF$506)+1,1)),0)</f>
        <v>0</v>
      </c>
      <c r="BH35" s="188">
        <f t="array" aca="1" ref="BH35" ca="1">_xlfn.IFNA(SUM((BH$3&gt;='Gastos com Pessoal'!$E$7:$E$506)*(BH$3&lt;='Gastos com Pessoal'!$F$7:$F$506)*OFFSET('Encargos e Benefícios'!$D$5,1,MATCH($B35,'Encargos e Benefícios'!$E$5:$AB$5,0),500,1))*(IF('Gastos com Pessoal'!$G$7:$G$506&lt;=BH$3,('Gastos com Pessoal'!$H$7:$H$506)+1,1))*(IF('Gastos com Pessoal'!$M$7:$M$506&lt;=BH$3,('Gastos com Pessoal'!$N$7:$N$506)+1,1))*(IF('Gastos com Pessoal'!$S$7:$S$506&lt;=BH$3,('Gastos com Pessoal'!$T$7:$T$506)+1,1))*(IF('Gastos com Pessoal'!$Y$7:$Y$506&lt;=BH$3,('Gastos com Pessoal'!$Z$7:$Z$506)+1,1))*(IF('Gastos com Pessoal'!$AE$7:$AE$506&lt;=BH$3,('Gastos com Pessoal'!$AF$7:$AF$506)+1,1)),0)</f>
        <v>0</v>
      </c>
      <c r="BI35" s="188">
        <f t="array" aca="1" ref="BI35" ca="1">_xlfn.IFNA(SUM((BI$3&gt;='Gastos com Pessoal'!$E$7:$E$506)*(BI$3&lt;='Gastos com Pessoal'!$F$7:$F$506)*OFFSET('Encargos e Benefícios'!$D$5,1,MATCH($B35,'Encargos e Benefícios'!$E$5:$AB$5,0),500,1))*(IF('Gastos com Pessoal'!$G$7:$G$506&lt;=BI$3,('Gastos com Pessoal'!$H$7:$H$506)+1,1))*(IF('Gastos com Pessoal'!$M$7:$M$506&lt;=BI$3,('Gastos com Pessoal'!$N$7:$N$506)+1,1))*(IF('Gastos com Pessoal'!$S$7:$S$506&lt;=BI$3,('Gastos com Pessoal'!$T$7:$T$506)+1,1))*(IF('Gastos com Pessoal'!$Y$7:$Y$506&lt;=BI$3,('Gastos com Pessoal'!$Z$7:$Z$506)+1,1))*(IF('Gastos com Pessoal'!$AE$7:$AE$506&lt;=BI$3,('Gastos com Pessoal'!$AF$7:$AF$506)+1,1)),0)</f>
        <v>0</v>
      </c>
      <c r="BJ35" s="188">
        <f t="array" aca="1" ref="BJ35" ca="1">_xlfn.IFNA(SUM((BJ$3&gt;='Gastos com Pessoal'!$E$7:$E$506)*(BJ$3&lt;='Gastos com Pessoal'!$F$7:$F$506)*OFFSET('Encargos e Benefícios'!$D$5,1,MATCH($B35,'Encargos e Benefícios'!$E$5:$AB$5,0),500,1))*(IF('Gastos com Pessoal'!$G$7:$G$506&lt;=BJ$3,('Gastos com Pessoal'!$H$7:$H$506)+1,1))*(IF('Gastos com Pessoal'!$M$7:$M$506&lt;=BJ$3,('Gastos com Pessoal'!$N$7:$N$506)+1,1))*(IF('Gastos com Pessoal'!$S$7:$S$506&lt;=BJ$3,('Gastos com Pessoal'!$T$7:$T$506)+1,1))*(IF('Gastos com Pessoal'!$Y$7:$Y$506&lt;=BJ$3,('Gastos com Pessoal'!$Z$7:$Z$506)+1,1))*(IF('Gastos com Pessoal'!$AE$7:$AE$506&lt;=BJ$3,('Gastos com Pessoal'!$AF$7:$AF$506)+1,1)),0)</f>
        <v>0</v>
      </c>
      <c r="BK35" s="189">
        <f t="shared" ca="1" si="14"/>
        <v>1131348.8397270758</v>
      </c>
      <c r="BL35" s="136">
        <f t="shared" ca="1" si="15"/>
        <v>3.8952319161820116E-3</v>
      </c>
    </row>
    <row r="36" spans="1:64" s="160" customFormat="1" ht="23.25" customHeight="1">
      <c r="A36" s="198" t="s">
        <v>157</v>
      </c>
      <c r="B36" s="81" t="s">
        <v>158</v>
      </c>
      <c r="C36" s="188">
        <f t="array" aca="1" ref="C36" ca="1">_xlfn.IFNA(SUM((C$3&gt;='Gastos com Pessoal'!$E$7:$E$506)*(C$3&lt;='Gastos com Pessoal'!$F$7:$F$506)*OFFSET('Encargos e Benefícios'!$D$5,1,MATCH($B36,'Encargos e Benefícios'!$E$5:$AB$5,0),500,1))*(IF('Gastos com Pessoal'!$G$7:$G$506&lt;=C$3,('Gastos com Pessoal'!$H$7:$H$506)+1,1))*(IF('Gastos com Pessoal'!$M$7:$M$506&lt;=C$3,('Gastos com Pessoal'!$N$7:$N$506)+1,1))*(IF('Gastos com Pessoal'!$S$7:$S$506&lt;=C$3,('Gastos com Pessoal'!$T$7:$T$506)+1,1))*(IF('Gastos com Pessoal'!$Y$7:$Y$506&lt;=C$3,('Gastos com Pessoal'!$Z$7:$Z$506)+1,1))*(IF('Gastos com Pessoal'!$AE$7:$AE$506&lt;=C$3,('Gastos com Pessoal'!$AF$7:$AF$506)+1,1)),0)</f>
        <v>141259.21976391101</v>
      </c>
      <c r="D36" s="188">
        <f t="array" aca="1" ref="D36" ca="1">_xlfn.IFNA(SUM((D$3&gt;='Gastos com Pessoal'!$E$7:$E$506)*(D$3&lt;='Gastos com Pessoal'!$F$7:$F$506)*OFFSET('Encargos e Benefícios'!$D$5,1,MATCH($B36,'Encargos e Benefícios'!$E$5:$AB$5,0),500,1))*(IF('Gastos com Pessoal'!$G$7:$G$506&lt;=D$3,('Gastos com Pessoal'!$H$7:$H$506)+1,1))*(IF('Gastos com Pessoal'!$M$7:$M$506&lt;=D$3,('Gastos com Pessoal'!$N$7:$N$506)+1,1))*(IF('Gastos com Pessoal'!$S$7:$S$506&lt;=D$3,('Gastos com Pessoal'!$T$7:$T$506)+1,1))*(IF('Gastos com Pessoal'!$Y$7:$Y$506&lt;=D$3,('Gastos com Pessoal'!$Z$7:$Z$506)+1,1))*(IF('Gastos com Pessoal'!$AE$7:$AE$506&lt;=D$3,('Gastos com Pessoal'!$AF$7:$AF$506)+1,1)),0)</f>
        <v>142179.21976391101</v>
      </c>
      <c r="E36" s="188">
        <f t="array" aca="1" ref="E36" ca="1">_xlfn.IFNA(SUM((E$3&gt;='Gastos com Pessoal'!$E$7:$E$506)*(E$3&lt;='Gastos com Pessoal'!$F$7:$F$506)*OFFSET('Encargos e Benefícios'!$D$5,1,MATCH($B36,'Encargos e Benefícios'!$E$5:$AB$5,0),500,1))*(IF('Gastos com Pessoal'!$G$7:$G$506&lt;=E$3,('Gastos com Pessoal'!$H$7:$H$506)+1,1))*(IF('Gastos com Pessoal'!$M$7:$M$506&lt;=E$3,('Gastos com Pessoal'!$N$7:$N$506)+1,1))*(IF('Gastos com Pessoal'!$S$7:$S$506&lt;=E$3,('Gastos com Pessoal'!$T$7:$T$506)+1,1))*(IF('Gastos com Pessoal'!$Y$7:$Y$506&lt;=E$3,('Gastos com Pessoal'!$Z$7:$Z$506)+1,1))*(IF('Gastos com Pessoal'!$AE$7:$AE$506&lt;=E$3,('Gastos com Pessoal'!$AF$7:$AF$506)+1,1)),0)</f>
        <v>149103.29644088884</v>
      </c>
      <c r="F36" s="188">
        <f t="array" aca="1" ref="F36" ca="1">_xlfn.IFNA(SUM((F$3&gt;='Gastos com Pessoal'!$E$7:$E$506)*(F$3&lt;='Gastos com Pessoal'!$F$7:$F$506)*OFFSET('Encargos e Benefícios'!$D$5,1,MATCH($B36,'Encargos e Benefícios'!$E$5:$AB$5,0),500,1))*(IF('Gastos com Pessoal'!$G$7:$G$506&lt;=F$3,('Gastos com Pessoal'!$H$7:$H$506)+1,1))*(IF('Gastos com Pessoal'!$M$7:$M$506&lt;=F$3,('Gastos com Pessoal'!$N$7:$N$506)+1,1))*(IF('Gastos com Pessoal'!$S$7:$S$506&lt;=F$3,('Gastos com Pessoal'!$T$7:$T$506)+1,1))*(IF('Gastos com Pessoal'!$Y$7:$Y$506&lt;=F$3,('Gastos com Pessoal'!$Z$7:$Z$506)+1,1))*(IF('Gastos com Pessoal'!$AE$7:$AE$506&lt;=F$3,('Gastos com Pessoal'!$AF$7:$AF$506)+1,1)),0)</f>
        <v>150233.45652533328</v>
      </c>
      <c r="G36" s="188">
        <f t="array" aca="1" ref="G36" ca="1">_xlfn.IFNA(SUM((G$3&gt;='Gastos com Pessoal'!$E$7:$E$506)*(G$3&lt;='Gastos com Pessoal'!$F$7:$F$506)*OFFSET('Encargos e Benefícios'!$D$5,1,MATCH($B36,'Encargos e Benefícios'!$E$5:$AB$5,0),500,1))*(IF('Gastos com Pessoal'!$G$7:$G$506&lt;=G$3,('Gastos com Pessoal'!$H$7:$H$506)+1,1))*(IF('Gastos com Pessoal'!$M$7:$M$506&lt;=G$3,('Gastos com Pessoal'!$N$7:$N$506)+1,1))*(IF('Gastos com Pessoal'!$S$7:$S$506&lt;=G$3,('Gastos com Pessoal'!$T$7:$T$506)+1,1))*(IF('Gastos com Pessoal'!$Y$7:$Y$506&lt;=G$3,('Gastos com Pessoal'!$Z$7:$Z$506)+1,1))*(IF('Gastos com Pessoal'!$AE$7:$AE$506&lt;=G$3,('Gastos com Pessoal'!$AF$7:$AF$506)+1,1)),0)</f>
        <v>159007.09038641275</v>
      </c>
      <c r="H36" s="188">
        <f t="array" aca="1" ref="H36" ca="1">_xlfn.IFNA(SUM((H$3&gt;='Gastos com Pessoal'!$E$7:$E$506)*(H$3&lt;='Gastos com Pessoal'!$F$7:$F$506)*OFFSET('Encargos e Benefícios'!$D$5,1,MATCH($B36,'Encargos e Benefícios'!$E$5:$AB$5,0),500,1))*(IF('Gastos com Pessoal'!$G$7:$G$506&lt;=H$3,('Gastos com Pessoal'!$H$7:$H$506)+1,1))*(IF('Gastos com Pessoal'!$M$7:$M$506&lt;=H$3,('Gastos com Pessoal'!$N$7:$N$506)+1,1))*(IF('Gastos com Pessoal'!$S$7:$S$506&lt;=H$3,('Gastos com Pessoal'!$T$7:$T$506)+1,1))*(IF('Gastos com Pessoal'!$Y$7:$Y$506&lt;=H$3,('Gastos com Pessoal'!$Z$7:$Z$506)+1,1))*(IF('Gastos com Pessoal'!$AE$7:$AE$506&lt;=H$3,('Gastos com Pessoal'!$AF$7:$AF$506)+1,1)),0)</f>
        <v>166335.5331413261</v>
      </c>
      <c r="I36" s="188">
        <f t="array" aca="1" ref="I36" ca="1">_xlfn.IFNA(SUM((I$3&gt;='Gastos com Pessoal'!$E$7:$E$506)*(I$3&lt;='Gastos com Pessoal'!$F$7:$F$506)*OFFSET('Encargos e Benefícios'!$D$5,1,MATCH($B36,'Encargos e Benefícios'!$E$5:$AB$5,0),500,1))*(IF('Gastos com Pessoal'!$G$7:$G$506&lt;=I$3,('Gastos com Pessoal'!$H$7:$H$506)+1,1))*(IF('Gastos com Pessoal'!$M$7:$M$506&lt;=I$3,('Gastos com Pessoal'!$N$7:$N$506)+1,1))*(IF('Gastos com Pessoal'!$S$7:$S$506&lt;=I$3,('Gastos com Pessoal'!$T$7:$T$506)+1,1))*(IF('Gastos com Pessoal'!$Y$7:$Y$506&lt;=I$3,('Gastos com Pessoal'!$Z$7:$Z$506)+1,1))*(IF('Gastos com Pessoal'!$AE$7:$AE$506&lt;=I$3,('Gastos com Pessoal'!$AF$7:$AF$506)+1,1)),0)</f>
        <v>167601.54851371015</v>
      </c>
      <c r="J36" s="188">
        <f t="array" aca="1" ref="J36" ca="1">_xlfn.IFNA(SUM((J$3&gt;='Gastos com Pessoal'!$E$7:$E$506)*(J$3&lt;='Gastos com Pessoal'!$F$7:$F$506)*OFFSET('Encargos e Benefícios'!$D$5,1,MATCH($B36,'Encargos e Benefícios'!$E$5:$AB$5,0),500,1))*(IF('Gastos com Pessoal'!$G$7:$G$506&lt;=J$3,('Gastos com Pessoal'!$H$7:$H$506)+1,1))*(IF('Gastos com Pessoal'!$M$7:$M$506&lt;=J$3,('Gastos com Pessoal'!$N$7:$N$506)+1,1))*(IF('Gastos com Pessoal'!$S$7:$S$506&lt;=J$3,('Gastos com Pessoal'!$T$7:$T$506)+1,1))*(IF('Gastos com Pessoal'!$Y$7:$Y$506&lt;=J$3,('Gastos com Pessoal'!$Z$7:$Z$506)+1,1))*(IF('Gastos com Pessoal'!$AE$7:$AE$506&lt;=J$3,('Gastos com Pessoal'!$AF$7:$AF$506)+1,1)),0)</f>
        <v>167601.54851371015</v>
      </c>
      <c r="K36" s="188">
        <f t="array" aca="1" ref="K36" ca="1">_xlfn.IFNA(SUM((K$3&gt;='Gastos com Pessoal'!$E$7:$E$506)*(K$3&lt;='Gastos com Pessoal'!$F$7:$F$506)*OFFSET('Encargos e Benefícios'!$D$5,1,MATCH($B36,'Encargos e Benefícios'!$E$5:$AB$5,0),500,1))*(IF('Gastos com Pessoal'!$G$7:$G$506&lt;=K$3,('Gastos com Pessoal'!$H$7:$H$506)+1,1))*(IF('Gastos com Pessoal'!$M$7:$M$506&lt;=K$3,('Gastos com Pessoal'!$N$7:$N$506)+1,1))*(IF('Gastos com Pessoal'!$S$7:$S$506&lt;=K$3,('Gastos com Pessoal'!$T$7:$T$506)+1,1))*(IF('Gastos com Pessoal'!$Y$7:$Y$506&lt;=K$3,('Gastos com Pessoal'!$Z$7:$Z$506)+1,1))*(IF('Gastos com Pessoal'!$AE$7:$AE$506&lt;=K$3,('Gastos com Pessoal'!$AF$7:$AF$506)+1,1)),0)</f>
        <v>175436.06582149467</v>
      </c>
      <c r="L36" s="188">
        <f t="array" aca="1" ref="L36" ca="1">_xlfn.IFNA(SUM((L$3&gt;='Gastos com Pessoal'!$E$7:$E$506)*(L$3&lt;='Gastos com Pessoal'!$F$7:$F$506)*OFFSET('Encargos e Benefícios'!$D$5,1,MATCH($B36,'Encargos e Benefícios'!$E$5:$AB$5,0),500,1))*(IF('Gastos com Pessoal'!$G$7:$G$506&lt;=L$3,('Gastos com Pessoal'!$H$7:$H$506)+1,1))*(IF('Gastos com Pessoal'!$M$7:$M$506&lt;=L$3,('Gastos com Pessoal'!$N$7:$N$506)+1,1))*(IF('Gastos com Pessoal'!$S$7:$S$506&lt;=L$3,('Gastos com Pessoal'!$T$7:$T$506)+1,1))*(IF('Gastos com Pessoal'!$Y$7:$Y$506&lt;=L$3,('Gastos com Pessoal'!$Z$7:$Z$506)+1,1))*(IF('Gastos com Pessoal'!$AE$7:$AE$506&lt;=L$3,('Gastos com Pessoal'!$AF$7:$AF$506)+1,1)),0)</f>
        <v>176702.08119387872</v>
      </c>
      <c r="M36" s="188">
        <f t="array" aca="1" ref="M36" ca="1">_xlfn.IFNA(SUM((M$3&gt;='Gastos com Pessoal'!$E$7:$E$506)*(M$3&lt;='Gastos com Pessoal'!$F$7:$F$506)*OFFSET('Encargos e Benefícios'!$D$5,1,MATCH($B36,'Encargos e Benefícios'!$E$5:$AB$5,0),500,1))*(IF('Gastos com Pessoal'!$G$7:$G$506&lt;=M$3,('Gastos com Pessoal'!$H$7:$H$506)+1,1))*(IF('Gastos com Pessoal'!$M$7:$M$506&lt;=M$3,('Gastos com Pessoal'!$N$7:$N$506)+1,1))*(IF('Gastos com Pessoal'!$S$7:$S$506&lt;=M$3,('Gastos com Pessoal'!$T$7:$T$506)+1,1))*(IF('Gastos com Pessoal'!$Y$7:$Y$506&lt;=M$3,('Gastos com Pessoal'!$Z$7:$Z$506)+1,1))*(IF('Gastos com Pessoal'!$AE$7:$AE$506&lt;=M$3,('Gastos com Pessoal'!$AF$7:$AF$506)+1,1)),0)</f>
        <v>176702.08119387872</v>
      </c>
      <c r="N36" s="188">
        <f t="array" aca="1" ref="N36" ca="1">_xlfn.IFNA(SUM((N$3&gt;='Gastos com Pessoal'!$E$7:$E$506)*(N$3&lt;='Gastos com Pessoal'!$F$7:$F$506)*OFFSET('Encargos e Benefícios'!$D$5,1,MATCH($B36,'Encargos e Benefícios'!$E$5:$AB$5,0),500,1))*(IF('Gastos com Pessoal'!$G$7:$G$506&lt;=N$3,('Gastos com Pessoal'!$H$7:$H$506)+1,1))*(IF('Gastos com Pessoal'!$M$7:$M$506&lt;=N$3,('Gastos com Pessoal'!$N$7:$N$506)+1,1))*(IF('Gastos com Pessoal'!$S$7:$S$506&lt;=N$3,('Gastos com Pessoal'!$T$7:$T$506)+1,1))*(IF('Gastos com Pessoal'!$Y$7:$Y$506&lt;=N$3,('Gastos com Pessoal'!$Z$7:$Z$506)+1,1))*(IF('Gastos com Pessoal'!$AE$7:$AE$506&lt;=N$3,('Gastos com Pessoal'!$AF$7:$AF$506)+1,1)),0)</f>
        <v>184536.59850166328</v>
      </c>
      <c r="O36" s="188">
        <f t="array" aca="1" ref="O36" ca="1">_xlfn.IFNA(SUM((O$3&gt;='Gastos com Pessoal'!$E$7:$E$506)*(O$3&lt;='Gastos com Pessoal'!$F$7:$F$506)*OFFSET('Encargos e Benefícios'!$D$5,1,MATCH($B36,'Encargos e Benefícios'!$E$5:$AB$5,0),500,1))*(IF('Gastos com Pessoal'!$G$7:$G$506&lt;=O$3,('Gastos com Pessoal'!$H$7:$H$506)+1,1))*(IF('Gastos com Pessoal'!$M$7:$M$506&lt;=O$3,('Gastos com Pessoal'!$N$7:$N$506)+1,1))*(IF('Gastos com Pessoal'!$S$7:$S$506&lt;=O$3,('Gastos com Pessoal'!$T$7:$T$506)+1,1))*(IF('Gastos com Pessoal'!$Y$7:$Y$506&lt;=O$3,('Gastos com Pessoal'!$Z$7:$Z$506)+1,1))*(IF('Gastos com Pessoal'!$AE$7:$AE$506&lt;=O$3,('Gastos com Pessoal'!$AF$7:$AF$506)+1,1)),0)</f>
        <v>184536.59850166328</v>
      </c>
      <c r="P36" s="188">
        <f t="array" aca="1" ref="P36" ca="1">_xlfn.IFNA(SUM((P$3&gt;='Gastos com Pessoal'!$E$7:$E$506)*(P$3&lt;='Gastos com Pessoal'!$F$7:$F$506)*OFFSET('Encargos e Benefícios'!$D$5,1,MATCH($B36,'Encargos e Benefícios'!$E$5:$AB$5,0),500,1))*(IF('Gastos com Pessoal'!$G$7:$G$506&lt;=P$3,('Gastos com Pessoal'!$H$7:$H$506)+1,1))*(IF('Gastos com Pessoal'!$M$7:$M$506&lt;=P$3,('Gastos com Pessoal'!$N$7:$N$506)+1,1))*(IF('Gastos com Pessoal'!$S$7:$S$506&lt;=P$3,('Gastos com Pessoal'!$T$7:$T$506)+1,1))*(IF('Gastos com Pessoal'!$Y$7:$Y$506&lt;=P$3,('Gastos com Pessoal'!$Z$7:$Z$506)+1,1))*(IF('Gastos com Pessoal'!$AE$7:$AE$506&lt;=P$3,('Gastos com Pessoal'!$AF$7:$AF$506)+1,1)),0)</f>
        <v>184536.59850166328</v>
      </c>
      <c r="Q36" s="188">
        <f t="array" aca="1" ref="Q36" ca="1">_xlfn.IFNA(SUM((Q$3&gt;='Gastos com Pessoal'!$E$7:$E$506)*(Q$3&lt;='Gastos com Pessoal'!$F$7:$F$506)*OFFSET('Encargos e Benefícios'!$D$5,1,MATCH($B36,'Encargos e Benefícios'!$E$5:$AB$5,0),500,1))*(IF('Gastos com Pessoal'!$G$7:$G$506&lt;=Q$3,('Gastos com Pessoal'!$H$7:$H$506)+1,1))*(IF('Gastos com Pessoal'!$M$7:$M$506&lt;=Q$3,('Gastos com Pessoal'!$N$7:$N$506)+1,1))*(IF('Gastos com Pessoal'!$S$7:$S$506&lt;=Q$3,('Gastos com Pessoal'!$T$7:$T$506)+1,1))*(IF('Gastos com Pessoal'!$Y$7:$Y$506&lt;=Q$3,('Gastos com Pessoal'!$Z$7:$Z$506)+1,1))*(IF('Gastos com Pessoal'!$AE$7:$AE$506&lt;=Q$3,('Gastos com Pessoal'!$AF$7:$AF$506)+1,1)),0)</f>
        <v>184536.59850166328</v>
      </c>
      <c r="R36" s="188">
        <f t="array" aca="1" ref="R36" ca="1">_xlfn.IFNA(SUM((R$3&gt;='Gastos com Pessoal'!$E$7:$E$506)*(R$3&lt;='Gastos com Pessoal'!$F$7:$F$506)*OFFSET('Encargos e Benefícios'!$D$5,1,MATCH($B36,'Encargos e Benefícios'!$E$5:$AB$5,0),500,1))*(IF('Gastos com Pessoal'!$G$7:$G$506&lt;=R$3,('Gastos com Pessoal'!$H$7:$H$506)+1,1))*(IF('Gastos com Pessoal'!$M$7:$M$506&lt;=R$3,('Gastos com Pessoal'!$N$7:$N$506)+1,1))*(IF('Gastos com Pessoal'!$S$7:$S$506&lt;=R$3,('Gastos com Pessoal'!$T$7:$T$506)+1,1))*(IF('Gastos com Pessoal'!$Y$7:$Y$506&lt;=R$3,('Gastos com Pessoal'!$Z$7:$Z$506)+1,1))*(IF('Gastos com Pessoal'!$AE$7:$AE$506&lt;=R$3,('Gastos com Pessoal'!$AF$7:$AF$506)+1,1)),0)</f>
        <v>184536.59850166328</v>
      </c>
      <c r="S36" s="188">
        <f t="array" aca="1" ref="S36" ca="1">_xlfn.IFNA(SUM((S$3&gt;='Gastos com Pessoal'!$E$7:$E$506)*(S$3&lt;='Gastos com Pessoal'!$F$7:$F$506)*OFFSET('Encargos e Benefícios'!$D$5,1,MATCH($B36,'Encargos e Benefícios'!$E$5:$AB$5,0),500,1))*(IF('Gastos com Pessoal'!$G$7:$G$506&lt;=S$3,('Gastos com Pessoal'!$H$7:$H$506)+1,1))*(IF('Gastos com Pessoal'!$M$7:$M$506&lt;=S$3,('Gastos com Pessoal'!$N$7:$N$506)+1,1))*(IF('Gastos com Pessoal'!$S$7:$S$506&lt;=S$3,('Gastos com Pessoal'!$T$7:$T$506)+1,1))*(IF('Gastos com Pessoal'!$Y$7:$Y$506&lt;=S$3,('Gastos com Pessoal'!$Z$7:$Z$506)+1,1))*(IF('Gastos com Pessoal'!$AE$7:$AE$506&lt;=S$3,('Gastos com Pessoal'!$AF$7:$AF$506)+1,1)),0)</f>
        <v>195313.53585416041</v>
      </c>
      <c r="T36" s="188">
        <f t="array" aca="1" ref="T36" ca="1">_xlfn.IFNA(SUM((T$3&gt;='Gastos com Pessoal'!$E$7:$E$506)*(T$3&lt;='Gastos com Pessoal'!$F$7:$F$506)*OFFSET('Encargos e Benefícios'!$D$5,1,MATCH($B36,'Encargos e Benefícios'!$E$5:$AB$5,0),500,1))*(IF('Gastos com Pessoal'!$G$7:$G$506&lt;=T$3,('Gastos com Pessoal'!$H$7:$H$506)+1,1))*(IF('Gastos com Pessoal'!$M$7:$M$506&lt;=T$3,('Gastos com Pessoal'!$N$7:$N$506)+1,1))*(IF('Gastos com Pessoal'!$S$7:$S$506&lt;=T$3,('Gastos com Pessoal'!$T$7:$T$506)+1,1))*(IF('Gastos com Pessoal'!$Y$7:$Y$506&lt;=T$3,('Gastos com Pessoal'!$Z$7:$Z$506)+1,1))*(IF('Gastos com Pessoal'!$AE$7:$AE$506&lt;=T$3,('Gastos com Pessoal'!$AF$7:$AF$506)+1,1)),0)</f>
        <v>195313.53585416041</v>
      </c>
      <c r="U36" s="188">
        <f t="array" aca="1" ref="U36" ca="1">_xlfn.IFNA(SUM((U$3&gt;='Gastos com Pessoal'!$E$7:$E$506)*(U$3&lt;='Gastos com Pessoal'!$F$7:$F$506)*OFFSET('Encargos e Benefícios'!$D$5,1,MATCH($B36,'Encargos e Benefícios'!$E$5:$AB$5,0),500,1))*(IF('Gastos com Pessoal'!$G$7:$G$506&lt;=U$3,('Gastos com Pessoal'!$H$7:$H$506)+1,1))*(IF('Gastos com Pessoal'!$M$7:$M$506&lt;=U$3,('Gastos com Pessoal'!$N$7:$N$506)+1,1))*(IF('Gastos com Pessoal'!$S$7:$S$506&lt;=U$3,('Gastos com Pessoal'!$T$7:$T$506)+1,1))*(IF('Gastos com Pessoal'!$Y$7:$Y$506&lt;=U$3,('Gastos com Pessoal'!$Z$7:$Z$506)+1,1))*(IF('Gastos com Pessoal'!$AE$7:$AE$506&lt;=U$3,('Gastos com Pessoal'!$AF$7:$AF$506)+1,1)),0)</f>
        <v>195313.53585416041</v>
      </c>
      <c r="V36" s="188">
        <f t="array" aca="1" ref="V36" ca="1">_xlfn.IFNA(SUM((V$3&gt;='Gastos com Pessoal'!$E$7:$E$506)*(V$3&lt;='Gastos com Pessoal'!$F$7:$F$506)*OFFSET('Encargos e Benefícios'!$D$5,1,MATCH($B36,'Encargos e Benefícios'!$E$5:$AB$5,0),500,1))*(IF('Gastos com Pessoal'!$G$7:$G$506&lt;=V$3,('Gastos com Pessoal'!$H$7:$H$506)+1,1))*(IF('Gastos com Pessoal'!$M$7:$M$506&lt;=V$3,('Gastos com Pessoal'!$N$7:$N$506)+1,1))*(IF('Gastos com Pessoal'!$S$7:$S$506&lt;=V$3,('Gastos com Pessoal'!$T$7:$T$506)+1,1))*(IF('Gastos com Pessoal'!$Y$7:$Y$506&lt;=V$3,('Gastos com Pessoal'!$Z$7:$Z$506)+1,1))*(IF('Gastos com Pessoal'!$AE$7:$AE$506&lt;=V$3,('Gastos com Pessoal'!$AF$7:$AF$506)+1,1)),0)</f>
        <v>195313.53585416041</v>
      </c>
      <c r="W36" s="188">
        <f t="array" aca="1" ref="W36" ca="1">_xlfn.IFNA(SUM((W$3&gt;='Gastos com Pessoal'!$E$7:$E$506)*(W$3&lt;='Gastos com Pessoal'!$F$7:$F$506)*OFFSET('Encargos e Benefícios'!$D$5,1,MATCH($B36,'Encargos e Benefícios'!$E$5:$AB$5,0),500,1))*(IF('Gastos com Pessoal'!$G$7:$G$506&lt;=W$3,('Gastos com Pessoal'!$H$7:$H$506)+1,1))*(IF('Gastos com Pessoal'!$M$7:$M$506&lt;=W$3,('Gastos com Pessoal'!$N$7:$N$506)+1,1))*(IF('Gastos com Pessoal'!$S$7:$S$506&lt;=W$3,('Gastos com Pessoal'!$T$7:$T$506)+1,1))*(IF('Gastos com Pessoal'!$Y$7:$Y$506&lt;=W$3,('Gastos com Pessoal'!$Z$7:$Z$506)+1,1))*(IF('Gastos com Pessoal'!$AE$7:$AE$506&lt;=W$3,('Gastos com Pessoal'!$AF$7:$AF$506)+1,1)),0)</f>
        <v>195313.53585416041</v>
      </c>
      <c r="X36" s="188">
        <f t="array" aca="1" ref="X36" ca="1">_xlfn.IFNA(SUM((X$3&gt;='Gastos com Pessoal'!$E$7:$E$506)*(X$3&lt;='Gastos com Pessoal'!$F$7:$F$506)*OFFSET('Encargos e Benefícios'!$D$5,1,MATCH($B36,'Encargos e Benefícios'!$E$5:$AB$5,0),500,1))*(IF('Gastos com Pessoal'!$G$7:$G$506&lt;=X$3,('Gastos com Pessoal'!$H$7:$H$506)+1,1))*(IF('Gastos com Pessoal'!$M$7:$M$506&lt;=X$3,('Gastos com Pessoal'!$N$7:$N$506)+1,1))*(IF('Gastos com Pessoal'!$S$7:$S$506&lt;=X$3,('Gastos com Pessoal'!$T$7:$T$506)+1,1))*(IF('Gastos com Pessoal'!$Y$7:$Y$506&lt;=X$3,('Gastos com Pessoal'!$Z$7:$Z$506)+1,1))*(IF('Gastos com Pessoal'!$AE$7:$AE$506&lt;=X$3,('Gastos com Pessoal'!$AF$7:$AF$506)+1,1)),0)</f>
        <v>195313.53585416041</v>
      </c>
      <c r="Y36" s="188">
        <f t="array" aca="1" ref="Y36" ca="1">_xlfn.IFNA(SUM((Y$3&gt;='Gastos com Pessoal'!$E$7:$E$506)*(Y$3&lt;='Gastos com Pessoal'!$F$7:$F$506)*OFFSET('Encargos e Benefícios'!$D$5,1,MATCH($B36,'Encargos e Benefícios'!$E$5:$AB$5,0),500,1))*(IF('Gastos com Pessoal'!$G$7:$G$506&lt;=Y$3,('Gastos com Pessoal'!$H$7:$H$506)+1,1))*(IF('Gastos com Pessoal'!$M$7:$M$506&lt;=Y$3,('Gastos com Pessoal'!$N$7:$N$506)+1,1))*(IF('Gastos com Pessoal'!$S$7:$S$506&lt;=Y$3,('Gastos com Pessoal'!$T$7:$T$506)+1,1))*(IF('Gastos com Pessoal'!$Y$7:$Y$506&lt;=Y$3,('Gastos com Pessoal'!$Z$7:$Z$506)+1,1))*(IF('Gastos com Pessoal'!$AE$7:$AE$506&lt;=Y$3,('Gastos com Pessoal'!$AF$7:$AF$506)+1,1)),0)</f>
        <v>195313.53585416041</v>
      </c>
      <c r="Z36" s="188">
        <f t="array" aca="1" ref="Z36" ca="1">_xlfn.IFNA(SUM((Z$3&gt;='Gastos com Pessoal'!$E$7:$E$506)*(Z$3&lt;='Gastos com Pessoal'!$F$7:$F$506)*OFFSET('Encargos e Benefícios'!$D$5,1,MATCH($B36,'Encargos e Benefícios'!$E$5:$AB$5,0),500,1))*(IF('Gastos com Pessoal'!$G$7:$G$506&lt;=Z$3,('Gastos com Pessoal'!$H$7:$H$506)+1,1))*(IF('Gastos com Pessoal'!$M$7:$M$506&lt;=Z$3,('Gastos com Pessoal'!$N$7:$N$506)+1,1))*(IF('Gastos com Pessoal'!$S$7:$S$506&lt;=Z$3,('Gastos com Pessoal'!$T$7:$T$506)+1,1))*(IF('Gastos com Pessoal'!$Y$7:$Y$506&lt;=Z$3,('Gastos com Pessoal'!$Z$7:$Z$506)+1,1))*(IF('Gastos com Pessoal'!$AE$7:$AE$506&lt;=Z$3,('Gastos com Pessoal'!$AF$7:$AF$506)+1,1)),0)</f>
        <v>195313.53585416041</v>
      </c>
      <c r="AA36" s="188">
        <f t="array" aca="1" ref="AA36" ca="1">_xlfn.IFNA(SUM((AA$3&gt;='Gastos com Pessoal'!$E$7:$E$506)*(AA$3&lt;='Gastos com Pessoal'!$F$7:$F$506)*OFFSET('Encargos e Benefícios'!$D$5,1,MATCH($B36,'Encargos e Benefícios'!$E$5:$AB$5,0),500,1))*(IF('Gastos com Pessoal'!$G$7:$G$506&lt;=AA$3,('Gastos com Pessoal'!$H$7:$H$506)+1,1))*(IF('Gastos com Pessoal'!$M$7:$M$506&lt;=AA$3,('Gastos com Pessoal'!$N$7:$N$506)+1,1))*(IF('Gastos com Pessoal'!$S$7:$S$506&lt;=AA$3,('Gastos com Pessoal'!$T$7:$T$506)+1,1))*(IF('Gastos com Pessoal'!$Y$7:$Y$506&lt;=AA$3,('Gastos com Pessoal'!$Z$7:$Z$506)+1,1))*(IF('Gastos com Pessoal'!$AE$7:$AE$506&lt;=AA$3,('Gastos com Pessoal'!$AF$7:$AF$506)+1,1)),0)</f>
        <v>195313.53585416041</v>
      </c>
      <c r="AB36" s="188">
        <f t="array" aca="1" ref="AB36" ca="1">_xlfn.IFNA(SUM((AB$3&gt;='Gastos com Pessoal'!$E$7:$E$506)*(AB$3&lt;='Gastos com Pessoal'!$F$7:$F$506)*OFFSET('Encargos e Benefícios'!$D$5,1,MATCH($B36,'Encargos e Benefícios'!$E$5:$AB$5,0),500,1))*(IF('Gastos com Pessoal'!$G$7:$G$506&lt;=AB$3,('Gastos com Pessoal'!$H$7:$H$506)+1,1))*(IF('Gastos com Pessoal'!$M$7:$M$506&lt;=AB$3,('Gastos com Pessoal'!$N$7:$N$506)+1,1))*(IF('Gastos com Pessoal'!$S$7:$S$506&lt;=AB$3,('Gastos com Pessoal'!$T$7:$T$506)+1,1))*(IF('Gastos com Pessoal'!$Y$7:$Y$506&lt;=AB$3,('Gastos com Pessoal'!$Z$7:$Z$506)+1,1))*(IF('Gastos com Pessoal'!$AE$7:$AE$506&lt;=AB$3,('Gastos com Pessoal'!$AF$7:$AF$506)+1,1)),0)</f>
        <v>195313.53585416041</v>
      </c>
      <c r="AC36" s="188">
        <f t="array" aca="1" ref="AC36" ca="1">_xlfn.IFNA(SUM((AC$3&gt;='Gastos com Pessoal'!$E$7:$E$506)*(AC$3&lt;='Gastos com Pessoal'!$F$7:$F$506)*OFFSET('Encargos e Benefícios'!$D$5,1,MATCH($B36,'Encargos e Benefícios'!$E$5:$AB$5,0),500,1))*(IF('Gastos com Pessoal'!$G$7:$G$506&lt;=AC$3,('Gastos com Pessoal'!$H$7:$H$506)+1,1))*(IF('Gastos com Pessoal'!$M$7:$M$506&lt;=AC$3,('Gastos com Pessoal'!$N$7:$N$506)+1,1))*(IF('Gastos com Pessoal'!$S$7:$S$506&lt;=AC$3,('Gastos com Pessoal'!$T$7:$T$506)+1,1))*(IF('Gastos com Pessoal'!$Y$7:$Y$506&lt;=AC$3,('Gastos com Pessoal'!$Z$7:$Z$506)+1,1))*(IF('Gastos com Pessoal'!$AE$7:$AE$506&lt;=AC$3,('Gastos com Pessoal'!$AF$7:$AF$506)+1,1)),0)</f>
        <v>195313.53585416041</v>
      </c>
      <c r="AD36" s="188">
        <f t="array" aca="1" ref="AD36" ca="1">_xlfn.IFNA(SUM((AD$3&gt;='Gastos com Pessoal'!$E$7:$E$506)*(AD$3&lt;='Gastos com Pessoal'!$F$7:$F$506)*OFFSET('Encargos e Benefícios'!$D$5,1,MATCH($B36,'Encargos e Benefícios'!$E$5:$AB$5,0),500,1))*(IF('Gastos com Pessoal'!$G$7:$G$506&lt;=AD$3,('Gastos com Pessoal'!$H$7:$H$506)+1,1))*(IF('Gastos com Pessoal'!$M$7:$M$506&lt;=AD$3,('Gastos com Pessoal'!$N$7:$N$506)+1,1))*(IF('Gastos com Pessoal'!$S$7:$S$506&lt;=AD$3,('Gastos com Pessoal'!$T$7:$T$506)+1,1))*(IF('Gastos com Pessoal'!$Y$7:$Y$506&lt;=AD$3,('Gastos com Pessoal'!$Z$7:$Z$506)+1,1))*(IF('Gastos com Pessoal'!$AE$7:$AE$506&lt;=AD$3,('Gastos com Pessoal'!$AF$7:$AF$506)+1,1)),0)</f>
        <v>195313.53585416041</v>
      </c>
      <c r="AE36" s="188">
        <f t="array" aca="1" ref="AE36" ca="1">_xlfn.IFNA(SUM((AE$3&gt;='Gastos com Pessoal'!$E$7:$E$506)*(AE$3&lt;='Gastos com Pessoal'!$F$7:$F$506)*OFFSET('Encargos e Benefícios'!$D$5,1,MATCH($B36,'Encargos e Benefícios'!$E$5:$AB$5,0),500,1))*(IF('Gastos com Pessoal'!$G$7:$G$506&lt;=AE$3,('Gastos com Pessoal'!$H$7:$H$506)+1,1))*(IF('Gastos com Pessoal'!$M$7:$M$506&lt;=AE$3,('Gastos com Pessoal'!$N$7:$N$506)+1,1))*(IF('Gastos com Pessoal'!$S$7:$S$506&lt;=AE$3,('Gastos com Pessoal'!$T$7:$T$506)+1,1))*(IF('Gastos com Pessoal'!$Y$7:$Y$506&lt;=AE$3,('Gastos com Pessoal'!$Z$7:$Z$506)+1,1))*(IF('Gastos com Pessoal'!$AE$7:$AE$506&lt;=AE$3,('Gastos com Pessoal'!$AF$7:$AF$506)+1,1)),0)</f>
        <v>206719.84634804339</v>
      </c>
      <c r="AF36" s="188">
        <f t="array" aca="1" ref="AF36" ca="1">_xlfn.IFNA(SUM((AF$3&gt;='Gastos com Pessoal'!$E$7:$E$506)*(AF$3&lt;='Gastos com Pessoal'!$F$7:$F$506)*OFFSET('Encargos e Benefícios'!$D$5,1,MATCH($B36,'Encargos e Benefícios'!$E$5:$AB$5,0),500,1))*(IF('Gastos com Pessoal'!$G$7:$G$506&lt;=AF$3,('Gastos com Pessoal'!$H$7:$H$506)+1,1))*(IF('Gastos com Pessoal'!$M$7:$M$506&lt;=AF$3,('Gastos com Pessoal'!$N$7:$N$506)+1,1))*(IF('Gastos com Pessoal'!$S$7:$S$506&lt;=AF$3,('Gastos com Pessoal'!$T$7:$T$506)+1,1))*(IF('Gastos com Pessoal'!$Y$7:$Y$506&lt;=AF$3,('Gastos com Pessoal'!$Z$7:$Z$506)+1,1))*(IF('Gastos com Pessoal'!$AE$7:$AE$506&lt;=AF$3,('Gastos com Pessoal'!$AF$7:$AF$506)+1,1)),0)</f>
        <v>206719.84634804339</v>
      </c>
      <c r="AG36" s="188">
        <f t="array" aca="1" ref="AG36" ca="1">_xlfn.IFNA(SUM((AG$3&gt;='Gastos com Pessoal'!$E$7:$E$506)*(AG$3&lt;='Gastos com Pessoal'!$F$7:$F$506)*OFFSET('Encargos e Benefícios'!$D$5,1,MATCH($B36,'Encargos e Benefícios'!$E$5:$AB$5,0),500,1))*(IF('Gastos com Pessoal'!$G$7:$G$506&lt;=AG$3,('Gastos com Pessoal'!$H$7:$H$506)+1,1))*(IF('Gastos com Pessoal'!$M$7:$M$506&lt;=AG$3,('Gastos com Pessoal'!$N$7:$N$506)+1,1))*(IF('Gastos com Pessoal'!$S$7:$S$506&lt;=AG$3,('Gastos com Pessoal'!$T$7:$T$506)+1,1))*(IF('Gastos com Pessoal'!$Y$7:$Y$506&lt;=AG$3,('Gastos com Pessoal'!$Z$7:$Z$506)+1,1))*(IF('Gastos com Pessoal'!$AE$7:$AE$506&lt;=AG$3,('Gastos com Pessoal'!$AF$7:$AF$506)+1,1)),0)</f>
        <v>206719.84634804339</v>
      </c>
      <c r="AH36" s="188">
        <f t="array" aca="1" ref="AH36" ca="1">_xlfn.IFNA(SUM((AH$3&gt;='Gastos com Pessoal'!$E$7:$E$506)*(AH$3&lt;='Gastos com Pessoal'!$F$7:$F$506)*OFFSET('Encargos e Benefícios'!$D$5,1,MATCH($B36,'Encargos e Benefícios'!$E$5:$AB$5,0),500,1))*(IF('Gastos com Pessoal'!$G$7:$G$506&lt;=AH$3,('Gastos com Pessoal'!$H$7:$H$506)+1,1))*(IF('Gastos com Pessoal'!$M$7:$M$506&lt;=AH$3,('Gastos com Pessoal'!$N$7:$N$506)+1,1))*(IF('Gastos com Pessoal'!$S$7:$S$506&lt;=AH$3,('Gastos com Pessoal'!$T$7:$T$506)+1,1))*(IF('Gastos com Pessoal'!$Y$7:$Y$506&lt;=AH$3,('Gastos com Pessoal'!$Z$7:$Z$506)+1,1))*(IF('Gastos com Pessoal'!$AE$7:$AE$506&lt;=AH$3,('Gastos com Pessoal'!$AF$7:$AF$506)+1,1)),0)</f>
        <v>206719.84634804339</v>
      </c>
      <c r="AI36" s="188">
        <f t="array" aca="1" ref="AI36" ca="1">_xlfn.IFNA(SUM((AI$3&gt;='Gastos com Pessoal'!$E$7:$E$506)*(AI$3&lt;='Gastos com Pessoal'!$F$7:$F$506)*OFFSET('Encargos e Benefícios'!$D$5,1,MATCH($B36,'Encargos e Benefícios'!$E$5:$AB$5,0),500,1))*(IF('Gastos com Pessoal'!$G$7:$G$506&lt;=AI$3,('Gastos com Pessoal'!$H$7:$H$506)+1,1))*(IF('Gastos com Pessoal'!$M$7:$M$506&lt;=AI$3,('Gastos com Pessoal'!$N$7:$N$506)+1,1))*(IF('Gastos com Pessoal'!$S$7:$S$506&lt;=AI$3,('Gastos com Pessoal'!$T$7:$T$506)+1,1))*(IF('Gastos com Pessoal'!$Y$7:$Y$506&lt;=AI$3,('Gastos com Pessoal'!$Z$7:$Z$506)+1,1))*(IF('Gastos com Pessoal'!$AE$7:$AE$506&lt;=AI$3,('Gastos com Pessoal'!$AF$7:$AF$506)+1,1)),0)</f>
        <v>206719.84634804339</v>
      </c>
      <c r="AJ36" s="188">
        <f t="array" aca="1" ref="AJ36" ca="1">_xlfn.IFNA(SUM((AJ$3&gt;='Gastos com Pessoal'!$E$7:$E$506)*(AJ$3&lt;='Gastos com Pessoal'!$F$7:$F$506)*OFFSET('Encargos e Benefícios'!$D$5,1,MATCH($B36,'Encargos e Benefícios'!$E$5:$AB$5,0),500,1))*(IF('Gastos com Pessoal'!$G$7:$G$506&lt;=AJ$3,('Gastos com Pessoal'!$H$7:$H$506)+1,1))*(IF('Gastos com Pessoal'!$M$7:$M$506&lt;=AJ$3,('Gastos com Pessoal'!$N$7:$N$506)+1,1))*(IF('Gastos com Pessoal'!$S$7:$S$506&lt;=AJ$3,('Gastos com Pessoal'!$T$7:$T$506)+1,1))*(IF('Gastos com Pessoal'!$Y$7:$Y$506&lt;=AJ$3,('Gastos com Pessoal'!$Z$7:$Z$506)+1,1))*(IF('Gastos com Pessoal'!$AE$7:$AE$506&lt;=AJ$3,('Gastos com Pessoal'!$AF$7:$AF$506)+1,1)),0)</f>
        <v>206719.84634804339</v>
      </c>
      <c r="AK36" s="188">
        <f t="array" aca="1" ref="AK36" ca="1">_xlfn.IFNA(SUM((AK$3&gt;='Gastos com Pessoal'!$E$7:$E$506)*(AK$3&lt;='Gastos com Pessoal'!$F$7:$F$506)*OFFSET('Encargos e Benefícios'!$D$5,1,MATCH($B36,'Encargos e Benefícios'!$E$5:$AB$5,0),500,1))*(IF('Gastos com Pessoal'!$G$7:$G$506&lt;=AK$3,('Gastos com Pessoal'!$H$7:$H$506)+1,1))*(IF('Gastos com Pessoal'!$M$7:$M$506&lt;=AK$3,('Gastos com Pessoal'!$N$7:$N$506)+1,1))*(IF('Gastos com Pessoal'!$S$7:$S$506&lt;=AK$3,('Gastos com Pessoal'!$T$7:$T$506)+1,1))*(IF('Gastos com Pessoal'!$Y$7:$Y$506&lt;=AK$3,('Gastos com Pessoal'!$Z$7:$Z$506)+1,1))*(IF('Gastos com Pessoal'!$AE$7:$AE$506&lt;=AK$3,('Gastos com Pessoal'!$AF$7:$AF$506)+1,1)),0)</f>
        <v>206719.84634804339</v>
      </c>
      <c r="AL36" s="188">
        <f t="array" aca="1" ref="AL36" ca="1">_xlfn.IFNA(SUM((AL$3&gt;='Gastos com Pessoal'!$E$7:$E$506)*(AL$3&lt;='Gastos com Pessoal'!$F$7:$F$506)*OFFSET('Encargos e Benefícios'!$D$5,1,MATCH($B36,'Encargos e Benefícios'!$E$5:$AB$5,0),500,1))*(IF('Gastos com Pessoal'!$G$7:$G$506&lt;=AL$3,('Gastos com Pessoal'!$H$7:$H$506)+1,1))*(IF('Gastos com Pessoal'!$M$7:$M$506&lt;=AL$3,('Gastos com Pessoal'!$N$7:$N$506)+1,1))*(IF('Gastos com Pessoal'!$S$7:$S$506&lt;=AL$3,('Gastos com Pessoal'!$T$7:$T$506)+1,1))*(IF('Gastos com Pessoal'!$Y$7:$Y$506&lt;=AL$3,('Gastos com Pessoal'!$Z$7:$Z$506)+1,1))*(IF('Gastos com Pessoal'!$AE$7:$AE$506&lt;=AL$3,('Gastos com Pessoal'!$AF$7:$AF$506)+1,1)),0)</f>
        <v>206719.84634804339</v>
      </c>
      <c r="AM36" s="188">
        <f t="array" aca="1" ref="AM36" ca="1">_xlfn.IFNA(SUM((AM$3&gt;='Gastos com Pessoal'!$E$7:$E$506)*(AM$3&lt;='Gastos com Pessoal'!$F$7:$F$506)*OFFSET('Encargos e Benefícios'!$D$5,1,MATCH($B36,'Encargos e Benefícios'!$E$5:$AB$5,0),500,1))*(IF('Gastos com Pessoal'!$G$7:$G$506&lt;=AM$3,('Gastos com Pessoal'!$H$7:$H$506)+1,1))*(IF('Gastos com Pessoal'!$M$7:$M$506&lt;=AM$3,('Gastos com Pessoal'!$N$7:$N$506)+1,1))*(IF('Gastos com Pessoal'!$S$7:$S$506&lt;=AM$3,('Gastos com Pessoal'!$T$7:$T$506)+1,1))*(IF('Gastos com Pessoal'!$Y$7:$Y$506&lt;=AM$3,('Gastos com Pessoal'!$Z$7:$Z$506)+1,1))*(IF('Gastos com Pessoal'!$AE$7:$AE$506&lt;=AM$3,('Gastos com Pessoal'!$AF$7:$AF$506)+1,1)),0)</f>
        <v>206719.84634804339</v>
      </c>
      <c r="AN36" s="188">
        <f t="array" aca="1" ref="AN36" ca="1">_xlfn.IFNA(SUM((AN$3&gt;='Gastos com Pessoal'!$E$7:$E$506)*(AN$3&lt;='Gastos com Pessoal'!$F$7:$F$506)*OFFSET('Encargos e Benefícios'!$D$5,1,MATCH($B36,'Encargos e Benefícios'!$E$5:$AB$5,0),500,1))*(IF('Gastos com Pessoal'!$G$7:$G$506&lt;=AN$3,('Gastos com Pessoal'!$H$7:$H$506)+1,1))*(IF('Gastos com Pessoal'!$M$7:$M$506&lt;=AN$3,('Gastos com Pessoal'!$N$7:$N$506)+1,1))*(IF('Gastos com Pessoal'!$S$7:$S$506&lt;=AN$3,('Gastos com Pessoal'!$T$7:$T$506)+1,1))*(IF('Gastos com Pessoal'!$Y$7:$Y$506&lt;=AN$3,('Gastos com Pessoal'!$Z$7:$Z$506)+1,1))*(IF('Gastos com Pessoal'!$AE$7:$AE$506&lt;=AN$3,('Gastos com Pessoal'!$AF$7:$AF$506)+1,1)),0)</f>
        <v>206719.84634804339</v>
      </c>
      <c r="AO36" s="188">
        <f t="array" aca="1" ref="AO36" ca="1">_xlfn.IFNA(SUM((AO$3&gt;='Gastos com Pessoal'!$E$7:$E$506)*(AO$3&lt;='Gastos com Pessoal'!$F$7:$F$506)*OFFSET('Encargos e Benefícios'!$D$5,1,MATCH($B36,'Encargos e Benefícios'!$E$5:$AB$5,0),500,1))*(IF('Gastos com Pessoal'!$G$7:$G$506&lt;=AO$3,('Gastos com Pessoal'!$H$7:$H$506)+1,1))*(IF('Gastos com Pessoal'!$M$7:$M$506&lt;=AO$3,('Gastos com Pessoal'!$N$7:$N$506)+1,1))*(IF('Gastos com Pessoal'!$S$7:$S$506&lt;=AO$3,('Gastos com Pessoal'!$T$7:$T$506)+1,1))*(IF('Gastos com Pessoal'!$Y$7:$Y$506&lt;=AO$3,('Gastos com Pessoal'!$Z$7:$Z$506)+1,1))*(IF('Gastos com Pessoal'!$AE$7:$AE$506&lt;=AO$3,('Gastos com Pessoal'!$AF$7:$AF$506)+1,1)),0)</f>
        <v>206719.84634804339</v>
      </c>
      <c r="AP36" s="188">
        <f t="array" aca="1" ref="AP36" ca="1">_xlfn.IFNA(SUM((AP$3&gt;='Gastos com Pessoal'!$E$7:$E$506)*(AP$3&lt;='Gastos com Pessoal'!$F$7:$F$506)*OFFSET('Encargos e Benefícios'!$D$5,1,MATCH($B36,'Encargos e Benefícios'!$E$5:$AB$5,0),500,1))*(IF('Gastos com Pessoal'!$G$7:$G$506&lt;=AP$3,('Gastos com Pessoal'!$H$7:$H$506)+1,1))*(IF('Gastos com Pessoal'!$M$7:$M$506&lt;=AP$3,('Gastos com Pessoal'!$N$7:$N$506)+1,1))*(IF('Gastos com Pessoal'!$S$7:$S$506&lt;=AP$3,('Gastos com Pessoal'!$T$7:$T$506)+1,1))*(IF('Gastos com Pessoal'!$Y$7:$Y$506&lt;=AP$3,('Gastos com Pessoal'!$Z$7:$Z$506)+1,1))*(IF('Gastos com Pessoal'!$AE$7:$AE$506&lt;=AP$3,('Gastos com Pessoal'!$AF$7:$AF$506)+1,1)),0)</f>
        <v>206719.84634804339</v>
      </c>
      <c r="AQ36" s="188">
        <f t="array" aca="1" ref="AQ36" ca="1">_xlfn.IFNA(SUM((AQ$3&gt;='Gastos com Pessoal'!$E$7:$E$506)*(AQ$3&lt;='Gastos com Pessoal'!$F$7:$F$506)*OFFSET('Encargos e Benefícios'!$D$5,1,MATCH($B36,'Encargos e Benefícios'!$E$5:$AB$5,0),500,1))*(IF('Gastos com Pessoal'!$G$7:$G$506&lt;=AQ$3,('Gastos com Pessoal'!$H$7:$H$506)+1,1))*(IF('Gastos com Pessoal'!$M$7:$M$506&lt;=AQ$3,('Gastos com Pessoal'!$N$7:$N$506)+1,1))*(IF('Gastos com Pessoal'!$S$7:$S$506&lt;=AQ$3,('Gastos com Pessoal'!$T$7:$T$506)+1,1))*(IF('Gastos com Pessoal'!$Y$7:$Y$506&lt;=AQ$3,('Gastos com Pessoal'!$Z$7:$Z$506)+1,1))*(IF('Gastos com Pessoal'!$AE$7:$AE$506&lt;=AQ$3,('Gastos com Pessoal'!$AF$7:$AF$506)+1,1)),0)</f>
        <v>218792.28537476913</v>
      </c>
      <c r="AR36" s="188">
        <f t="array" aca="1" ref="AR36" ca="1">_xlfn.IFNA(SUM((AR$3&gt;='Gastos com Pessoal'!$E$7:$E$506)*(AR$3&lt;='Gastos com Pessoal'!$F$7:$F$506)*OFFSET('Encargos e Benefícios'!$D$5,1,MATCH($B36,'Encargos e Benefícios'!$E$5:$AB$5,0),500,1))*(IF('Gastos com Pessoal'!$G$7:$G$506&lt;=AR$3,('Gastos com Pessoal'!$H$7:$H$506)+1,1))*(IF('Gastos com Pessoal'!$M$7:$M$506&lt;=AR$3,('Gastos com Pessoal'!$N$7:$N$506)+1,1))*(IF('Gastos com Pessoal'!$S$7:$S$506&lt;=AR$3,('Gastos com Pessoal'!$T$7:$T$506)+1,1))*(IF('Gastos com Pessoal'!$Y$7:$Y$506&lt;=AR$3,('Gastos com Pessoal'!$Z$7:$Z$506)+1,1))*(IF('Gastos com Pessoal'!$AE$7:$AE$506&lt;=AR$3,('Gastos com Pessoal'!$AF$7:$AF$506)+1,1)),0)</f>
        <v>218792.28537476913</v>
      </c>
      <c r="AS36" s="188">
        <f t="array" aca="1" ref="AS36" ca="1">_xlfn.IFNA(SUM((AS$3&gt;='Gastos com Pessoal'!$E$7:$E$506)*(AS$3&lt;='Gastos com Pessoal'!$F$7:$F$506)*OFFSET('Encargos e Benefícios'!$D$5,1,MATCH($B36,'Encargos e Benefícios'!$E$5:$AB$5,0),500,1))*(IF('Gastos com Pessoal'!$G$7:$G$506&lt;=AS$3,('Gastos com Pessoal'!$H$7:$H$506)+1,1))*(IF('Gastos com Pessoal'!$M$7:$M$506&lt;=AS$3,('Gastos com Pessoal'!$N$7:$N$506)+1,1))*(IF('Gastos com Pessoal'!$S$7:$S$506&lt;=AS$3,('Gastos com Pessoal'!$T$7:$T$506)+1,1))*(IF('Gastos com Pessoal'!$Y$7:$Y$506&lt;=AS$3,('Gastos com Pessoal'!$Z$7:$Z$506)+1,1))*(IF('Gastos com Pessoal'!$AE$7:$AE$506&lt;=AS$3,('Gastos com Pessoal'!$AF$7:$AF$506)+1,1)),0)</f>
        <v>218792.28537476913</v>
      </c>
      <c r="AT36" s="188">
        <f t="array" aca="1" ref="AT36" ca="1">_xlfn.IFNA(SUM((AT$3&gt;='Gastos com Pessoal'!$E$7:$E$506)*(AT$3&lt;='Gastos com Pessoal'!$F$7:$F$506)*OFFSET('Encargos e Benefícios'!$D$5,1,MATCH($B36,'Encargos e Benefícios'!$E$5:$AB$5,0),500,1))*(IF('Gastos com Pessoal'!$G$7:$G$506&lt;=AT$3,('Gastos com Pessoal'!$H$7:$H$506)+1,1))*(IF('Gastos com Pessoal'!$M$7:$M$506&lt;=AT$3,('Gastos com Pessoal'!$N$7:$N$506)+1,1))*(IF('Gastos com Pessoal'!$S$7:$S$506&lt;=AT$3,('Gastos com Pessoal'!$T$7:$T$506)+1,1))*(IF('Gastos com Pessoal'!$Y$7:$Y$506&lt;=AT$3,('Gastos com Pessoal'!$Z$7:$Z$506)+1,1))*(IF('Gastos com Pessoal'!$AE$7:$AE$506&lt;=AT$3,('Gastos com Pessoal'!$AF$7:$AF$506)+1,1)),0)</f>
        <v>218792.28537476913</v>
      </c>
      <c r="AU36" s="188">
        <f t="array" aca="1" ref="AU36" ca="1">_xlfn.IFNA(SUM((AU$3&gt;='Gastos com Pessoal'!$E$7:$E$506)*(AU$3&lt;='Gastos com Pessoal'!$F$7:$F$506)*OFFSET('Encargos e Benefícios'!$D$5,1,MATCH($B36,'Encargos e Benefícios'!$E$5:$AB$5,0),500,1))*(IF('Gastos com Pessoal'!$G$7:$G$506&lt;=AU$3,('Gastos com Pessoal'!$H$7:$H$506)+1,1))*(IF('Gastos com Pessoal'!$M$7:$M$506&lt;=AU$3,('Gastos com Pessoal'!$N$7:$N$506)+1,1))*(IF('Gastos com Pessoal'!$S$7:$S$506&lt;=AU$3,('Gastos com Pessoal'!$T$7:$T$506)+1,1))*(IF('Gastos com Pessoal'!$Y$7:$Y$506&lt;=AU$3,('Gastos com Pessoal'!$Z$7:$Z$506)+1,1))*(IF('Gastos com Pessoal'!$AE$7:$AE$506&lt;=AU$3,('Gastos com Pessoal'!$AF$7:$AF$506)+1,1)),0)</f>
        <v>218792.28537476913</v>
      </c>
      <c r="AV36" s="188">
        <f t="array" aca="1" ref="AV36" ca="1">_xlfn.IFNA(SUM((AV$3&gt;='Gastos com Pessoal'!$E$7:$E$506)*(AV$3&lt;='Gastos com Pessoal'!$F$7:$F$506)*OFFSET('Encargos e Benefícios'!$D$5,1,MATCH($B36,'Encargos e Benefícios'!$E$5:$AB$5,0),500,1))*(IF('Gastos com Pessoal'!$G$7:$G$506&lt;=AV$3,('Gastos com Pessoal'!$H$7:$H$506)+1,1))*(IF('Gastos com Pessoal'!$M$7:$M$506&lt;=AV$3,('Gastos com Pessoal'!$N$7:$N$506)+1,1))*(IF('Gastos com Pessoal'!$S$7:$S$506&lt;=AV$3,('Gastos com Pessoal'!$T$7:$T$506)+1,1))*(IF('Gastos com Pessoal'!$Y$7:$Y$506&lt;=AV$3,('Gastos com Pessoal'!$Z$7:$Z$506)+1,1))*(IF('Gastos com Pessoal'!$AE$7:$AE$506&lt;=AV$3,('Gastos com Pessoal'!$AF$7:$AF$506)+1,1)),0)</f>
        <v>218792.28537476913</v>
      </c>
      <c r="AW36" s="188">
        <f t="array" aca="1" ref="AW36" ca="1">_xlfn.IFNA(SUM((AW$3&gt;='Gastos com Pessoal'!$E$7:$E$506)*(AW$3&lt;='Gastos com Pessoal'!$F$7:$F$506)*OFFSET('Encargos e Benefícios'!$D$5,1,MATCH($B36,'Encargos e Benefícios'!$E$5:$AB$5,0),500,1))*(IF('Gastos com Pessoal'!$G$7:$G$506&lt;=AW$3,('Gastos com Pessoal'!$H$7:$H$506)+1,1))*(IF('Gastos com Pessoal'!$M$7:$M$506&lt;=AW$3,('Gastos com Pessoal'!$N$7:$N$506)+1,1))*(IF('Gastos com Pessoal'!$S$7:$S$506&lt;=AW$3,('Gastos com Pessoal'!$T$7:$T$506)+1,1))*(IF('Gastos com Pessoal'!$Y$7:$Y$506&lt;=AW$3,('Gastos com Pessoal'!$Z$7:$Z$506)+1,1))*(IF('Gastos com Pessoal'!$AE$7:$AE$506&lt;=AW$3,('Gastos com Pessoal'!$AF$7:$AF$506)+1,1)),0)</f>
        <v>218792.28537476913</v>
      </c>
      <c r="AX36" s="188">
        <f t="array" aca="1" ref="AX36" ca="1">_xlfn.IFNA(SUM((AX$3&gt;='Gastos com Pessoal'!$E$7:$E$506)*(AX$3&lt;='Gastos com Pessoal'!$F$7:$F$506)*OFFSET('Encargos e Benefícios'!$D$5,1,MATCH($B36,'Encargos e Benefícios'!$E$5:$AB$5,0),500,1))*(IF('Gastos com Pessoal'!$G$7:$G$506&lt;=AX$3,('Gastos com Pessoal'!$H$7:$H$506)+1,1))*(IF('Gastos com Pessoal'!$M$7:$M$506&lt;=AX$3,('Gastos com Pessoal'!$N$7:$N$506)+1,1))*(IF('Gastos com Pessoal'!$S$7:$S$506&lt;=AX$3,('Gastos com Pessoal'!$T$7:$T$506)+1,1))*(IF('Gastos com Pessoal'!$Y$7:$Y$506&lt;=AX$3,('Gastos com Pessoal'!$Z$7:$Z$506)+1,1))*(IF('Gastos com Pessoal'!$AE$7:$AE$506&lt;=AX$3,('Gastos com Pessoal'!$AF$7:$AF$506)+1,1)),0)</f>
        <v>0</v>
      </c>
      <c r="AY36" s="188">
        <f t="array" aca="1" ref="AY36" ca="1">_xlfn.IFNA(SUM((AY$3&gt;='Gastos com Pessoal'!$E$7:$E$506)*(AY$3&lt;='Gastos com Pessoal'!$F$7:$F$506)*OFFSET('Encargos e Benefícios'!$D$5,1,MATCH($B36,'Encargos e Benefícios'!$E$5:$AB$5,0),500,1))*(IF('Gastos com Pessoal'!$G$7:$G$506&lt;=AY$3,('Gastos com Pessoal'!$H$7:$H$506)+1,1))*(IF('Gastos com Pessoal'!$M$7:$M$506&lt;=AY$3,('Gastos com Pessoal'!$N$7:$N$506)+1,1))*(IF('Gastos com Pessoal'!$S$7:$S$506&lt;=AY$3,('Gastos com Pessoal'!$T$7:$T$506)+1,1))*(IF('Gastos com Pessoal'!$Y$7:$Y$506&lt;=AY$3,('Gastos com Pessoal'!$Z$7:$Z$506)+1,1))*(IF('Gastos com Pessoal'!$AE$7:$AE$506&lt;=AY$3,('Gastos com Pessoal'!$AF$7:$AF$506)+1,1)),0)</f>
        <v>0</v>
      </c>
      <c r="AZ36" s="188">
        <f t="array" aca="1" ref="AZ36" ca="1">_xlfn.IFNA(SUM((AZ$3&gt;='Gastos com Pessoal'!$E$7:$E$506)*(AZ$3&lt;='Gastos com Pessoal'!$F$7:$F$506)*OFFSET('Encargos e Benefícios'!$D$5,1,MATCH($B36,'Encargos e Benefícios'!$E$5:$AB$5,0),500,1))*(IF('Gastos com Pessoal'!$G$7:$G$506&lt;=AZ$3,('Gastos com Pessoal'!$H$7:$H$506)+1,1))*(IF('Gastos com Pessoal'!$M$7:$M$506&lt;=AZ$3,('Gastos com Pessoal'!$N$7:$N$506)+1,1))*(IF('Gastos com Pessoal'!$S$7:$S$506&lt;=AZ$3,('Gastos com Pessoal'!$T$7:$T$506)+1,1))*(IF('Gastos com Pessoal'!$Y$7:$Y$506&lt;=AZ$3,('Gastos com Pessoal'!$Z$7:$Z$506)+1,1))*(IF('Gastos com Pessoal'!$AE$7:$AE$506&lt;=AZ$3,('Gastos com Pessoal'!$AF$7:$AF$506)+1,1)),0)</f>
        <v>0</v>
      </c>
      <c r="BA36" s="188">
        <f t="array" aca="1" ref="BA36" ca="1">_xlfn.IFNA(SUM((BA$3&gt;='Gastos com Pessoal'!$E$7:$E$506)*(BA$3&lt;='Gastos com Pessoal'!$F$7:$F$506)*OFFSET('Encargos e Benefícios'!$D$5,1,MATCH($B36,'Encargos e Benefícios'!$E$5:$AB$5,0),500,1))*(IF('Gastos com Pessoal'!$G$7:$G$506&lt;=BA$3,('Gastos com Pessoal'!$H$7:$H$506)+1,1))*(IF('Gastos com Pessoal'!$M$7:$M$506&lt;=BA$3,('Gastos com Pessoal'!$N$7:$N$506)+1,1))*(IF('Gastos com Pessoal'!$S$7:$S$506&lt;=BA$3,('Gastos com Pessoal'!$T$7:$T$506)+1,1))*(IF('Gastos com Pessoal'!$Y$7:$Y$506&lt;=BA$3,('Gastos com Pessoal'!$Z$7:$Z$506)+1,1))*(IF('Gastos com Pessoal'!$AE$7:$AE$506&lt;=BA$3,('Gastos com Pessoal'!$AF$7:$AF$506)+1,1)),0)</f>
        <v>0</v>
      </c>
      <c r="BB36" s="188">
        <f t="array" aca="1" ref="BB36" ca="1">_xlfn.IFNA(SUM((BB$3&gt;='Gastos com Pessoal'!$E$7:$E$506)*(BB$3&lt;='Gastos com Pessoal'!$F$7:$F$506)*OFFSET('Encargos e Benefícios'!$D$5,1,MATCH($B36,'Encargos e Benefícios'!$E$5:$AB$5,0),500,1))*(IF('Gastos com Pessoal'!$G$7:$G$506&lt;=BB$3,('Gastos com Pessoal'!$H$7:$H$506)+1,1))*(IF('Gastos com Pessoal'!$M$7:$M$506&lt;=BB$3,('Gastos com Pessoal'!$N$7:$N$506)+1,1))*(IF('Gastos com Pessoal'!$S$7:$S$506&lt;=BB$3,('Gastos com Pessoal'!$T$7:$T$506)+1,1))*(IF('Gastos com Pessoal'!$Y$7:$Y$506&lt;=BB$3,('Gastos com Pessoal'!$Z$7:$Z$506)+1,1))*(IF('Gastos com Pessoal'!$AE$7:$AE$506&lt;=BB$3,('Gastos com Pessoal'!$AF$7:$AF$506)+1,1)),0)</f>
        <v>0</v>
      </c>
      <c r="BC36" s="188">
        <f t="array" aca="1" ref="BC36" ca="1">_xlfn.IFNA(SUM((BC$3&gt;='Gastos com Pessoal'!$E$7:$E$506)*(BC$3&lt;='Gastos com Pessoal'!$F$7:$F$506)*OFFSET('Encargos e Benefícios'!$D$5,1,MATCH($B36,'Encargos e Benefícios'!$E$5:$AB$5,0),500,1))*(IF('Gastos com Pessoal'!$G$7:$G$506&lt;=BC$3,('Gastos com Pessoal'!$H$7:$H$506)+1,1))*(IF('Gastos com Pessoal'!$M$7:$M$506&lt;=BC$3,('Gastos com Pessoal'!$N$7:$N$506)+1,1))*(IF('Gastos com Pessoal'!$S$7:$S$506&lt;=BC$3,('Gastos com Pessoal'!$T$7:$T$506)+1,1))*(IF('Gastos com Pessoal'!$Y$7:$Y$506&lt;=BC$3,('Gastos com Pessoal'!$Z$7:$Z$506)+1,1))*(IF('Gastos com Pessoal'!$AE$7:$AE$506&lt;=BC$3,('Gastos com Pessoal'!$AF$7:$AF$506)+1,1)),0)</f>
        <v>0</v>
      </c>
      <c r="BD36" s="188">
        <f t="array" aca="1" ref="BD36" ca="1">_xlfn.IFNA(SUM((BD$3&gt;='Gastos com Pessoal'!$E$7:$E$506)*(BD$3&lt;='Gastos com Pessoal'!$F$7:$F$506)*OFFSET('Encargos e Benefícios'!$D$5,1,MATCH($B36,'Encargos e Benefícios'!$E$5:$AB$5,0),500,1))*(IF('Gastos com Pessoal'!$G$7:$G$506&lt;=BD$3,('Gastos com Pessoal'!$H$7:$H$506)+1,1))*(IF('Gastos com Pessoal'!$M$7:$M$506&lt;=BD$3,('Gastos com Pessoal'!$N$7:$N$506)+1,1))*(IF('Gastos com Pessoal'!$S$7:$S$506&lt;=BD$3,('Gastos com Pessoal'!$T$7:$T$506)+1,1))*(IF('Gastos com Pessoal'!$Y$7:$Y$506&lt;=BD$3,('Gastos com Pessoal'!$Z$7:$Z$506)+1,1))*(IF('Gastos com Pessoal'!$AE$7:$AE$506&lt;=BD$3,('Gastos com Pessoal'!$AF$7:$AF$506)+1,1)),0)</f>
        <v>0</v>
      </c>
      <c r="BE36" s="188">
        <f t="array" aca="1" ref="BE36" ca="1">_xlfn.IFNA(SUM((BE$3&gt;='Gastos com Pessoal'!$E$7:$E$506)*(BE$3&lt;='Gastos com Pessoal'!$F$7:$F$506)*OFFSET('Encargos e Benefícios'!$D$5,1,MATCH($B36,'Encargos e Benefícios'!$E$5:$AB$5,0),500,1))*(IF('Gastos com Pessoal'!$G$7:$G$506&lt;=BE$3,('Gastos com Pessoal'!$H$7:$H$506)+1,1))*(IF('Gastos com Pessoal'!$M$7:$M$506&lt;=BE$3,('Gastos com Pessoal'!$N$7:$N$506)+1,1))*(IF('Gastos com Pessoal'!$S$7:$S$506&lt;=BE$3,('Gastos com Pessoal'!$T$7:$T$506)+1,1))*(IF('Gastos com Pessoal'!$Y$7:$Y$506&lt;=BE$3,('Gastos com Pessoal'!$Z$7:$Z$506)+1,1))*(IF('Gastos com Pessoal'!$AE$7:$AE$506&lt;=BE$3,('Gastos com Pessoal'!$AF$7:$AF$506)+1,1)),0)</f>
        <v>0</v>
      </c>
      <c r="BF36" s="188">
        <f t="array" aca="1" ref="BF36" ca="1">_xlfn.IFNA(SUM((BF$3&gt;='Gastos com Pessoal'!$E$7:$E$506)*(BF$3&lt;='Gastos com Pessoal'!$F$7:$F$506)*OFFSET('Encargos e Benefícios'!$D$5,1,MATCH($B36,'Encargos e Benefícios'!$E$5:$AB$5,0),500,1))*(IF('Gastos com Pessoal'!$G$7:$G$506&lt;=BF$3,('Gastos com Pessoal'!$H$7:$H$506)+1,1))*(IF('Gastos com Pessoal'!$M$7:$M$506&lt;=BF$3,('Gastos com Pessoal'!$N$7:$N$506)+1,1))*(IF('Gastos com Pessoal'!$S$7:$S$506&lt;=BF$3,('Gastos com Pessoal'!$T$7:$T$506)+1,1))*(IF('Gastos com Pessoal'!$Y$7:$Y$506&lt;=BF$3,('Gastos com Pessoal'!$Z$7:$Z$506)+1,1))*(IF('Gastos com Pessoal'!$AE$7:$AE$506&lt;=BF$3,('Gastos com Pessoal'!$AF$7:$AF$506)+1,1)),0)</f>
        <v>0</v>
      </c>
      <c r="BG36" s="188">
        <f t="array" aca="1" ref="BG36" ca="1">_xlfn.IFNA(SUM((BG$3&gt;='Gastos com Pessoal'!$E$7:$E$506)*(BG$3&lt;='Gastos com Pessoal'!$F$7:$F$506)*OFFSET('Encargos e Benefícios'!$D$5,1,MATCH($B36,'Encargos e Benefícios'!$E$5:$AB$5,0),500,1))*(IF('Gastos com Pessoal'!$G$7:$G$506&lt;=BG$3,('Gastos com Pessoal'!$H$7:$H$506)+1,1))*(IF('Gastos com Pessoal'!$M$7:$M$506&lt;=BG$3,('Gastos com Pessoal'!$N$7:$N$506)+1,1))*(IF('Gastos com Pessoal'!$S$7:$S$506&lt;=BG$3,('Gastos com Pessoal'!$T$7:$T$506)+1,1))*(IF('Gastos com Pessoal'!$Y$7:$Y$506&lt;=BG$3,('Gastos com Pessoal'!$Z$7:$Z$506)+1,1))*(IF('Gastos com Pessoal'!$AE$7:$AE$506&lt;=BG$3,('Gastos com Pessoal'!$AF$7:$AF$506)+1,1)),0)</f>
        <v>0</v>
      </c>
      <c r="BH36" s="188">
        <f t="array" aca="1" ref="BH36" ca="1">_xlfn.IFNA(SUM((BH$3&gt;='Gastos com Pessoal'!$E$7:$E$506)*(BH$3&lt;='Gastos com Pessoal'!$F$7:$F$506)*OFFSET('Encargos e Benefícios'!$D$5,1,MATCH($B36,'Encargos e Benefícios'!$E$5:$AB$5,0),500,1))*(IF('Gastos com Pessoal'!$G$7:$G$506&lt;=BH$3,('Gastos com Pessoal'!$H$7:$H$506)+1,1))*(IF('Gastos com Pessoal'!$M$7:$M$506&lt;=BH$3,('Gastos com Pessoal'!$N$7:$N$506)+1,1))*(IF('Gastos com Pessoal'!$S$7:$S$506&lt;=BH$3,('Gastos com Pessoal'!$T$7:$T$506)+1,1))*(IF('Gastos com Pessoal'!$Y$7:$Y$506&lt;=BH$3,('Gastos com Pessoal'!$Z$7:$Z$506)+1,1))*(IF('Gastos com Pessoal'!$AE$7:$AE$506&lt;=BH$3,('Gastos com Pessoal'!$AF$7:$AF$506)+1,1)),0)</f>
        <v>0</v>
      </c>
      <c r="BI36" s="188">
        <f t="array" aca="1" ref="BI36" ca="1">_xlfn.IFNA(SUM((BI$3&gt;='Gastos com Pessoal'!$E$7:$E$506)*(BI$3&lt;='Gastos com Pessoal'!$F$7:$F$506)*OFFSET('Encargos e Benefícios'!$D$5,1,MATCH($B36,'Encargos e Benefícios'!$E$5:$AB$5,0),500,1))*(IF('Gastos com Pessoal'!$G$7:$G$506&lt;=BI$3,('Gastos com Pessoal'!$H$7:$H$506)+1,1))*(IF('Gastos com Pessoal'!$M$7:$M$506&lt;=BI$3,('Gastos com Pessoal'!$N$7:$N$506)+1,1))*(IF('Gastos com Pessoal'!$S$7:$S$506&lt;=BI$3,('Gastos com Pessoal'!$T$7:$T$506)+1,1))*(IF('Gastos com Pessoal'!$Y$7:$Y$506&lt;=BI$3,('Gastos com Pessoal'!$Z$7:$Z$506)+1,1))*(IF('Gastos com Pessoal'!$AE$7:$AE$506&lt;=BI$3,('Gastos com Pessoal'!$AF$7:$AF$506)+1,1)),0)</f>
        <v>0</v>
      </c>
      <c r="BJ36" s="188">
        <f t="array" aca="1" ref="BJ36" ca="1">_xlfn.IFNA(SUM((BJ$3&gt;='Gastos com Pessoal'!$E$7:$E$506)*(BJ$3&lt;='Gastos com Pessoal'!$F$7:$F$506)*OFFSET('Encargos e Benefícios'!$D$5,1,MATCH($B36,'Encargos e Benefícios'!$E$5:$AB$5,0),500,1))*(IF('Gastos com Pessoal'!$G$7:$G$506&lt;=BJ$3,('Gastos com Pessoal'!$H$7:$H$506)+1,1))*(IF('Gastos com Pessoal'!$M$7:$M$506&lt;=BJ$3,('Gastos com Pessoal'!$N$7:$N$506)+1,1))*(IF('Gastos com Pessoal'!$S$7:$S$506&lt;=BJ$3,('Gastos com Pessoal'!$T$7:$T$506)+1,1))*(IF('Gastos com Pessoal'!$Y$7:$Y$506&lt;=BJ$3,('Gastos com Pessoal'!$Z$7:$Z$506)+1,1))*(IF('Gastos com Pessoal'!$AE$7:$AE$506&lt;=BJ$3,('Gastos com Pessoal'!$AF$7:$AF$506)+1,1)),0)</f>
        <v>0</v>
      </c>
      <c r="BK36" s="189">
        <f t="shared" ca="1" si="14"/>
        <v>9050790.7178166062</v>
      </c>
      <c r="BL36" s="136">
        <f t="shared" ca="1" si="15"/>
        <v>3.1161855329456093E-2</v>
      </c>
    </row>
    <row r="37" spans="1:64" s="160" customFormat="1" ht="23.25" customHeight="1">
      <c r="A37" s="198" t="s">
        <v>159</v>
      </c>
      <c r="B37" s="81" t="s">
        <v>160</v>
      </c>
      <c r="C37" s="188">
        <f t="array" aca="1" ref="C37" ca="1">_xlfn.IFNA(SUM((C$3&gt;='Gastos com Pessoal'!$E$7:$E$506)*(C$3&lt;='Gastos com Pessoal'!$F$7:$F$506)*OFFSET('Encargos e Benefícios'!$D$5,1,MATCH($B37,'Encargos e Benefícios'!$E$5:$AB$5,0),500,1))*(IF('Gastos com Pessoal'!$G$7:$G$506&lt;=C$3,('Gastos com Pessoal'!$H$7:$H$506)+1,1))*(IF('Gastos com Pessoal'!$M$7:$M$506&lt;=C$3,('Gastos com Pessoal'!$N$7:$N$506)+1,1))*(IF('Gastos com Pessoal'!$S$7:$S$506&lt;=C$3,('Gastos com Pessoal'!$T$7:$T$506)+1,1))*(IF('Gastos com Pessoal'!$Y$7:$Y$506&lt;=C$3,('Gastos com Pessoal'!$Z$7:$Z$506)+1,1))*(IF('Gastos com Pessoal'!$AE$7:$AE$506&lt;=C$3,('Gastos com Pessoal'!$AF$7:$AF$506)+1,1)),0)</f>
        <v>56647.583367786654</v>
      </c>
      <c r="D37" s="188">
        <f t="array" aca="1" ref="D37" ca="1">_xlfn.IFNA(SUM((D$3&gt;='Gastos com Pessoal'!$E$7:$E$506)*(D$3&lt;='Gastos com Pessoal'!$F$7:$F$506)*OFFSET('Encargos e Benefícios'!$D$5,1,MATCH($B37,'Encargos e Benefícios'!$E$5:$AB$5,0),500,1))*(IF('Gastos com Pessoal'!$G$7:$G$506&lt;=D$3,('Gastos com Pessoal'!$H$7:$H$506)+1,1))*(IF('Gastos com Pessoal'!$M$7:$M$506&lt;=D$3,('Gastos com Pessoal'!$N$7:$N$506)+1,1))*(IF('Gastos com Pessoal'!$S$7:$S$506&lt;=D$3,('Gastos com Pessoal'!$T$7:$T$506)+1,1))*(IF('Gastos com Pessoal'!$Y$7:$Y$506&lt;=D$3,('Gastos com Pessoal'!$Z$7:$Z$506)+1,1))*(IF('Gastos com Pessoal'!$AE$7:$AE$506&lt;=D$3,('Gastos com Pessoal'!$AF$7:$AF$506)+1,1)),0)</f>
        <v>57107.583367786654</v>
      </c>
      <c r="E37" s="188">
        <f t="array" aca="1" ref="E37" ca="1">_xlfn.IFNA(SUM((E$3&gt;='Gastos com Pessoal'!$E$7:$E$506)*(E$3&lt;='Gastos com Pessoal'!$F$7:$F$506)*OFFSET('Encargos e Benefícios'!$D$5,1,MATCH($B37,'Encargos e Benefícios'!$E$5:$AB$5,0),500,1))*(IF('Gastos com Pessoal'!$G$7:$G$506&lt;=E$3,('Gastos com Pessoal'!$H$7:$H$506)+1,1))*(IF('Gastos com Pessoal'!$M$7:$M$506&lt;=E$3,('Gastos com Pessoal'!$N$7:$N$506)+1,1))*(IF('Gastos com Pessoal'!$S$7:$S$506&lt;=E$3,('Gastos com Pessoal'!$T$7:$T$506)+1,1))*(IF('Gastos com Pessoal'!$Y$7:$Y$506&lt;=E$3,('Gastos com Pessoal'!$Z$7:$Z$506)+1,1))*(IF('Gastos com Pessoal'!$AE$7:$AE$506&lt;=E$3,('Gastos com Pessoal'!$AF$7:$AF$506)+1,1)),0)</f>
        <v>59877.214038577746</v>
      </c>
      <c r="F37" s="188">
        <f t="array" aca="1" ref="F37" ca="1">_xlfn.IFNA(SUM((F$3&gt;='Gastos com Pessoal'!$E$7:$E$506)*(F$3&lt;='Gastos com Pessoal'!$F$7:$F$506)*OFFSET('Encargos e Benefícios'!$D$5,1,MATCH($B37,'Encargos e Benefícios'!$E$5:$AB$5,0),500,1))*(IF('Gastos com Pessoal'!$G$7:$G$506&lt;=F$3,('Gastos com Pessoal'!$H$7:$H$506)+1,1))*(IF('Gastos com Pessoal'!$M$7:$M$506&lt;=F$3,('Gastos com Pessoal'!$N$7:$N$506)+1,1))*(IF('Gastos com Pessoal'!$S$7:$S$506&lt;=F$3,('Gastos com Pessoal'!$T$7:$T$506)+1,1))*(IF('Gastos com Pessoal'!$Y$7:$Y$506&lt;=F$3,('Gastos com Pessoal'!$Z$7:$Z$506)+1,1))*(IF('Gastos com Pessoal'!$AE$7:$AE$506&lt;=F$3,('Gastos com Pessoal'!$AF$7:$AF$506)+1,1)),0)</f>
        <v>60329.278072355526</v>
      </c>
      <c r="G37" s="188">
        <f t="array" aca="1" ref="G37" ca="1">_xlfn.IFNA(SUM((G$3&gt;='Gastos com Pessoal'!$E$7:$E$506)*(G$3&lt;='Gastos com Pessoal'!$F$7:$F$506)*OFFSET('Encargos e Benefícios'!$D$5,1,MATCH($B37,'Encargos e Benefícios'!$E$5:$AB$5,0),500,1))*(IF('Gastos com Pessoal'!$G$7:$G$506&lt;=G$3,('Gastos com Pessoal'!$H$7:$H$506)+1,1))*(IF('Gastos com Pessoal'!$M$7:$M$506&lt;=G$3,('Gastos com Pessoal'!$N$7:$N$506)+1,1))*(IF('Gastos com Pessoal'!$S$7:$S$506&lt;=G$3,('Gastos com Pessoal'!$T$7:$T$506)+1,1))*(IF('Gastos com Pessoal'!$Y$7:$Y$506&lt;=G$3,('Gastos com Pessoal'!$Z$7:$Z$506)+1,1))*(IF('Gastos com Pessoal'!$AE$7:$AE$506&lt;=G$3,('Gastos com Pessoal'!$AF$7:$AF$506)+1,1)),0)</f>
        <v>63852.507911781089</v>
      </c>
      <c r="H37" s="188">
        <f t="array" aca="1" ref="H37" ca="1">_xlfn.IFNA(SUM((H$3&gt;='Gastos com Pessoal'!$E$7:$E$506)*(H$3&lt;='Gastos com Pessoal'!$F$7:$F$506)*OFFSET('Encargos e Benefícios'!$D$5,1,MATCH($B37,'Encargos e Benefícios'!$E$5:$AB$5,0),500,1))*(IF('Gastos com Pessoal'!$G$7:$G$506&lt;=H$3,('Gastos com Pessoal'!$H$7:$H$506)+1,1))*(IF('Gastos com Pessoal'!$M$7:$M$506&lt;=H$3,('Gastos com Pessoal'!$N$7:$N$506)+1,1))*(IF('Gastos com Pessoal'!$S$7:$S$506&lt;=H$3,('Gastos com Pessoal'!$T$7:$T$506)+1,1))*(IF('Gastos com Pessoal'!$Y$7:$Y$506&lt;=H$3,('Gastos com Pessoal'!$Z$7:$Z$506)+1,1))*(IF('Gastos com Pessoal'!$AE$7:$AE$506&lt;=H$3,('Gastos com Pessoal'!$AF$7:$AF$506)+1,1)),0)</f>
        <v>66783.885013746374</v>
      </c>
      <c r="I37" s="188">
        <f t="array" aca="1" ref="I37" ca="1">_xlfn.IFNA(SUM((I$3&gt;='Gastos com Pessoal'!$E$7:$E$506)*(I$3&lt;='Gastos com Pessoal'!$F$7:$F$506)*OFFSET('Encargos e Benefícios'!$D$5,1,MATCH($B37,'Encargos e Benefícios'!$E$5:$AB$5,0),500,1))*(IF('Gastos com Pessoal'!$G$7:$G$506&lt;=I$3,('Gastos com Pessoal'!$H$7:$H$506)+1,1))*(IF('Gastos com Pessoal'!$M$7:$M$506&lt;=I$3,('Gastos com Pessoal'!$N$7:$N$506)+1,1))*(IF('Gastos com Pessoal'!$S$7:$S$506&lt;=I$3,('Gastos com Pessoal'!$T$7:$T$506)+1,1))*(IF('Gastos com Pessoal'!$Y$7:$Y$506&lt;=I$3,('Gastos com Pessoal'!$Z$7:$Z$506)+1,1))*(IF('Gastos com Pessoal'!$AE$7:$AE$506&lt;=I$3,('Gastos com Pessoal'!$AF$7:$AF$506)+1,1)),0)</f>
        <v>67290.29116269997</v>
      </c>
      <c r="J37" s="188">
        <f t="array" aca="1" ref="J37" ca="1">_xlfn.IFNA(SUM((J$3&gt;='Gastos com Pessoal'!$E$7:$E$506)*(J$3&lt;='Gastos com Pessoal'!$F$7:$F$506)*OFFSET('Encargos e Benefícios'!$D$5,1,MATCH($B37,'Encargos e Benefícios'!$E$5:$AB$5,0),500,1))*(IF('Gastos com Pessoal'!$G$7:$G$506&lt;=J$3,('Gastos com Pessoal'!$H$7:$H$506)+1,1))*(IF('Gastos com Pessoal'!$M$7:$M$506&lt;=J$3,('Gastos com Pessoal'!$N$7:$N$506)+1,1))*(IF('Gastos com Pessoal'!$S$7:$S$506&lt;=J$3,('Gastos com Pessoal'!$T$7:$T$506)+1,1))*(IF('Gastos com Pessoal'!$Y$7:$Y$506&lt;=J$3,('Gastos com Pessoal'!$Z$7:$Z$506)+1,1))*(IF('Gastos com Pessoal'!$AE$7:$AE$506&lt;=J$3,('Gastos com Pessoal'!$AF$7:$AF$506)+1,1)),0)</f>
        <v>67290.29116269997</v>
      </c>
      <c r="K37" s="188">
        <f t="array" aca="1" ref="K37" ca="1">_xlfn.IFNA(SUM((K$3&gt;='Gastos com Pessoal'!$E$7:$E$506)*(K$3&lt;='Gastos com Pessoal'!$F$7:$F$506)*OFFSET('Encargos e Benefícios'!$D$5,1,MATCH($B37,'Encargos e Benefícios'!$E$5:$AB$5,0),500,1))*(IF('Gastos com Pessoal'!$G$7:$G$506&lt;=K$3,('Gastos com Pessoal'!$H$7:$H$506)+1,1))*(IF('Gastos com Pessoal'!$M$7:$M$506&lt;=K$3,('Gastos com Pessoal'!$N$7:$N$506)+1,1))*(IF('Gastos com Pessoal'!$S$7:$S$506&lt;=K$3,('Gastos com Pessoal'!$T$7:$T$506)+1,1))*(IF('Gastos com Pessoal'!$Y$7:$Y$506&lt;=K$3,('Gastos com Pessoal'!$Z$7:$Z$506)+1,1))*(IF('Gastos com Pessoal'!$AE$7:$AE$506&lt;=K$3,('Gastos com Pessoal'!$AF$7:$AF$506)+1,1)),0)</f>
        <v>70424.098085813792</v>
      </c>
      <c r="L37" s="188">
        <f t="array" aca="1" ref="L37" ca="1">_xlfn.IFNA(SUM((L$3&gt;='Gastos com Pessoal'!$E$7:$E$506)*(L$3&lt;='Gastos com Pessoal'!$F$7:$F$506)*OFFSET('Encargos e Benefícios'!$D$5,1,MATCH($B37,'Encargos e Benefícios'!$E$5:$AB$5,0),500,1))*(IF('Gastos com Pessoal'!$G$7:$G$506&lt;=L$3,('Gastos com Pessoal'!$H$7:$H$506)+1,1))*(IF('Gastos com Pessoal'!$M$7:$M$506&lt;=L$3,('Gastos com Pessoal'!$N$7:$N$506)+1,1))*(IF('Gastos com Pessoal'!$S$7:$S$506&lt;=L$3,('Gastos com Pessoal'!$T$7:$T$506)+1,1))*(IF('Gastos com Pessoal'!$Y$7:$Y$506&lt;=L$3,('Gastos com Pessoal'!$Z$7:$Z$506)+1,1))*(IF('Gastos com Pessoal'!$AE$7:$AE$506&lt;=L$3,('Gastos com Pessoal'!$AF$7:$AF$506)+1,1)),0)</f>
        <v>70930.504234767388</v>
      </c>
      <c r="M37" s="188">
        <f t="array" aca="1" ref="M37" ca="1">_xlfn.IFNA(SUM((M$3&gt;='Gastos com Pessoal'!$E$7:$E$506)*(M$3&lt;='Gastos com Pessoal'!$F$7:$F$506)*OFFSET('Encargos e Benefícios'!$D$5,1,MATCH($B37,'Encargos e Benefícios'!$E$5:$AB$5,0),500,1))*(IF('Gastos com Pessoal'!$G$7:$G$506&lt;=M$3,('Gastos com Pessoal'!$H$7:$H$506)+1,1))*(IF('Gastos com Pessoal'!$M$7:$M$506&lt;=M$3,('Gastos com Pessoal'!$N$7:$N$506)+1,1))*(IF('Gastos com Pessoal'!$S$7:$S$506&lt;=M$3,('Gastos com Pessoal'!$T$7:$T$506)+1,1))*(IF('Gastos com Pessoal'!$Y$7:$Y$506&lt;=M$3,('Gastos com Pessoal'!$Z$7:$Z$506)+1,1))*(IF('Gastos com Pessoal'!$AE$7:$AE$506&lt;=M$3,('Gastos com Pessoal'!$AF$7:$AF$506)+1,1)),0)</f>
        <v>70930.504234767388</v>
      </c>
      <c r="N37" s="188">
        <f t="array" aca="1" ref="N37" ca="1">_xlfn.IFNA(SUM((N$3&gt;='Gastos com Pessoal'!$E$7:$E$506)*(N$3&lt;='Gastos com Pessoal'!$F$7:$F$506)*OFFSET('Encargos e Benefícios'!$D$5,1,MATCH($B37,'Encargos e Benefícios'!$E$5:$AB$5,0),500,1))*(IF('Gastos com Pessoal'!$G$7:$G$506&lt;=N$3,('Gastos com Pessoal'!$H$7:$H$506)+1,1))*(IF('Gastos com Pessoal'!$M$7:$M$506&lt;=N$3,('Gastos com Pessoal'!$N$7:$N$506)+1,1))*(IF('Gastos com Pessoal'!$S$7:$S$506&lt;=N$3,('Gastos com Pessoal'!$T$7:$T$506)+1,1))*(IF('Gastos com Pessoal'!$Y$7:$Y$506&lt;=N$3,('Gastos com Pessoal'!$Z$7:$Z$506)+1,1))*(IF('Gastos com Pessoal'!$AE$7:$AE$506&lt;=N$3,('Gastos com Pessoal'!$AF$7:$AF$506)+1,1)),0)</f>
        <v>74064.311157881195</v>
      </c>
      <c r="O37" s="188">
        <f t="array" aca="1" ref="O37" ca="1">_xlfn.IFNA(SUM((O$3&gt;='Gastos com Pessoal'!$E$7:$E$506)*(O$3&lt;='Gastos com Pessoal'!$F$7:$F$506)*OFFSET('Encargos e Benefícios'!$D$5,1,MATCH($B37,'Encargos e Benefícios'!$E$5:$AB$5,0),500,1))*(IF('Gastos com Pessoal'!$G$7:$G$506&lt;=O$3,('Gastos com Pessoal'!$H$7:$H$506)+1,1))*(IF('Gastos com Pessoal'!$M$7:$M$506&lt;=O$3,('Gastos com Pessoal'!$N$7:$N$506)+1,1))*(IF('Gastos com Pessoal'!$S$7:$S$506&lt;=O$3,('Gastos com Pessoal'!$T$7:$T$506)+1,1))*(IF('Gastos com Pessoal'!$Y$7:$Y$506&lt;=O$3,('Gastos com Pessoal'!$Z$7:$Z$506)+1,1))*(IF('Gastos com Pessoal'!$AE$7:$AE$506&lt;=O$3,('Gastos com Pessoal'!$AF$7:$AF$506)+1,1)),0)</f>
        <v>74064.311157881195</v>
      </c>
      <c r="P37" s="188">
        <f t="array" aca="1" ref="P37" ca="1">_xlfn.IFNA(SUM((P$3&gt;='Gastos com Pessoal'!$E$7:$E$506)*(P$3&lt;='Gastos com Pessoal'!$F$7:$F$506)*OFFSET('Encargos e Benefícios'!$D$5,1,MATCH($B37,'Encargos e Benefícios'!$E$5:$AB$5,0),500,1))*(IF('Gastos com Pessoal'!$G$7:$G$506&lt;=P$3,('Gastos com Pessoal'!$H$7:$H$506)+1,1))*(IF('Gastos com Pessoal'!$M$7:$M$506&lt;=P$3,('Gastos com Pessoal'!$N$7:$N$506)+1,1))*(IF('Gastos com Pessoal'!$S$7:$S$506&lt;=P$3,('Gastos com Pessoal'!$T$7:$T$506)+1,1))*(IF('Gastos com Pessoal'!$Y$7:$Y$506&lt;=P$3,('Gastos com Pessoal'!$Z$7:$Z$506)+1,1))*(IF('Gastos com Pessoal'!$AE$7:$AE$506&lt;=P$3,('Gastos com Pessoal'!$AF$7:$AF$506)+1,1)),0)</f>
        <v>74064.311157881195</v>
      </c>
      <c r="Q37" s="188">
        <f t="array" aca="1" ref="Q37" ca="1">_xlfn.IFNA(SUM((Q$3&gt;='Gastos com Pessoal'!$E$7:$E$506)*(Q$3&lt;='Gastos com Pessoal'!$F$7:$F$506)*OFFSET('Encargos e Benefícios'!$D$5,1,MATCH($B37,'Encargos e Benefícios'!$E$5:$AB$5,0),500,1))*(IF('Gastos com Pessoal'!$G$7:$G$506&lt;=Q$3,('Gastos com Pessoal'!$H$7:$H$506)+1,1))*(IF('Gastos com Pessoal'!$M$7:$M$506&lt;=Q$3,('Gastos com Pessoal'!$N$7:$N$506)+1,1))*(IF('Gastos com Pessoal'!$S$7:$S$506&lt;=Q$3,('Gastos com Pessoal'!$T$7:$T$506)+1,1))*(IF('Gastos com Pessoal'!$Y$7:$Y$506&lt;=Q$3,('Gastos com Pessoal'!$Z$7:$Z$506)+1,1))*(IF('Gastos com Pessoal'!$AE$7:$AE$506&lt;=Q$3,('Gastos com Pessoal'!$AF$7:$AF$506)+1,1)),0)</f>
        <v>74064.311157881195</v>
      </c>
      <c r="R37" s="188">
        <f t="array" aca="1" ref="R37" ca="1">_xlfn.IFNA(SUM((R$3&gt;='Gastos com Pessoal'!$E$7:$E$506)*(R$3&lt;='Gastos com Pessoal'!$F$7:$F$506)*OFFSET('Encargos e Benefícios'!$D$5,1,MATCH($B37,'Encargos e Benefícios'!$E$5:$AB$5,0),500,1))*(IF('Gastos com Pessoal'!$G$7:$G$506&lt;=R$3,('Gastos com Pessoal'!$H$7:$H$506)+1,1))*(IF('Gastos com Pessoal'!$M$7:$M$506&lt;=R$3,('Gastos com Pessoal'!$N$7:$N$506)+1,1))*(IF('Gastos com Pessoal'!$S$7:$S$506&lt;=R$3,('Gastos com Pessoal'!$T$7:$T$506)+1,1))*(IF('Gastos com Pessoal'!$Y$7:$Y$506&lt;=R$3,('Gastos com Pessoal'!$Z$7:$Z$506)+1,1))*(IF('Gastos com Pessoal'!$AE$7:$AE$506&lt;=R$3,('Gastos com Pessoal'!$AF$7:$AF$506)+1,1)),0)</f>
        <v>74064.311157881195</v>
      </c>
      <c r="S37" s="188">
        <f t="array" aca="1" ref="S37" ca="1">_xlfn.IFNA(SUM((S$3&gt;='Gastos com Pessoal'!$E$7:$E$506)*(S$3&lt;='Gastos com Pessoal'!$F$7:$F$506)*OFFSET('Encargos e Benefícios'!$D$5,1,MATCH($B37,'Encargos e Benefícios'!$E$5:$AB$5,0),500,1))*(IF('Gastos com Pessoal'!$G$7:$G$506&lt;=S$3,('Gastos com Pessoal'!$H$7:$H$506)+1,1))*(IF('Gastos com Pessoal'!$M$7:$M$506&lt;=S$3,('Gastos com Pessoal'!$N$7:$N$506)+1,1))*(IF('Gastos com Pessoal'!$S$7:$S$506&lt;=S$3,('Gastos com Pessoal'!$T$7:$T$506)+1,1))*(IF('Gastos com Pessoal'!$Y$7:$Y$506&lt;=S$3,('Gastos com Pessoal'!$Z$7:$Z$506)+1,1))*(IF('Gastos com Pessoal'!$AE$7:$AE$506&lt;=S$3,('Gastos com Pessoal'!$AF$7:$AF$506)+1,1)),0)</f>
        <v>78389.666929501458</v>
      </c>
      <c r="T37" s="188">
        <f t="array" aca="1" ref="T37" ca="1">_xlfn.IFNA(SUM((T$3&gt;='Gastos com Pessoal'!$E$7:$E$506)*(T$3&lt;='Gastos com Pessoal'!$F$7:$F$506)*OFFSET('Encargos e Benefícios'!$D$5,1,MATCH($B37,'Encargos e Benefícios'!$E$5:$AB$5,0),500,1))*(IF('Gastos com Pessoal'!$G$7:$G$506&lt;=T$3,('Gastos com Pessoal'!$H$7:$H$506)+1,1))*(IF('Gastos com Pessoal'!$M$7:$M$506&lt;=T$3,('Gastos com Pessoal'!$N$7:$N$506)+1,1))*(IF('Gastos com Pessoal'!$S$7:$S$506&lt;=T$3,('Gastos com Pessoal'!$T$7:$T$506)+1,1))*(IF('Gastos com Pessoal'!$Y$7:$Y$506&lt;=T$3,('Gastos com Pessoal'!$Z$7:$Z$506)+1,1))*(IF('Gastos com Pessoal'!$AE$7:$AE$506&lt;=T$3,('Gastos com Pessoal'!$AF$7:$AF$506)+1,1)),0)</f>
        <v>78389.666929501458</v>
      </c>
      <c r="U37" s="188">
        <f t="array" aca="1" ref="U37" ca="1">_xlfn.IFNA(SUM((U$3&gt;='Gastos com Pessoal'!$E$7:$E$506)*(U$3&lt;='Gastos com Pessoal'!$F$7:$F$506)*OFFSET('Encargos e Benefícios'!$D$5,1,MATCH($B37,'Encargos e Benefícios'!$E$5:$AB$5,0),500,1))*(IF('Gastos com Pessoal'!$G$7:$G$506&lt;=U$3,('Gastos com Pessoal'!$H$7:$H$506)+1,1))*(IF('Gastos com Pessoal'!$M$7:$M$506&lt;=U$3,('Gastos com Pessoal'!$N$7:$N$506)+1,1))*(IF('Gastos com Pessoal'!$S$7:$S$506&lt;=U$3,('Gastos com Pessoal'!$T$7:$T$506)+1,1))*(IF('Gastos com Pessoal'!$Y$7:$Y$506&lt;=U$3,('Gastos com Pessoal'!$Z$7:$Z$506)+1,1))*(IF('Gastos com Pessoal'!$AE$7:$AE$506&lt;=U$3,('Gastos com Pessoal'!$AF$7:$AF$506)+1,1)),0)</f>
        <v>78389.666929501458</v>
      </c>
      <c r="V37" s="188">
        <f t="array" aca="1" ref="V37" ca="1">_xlfn.IFNA(SUM((V$3&gt;='Gastos com Pessoal'!$E$7:$E$506)*(V$3&lt;='Gastos com Pessoal'!$F$7:$F$506)*OFFSET('Encargos e Benefícios'!$D$5,1,MATCH($B37,'Encargos e Benefícios'!$E$5:$AB$5,0),500,1))*(IF('Gastos com Pessoal'!$G$7:$G$506&lt;=V$3,('Gastos com Pessoal'!$H$7:$H$506)+1,1))*(IF('Gastos com Pessoal'!$M$7:$M$506&lt;=V$3,('Gastos com Pessoal'!$N$7:$N$506)+1,1))*(IF('Gastos com Pessoal'!$S$7:$S$506&lt;=V$3,('Gastos com Pessoal'!$T$7:$T$506)+1,1))*(IF('Gastos com Pessoal'!$Y$7:$Y$506&lt;=V$3,('Gastos com Pessoal'!$Z$7:$Z$506)+1,1))*(IF('Gastos com Pessoal'!$AE$7:$AE$506&lt;=V$3,('Gastos com Pessoal'!$AF$7:$AF$506)+1,1)),0)</f>
        <v>78389.666929501458</v>
      </c>
      <c r="W37" s="188">
        <f t="array" aca="1" ref="W37" ca="1">_xlfn.IFNA(SUM((W$3&gt;='Gastos com Pessoal'!$E$7:$E$506)*(W$3&lt;='Gastos com Pessoal'!$F$7:$F$506)*OFFSET('Encargos e Benefícios'!$D$5,1,MATCH($B37,'Encargos e Benefícios'!$E$5:$AB$5,0),500,1))*(IF('Gastos com Pessoal'!$G$7:$G$506&lt;=W$3,('Gastos com Pessoal'!$H$7:$H$506)+1,1))*(IF('Gastos com Pessoal'!$M$7:$M$506&lt;=W$3,('Gastos com Pessoal'!$N$7:$N$506)+1,1))*(IF('Gastos com Pessoal'!$S$7:$S$506&lt;=W$3,('Gastos com Pessoal'!$T$7:$T$506)+1,1))*(IF('Gastos com Pessoal'!$Y$7:$Y$506&lt;=W$3,('Gastos com Pessoal'!$Z$7:$Z$506)+1,1))*(IF('Gastos com Pessoal'!$AE$7:$AE$506&lt;=W$3,('Gastos com Pessoal'!$AF$7:$AF$506)+1,1)),0)</f>
        <v>78389.666929501458</v>
      </c>
      <c r="X37" s="188">
        <f t="array" aca="1" ref="X37" ca="1">_xlfn.IFNA(SUM((X$3&gt;='Gastos com Pessoal'!$E$7:$E$506)*(X$3&lt;='Gastos com Pessoal'!$F$7:$F$506)*OFFSET('Encargos e Benefícios'!$D$5,1,MATCH($B37,'Encargos e Benefícios'!$E$5:$AB$5,0),500,1))*(IF('Gastos com Pessoal'!$G$7:$G$506&lt;=X$3,('Gastos com Pessoal'!$H$7:$H$506)+1,1))*(IF('Gastos com Pessoal'!$M$7:$M$506&lt;=X$3,('Gastos com Pessoal'!$N$7:$N$506)+1,1))*(IF('Gastos com Pessoal'!$S$7:$S$506&lt;=X$3,('Gastos com Pessoal'!$T$7:$T$506)+1,1))*(IF('Gastos com Pessoal'!$Y$7:$Y$506&lt;=X$3,('Gastos com Pessoal'!$Z$7:$Z$506)+1,1))*(IF('Gastos com Pessoal'!$AE$7:$AE$506&lt;=X$3,('Gastos com Pessoal'!$AF$7:$AF$506)+1,1)),0)</f>
        <v>78389.666929501458</v>
      </c>
      <c r="Y37" s="188">
        <f t="array" aca="1" ref="Y37" ca="1">_xlfn.IFNA(SUM((Y$3&gt;='Gastos com Pessoal'!$E$7:$E$506)*(Y$3&lt;='Gastos com Pessoal'!$F$7:$F$506)*OFFSET('Encargos e Benefícios'!$D$5,1,MATCH($B37,'Encargos e Benefícios'!$E$5:$AB$5,0),500,1))*(IF('Gastos com Pessoal'!$G$7:$G$506&lt;=Y$3,('Gastos com Pessoal'!$H$7:$H$506)+1,1))*(IF('Gastos com Pessoal'!$M$7:$M$506&lt;=Y$3,('Gastos com Pessoal'!$N$7:$N$506)+1,1))*(IF('Gastos com Pessoal'!$S$7:$S$506&lt;=Y$3,('Gastos com Pessoal'!$T$7:$T$506)+1,1))*(IF('Gastos com Pessoal'!$Y$7:$Y$506&lt;=Y$3,('Gastos com Pessoal'!$Z$7:$Z$506)+1,1))*(IF('Gastos com Pessoal'!$AE$7:$AE$506&lt;=Y$3,('Gastos com Pessoal'!$AF$7:$AF$506)+1,1)),0)</f>
        <v>78389.666929501458</v>
      </c>
      <c r="Z37" s="188">
        <f t="array" aca="1" ref="Z37" ca="1">_xlfn.IFNA(SUM((Z$3&gt;='Gastos com Pessoal'!$E$7:$E$506)*(Z$3&lt;='Gastos com Pessoal'!$F$7:$F$506)*OFFSET('Encargos e Benefícios'!$D$5,1,MATCH($B37,'Encargos e Benefícios'!$E$5:$AB$5,0),500,1))*(IF('Gastos com Pessoal'!$G$7:$G$506&lt;=Z$3,('Gastos com Pessoal'!$H$7:$H$506)+1,1))*(IF('Gastos com Pessoal'!$M$7:$M$506&lt;=Z$3,('Gastos com Pessoal'!$N$7:$N$506)+1,1))*(IF('Gastos com Pessoal'!$S$7:$S$506&lt;=Z$3,('Gastos com Pessoal'!$T$7:$T$506)+1,1))*(IF('Gastos com Pessoal'!$Y$7:$Y$506&lt;=Z$3,('Gastos com Pessoal'!$Z$7:$Z$506)+1,1))*(IF('Gastos com Pessoal'!$AE$7:$AE$506&lt;=Z$3,('Gastos com Pessoal'!$AF$7:$AF$506)+1,1)),0)</f>
        <v>78389.666929501458</v>
      </c>
      <c r="AA37" s="188">
        <f t="array" aca="1" ref="AA37" ca="1">_xlfn.IFNA(SUM((AA$3&gt;='Gastos com Pessoal'!$E$7:$E$506)*(AA$3&lt;='Gastos com Pessoal'!$F$7:$F$506)*OFFSET('Encargos e Benefícios'!$D$5,1,MATCH($B37,'Encargos e Benefícios'!$E$5:$AB$5,0),500,1))*(IF('Gastos com Pessoal'!$G$7:$G$506&lt;=AA$3,('Gastos com Pessoal'!$H$7:$H$506)+1,1))*(IF('Gastos com Pessoal'!$M$7:$M$506&lt;=AA$3,('Gastos com Pessoal'!$N$7:$N$506)+1,1))*(IF('Gastos com Pessoal'!$S$7:$S$506&lt;=AA$3,('Gastos com Pessoal'!$T$7:$T$506)+1,1))*(IF('Gastos com Pessoal'!$Y$7:$Y$506&lt;=AA$3,('Gastos com Pessoal'!$Z$7:$Z$506)+1,1))*(IF('Gastos com Pessoal'!$AE$7:$AE$506&lt;=AA$3,('Gastos com Pessoal'!$AF$7:$AF$506)+1,1)),0)</f>
        <v>78389.666929501458</v>
      </c>
      <c r="AB37" s="188">
        <f t="array" aca="1" ref="AB37" ca="1">_xlfn.IFNA(SUM((AB$3&gt;='Gastos com Pessoal'!$E$7:$E$506)*(AB$3&lt;='Gastos com Pessoal'!$F$7:$F$506)*OFFSET('Encargos e Benefícios'!$D$5,1,MATCH($B37,'Encargos e Benefícios'!$E$5:$AB$5,0),500,1))*(IF('Gastos com Pessoal'!$G$7:$G$506&lt;=AB$3,('Gastos com Pessoal'!$H$7:$H$506)+1,1))*(IF('Gastos com Pessoal'!$M$7:$M$506&lt;=AB$3,('Gastos com Pessoal'!$N$7:$N$506)+1,1))*(IF('Gastos com Pessoal'!$S$7:$S$506&lt;=AB$3,('Gastos com Pessoal'!$T$7:$T$506)+1,1))*(IF('Gastos com Pessoal'!$Y$7:$Y$506&lt;=AB$3,('Gastos com Pessoal'!$Z$7:$Z$506)+1,1))*(IF('Gastos com Pessoal'!$AE$7:$AE$506&lt;=AB$3,('Gastos com Pessoal'!$AF$7:$AF$506)+1,1)),0)</f>
        <v>78389.666929501458</v>
      </c>
      <c r="AC37" s="188">
        <f t="array" aca="1" ref="AC37" ca="1">_xlfn.IFNA(SUM((AC$3&gt;='Gastos com Pessoal'!$E$7:$E$506)*(AC$3&lt;='Gastos com Pessoal'!$F$7:$F$506)*OFFSET('Encargos e Benefícios'!$D$5,1,MATCH($B37,'Encargos e Benefícios'!$E$5:$AB$5,0),500,1))*(IF('Gastos com Pessoal'!$G$7:$G$506&lt;=AC$3,('Gastos com Pessoal'!$H$7:$H$506)+1,1))*(IF('Gastos com Pessoal'!$M$7:$M$506&lt;=AC$3,('Gastos com Pessoal'!$N$7:$N$506)+1,1))*(IF('Gastos com Pessoal'!$S$7:$S$506&lt;=AC$3,('Gastos com Pessoal'!$T$7:$T$506)+1,1))*(IF('Gastos com Pessoal'!$Y$7:$Y$506&lt;=AC$3,('Gastos com Pessoal'!$Z$7:$Z$506)+1,1))*(IF('Gastos com Pessoal'!$AE$7:$AE$506&lt;=AC$3,('Gastos com Pessoal'!$AF$7:$AF$506)+1,1)),0)</f>
        <v>78389.666929501458</v>
      </c>
      <c r="AD37" s="188">
        <f t="array" aca="1" ref="AD37" ca="1">_xlfn.IFNA(SUM((AD$3&gt;='Gastos com Pessoal'!$E$7:$E$506)*(AD$3&lt;='Gastos com Pessoal'!$F$7:$F$506)*OFFSET('Encargos e Benefícios'!$D$5,1,MATCH($B37,'Encargos e Benefícios'!$E$5:$AB$5,0),500,1))*(IF('Gastos com Pessoal'!$G$7:$G$506&lt;=AD$3,('Gastos com Pessoal'!$H$7:$H$506)+1,1))*(IF('Gastos com Pessoal'!$M$7:$M$506&lt;=AD$3,('Gastos com Pessoal'!$N$7:$N$506)+1,1))*(IF('Gastos com Pessoal'!$S$7:$S$506&lt;=AD$3,('Gastos com Pessoal'!$T$7:$T$506)+1,1))*(IF('Gastos com Pessoal'!$Y$7:$Y$506&lt;=AD$3,('Gastos com Pessoal'!$Z$7:$Z$506)+1,1))*(IF('Gastos com Pessoal'!$AE$7:$AE$506&lt;=AD$3,('Gastos com Pessoal'!$AF$7:$AF$506)+1,1)),0)</f>
        <v>78389.666929501458</v>
      </c>
      <c r="AE37" s="188">
        <f t="array" aca="1" ref="AE37" ca="1">_xlfn.IFNA(SUM((AE$3&gt;='Gastos com Pessoal'!$E$7:$E$506)*(AE$3&lt;='Gastos com Pessoal'!$F$7:$F$506)*OFFSET('Encargos e Benefícios'!$D$5,1,MATCH($B37,'Encargos e Benefícios'!$E$5:$AB$5,0),500,1))*(IF('Gastos com Pessoal'!$G$7:$G$506&lt;=AE$3,('Gastos com Pessoal'!$H$7:$H$506)+1,1))*(IF('Gastos com Pessoal'!$M$7:$M$506&lt;=AE$3,('Gastos com Pessoal'!$N$7:$N$506)+1,1))*(IF('Gastos com Pessoal'!$S$7:$S$506&lt;=AE$3,('Gastos com Pessoal'!$T$7:$T$506)+1,1))*(IF('Gastos com Pessoal'!$Y$7:$Y$506&lt;=AE$3,('Gastos com Pessoal'!$Z$7:$Z$506)+1,1))*(IF('Gastos com Pessoal'!$AE$7:$AE$506&lt;=AE$3,('Gastos com Pessoal'!$AF$7:$AF$506)+1,1)),0)</f>
        <v>82967.623478184338</v>
      </c>
      <c r="AF37" s="188">
        <f t="array" aca="1" ref="AF37" ca="1">_xlfn.IFNA(SUM((AF$3&gt;='Gastos com Pessoal'!$E$7:$E$506)*(AF$3&lt;='Gastos com Pessoal'!$F$7:$F$506)*OFFSET('Encargos e Benefícios'!$D$5,1,MATCH($B37,'Encargos e Benefícios'!$E$5:$AB$5,0),500,1))*(IF('Gastos com Pessoal'!$G$7:$G$506&lt;=AF$3,('Gastos com Pessoal'!$H$7:$H$506)+1,1))*(IF('Gastos com Pessoal'!$M$7:$M$506&lt;=AF$3,('Gastos com Pessoal'!$N$7:$N$506)+1,1))*(IF('Gastos com Pessoal'!$S$7:$S$506&lt;=AF$3,('Gastos com Pessoal'!$T$7:$T$506)+1,1))*(IF('Gastos com Pessoal'!$Y$7:$Y$506&lt;=AF$3,('Gastos com Pessoal'!$Z$7:$Z$506)+1,1))*(IF('Gastos com Pessoal'!$AE$7:$AE$506&lt;=AF$3,('Gastos com Pessoal'!$AF$7:$AF$506)+1,1)),0)</f>
        <v>82967.623478184338</v>
      </c>
      <c r="AG37" s="188">
        <f t="array" aca="1" ref="AG37" ca="1">_xlfn.IFNA(SUM((AG$3&gt;='Gastos com Pessoal'!$E$7:$E$506)*(AG$3&lt;='Gastos com Pessoal'!$F$7:$F$506)*OFFSET('Encargos e Benefícios'!$D$5,1,MATCH($B37,'Encargos e Benefícios'!$E$5:$AB$5,0),500,1))*(IF('Gastos com Pessoal'!$G$7:$G$506&lt;=AG$3,('Gastos com Pessoal'!$H$7:$H$506)+1,1))*(IF('Gastos com Pessoal'!$M$7:$M$506&lt;=AG$3,('Gastos com Pessoal'!$N$7:$N$506)+1,1))*(IF('Gastos com Pessoal'!$S$7:$S$506&lt;=AG$3,('Gastos com Pessoal'!$T$7:$T$506)+1,1))*(IF('Gastos com Pessoal'!$Y$7:$Y$506&lt;=AG$3,('Gastos com Pessoal'!$Z$7:$Z$506)+1,1))*(IF('Gastos com Pessoal'!$AE$7:$AE$506&lt;=AG$3,('Gastos com Pessoal'!$AF$7:$AF$506)+1,1)),0)</f>
        <v>82967.623478184338</v>
      </c>
      <c r="AH37" s="188">
        <f t="array" aca="1" ref="AH37" ca="1">_xlfn.IFNA(SUM((AH$3&gt;='Gastos com Pessoal'!$E$7:$E$506)*(AH$3&lt;='Gastos com Pessoal'!$F$7:$F$506)*OFFSET('Encargos e Benefícios'!$D$5,1,MATCH($B37,'Encargos e Benefícios'!$E$5:$AB$5,0),500,1))*(IF('Gastos com Pessoal'!$G$7:$G$506&lt;=AH$3,('Gastos com Pessoal'!$H$7:$H$506)+1,1))*(IF('Gastos com Pessoal'!$M$7:$M$506&lt;=AH$3,('Gastos com Pessoal'!$N$7:$N$506)+1,1))*(IF('Gastos com Pessoal'!$S$7:$S$506&lt;=AH$3,('Gastos com Pessoal'!$T$7:$T$506)+1,1))*(IF('Gastos com Pessoal'!$Y$7:$Y$506&lt;=AH$3,('Gastos com Pessoal'!$Z$7:$Z$506)+1,1))*(IF('Gastos com Pessoal'!$AE$7:$AE$506&lt;=AH$3,('Gastos com Pessoal'!$AF$7:$AF$506)+1,1)),0)</f>
        <v>82967.623478184338</v>
      </c>
      <c r="AI37" s="188">
        <f t="array" aca="1" ref="AI37" ca="1">_xlfn.IFNA(SUM((AI$3&gt;='Gastos com Pessoal'!$E$7:$E$506)*(AI$3&lt;='Gastos com Pessoal'!$F$7:$F$506)*OFFSET('Encargos e Benefícios'!$D$5,1,MATCH($B37,'Encargos e Benefícios'!$E$5:$AB$5,0),500,1))*(IF('Gastos com Pessoal'!$G$7:$G$506&lt;=AI$3,('Gastos com Pessoal'!$H$7:$H$506)+1,1))*(IF('Gastos com Pessoal'!$M$7:$M$506&lt;=AI$3,('Gastos com Pessoal'!$N$7:$N$506)+1,1))*(IF('Gastos com Pessoal'!$S$7:$S$506&lt;=AI$3,('Gastos com Pessoal'!$T$7:$T$506)+1,1))*(IF('Gastos com Pessoal'!$Y$7:$Y$506&lt;=AI$3,('Gastos com Pessoal'!$Z$7:$Z$506)+1,1))*(IF('Gastos com Pessoal'!$AE$7:$AE$506&lt;=AI$3,('Gastos com Pessoal'!$AF$7:$AF$506)+1,1)),0)</f>
        <v>82967.623478184338</v>
      </c>
      <c r="AJ37" s="188">
        <f t="array" aca="1" ref="AJ37" ca="1">_xlfn.IFNA(SUM((AJ$3&gt;='Gastos com Pessoal'!$E$7:$E$506)*(AJ$3&lt;='Gastos com Pessoal'!$F$7:$F$506)*OFFSET('Encargos e Benefícios'!$D$5,1,MATCH($B37,'Encargos e Benefícios'!$E$5:$AB$5,0),500,1))*(IF('Gastos com Pessoal'!$G$7:$G$506&lt;=AJ$3,('Gastos com Pessoal'!$H$7:$H$506)+1,1))*(IF('Gastos com Pessoal'!$M$7:$M$506&lt;=AJ$3,('Gastos com Pessoal'!$N$7:$N$506)+1,1))*(IF('Gastos com Pessoal'!$S$7:$S$506&lt;=AJ$3,('Gastos com Pessoal'!$T$7:$T$506)+1,1))*(IF('Gastos com Pessoal'!$Y$7:$Y$506&lt;=AJ$3,('Gastos com Pessoal'!$Z$7:$Z$506)+1,1))*(IF('Gastos com Pessoal'!$AE$7:$AE$506&lt;=AJ$3,('Gastos com Pessoal'!$AF$7:$AF$506)+1,1)),0)</f>
        <v>82967.623478184338</v>
      </c>
      <c r="AK37" s="188">
        <f t="array" aca="1" ref="AK37" ca="1">_xlfn.IFNA(SUM((AK$3&gt;='Gastos com Pessoal'!$E$7:$E$506)*(AK$3&lt;='Gastos com Pessoal'!$F$7:$F$506)*OFFSET('Encargos e Benefícios'!$D$5,1,MATCH($B37,'Encargos e Benefícios'!$E$5:$AB$5,0),500,1))*(IF('Gastos com Pessoal'!$G$7:$G$506&lt;=AK$3,('Gastos com Pessoal'!$H$7:$H$506)+1,1))*(IF('Gastos com Pessoal'!$M$7:$M$506&lt;=AK$3,('Gastos com Pessoal'!$N$7:$N$506)+1,1))*(IF('Gastos com Pessoal'!$S$7:$S$506&lt;=AK$3,('Gastos com Pessoal'!$T$7:$T$506)+1,1))*(IF('Gastos com Pessoal'!$Y$7:$Y$506&lt;=AK$3,('Gastos com Pessoal'!$Z$7:$Z$506)+1,1))*(IF('Gastos com Pessoal'!$AE$7:$AE$506&lt;=AK$3,('Gastos com Pessoal'!$AF$7:$AF$506)+1,1)),0)</f>
        <v>82967.623478184338</v>
      </c>
      <c r="AL37" s="188">
        <f t="array" aca="1" ref="AL37" ca="1">_xlfn.IFNA(SUM((AL$3&gt;='Gastos com Pessoal'!$E$7:$E$506)*(AL$3&lt;='Gastos com Pessoal'!$F$7:$F$506)*OFFSET('Encargos e Benefícios'!$D$5,1,MATCH($B37,'Encargos e Benefícios'!$E$5:$AB$5,0),500,1))*(IF('Gastos com Pessoal'!$G$7:$G$506&lt;=AL$3,('Gastos com Pessoal'!$H$7:$H$506)+1,1))*(IF('Gastos com Pessoal'!$M$7:$M$506&lt;=AL$3,('Gastos com Pessoal'!$N$7:$N$506)+1,1))*(IF('Gastos com Pessoal'!$S$7:$S$506&lt;=AL$3,('Gastos com Pessoal'!$T$7:$T$506)+1,1))*(IF('Gastos com Pessoal'!$Y$7:$Y$506&lt;=AL$3,('Gastos com Pessoal'!$Z$7:$Z$506)+1,1))*(IF('Gastos com Pessoal'!$AE$7:$AE$506&lt;=AL$3,('Gastos com Pessoal'!$AF$7:$AF$506)+1,1)),0)</f>
        <v>82967.623478184338</v>
      </c>
      <c r="AM37" s="188">
        <f t="array" aca="1" ref="AM37" ca="1">_xlfn.IFNA(SUM((AM$3&gt;='Gastos com Pessoal'!$E$7:$E$506)*(AM$3&lt;='Gastos com Pessoal'!$F$7:$F$506)*OFFSET('Encargos e Benefícios'!$D$5,1,MATCH($B37,'Encargos e Benefícios'!$E$5:$AB$5,0),500,1))*(IF('Gastos com Pessoal'!$G$7:$G$506&lt;=AM$3,('Gastos com Pessoal'!$H$7:$H$506)+1,1))*(IF('Gastos com Pessoal'!$M$7:$M$506&lt;=AM$3,('Gastos com Pessoal'!$N$7:$N$506)+1,1))*(IF('Gastos com Pessoal'!$S$7:$S$506&lt;=AM$3,('Gastos com Pessoal'!$T$7:$T$506)+1,1))*(IF('Gastos com Pessoal'!$Y$7:$Y$506&lt;=AM$3,('Gastos com Pessoal'!$Z$7:$Z$506)+1,1))*(IF('Gastos com Pessoal'!$AE$7:$AE$506&lt;=AM$3,('Gastos com Pessoal'!$AF$7:$AF$506)+1,1)),0)</f>
        <v>82967.623478184338</v>
      </c>
      <c r="AN37" s="188">
        <f t="array" aca="1" ref="AN37" ca="1">_xlfn.IFNA(SUM((AN$3&gt;='Gastos com Pessoal'!$E$7:$E$506)*(AN$3&lt;='Gastos com Pessoal'!$F$7:$F$506)*OFFSET('Encargos e Benefícios'!$D$5,1,MATCH($B37,'Encargos e Benefícios'!$E$5:$AB$5,0),500,1))*(IF('Gastos com Pessoal'!$G$7:$G$506&lt;=AN$3,('Gastos com Pessoal'!$H$7:$H$506)+1,1))*(IF('Gastos com Pessoal'!$M$7:$M$506&lt;=AN$3,('Gastos com Pessoal'!$N$7:$N$506)+1,1))*(IF('Gastos com Pessoal'!$S$7:$S$506&lt;=AN$3,('Gastos com Pessoal'!$T$7:$T$506)+1,1))*(IF('Gastos com Pessoal'!$Y$7:$Y$506&lt;=AN$3,('Gastos com Pessoal'!$Z$7:$Z$506)+1,1))*(IF('Gastos com Pessoal'!$AE$7:$AE$506&lt;=AN$3,('Gastos com Pessoal'!$AF$7:$AF$506)+1,1)),0)</f>
        <v>82967.623478184338</v>
      </c>
      <c r="AO37" s="188">
        <f t="array" aca="1" ref="AO37" ca="1">_xlfn.IFNA(SUM((AO$3&gt;='Gastos com Pessoal'!$E$7:$E$506)*(AO$3&lt;='Gastos com Pessoal'!$F$7:$F$506)*OFFSET('Encargos e Benefícios'!$D$5,1,MATCH($B37,'Encargos e Benefícios'!$E$5:$AB$5,0),500,1))*(IF('Gastos com Pessoal'!$G$7:$G$506&lt;=AO$3,('Gastos com Pessoal'!$H$7:$H$506)+1,1))*(IF('Gastos com Pessoal'!$M$7:$M$506&lt;=AO$3,('Gastos com Pessoal'!$N$7:$N$506)+1,1))*(IF('Gastos com Pessoal'!$S$7:$S$506&lt;=AO$3,('Gastos com Pessoal'!$T$7:$T$506)+1,1))*(IF('Gastos com Pessoal'!$Y$7:$Y$506&lt;=AO$3,('Gastos com Pessoal'!$Z$7:$Z$506)+1,1))*(IF('Gastos com Pessoal'!$AE$7:$AE$506&lt;=AO$3,('Gastos com Pessoal'!$AF$7:$AF$506)+1,1)),0)</f>
        <v>82967.623478184338</v>
      </c>
      <c r="AP37" s="188">
        <f t="array" aca="1" ref="AP37" ca="1">_xlfn.IFNA(SUM((AP$3&gt;='Gastos com Pessoal'!$E$7:$E$506)*(AP$3&lt;='Gastos com Pessoal'!$F$7:$F$506)*OFFSET('Encargos e Benefícios'!$D$5,1,MATCH($B37,'Encargos e Benefícios'!$E$5:$AB$5,0),500,1))*(IF('Gastos com Pessoal'!$G$7:$G$506&lt;=AP$3,('Gastos com Pessoal'!$H$7:$H$506)+1,1))*(IF('Gastos com Pessoal'!$M$7:$M$506&lt;=AP$3,('Gastos com Pessoal'!$N$7:$N$506)+1,1))*(IF('Gastos com Pessoal'!$S$7:$S$506&lt;=AP$3,('Gastos com Pessoal'!$T$7:$T$506)+1,1))*(IF('Gastos com Pessoal'!$Y$7:$Y$506&lt;=AP$3,('Gastos com Pessoal'!$Z$7:$Z$506)+1,1))*(IF('Gastos com Pessoal'!$AE$7:$AE$506&lt;=AP$3,('Gastos com Pessoal'!$AF$7:$AF$506)+1,1)),0)</f>
        <v>82967.623478184338</v>
      </c>
      <c r="AQ37" s="188">
        <f t="array" aca="1" ref="AQ37" ca="1">_xlfn.IFNA(SUM((AQ$3&gt;='Gastos com Pessoal'!$E$7:$E$506)*(AQ$3&lt;='Gastos com Pessoal'!$F$7:$F$506)*OFFSET('Encargos e Benefícios'!$D$5,1,MATCH($B37,'Encargos e Benefícios'!$E$5:$AB$5,0),500,1))*(IF('Gastos com Pessoal'!$G$7:$G$506&lt;=AQ$3,('Gastos com Pessoal'!$H$7:$H$506)+1,1))*(IF('Gastos com Pessoal'!$M$7:$M$506&lt;=AQ$3,('Gastos com Pessoal'!$N$7:$N$506)+1,1))*(IF('Gastos com Pessoal'!$S$7:$S$506&lt;=AQ$3,('Gastos com Pessoal'!$T$7:$T$506)+1,1))*(IF('Gastos com Pessoal'!$Y$7:$Y$506&lt;=AQ$3,('Gastos com Pessoal'!$Z$7:$Z$506)+1,1))*(IF('Gastos com Pessoal'!$AE$7:$AE$506&lt;=AQ$3,('Gastos com Pessoal'!$AF$7:$AF$506)+1,1)),0)</f>
        <v>87812.932689310299</v>
      </c>
      <c r="AR37" s="188">
        <f t="array" aca="1" ref="AR37" ca="1">_xlfn.IFNA(SUM((AR$3&gt;='Gastos com Pessoal'!$E$7:$E$506)*(AR$3&lt;='Gastos com Pessoal'!$F$7:$F$506)*OFFSET('Encargos e Benefícios'!$D$5,1,MATCH($B37,'Encargos e Benefícios'!$E$5:$AB$5,0),500,1))*(IF('Gastos com Pessoal'!$G$7:$G$506&lt;=AR$3,('Gastos com Pessoal'!$H$7:$H$506)+1,1))*(IF('Gastos com Pessoal'!$M$7:$M$506&lt;=AR$3,('Gastos com Pessoal'!$N$7:$N$506)+1,1))*(IF('Gastos com Pessoal'!$S$7:$S$506&lt;=AR$3,('Gastos com Pessoal'!$T$7:$T$506)+1,1))*(IF('Gastos com Pessoal'!$Y$7:$Y$506&lt;=AR$3,('Gastos com Pessoal'!$Z$7:$Z$506)+1,1))*(IF('Gastos com Pessoal'!$AE$7:$AE$506&lt;=AR$3,('Gastos com Pessoal'!$AF$7:$AF$506)+1,1)),0)</f>
        <v>87812.932689310299</v>
      </c>
      <c r="AS37" s="188">
        <f t="array" aca="1" ref="AS37" ca="1">_xlfn.IFNA(SUM((AS$3&gt;='Gastos com Pessoal'!$E$7:$E$506)*(AS$3&lt;='Gastos com Pessoal'!$F$7:$F$506)*OFFSET('Encargos e Benefícios'!$D$5,1,MATCH($B37,'Encargos e Benefícios'!$E$5:$AB$5,0),500,1))*(IF('Gastos com Pessoal'!$G$7:$G$506&lt;=AS$3,('Gastos com Pessoal'!$H$7:$H$506)+1,1))*(IF('Gastos com Pessoal'!$M$7:$M$506&lt;=AS$3,('Gastos com Pessoal'!$N$7:$N$506)+1,1))*(IF('Gastos com Pessoal'!$S$7:$S$506&lt;=AS$3,('Gastos com Pessoal'!$T$7:$T$506)+1,1))*(IF('Gastos com Pessoal'!$Y$7:$Y$506&lt;=AS$3,('Gastos com Pessoal'!$Z$7:$Z$506)+1,1))*(IF('Gastos com Pessoal'!$AE$7:$AE$506&lt;=AS$3,('Gastos com Pessoal'!$AF$7:$AF$506)+1,1)),0)</f>
        <v>87812.932689310299</v>
      </c>
      <c r="AT37" s="188">
        <f t="array" aca="1" ref="AT37" ca="1">_xlfn.IFNA(SUM((AT$3&gt;='Gastos com Pessoal'!$E$7:$E$506)*(AT$3&lt;='Gastos com Pessoal'!$F$7:$F$506)*OFFSET('Encargos e Benefícios'!$D$5,1,MATCH($B37,'Encargos e Benefícios'!$E$5:$AB$5,0),500,1))*(IF('Gastos com Pessoal'!$G$7:$G$506&lt;=AT$3,('Gastos com Pessoal'!$H$7:$H$506)+1,1))*(IF('Gastos com Pessoal'!$M$7:$M$506&lt;=AT$3,('Gastos com Pessoal'!$N$7:$N$506)+1,1))*(IF('Gastos com Pessoal'!$S$7:$S$506&lt;=AT$3,('Gastos com Pessoal'!$T$7:$T$506)+1,1))*(IF('Gastos com Pessoal'!$Y$7:$Y$506&lt;=AT$3,('Gastos com Pessoal'!$Z$7:$Z$506)+1,1))*(IF('Gastos com Pessoal'!$AE$7:$AE$506&lt;=AT$3,('Gastos com Pessoal'!$AF$7:$AF$506)+1,1)),0)</f>
        <v>87812.932689310299</v>
      </c>
      <c r="AU37" s="188">
        <f t="array" aca="1" ref="AU37" ca="1">_xlfn.IFNA(SUM((AU$3&gt;='Gastos com Pessoal'!$E$7:$E$506)*(AU$3&lt;='Gastos com Pessoal'!$F$7:$F$506)*OFFSET('Encargos e Benefícios'!$D$5,1,MATCH($B37,'Encargos e Benefícios'!$E$5:$AB$5,0),500,1))*(IF('Gastos com Pessoal'!$G$7:$G$506&lt;=AU$3,('Gastos com Pessoal'!$H$7:$H$506)+1,1))*(IF('Gastos com Pessoal'!$M$7:$M$506&lt;=AU$3,('Gastos com Pessoal'!$N$7:$N$506)+1,1))*(IF('Gastos com Pessoal'!$S$7:$S$506&lt;=AU$3,('Gastos com Pessoal'!$T$7:$T$506)+1,1))*(IF('Gastos com Pessoal'!$Y$7:$Y$506&lt;=AU$3,('Gastos com Pessoal'!$Z$7:$Z$506)+1,1))*(IF('Gastos com Pessoal'!$AE$7:$AE$506&lt;=AU$3,('Gastos com Pessoal'!$AF$7:$AF$506)+1,1)),0)</f>
        <v>87812.932689310299</v>
      </c>
      <c r="AV37" s="188">
        <f t="array" aca="1" ref="AV37" ca="1">_xlfn.IFNA(SUM((AV$3&gt;='Gastos com Pessoal'!$E$7:$E$506)*(AV$3&lt;='Gastos com Pessoal'!$F$7:$F$506)*OFFSET('Encargos e Benefícios'!$D$5,1,MATCH($B37,'Encargos e Benefícios'!$E$5:$AB$5,0),500,1))*(IF('Gastos com Pessoal'!$G$7:$G$506&lt;=AV$3,('Gastos com Pessoal'!$H$7:$H$506)+1,1))*(IF('Gastos com Pessoal'!$M$7:$M$506&lt;=AV$3,('Gastos com Pessoal'!$N$7:$N$506)+1,1))*(IF('Gastos com Pessoal'!$S$7:$S$506&lt;=AV$3,('Gastos com Pessoal'!$T$7:$T$506)+1,1))*(IF('Gastos com Pessoal'!$Y$7:$Y$506&lt;=AV$3,('Gastos com Pessoal'!$Z$7:$Z$506)+1,1))*(IF('Gastos com Pessoal'!$AE$7:$AE$506&lt;=AV$3,('Gastos com Pessoal'!$AF$7:$AF$506)+1,1)),0)</f>
        <v>87812.932689310299</v>
      </c>
      <c r="AW37" s="188">
        <f t="array" aca="1" ref="AW37" ca="1">_xlfn.IFNA(SUM((AW$3&gt;='Gastos com Pessoal'!$E$7:$E$506)*(AW$3&lt;='Gastos com Pessoal'!$F$7:$F$506)*OFFSET('Encargos e Benefícios'!$D$5,1,MATCH($B37,'Encargos e Benefícios'!$E$5:$AB$5,0),500,1))*(IF('Gastos com Pessoal'!$G$7:$G$506&lt;=AW$3,('Gastos com Pessoal'!$H$7:$H$506)+1,1))*(IF('Gastos com Pessoal'!$M$7:$M$506&lt;=AW$3,('Gastos com Pessoal'!$N$7:$N$506)+1,1))*(IF('Gastos com Pessoal'!$S$7:$S$506&lt;=AW$3,('Gastos com Pessoal'!$T$7:$T$506)+1,1))*(IF('Gastos com Pessoal'!$Y$7:$Y$506&lt;=AW$3,('Gastos com Pessoal'!$Z$7:$Z$506)+1,1))*(IF('Gastos com Pessoal'!$AE$7:$AE$506&lt;=AW$3,('Gastos com Pessoal'!$AF$7:$AF$506)+1,1)),0)</f>
        <v>87812.932689310299</v>
      </c>
      <c r="AX37" s="188">
        <f t="array" aca="1" ref="AX37" ca="1">_xlfn.IFNA(SUM((AX$3&gt;='Gastos com Pessoal'!$E$7:$E$506)*(AX$3&lt;='Gastos com Pessoal'!$F$7:$F$506)*OFFSET('Encargos e Benefícios'!$D$5,1,MATCH($B37,'Encargos e Benefícios'!$E$5:$AB$5,0),500,1))*(IF('Gastos com Pessoal'!$G$7:$G$506&lt;=AX$3,('Gastos com Pessoal'!$H$7:$H$506)+1,1))*(IF('Gastos com Pessoal'!$M$7:$M$506&lt;=AX$3,('Gastos com Pessoal'!$N$7:$N$506)+1,1))*(IF('Gastos com Pessoal'!$S$7:$S$506&lt;=AX$3,('Gastos com Pessoal'!$T$7:$T$506)+1,1))*(IF('Gastos com Pessoal'!$Y$7:$Y$506&lt;=AX$3,('Gastos com Pessoal'!$Z$7:$Z$506)+1,1))*(IF('Gastos com Pessoal'!$AE$7:$AE$506&lt;=AX$3,('Gastos com Pessoal'!$AF$7:$AF$506)+1,1)),0)</f>
        <v>0</v>
      </c>
      <c r="AY37" s="188">
        <f t="array" aca="1" ref="AY37" ca="1">_xlfn.IFNA(SUM((AY$3&gt;='Gastos com Pessoal'!$E$7:$E$506)*(AY$3&lt;='Gastos com Pessoal'!$F$7:$F$506)*OFFSET('Encargos e Benefícios'!$D$5,1,MATCH($B37,'Encargos e Benefícios'!$E$5:$AB$5,0),500,1))*(IF('Gastos com Pessoal'!$G$7:$G$506&lt;=AY$3,('Gastos com Pessoal'!$H$7:$H$506)+1,1))*(IF('Gastos com Pessoal'!$M$7:$M$506&lt;=AY$3,('Gastos com Pessoal'!$N$7:$N$506)+1,1))*(IF('Gastos com Pessoal'!$S$7:$S$506&lt;=AY$3,('Gastos com Pessoal'!$T$7:$T$506)+1,1))*(IF('Gastos com Pessoal'!$Y$7:$Y$506&lt;=AY$3,('Gastos com Pessoal'!$Z$7:$Z$506)+1,1))*(IF('Gastos com Pessoal'!$AE$7:$AE$506&lt;=AY$3,('Gastos com Pessoal'!$AF$7:$AF$506)+1,1)),0)</f>
        <v>0</v>
      </c>
      <c r="AZ37" s="188">
        <f t="array" aca="1" ref="AZ37" ca="1">_xlfn.IFNA(SUM((AZ$3&gt;='Gastos com Pessoal'!$E$7:$E$506)*(AZ$3&lt;='Gastos com Pessoal'!$F$7:$F$506)*OFFSET('Encargos e Benefícios'!$D$5,1,MATCH($B37,'Encargos e Benefícios'!$E$5:$AB$5,0),500,1))*(IF('Gastos com Pessoal'!$G$7:$G$506&lt;=AZ$3,('Gastos com Pessoal'!$H$7:$H$506)+1,1))*(IF('Gastos com Pessoal'!$M$7:$M$506&lt;=AZ$3,('Gastos com Pessoal'!$N$7:$N$506)+1,1))*(IF('Gastos com Pessoal'!$S$7:$S$506&lt;=AZ$3,('Gastos com Pessoal'!$T$7:$T$506)+1,1))*(IF('Gastos com Pessoal'!$Y$7:$Y$506&lt;=AZ$3,('Gastos com Pessoal'!$Z$7:$Z$506)+1,1))*(IF('Gastos com Pessoal'!$AE$7:$AE$506&lt;=AZ$3,('Gastos com Pessoal'!$AF$7:$AF$506)+1,1)),0)</f>
        <v>0</v>
      </c>
      <c r="BA37" s="188">
        <f t="array" aca="1" ref="BA37" ca="1">_xlfn.IFNA(SUM((BA$3&gt;='Gastos com Pessoal'!$E$7:$E$506)*(BA$3&lt;='Gastos com Pessoal'!$F$7:$F$506)*OFFSET('Encargos e Benefícios'!$D$5,1,MATCH($B37,'Encargos e Benefícios'!$E$5:$AB$5,0),500,1))*(IF('Gastos com Pessoal'!$G$7:$G$506&lt;=BA$3,('Gastos com Pessoal'!$H$7:$H$506)+1,1))*(IF('Gastos com Pessoal'!$M$7:$M$506&lt;=BA$3,('Gastos com Pessoal'!$N$7:$N$506)+1,1))*(IF('Gastos com Pessoal'!$S$7:$S$506&lt;=BA$3,('Gastos com Pessoal'!$T$7:$T$506)+1,1))*(IF('Gastos com Pessoal'!$Y$7:$Y$506&lt;=BA$3,('Gastos com Pessoal'!$Z$7:$Z$506)+1,1))*(IF('Gastos com Pessoal'!$AE$7:$AE$506&lt;=BA$3,('Gastos com Pessoal'!$AF$7:$AF$506)+1,1)),0)</f>
        <v>0</v>
      </c>
      <c r="BB37" s="188">
        <f t="array" aca="1" ref="BB37" ca="1">_xlfn.IFNA(SUM((BB$3&gt;='Gastos com Pessoal'!$E$7:$E$506)*(BB$3&lt;='Gastos com Pessoal'!$F$7:$F$506)*OFFSET('Encargos e Benefícios'!$D$5,1,MATCH($B37,'Encargos e Benefícios'!$E$5:$AB$5,0),500,1))*(IF('Gastos com Pessoal'!$G$7:$G$506&lt;=BB$3,('Gastos com Pessoal'!$H$7:$H$506)+1,1))*(IF('Gastos com Pessoal'!$M$7:$M$506&lt;=BB$3,('Gastos com Pessoal'!$N$7:$N$506)+1,1))*(IF('Gastos com Pessoal'!$S$7:$S$506&lt;=BB$3,('Gastos com Pessoal'!$T$7:$T$506)+1,1))*(IF('Gastos com Pessoal'!$Y$7:$Y$506&lt;=BB$3,('Gastos com Pessoal'!$Z$7:$Z$506)+1,1))*(IF('Gastos com Pessoal'!$AE$7:$AE$506&lt;=BB$3,('Gastos com Pessoal'!$AF$7:$AF$506)+1,1)),0)</f>
        <v>0</v>
      </c>
      <c r="BC37" s="188">
        <f t="array" aca="1" ref="BC37" ca="1">_xlfn.IFNA(SUM((BC$3&gt;='Gastos com Pessoal'!$E$7:$E$506)*(BC$3&lt;='Gastos com Pessoal'!$F$7:$F$506)*OFFSET('Encargos e Benefícios'!$D$5,1,MATCH($B37,'Encargos e Benefícios'!$E$5:$AB$5,0),500,1))*(IF('Gastos com Pessoal'!$G$7:$G$506&lt;=BC$3,('Gastos com Pessoal'!$H$7:$H$506)+1,1))*(IF('Gastos com Pessoal'!$M$7:$M$506&lt;=BC$3,('Gastos com Pessoal'!$N$7:$N$506)+1,1))*(IF('Gastos com Pessoal'!$S$7:$S$506&lt;=BC$3,('Gastos com Pessoal'!$T$7:$T$506)+1,1))*(IF('Gastos com Pessoal'!$Y$7:$Y$506&lt;=BC$3,('Gastos com Pessoal'!$Z$7:$Z$506)+1,1))*(IF('Gastos com Pessoal'!$AE$7:$AE$506&lt;=BC$3,('Gastos com Pessoal'!$AF$7:$AF$506)+1,1)),0)</f>
        <v>0</v>
      </c>
      <c r="BD37" s="188">
        <f t="array" aca="1" ref="BD37" ca="1">_xlfn.IFNA(SUM((BD$3&gt;='Gastos com Pessoal'!$E$7:$E$506)*(BD$3&lt;='Gastos com Pessoal'!$F$7:$F$506)*OFFSET('Encargos e Benefícios'!$D$5,1,MATCH($B37,'Encargos e Benefícios'!$E$5:$AB$5,0),500,1))*(IF('Gastos com Pessoal'!$G$7:$G$506&lt;=BD$3,('Gastos com Pessoal'!$H$7:$H$506)+1,1))*(IF('Gastos com Pessoal'!$M$7:$M$506&lt;=BD$3,('Gastos com Pessoal'!$N$7:$N$506)+1,1))*(IF('Gastos com Pessoal'!$S$7:$S$506&lt;=BD$3,('Gastos com Pessoal'!$T$7:$T$506)+1,1))*(IF('Gastos com Pessoal'!$Y$7:$Y$506&lt;=BD$3,('Gastos com Pessoal'!$Z$7:$Z$506)+1,1))*(IF('Gastos com Pessoal'!$AE$7:$AE$506&lt;=BD$3,('Gastos com Pessoal'!$AF$7:$AF$506)+1,1)),0)</f>
        <v>0</v>
      </c>
      <c r="BE37" s="188">
        <f t="array" aca="1" ref="BE37" ca="1">_xlfn.IFNA(SUM((BE$3&gt;='Gastos com Pessoal'!$E$7:$E$506)*(BE$3&lt;='Gastos com Pessoal'!$F$7:$F$506)*OFFSET('Encargos e Benefícios'!$D$5,1,MATCH($B37,'Encargos e Benefícios'!$E$5:$AB$5,0),500,1))*(IF('Gastos com Pessoal'!$G$7:$G$506&lt;=BE$3,('Gastos com Pessoal'!$H$7:$H$506)+1,1))*(IF('Gastos com Pessoal'!$M$7:$M$506&lt;=BE$3,('Gastos com Pessoal'!$N$7:$N$506)+1,1))*(IF('Gastos com Pessoal'!$S$7:$S$506&lt;=BE$3,('Gastos com Pessoal'!$T$7:$T$506)+1,1))*(IF('Gastos com Pessoal'!$Y$7:$Y$506&lt;=BE$3,('Gastos com Pessoal'!$Z$7:$Z$506)+1,1))*(IF('Gastos com Pessoal'!$AE$7:$AE$506&lt;=BE$3,('Gastos com Pessoal'!$AF$7:$AF$506)+1,1)),0)</f>
        <v>0</v>
      </c>
      <c r="BF37" s="188">
        <f t="array" aca="1" ref="BF37" ca="1">_xlfn.IFNA(SUM((BF$3&gt;='Gastos com Pessoal'!$E$7:$E$506)*(BF$3&lt;='Gastos com Pessoal'!$F$7:$F$506)*OFFSET('Encargos e Benefícios'!$D$5,1,MATCH($B37,'Encargos e Benefícios'!$E$5:$AB$5,0),500,1))*(IF('Gastos com Pessoal'!$G$7:$G$506&lt;=BF$3,('Gastos com Pessoal'!$H$7:$H$506)+1,1))*(IF('Gastos com Pessoal'!$M$7:$M$506&lt;=BF$3,('Gastos com Pessoal'!$N$7:$N$506)+1,1))*(IF('Gastos com Pessoal'!$S$7:$S$506&lt;=BF$3,('Gastos com Pessoal'!$T$7:$T$506)+1,1))*(IF('Gastos com Pessoal'!$Y$7:$Y$506&lt;=BF$3,('Gastos com Pessoal'!$Z$7:$Z$506)+1,1))*(IF('Gastos com Pessoal'!$AE$7:$AE$506&lt;=BF$3,('Gastos com Pessoal'!$AF$7:$AF$506)+1,1)),0)</f>
        <v>0</v>
      </c>
      <c r="BG37" s="188">
        <f t="array" aca="1" ref="BG37" ca="1">_xlfn.IFNA(SUM((BG$3&gt;='Gastos com Pessoal'!$E$7:$E$506)*(BG$3&lt;='Gastos com Pessoal'!$F$7:$F$506)*OFFSET('Encargos e Benefícios'!$D$5,1,MATCH($B37,'Encargos e Benefícios'!$E$5:$AB$5,0),500,1))*(IF('Gastos com Pessoal'!$G$7:$G$506&lt;=BG$3,('Gastos com Pessoal'!$H$7:$H$506)+1,1))*(IF('Gastos com Pessoal'!$M$7:$M$506&lt;=BG$3,('Gastos com Pessoal'!$N$7:$N$506)+1,1))*(IF('Gastos com Pessoal'!$S$7:$S$506&lt;=BG$3,('Gastos com Pessoal'!$T$7:$T$506)+1,1))*(IF('Gastos com Pessoal'!$Y$7:$Y$506&lt;=BG$3,('Gastos com Pessoal'!$Z$7:$Z$506)+1,1))*(IF('Gastos com Pessoal'!$AE$7:$AE$506&lt;=BG$3,('Gastos com Pessoal'!$AF$7:$AF$506)+1,1)),0)</f>
        <v>0</v>
      </c>
      <c r="BH37" s="188">
        <f t="array" aca="1" ref="BH37" ca="1">_xlfn.IFNA(SUM((BH$3&gt;='Gastos com Pessoal'!$E$7:$E$506)*(BH$3&lt;='Gastos com Pessoal'!$F$7:$F$506)*OFFSET('Encargos e Benefícios'!$D$5,1,MATCH($B37,'Encargos e Benefícios'!$E$5:$AB$5,0),500,1))*(IF('Gastos com Pessoal'!$G$7:$G$506&lt;=BH$3,('Gastos com Pessoal'!$H$7:$H$506)+1,1))*(IF('Gastos com Pessoal'!$M$7:$M$506&lt;=BH$3,('Gastos com Pessoal'!$N$7:$N$506)+1,1))*(IF('Gastos com Pessoal'!$S$7:$S$506&lt;=BH$3,('Gastos com Pessoal'!$T$7:$T$506)+1,1))*(IF('Gastos com Pessoal'!$Y$7:$Y$506&lt;=BH$3,('Gastos com Pessoal'!$Z$7:$Z$506)+1,1))*(IF('Gastos com Pessoal'!$AE$7:$AE$506&lt;=BH$3,('Gastos com Pessoal'!$AF$7:$AF$506)+1,1)),0)</f>
        <v>0</v>
      </c>
      <c r="BI37" s="188">
        <f t="array" aca="1" ref="BI37" ca="1">_xlfn.IFNA(SUM((BI$3&gt;='Gastos com Pessoal'!$E$7:$E$506)*(BI$3&lt;='Gastos com Pessoal'!$F$7:$F$506)*OFFSET('Encargos e Benefícios'!$D$5,1,MATCH($B37,'Encargos e Benefícios'!$E$5:$AB$5,0),500,1))*(IF('Gastos com Pessoal'!$G$7:$G$506&lt;=BI$3,('Gastos com Pessoal'!$H$7:$H$506)+1,1))*(IF('Gastos com Pessoal'!$M$7:$M$506&lt;=BI$3,('Gastos com Pessoal'!$N$7:$N$506)+1,1))*(IF('Gastos com Pessoal'!$S$7:$S$506&lt;=BI$3,('Gastos com Pessoal'!$T$7:$T$506)+1,1))*(IF('Gastos com Pessoal'!$Y$7:$Y$506&lt;=BI$3,('Gastos com Pessoal'!$Z$7:$Z$506)+1,1))*(IF('Gastos com Pessoal'!$AE$7:$AE$506&lt;=BI$3,('Gastos com Pessoal'!$AF$7:$AF$506)+1,1)),0)</f>
        <v>0</v>
      </c>
      <c r="BJ37" s="188">
        <f t="array" aca="1" ref="BJ37" ca="1">_xlfn.IFNA(SUM((BJ$3&gt;='Gastos com Pessoal'!$E$7:$E$506)*(BJ$3&lt;='Gastos com Pessoal'!$F$7:$F$506)*OFFSET('Encargos e Benefícios'!$D$5,1,MATCH($B37,'Encargos e Benefícios'!$E$5:$AB$5,0),500,1))*(IF('Gastos com Pessoal'!$G$7:$G$506&lt;=BJ$3,('Gastos com Pessoal'!$H$7:$H$506)+1,1))*(IF('Gastos com Pessoal'!$M$7:$M$506&lt;=BJ$3,('Gastos com Pessoal'!$N$7:$N$506)+1,1))*(IF('Gastos com Pessoal'!$S$7:$S$506&lt;=BJ$3,('Gastos com Pessoal'!$T$7:$T$506)+1,1))*(IF('Gastos com Pessoal'!$Y$7:$Y$506&lt;=BJ$3,('Gastos com Pessoal'!$Z$7:$Z$506)+1,1))*(IF('Gastos com Pessoal'!$AE$7:$AE$506&lt;=BJ$3,('Gastos com Pessoal'!$AF$7:$AF$506)+1,1)),0)</f>
        <v>0</v>
      </c>
      <c r="BK37" s="189">
        <f t="shared" ca="1" si="14"/>
        <v>3632763.3101595943</v>
      </c>
      <c r="BL37" s="136">
        <f t="shared" ca="1" si="15"/>
        <v>1.2507597208551777E-2</v>
      </c>
    </row>
    <row r="38" spans="1:64" s="160" customFormat="1" ht="23.25" customHeight="1">
      <c r="A38" s="198" t="s">
        <v>161</v>
      </c>
      <c r="B38" s="81" t="s">
        <v>162</v>
      </c>
      <c r="C38" s="188">
        <f t="array" aca="1" ref="C38" ca="1">_xlfn.IFNA(SUM((C$3&gt;='Gastos com Pessoal'!$E$7:$E$506)*(C$3&lt;='Gastos com Pessoal'!$F$7:$F$506)*OFFSET('Encargos e Benefícios'!$D$5,1,MATCH($B38,'Encargos e Benefícios'!$E$5:$AB$5,0),500,1))*(IF('Gastos com Pessoal'!$G$7:$G$506&lt;=C$3,('Gastos com Pessoal'!$H$7:$H$506)+1,1))*(IF('Gastos com Pessoal'!$M$7:$M$506&lt;=C$3,('Gastos com Pessoal'!$N$7:$N$506)+1,1))*(IF('Gastos com Pessoal'!$S$7:$S$506&lt;=C$3,('Gastos com Pessoal'!$T$7:$T$506)+1,1))*(IF('Gastos com Pessoal'!$Y$7:$Y$506&lt;=C$3,('Gastos com Pessoal'!$Z$7:$Z$506)+1,1))*(IF('Gastos com Pessoal'!$AE$7:$AE$506&lt;=C$3,('Gastos com Pessoal'!$AF$7:$AF$506)+1,1)),0)</f>
        <v>141286.98358000026</v>
      </c>
      <c r="D38" s="188">
        <f t="array" aca="1" ref="D38" ca="1">_xlfn.IFNA(SUM((D$3&gt;='Gastos com Pessoal'!$E$7:$E$506)*(D$3&lt;='Gastos com Pessoal'!$F$7:$F$506)*OFFSET('Encargos e Benefícios'!$D$5,1,MATCH($B38,'Encargos e Benefícios'!$E$5:$AB$5,0),500,1))*(IF('Gastos com Pessoal'!$G$7:$G$506&lt;=D$3,('Gastos com Pessoal'!$H$7:$H$506)+1,1))*(IF('Gastos com Pessoal'!$M$7:$M$506&lt;=D$3,('Gastos com Pessoal'!$N$7:$N$506)+1,1))*(IF('Gastos com Pessoal'!$S$7:$S$506&lt;=D$3,('Gastos com Pessoal'!$T$7:$T$506)+1,1))*(IF('Gastos com Pessoal'!$Y$7:$Y$506&lt;=D$3,('Gastos com Pessoal'!$Z$7:$Z$506)+1,1))*(IF('Gastos com Pessoal'!$AE$7:$AE$506&lt;=D$3,('Gastos com Pessoal'!$AF$7:$AF$506)+1,1)),0)</f>
        <v>142036.98358000026</v>
      </c>
      <c r="E38" s="188">
        <f t="array" aca="1" ref="E38" ca="1">_xlfn.IFNA(SUM((E$3&gt;='Gastos com Pessoal'!$E$7:$E$506)*(E$3&lt;='Gastos com Pessoal'!$F$7:$F$506)*OFFSET('Encargos e Benefícios'!$D$5,1,MATCH($B38,'Encargos e Benefícios'!$E$5:$AB$5,0),500,1))*(IF('Gastos com Pessoal'!$G$7:$G$506&lt;=E$3,('Gastos com Pessoal'!$H$7:$H$506)+1,1))*(IF('Gastos com Pessoal'!$M$7:$M$506&lt;=E$3,('Gastos com Pessoal'!$N$7:$N$506)+1,1))*(IF('Gastos com Pessoal'!$S$7:$S$506&lt;=E$3,('Gastos com Pessoal'!$T$7:$T$506)+1,1))*(IF('Gastos com Pessoal'!$Y$7:$Y$506&lt;=E$3,('Gastos com Pessoal'!$Z$7:$Z$506)+1,1))*(IF('Gastos com Pessoal'!$AE$7:$AE$506&lt;=E$3,('Gastos com Pessoal'!$AF$7:$AF$506)+1,1)),0)</f>
        <v>149242.84703333362</v>
      </c>
      <c r="F38" s="188">
        <f t="array" aca="1" ref="F38" ca="1">_xlfn.IFNA(SUM((F$3&gt;='Gastos com Pessoal'!$E$7:$E$506)*(F$3&lt;='Gastos com Pessoal'!$F$7:$F$506)*OFFSET('Encargos e Benefícios'!$D$5,1,MATCH($B38,'Encargos e Benefícios'!$E$5:$AB$5,0),500,1))*(IF('Gastos com Pessoal'!$G$7:$G$506&lt;=F$3,('Gastos com Pessoal'!$H$7:$H$506)+1,1))*(IF('Gastos com Pessoal'!$M$7:$M$506&lt;=F$3,('Gastos com Pessoal'!$N$7:$N$506)+1,1))*(IF('Gastos com Pessoal'!$S$7:$S$506&lt;=F$3,('Gastos com Pessoal'!$T$7:$T$506)+1,1))*(IF('Gastos com Pessoal'!$Y$7:$Y$506&lt;=F$3,('Gastos com Pessoal'!$Z$7:$Z$506)+1,1))*(IF('Gastos com Pessoal'!$AE$7:$AE$506&lt;=F$3,('Gastos com Pessoal'!$AF$7:$AF$506)+1,1)),0)</f>
        <v>150248.82820000028</v>
      </c>
      <c r="G38" s="188">
        <f t="array" aca="1" ref="G38" ca="1">_xlfn.IFNA(SUM((G$3&gt;='Gastos com Pessoal'!$E$7:$E$506)*(G$3&lt;='Gastos com Pessoal'!$F$7:$F$506)*OFFSET('Encargos e Benefícios'!$D$5,1,MATCH($B38,'Encargos e Benefícios'!$E$5:$AB$5,0),500,1))*(IF('Gastos com Pessoal'!$G$7:$G$506&lt;=G$3,('Gastos com Pessoal'!$H$7:$H$506)+1,1))*(IF('Gastos com Pessoal'!$M$7:$M$506&lt;=G$3,('Gastos com Pessoal'!$N$7:$N$506)+1,1))*(IF('Gastos com Pessoal'!$S$7:$S$506&lt;=G$3,('Gastos com Pessoal'!$T$7:$T$506)+1,1))*(IF('Gastos com Pessoal'!$Y$7:$Y$506&lt;=G$3,('Gastos com Pessoal'!$Z$7:$Z$506)+1,1))*(IF('Gastos com Pessoal'!$AE$7:$AE$506&lt;=G$3,('Gastos com Pessoal'!$AF$7:$AF$506)+1,1)),0)</f>
        <v>159023.35976688028</v>
      </c>
      <c r="H38" s="188">
        <f t="array" aca="1" ref="H38" ca="1">_xlfn.IFNA(SUM((H$3&gt;='Gastos com Pessoal'!$E$7:$E$506)*(H$3&lt;='Gastos com Pessoal'!$F$7:$F$506)*OFFSET('Encargos e Benefícios'!$D$5,1,MATCH($B38,'Encargos e Benefícios'!$E$5:$AB$5,0),500,1))*(IF('Gastos com Pessoal'!$G$7:$G$506&lt;=H$3,('Gastos com Pessoal'!$H$7:$H$506)+1,1))*(IF('Gastos com Pessoal'!$M$7:$M$506&lt;=H$3,('Gastos com Pessoal'!$N$7:$N$506)+1,1))*(IF('Gastos com Pessoal'!$S$7:$S$506&lt;=H$3,('Gastos com Pessoal'!$T$7:$T$506)+1,1))*(IF('Gastos com Pessoal'!$Y$7:$Y$506&lt;=H$3,('Gastos com Pessoal'!$Z$7:$Z$506)+1,1))*(IF('Gastos com Pessoal'!$AE$7:$AE$506&lt;=H$3,('Gastos com Pessoal'!$AF$7:$AF$506)+1,1)),0)</f>
        <v>166650.04564588831</v>
      </c>
      <c r="I38" s="188">
        <f t="array" aca="1" ref="I38" ca="1">_xlfn.IFNA(SUM((I$3&gt;='Gastos com Pessoal'!$E$7:$E$506)*(I$3&lt;='Gastos com Pessoal'!$F$7:$F$506)*OFFSET('Encargos e Benefícios'!$D$5,1,MATCH($B38,'Encargos e Benefícios'!$E$5:$AB$5,0),500,1))*(IF('Gastos com Pessoal'!$G$7:$G$506&lt;=I$3,('Gastos com Pessoal'!$H$7:$H$506)+1,1))*(IF('Gastos com Pessoal'!$M$7:$M$506&lt;=I$3,('Gastos com Pessoal'!$N$7:$N$506)+1,1))*(IF('Gastos com Pessoal'!$S$7:$S$506&lt;=I$3,('Gastos com Pessoal'!$T$7:$T$506)+1,1))*(IF('Gastos com Pessoal'!$Y$7:$Y$506&lt;=I$3,('Gastos com Pessoal'!$Z$7:$Z$506)+1,1))*(IF('Gastos com Pessoal'!$AE$7:$AE$506&lt;=I$3,('Gastos com Pessoal'!$AF$7:$AF$506)+1,1)),0)</f>
        <v>167776.95464308828</v>
      </c>
      <c r="J38" s="188">
        <f t="array" aca="1" ref="J38" ca="1">_xlfn.IFNA(SUM((J$3&gt;='Gastos com Pessoal'!$E$7:$E$506)*(J$3&lt;='Gastos com Pessoal'!$F$7:$F$506)*OFFSET('Encargos e Benefícios'!$D$5,1,MATCH($B38,'Encargos e Benefícios'!$E$5:$AB$5,0),500,1))*(IF('Gastos com Pessoal'!$G$7:$G$506&lt;=J$3,('Gastos com Pessoal'!$H$7:$H$506)+1,1))*(IF('Gastos com Pessoal'!$M$7:$M$506&lt;=J$3,('Gastos com Pessoal'!$N$7:$N$506)+1,1))*(IF('Gastos com Pessoal'!$S$7:$S$506&lt;=J$3,('Gastos com Pessoal'!$T$7:$T$506)+1,1))*(IF('Gastos com Pessoal'!$Y$7:$Y$506&lt;=J$3,('Gastos com Pessoal'!$Z$7:$Z$506)+1,1))*(IF('Gastos com Pessoal'!$AE$7:$AE$506&lt;=J$3,('Gastos com Pessoal'!$AF$7:$AF$506)+1,1)),0)</f>
        <v>167776.95464308828</v>
      </c>
      <c r="K38" s="188">
        <f t="array" aca="1" ref="K38" ca="1">_xlfn.IFNA(SUM((K$3&gt;='Gastos com Pessoal'!$E$7:$E$506)*(K$3&lt;='Gastos com Pessoal'!$F$7:$F$506)*OFFSET('Encargos e Benefícios'!$D$5,1,MATCH($B38,'Encargos e Benefícios'!$E$5:$AB$5,0),500,1))*(IF('Gastos com Pessoal'!$G$7:$G$506&lt;=K$3,('Gastos com Pessoal'!$H$7:$H$506)+1,1))*(IF('Gastos com Pessoal'!$M$7:$M$506&lt;=K$3,('Gastos com Pessoal'!$N$7:$N$506)+1,1))*(IF('Gastos com Pessoal'!$S$7:$S$506&lt;=K$3,('Gastos com Pessoal'!$T$7:$T$506)+1,1))*(IF('Gastos com Pessoal'!$Y$7:$Y$506&lt;=K$3,('Gastos com Pessoal'!$Z$7:$Z$506)+1,1))*(IF('Gastos com Pessoal'!$AE$7:$AE$506&lt;=K$3,('Gastos com Pessoal'!$AF$7:$AF$506)+1,1)),0)</f>
        <v>175849.03888074157</v>
      </c>
      <c r="L38" s="188">
        <f t="array" aca="1" ref="L38" ca="1">_xlfn.IFNA(SUM((L$3&gt;='Gastos com Pessoal'!$E$7:$E$506)*(L$3&lt;='Gastos com Pessoal'!$F$7:$F$506)*OFFSET('Encargos e Benefícios'!$D$5,1,MATCH($B38,'Encargos e Benefícios'!$E$5:$AB$5,0),500,1))*(IF('Gastos com Pessoal'!$G$7:$G$506&lt;=L$3,('Gastos com Pessoal'!$H$7:$H$506)+1,1))*(IF('Gastos com Pessoal'!$M$7:$M$506&lt;=L$3,('Gastos com Pessoal'!$N$7:$N$506)+1,1))*(IF('Gastos com Pessoal'!$S$7:$S$506&lt;=L$3,('Gastos com Pessoal'!$T$7:$T$506)+1,1))*(IF('Gastos com Pessoal'!$Y$7:$Y$506&lt;=L$3,('Gastos com Pessoal'!$Z$7:$Z$506)+1,1))*(IF('Gastos com Pessoal'!$AE$7:$AE$506&lt;=L$3,('Gastos com Pessoal'!$AF$7:$AF$506)+1,1)),0)</f>
        <v>176975.94787794157</v>
      </c>
      <c r="M38" s="188">
        <f t="array" aca="1" ref="M38" ca="1">_xlfn.IFNA(SUM((M$3&gt;='Gastos com Pessoal'!$E$7:$E$506)*(M$3&lt;='Gastos com Pessoal'!$F$7:$F$506)*OFFSET('Encargos e Benefícios'!$D$5,1,MATCH($B38,'Encargos e Benefícios'!$E$5:$AB$5,0),500,1))*(IF('Gastos com Pessoal'!$G$7:$G$506&lt;=M$3,('Gastos com Pessoal'!$H$7:$H$506)+1,1))*(IF('Gastos com Pessoal'!$M$7:$M$506&lt;=M$3,('Gastos com Pessoal'!$N$7:$N$506)+1,1))*(IF('Gastos com Pessoal'!$S$7:$S$506&lt;=M$3,('Gastos com Pessoal'!$T$7:$T$506)+1,1))*(IF('Gastos com Pessoal'!$Y$7:$Y$506&lt;=M$3,('Gastos com Pessoal'!$Z$7:$Z$506)+1,1))*(IF('Gastos com Pessoal'!$AE$7:$AE$506&lt;=M$3,('Gastos com Pessoal'!$AF$7:$AF$506)+1,1)),0)</f>
        <v>176975.94787794157</v>
      </c>
      <c r="N38" s="188">
        <f t="array" aca="1" ref="N38" ca="1">_xlfn.IFNA(SUM((N$3&gt;='Gastos com Pessoal'!$E$7:$E$506)*(N$3&lt;='Gastos com Pessoal'!$F$7:$F$506)*OFFSET('Encargos e Benefícios'!$D$5,1,MATCH($B38,'Encargos e Benefícios'!$E$5:$AB$5,0),500,1))*(IF('Gastos com Pessoal'!$G$7:$G$506&lt;=N$3,('Gastos com Pessoal'!$H$7:$H$506)+1,1))*(IF('Gastos com Pessoal'!$M$7:$M$506&lt;=N$3,('Gastos com Pessoal'!$N$7:$N$506)+1,1))*(IF('Gastos com Pessoal'!$S$7:$S$506&lt;=N$3,('Gastos com Pessoal'!$T$7:$T$506)+1,1))*(IF('Gastos com Pessoal'!$Y$7:$Y$506&lt;=N$3,('Gastos com Pessoal'!$Z$7:$Z$506)+1,1))*(IF('Gastos com Pessoal'!$AE$7:$AE$506&lt;=N$3,('Gastos com Pessoal'!$AF$7:$AF$506)+1,1)),0)</f>
        <v>185048.03211559486</v>
      </c>
      <c r="O38" s="188">
        <f t="array" aca="1" ref="O38" ca="1">_xlfn.IFNA(SUM((O$3&gt;='Gastos com Pessoal'!$E$7:$E$506)*(O$3&lt;='Gastos com Pessoal'!$F$7:$F$506)*OFFSET('Encargos e Benefícios'!$D$5,1,MATCH($B38,'Encargos e Benefícios'!$E$5:$AB$5,0),500,1))*(IF('Gastos com Pessoal'!$G$7:$G$506&lt;=O$3,('Gastos com Pessoal'!$H$7:$H$506)+1,1))*(IF('Gastos com Pessoal'!$M$7:$M$506&lt;=O$3,('Gastos com Pessoal'!$N$7:$N$506)+1,1))*(IF('Gastos com Pessoal'!$S$7:$S$506&lt;=O$3,('Gastos com Pessoal'!$T$7:$T$506)+1,1))*(IF('Gastos com Pessoal'!$Y$7:$Y$506&lt;=O$3,('Gastos com Pessoal'!$Z$7:$Z$506)+1,1))*(IF('Gastos com Pessoal'!$AE$7:$AE$506&lt;=O$3,('Gastos com Pessoal'!$AF$7:$AF$506)+1,1)),0)</f>
        <v>185048.03211559486</v>
      </c>
      <c r="P38" s="188">
        <f t="array" aca="1" ref="P38" ca="1">_xlfn.IFNA(SUM((P$3&gt;='Gastos com Pessoal'!$E$7:$E$506)*(P$3&lt;='Gastos com Pessoal'!$F$7:$F$506)*OFFSET('Encargos e Benefícios'!$D$5,1,MATCH($B38,'Encargos e Benefícios'!$E$5:$AB$5,0),500,1))*(IF('Gastos com Pessoal'!$G$7:$G$506&lt;=P$3,('Gastos com Pessoal'!$H$7:$H$506)+1,1))*(IF('Gastos com Pessoal'!$M$7:$M$506&lt;=P$3,('Gastos com Pessoal'!$N$7:$N$506)+1,1))*(IF('Gastos com Pessoal'!$S$7:$S$506&lt;=P$3,('Gastos com Pessoal'!$T$7:$T$506)+1,1))*(IF('Gastos com Pessoal'!$Y$7:$Y$506&lt;=P$3,('Gastos com Pessoal'!$Z$7:$Z$506)+1,1))*(IF('Gastos com Pessoal'!$AE$7:$AE$506&lt;=P$3,('Gastos com Pessoal'!$AF$7:$AF$506)+1,1)),0)</f>
        <v>185048.03211559486</v>
      </c>
      <c r="Q38" s="188">
        <f t="array" aca="1" ref="Q38" ca="1">_xlfn.IFNA(SUM((Q$3&gt;='Gastos com Pessoal'!$E$7:$E$506)*(Q$3&lt;='Gastos com Pessoal'!$F$7:$F$506)*OFFSET('Encargos e Benefícios'!$D$5,1,MATCH($B38,'Encargos e Benefícios'!$E$5:$AB$5,0),500,1))*(IF('Gastos com Pessoal'!$G$7:$G$506&lt;=Q$3,('Gastos com Pessoal'!$H$7:$H$506)+1,1))*(IF('Gastos com Pessoal'!$M$7:$M$506&lt;=Q$3,('Gastos com Pessoal'!$N$7:$N$506)+1,1))*(IF('Gastos com Pessoal'!$S$7:$S$506&lt;=Q$3,('Gastos com Pessoal'!$T$7:$T$506)+1,1))*(IF('Gastos com Pessoal'!$Y$7:$Y$506&lt;=Q$3,('Gastos com Pessoal'!$Z$7:$Z$506)+1,1))*(IF('Gastos com Pessoal'!$AE$7:$AE$506&lt;=Q$3,('Gastos com Pessoal'!$AF$7:$AF$506)+1,1)),0)</f>
        <v>185048.03211559486</v>
      </c>
      <c r="R38" s="188">
        <f t="array" aca="1" ref="R38" ca="1">_xlfn.IFNA(SUM((R$3&gt;='Gastos com Pessoal'!$E$7:$E$506)*(R$3&lt;='Gastos com Pessoal'!$F$7:$F$506)*OFFSET('Encargos e Benefícios'!$D$5,1,MATCH($B38,'Encargos e Benefícios'!$E$5:$AB$5,0),500,1))*(IF('Gastos com Pessoal'!$G$7:$G$506&lt;=R$3,('Gastos com Pessoal'!$H$7:$H$506)+1,1))*(IF('Gastos com Pessoal'!$M$7:$M$506&lt;=R$3,('Gastos com Pessoal'!$N$7:$N$506)+1,1))*(IF('Gastos com Pessoal'!$S$7:$S$506&lt;=R$3,('Gastos com Pessoal'!$T$7:$T$506)+1,1))*(IF('Gastos com Pessoal'!$Y$7:$Y$506&lt;=R$3,('Gastos com Pessoal'!$Z$7:$Z$506)+1,1))*(IF('Gastos com Pessoal'!$AE$7:$AE$506&lt;=R$3,('Gastos com Pessoal'!$AF$7:$AF$506)+1,1)),0)</f>
        <v>185048.03211559486</v>
      </c>
      <c r="S38" s="188">
        <f t="array" aca="1" ref="S38" ca="1">_xlfn.IFNA(SUM((S$3&gt;='Gastos com Pessoal'!$E$7:$E$506)*(S$3&lt;='Gastos com Pessoal'!$F$7:$F$506)*OFFSET('Encargos e Benefícios'!$D$5,1,MATCH($B38,'Encargos e Benefícios'!$E$5:$AB$5,0),500,1))*(IF('Gastos com Pessoal'!$G$7:$G$506&lt;=S$3,('Gastos com Pessoal'!$H$7:$H$506)+1,1))*(IF('Gastos com Pessoal'!$M$7:$M$506&lt;=S$3,('Gastos com Pessoal'!$N$7:$N$506)+1,1))*(IF('Gastos com Pessoal'!$S$7:$S$506&lt;=S$3,('Gastos com Pessoal'!$T$7:$T$506)+1,1))*(IF('Gastos com Pessoal'!$Y$7:$Y$506&lt;=S$3,('Gastos com Pessoal'!$Z$7:$Z$506)+1,1))*(IF('Gastos com Pessoal'!$AE$7:$AE$506&lt;=S$3,('Gastos com Pessoal'!$AF$7:$AF$506)+1,1)),0)</f>
        <v>195854.83719114561</v>
      </c>
      <c r="T38" s="188">
        <f t="array" aca="1" ref="T38" ca="1">_xlfn.IFNA(SUM((T$3&gt;='Gastos com Pessoal'!$E$7:$E$506)*(T$3&lt;='Gastos com Pessoal'!$F$7:$F$506)*OFFSET('Encargos e Benefícios'!$D$5,1,MATCH($B38,'Encargos e Benefícios'!$E$5:$AB$5,0),500,1))*(IF('Gastos com Pessoal'!$G$7:$G$506&lt;=T$3,('Gastos com Pessoal'!$H$7:$H$506)+1,1))*(IF('Gastos com Pessoal'!$M$7:$M$506&lt;=T$3,('Gastos com Pessoal'!$N$7:$N$506)+1,1))*(IF('Gastos com Pessoal'!$S$7:$S$506&lt;=T$3,('Gastos com Pessoal'!$T$7:$T$506)+1,1))*(IF('Gastos com Pessoal'!$Y$7:$Y$506&lt;=T$3,('Gastos com Pessoal'!$Z$7:$Z$506)+1,1))*(IF('Gastos com Pessoal'!$AE$7:$AE$506&lt;=T$3,('Gastos com Pessoal'!$AF$7:$AF$506)+1,1)),0)</f>
        <v>195854.83719114561</v>
      </c>
      <c r="U38" s="188">
        <f t="array" aca="1" ref="U38" ca="1">_xlfn.IFNA(SUM((U$3&gt;='Gastos com Pessoal'!$E$7:$E$506)*(U$3&lt;='Gastos com Pessoal'!$F$7:$F$506)*OFFSET('Encargos e Benefícios'!$D$5,1,MATCH($B38,'Encargos e Benefícios'!$E$5:$AB$5,0),500,1))*(IF('Gastos com Pessoal'!$G$7:$G$506&lt;=U$3,('Gastos com Pessoal'!$H$7:$H$506)+1,1))*(IF('Gastos com Pessoal'!$M$7:$M$506&lt;=U$3,('Gastos com Pessoal'!$N$7:$N$506)+1,1))*(IF('Gastos com Pessoal'!$S$7:$S$506&lt;=U$3,('Gastos com Pessoal'!$T$7:$T$506)+1,1))*(IF('Gastos com Pessoal'!$Y$7:$Y$506&lt;=U$3,('Gastos com Pessoal'!$Z$7:$Z$506)+1,1))*(IF('Gastos com Pessoal'!$AE$7:$AE$506&lt;=U$3,('Gastos com Pessoal'!$AF$7:$AF$506)+1,1)),0)</f>
        <v>195854.83719114561</v>
      </c>
      <c r="V38" s="188">
        <f t="array" aca="1" ref="V38" ca="1">_xlfn.IFNA(SUM((V$3&gt;='Gastos com Pessoal'!$E$7:$E$506)*(V$3&lt;='Gastos com Pessoal'!$F$7:$F$506)*OFFSET('Encargos e Benefícios'!$D$5,1,MATCH($B38,'Encargos e Benefícios'!$E$5:$AB$5,0),500,1))*(IF('Gastos com Pessoal'!$G$7:$G$506&lt;=V$3,('Gastos com Pessoal'!$H$7:$H$506)+1,1))*(IF('Gastos com Pessoal'!$M$7:$M$506&lt;=V$3,('Gastos com Pessoal'!$N$7:$N$506)+1,1))*(IF('Gastos com Pessoal'!$S$7:$S$506&lt;=V$3,('Gastos com Pessoal'!$T$7:$T$506)+1,1))*(IF('Gastos com Pessoal'!$Y$7:$Y$506&lt;=V$3,('Gastos com Pessoal'!$Z$7:$Z$506)+1,1))*(IF('Gastos com Pessoal'!$AE$7:$AE$506&lt;=V$3,('Gastos com Pessoal'!$AF$7:$AF$506)+1,1)),0)</f>
        <v>195854.83719114561</v>
      </c>
      <c r="W38" s="188">
        <f t="array" aca="1" ref="W38" ca="1">_xlfn.IFNA(SUM((W$3&gt;='Gastos com Pessoal'!$E$7:$E$506)*(W$3&lt;='Gastos com Pessoal'!$F$7:$F$506)*OFFSET('Encargos e Benefícios'!$D$5,1,MATCH($B38,'Encargos e Benefícios'!$E$5:$AB$5,0),500,1))*(IF('Gastos com Pessoal'!$G$7:$G$506&lt;=W$3,('Gastos com Pessoal'!$H$7:$H$506)+1,1))*(IF('Gastos com Pessoal'!$M$7:$M$506&lt;=W$3,('Gastos com Pessoal'!$N$7:$N$506)+1,1))*(IF('Gastos com Pessoal'!$S$7:$S$506&lt;=W$3,('Gastos com Pessoal'!$T$7:$T$506)+1,1))*(IF('Gastos com Pessoal'!$Y$7:$Y$506&lt;=W$3,('Gastos com Pessoal'!$Z$7:$Z$506)+1,1))*(IF('Gastos com Pessoal'!$AE$7:$AE$506&lt;=W$3,('Gastos com Pessoal'!$AF$7:$AF$506)+1,1)),0)</f>
        <v>195854.83719114561</v>
      </c>
      <c r="X38" s="188">
        <f t="array" aca="1" ref="X38" ca="1">_xlfn.IFNA(SUM((X$3&gt;='Gastos com Pessoal'!$E$7:$E$506)*(X$3&lt;='Gastos com Pessoal'!$F$7:$F$506)*OFFSET('Encargos e Benefícios'!$D$5,1,MATCH($B38,'Encargos e Benefícios'!$E$5:$AB$5,0),500,1))*(IF('Gastos com Pessoal'!$G$7:$G$506&lt;=X$3,('Gastos com Pessoal'!$H$7:$H$506)+1,1))*(IF('Gastos com Pessoal'!$M$7:$M$506&lt;=X$3,('Gastos com Pessoal'!$N$7:$N$506)+1,1))*(IF('Gastos com Pessoal'!$S$7:$S$506&lt;=X$3,('Gastos com Pessoal'!$T$7:$T$506)+1,1))*(IF('Gastos com Pessoal'!$Y$7:$Y$506&lt;=X$3,('Gastos com Pessoal'!$Z$7:$Z$506)+1,1))*(IF('Gastos com Pessoal'!$AE$7:$AE$506&lt;=X$3,('Gastos com Pessoal'!$AF$7:$AF$506)+1,1)),0)</f>
        <v>195854.83719114561</v>
      </c>
      <c r="Y38" s="188">
        <f t="array" aca="1" ref="Y38" ca="1">_xlfn.IFNA(SUM((Y$3&gt;='Gastos com Pessoal'!$E$7:$E$506)*(Y$3&lt;='Gastos com Pessoal'!$F$7:$F$506)*OFFSET('Encargos e Benefícios'!$D$5,1,MATCH($B38,'Encargos e Benefícios'!$E$5:$AB$5,0),500,1))*(IF('Gastos com Pessoal'!$G$7:$G$506&lt;=Y$3,('Gastos com Pessoal'!$H$7:$H$506)+1,1))*(IF('Gastos com Pessoal'!$M$7:$M$506&lt;=Y$3,('Gastos com Pessoal'!$N$7:$N$506)+1,1))*(IF('Gastos com Pessoal'!$S$7:$S$506&lt;=Y$3,('Gastos com Pessoal'!$T$7:$T$506)+1,1))*(IF('Gastos com Pessoal'!$Y$7:$Y$506&lt;=Y$3,('Gastos com Pessoal'!$Z$7:$Z$506)+1,1))*(IF('Gastos com Pessoal'!$AE$7:$AE$506&lt;=Y$3,('Gastos com Pessoal'!$AF$7:$AF$506)+1,1)),0)</f>
        <v>195854.83719114561</v>
      </c>
      <c r="Z38" s="188">
        <f t="array" aca="1" ref="Z38" ca="1">_xlfn.IFNA(SUM((Z$3&gt;='Gastos com Pessoal'!$E$7:$E$506)*(Z$3&lt;='Gastos com Pessoal'!$F$7:$F$506)*OFFSET('Encargos e Benefícios'!$D$5,1,MATCH($B38,'Encargos e Benefícios'!$E$5:$AB$5,0),500,1))*(IF('Gastos com Pessoal'!$G$7:$G$506&lt;=Z$3,('Gastos com Pessoal'!$H$7:$H$506)+1,1))*(IF('Gastos com Pessoal'!$M$7:$M$506&lt;=Z$3,('Gastos com Pessoal'!$N$7:$N$506)+1,1))*(IF('Gastos com Pessoal'!$S$7:$S$506&lt;=Z$3,('Gastos com Pessoal'!$T$7:$T$506)+1,1))*(IF('Gastos com Pessoal'!$Y$7:$Y$506&lt;=Z$3,('Gastos com Pessoal'!$Z$7:$Z$506)+1,1))*(IF('Gastos com Pessoal'!$AE$7:$AE$506&lt;=Z$3,('Gastos com Pessoal'!$AF$7:$AF$506)+1,1)),0)</f>
        <v>195854.83719114561</v>
      </c>
      <c r="AA38" s="188">
        <f t="array" aca="1" ref="AA38" ca="1">_xlfn.IFNA(SUM((AA$3&gt;='Gastos com Pessoal'!$E$7:$E$506)*(AA$3&lt;='Gastos com Pessoal'!$F$7:$F$506)*OFFSET('Encargos e Benefícios'!$D$5,1,MATCH($B38,'Encargos e Benefícios'!$E$5:$AB$5,0),500,1))*(IF('Gastos com Pessoal'!$G$7:$G$506&lt;=AA$3,('Gastos com Pessoal'!$H$7:$H$506)+1,1))*(IF('Gastos com Pessoal'!$M$7:$M$506&lt;=AA$3,('Gastos com Pessoal'!$N$7:$N$506)+1,1))*(IF('Gastos com Pessoal'!$S$7:$S$506&lt;=AA$3,('Gastos com Pessoal'!$T$7:$T$506)+1,1))*(IF('Gastos com Pessoal'!$Y$7:$Y$506&lt;=AA$3,('Gastos com Pessoal'!$Z$7:$Z$506)+1,1))*(IF('Gastos com Pessoal'!$AE$7:$AE$506&lt;=AA$3,('Gastos com Pessoal'!$AF$7:$AF$506)+1,1)),0)</f>
        <v>195854.83719114561</v>
      </c>
      <c r="AB38" s="188">
        <f t="array" aca="1" ref="AB38" ca="1">_xlfn.IFNA(SUM((AB$3&gt;='Gastos com Pessoal'!$E$7:$E$506)*(AB$3&lt;='Gastos com Pessoal'!$F$7:$F$506)*OFFSET('Encargos e Benefícios'!$D$5,1,MATCH($B38,'Encargos e Benefícios'!$E$5:$AB$5,0),500,1))*(IF('Gastos com Pessoal'!$G$7:$G$506&lt;=AB$3,('Gastos com Pessoal'!$H$7:$H$506)+1,1))*(IF('Gastos com Pessoal'!$M$7:$M$506&lt;=AB$3,('Gastos com Pessoal'!$N$7:$N$506)+1,1))*(IF('Gastos com Pessoal'!$S$7:$S$506&lt;=AB$3,('Gastos com Pessoal'!$T$7:$T$506)+1,1))*(IF('Gastos com Pessoal'!$Y$7:$Y$506&lt;=AB$3,('Gastos com Pessoal'!$Z$7:$Z$506)+1,1))*(IF('Gastos com Pessoal'!$AE$7:$AE$506&lt;=AB$3,('Gastos com Pessoal'!$AF$7:$AF$506)+1,1)),0)</f>
        <v>195854.83719114561</v>
      </c>
      <c r="AC38" s="188">
        <f t="array" aca="1" ref="AC38" ca="1">_xlfn.IFNA(SUM((AC$3&gt;='Gastos com Pessoal'!$E$7:$E$506)*(AC$3&lt;='Gastos com Pessoal'!$F$7:$F$506)*OFFSET('Encargos e Benefícios'!$D$5,1,MATCH($B38,'Encargos e Benefícios'!$E$5:$AB$5,0),500,1))*(IF('Gastos com Pessoal'!$G$7:$G$506&lt;=AC$3,('Gastos com Pessoal'!$H$7:$H$506)+1,1))*(IF('Gastos com Pessoal'!$M$7:$M$506&lt;=AC$3,('Gastos com Pessoal'!$N$7:$N$506)+1,1))*(IF('Gastos com Pessoal'!$S$7:$S$506&lt;=AC$3,('Gastos com Pessoal'!$T$7:$T$506)+1,1))*(IF('Gastos com Pessoal'!$Y$7:$Y$506&lt;=AC$3,('Gastos com Pessoal'!$Z$7:$Z$506)+1,1))*(IF('Gastos com Pessoal'!$AE$7:$AE$506&lt;=AC$3,('Gastos com Pessoal'!$AF$7:$AF$506)+1,1)),0)</f>
        <v>195854.83719114561</v>
      </c>
      <c r="AD38" s="188">
        <f t="array" aca="1" ref="AD38" ca="1">_xlfn.IFNA(SUM((AD$3&gt;='Gastos com Pessoal'!$E$7:$E$506)*(AD$3&lt;='Gastos com Pessoal'!$F$7:$F$506)*OFFSET('Encargos e Benefícios'!$D$5,1,MATCH($B38,'Encargos e Benefícios'!$E$5:$AB$5,0),500,1))*(IF('Gastos com Pessoal'!$G$7:$G$506&lt;=AD$3,('Gastos com Pessoal'!$H$7:$H$506)+1,1))*(IF('Gastos com Pessoal'!$M$7:$M$506&lt;=AD$3,('Gastos com Pessoal'!$N$7:$N$506)+1,1))*(IF('Gastos com Pessoal'!$S$7:$S$506&lt;=AD$3,('Gastos com Pessoal'!$T$7:$T$506)+1,1))*(IF('Gastos com Pessoal'!$Y$7:$Y$506&lt;=AD$3,('Gastos com Pessoal'!$Z$7:$Z$506)+1,1))*(IF('Gastos com Pessoal'!$AE$7:$AE$506&lt;=AD$3,('Gastos com Pessoal'!$AF$7:$AF$506)+1,1)),0)</f>
        <v>195854.83719114561</v>
      </c>
      <c r="AE38" s="188">
        <f t="array" aca="1" ref="AE38" ca="1">_xlfn.IFNA(SUM((AE$3&gt;='Gastos com Pessoal'!$E$7:$E$506)*(AE$3&lt;='Gastos com Pessoal'!$F$7:$F$506)*OFFSET('Encargos e Benefícios'!$D$5,1,MATCH($B38,'Encargos e Benefícios'!$E$5:$AB$5,0),500,1))*(IF('Gastos com Pessoal'!$G$7:$G$506&lt;=AE$3,('Gastos com Pessoal'!$H$7:$H$506)+1,1))*(IF('Gastos com Pessoal'!$M$7:$M$506&lt;=AE$3,('Gastos com Pessoal'!$N$7:$N$506)+1,1))*(IF('Gastos com Pessoal'!$S$7:$S$506&lt;=AE$3,('Gastos com Pessoal'!$T$7:$T$506)+1,1))*(IF('Gastos com Pessoal'!$Y$7:$Y$506&lt;=AE$3,('Gastos com Pessoal'!$Z$7:$Z$506)+1,1))*(IF('Gastos com Pessoal'!$AE$7:$AE$506&lt;=AE$3,('Gastos com Pessoal'!$AF$7:$AF$506)+1,1)),0)</f>
        <v>207292.75968310851</v>
      </c>
      <c r="AF38" s="188">
        <f t="array" aca="1" ref="AF38" ca="1">_xlfn.IFNA(SUM((AF$3&gt;='Gastos com Pessoal'!$E$7:$E$506)*(AF$3&lt;='Gastos com Pessoal'!$F$7:$F$506)*OFFSET('Encargos e Benefícios'!$D$5,1,MATCH($B38,'Encargos e Benefícios'!$E$5:$AB$5,0),500,1))*(IF('Gastos com Pessoal'!$G$7:$G$506&lt;=AF$3,('Gastos com Pessoal'!$H$7:$H$506)+1,1))*(IF('Gastos com Pessoal'!$M$7:$M$506&lt;=AF$3,('Gastos com Pessoal'!$N$7:$N$506)+1,1))*(IF('Gastos com Pessoal'!$S$7:$S$506&lt;=AF$3,('Gastos com Pessoal'!$T$7:$T$506)+1,1))*(IF('Gastos com Pessoal'!$Y$7:$Y$506&lt;=AF$3,('Gastos com Pessoal'!$Z$7:$Z$506)+1,1))*(IF('Gastos com Pessoal'!$AE$7:$AE$506&lt;=AF$3,('Gastos com Pessoal'!$AF$7:$AF$506)+1,1)),0)</f>
        <v>207292.75968310851</v>
      </c>
      <c r="AG38" s="188">
        <f t="array" aca="1" ref="AG38" ca="1">_xlfn.IFNA(SUM((AG$3&gt;='Gastos com Pessoal'!$E$7:$E$506)*(AG$3&lt;='Gastos com Pessoal'!$F$7:$F$506)*OFFSET('Encargos e Benefícios'!$D$5,1,MATCH($B38,'Encargos e Benefícios'!$E$5:$AB$5,0),500,1))*(IF('Gastos com Pessoal'!$G$7:$G$506&lt;=AG$3,('Gastos com Pessoal'!$H$7:$H$506)+1,1))*(IF('Gastos com Pessoal'!$M$7:$M$506&lt;=AG$3,('Gastos com Pessoal'!$N$7:$N$506)+1,1))*(IF('Gastos com Pessoal'!$S$7:$S$506&lt;=AG$3,('Gastos com Pessoal'!$T$7:$T$506)+1,1))*(IF('Gastos com Pessoal'!$Y$7:$Y$506&lt;=AG$3,('Gastos com Pessoal'!$Z$7:$Z$506)+1,1))*(IF('Gastos com Pessoal'!$AE$7:$AE$506&lt;=AG$3,('Gastos com Pessoal'!$AF$7:$AF$506)+1,1)),0)</f>
        <v>207292.75968310851</v>
      </c>
      <c r="AH38" s="188">
        <f t="array" aca="1" ref="AH38" ca="1">_xlfn.IFNA(SUM((AH$3&gt;='Gastos com Pessoal'!$E$7:$E$506)*(AH$3&lt;='Gastos com Pessoal'!$F$7:$F$506)*OFFSET('Encargos e Benefícios'!$D$5,1,MATCH($B38,'Encargos e Benefícios'!$E$5:$AB$5,0),500,1))*(IF('Gastos com Pessoal'!$G$7:$G$506&lt;=AH$3,('Gastos com Pessoal'!$H$7:$H$506)+1,1))*(IF('Gastos com Pessoal'!$M$7:$M$506&lt;=AH$3,('Gastos com Pessoal'!$N$7:$N$506)+1,1))*(IF('Gastos com Pessoal'!$S$7:$S$506&lt;=AH$3,('Gastos com Pessoal'!$T$7:$T$506)+1,1))*(IF('Gastos com Pessoal'!$Y$7:$Y$506&lt;=AH$3,('Gastos com Pessoal'!$Z$7:$Z$506)+1,1))*(IF('Gastos com Pessoal'!$AE$7:$AE$506&lt;=AH$3,('Gastos com Pessoal'!$AF$7:$AF$506)+1,1)),0)</f>
        <v>207292.75968310851</v>
      </c>
      <c r="AI38" s="188">
        <f t="array" aca="1" ref="AI38" ca="1">_xlfn.IFNA(SUM((AI$3&gt;='Gastos com Pessoal'!$E$7:$E$506)*(AI$3&lt;='Gastos com Pessoal'!$F$7:$F$506)*OFFSET('Encargos e Benefícios'!$D$5,1,MATCH($B38,'Encargos e Benefícios'!$E$5:$AB$5,0),500,1))*(IF('Gastos com Pessoal'!$G$7:$G$506&lt;=AI$3,('Gastos com Pessoal'!$H$7:$H$506)+1,1))*(IF('Gastos com Pessoal'!$M$7:$M$506&lt;=AI$3,('Gastos com Pessoal'!$N$7:$N$506)+1,1))*(IF('Gastos com Pessoal'!$S$7:$S$506&lt;=AI$3,('Gastos com Pessoal'!$T$7:$T$506)+1,1))*(IF('Gastos com Pessoal'!$Y$7:$Y$506&lt;=AI$3,('Gastos com Pessoal'!$Z$7:$Z$506)+1,1))*(IF('Gastos com Pessoal'!$AE$7:$AE$506&lt;=AI$3,('Gastos com Pessoal'!$AF$7:$AF$506)+1,1)),0)</f>
        <v>207292.75968310851</v>
      </c>
      <c r="AJ38" s="188">
        <f t="array" aca="1" ref="AJ38" ca="1">_xlfn.IFNA(SUM((AJ$3&gt;='Gastos com Pessoal'!$E$7:$E$506)*(AJ$3&lt;='Gastos com Pessoal'!$F$7:$F$506)*OFFSET('Encargos e Benefícios'!$D$5,1,MATCH($B38,'Encargos e Benefícios'!$E$5:$AB$5,0),500,1))*(IF('Gastos com Pessoal'!$G$7:$G$506&lt;=AJ$3,('Gastos com Pessoal'!$H$7:$H$506)+1,1))*(IF('Gastos com Pessoal'!$M$7:$M$506&lt;=AJ$3,('Gastos com Pessoal'!$N$7:$N$506)+1,1))*(IF('Gastos com Pessoal'!$S$7:$S$506&lt;=AJ$3,('Gastos com Pessoal'!$T$7:$T$506)+1,1))*(IF('Gastos com Pessoal'!$Y$7:$Y$506&lt;=AJ$3,('Gastos com Pessoal'!$Z$7:$Z$506)+1,1))*(IF('Gastos com Pessoal'!$AE$7:$AE$506&lt;=AJ$3,('Gastos com Pessoal'!$AF$7:$AF$506)+1,1)),0)</f>
        <v>207292.75968310851</v>
      </c>
      <c r="AK38" s="188">
        <f t="array" aca="1" ref="AK38" ca="1">_xlfn.IFNA(SUM((AK$3&gt;='Gastos com Pessoal'!$E$7:$E$506)*(AK$3&lt;='Gastos com Pessoal'!$F$7:$F$506)*OFFSET('Encargos e Benefícios'!$D$5,1,MATCH($B38,'Encargos e Benefícios'!$E$5:$AB$5,0),500,1))*(IF('Gastos com Pessoal'!$G$7:$G$506&lt;=AK$3,('Gastos com Pessoal'!$H$7:$H$506)+1,1))*(IF('Gastos com Pessoal'!$M$7:$M$506&lt;=AK$3,('Gastos com Pessoal'!$N$7:$N$506)+1,1))*(IF('Gastos com Pessoal'!$S$7:$S$506&lt;=AK$3,('Gastos com Pessoal'!$T$7:$T$506)+1,1))*(IF('Gastos com Pessoal'!$Y$7:$Y$506&lt;=AK$3,('Gastos com Pessoal'!$Z$7:$Z$506)+1,1))*(IF('Gastos com Pessoal'!$AE$7:$AE$506&lt;=AK$3,('Gastos com Pessoal'!$AF$7:$AF$506)+1,1)),0)</f>
        <v>207292.75968310851</v>
      </c>
      <c r="AL38" s="188">
        <f t="array" aca="1" ref="AL38" ca="1">_xlfn.IFNA(SUM((AL$3&gt;='Gastos com Pessoal'!$E$7:$E$506)*(AL$3&lt;='Gastos com Pessoal'!$F$7:$F$506)*OFFSET('Encargos e Benefícios'!$D$5,1,MATCH($B38,'Encargos e Benefícios'!$E$5:$AB$5,0),500,1))*(IF('Gastos com Pessoal'!$G$7:$G$506&lt;=AL$3,('Gastos com Pessoal'!$H$7:$H$506)+1,1))*(IF('Gastos com Pessoal'!$M$7:$M$506&lt;=AL$3,('Gastos com Pessoal'!$N$7:$N$506)+1,1))*(IF('Gastos com Pessoal'!$S$7:$S$506&lt;=AL$3,('Gastos com Pessoal'!$T$7:$T$506)+1,1))*(IF('Gastos com Pessoal'!$Y$7:$Y$506&lt;=AL$3,('Gastos com Pessoal'!$Z$7:$Z$506)+1,1))*(IF('Gastos com Pessoal'!$AE$7:$AE$506&lt;=AL$3,('Gastos com Pessoal'!$AF$7:$AF$506)+1,1)),0)</f>
        <v>207292.75968310851</v>
      </c>
      <c r="AM38" s="188">
        <f t="array" aca="1" ref="AM38" ca="1">_xlfn.IFNA(SUM((AM$3&gt;='Gastos com Pessoal'!$E$7:$E$506)*(AM$3&lt;='Gastos com Pessoal'!$F$7:$F$506)*OFFSET('Encargos e Benefícios'!$D$5,1,MATCH($B38,'Encargos e Benefícios'!$E$5:$AB$5,0),500,1))*(IF('Gastos com Pessoal'!$G$7:$G$506&lt;=AM$3,('Gastos com Pessoal'!$H$7:$H$506)+1,1))*(IF('Gastos com Pessoal'!$M$7:$M$506&lt;=AM$3,('Gastos com Pessoal'!$N$7:$N$506)+1,1))*(IF('Gastos com Pessoal'!$S$7:$S$506&lt;=AM$3,('Gastos com Pessoal'!$T$7:$T$506)+1,1))*(IF('Gastos com Pessoal'!$Y$7:$Y$506&lt;=AM$3,('Gastos com Pessoal'!$Z$7:$Z$506)+1,1))*(IF('Gastos com Pessoal'!$AE$7:$AE$506&lt;=AM$3,('Gastos com Pessoal'!$AF$7:$AF$506)+1,1)),0)</f>
        <v>207292.75968310851</v>
      </c>
      <c r="AN38" s="188">
        <f t="array" aca="1" ref="AN38" ca="1">_xlfn.IFNA(SUM((AN$3&gt;='Gastos com Pessoal'!$E$7:$E$506)*(AN$3&lt;='Gastos com Pessoal'!$F$7:$F$506)*OFFSET('Encargos e Benefícios'!$D$5,1,MATCH($B38,'Encargos e Benefícios'!$E$5:$AB$5,0),500,1))*(IF('Gastos com Pessoal'!$G$7:$G$506&lt;=AN$3,('Gastos com Pessoal'!$H$7:$H$506)+1,1))*(IF('Gastos com Pessoal'!$M$7:$M$506&lt;=AN$3,('Gastos com Pessoal'!$N$7:$N$506)+1,1))*(IF('Gastos com Pessoal'!$S$7:$S$506&lt;=AN$3,('Gastos com Pessoal'!$T$7:$T$506)+1,1))*(IF('Gastos com Pessoal'!$Y$7:$Y$506&lt;=AN$3,('Gastos com Pessoal'!$Z$7:$Z$506)+1,1))*(IF('Gastos com Pessoal'!$AE$7:$AE$506&lt;=AN$3,('Gastos com Pessoal'!$AF$7:$AF$506)+1,1)),0)</f>
        <v>207292.75968310851</v>
      </c>
      <c r="AO38" s="188">
        <f t="array" aca="1" ref="AO38" ca="1">_xlfn.IFNA(SUM((AO$3&gt;='Gastos com Pessoal'!$E$7:$E$506)*(AO$3&lt;='Gastos com Pessoal'!$F$7:$F$506)*OFFSET('Encargos e Benefícios'!$D$5,1,MATCH($B38,'Encargos e Benefícios'!$E$5:$AB$5,0),500,1))*(IF('Gastos com Pessoal'!$G$7:$G$506&lt;=AO$3,('Gastos com Pessoal'!$H$7:$H$506)+1,1))*(IF('Gastos com Pessoal'!$M$7:$M$506&lt;=AO$3,('Gastos com Pessoal'!$N$7:$N$506)+1,1))*(IF('Gastos com Pessoal'!$S$7:$S$506&lt;=AO$3,('Gastos com Pessoal'!$T$7:$T$506)+1,1))*(IF('Gastos com Pessoal'!$Y$7:$Y$506&lt;=AO$3,('Gastos com Pessoal'!$Z$7:$Z$506)+1,1))*(IF('Gastos com Pessoal'!$AE$7:$AE$506&lt;=AO$3,('Gastos com Pessoal'!$AF$7:$AF$506)+1,1)),0)</f>
        <v>207292.75968310851</v>
      </c>
      <c r="AP38" s="188">
        <f t="array" aca="1" ref="AP38" ca="1">_xlfn.IFNA(SUM((AP$3&gt;='Gastos com Pessoal'!$E$7:$E$506)*(AP$3&lt;='Gastos com Pessoal'!$F$7:$F$506)*OFFSET('Encargos e Benefícios'!$D$5,1,MATCH($B38,'Encargos e Benefícios'!$E$5:$AB$5,0),500,1))*(IF('Gastos com Pessoal'!$G$7:$G$506&lt;=AP$3,('Gastos com Pessoal'!$H$7:$H$506)+1,1))*(IF('Gastos com Pessoal'!$M$7:$M$506&lt;=AP$3,('Gastos com Pessoal'!$N$7:$N$506)+1,1))*(IF('Gastos com Pessoal'!$S$7:$S$506&lt;=AP$3,('Gastos com Pessoal'!$T$7:$T$506)+1,1))*(IF('Gastos com Pessoal'!$Y$7:$Y$506&lt;=AP$3,('Gastos com Pessoal'!$Z$7:$Z$506)+1,1))*(IF('Gastos com Pessoal'!$AE$7:$AE$506&lt;=AP$3,('Gastos com Pessoal'!$AF$7:$AF$506)+1,1)),0)</f>
        <v>207292.75968310851</v>
      </c>
      <c r="AQ38" s="188">
        <f t="array" aca="1" ref="AQ38" ca="1">_xlfn.IFNA(SUM((AQ$3&gt;='Gastos com Pessoal'!$E$7:$E$506)*(AQ$3&lt;='Gastos com Pessoal'!$F$7:$F$506)*OFFSET('Encargos e Benefícios'!$D$5,1,MATCH($B38,'Encargos e Benefícios'!$E$5:$AB$5,0),500,1))*(IF('Gastos com Pessoal'!$G$7:$G$506&lt;=AQ$3,('Gastos com Pessoal'!$H$7:$H$506)+1,1))*(IF('Gastos com Pessoal'!$M$7:$M$506&lt;=AQ$3,('Gastos com Pessoal'!$N$7:$N$506)+1,1))*(IF('Gastos com Pessoal'!$S$7:$S$506&lt;=AQ$3,('Gastos com Pessoal'!$T$7:$T$506)+1,1))*(IF('Gastos com Pessoal'!$Y$7:$Y$506&lt;=AQ$3,('Gastos com Pessoal'!$Z$7:$Z$506)+1,1))*(IF('Gastos com Pessoal'!$AE$7:$AE$506&lt;=AQ$3,('Gastos com Pessoal'!$AF$7:$AF$506)+1,1)),0)</f>
        <v>219398.65684860206</v>
      </c>
      <c r="AR38" s="188">
        <f t="array" aca="1" ref="AR38" ca="1">_xlfn.IFNA(SUM((AR$3&gt;='Gastos com Pessoal'!$E$7:$E$506)*(AR$3&lt;='Gastos com Pessoal'!$F$7:$F$506)*OFFSET('Encargos e Benefícios'!$D$5,1,MATCH($B38,'Encargos e Benefícios'!$E$5:$AB$5,0),500,1))*(IF('Gastos com Pessoal'!$G$7:$G$506&lt;=AR$3,('Gastos com Pessoal'!$H$7:$H$506)+1,1))*(IF('Gastos com Pessoal'!$M$7:$M$506&lt;=AR$3,('Gastos com Pessoal'!$N$7:$N$506)+1,1))*(IF('Gastos com Pessoal'!$S$7:$S$506&lt;=AR$3,('Gastos com Pessoal'!$T$7:$T$506)+1,1))*(IF('Gastos com Pessoal'!$Y$7:$Y$506&lt;=AR$3,('Gastos com Pessoal'!$Z$7:$Z$506)+1,1))*(IF('Gastos com Pessoal'!$AE$7:$AE$506&lt;=AR$3,('Gastos com Pessoal'!$AF$7:$AF$506)+1,1)),0)</f>
        <v>219398.65684860206</v>
      </c>
      <c r="AS38" s="188">
        <f t="array" aca="1" ref="AS38" ca="1">_xlfn.IFNA(SUM((AS$3&gt;='Gastos com Pessoal'!$E$7:$E$506)*(AS$3&lt;='Gastos com Pessoal'!$F$7:$F$506)*OFFSET('Encargos e Benefícios'!$D$5,1,MATCH($B38,'Encargos e Benefícios'!$E$5:$AB$5,0),500,1))*(IF('Gastos com Pessoal'!$G$7:$G$506&lt;=AS$3,('Gastos com Pessoal'!$H$7:$H$506)+1,1))*(IF('Gastos com Pessoal'!$M$7:$M$506&lt;=AS$3,('Gastos com Pessoal'!$N$7:$N$506)+1,1))*(IF('Gastos com Pessoal'!$S$7:$S$506&lt;=AS$3,('Gastos com Pessoal'!$T$7:$T$506)+1,1))*(IF('Gastos com Pessoal'!$Y$7:$Y$506&lt;=AS$3,('Gastos com Pessoal'!$Z$7:$Z$506)+1,1))*(IF('Gastos com Pessoal'!$AE$7:$AE$506&lt;=AS$3,('Gastos com Pessoal'!$AF$7:$AF$506)+1,1)),0)</f>
        <v>219398.65684860206</v>
      </c>
      <c r="AT38" s="188">
        <f t="array" aca="1" ref="AT38" ca="1">_xlfn.IFNA(SUM((AT$3&gt;='Gastos com Pessoal'!$E$7:$E$506)*(AT$3&lt;='Gastos com Pessoal'!$F$7:$F$506)*OFFSET('Encargos e Benefícios'!$D$5,1,MATCH($B38,'Encargos e Benefícios'!$E$5:$AB$5,0),500,1))*(IF('Gastos com Pessoal'!$G$7:$G$506&lt;=AT$3,('Gastos com Pessoal'!$H$7:$H$506)+1,1))*(IF('Gastos com Pessoal'!$M$7:$M$506&lt;=AT$3,('Gastos com Pessoal'!$N$7:$N$506)+1,1))*(IF('Gastos com Pessoal'!$S$7:$S$506&lt;=AT$3,('Gastos com Pessoal'!$T$7:$T$506)+1,1))*(IF('Gastos com Pessoal'!$Y$7:$Y$506&lt;=AT$3,('Gastos com Pessoal'!$Z$7:$Z$506)+1,1))*(IF('Gastos com Pessoal'!$AE$7:$AE$506&lt;=AT$3,('Gastos com Pessoal'!$AF$7:$AF$506)+1,1)),0)</f>
        <v>219398.65684860206</v>
      </c>
      <c r="AU38" s="188">
        <f t="array" aca="1" ref="AU38" ca="1">_xlfn.IFNA(SUM((AU$3&gt;='Gastos com Pessoal'!$E$7:$E$506)*(AU$3&lt;='Gastos com Pessoal'!$F$7:$F$506)*OFFSET('Encargos e Benefícios'!$D$5,1,MATCH($B38,'Encargos e Benefícios'!$E$5:$AB$5,0),500,1))*(IF('Gastos com Pessoal'!$G$7:$G$506&lt;=AU$3,('Gastos com Pessoal'!$H$7:$H$506)+1,1))*(IF('Gastos com Pessoal'!$M$7:$M$506&lt;=AU$3,('Gastos com Pessoal'!$N$7:$N$506)+1,1))*(IF('Gastos com Pessoal'!$S$7:$S$506&lt;=AU$3,('Gastos com Pessoal'!$T$7:$T$506)+1,1))*(IF('Gastos com Pessoal'!$Y$7:$Y$506&lt;=AU$3,('Gastos com Pessoal'!$Z$7:$Z$506)+1,1))*(IF('Gastos com Pessoal'!$AE$7:$AE$506&lt;=AU$3,('Gastos com Pessoal'!$AF$7:$AF$506)+1,1)),0)</f>
        <v>219398.65684860206</v>
      </c>
      <c r="AV38" s="188">
        <f t="array" aca="1" ref="AV38" ca="1">_xlfn.IFNA(SUM((AV$3&gt;='Gastos com Pessoal'!$E$7:$E$506)*(AV$3&lt;='Gastos com Pessoal'!$F$7:$F$506)*OFFSET('Encargos e Benefícios'!$D$5,1,MATCH($B38,'Encargos e Benefícios'!$E$5:$AB$5,0),500,1))*(IF('Gastos com Pessoal'!$G$7:$G$506&lt;=AV$3,('Gastos com Pessoal'!$H$7:$H$506)+1,1))*(IF('Gastos com Pessoal'!$M$7:$M$506&lt;=AV$3,('Gastos com Pessoal'!$N$7:$N$506)+1,1))*(IF('Gastos com Pessoal'!$S$7:$S$506&lt;=AV$3,('Gastos com Pessoal'!$T$7:$T$506)+1,1))*(IF('Gastos com Pessoal'!$Y$7:$Y$506&lt;=AV$3,('Gastos com Pessoal'!$Z$7:$Z$506)+1,1))*(IF('Gastos com Pessoal'!$AE$7:$AE$506&lt;=AV$3,('Gastos com Pessoal'!$AF$7:$AF$506)+1,1)),0)</f>
        <v>219398.65684860206</v>
      </c>
      <c r="AW38" s="188">
        <f t="array" aca="1" ref="AW38" ca="1">_xlfn.IFNA(SUM((AW$3&gt;='Gastos com Pessoal'!$E$7:$E$506)*(AW$3&lt;='Gastos com Pessoal'!$F$7:$F$506)*OFFSET('Encargos e Benefícios'!$D$5,1,MATCH($B38,'Encargos e Benefícios'!$E$5:$AB$5,0),500,1))*(IF('Gastos com Pessoal'!$G$7:$G$506&lt;=AW$3,('Gastos com Pessoal'!$H$7:$H$506)+1,1))*(IF('Gastos com Pessoal'!$M$7:$M$506&lt;=AW$3,('Gastos com Pessoal'!$N$7:$N$506)+1,1))*(IF('Gastos com Pessoal'!$S$7:$S$506&lt;=AW$3,('Gastos com Pessoal'!$T$7:$T$506)+1,1))*(IF('Gastos com Pessoal'!$Y$7:$Y$506&lt;=AW$3,('Gastos com Pessoal'!$Z$7:$Z$506)+1,1))*(IF('Gastos com Pessoal'!$AE$7:$AE$506&lt;=AW$3,('Gastos com Pessoal'!$AF$7:$AF$506)+1,1)),0)</f>
        <v>219398.65684860206</v>
      </c>
      <c r="AX38" s="188">
        <f t="array" aca="1" ref="AX38" ca="1">_xlfn.IFNA(SUM((AX$3&gt;='Gastos com Pessoal'!$E$7:$E$506)*(AX$3&lt;='Gastos com Pessoal'!$F$7:$F$506)*OFFSET('Encargos e Benefícios'!$D$5,1,MATCH($B38,'Encargos e Benefícios'!$E$5:$AB$5,0),500,1))*(IF('Gastos com Pessoal'!$G$7:$G$506&lt;=AX$3,('Gastos com Pessoal'!$H$7:$H$506)+1,1))*(IF('Gastos com Pessoal'!$M$7:$M$506&lt;=AX$3,('Gastos com Pessoal'!$N$7:$N$506)+1,1))*(IF('Gastos com Pessoal'!$S$7:$S$506&lt;=AX$3,('Gastos com Pessoal'!$T$7:$T$506)+1,1))*(IF('Gastos com Pessoal'!$Y$7:$Y$506&lt;=AX$3,('Gastos com Pessoal'!$Z$7:$Z$506)+1,1))*(IF('Gastos com Pessoal'!$AE$7:$AE$506&lt;=AX$3,('Gastos com Pessoal'!$AF$7:$AF$506)+1,1)),0)</f>
        <v>0</v>
      </c>
      <c r="AY38" s="188">
        <f t="array" aca="1" ref="AY38" ca="1">_xlfn.IFNA(SUM((AY$3&gt;='Gastos com Pessoal'!$E$7:$E$506)*(AY$3&lt;='Gastos com Pessoal'!$F$7:$F$506)*OFFSET('Encargos e Benefícios'!$D$5,1,MATCH($B38,'Encargos e Benefícios'!$E$5:$AB$5,0),500,1))*(IF('Gastos com Pessoal'!$G$7:$G$506&lt;=AY$3,('Gastos com Pessoal'!$H$7:$H$506)+1,1))*(IF('Gastos com Pessoal'!$M$7:$M$506&lt;=AY$3,('Gastos com Pessoal'!$N$7:$N$506)+1,1))*(IF('Gastos com Pessoal'!$S$7:$S$506&lt;=AY$3,('Gastos com Pessoal'!$T$7:$T$506)+1,1))*(IF('Gastos com Pessoal'!$Y$7:$Y$506&lt;=AY$3,('Gastos com Pessoal'!$Z$7:$Z$506)+1,1))*(IF('Gastos com Pessoal'!$AE$7:$AE$506&lt;=AY$3,('Gastos com Pessoal'!$AF$7:$AF$506)+1,1)),0)</f>
        <v>0</v>
      </c>
      <c r="AZ38" s="188">
        <f t="array" aca="1" ref="AZ38" ca="1">_xlfn.IFNA(SUM((AZ$3&gt;='Gastos com Pessoal'!$E$7:$E$506)*(AZ$3&lt;='Gastos com Pessoal'!$F$7:$F$506)*OFFSET('Encargos e Benefícios'!$D$5,1,MATCH($B38,'Encargos e Benefícios'!$E$5:$AB$5,0),500,1))*(IF('Gastos com Pessoal'!$G$7:$G$506&lt;=AZ$3,('Gastos com Pessoal'!$H$7:$H$506)+1,1))*(IF('Gastos com Pessoal'!$M$7:$M$506&lt;=AZ$3,('Gastos com Pessoal'!$N$7:$N$506)+1,1))*(IF('Gastos com Pessoal'!$S$7:$S$506&lt;=AZ$3,('Gastos com Pessoal'!$T$7:$T$506)+1,1))*(IF('Gastos com Pessoal'!$Y$7:$Y$506&lt;=AZ$3,('Gastos com Pessoal'!$Z$7:$Z$506)+1,1))*(IF('Gastos com Pessoal'!$AE$7:$AE$506&lt;=AZ$3,('Gastos com Pessoal'!$AF$7:$AF$506)+1,1)),0)</f>
        <v>0</v>
      </c>
      <c r="BA38" s="188">
        <f t="array" aca="1" ref="BA38" ca="1">_xlfn.IFNA(SUM((BA$3&gt;='Gastos com Pessoal'!$E$7:$E$506)*(BA$3&lt;='Gastos com Pessoal'!$F$7:$F$506)*OFFSET('Encargos e Benefícios'!$D$5,1,MATCH($B38,'Encargos e Benefícios'!$E$5:$AB$5,0),500,1))*(IF('Gastos com Pessoal'!$G$7:$G$506&lt;=BA$3,('Gastos com Pessoal'!$H$7:$H$506)+1,1))*(IF('Gastos com Pessoal'!$M$7:$M$506&lt;=BA$3,('Gastos com Pessoal'!$N$7:$N$506)+1,1))*(IF('Gastos com Pessoal'!$S$7:$S$506&lt;=BA$3,('Gastos com Pessoal'!$T$7:$T$506)+1,1))*(IF('Gastos com Pessoal'!$Y$7:$Y$506&lt;=BA$3,('Gastos com Pessoal'!$Z$7:$Z$506)+1,1))*(IF('Gastos com Pessoal'!$AE$7:$AE$506&lt;=BA$3,('Gastos com Pessoal'!$AF$7:$AF$506)+1,1)),0)</f>
        <v>0</v>
      </c>
      <c r="BB38" s="188">
        <f t="array" aca="1" ref="BB38" ca="1">_xlfn.IFNA(SUM((BB$3&gt;='Gastos com Pessoal'!$E$7:$E$506)*(BB$3&lt;='Gastos com Pessoal'!$F$7:$F$506)*OFFSET('Encargos e Benefícios'!$D$5,1,MATCH($B38,'Encargos e Benefícios'!$E$5:$AB$5,0),500,1))*(IF('Gastos com Pessoal'!$G$7:$G$506&lt;=BB$3,('Gastos com Pessoal'!$H$7:$H$506)+1,1))*(IF('Gastos com Pessoal'!$M$7:$M$506&lt;=BB$3,('Gastos com Pessoal'!$N$7:$N$506)+1,1))*(IF('Gastos com Pessoal'!$S$7:$S$506&lt;=BB$3,('Gastos com Pessoal'!$T$7:$T$506)+1,1))*(IF('Gastos com Pessoal'!$Y$7:$Y$506&lt;=BB$3,('Gastos com Pessoal'!$Z$7:$Z$506)+1,1))*(IF('Gastos com Pessoal'!$AE$7:$AE$506&lt;=BB$3,('Gastos com Pessoal'!$AF$7:$AF$506)+1,1)),0)</f>
        <v>0</v>
      </c>
      <c r="BC38" s="188">
        <f t="array" aca="1" ref="BC38" ca="1">_xlfn.IFNA(SUM((BC$3&gt;='Gastos com Pessoal'!$E$7:$E$506)*(BC$3&lt;='Gastos com Pessoal'!$F$7:$F$506)*OFFSET('Encargos e Benefícios'!$D$5,1,MATCH($B38,'Encargos e Benefícios'!$E$5:$AB$5,0),500,1))*(IF('Gastos com Pessoal'!$G$7:$G$506&lt;=BC$3,('Gastos com Pessoal'!$H$7:$H$506)+1,1))*(IF('Gastos com Pessoal'!$M$7:$M$506&lt;=BC$3,('Gastos com Pessoal'!$N$7:$N$506)+1,1))*(IF('Gastos com Pessoal'!$S$7:$S$506&lt;=BC$3,('Gastos com Pessoal'!$T$7:$T$506)+1,1))*(IF('Gastos com Pessoal'!$Y$7:$Y$506&lt;=BC$3,('Gastos com Pessoal'!$Z$7:$Z$506)+1,1))*(IF('Gastos com Pessoal'!$AE$7:$AE$506&lt;=BC$3,('Gastos com Pessoal'!$AF$7:$AF$506)+1,1)),0)</f>
        <v>0</v>
      </c>
      <c r="BD38" s="188">
        <f t="array" aca="1" ref="BD38" ca="1">_xlfn.IFNA(SUM((BD$3&gt;='Gastos com Pessoal'!$E$7:$E$506)*(BD$3&lt;='Gastos com Pessoal'!$F$7:$F$506)*OFFSET('Encargos e Benefícios'!$D$5,1,MATCH($B38,'Encargos e Benefícios'!$E$5:$AB$5,0),500,1))*(IF('Gastos com Pessoal'!$G$7:$G$506&lt;=BD$3,('Gastos com Pessoal'!$H$7:$H$506)+1,1))*(IF('Gastos com Pessoal'!$M$7:$M$506&lt;=BD$3,('Gastos com Pessoal'!$N$7:$N$506)+1,1))*(IF('Gastos com Pessoal'!$S$7:$S$506&lt;=BD$3,('Gastos com Pessoal'!$T$7:$T$506)+1,1))*(IF('Gastos com Pessoal'!$Y$7:$Y$506&lt;=BD$3,('Gastos com Pessoal'!$Z$7:$Z$506)+1,1))*(IF('Gastos com Pessoal'!$AE$7:$AE$506&lt;=BD$3,('Gastos com Pessoal'!$AF$7:$AF$506)+1,1)),0)</f>
        <v>0</v>
      </c>
      <c r="BE38" s="188">
        <f t="array" aca="1" ref="BE38" ca="1">_xlfn.IFNA(SUM((BE$3&gt;='Gastos com Pessoal'!$E$7:$E$506)*(BE$3&lt;='Gastos com Pessoal'!$F$7:$F$506)*OFFSET('Encargos e Benefícios'!$D$5,1,MATCH($B38,'Encargos e Benefícios'!$E$5:$AB$5,0),500,1))*(IF('Gastos com Pessoal'!$G$7:$G$506&lt;=BE$3,('Gastos com Pessoal'!$H$7:$H$506)+1,1))*(IF('Gastos com Pessoal'!$M$7:$M$506&lt;=BE$3,('Gastos com Pessoal'!$N$7:$N$506)+1,1))*(IF('Gastos com Pessoal'!$S$7:$S$506&lt;=BE$3,('Gastos com Pessoal'!$T$7:$T$506)+1,1))*(IF('Gastos com Pessoal'!$Y$7:$Y$506&lt;=BE$3,('Gastos com Pessoal'!$Z$7:$Z$506)+1,1))*(IF('Gastos com Pessoal'!$AE$7:$AE$506&lt;=BE$3,('Gastos com Pessoal'!$AF$7:$AF$506)+1,1)),0)</f>
        <v>0</v>
      </c>
      <c r="BF38" s="188">
        <f t="array" aca="1" ref="BF38" ca="1">_xlfn.IFNA(SUM((BF$3&gt;='Gastos com Pessoal'!$E$7:$E$506)*(BF$3&lt;='Gastos com Pessoal'!$F$7:$F$506)*OFFSET('Encargos e Benefícios'!$D$5,1,MATCH($B38,'Encargos e Benefícios'!$E$5:$AB$5,0),500,1))*(IF('Gastos com Pessoal'!$G$7:$G$506&lt;=BF$3,('Gastos com Pessoal'!$H$7:$H$506)+1,1))*(IF('Gastos com Pessoal'!$M$7:$M$506&lt;=BF$3,('Gastos com Pessoal'!$N$7:$N$506)+1,1))*(IF('Gastos com Pessoal'!$S$7:$S$506&lt;=BF$3,('Gastos com Pessoal'!$T$7:$T$506)+1,1))*(IF('Gastos com Pessoal'!$Y$7:$Y$506&lt;=BF$3,('Gastos com Pessoal'!$Z$7:$Z$506)+1,1))*(IF('Gastos com Pessoal'!$AE$7:$AE$506&lt;=BF$3,('Gastos com Pessoal'!$AF$7:$AF$506)+1,1)),0)</f>
        <v>0</v>
      </c>
      <c r="BG38" s="188">
        <f t="array" aca="1" ref="BG38" ca="1">_xlfn.IFNA(SUM((BG$3&gt;='Gastos com Pessoal'!$E$7:$E$506)*(BG$3&lt;='Gastos com Pessoal'!$F$7:$F$506)*OFFSET('Encargos e Benefícios'!$D$5,1,MATCH($B38,'Encargos e Benefícios'!$E$5:$AB$5,0),500,1))*(IF('Gastos com Pessoal'!$G$7:$G$506&lt;=BG$3,('Gastos com Pessoal'!$H$7:$H$506)+1,1))*(IF('Gastos com Pessoal'!$M$7:$M$506&lt;=BG$3,('Gastos com Pessoal'!$N$7:$N$506)+1,1))*(IF('Gastos com Pessoal'!$S$7:$S$506&lt;=BG$3,('Gastos com Pessoal'!$T$7:$T$506)+1,1))*(IF('Gastos com Pessoal'!$Y$7:$Y$506&lt;=BG$3,('Gastos com Pessoal'!$Z$7:$Z$506)+1,1))*(IF('Gastos com Pessoal'!$AE$7:$AE$506&lt;=BG$3,('Gastos com Pessoal'!$AF$7:$AF$506)+1,1)),0)</f>
        <v>0</v>
      </c>
      <c r="BH38" s="188">
        <f t="array" aca="1" ref="BH38" ca="1">_xlfn.IFNA(SUM((BH$3&gt;='Gastos com Pessoal'!$E$7:$E$506)*(BH$3&lt;='Gastos com Pessoal'!$F$7:$F$506)*OFFSET('Encargos e Benefícios'!$D$5,1,MATCH($B38,'Encargos e Benefícios'!$E$5:$AB$5,0),500,1))*(IF('Gastos com Pessoal'!$G$7:$G$506&lt;=BH$3,('Gastos com Pessoal'!$H$7:$H$506)+1,1))*(IF('Gastos com Pessoal'!$M$7:$M$506&lt;=BH$3,('Gastos com Pessoal'!$N$7:$N$506)+1,1))*(IF('Gastos com Pessoal'!$S$7:$S$506&lt;=BH$3,('Gastos com Pessoal'!$T$7:$T$506)+1,1))*(IF('Gastos com Pessoal'!$Y$7:$Y$506&lt;=BH$3,('Gastos com Pessoal'!$Z$7:$Z$506)+1,1))*(IF('Gastos com Pessoal'!$AE$7:$AE$506&lt;=BH$3,('Gastos com Pessoal'!$AF$7:$AF$506)+1,1)),0)</f>
        <v>0</v>
      </c>
      <c r="BI38" s="188">
        <f t="array" aca="1" ref="BI38" ca="1">_xlfn.IFNA(SUM((BI$3&gt;='Gastos com Pessoal'!$E$7:$E$506)*(BI$3&lt;='Gastos com Pessoal'!$F$7:$F$506)*OFFSET('Encargos e Benefícios'!$D$5,1,MATCH($B38,'Encargos e Benefícios'!$E$5:$AB$5,0),500,1))*(IF('Gastos com Pessoal'!$G$7:$G$506&lt;=BI$3,('Gastos com Pessoal'!$H$7:$H$506)+1,1))*(IF('Gastos com Pessoal'!$M$7:$M$506&lt;=BI$3,('Gastos com Pessoal'!$N$7:$N$506)+1,1))*(IF('Gastos com Pessoal'!$S$7:$S$506&lt;=BI$3,('Gastos com Pessoal'!$T$7:$T$506)+1,1))*(IF('Gastos com Pessoal'!$Y$7:$Y$506&lt;=BI$3,('Gastos com Pessoal'!$Z$7:$Z$506)+1,1))*(IF('Gastos com Pessoal'!$AE$7:$AE$506&lt;=BI$3,('Gastos com Pessoal'!$AF$7:$AF$506)+1,1)),0)</f>
        <v>0</v>
      </c>
      <c r="BJ38" s="188">
        <f t="array" aca="1" ref="BJ38" ca="1">_xlfn.IFNA(SUM((BJ$3&gt;='Gastos com Pessoal'!$E$7:$E$506)*(BJ$3&lt;='Gastos com Pessoal'!$F$7:$F$506)*OFFSET('Encargos e Benefícios'!$D$5,1,MATCH($B38,'Encargos e Benefícios'!$E$5:$AB$5,0),500,1))*(IF('Gastos com Pessoal'!$G$7:$G$506&lt;=BJ$3,('Gastos com Pessoal'!$H$7:$H$506)+1,1))*(IF('Gastos com Pessoal'!$M$7:$M$506&lt;=BJ$3,('Gastos com Pessoal'!$N$7:$N$506)+1,1))*(IF('Gastos com Pessoal'!$S$7:$S$506&lt;=BJ$3,('Gastos com Pessoal'!$T$7:$T$506)+1,1))*(IF('Gastos com Pessoal'!$Y$7:$Y$506&lt;=BJ$3,('Gastos com Pessoal'!$Z$7:$Z$506)+1,1))*(IF('Gastos com Pessoal'!$AE$7:$AE$506&lt;=BJ$3,('Gastos com Pessoal'!$AF$7:$AF$506)+1,1)),0)</f>
        <v>0</v>
      </c>
      <c r="BK38" s="189">
        <f t="shared" ca="1" si="14"/>
        <v>9072645.8127381466</v>
      </c>
      <c r="BL38" s="136">
        <f t="shared" ca="1" si="15"/>
        <v>3.1237102379950359E-2</v>
      </c>
    </row>
    <row r="39" spans="1:64" s="160" customFormat="1" ht="23.25" customHeight="1">
      <c r="A39" s="198" t="s">
        <v>163</v>
      </c>
      <c r="B39" s="81" t="s">
        <v>164</v>
      </c>
      <c r="C39" s="188">
        <f t="array" aca="1" ref="C39" ca="1">_xlfn.IFNA(SUM((C$3&gt;='Gastos com Pessoal'!$E$7:$E$506)*(C$3&lt;='Gastos com Pessoal'!$F$7:$F$506)*OFFSET('Encargos e Benefícios'!$D$5,1,MATCH($B39,'Encargos e Benefícios'!$E$5:$AB$5,0),500,1)*(IF('Gastos com Pessoal'!$G$7:$G$506&lt;=C$3,('Gastos com Pessoal'!$H$7:$H$506)+1,1))*(IF('Gastos com Pessoal'!$M$7:$M$506&lt;=C$3,('Gastos com Pessoal'!$N$7:$N$506)+1,1))*(IF('Gastos com Pessoal'!$S$7:$S$506&lt;=C$3,('Gastos com Pessoal'!$T$7:$T$506)+1,1))*(IF('Gastos com Pessoal'!$Y$7:$Y$506&lt;=C$3,('Gastos com Pessoal'!$Z$7:$Z$506)+1,1))*(IF('Gastos com Pessoal'!$AE$7:$AE$506&lt;=C$3,('Gastos com Pessoal'!$AF$7:$AF$506)+1,1))),0)+_xlfn.IFNA(SUM((C$3&gt;='Gastos com Pessoal'!$E$513:$E$522)*(C$3&lt;='Gastos com Pessoal'!$F$513:$F$522)*OFFSET('Encargos e Benefícios'!$D$511,1,MATCH($B39,'Encargos e Benefícios'!$F$511:$AB$511,0),10,1)*(IF('Gastos com Pessoal'!$G$513:$G$522&lt;=C$3,('Gastos com Pessoal'!$H$513:$H$522)+1,1))*(IF('Gastos com Pessoal'!$M$513:$M$522&lt;=C$3,('Gastos com Pessoal'!$N$513:$N$522)+1,1))*(IF('Gastos com Pessoal'!$S$513:$S$522&lt;=C$3,('Gastos com Pessoal'!$T$513:$T$522)+1,1))*(IF('Gastos com Pessoal'!$Y$513:$Y$522&lt;=C$3,('Gastos com Pessoal'!$Z$513:$Z$522)+1,1))*(IF('Gastos com Pessoal'!$AE$513:$AE$522&lt;=C$3,('Gastos com Pessoal'!$AF$513:$AF$522)+1,1))),0)</f>
        <v>141286.98358000026</v>
      </c>
      <c r="D39" s="188">
        <f t="array" aca="1" ref="D39" ca="1">_xlfn.IFNA(SUM((D$3&gt;='Gastos com Pessoal'!$E$7:$E$506)*(D$3&lt;='Gastos com Pessoal'!$F$7:$F$506)*OFFSET('Encargos e Benefícios'!$D$5,1,MATCH($B39,'Encargos e Benefícios'!$E$5:$AB$5,0),500,1)*(IF('Gastos com Pessoal'!$G$7:$G$506&lt;=D$3,('Gastos com Pessoal'!$H$7:$H$506)+1,1))*(IF('Gastos com Pessoal'!$M$7:$M$506&lt;=D$3,('Gastos com Pessoal'!$N$7:$N$506)+1,1))*(IF('Gastos com Pessoal'!$S$7:$S$506&lt;=D$3,('Gastos com Pessoal'!$T$7:$T$506)+1,1))*(IF('Gastos com Pessoal'!$Y$7:$Y$506&lt;=D$3,('Gastos com Pessoal'!$Z$7:$Z$506)+1,1))*(IF('Gastos com Pessoal'!$AE$7:$AE$506&lt;=D$3,('Gastos com Pessoal'!$AF$7:$AF$506)+1,1))),0)+_xlfn.IFNA(SUM((D$3&gt;='Gastos com Pessoal'!$E$513:$E$522)*(D$3&lt;='Gastos com Pessoal'!$F$513:$F$522)*OFFSET('Encargos e Benefícios'!$D$511,1,MATCH($B39,'Encargos e Benefícios'!$F$511:$AB$511,0),10,1)*(IF('Gastos com Pessoal'!$G$513:$G$522&lt;=D$3,('Gastos com Pessoal'!$H$513:$H$522)+1,1))*(IF('Gastos com Pessoal'!$M$513:$M$522&lt;=D$3,('Gastos com Pessoal'!$N$513:$N$522)+1,1))*(IF('Gastos com Pessoal'!$S$513:$S$522&lt;=D$3,('Gastos com Pessoal'!$T$513:$T$522)+1,1))*(IF('Gastos com Pessoal'!$Y$513:$Y$522&lt;=D$3,('Gastos com Pessoal'!$Z$513:$Z$522)+1,1))*(IF('Gastos com Pessoal'!$AE$513:$AE$522&lt;=D$3,('Gastos com Pessoal'!$AF$513:$AF$522)+1,1))),0)</f>
        <v>142036.98358000026</v>
      </c>
      <c r="E39" s="188">
        <f t="array" aca="1" ref="E39" ca="1">_xlfn.IFNA(SUM((E$3&gt;='Gastos com Pessoal'!$E$7:$E$506)*(E$3&lt;='Gastos com Pessoal'!$F$7:$F$506)*OFFSET('Encargos e Benefícios'!$D$5,1,MATCH($B39,'Encargos e Benefícios'!$E$5:$AB$5,0),500,1)*(IF('Gastos com Pessoal'!$G$7:$G$506&lt;=E$3,('Gastos com Pessoal'!$H$7:$H$506)+1,1))*(IF('Gastos com Pessoal'!$M$7:$M$506&lt;=E$3,('Gastos com Pessoal'!$N$7:$N$506)+1,1))*(IF('Gastos com Pessoal'!$S$7:$S$506&lt;=E$3,('Gastos com Pessoal'!$T$7:$T$506)+1,1))*(IF('Gastos com Pessoal'!$Y$7:$Y$506&lt;=E$3,('Gastos com Pessoal'!$Z$7:$Z$506)+1,1))*(IF('Gastos com Pessoal'!$AE$7:$AE$506&lt;=E$3,('Gastos com Pessoal'!$AF$7:$AF$506)+1,1))),0)+_xlfn.IFNA(SUM((E$3&gt;='Gastos com Pessoal'!$E$513:$E$522)*(E$3&lt;='Gastos com Pessoal'!$F$513:$F$522)*OFFSET('Encargos e Benefícios'!$D$511,1,MATCH($B39,'Encargos e Benefícios'!$F$511:$AB$511,0),10,1)*(IF('Gastos com Pessoal'!$G$513:$G$522&lt;=E$3,('Gastos com Pessoal'!$H$513:$H$522)+1,1))*(IF('Gastos com Pessoal'!$M$513:$M$522&lt;=E$3,('Gastos com Pessoal'!$N$513:$N$522)+1,1))*(IF('Gastos com Pessoal'!$S$513:$S$522&lt;=E$3,('Gastos com Pessoal'!$T$513:$T$522)+1,1))*(IF('Gastos com Pessoal'!$Y$513:$Y$522&lt;=E$3,('Gastos com Pessoal'!$Z$513:$Z$522)+1,1))*(IF('Gastos com Pessoal'!$AE$513:$AE$522&lt;=E$3,('Gastos com Pessoal'!$AF$513:$AF$522)+1,1))),0)</f>
        <v>149242.84703333362</v>
      </c>
      <c r="F39" s="188">
        <f t="array" aca="1" ref="F39" ca="1">_xlfn.IFNA(SUM((F$3&gt;='Gastos com Pessoal'!$E$7:$E$506)*(F$3&lt;='Gastos com Pessoal'!$F$7:$F$506)*OFFSET('Encargos e Benefícios'!$D$5,1,MATCH($B39,'Encargos e Benefícios'!$E$5:$AB$5,0),500,1)*(IF('Gastos com Pessoal'!$G$7:$G$506&lt;=F$3,('Gastos com Pessoal'!$H$7:$H$506)+1,1))*(IF('Gastos com Pessoal'!$M$7:$M$506&lt;=F$3,('Gastos com Pessoal'!$N$7:$N$506)+1,1))*(IF('Gastos com Pessoal'!$S$7:$S$506&lt;=F$3,('Gastos com Pessoal'!$T$7:$T$506)+1,1))*(IF('Gastos com Pessoal'!$Y$7:$Y$506&lt;=F$3,('Gastos com Pessoal'!$Z$7:$Z$506)+1,1))*(IF('Gastos com Pessoal'!$AE$7:$AE$506&lt;=F$3,('Gastos com Pessoal'!$AF$7:$AF$506)+1,1))),0)+_xlfn.IFNA(SUM((F$3&gt;='Gastos com Pessoal'!$E$513:$E$522)*(F$3&lt;='Gastos com Pessoal'!$F$513:$F$522)*OFFSET('Encargos e Benefícios'!$D$511,1,MATCH($B39,'Encargos e Benefícios'!$F$511:$AB$511,0),10,1)*(IF('Gastos com Pessoal'!$G$513:$G$522&lt;=F$3,('Gastos com Pessoal'!$H$513:$H$522)+1,1))*(IF('Gastos com Pessoal'!$M$513:$M$522&lt;=F$3,('Gastos com Pessoal'!$N$513:$N$522)+1,1))*(IF('Gastos com Pessoal'!$S$513:$S$522&lt;=F$3,('Gastos com Pessoal'!$T$513:$T$522)+1,1))*(IF('Gastos com Pessoal'!$Y$513:$Y$522&lt;=F$3,('Gastos com Pessoal'!$Z$513:$Z$522)+1,1))*(IF('Gastos com Pessoal'!$AE$513:$AE$522&lt;=F$3,('Gastos com Pessoal'!$AF$513:$AF$522)+1,1))),0)</f>
        <v>150248.82820000028</v>
      </c>
      <c r="G39" s="188">
        <f t="array" aca="1" ref="G39" ca="1">_xlfn.IFNA(SUM((G$3&gt;='Gastos com Pessoal'!$E$7:$E$506)*(G$3&lt;='Gastos com Pessoal'!$F$7:$F$506)*OFFSET('Encargos e Benefícios'!$D$5,1,MATCH($B39,'Encargos e Benefícios'!$E$5:$AB$5,0),500,1)*(IF('Gastos com Pessoal'!$G$7:$G$506&lt;=G$3,('Gastos com Pessoal'!$H$7:$H$506)+1,1))*(IF('Gastos com Pessoal'!$M$7:$M$506&lt;=G$3,('Gastos com Pessoal'!$N$7:$N$506)+1,1))*(IF('Gastos com Pessoal'!$S$7:$S$506&lt;=G$3,('Gastos com Pessoal'!$T$7:$T$506)+1,1))*(IF('Gastos com Pessoal'!$Y$7:$Y$506&lt;=G$3,('Gastos com Pessoal'!$Z$7:$Z$506)+1,1))*(IF('Gastos com Pessoal'!$AE$7:$AE$506&lt;=G$3,('Gastos com Pessoal'!$AF$7:$AF$506)+1,1))),0)+_xlfn.IFNA(SUM((G$3&gt;='Gastos com Pessoal'!$E$513:$E$522)*(G$3&lt;='Gastos com Pessoal'!$F$513:$F$522)*OFFSET('Encargos e Benefícios'!$D$511,1,MATCH($B39,'Encargos e Benefícios'!$F$511:$AB$511,0),10,1)*(IF('Gastos com Pessoal'!$G$513:$G$522&lt;=G$3,('Gastos com Pessoal'!$H$513:$H$522)+1,1))*(IF('Gastos com Pessoal'!$M$513:$M$522&lt;=G$3,('Gastos com Pessoal'!$N$513:$N$522)+1,1))*(IF('Gastos com Pessoal'!$S$513:$S$522&lt;=G$3,('Gastos com Pessoal'!$T$513:$T$522)+1,1))*(IF('Gastos com Pessoal'!$Y$513:$Y$522&lt;=G$3,('Gastos com Pessoal'!$Z$513:$Z$522)+1,1))*(IF('Gastos com Pessoal'!$AE$513:$AE$522&lt;=G$3,('Gastos com Pessoal'!$AF$513:$AF$522)+1,1))),0)</f>
        <v>159023.35976688002</v>
      </c>
      <c r="H39" s="188">
        <f t="array" aca="1" ref="H39" ca="1">_xlfn.IFNA(SUM((H$3&gt;='Gastos com Pessoal'!$E$7:$E$506)*(H$3&lt;='Gastos com Pessoal'!$F$7:$F$506)*OFFSET('Encargos e Benefícios'!$D$5,1,MATCH($B39,'Encargos e Benefícios'!$E$5:$AB$5,0),500,1)*(IF('Gastos com Pessoal'!$G$7:$G$506&lt;=H$3,('Gastos com Pessoal'!$H$7:$H$506)+1,1))*(IF('Gastos com Pessoal'!$M$7:$M$506&lt;=H$3,('Gastos com Pessoal'!$N$7:$N$506)+1,1))*(IF('Gastos com Pessoal'!$S$7:$S$506&lt;=H$3,('Gastos com Pessoal'!$T$7:$T$506)+1,1))*(IF('Gastos com Pessoal'!$Y$7:$Y$506&lt;=H$3,('Gastos com Pessoal'!$Z$7:$Z$506)+1,1))*(IF('Gastos com Pessoal'!$AE$7:$AE$506&lt;=H$3,('Gastos com Pessoal'!$AF$7:$AF$506)+1,1))),0)+_xlfn.IFNA(SUM((H$3&gt;='Gastos com Pessoal'!$E$513:$E$522)*(H$3&lt;='Gastos com Pessoal'!$F$513:$F$522)*OFFSET('Encargos e Benefícios'!$D$511,1,MATCH($B39,'Encargos e Benefícios'!$F$511:$AB$511,0),10,1)*(IF('Gastos com Pessoal'!$G$513:$G$522&lt;=H$3,('Gastos com Pessoal'!$H$513:$H$522)+1,1))*(IF('Gastos com Pessoal'!$M$513:$M$522&lt;=H$3,('Gastos com Pessoal'!$N$513:$N$522)+1,1))*(IF('Gastos com Pessoal'!$S$513:$S$522&lt;=H$3,('Gastos com Pessoal'!$T$513:$T$522)+1,1))*(IF('Gastos com Pessoal'!$Y$513:$Y$522&lt;=H$3,('Gastos com Pessoal'!$Z$513:$Z$522)+1,1))*(IF('Gastos com Pessoal'!$AE$513:$AE$522&lt;=H$3,('Gastos com Pessoal'!$AF$513:$AF$522)+1,1))),0)</f>
        <v>166650.04564588811</v>
      </c>
      <c r="I39" s="188">
        <f t="array" aca="1" ref="I39" ca="1">_xlfn.IFNA(SUM((I$3&gt;='Gastos com Pessoal'!$E$7:$E$506)*(I$3&lt;='Gastos com Pessoal'!$F$7:$F$506)*OFFSET('Encargos e Benefícios'!$D$5,1,MATCH($B39,'Encargos e Benefícios'!$E$5:$AB$5,0),500,1)*(IF('Gastos com Pessoal'!$G$7:$G$506&lt;=I$3,('Gastos com Pessoal'!$H$7:$H$506)+1,1))*(IF('Gastos com Pessoal'!$M$7:$M$506&lt;=I$3,('Gastos com Pessoal'!$N$7:$N$506)+1,1))*(IF('Gastos com Pessoal'!$S$7:$S$506&lt;=I$3,('Gastos com Pessoal'!$T$7:$T$506)+1,1))*(IF('Gastos com Pessoal'!$Y$7:$Y$506&lt;=I$3,('Gastos com Pessoal'!$Z$7:$Z$506)+1,1))*(IF('Gastos com Pessoal'!$AE$7:$AE$506&lt;=I$3,('Gastos com Pessoal'!$AF$7:$AF$506)+1,1))),0)+_xlfn.IFNA(SUM((I$3&gt;='Gastos com Pessoal'!$E$513:$E$522)*(I$3&lt;='Gastos com Pessoal'!$F$513:$F$522)*OFFSET('Encargos e Benefícios'!$D$511,1,MATCH($B39,'Encargos e Benefícios'!$F$511:$AB$511,0),10,1)*(IF('Gastos com Pessoal'!$G$513:$G$522&lt;=I$3,('Gastos com Pessoal'!$H$513:$H$522)+1,1))*(IF('Gastos com Pessoal'!$M$513:$M$522&lt;=I$3,('Gastos com Pessoal'!$N$513:$N$522)+1,1))*(IF('Gastos com Pessoal'!$S$513:$S$522&lt;=I$3,('Gastos com Pessoal'!$T$513:$T$522)+1,1))*(IF('Gastos com Pessoal'!$Y$513:$Y$522&lt;=I$3,('Gastos com Pessoal'!$Z$513:$Z$522)+1,1))*(IF('Gastos com Pessoal'!$AE$513:$AE$522&lt;=I$3,('Gastos com Pessoal'!$AF$513:$AF$522)+1,1))),0)</f>
        <v>167776.9546430881</v>
      </c>
      <c r="J39" s="188">
        <f t="array" aca="1" ref="J39" ca="1">_xlfn.IFNA(SUM((J$3&gt;='Gastos com Pessoal'!$E$7:$E$506)*(J$3&lt;='Gastos com Pessoal'!$F$7:$F$506)*OFFSET('Encargos e Benefícios'!$D$5,1,MATCH($B39,'Encargos e Benefícios'!$E$5:$AB$5,0),500,1)*(IF('Gastos com Pessoal'!$G$7:$G$506&lt;=J$3,('Gastos com Pessoal'!$H$7:$H$506)+1,1))*(IF('Gastos com Pessoal'!$M$7:$M$506&lt;=J$3,('Gastos com Pessoal'!$N$7:$N$506)+1,1))*(IF('Gastos com Pessoal'!$S$7:$S$506&lt;=J$3,('Gastos com Pessoal'!$T$7:$T$506)+1,1))*(IF('Gastos com Pessoal'!$Y$7:$Y$506&lt;=J$3,('Gastos com Pessoal'!$Z$7:$Z$506)+1,1))*(IF('Gastos com Pessoal'!$AE$7:$AE$506&lt;=J$3,('Gastos com Pessoal'!$AF$7:$AF$506)+1,1))),0)+_xlfn.IFNA(SUM((J$3&gt;='Gastos com Pessoal'!$E$513:$E$522)*(J$3&lt;='Gastos com Pessoal'!$F$513:$F$522)*OFFSET('Encargos e Benefícios'!$D$511,1,MATCH($B39,'Encargos e Benefícios'!$F$511:$AB$511,0),10,1)*(IF('Gastos com Pessoal'!$G$513:$G$522&lt;=J$3,('Gastos com Pessoal'!$H$513:$H$522)+1,1))*(IF('Gastos com Pessoal'!$M$513:$M$522&lt;=J$3,('Gastos com Pessoal'!$N$513:$N$522)+1,1))*(IF('Gastos com Pessoal'!$S$513:$S$522&lt;=J$3,('Gastos com Pessoal'!$T$513:$T$522)+1,1))*(IF('Gastos com Pessoal'!$Y$513:$Y$522&lt;=J$3,('Gastos com Pessoal'!$Z$513:$Z$522)+1,1))*(IF('Gastos com Pessoal'!$AE$513:$AE$522&lt;=J$3,('Gastos com Pessoal'!$AF$513:$AF$522)+1,1))),0)</f>
        <v>167776.9546430881</v>
      </c>
      <c r="K39" s="188">
        <f t="array" aca="1" ref="K39" ca="1">_xlfn.IFNA(SUM((K$3&gt;='Gastos com Pessoal'!$E$7:$E$506)*(K$3&lt;='Gastos com Pessoal'!$F$7:$F$506)*OFFSET('Encargos e Benefícios'!$D$5,1,MATCH($B39,'Encargos e Benefícios'!$E$5:$AB$5,0),500,1)*(IF('Gastos com Pessoal'!$G$7:$G$506&lt;=K$3,('Gastos com Pessoal'!$H$7:$H$506)+1,1))*(IF('Gastos com Pessoal'!$M$7:$M$506&lt;=K$3,('Gastos com Pessoal'!$N$7:$N$506)+1,1))*(IF('Gastos com Pessoal'!$S$7:$S$506&lt;=K$3,('Gastos com Pessoal'!$T$7:$T$506)+1,1))*(IF('Gastos com Pessoal'!$Y$7:$Y$506&lt;=K$3,('Gastos com Pessoal'!$Z$7:$Z$506)+1,1))*(IF('Gastos com Pessoal'!$AE$7:$AE$506&lt;=K$3,('Gastos com Pessoal'!$AF$7:$AF$506)+1,1))),0)+_xlfn.IFNA(SUM((K$3&gt;='Gastos com Pessoal'!$E$513:$E$522)*(K$3&lt;='Gastos com Pessoal'!$F$513:$F$522)*OFFSET('Encargos e Benefícios'!$D$511,1,MATCH($B39,'Encargos e Benefícios'!$F$511:$AB$511,0),10,1)*(IF('Gastos com Pessoal'!$G$513:$G$522&lt;=K$3,('Gastos com Pessoal'!$H$513:$H$522)+1,1))*(IF('Gastos com Pessoal'!$M$513:$M$522&lt;=K$3,('Gastos com Pessoal'!$N$513:$N$522)+1,1))*(IF('Gastos com Pessoal'!$S$513:$S$522&lt;=K$3,('Gastos com Pessoal'!$T$513:$T$522)+1,1))*(IF('Gastos com Pessoal'!$Y$513:$Y$522&lt;=K$3,('Gastos com Pessoal'!$Z$513:$Z$522)+1,1))*(IF('Gastos com Pessoal'!$AE$513:$AE$522&lt;=K$3,('Gastos com Pessoal'!$AF$513:$AF$522)+1,1))),0)</f>
        <v>175403.6404307425</v>
      </c>
      <c r="L39" s="188">
        <f t="array" aca="1" ref="L39" ca="1">_xlfn.IFNA(SUM((L$3&gt;='Gastos com Pessoal'!$E$7:$E$506)*(L$3&lt;='Gastos com Pessoal'!$F$7:$F$506)*OFFSET('Encargos e Benefícios'!$D$5,1,MATCH($B39,'Encargos e Benefícios'!$E$5:$AB$5,0),500,1)*(IF('Gastos com Pessoal'!$G$7:$G$506&lt;=L$3,('Gastos com Pessoal'!$H$7:$H$506)+1,1))*(IF('Gastos com Pessoal'!$M$7:$M$506&lt;=L$3,('Gastos com Pessoal'!$N$7:$N$506)+1,1))*(IF('Gastos com Pessoal'!$S$7:$S$506&lt;=L$3,('Gastos com Pessoal'!$T$7:$T$506)+1,1))*(IF('Gastos com Pessoal'!$Y$7:$Y$506&lt;=L$3,('Gastos com Pessoal'!$Z$7:$Z$506)+1,1))*(IF('Gastos com Pessoal'!$AE$7:$AE$506&lt;=L$3,('Gastos com Pessoal'!$AF$7:$AF$506)+1,1))),0)+_xlfn.IFNA(SUM((L$3&gt;='Gastos com Pessoal'!$E$513:$E$522)*(L$3&lt;='Gastos com Pessoal'!$F$513:$F$522)*OFFSET('Encargos e Benefícios'!$D$511,1,MATCH($B39,'Encargos e Benefícios'!$F$511:$AB$511,0),10,1)*(IF('Gastos com Pessoal'!$G$513:$G$522&lt;=L$3,('Gastos com Pessoal'!$H$513:$H$522)+1,1))*(IF('Gastos com Pessoal'!$M$513:$M$522&lt;=L$3,('Gastos com Pessoal'!$N$513:$N$522)+1,1))*(IF('Gastos com Pessoal'!$S$513:$S$522&lt;=L$3,('Gastos com Pessoal'!$T$513:$T$522)+1,1))*(IF('Gastos com Pessoal'!$Y$513:$Y$522&lt;=L$3,('Gastos com Pessoal'!$Z$513:$Z$522)+1,1))*(IF('Gastos com Pessoal'!$AE$513:$AE$522&lt;=L$3,('Gastos com Pessoal'!$AF$513:$AF$522)+1,1))),0)</f>
        <v>176468.36926407582</v>
      </c>
      <c r="M39" s="188">
        <f t="array" aca="1" ref="M39" ca="1">_xlfn.IFNA(SUM((M$3&gt;='Gastos com Pessoal'!$E$7:$E$506)*(M$3&lt;='Gastos com Pessoal'!$F$7:$F$506)*OFFSET('Encargos e Benefícios'!$D$5,1,MATCH($B39,'Encargos e Benefícios'!$E$5:$AB$5,0),500,1)*(IF('Gastos com Pessoal'!$G$7:$G$506&lt;=M$3,('Gastos com Pessoal'!$H$7:$H$506)+1,1))*(IF('Gastos com Pessoal'!$M$7:$M$506&lt;=M$3,('Gastos com Pessoal'!$N$7:$N$506)+1,1))*(IF('Gastos com Pessoal'!$S$7:$S$506&lt;=M$3,('Gastos com Pessoal'!$T$7:$T$506)+1,1))*(IF('Gastos com Pessoal'!$Y$7:$Y$506&lt;=M$3,('Gastos com Pessoal'!$Z$7:$Z$506)+1,1))*(IF('Gastos com Pessoal'!$AE$7:$AE$506&lt;=M$3,('Gastos com Pessoal'!$AF$7:$AF$506)+1,1))),0)+_xlfn.IFNA(SUM((M$3&gt;='Gastos com Pessoal'!$E$513:$E$522)*(M$3&lt;='Gastos com Pessoal'!$F$513:$F$522)*OFFSET('Encargos e Benefícios'!$D$511,1,MATCH($B39,'Encargos e Benefícios'!$F$511:$AB$511,0),10,1)*(IF('Gastos com Pessoal'!$G$513:$G$522&lt;=M$3,('Gastos com Pessoal'!$H$513:$H$522)+1,1))*(IF('Gastos com Pessoal'!$M$513:$M$522&lt;=M$3,('Gastos com Pessoal'!$N$513:$N$522)+1,1))*(IF('Gastos com Pessoal'!$S$513:$S$522&lt;=M$3,('Gastos com Pessoal'!$T$513:$T$522)+1,1))*(IF('Gastos com Pessoal'!$Y$513:$Y$522&lt;=M$3,('Gastos com Pessoal'!$Z$513:$Z$522)+1,1))*(IF('Gastos com Pessoal'!$AE$513:$AE$522&lt;=M$3,('Gastos com Pessoal'!$AF$513:$AF$522)+1,1))),0)</f>
        <v>176468.36926407582</v>
      </c>
      <c r="N39" s="188">
        <f t="array" aca="1" ref="N39" ca="1">_xlfn.IFNA(SUM((N$3&gt;='Gastos com Pessoal'!$E$7:$E$506)*(N$3&lt;='Gastos com Pessoal'!$F$7:$F$506)*OFFSET('Encargos e Benefícios'!$D$5,1,MATCH($B39,'Encargos e Benefícios'!$E$5:$AB$5,0),500,1)*(IF('Gastos com Pessoal'!$G$7:$G$506&lt;=N$3,('Gastos com Pessoal'!$H$7:$H$506)+1,1))*(IF('Gastos com Pessoal'!$M$7:$M$506&lt;=N$3,('Gastos com Pessoal'!$N$7:$N$506)+1,1))*(IF('Gastos com Pessoal'!$S$7:$S$506&lt;=N$3,('Gastos com Pessoal'!$T$7:$T$506)+1,1))*(IF('Gastos com Pessoal'!$Y$7:$Y$506&lt;=N$3,('Gastos com Pessoal'!$Z$7:$Z$506)+1,1))*(IF('Gastos com Pessoal'!$AE$7:$AE$506&lt;=N$3,('Gastos com Pessoal'!$AF$7:$AF$506)+1,1))),0)+_xlfn.IFNA(SUM((N$3&gt;='Gastos com Pessoal'!$E$513:$E$522)*(N$3&lt;='Gastos com Pessoal'!$F$513:$F$522)*OFFSET('Encargos e Benefícios'!$D$511,1,MATCH($B39,'Encargos e Benefícios'!$F$511:$AB$511,0),10,1)*(IF('Gastos com Pessoal'!$G$513:$G$522&lt;=N$3,('Gastos com Pessoal'!$H$513:$H$522)+1,1))*(IF('Gastos com Pessoal'!$M$513:$M$522&lt;=N$3,('Gastos com Pessoal'!$N$513:$N$522)+1,1))*(IF('Gastos com Pessoal'!$S$513:$S$522&lt;=N$3,('Gastos com Pessoal'!$T$513:$T$522)+1,1))*(IF('Gastos com Pessoal'!$Y$513:$Y$522&lt;=N$3,('Gastos com Pessoal'!$Z$513:$Z$522)+1,1))*(IF('Gastos com Pessoal'!$AE$513:$AE$522&lt;=N$3,('Gastos com Pessoal'!$AF$513:$AF$522)+1,1))),0)</f>
        <v>184095.05505173025</v>
      </c>
      <c r="O39" s="188">
        <f t="array" aca="1" ref="O39" ca="1">_xlfn.IFNA(SUM((O$3&gt;='Gastos com Pessoal'!$E$7:$E$506)*(O$3&lt;='Gastos com Pessoal'!$F$7:$F$506)*OFFSET('Encargos e Benefícios'!$D$5,1,MATCH($B39,'Encargos e Benefícios'!$E$5:$AB$5,0),500,1)*(IF('Gastos com Pessoal'!$G$7:$G$506&lt;=O$3,('Gastos com Pessoal'!$H$7:$H$506)+1,1))*(IF('Gastos com Pessoal'!$M$7:$M$506&lt;=O$3,('Gastos com Pessoal'!$N$7:$N$506)+1,1))*(IF('Gastos com Pessoal'!$S$7:$S$506&lt;=O$3,('Gastos com Pessoal'!$T$7:$T$506)+1,1))*(IF('Gastos com Pessoal'!$Y$7:$Y$506&lt;=O$3,('Gastos com Pessoal'!$Z$7:$Z$506)+1,1))*(IF('Gastos com Pessoal'!$AE$7:$AE$506&lt;=O$3,('Gastos com Pessoal'!$AF$7:$AF$506)+1,1))),0)+_xlfn.IFNA(SUM((O$3&gt;='Gastos com Pessoal'!$E$513:$E$522)*(O$3&lt;='Gastos com Pessoal'!$F$513:$F$522)*OFFSET('Encargos e Benefícios'!$D$511,1,MATCH($B39,'Encargos e Benefícios'!$F$511:$AB$511,0),10,1)*(IF('Gastos com Pessoal'!$G$513:$G$522&lt;=O$3,('Gastos com Pessoal'!$H$513:$H$522)+1,1))*(IF('Gastos com Pessoal'!$M$513:$M$522&lt;=O$3,('Gastos com Pessoal'!$N$513:$N$522)+1,1))*(IF('Gastos com Pessoal'!$S$513:$S$522&lt;=O$3,('Gastos com Pessoal'!$T$513:$T$522)+1,1))*(IF('Gastos com Pessoal'!$Y$513:$Y$522&lt;=O$3,('Gastos com Pessoal'!$Z$513:$Z$522)+1,1))*(IF('Gastos com Pessoal'!$AE$513:$AE$522&lt;=O$3,('Gastos com Pessoal'!$AF$513:$AF$522)+1,1))),0)</f>
        <v>184095.05505173025</v>
      </c>
      <c r="P39" s="188">
        <f t="array" aca="1" ref="P39" ca="1">_xlfn.IFNA(SUM((P$3&gt;='Gastos com Pessoal'!$E$7:$E$506)*(P$3&lt;='Gastos com Pessoal'!$F$7:$F$506)*OFFSET('Encargos e Benefícios'!$D$5,1,MATCH($B39,'Encargos e Benefícios'!$E$5:$AB$5,0),500,1)*(IF('Gastos com Pessoal'!$G$7:$G$506&lt;=P$3,('Gastos com Pessoal'!$H$7:$H$506)+1,1))*(IF('Gastos com Pessoal'!$M$7:$M$506&lt;=P$3,('Gastos com Pessoal'!$N$7:$N$506)+1,1))*(IF('Gastos com Pessoal'!$S$7:$S$506&lt;=P$3,('Gastos com Pessoal'!$T$7:$T$506)+1,1))*(IF('Gastos com Pessoal'!$Y$7:$Y$506&lt;=P$3,('Gastos com Pessoal'!$Z$7:$Z$506)+1,1))*(IF('Gastos com Pessoal'!$AE$7:$AE$506&lt;=P$3,('Gastos com Pessoal'!$AF$7:$AF$506)+1,1))),0)+_xlfn.IFNA(SUM((P$3&gt;='Gastos com Pessoal'!$E$513:$E$522)*(P$3&lt;='Gastos com Pessoal'!$F$513:$F$522)*OFFSET('Encargos e Benefícios'!$D$511,1,MATCH($B39,'Encargos e Benefícios'!$F$511:$AB$511,0),10,1)*(IF('Gastos com Pessoal'!$G$513:$G$522&lt;=P$3,('Gastos com Pessoal'!$H$513:$H$522)+1,1))*(IF('Gastos com Pessoal'!$M$513:$M$522&lt;=P$3,('Gastos com Pessoal'!$N$513:$N$522)+1,1))*(IF('Gastos com Pessoal'!$S$513:$S$522&lt;=P$3,('Gastos com Pessoal'!$T$513:$T$522)+1,1))*(IF('Gastos com Pessoal'!$Y$513:$Y$522&lt;=P$3,('Gastos com Pessoal'!$Z$513:$Z$522)+1,1))*(IF('Gastos com Pessoal'!$AE$513:$AE$522&lt;=P$3,('Gastos com Pessoal'!$AF$513:$AF$522)+1,1))),0)</f>
        <v>184095.05505173025</v>
      </c>
      <c r="Q39" s="188">
        <f t="array" aca="1" ref="Q39" ca="1">_xlfn.IFNA(SUM((Q$3&gt;='Gastos com Pessoal'!$E$7:$E$506)*(Q$3&lt;='Gastos com Pessoal'!$F$7:$F$506)*OFFSET('Encargos e Benefícios'!$D$5,1,MATCH($B39,'Encargos e Benefícios'!$E$5:$AB$5,0),500,1)*(IF('Gastos com Pessoal'!$G$7:$G$506&lt;=Q$3,('Gastos com Pessoal'!$H$7:$H$506)+1,1))*(IF('Gastos com Pessoal'!$M$7:$M$506&lt;=Q$3,('Gastos com Pessoal'!$N$7:$N$506)+1,1))*(IF('Gastos com Pessoal'!$S$7:$S$506&lt;=Q$3,('Gastos com Pessoal'!$T$7:$T$506)+1,1))*(IF('Gastos com Pessoal'!$Y$7:$Y$506&lt;=Q$3,('Gastos com Pessoal'!$Z$7:$Z$506)+1,1))*(IF('Gastos com Pessoal'!$AE$7:$AE$506&lt;=Q$3,('Gastos com Pessoal'!$AF$7:$AF$506)+1,1))),0)+_xlfn.IFNA(SUM((Q$3&gt;='Gastos com Pessoal'!$E$513:$E$522)*(Q$3&lt;='Gastos com Pessoal'!$F$513:$F$522)*OFFSET('Encargos e Benefícios'!$D$511,1,MATCH($B39,'Encargos e Benefícios'!$F$511:$AB$511,0),10,1)*(IF('Gastos com Pessoal'!$G$513:$G$522&lt;=Q$3,('Gastos com Pessoal'!$H$513:$H$522)+1,1))*(IF('Gastos com Pessoal'!$M$513:$M$522&lt;=Q$3,('Gastos com Pessoal'!$N$513:$N$522)+1,1))*(IF('Gastos com Pessoal'!$S$513:$S$522&lt;=Q$3,('Gastos com Pessoal'!$T$513:$T$522)+1,1))*(IF('Gastos com Pessoal'!$Y$513:$Y$522&lt;=Q$3,('Gastos com Pessoal'!$Z$513:$Z$522)+1,1))*(IF('Gastos com Pessoal'!$AE$513:$AE$522&lt;=Q$3,('Gastos com Pessoal'!$AF$513:$AF$522)+1,1))),0)</f>
        <v>184095.05505173025</v>
      </c>
      <c r="R39" s="188">
        <f t="array" aca="1" ref="R39" ca="1">_xlfn.IFNA(SUM((R$3&gt;='Gastos com Pessoal'!$E$7:$E$506)*(R$3&lt;='Gastos com Pessoal'!$F$7:$F$506)*OFFSET('Encargos e Benefícios'!$D$5,1,MATCH($B39,'Encargos e Benefícios'!$E$5:$AB$5,0),500,1)*(IF('Gastos com Pessoal'!$G$7:$G$506&lt;=R$3,('Gastos com Pessoal'!$H$7:$H$506)+1,1))*(IF('Gastos com Pessoal'!$M$7:$M$506&lt;=R$3,('Gastos com Pessoal'!$N$7:$N$506)+1,1))*(IF('Gastos com Pessoal'!$S$7:$S$506&lt;=R$3,('Gastos com Pessoal'!$T$7:$T$506)+1,1))*(IF('Gastos com Pessoal'!$Y$7:$Y$506&lt;=R$3,('Gastos com Pessoal'!$Z$7:$Z$506)+1,1))*(IF('Gastos com Pessoal'!$AE$7:$AE$506&lt;=R$3,('Gastos com Pessoal'!$AF$7:$AF$506)+1,1))),0)+_xlfn.IFNA(SUM((R$3&gt;='Gastos com Pessoal'!$E$513:$E$522)*(R$3&lt;='Gastos com Pessoal'!$F$513:$F$522)*OFFSET('Encargos e Benefícios'!$D$511,1,MATCH($B39,'Encargos e Benefícios'!$F$511:$AB$511,0),10,1)*(IF('Gastos com Pessoal'!$G$513:$G$522&lt;=R$3,('Gastos com Pessoal'!$H$513:$H$522)+1,1))*(IF('Gastos com Pessoal'!$M$513:$M$522&lt;=R$3,('Gastos com Pessoal'!$N$513:$N$522)+1,1))*(IF('Gastos com Pessoal'!$S$513:$S$522&lt;=R$3,('Gastos com Pessoal'!$T$513:$T$522)+1,1))*(IF('Gastos com Pessoal'!$Y$513:$Y$522&lt;=R$3,('Gastos com Pessoal'!$Z$513:$Z$522)+1,1))*(IF('Gastos com Pessoal'!$AE$513:$AE$522&lt;=R$3,('Gastos com Pessoal'!$AF$513:$AF$522)+1,1))),0)</f>
        <v>184095.05505173025</v>
      </c>
      <c r="S39" s="188">
        <f t="array" aca="1" ref="S39" ca="1">_xlfn.IFNA(SUM((S$3&gt;='Gastos com Pessoal'!$E$7:$E$506)*(S$3&lt;='Gastos com Pessoal'!$F$7:$F$506)*OFFSET('Encargos e Benefícios'!$D$5,1,MATCH($B39,'Encargos e Benefícios'!$E$5:$AB$5,0),500,1)*(IF('Gastos com Pessoal'!$G$7:$G$506&lt;=S$3,('Gastos com Pessoal'!$H$7:$H$506)+1,1))*(IF('Gastos com Pessoal'!$M$7:$M$506&lt;=S$3,('Gastos com Pessoal'!$N$7:$N$506)+1,1))*(IF('Gastos com Pessoal'!$S$7:$S$506&lt;=S$3,('Gastos com Pessoal'!$T$7:$T$506)+1,1))*(IF('Gastos com Pessoal'!$Y$7:$Y$506&lt;=S$3,('Gastos com Pessoal'!$Z$7:$Z$506)+1,1))*(IF('Gastos com Pessoal'!$AE$7:$AE$506&lt;=S$3,('Gastos com Pessoal'!$AF$7:$AF$506)+1,1))),0)+_xlfn.IFNA(SUM((S$3&gt;='Gastos com Pessoal'!$E$513:$E$522)*(S$3&lt;='Gastos com Pessoal'!$F$513:$F$522)*OFFSET('Encargos e Benefícios'!$D$511,1,MATCH($B39,'Encargos e Benefícios'!$F$511:$AB$511,0),10,1)*(IF('Gastos com Pessoal'!$G$513:$G$522&lt;=S$3,('Gastos com Pessoal'!$H$513:$H$522)+1,1))*(IF('Gastos com Pessoal'!$M$513:$M$522&lt;=S$3,('Gastos com Pessoal'!$N$513:$N$522)+1,1))*(IF('Gastos com Pessoal'!$S$513:$S$522&lt;=S$3,('Gastos com Pessoal'!$T$513:$T$522)+1,1))*(IF('Gastos com Pessoal'!$Y$513:$Y$522&lt;=S$3,('Gastos com Pessoal'!$Z$513:$Z$522)+1,1))*(IF('Gastos com Pessoal'!$AE$513:$AE$522&lt;=S$3,('Gastos com Pessoal'!$AF$513:$AF$522)+1,1))),0)</f>
        <v>194846.2062667507</v>
      </c>
      <c r="T39" s="188">
        <f t="array" aca="1" ref="T39" ca="1">_xlfn.IFNA(SUM((T$3&gt;='Gastos com Pessoal'!$E$7:$E$506)*(T$3&lt;='Gastos com Pessoal'!$F$7:$F$506)*OFFSET('Encargos e Benefícios'!$D$5,1,MATCH($B39,'Encargos e Benefícios'!$E$5:$AB$5,0),500,1)*(IF('Gastos com Pessoal'!$G$7:$G$506&lt;=T$3,('Gastos com Pessoal'!$H$7:$H$506)+1,1))*(IF('Gastos com Pessoal'!$M$7:$M$506&lt;=T$3,('Gastos com Pessoal'!$N$7:$N$506)+1,1))*(IF('Gastos com Pessoal'!$S$7:$S$506&lt;=T$3,('Gastos com Pessoal'!$T$7:$T$506)+1,1))*(IF('Gastos com Pessoal'!$Y$7:$Y$506&lt;=T$3,('Gastos com Pessoal'!$Z$7:$Z$506)+1,1))*(IF('Gastos com Pessoal'!$AE$7:$AE$506&lt;=T$3,('Gastos com Pessoal'!$AF$7:$AF$506)+1,1))),0)+_xlfn.IFNA(SUM((T$3&gt;='Gastos com Pessoal'!$E$513:$E$522)*(T$3&lt;='Gastos com Pessoal'!$F$513:$F$522)*OFFSET('Encargos e Benefícios'!$D$511,1,MATCH($B39,'Encargos e Benefícios'!$F$511:$AB$511,0),10,1)*(IF('Gastos com Pessoal'!$G$513:$G$522&lt;=T$3,('Gastos com Pessoal'!$H$513:$H$522)+1,1))*(IF('Gastos com Pessoal'!$M$513:$M$522&lt;=T$3,('Gastos com Pessoal'!$N$513:$N$522)+1,1))*(IF('Gastos com Pessoal'!$S$513:$S$522&lt;=T$3,('Gastos com Pessoal'!$T$513:$T$522)+1,1))*(IF('Gastos com Pessoal'!$Y$513:$Y$522&lt;=T$3,('Gastos com Pessoal'!$Z$513:$Z$522)+1,1))*(IF('Gastos com Pessoal'!$AE$513:$AE$522&lt;=T$3,('Gastos com Pessoal'!$AF$513:$AF$522)+1,1))),0)</f>
        <v>194846.2062667507</v>
      </c>
      <c r="U39" s="188">
        <f t="array" aca="1" ref="U39" ca="1">_xlfn.IFNA(SUM((U$3&gt;='Gastos com Pessoal'!$E$7:$E$506)*(U$3&lt;='Gastos com Pessoal'!$F$7:$F$506)*OFFSET('Encargos e Benefícios'!$D$5,1,MATCH($B39,'Encargos e Benefícios'!$E$5:$AB$5,0),500,1)*(IF('Gastos com Pessoal'!$G$7:$G$506&lt;=U$3,('Gastos com Pessoal'!$H$7:$H$506)+1,1))*(IF('Gastos com Pessoal'!$M$7:$M$506&lt;=U$3,('Gastos com Pessoal'!$N$7:$N$506)+1,1))*(IF('Gastos com Pessoal'!$S$7:$S$506&lt;=U$3,('Gastos com Pessoal'!$T$7:$T$506)+1,1))*(IF('Gastos com Pessoal'!$Y$7:$Y$506&lt;=U$3,('Gastos com Pessoal'!$Z$7:$Z$506)+1,1))*(IF('Gastos com Pessoal'!$AE$7:$AE$506&lt;=U$3,('Gastos com Pessoal'!$AF$7:$AF$506)+1,1))),0)+_xlfn.IFNA(SUM((U$3&gt;='Gastos com Pessoal'!$E$513:$E$522)*(U$3&lt;='Gastos com Pessoal'!$F$513:$F$522)*OFFSET('Encargos e Benefícios'!$D$511,1,MATCH($B39,'Encargos e Benefícios'!$F$511:$AB$511,0),10,1)*(IF('Gastos com Pessoal'!$G$513:$G$522&lt;=U$3,('Gastos com Pessoal'!$H$513:$H$522)+1,1))*(IF('Gastos com Pessoal'!$M$513:$M$522&lt;=U$3,('Gastos com Pessoal'!$N$513:$N$522)+1,1))*(IF('Gastos com Pessoal'!$S$513:$S$522&lt;=U$3,('Gastos com Pessoal'!$T$513:$T$522)+1,1))*(IF('Gastos com Pessoal'!$Y$513:$Y$522&lt;=U$3,('Gastos com Pessoal'!$Z$513:$Z$522)+1,1))*(IF('Gastos com Pessoal'!$AE$513:$AE$522&lt;=U$3,('Gastos com Pessoal'!$AF$513:$AF$522)+1,1))),0)</f>
        <v>194846.2062667507</v>
      </c>
      <c r="V39" s="188">
        <f t="array" aca="1" ref="V39" ca="1">_xlfn.IFNA(SUM((V$3&gt;='Gastos com Pessoal'!$E$7:$E$506)*(V$3&lt;='Gastos com Pessoal'!$F$7:$F$506)*OFFSET('Encargos e Benefícios'!$D$5,1,MATCH($B39,'Encargos e Benefícios'!$E$5:$AB$5,0),500,1)*(IF('Gastos com Pessoal'!$G$7:$G$506&lt;=V$3,('Gastos com Pessoal'!$H$7:$H$506)+1,1))*(IF('Gastos com Pessoal'!$M$7:$M$506&lt;=V$3,('Gastos com Pessoal'!$N$7:$N$506)+1,1))*(IF('Gastos com Pessoal'!$S$7:$S$506&lt;=V$3,('Gastos com Pessoal'!$T$7:$T$506)+1,1))*(IF('Gastos com Pessoal'!$Y$7:$Y$506&lt;=V$3,('Gastos com Pessoal'!$Z$7:$Z$506)+1,1))*(IF('Gastos com Pessoal'!$AE$7:$AE$506&lt;=V$3,('Gastos com Pessoal'!$AF$7:$AF$506)+1,1))),0)+_xlfn.IFNA(SUM((V$3&gt;='Gastos com Pessoal'!$E$513:$E$522)*(V$3&lt;='Gastos com Pessoal'!$F$513:$F$522)*OFFSET('Encargos e Benefícios'!$D$511,1,MATCH($B39,'Encargos e Benefícios'!$F$511:$AB$511,0),10,1)*(IF('Gastos com Pessoal'!$G$513:$G$522&lt;=V$3,('Gastos com Pessoal'!$H$513:$H$522)+1,1))*(IF('Gastos com Pessoal'!$M$513:$M$522&lt;=V$3,('Gastos com Pessoal'!$N$513:$N$522)+1,1))*(IF('Gastos com Pessoal'!$S$513:$S$522&lt;=V$3,('Gastos com Pessoal'!$T$513:$T$522)+1,1))*(IF('Gastos com Pessoal'!$Y$513:$Y$522&lt;=V$3,('Gastos com Pessoal'!$Z$513:$Z$522)+1,1))*(IF('Gastos com Pessoal'!$AE$513:$AE$522&lt;=V$3,('Gastos com Pessoal'!$AF$513:$AF$522)+1,1))),0)</f>
        <v>194846.2062667507</v>
      </c>
      <c r="W39" s="188">
        <f t="array" aca="1" ref="W39" ca="1">_xlfn.IFNA(SUM((W$3&gt;='Gastos com Pessoal'!$E$7:$E$506)*(W$3&lt;='Gastos com Pessoal'!$F$7:$F$506)*OFFSET('Encargos e Benefícios'!$D$5,1,MATCH($B39,'Encargos e Benefícios'!$E$5:$AB$5,0),500,1)*(IF('Gastos com Pessoal'!$G$7:$G$506&lt;=W$3,('Gastos com Pessoal'!$H$7:$H$506)+1,1))*(IF('Gastos com Pessoal'!$M$7:$M$506&lt;=W$3,('Gastos com Pessoal'!$N$7:$N$506)+1,1))*(IF('Gastos com Pessoal'!$S$7:$S$506&lt;=W$3,('Gastos com Pessoal'!$T$7:$T$506)+1,1))*(IF('Gastos com Pessoal'!$Y$7:$Y$506&lt;=W$3,('Gastos com Pessoal'!$Z$7:$Z$506)+1,1))*(IF('Gastos com Pessoal'!$AE$7:$AE$506&lt;=W$3,('Gastos com Pessoal'!$AF$7:$AF$506)+1,1))),0)+_xlfn.IFNA(SUM((W$3&gt;='Gastos com Pessoal'!$E$513:$E$522)*(W$3&lt;='Gastos com Pessoal'!$F$513:$F$522)*OFFSET('Encargos e Benefícios'!$D$511,1,MATCH($B39,'Encargos e Benefícios'!$F$511:$AB$511,0),10,1)*(IF('Gastos com Pessoal'!$G$513:$G$522&lt;=W$3,('Gastos com Pessoal'!$H$513:$H$522)+1,1))*(IF('Gastos com Pessoal'!$M$513:$M$522&lt;=W$3,('Gastos com Pessoal'!$N$513:$N$522)+1,1))*(IF('Gastos com Pessoal'!$S$513:$S$522&lt;=W$3,('Gastos com Pessoal'!$T$513:$T$522)+1,1))*(IF('Gastos com Pessoal'!$Y$513:$Y$522&lt;=W$3,('Gastos com Pessoal'!$Z$513:$Z$522)+1,1))*(IF('Gastos com Pessoal'!$AE$513:$AE$522&lt;=W$3,('Gastos com Pessoal'!$AF$513:$AF$522)+1,1))),0)</f>
        <v>194846.2062667507</v>
      </c>
      <c r="X39" s="188">
        <f t="array" aca="1" ref="X39" ca="1">_xlfn.IFNA(SUM((X$3&gt;='Gastos com Pessoal'!$E$7:$E$506)*(X$3&lt;='Gastos com Pessoal'!$F$7:$F$506)*OFFSET('Encargos e Benefícios'!$D$5,1,MATCH($B39,'Encargos e Benefícios'!$E$5:$AB$5,0),500,1)*(IF('Gastos com Pessoal'!$G$7:$G$506&lt;=X$3,('Gastos com Pessoal'!$H$7:$H$506)+1,1))*(IF('Gastos com Pessoal'!$M$7:$M$506&lt;=X$3,('Gastos com Pessoal'!$N$7:$N$506)+1,1))*(IF('Gastos com Pessoal'!$S$7:$S$506&lt;=X$3,('Gastos com Pessoal'!$T$7:$T$506)+1,1))*(IF('Gastos com Pessoal'!$Y$7:$Y$506&lt;=X$3,('Gastos com Pessoal'!$Z$7:$Z$506)+1,1))*(IF('Gastos com Pessoal'!$AE$7:$AE$506&lt;=X$3,('Gastos com Pessoal'!$AF$7:$AF$506)+1,1))),0)+_xlfn.IFNA(SUM((X$3&gt;='Gastos com Pessoal'!$E$513:$E$522)*(X$3&lt;='Gastos com Pessoal'!$F$513:$F$522)*OFFSET('Encargos e Benefícios'!$D$511,1,MATCH($B39,'Encargos e Benefícios'!$F$511:$AB$511,0),10,1)*(IF('Gastos com Pessoal'!$G$513:$G$522&lt;=X$3,('Gastos com Pessoal'!$H$513:$H$522)+1,1))*(IF('Gastos com Pessoal'!$M$513:$M$522&lt;=X$3,('Gastos com Pessoal'!$N$513:$N$522)+1,1))*(IF('Gastos com Pessoal'!$S$513:$S$522&lt;=X$3,('Gastos com Pessoal'!$T$513:$T$522)+1,1))*(IF('Gastos com Pessoal'!$Y$513:$Y$522&lt;=X$3,('Gastos com Pessoal'!$Z$513:$Z$522)+1,1))*(IF('Gastos com Pessoal'!$AE$513:$AE$522&lt;=X$3,('Gastos com Pessoal'!$AF$513:$AF$522)+1,1))),0)</f>
        <v>194846.2062667507</v>
      </c>
      <c r="Y39" s="188">
        <f t="array" aca="1" ref="Y39" ca="1">_xlfn.IFNA(SUM((Y$3&gt;='Gastos com Pessoal'!$E$7:$E$506)*(Y$3&lt;='Gastos com Pessoal'!$F$7:$F$506)*OFFSET('Encargos e Benefícios'!$D$5,1,MATCH($B39,'Encargos e Benefícios'!$E$5:$AB$5,0),500,1)*(IF('Gastos com Pessoal'!$G$7:$G$506&lt;=Y$3,('Gastos com Pessoal'!$H$7:$H$506)+1,1))*(IF('Gastos com Pessoal'!$M$7:$M$506&lt;=Y$3,('Gastos com Pessoal'!$N$7:$N$506)+1,1))*(IF('Gastos com Pessoal'!$S$7:$S$506&lt;=Y$3,('Gastos com Pessoal'!$T$7:$T$506)+1,1))*(IF('Gastos com Pessoal'!$Y$7:$Y$506&lt;=Y$3,('Gastos com Pessoal'!$Z$7:$Z$506)+1,1))*(IF('Gastos com Pessoal'!$AE$7:$AE$506&lt;=Y$3,('Gastos com Pessoal'!$AF$7:$AF$506)+1,1))),0)+_xlfn.IFNA(SUM((Y$3&gt;='Gastos com Pessoal'!$E$513:$E$522)*(Y$3&lt;='Gastos com Pessoal'!$F$513:$F$522)*OFFSET('Encargos e Benefícios'!$D$511,1,MATCH($B39,'Encargos e Benefícios'!$F$511:$AB$511,0),10,1)*(IF('Gastos com Pessoal'!$G$513:$G$522&lt;=Y$3,('Gastos com Pessoal'!$H$513:$H$522)+1,1))*(IF('Gastos com Pessoal'!$M$513:$M$522&lt;=Y$3,('Gastos com Pessoal'!$N$513:$N$522)+1,1))*(IF('Gastos com Pessoal'!$S$513:$S$522&lt;=Y$3,('Gastos com Pessoal'!$T$513:$T$522)+1,1))*(IF('Gastos com Pessoal'!$Y$513:$Y$522&lt;=Y$3,('Gastos com Pessoal'!$Z$513:$Z$522)+1,1))*(IF('Gastos com Pessoal'!$AE$513:$AE$522&lt;=Y$3,('Gastos com Pessoal'!$AF$513:$AF$522)+1,1))),0)</f>
        <v>194846.2062667507</v>
      </c>
      <c r="Z39" s="188">
        <f t="array" aca="1" ref="Z39" ca="1">_xlfn.IFNA(SUM((Z$3&gt;='Gastos com Pessoal'!$E$7:$E$506)*(Z$3&lt;='Gastos com Pessoal'!$F$7:$F$506)*OFFSET('Encargos e Benefícios'!$D$5,1,MATCH($B39,'Encargos e Benefícios'!$E$5:$AB$5,0),500,1)*(IF('Gastos com Pessoal'!$G$7:$G$506&lt;=Z$3,('Gastos com Pessoal'!$H$7:$H$506)+1,1))*(IF('Gastos com Pessoal'!$M$7:$M$506&lt;=Z$3,('Gastos com Pessoal'!$N$7:$N$506)+1,1))*(IF('Gastos com Pessoal'!$S$7:$S$506&lt;=Z$3,('Gastos com Pessoal'!$T$7:$T$506)+1,1))*(IF('Gastos com Pessoal'!$Y$7:$Y$506&lt;=Z$3,('Gastos com Pessoal'!$Z$7:$Z$506)+1,1))*(IF('Gastos com Pessoal'!$AE$7:$AE$506&lt;=Z$3,('Gastos com Pessoal'!$AF$7:$AF$506)+1,1))),0)+_xlfn.IFNA(SUM((Z$3&gt;='Gastos com Pessoal'!$E$513:$E$522)*(Z$3&lt;='Gastos com Pessoal'!$F$513:$F$522)*OFFSET('Encargos e Benefícios'!$D$511,1,MATCH($B39,'Encargos e Benefícios'!$F$511:$AB$511,0),10,1)*(IF('Gastos com Pessoal'!$G$513:$G$522&lt;=Z$3,('Gastos com Pessoal'!$H$513:$H$522)+1,1))*(IF('Gastos com Pessoal'!$M$513:$M$522&lt;=Z$3,('Gastos com Pessoal'!$N$513:$N$522)+1,1))*(IF('Gastos com Pessoal'!$S$513:$S$522&lt;=Z$3,('Gastos com Pessoal'!$T$513:$T$522)+1,1))*(IF('Gastos com Pessoal'!$Y$513:$Y$522&lt;=Z$3,('Gastos com Pessoal'!$Z$513:$Z$522)+1,1))*(IF('Gastos com Pessoal'!$AE$513:$AE$522&lt;=Z$3,('Gastos com Pessoal'!$AF$513:$AF$522)+1,1))),0)</f>
        <v>194846.2062667507</v>
      </c>
      <c r="AA39" s="188">
        <f t="array" aca="1" ref="AA39" ca="1">_xlfn.IFNA(SUM((AA$3&gt;='Gastos com Pessoal'!$E$7:$E$506)*(AA$3&lt;='Gastos com Pessoal'!$F$7:$F$506)*OFFSET('Encargos e Benefícios'!$D$5,1,MATCH($B39,'Encargos e Benefícios'!$E$5:$AB$5,0),500,1)*(IF('Gastos com Pessoal'!$G$7:$G$506&lt;=AA$3,('Gastos com Pessoal'!$H$7:$H$506)+1,1))*(IF('Gastos com Pessoal'!$M$7:$M$506&lt;=AA$3,('Gastos com Pessoal'!$N$7:$N$506)+1,1))*(IF('Gastos com Pessoal'!$S$7:$S$506&lt;=AA$3,('Gastos com Pessoal'!$T$7:$T$506)+1,1))*(IF('Gastos com Pessoal'!$Y$7:$Y$506&lt;=AA$3,('Gastos com Pessoal'!$Z$7:$Z$506)+1,1))*(IF('Gastos com Pessoal'!$AE$7:$AE$506&lt;=AA$3,('Gastos com Pessoal'!$AF$7:$AF$506)+1,1))),0)+_xlfn.IFNA(SUM((AA$3&gt;='Gastos com Pessoal'!$E$513:$E$522)*(AA$3&lt;='Gastos com Pessoal'!$F$513:$F$522)*OFFSET('Encargos e Benefícios'!$D$511,1,MATCH($B39,'Encargos e Benefícios'!$F$511:$AB$511,0),10,1)*(IF('Gastos com Pessoal'!$G$513:$G$522&lt;=AA$3,('Gastos com Pessoal'!$H$513:$H$522)+1,1))*(IF('Gastos com Pessoal'!$M$513:$M$522&lt;=AA$3,('Gastos com Pessoal'!$N$513:$N$522)+1,1))*(IF('Gastos com Pessoal'!$S$513:$S$522&lt;=AA$3,('Gastos com Pessoal'!$T$513:$T$522)+1,1))*(IF('Gastos com Pessoal'!$Y$513:$Y$522&lt;=AA$3,('Gastos com Pessoal'!$Z$513:$Z$522)+1,1))*(IF('Gastos com Pessoal'!$AE$513:$AE$522&lt;=AA$3,('Gastos com Pessoal'!$AF$513:$AF$522)+1,1))),0)</f>
        <v>194846.2062667507</v>
      </c>
      <c r="AB39" s="188">
        <f t="array" aca="1" ref="AB39" ca="1">_xlfn.IFNA(SUM((AB$3&gt;='Gastos com Pessoal'!$E$7:$E$506)*(AB$3&lt;='Gastos com Pessoal'!$F$7:$F$506)*OFFSET('Encargos e Benefícios'!$D$5,1,MATCH($B39,'Encargos e Benefícios'!$E$5:$AB$5,0),500,1)*(IF('Gastos com Pessoal'!$G$7:$G$506&lt;=AB$3,('Gastos com Pessoal'!$H$7:$H$506)+1,1))*(IF('Gastos com Pessoal'!$M$7:$M$506&lt;=AB$3,('Gastos com Pessoal'!$N$7:$N$506)+1,1))*(IF('Gastos com Pessoal'!$S$7:$S$506&lt;=AB$3,('Gastos com Pessoal'!$T$7:$T$506)+1,1))*(IF('Gastos com Pessoal'!$Y$7:$Y$506&lt;=AB$3,('Gastos com Pessoal'!$Z$7:$Z$506)+1,1))*(IF('Gastos com Pessoal'!$AE$7:$AE$506&lt;=AB$3,('Gastos com Pessoal'!$AF$7:$AF$506)+1,1))),0)+_xlfn.IFNA(SUM((AB$3&gt;='Gastos com Pessoal'!$E$513:$E$522)*(AB$3&lt;='Gastos com Pessoal'!$F$513:$F$522)*OFFSET('Encargos e Benefícios'!$D$511,1,MATCH($B39,'Encargos e Benefícios'!$F$511:$AB$511,0),10,1)*(IF('Gastos com Pessoal'!$G$513:$G$522&lt;=AB$3,('Gastos com Pessoal'!$H$513:$H$522)+1,1))*(IF('Gastos com Pessoal'!$M$513:$M$522&lt;=AB$3,('Gastos com Pessoal'!$N$513:$N$522)+1,1))*(IF('Gastos com Pessoal'!$S$513:$S$522&lt;=AB$3,('Gastos com Pessoal'!$T$513:$T$522)+1,1))*(IF('Gastos com Pessoal'!$Y$513:$Y$522&lt;=AB$3,('Gastos com Pessoal'!$Z$513:$Z$522)+1,1))*(IF('Gastos com Pessoal'!$AE$513:$AE$522&lt;=AB$3,('Gastos com Pessoal'!$AF$513:$AF$522)+1,1))),0)</f>
        <v>194846.2062667507</v>
      </c>
      <c r="AC39" s="188">
        <f t="array" aca="1" ref="AC39" ca="1">_xlfn.IFNA(SUM((AC$3&gt;='Gastos com Pessoal'!$E$7:$E$506)*(AC$3&lt;='Gastos com Pessoal'!$F$7:$F$506)*OFFSET('Encargos e Benefícios'!$D$5,1,MATCH($B39,'Encargos e Benefícios'!$E$5:$AB$5,0),500,1)*(IF('Gastos com Pessoal'!$G$7:$G$506&lt;=AC$3,('Gastos com Pessoal'!$H$7:$H$506)+1,1))*(IF('Gastos com Pessoal'!$M$7:$M$506&lt;=AC$3,('Gastos com Pessoal'!$N$7:$N$506)+1,1))*(IF('Gastos com Pessoal'!$S$7:$S$506&lt;=AC$3,('Gastos com Pessoal'!$T$7:$T$506)+1,1))*(IF('Gastos com Pessoal'!$Y$7:$Y$506&lt;=AC$3,('Gastos com Pessoal'!$Z$7:$Z$506)+1,1))*(IF('Gastos com Pessoal'!$AE$7:$AE$506&lt;=AC$3,('Gastos com Pessoal'!$AF$7:$AF$506)+1,1))),0)+_xlfn.IFNA(SUM((AC$3&gt;='Gastos com Pessoal'!$E$513:$E$522)*(AC$3&lt;='Gastos com Pessoal'!$F$513:$F$522)*OFFSET('Encargos e Benefícios'!$D$511,1,MATCH($B39,'Encargos e Benefícios'!$F$511:$AB$511,0),10,1)*(IF('Gastos com Pessoal'!$G$513:$G$522&lt;=AC$3,('Gastos com Pessoal'!$H$513:$H$522)+1,1))*(IF('Gastos com Pessoal'!$M$513:$M$522&lt;=AC$3,('Gastos com Pessoal'!$N$513:$N$522)+1,1))*(IF('Gastos com Pessoal'!$S$513:$S$522&lt;=AC$3,('Gastos com Pessoal'!$T$513:$T$522)+1,1))*(IF('Gastos com Pessoal'!$Y$513:$Y$522&lt;=AC$3,('Gastos com Pessoal'!$Z$513:$Z$522)+1,1))*(IF('Gastos com Pessoal'!$AE$513:$AE$522&lt;=AC$3,('Gastos com Pessoal'!$AF$513:$AF$522)+1,1))),0)</f>
        <v>194846.2062667507</v>
      </c>
      <c r="AD39" s="188">
        <f t="array" aca="1" ref="AD39" ca="1">_xlfn.IFNA(SUM((AD$3&gt;='Gastos com Pessoal'!$E$7:$E$506)*(AD$3&lt;='Gastos com Pessoal'!$F$7:$F$506)*OFFSET('Encargos e Benefícios'!$D$5,1,MATCH($B39,'Encargos e Benefícios'!$E$5:$AB$5,0),500,1)*(IF('Gastos com Pessoal'!$G$7:$G$506&lt;=AD$3,('Gastos com Pessoal'!$H$7:$H$506)+1,1))*(IF('Gastos com Pessoal'!$M$7:$M$506&lt;=AD$3,('Gastos com Pessoal'!$N$7:$N$506)+1,1))*(IF('Gastos com Pessoal'!$S$7:$S$506&lt;=AD$3,('Gastos com Pessoal'!$T$7:$T$506)+1,1))*(IF('Gastos com Pessoal'!$Y$7:$Y$506&lt;=AD$3,('Gastos com Pessoal'!$Z$7:$Z$506)+1,1))*(IF('Gastos com Pessoal'!$AE$7:$AE$506&lt;=AD$3,('Gastos com Pessoal'!$AF$7:$AF$506)+1,1))),0)+_xlfn.IFNA(SUM((AD$3&gt;='Gastos com Pessoal'!$E$513:$E$522)*(AD$3&lt;='Gastos com Pessoal'!$F$513:$F$522)*OFFSET('Encargos e Benefícios'!$D$511,1,MATCH($B39,'Encargos e Benefícios'!$F$511:$AB$511,0),10,1)*(IF('Gastos com Pessoal'!$G$513:$G$522&lt;=AD$3,('Gastos com Pessoal'!$H$513:$H$522)+1,1))*(IF('Gastos com Pessoal'!$M$513:$M$522&lt;=AD$3,('Gastos com Pessoal'!$N$513:$N$522)+1,1))*(IF('Gastos com Pessoal'!$S$513:$S$522&lt;=AD$3,('Gastos com Pessoal'!$T$513:$T$522)+1,1))*(IF('Gastos com Pessoal'!$Y$513:$Y$522&lt;=AD$3,('Gastos com Pessoal'!$Z$513:$Z$522)+1,1))*(IF('Gastos com Pessoal'!$AE$513:$AE$522&lt;=AD$3,('Gastos com Pessoal'!$AF$513:$AF$522)+1,1))),0)</f>
        <v>194846.2062667507</v>
      </c>
      <c r="AE39" s="188">
        <f t="array" aca="1" ref="AE39" ca="1">_xlfn.IFNA(SUM((AE$3&gt;='Gastos com Pessoal'!$E$7:$E$506)*(AE$3&lt;='Gastos com Pessoal'!$F$7:$F$506)*OFFSET('Encargos e Benefícios'!$D$5,1,MATCH($B39,'Encargos e Benefícios'!$E$5:$AB$5,0),500,1)*(IF('Gastos com Pessoal'!$G$7:$G$506&lt;=AE$3,('Gastos com Pessoal'!$H$7:$H$506)+1,1))*(IF('Gastos com Pessoal'!$M$7:$M$506&lt;=AE$3,('Gastos com Pessoal'!$N$7:$N$506)+1,1))*(IF('Gastos com Pessoal'!$S$7:$S$506&lt;=AE$3,('Gastos com Pessoal'!$T$7:$T$506)+1,1))*(IF('Gastos com Pessoal'!$Y$7:$Y$506&lt;=AE$3,('Gastos com Pessoal'!$Z$7:$Z$506)+1,1))*(IF('Gastos com Pessoal'!$AE$7:$AE$506&lt;=AE$3,('Gastos com Pessoal'!$AF$7:$AF$506)+1,1))),0)+_xlfn.IFNA(SUM((AE$3&gt;='Gastos com Pessoal'!$E$513:$E$522)*(AE$3&lt;='Gastos com Pessoal'!$F$513:$F$522)*OFFSET('Encargos e Benefícios'!$D$511,1,MATCH($B39,'Encargos e Benefícios'!$F$511:$AB$511,0),10,1)*(IF('Gastos com Pessoal'!$G$513:$G$522&lt;=AE$3,('Gastos com Pessoal'!$H$513:$H$522)+1,1))*(IF('Gastos com Pessoal'!$M$513:$M$522&lt;=AE$3,('Gastos com Pessoal'!$N$513:$N$522)+1,1))*(IF('Gastos com Pessoal'!$S$513:$S$522&lt;=AE$3,('Gastos com Pessoal'!$T$513:$T$522)+1,1))*(IF('Gastos com Pessoal'!$Y$513:$Y$522&lt;=AE$3,('Gastos com Pessoal'!$Z$513:$Z$522)+1,1))*(IF('Gastos com Pessoal'!$AE$513:$AE$522&lt;=AE$3,('Gastos com Pessoal'!$AF$513:$AF$522)+1,1))),0)</f>
        <v>206225.2247127289</v>
      </c>
      <c r="AF39" s="188">
        <f t="array" aca="1" ref="AF39" ca="1">_xlfn.IFNA(SUM((AF$3&gt;='Gastos com Pessoal'!$E$7:$E$506)*(AF$3&lt;='Gastos com Pessoal'!$F$7:$F$506)*OFFSET('Encargos e Benefícios'!$D$5,1,MATCH($B39,'Encargos e Benefícios'!$E$5:$AB$5,0),500,1)*(IF('Gastos com Pessoal'!$G$7:$G$506&lt;=AF$3,('Gastos com Pessoal'!$H$7:$H$506)+1,1))*(IF('Gastos com Pessoal'!$M$7:$M$506&lt;=AF$3,('Gastos com Pessoal'!$N$7:$N$506)+1,1))*(IF('Gastos com Pessoal'!$S$7:$S$506&lt;=AF$3,('Gastos com Pessoal'!$T$7:$T$506)+1,1))*(IF('Gastos com Pessoal'!$Y$7:$Y$506&lt;=AF$3,('Gastos com Pessoal'!$Z$7:$Z$506)+1,1))*(IF('Gastos com Pessoal'!$AE$7:$AE$506&lt;=AF$3,('Gastos com Pessoal'!$AF$7:$AF$506)+1,1))),0)+_xlfn.IFNA(SUM((AF$3&gt;='Gastos com Pessoal'!$E$513:$E$522)*(AF$3&lt;='Gastos com Pessoal'!$F$513:$F$522)*OFFSET('Encargos e Benefícios'!$D$511,1,MATCH($B39,'Encargos e Benefícios'!$F$511:$AB$511,0),10,1)*(IF('Gastos com Pessoal'!$G$513:$G$522&lt;=AF$3,('Gastos com Pessoal'!$H$513:$H$522)+1,1))*(IF('Gastos com Pessoal'!$M$513:$M$522&lt;=AF$3,('Gastos com Pessoal'!$N$513:$N$522)+1,1))*(IF('Gastos com Pessoal'!$S$513:$S$522&lt;=AF$3,('Gastos com Pessoal'!$T$513:$T$522)+1,1))*(IF('Gastos com Pessoal'!$Y$513:$Y$522&lt;=AF$3,('Gastos com Pessoal'!$Z$513:$Z$522)+1,1))*(IF('Gastos com Pessoal'!$AE$513:$AE$522&lt;=AF$3,('Gastos com Pessoal'!$AF$513:$AF$522)+1,1))),0)</f>
        <v>206225.2247127289</v>
      </c>
      <c r="AG39" s="188">
        <f t="array" aca="1" ref="AG39" ca="1">_xlfn.IFNA(SUM((AG$3&gt;='Gastos com Pessoal'!$E$7:$E$506)*(AG$3&lt;='Gastos com Pessoal'!$F$7:$F$506)*OFFSET('Encargos e Benefícios'!$D$5,1,MATCH($B39,'Encargos e Benefícios'!$E$5:$AB$5,0),500,1)*(IF('Gastos com Pessoal'!$G$7:$G$506&lt;=AG$3,('Gastos com Pessoal'!$H$7:$H$506)+1,1))*(IF('Gastos com Pessoal'!$M$7:$M$506&lt;=AG$3,('Gastos com Pessoal'!$N$7:$N$506)+1,1))*(IF('Gastos com Pessoal'!$S$7:$S$506&lt;=AG$3,('Gastos com Pessoal'!$T$7:$T$506)+1,1))*(IF('Gastos com Pessoal'!$Y$7:$Y$506&lt;=AG$3,('Gastos com Pessoal'!$Z$7:$Z$506)+1,1))*(IF('Gastos com Pessoal'!$AE$7:$AE$506&lt;=AG$3,('Gastos com Pessoal'!$AF$7:$AF$506)+1,1))),0)+_xlfn.IFNA(SUM((AG$3&gt;='Gastos com Pessoal'!$E$513:$E$522)*(AG$3&lt;='Gastos com Pessoal'!$F$513:$F$522)*OFFSET('Encargos e Benefícios'!$D$511,1,MATCH($B39,'Encargos e Benefícios'!$F$511:$AB$511,0),10,1)*(IF('Gastos com Pessoal'!$G$513:$G$522&lt;=AG$3,('Gastos com Pessoal'!$H$513:$H$522)+1,1))*(IF('Gastos com Pessoal'!$M$513:$M$522&lt;=AG$3,('Gastos com Pessoal'!$N$513:$N$522)+1,1))*(IF('Gastos com Pessoal'!$S$513:$S$522&lt;=AG$3,('Gastos com Pessoal'!$T$513:$T$522)+1,1))*(IF('Gastos com Pessoal'!$Y$513:$Y$522&lt;=AG$3,('Gastos com Pessoal'!$Z$513:$Z$522)+1,1))*(IF('Gastos com Pessoal'!$AE$513:$AE$522&lt;=AG$3,('Gastos com Pessoal'!$AF$513:$AF$522)+1,1))),0)</f>
        <v>206225.2247127289</v>
      </c>
      <c r="AH39" s="188">
        <f t="array" aca="1" ref="AH39" ca="1">_xlfn.IFNA(SUM((AH$3&gt;='Gastos com Pessoal'!$E$7:$E$506)*(AH$3&lt;='Gastos com Pessoal'!$F$7:$F$506)*OFFSET('Encargos e Benefícios'!$D$5,1,MATCH($B39,'Encargos e Benefícios'!$E$5:$AB$5,0),500,1)*(IF('Gastos com Pessoal'!$G$7:$G$506&lt;=AH$3,('Gastos com Pessoal'!$H$7:$H$506)+1,1))*(IF('Gastos com Pessoal'!$M$7:$M$506&lt;=AH$3,('Gastos com Pessoal'!$N$7:$N$506)+1,1))*(IF('Gastos com Pessoal'!$S$7:$S$506&lt;=AH$3,('Gastos com Pessoal'!$T$7:$T$506)+1,1))*(IF('Gastos com Pessoal'!$Y$7:$Y$506&lt;=AH$3,('Gastos com Pessoal'!$Z$7:$Z$506)+1,1))*(IF('Gastos com Pessoal'!$AE$7:$AE$506&lt;=AH$3,('Gastos com Pessoal'!$AF$7:$AF$506)+1,1))),0)+_xlfn.IFNA(SUM((AH$3&gt;='Gastos com Pessoal'!$E$513:$E$522)*(AH$3&lt;='Gastos com Pessoal'!$F$513:$F$522)*OFFSET('Encargos e Benefícios'!$D$511,1,MATCH($B39,'Encargos e Benefícios'!$F$511:$AB$511,0),10,1)*(IF('Gastos com Pessoal'!$G$513:$G$522&lt;=AH$3,('Gastos com Pessoal'!$H$513:$H$522)+1,1))*(IF('Gastos com Pessoal'!$M$513:$M$522&lt;=AH$3,('Gastos com Pessoal'!$N$513:$N$522)+1,1))*(IF('Gastos com Pessoal'!$S$513:$S$522&lt;=AH$3,('Gastos com Pessoal'!$T$513:$T$522)+1,1))*(IF('Gastos com Pessoal'!$Y$513:$Y$522&lt;=AH$3,('Gastos com Pessoal'!$Z$513:$Z$522)+1,1))*(IF('Gastos com Pessoal'!$AE$513:$AE$522&lt;=AH$3,('Gastos com Pessoal'!$AF$513:$AF$522)+1,1))),0)</f>
        <v>206225.2247127289</v>
      </c>
      <c r="AI39" s="188">
        <f t="array" aca="1" ref="AI39" ca="1">_xlfn.IFNA(SUM((AI$3&gt;='Gastos com Pessoal'!$E$7:$E$506)*(AI$3&lt;='Gastos com Pessoal'!$F$7:$F$506)*OFFSET('Encargos e Benefícios'!$D$5,1,MATCH($B39,'Encargos e Benefícios'!$E$5:$AB$5,0),500,1)*(IF('Gastos com Pessoal'!$G$7:$G$506&lt;=AI$3,('Gastos com Pessoal'!$H$7:$H$506)+1,1))*(IF('Gastos com Pessoal'!$M$7:$M$506&lt;=AI$3,('Gastos com Pessoal'!$N$7:$N$506)+1,1))*(IF('Gastos com Pessoal'!$S$7:$S$506&lt;=AI$3,('Gastos com Pessoal'!$T$7:$T$506)+1,1))*(IF('Gastos com Pessoal'!$Y$7:$Y$506&lt;=AI$3,('Gastos com Pessoal'!$Z$7:$Z$506)+1,1))*(IF('Gastos com Pessoal'!$AE$7:$AE$506&lt;=AI$3,('Gastos com Pessoal'!$AF$7:$AF$506)+1,1))),0)+_xlfn.IFNA(SUM((AI$3&gt;='Gastos com Pessoal'!$E$513:$E$522)*(AI$3&lt;='Gastos com Pessoal'!$F$513:$F$522)*OFFSET('Encargos e Benefícios'!$D$511,1,MATCH($B39,'Encargos e Benefícios'!$F$511:$AB$511,0),10,1)*(IF('Gastos com Pessoal'!$G$513:$G$522&lt;=AI$3,('Gastos com Pessoal'!$H$513:$H$522)+1,1))*(IF('Gastos com Pessoal'!$M$513:$M$522&lt;=AI$3,('Gastos com Pessoal'!$N$513:$N$522)+1,1))*(IF('Gastos com Pessoal'!$S$513:$S$522&lt;=AI$3,('Gastos com Pessoal'!$T$513:$T$522)+1,1))*(IF('Gastos com Pessoal'!$Y$513:$Y$522&lt;=AI$3,('Gastos com Pessoal'!$Z$513:$Z$522)+1,1))*(IF('Gastos com Pessoal'!$AE$513:$AE$522&lt;=AI$3,('Gastos com Pessoal'!$AF$513:$AF$522)+1,1))),0)</f>
        <v>206225.2247127289</v>
      </c>
      <c r="AJ39" s="188">
        <f t="array" aca="1" ref="AJ39" ca="1">_xlfn.IFNA(SUM((AJ$3&gt;='Gastos com Pessoal'!$E$7:$E$506)*(AJ$3&lt;='Gastos com Pessoal'!$F$7:$F$506)*OFFSET('Encargos e Benefícios'!$D$5,1,MATCH($B39,'Encargos e Benefícios'!$E$5:$AB$5,0),500,1)*(IF('Gastos com Pessoal'!$G$7:$G$506&lt;=AJ$3,('Gastos com Pessoal'!$H$7:$H$506)+1,1))*(IF('Gastos com Pessoal'!$M$7:$M$506&lt;=AJ$3,('Gastos com Pessoal'!$N$7:$N$506)+1,1))*(IF('Gastos com Pessoal'!$S$7:$S$506&lt;=AJ$3,('Gastos com Pessoal'!$T$7:$T$506)+1,1))*(IF('Gastos com Pessoal'!$Y$7:$Y$506&lt;=AJ$3,('Gastos com Pessoal'!$Z$7:$Z$506)+1,1))*(IF('Gastos com Pessoal'!$AE$7:$AE$506&lt;=AJ$3,('Gastos com Pessoal'!$AF$7:$AF$506)+1,1))),0)+_xlfn.IFNA(SUM((AJ$3&gt;='Gastos com Pessoal'!$E$513:$E$522)*(AJ$3&lt;='Gastos com Pessoal'!$F$513:$F$522)*OFFSET('Encargos e Benefícios'!$D$511,1,MATCH($B39,'Encargos e Benefícios'!$F$511:$AB$511,0),10,1)*(IF('Gastos com Pessoal'!$G$513:$G$522&lt;=AJ$3,('Gastos com Pessoal'!$H$513:$H$522)+1,1))*(IF('Gastos com Pessoal'!$M$513:$M$522&lt;=AJ$3,('Gastos com Pessoal'!$N$513:$N$522)+1,1))*(IF('Gastos com Pessoal'!$S$513:$S$522&lt;=AJ$3,('Gastos com Pessoal'!$T$513:$T$522)+1,1))*(IF('Gastos com Pessoal'!$Y$513:$Y$522&lt;=AJ$3,('Gastos com Pessoal'!$Z$513:$Z$522)+1,1))*(IF('Gastos com Pessoal'!$AE$513:$AE$522&lt;=AJ$3,('Gastos com Pessoal'!$AF$513:$AF$522)+1,1))),0)</f>
        <v>206225.2247127289</v>
      </c>
      <c r="AK39" s="188">
        <f t="array" aca="1" ref="AK39" ca="1">_xlfn.IFNA(SUM((AK$3&gt;='Gastos com Pessoal'!$E$7:$E$506)*(AK$3&lt;='Gastos com Pessoal'!$F$7:$F$506)*OFFSET('Encargos e Benefícios'!$D$5,1,MATCH($B39,'Encargos e Benefícios'!$E$5:$AB$5,0),500,1)*(IF('Gastos com Pessoal'!$G$7:$G$506&lt;=AK$3,('Gastos com Pessoal'!$H$7:$H$506)+1,1))*(IF('Gastos com Pessoal'!$M$7:$M$506&lt;=AK$3,('Gastos com Pessoal'!$N$7:$N$506)+1,1))*(IF('Gastos com Pessoal'!$S$7:$S$506&lt;=AK$3,('Gastos com Pessoal'!$T$7:$T$506)+1,1))*(IF('Gastos com Pessoal'!$Y$7:$Y$506&lt;=AK$3,('Gastos com Pessoal'!$Z$7:$Z$506)+1,1))*(IF('Gastos com Pessoal'!$AE$7:$AE$506&lt;=AK$3,('Gastos com Pessoal'!$AF$7:$AF$506)+1,1))),0)+_xlfn.IFNA(SUM((AK$3&gt;='Gastos com Pessoal'!$E$513:$E$522)*(AK$3&lt;='Gastos com Pessoal'!$F$513:$F$522)*OFFSET('Encargos e Benefícios'!$D$511,1,MATCH($B39,'Encargos e Benefícios'!$F$511:$AB$511,0),10,1)*(IF('Gastos com Pessoal'!$G$513:$G$522&lt;=AK$3,('Gastos com Pessoal'!$H$513:$H$522)+1,1))*(IF('Gastos com Pessoal'!$M$513:$M$522&lt;=AK$3,('Gastos com Pessoal'!$N$513:$N$522)+1,1))*(IF('Gastos com Pessoal'!$S$513:$S$522&lt;=AK$3,('Gastos com Pessoal'!$T$513:$T$522)+1,1))*(IF('Gastos com Pessoal'!$Y$513:$Y$522&lt;=AK$3,('Gastos com Pessoal'!$Z$513:$Z$522)+1,1))*(IF('Gastos com Pessoal'!$AE$513:$AE$522&lt;=AK$3,('Gastos com Pessoal'!$AF$513:$AF$522)+1,1))),0)</f>
        <v>206225.2247127289</v>
      </c>
      <c r="AL39" s="188">
        <f t="array" aca="1" ref="AL39" ca="1">_xlfn.IFNA(SUM((AL$3&gt;='Gastos com Pessoal'!$E$7:$E$506)*(AL$3&lt;='Gastos com Pessoal'!$F$7:$F$506)*OFFSET('Encargos e Benefícios'!$D$5,1,MATCH($B39,'Encargos e Benefícios'!$E$5:$AB$5,0),500,1)*(IF('Gastos com Pessoal'!$G$7:$G$506&lt;=AL$3,('Gastos com Pessoal'!$H$7:$H$506)+1,1))*(IF('Gastos com Pessoal'!$M$7:$M$506&lt;=AL$3,('Gastos com Pessoal'!$N$7:$N$506)+1,1))*(IF('Gastos com Pessoal'!$S$7:$S$506&lt;=AL$3,('Gastos com Pessoal'!$T$7:$T$506)+1,1))*(IF('Gastos com Pessoal'!$Y$7:$Y$506&lt;=AL$3,('Gastos com Pessoal'!$Z$7:$Z$506)+1,1))*(IF('Gastos com Pessoal'!$AE$7:$AE$506&lt;=AL$3,('Gastos com Pessoal'!$AF$7:$AF$506)+1,1))),0)+_xlfn.IFNA(SUM((AL$3&gt;='Gastos com Pessoal'!$E$513:$E$522)*(AL$3&lt;='Gastos com Pessoal'!$F$513:$F$522)*OFFSET('Encargos e Benefícios'!$D$511,1,MATCH($B39,'Encargos e Benefícios'!$F$511:$AB$511,0),10,1)*(IF('Gastos com Pessoal'!$G$513:$G$522&lt;=AL$3,('Gastos com Pessoal'!$H$513:$H$522)+1,1))*(IF('Gastos com Pessoal'!$M$513:$M$522&lt;=AL$3,('Gastos com Pessoal'!$N$513:$N$522)+1,1))*(IF('Gastos com Pessoal'!$S$513:$S$522&lt;=AL$3,('Gastos com Pessoal'!$T$513:$T$522)+1,1))*(IF('Gastos com Pessoal'!$Y$513:$Y$522&lt;=AL$3,('Gastos com Pessoal'!$Z$513:$Z$522)+1,1))*(IF('Gastos com Pessoal'!$AE$513:$AE$522&lt;=AL$3,('Gastos com Pessoal'!$AF$513:$AF$522)+1,1))),0)</f>
        <v>206225.2247127289</v>
      </c>
      <c r="AM39" s="188">
        <f t="array" aca="1" ref="AM39" ca="1">_xlfn.IFNA(SUM((AM$3&gt;='Gastos com Pessoal'!$E$7:$E$506)*(AM$3&lt;='Gastos com Pessoal'!$F$7:$F$506)*OFFSET('Encargos e Benefícios'!$D$5,1,MATCH($B39,'Encargos e Benefícios'!$E$5:$AB$5,0),500,1)*(IF('Gastos com Pessoal'!$G$7:$G$506&lt;=AM$3,('Gastos com Pessoal'!$H$7:$H$506)+1,1))*(IF('Gastos com Pessoal'!$M$7:$M$506&lt;=AM$3,('Gastos com Pessoal'!$N$7:$N$506)+1,1))*(IF('Gastos com Pessoal'!$S$7:$S$506&lt;=AM$3,('Gastos com Pessoal'!$T$7:$T$506)+1,1))*(IF('Gastos com Pessoal'!$Y$7:$Y$506&lt;=AM$3,('Gastos com Pessoal'!$Z$7:$Z$506)+1,1))*(IF('Gastos com Pessoal'!$AE$7:$AE$506&lt;=AM$3,('Gastos com Pessoal'!$AF$7:$AF$506)+1,1))),0)+_xlfn.IFNA(SUM((AM$3&gt;='Gastos com Pessoal'!$E$513:$E$522)*(AM$3&lt;='Gastos com Pessoal'!$F$513:$F$522)*OFFSET('Encargos e Benefícios'!$D$511,1,MATCH($B39,'Encargos e Benefícios'!$F$511:$AB$511,0),10,1)*(IF('Gastos com Pessoal'!$G$513:$G$522&lt;=AM$3,('Gastos com Pessoal'!$H$513:$H$522)+1,1))*(IF('Gastos com Pessoal'!$M$513:$M$522&lt;=AM$3,('Gastos com Pessoal'!$N$513:$N$522)+1,1))*(IF('Gastos com Pessoal'!$S$513:$S$522&lt;=AM$3,('Gastos com Pessoal'!$T$513:$T$522)+1,1))*(IF('Gastos com Pessoal'!$Y$513:$Y$522&lt;=AM$3,('Gastos com Pessoal'!$Z$513:$Z$522)+1,1))*(IF('Gastos com Pessoal'!$AE$513:$AE$522&lt;=AM$3,('Gastos com Pessoal'!$AF$513:$AF$522)+1,1))),0)</f>
        <v>206225.2247127289</v>
      </c>
      <c r="AN39" s="188">
        <f t="array" aca="1" ref="AN39" ca="1">_xlfn.IFNA(SUM((AN$3&gt;='Gastos com Pessoal'!$E$7:$E$506)*(AN$3&lt;='Gastos com Pessoal'!$F$7:$F$506)*OFFSET('Encargos e Benefícios'!$D$5,1,MATCH($B39,'Encargos e Benefícios'!$E$5:$AB$5,0),500,1)*(IF('Gastos com Pessoal'!$G$7:$G$506&lt;=AN$3,('Gastos com Pessoal'!$H$7:$H$506)+1,1))*(IF('Gastos com Pessoal'!$M$7:$M$506&lt;=AN$3,('Gastos com Pessoal'!$N$7:$N$506)+1,1))*(IF('Gastos com Pessoal'!$S$7:$S$506&lt;=AN$3,('Gastos com Pessoal'!$T$7:$T$506)+1,1))*(IF('Gastos com Pessoal'!$Y$7:$Y$506&lt;=AN$3,('Gastos com Pessoal'!$Z$7:$Z$506)+1,1))*(IF('Gastos com Pessoal'!$AE$7:$AE$506&lt;=AN$3,('Gastos com Pessoal'!$AF$7:$AF$506)+1,1))),0)+_xlfn.IFNA(SUM((AN$3&gt;='Gastos com Pessoal'!$E$513:$E$522)*(AN$3&lt;='Gastos com Pessoal'!$F$513:$F$522)*OFFSET('Encargos e Benefícios'!$D$511,1,MATCH($B39,'Encargos e Benefícios'!$F$511:$AB$511,0),10,1)*(IF('Gastos com Pessoal'!$G$513:$G$522&lt;=AN$3,('Gastos com Pessoal'!$H$513:$H$522)+1,1))*(IF('Gastos com Pessoal'!$M$513:$M$522&lt;=AN$3,('Gastos com Pessoal'!$N$513:$N$522)+1,1))*(IF('Gastos com Pessoal'!$S$513:$S$522&lt;=AN$3,('Gastos com Pessoal'!$T$513:$T$522)+1,1))*(IF('Gastos com Pessoal'!$Y$513:$Y$522&lt;=AN$3,('Gastos com Pessoal'!$Z$513:$Z$522)+1,1))*(IF('Gastos com Pessoal'!$AE$513:$AE$522&lt;=AN$3,('Gastos com Pessoal'!$AF$513:$AF$522)+1,1))),0)</f>
        <v>206225.2247127289</v>
      </c>
      <c r="AO39" s="188">
        <f t="array" aca="1" ref="AO39" ca="1">_xlfn.IFNA(SUM((AO$3&gt;='Gastos com Pessoal'!$E$7:$E$506)*(AO$3&lt;='Gastos com Pessoal'!$F$7:$F$506)*OFFSET('Encargos e Benefícios'!$D$5,1,MATCH($B39,'Encargos e Benefícios'!$E$5:$AB$5,0),500,1)*(IF('Gastos com Pessoal'!$G$7:$G$506&lt;=AO$3,('Gastos com Pessoal'!$H$7:$H$506)+1,1))*(IF('Gastos com Pessoal'!$M$7:$M$506&lt;=AO$3,('Gastos com Pessoal'!$N$7:$N$506)+1,1))*(IF('Gastos com Pessoal'!$S$7:$S$506&lt;=AO$3,('Gastos com Pessoal'!$T$7:$T$506)+1,1))*(IF('Gastos com Pessoal'!$Y$7:$Y$506&lt;=AO$3,('Gastos com Pessoal'!$Z$7:$Z$506)+1,1))*(IF('Gastos com Pessoal'!$AE$7:$AE$506&lt;=AO$3,('Gastos com Pessoal'!$AF$7:$AF$506)+1,1))),0)+_xlfn.IFNA(SUM((AO$3&gt;='Gastos com Pessoal'!$E$513:$E$522)*(AO$3&lt;='Gastos com Pessoal'!$F$513:$F$522)*OFFSET('Encargos e Benefícios'!$D$511,1,MATCH($B39,'Encargos e Benefícios'!$F$511:$AB$511,0),10,1)*(IF('Gastos com Pessoal'!$G$513:$G$522&lt;=AO$3,('Gastos com Pessoal'!$H$513:$H$522)+1,1))*(IF('Gastos com Pessoal'!$M$513:$M$522&lt;=AO$3,('Gastos com Pessoal'!$N$513:$N$522)+1,1))*(IF('Gastos com Pessoal'!$S$513:$S$522&lt;=AO$3,('Gastos com Pessoal'!$T$513:$T$522)+1,1))*(IF('Gastos com Pessoal'!$Y$513:$Y$522&lt;=AO$3,('Gastos com Pessoal'!$Z$513:$Z$522)+1,1))*(IF('Gastos com Pessoal'!$AE$513:$AE$522&lt;=AO$3,('Gastos com Pessoal'!$AF$513:$AF$522)+1,1))),0)</f>
        <v>206225.2247127289</v>
      </c>
      <c r="AP39" s="188">
        <f t="array" aca="1" ref="AP39" ca="1">_xlfn.IFNA(SUM((AP$3&gt;='Gastos com Pessoal'!$E$7:$E$506)*(AP$3&lt;='Gastos com Pessoal'!$F$7:$F$506)*OFFSET('Encargos e Benefícios'!$D$5,1,MATCH($B39,'Encargos e Benefícios'!$E$5:$AB$5,0),500,1)*(IF('Gastos com Pessoal'!$G$7:$G$506&lt;=AP$3,('Gastos com Pessoal'!$H$7:$H$506)+1,1))*(IF('Gastos com Pessoal'!$M$7:$M$506&lt;=AP$3,('Gastos com Pessoal'!$N$7:$N$506)+1,1))*(IF('Gastos com Pessoal'!$S$7:$S$506&lt;=AP$3,('Gastos com Pessoal'!$T$7:$T$506)+1,1))*(IF('Gastos com Pessoal'!$Y$7:$Y$506&lt;=AP$3,('Gastos com Pessoal'!$Z$7:$Z$506)+1,1))*(IF('Gastos com Pessoal'!$AE$7:$AE$506&lt;=AP$3,('Gastos com Pessoal'!$AF$7:$AF$506)+1,1))),0)+_xlfn.IFNA(SUM((AP$3&gt;='Gastos com Pessoal'!$E$513:$E$522)*(AP$3&lt;='Gastos com Pessoal'!$F$513:$F$522)*OFFSET('Encargos e Benefícios'!$D$511,1,MATCH($B39,'Encargos e Benefícios'!$F$511:$AB$511,0),10,1)*(IF('Gastos com Pessoal'!$G$513:$G$522&lt;=AP$3,('Gastos com Pessoal'!$H$513:$H$522)+1,1))*(IF('Gastos com Pessoal'!$M$513:$M$522&lt;=AP$3,('Gastos com Pessoal'!$N$513:$N$522)+1,1))*(IF('Gastos com Pessoal'!$S$513:$S$522&lt;=AP$3,('Gastos com Pessoal'!$T$513:$T$522)+1,1))*(IF('Gastos com Pessoal'!$Y$513:$Y$522&lt;=AP$3,('Gastos com Pessoal'!$Z$513:$Z$522)+1,1))*(IF('Gastos com Pessoal'!$AE$513:$AE$522&lt;=AP$3,('Gastos com Pessoal'!$AF$513:$AF$522)+1,1))),0)</f>
        <v>206225.2247127289</v>
      </c>
      <c r="AQ39" s="188">
        <f t="array" aca="1" ref="AQ39" ca="1">_xlfn.IFNA(SUM((AQ$3&gt;='Gastos com Pessoal'!$E$7:$E$506)*(AQ$3&lt;='Gastos com Pessoal'!$F$7:$F$506)*OFFSET('Encargos e Benefícios'!$D$5,1,MATCH($B39,'Encargos e Benefícios'!$E$5:$AB$5,0),500,1)*(IF('Gastos com Pessoal'!$G$7:$G$506&lt;=AQ$3,('Gastos com Pessoal'!$H$7:$H$506)+1,1))*(IF('Gastos com Pessoal'!$M$7:$M$506&lt;=AQ$3,('Gastos com Pessoal'!$N$7:$N$506)+1,1))*(IF('Gastos com Pessoal'!$S$7:$S$506&lt;=AQ$3,('Gastos com Pessoal'!$T$7:$T$506)+1,1))*(IF('Gastos com Pessoal'!$Y$7:$Y$506&lt;=AQ$3,('Gastos com Pessoal'!$Z$7:$Z$506)+1,1))*(IF('Gastos com Pessoal'!$AE$7:$AE$506&lt;=AQ$3,('Gastos com Pessoal'!$AF$7:$AF$506)+1,1))),0)+_xlfn.IFNA(SUM((AQ$3&gt;='Gastos com Pessoal'!$E$513:$E$522)*(AQ$3&lt;='Gastos com Pessoal'!$F$513:$F$522)*OFFSET('Encargos e Benefícios'!$D$511,1,MATCH($B39,'Encargos e Benefícios'!$F$511:$AB$511,0),10,1)*(IF('Gastos com Pessoal'!$G$513:$G$522&lt;=AQ$3,('Gastos com Pessoal'!$H$513:$H$522)+1,1))*(IF('Gastos com Pessoal'!$M$513:$M$522&lt;=AQ$3,('Gastos com Pessoal'!$N$513:$N$522)+1,1))*(IF('Gastos com Pessoal'!$S$513:$S$522&lt;=AQ$3,('Gastos com Pessoal'!$T$513:$T$522)+1,1))*(IF('Gastos com Pessoal'!$Y$513:$Y$522&lt;=AQ$3,('Gastos com Pessoal'!$Z$513:$Z$522)+1,1))*(IF('Gastos com Pessoal'!$AE$513:$AE$522&lt;=AQ$3,('Gastos com Pessoal'!$AF$513:$AF$522)+1,1))),0)</f>
        <v>218268.7778359525</v>
      </c>
      <c r="AR39" s="188">
        <f t="array" aca="1" ref="AR39" ca="1">_xlfn.IFNA(SUM((AR$3&gt;='Gastos com Pessoal'!$E$7:$E$506)*(AR$3&lt;='Gastos com Pessoal'!$F$7:$F$506)*OFFSET('Encargos e Benefícios'!$D$5,1,MATCH($B39,'Encargos e Benefícios'!$E$5:$AB$5,0),500,1)*(IF('Gastos com Pessoal'!$G$7:$G$506&lt;=AR$3,('Gastos com Pessoal'!$H$7:$H$506)+1,1))*(IF('Gastos com Pessoal'!$M$7:$M$506&lt;=AR$3,('Gastos com Pessoal'!$N$7:$N$506)+1,1))*(IF('Gastos com Pessoal'!$S$7:$S$506&lt;=AR$3,('Gastos com Pessoal'!$T$7:$T$506)+1,1))*(IF('Gastos com Pessoal'!$Y$7:$Y$506&lt;=AR$3,('Gastos com Pessoal'!$Z$7:$Z$506)+1,1))*(IF('Gastos com Pessoal'!$AE$7:$AE$506&lt;=AR$3,('Gastos com Pessoal'!$AF$7:$AF$506)+1,1))),0)+_xlfn.IFNA(SUM((AR$3&gt;='Gastos com Pessoal'!$E$513:$E$522)*(AR$3&lt;='Gastos com Pessoal'!$F$513:$F$522)*OFFSET('Encargos e Benefícios'!$D$511,1,MATCH($B39,'Encargos e Benefícios'!$F$511:$AB$511,0),10,1)*(IF('Gastos com Pessoal'!$G$513:$G$522&lt;=AR$3,('Gastos com Pessoal'!$H$513:$H$522)+1,1))*(IF('Gastos com Pessoal'!$M$513:$M$522&lt;=AR$3,('Gastos com Pessoal'!$N$513:$N$522)+1,1))*(IF('Gastos com Pessoal'!$S$513:$S$522&lt;=AR$3,('Gastos com Pessoal'!$T$513:$T$522)+1,1))*(IF('Gastos com Pessoal'!$Y$513:$Y$522&lt;=AR$3,('Gastos com Pessoal'!$Z$513:$Z$522)+1,1))*(IF('Gastos com Pessoal'!$AE$513:$AE$522&lt;=AR$3,('Gastos com Pessoal'!$AF$513:$AF$522)+1,1))),0)</f>
        <v>218268.7778359525</v>
      </c>
      <c r="AS39" s="188">
        <f t="array" aca="1" ref="AS39" ca="1">_xlfn.IFNA(SUM((AS$3&gt;='Gastos com Pessoal'!$E$7:$E$506)*(AS$3&lt;='Gastos com Pessoal'!$F$7:$F$506)*OFFSET('Encargos e Benefícios'!$D$5,1,MATCH($B39,'Encargos e Benefícios'!$E$5:$AB$5,0),500,1)*(IF('Gastos com Pessoal'!$G$7:$G$506&lt;=AS$3,('Gastos com Pessoal'!$H$7:$H$506)+1,1))*(IF('Gastos com Pessoal'!$M$7:$M$506&lt;=AS$3,('Gastos com Pessoal'!$N$7:$N$506)+1,1))*(IF('Gastos com Pessoal'!$S$7:$S$506&lt;=AS$3,('Gastos com Pessoal'!$T$7:$T$506)+1,1))*(IF('Gastos com Pessoal'!$Y$7:$Y$506&lt;=AS$3,('Gastos com Pessoal'!$Z$7:$Z$506)+1,1))*(IF('Gastos com Pessoal'!$AE$7:$AE$506&lt;=AS$3,('Gastos com Pessoal'!$AF$7:$AF$506)+1,1))),0)+_xlfn.IFNA(SUM((AS$3&gt;='Gastos com Pessoal'!$E$513:$E$522)*(AS$3&lt;='Gastos com Pessoal'!$F$513:$F$522)*OFFSET('Encargos e Benefícios'!$D$511,1,MATCH($B39,'Encargos e Benefícios'!$F$511:$AB$511,0),10,1)*(IF('Gastos com Pessoal'!$G$513:$G$522&lt;=AS$3,('Gastos com Pessoal'!$H$513:$H$522)+1,1))*(IF('Gastos com Pessoal'!$M$513:$M$522&lt;=AS$3,('Gastos com Pessoal'!$N$513:$N$522)+1,1))*(IF('Gastos com Pessoal'!$S$513:$S$522&lt;=AS$3,('Gastos com Pessoal'!$T$513:$T$522)+1,1))*(IF('Gastos com Pessoal'!$Y$513:$Y$522&lt;=AS$3,('Gastos com Pessoal'!$Z$513:$Z$522)+1,1))*(IF('Gastos com Pessoal'!$AE$513:$AE$522&lt;=AS$3,('Gastos com Pessoal'!$AF$513:$AF$522)+1,1))),0)</f>
        <v>218268.7778359525</v>
      </c>
      <c r="AT39" s="188">
        <f t="array" aca="1" ref="AT39" ca="1">_xlfn.IFNA(SUM((AT$3&gt;='Gastos com Pessoal'!$E$7:$E$506)*(AT$3&lt;='Gastos com Pessoal'!$F$7:$F$506)*OFFSET('Encargos e Benefícios'!$D$5,1,MATCH($B39,'Encargos e Benefícios'!$E$5:$AB$5,0),500,1)*(IF('Gastos com Pessoal'!$G$7:$G$506&lt;=AT$3,('Gastos com Pessoal'!$H$7:$H$506)+1,1))*(IF('Gastos com Pessoal'!$M$7:$M$506&lt;=AT$3,('Gastos com Pessoal'!$N$7:$N$506)+1,1))*(IF('Gastos com Pessoal'!$S$7:$S$506&lt;=AT$3,('Gastos com Pessoal'!$T$7:$T$506)+1,1))*(IF('Gastos com Pessoal'!$Y$7:$Y$506&lt;=AT$3,('Gastos com Pessoal'!$Z$7:$Z$506)+1,1))*(IF('Gastos com Pessoal'!$AE$7:$AE$506&lt;=AT$3,('Gastos com Pessoal'!$AF$7:$AF$506)+1,1))),0)+_xlfn.IFNA(SUM((AT$3&gt;='Gastos com Pessoal'!$E$513:$E$522)*(AT$3&lt;='Gastos com Pessoal'!$F$513:$F$522)*OFFSET('Encargos e Benefícios'!$D$511,1,MATCH($B39,'Encargos e Benefícios'!$F$511:$AB$511,0),10,1)*(IF('Gastos com Pessoal'!$G$513:$G$522&lt;=AT$3,('Gastos com Pessoal'!$H$513:$H$522)+1,1))*(IF('Gastos com Pessoal'!$M$513:$M$522&lt;=AT$3,('Gastos com Pessoal'!$N$513:$N$522)+1,1))*(IF('Gastos com Pessoal'!$S$513:$S$522&lt;=AT$3,('Gastos com Pessoal'!$T$513:$T$522)+1,1))*(IF('Gastos com Pessoal'!$Y$513:$Y$522&lt;=AT$3,('Gastos com Pessoal'!$Z$513:$Z$522)+1,1))*(IF('Gastos com Pessoal'!$AE$513:$AE$522&lt;=AT$3,('Gastos com Pessoal'!$AF$513:$AF$522)+1,1))),0)</f>
        <v>218268.7778359525</v>
      </c>
      <c r="AU39" s="188">
        <f t="array" aca="1" ref="AU39" ca="1">_xlfn.IFNA(SUM((AU$3&gt;='Gastos com Pessoal'!$E$7:$E$506)*(AU$3&lt;='Gastos com Pessoal'!$F$7:$F$506)*OFFSET('Encargos e Benefícios'!$D$5,1,MATCH($B39,'Encargos e Benefícios'!$E$5:$AB$5,0),500,1)*(IF('Gastos com Pessoal'!$G$7:$G$506&lt;=AU$3,('Gastos com Pessoal'!$H$7:$H$506)+1,1))*(IF('Gastos com Pessoal'!$M$7:$M$506&lt;=AU$3,('Gastos com Pessoal'!$N$7:$N$506)+1,1))*(IF('Gastos com Pessoal'!$S$7:$S$506&lt;=AU$3,('Gastos com Pessoal'!$T$7:$T$506)+1,1))*(IF('Gastos com Pessoal'!$Y$7:$Y$506&lt;=AU$3,('Gastos com Pessoal'!$Z$7:$Z$506)+1,1))*(IF('Gastos com Pessoal'!$AE$7:$AE$506&lt;=AU$3,('Gastos com Pessoal'!$AF$7:$AF$506)+1,1))),0)+_xlfn.IFNA(SUM((AU$3&gt;='Gastos com Pessoal'!$E$513:$E$522)*(AU$3&lt;='Gastos com Pessoal'!$F$513:$F$522)*OFFSET('Encargos e Benefícios'!$D$511,1,MATCH($B39,'Encargos e Benefícios'!$F$511:$AB$511,0),10,1)*(IF('Gastos com Pessoal'!$G$513:$G$522&lt;=AU$3,('Gastos com Pessoal'!$H$513:$H$522)+1,1))*(IF('Gastos com Pessoal'!$M$513:$M$522&lt;=AU$3,('Gastos com Pessoal'!$N$513:$N$522)+1,1))*(IF('Gastos com Pessoal'!$S$513:$S$522&lt;=AU$3,('Gastos com Pessoal'!$T$513:$T$522)+1,1))*(IF('Gastos com Pessoal'!$Y$513:$Y$522&lt;=AU$3,('Gastos com Pessoal'!$Z$513:$Z$522)+1,1))*(IF('Gastos com Pessoal'!$AE$513:$AE$522&lt;=AU$3,('Gastos com Pessoal'!$AF$513:$AF$522)+1,1))),0)</f>
        <v>218268.7778359525</v>
      </c>
      <c r="AV39" s="188">
        <f t="array" aca="1" ref="AV39" ca="1">_xlfn.IFNA(SUM((AV$3&gt;='Gastos com Pessoal'!$E$7:$E$506)*(AV$3&lt;='Gastos com Pessoal'!$F$7:$F$506)*OFFSET('Encargos e Benefícios'!$D$5,1,MATCH($B39,'Encargos e Benefícios'!$E$5:$AB$5,0),500,1)*(IF('Gastos com Pessoal'!$G$7:$G$506&lt;=AV$3,('Gastos com Pessoal'!$H$7:$H$506)+1,1))*(IF('Gastos com Pessoal'!$M$7:$M$506&lt;=AV$3,('Gastos com Pessoal'!$N$7:$N$506)+1,1))*(IF('Gastos com Pessoal'!$S$7:$S$506&lt;=AV$3,('Gastos com Pessoal'!$T$7:$T$506)+1,1))*(IF('Gastos com Pessoal'!$Y$7:$Y$506&lt;=AV$3,('Gastos com Pessoal'!$Z$7:$Z$506)+1,1))*(IF('Gastos com Pessoal'!$AE$7:$AE$506&lt;=AV$3,('Gastos com Pessoal'!$AF$7:$AF$506)+1,1))),0)+_xlfn.IFNA(SUM((AV$3&gt;='Gastos com Pessoal'!$E$513:$E$522)*(AV$3&lt;='Gastos com Pessoal'!$F$513:$F$522)*OFFSET('Encargos e Benefícios'!$D$511,1,MATCH($B39,'Encargos e Benefícios'!$F$511:$AB$511,0),10,1)*(IF('Gastos com Pessoal'!$G$513:$G$522&lt;=AV$3,('Gastos com Pessoal'!$H$513:$H$522)+1,1))*(IF('Gastos com Pessoal'!$M$513:$M$522&lt;=AV$3,('Gastos com Pessoal'!$N$513:$N$522)+1,1))*(IF('Gastos com Pessoal'!$S$513:$S$522&lt;=AV$3,('Gastos com Pessoal'!$T$513:$T$522)+1,1))*(IF('Gastos com Pessoal'!$Y$513:$Y$522&lt;=AV$3,('Gastos com Pessoal'!$Z$513:$Z$522)+1,1))*(IF('Gastos com Pessoal'!$AE$513:$AE$522&lt;=AV$3,('Gastos com Pessoal'!$AF$513:$AF$522)+1,1))),0)</f>
        <v>218268.7778359525</v>
      </c>
      <c r="AW39" s="188">
        <f t="array" aca="1" ref="AW39" ca="1">_xlfn.IFNA(SUM((AW$3&gt;='Gastos com Pessoal'!$E$7:$E$506)*(AW$3&lt;='Gastos com Pessoal'!$F$7:$F$506)*OFFSET('Encargos e Benefícios'!$D$5,1,MATCH($B39,'Encargos e Benefícios'!$E$5:$AB$5,0),500,1)*(IF('Gastos com Pessoal'!$G$7:$G$506&lt;=AW$3,('Gastos com Pessoal'!$H$7:$H$506)+1,1))*(IF('Gastos com Pessoal'!$M$7:$M$506&lt;=AW$3,('Gastos com Pessoal'!$N$7:$N$506)+1,1))*(IF('Gastos com Pessoal'!$S$7:$S$506&lt;=AW$3,('Gastos com Pessoal'!$T$7:$T$506)+1,1))*(IF('Gastos com Pessoal'!$Y$7:$Y$506&lt;=AW$3,('Gastos com Pessoal'!$Z$7:$Z$506)+1,1))*(IF('Gastos com Pessoal'!$AE$7:$AE$506&lt;=AW$3,('Gastos com Pessoal'!$AF$7:$AF$506)+1,1))),0)+_xlfn.IFNA(SUM((AW$3&gt;='Gastos com Pessoal'!$E$513:$E$522)*(AW$3&lt;='Gastos com Pessoal'!$F$513:$F$522)*OFFSET('Encargos e Benefícios'!$D$511,1,MATCH($B39,'Encargos e Benefícios'!$F$511:$AB$511,0),10,1)*(IF('Gastos com Pessoal'!$G$513:$G$522&lt;=AW$3,('Gastos com Pessoal'!$H$513:$H$522)+1,1))*(IF('Gastos com Pessoal'!$M$513:$M$522&lt;=AW$3,('Gastos com Pessoal'!$N$513:$N$522)+1,1))*(IF('Gastos com Pessoal'!$S$513:$S$522&lt;=AW$3,('Gastos com Pessoal'!$T$513:$T$522)+1,1))*(IF('Gastos com Pessoal'!$Y$513:$Y$522&lt;=AW$3,('Gastos com Pessoal'!$Z$513:$Z$522)+1,1))*(IF('Gastos com Pessoal'!$AE$513:$AE$522&lt;=AW$3,('Gastos com Pessoal'!$AF$513:$AF$522)+1,1))),0)</f>
        <v>218268.7778359525</v>
      </c>
      <c r="AX39" s="188">
        <f t="array" aca="1" ref="AX39" ca="1">_xlfn.IFNA(SUM((AX$3&gt;='Gastos com Pessoal'!$E$7:$E$506)*(AX$3&lt;='Gastos com Pessoal'!$F$7:$F$506)*OFFSET('Encargos e Benefícios'!$D$5,1,MATCH($B39,'Encargos e Benefícios'!$E$5:$AB$5,0),500,1)*(IF('Gastos com Pessoal'!$G$7:$G$506&lt;=AX$3,('Gastos com Pessoal'!$H$7:$H$506)+1,1))*(IF('Gastos com Pessoal'!$M$7:$M$506&lt;=AX$3,('Gastos com Pessoal'!$N$7:$N$506)+1,1))*(IF('Gastos com Pessoal'!$S$7:$S$506&lt;=AX$3,('Gastos com Pessoal'!$T$7:$T$506)+1,1))*(IF('Gastos com Pessoal'!$Y$7:$Y$506&lt;=AX$3,('Gastos com Pessoal'!$Z$7:$Z$506)+1,1))*(IF('Gastos com Pessoal'!$AE$7:$AE$506&lt;=AX$3,('Gastos com Pessoal'!$AF$7:$AF$506)+1,1))),0)+_xlfn.IFNA(SUM((AX$3&gt;='Gastos com Pessoal'!$E$513:$E$522)*(AX$3&lt;='Gastos com Pessoal'!$F$513:$F$522)*OFFSET('Encargos e Benefícios'!$D$511,1,MATCH($B39,'Encargos e Benefícios'!$F$511:$AB$511,0),10,1)*(IF('Gastos com Pessoal'!$G$513:$G$522&lt;=AX$3,('Gastos com Pessoal'!$H$513:$H$522)+1,1))*(IF('Gastos com Pessoal'!$M$513:$M$522&lt;=AX$3,('Gastos com Pessoal'!$N$513:$N$522)+1,1))*(IF('Gastos com Pessoal'!$S$513:$S$522&lt;=AX$3,('Gastos com Pessoal'!$T$513:$T$522)+1,1))*(IF('Gastos com Pessoal'!$Y$513:$Y$522&lt;=AX$3,('Gastos com Pessoal'!$Z$513:$Z$522)+1,1))*(IF('Gastos com Pessoal'!$AE$513:$AE$522&lt;=AX$3,('Gastos com Pessoal'!$AF$513:$AF$522)+1,1))),0)</f>
        <v>0</v>
      </c>
      <c r="AY39" s="188">
        <f t="array" aca="1" ref="AY39" ca="1">_xlfn.IFNA(SUM((AY$3&gt;='Gastos com Pessoal'!$E$7:$E$506)*(AY$3&lt;='Gastos com Pessoal'!$F$7:$F$506)*OFFSET('Encargos e Benefícios'!$D$5,1,MATCH($B39,'Encargos e Benefícios'!$E$5:$AB$5,0),500,1)*(IF('Gastos com Pessoal'!$G$7:$G$506&lt;=AY$3,('Gastos com Pessoal'!$H$7:$H$506)+1,1))*(IF('Gastos com Pessoal'!$M$7:$M$506&lt;=AY$3,('Gastos com Pessoal'!$N$7:$N$506)+1,1))*(IF('Gastos com Pessoal'!$S$7:$S$506&lt;=AY$3,('Gastos com Pessoal'!$T$7:$T$506)+1,1))*(IF('Gastos com Pessoal'!$Y$7:$Y$506&lt;=AY$3,('Gastos com Pessoal'!$Z$7:$Z$506)+1,1))*(IF('Gastos com Pessoal'!$AE$7:$AE$506&lt;=AY$3,('Gastos com Pessoal'!$AF$7:$AF$506)+1,1))),0)+_xlfn.IFNA(SUM((AY$3&gt;='Gastos com Pessoal'!$E$513:$E$522)*(AY$3&lt;='Gastos com Pessoal'!$F$513:$F$522)*OFFSET('Encargos e Benefícios'!$D$511,1,MATCH($B39,'Encargos e Benefícios'!$F$511:$AB$511,0),10,1)*(IF('Gastos com Pessoal'!$G$513:$G$522&lt;=AY$3,('Gastos com Pessoal'!$H$513:$H$522)+1,1))*(IF('Gastos com Pessoal'!$M$513:$M$522&lt;=AY$3,('Gastos com Pessoal'!$N$513:$N$522)+1,1))*(IF('Gastos com Pessoal'!$S$513:$S$522&lt;=AY$3,('Gastos com Pessoal'!$T$513:$T$522)+1,1))*(IF('Gastos com Pessoal'!$Y$513:$Y$522&lt;=AY$3,('Gastos com Pessoal'!$Z$513:$Z$522)+1,1))*(IF('Gastos com Pessoal'!$AE$513:$AE$522&lt;=AY$3,('Gastos com Pessoal'!$AF$513:$AF$522)+1,1))),0)</f>
        <v>0</v>
      </c>
      <c r="AZ39" s="188">
        <v>0</v>
      </c>
      <c r="BA39" s="188">
        <v>0</v>
      </c>
      <c r="BB39" s="188">
        <v>0</v>
      </c>
      <c r="BC39" s="188">
        <v>0</v>
      </c>
      <c r="BD39" s="188">
        <v>0</v>
      </c>
      <c r="BE39" s="188">
        <v>0</v>
      </c>
      <c r="BF39" s="188">
        <v>0</v>
      </c>
      <c r="BG39" s="188">
        <v>0</v>
      </c>
      <c r="BH39" s="188">
        <v>0</v>
      </c>
      <c r="BI39" s="188">
        <v>0</v>
      </c>
      <c r="BJ39" s="188">
        <v>0</v>
      </c>
      <c r="BK39" s="189">
        <f t="shared" ca="1" si="14"/>
        <v>9033597.2279152386</v>
      </c>
      <c r="BL39" s="136">
        <f t="shared" ca="1" si="15"/>
        <v>3.1102658176232763E-2</v>
      </c>
    </row>
    <row r="40" spans="1:64" s="160" customFormat="1" ht="23.25" customHeight="1">
      <c r="A40" s="198" t="s">
        <v>165</v>
      </c>
      <c r="B40" s="81" t="s">
        <v>166</v>
      </c>
      <c r="C40" s="188">
        <f t="array" aca="1" ref="C40" ca="1">_xlfn.IFNA(SUM((C$3&gt;='Gastos com Pessoal'!$E$7:$E$506)*(C$3&lt;='Gastos com Pessoal'!$F$7:$F$506)*OFFSET('Encargos e Benefícios'!$D$5,1,MATCH($B40,'Encargos e Benefícios'!$E$5:$AB$5,0),500,1))*(IF('Gastos com Pessoal'!$G$7:$G$506&lt;=C$3,('Gastos com Pessoal'!$H$7:$H$506)+1,1))*(IF('Gastos com Pessoal'!$M$7:$M$506&lt;=C$3,('Gastos com Pessoal'!$N$7:$N$506)+1,1))*(IF('Gastos com Pessoal'!$S$7:$S$506&lt;=C$3,('Gastos com Pessoal'!$T$7:$T$506)+1,1))*(IF('Gastos com Pessoal'!$Y$7:$Y$506&lt;=C$3,('Gastos com Pessoal'!$Z$7:$Z$506)+1,1))*(IF('Gastos com Pessoal'!$AE$7:$AE$506&lt;=C$3,('Gastos com Pessoal'!$AF$7:$AF$506)+1,1)),0)</f>
        <v>43101.335388888852</v>
      </c>
      <c r="D40" s="188">
        <f t="array" aca="1" ref="D40" ca="1">_xlfn.IFNA(SUM((D$3&gt;='Gastos com Pessoal'!$E$7:$E$506)*(D$3&lt;='Gastos com Pessoal'!$F$7:$F$506)*OFFSET('Encargos e Benefícios'!$D$5,1,MATCH($B40,'Encargos e Benefícios'!$E$5:$AB$5,0),500,1))*(IF('Gastos com Pessoal'!$G$7:$G$506&lt;=D$3,('Gastos com Pessoal'!$H$7:$H$506)+1,1))*(IF('Gastos com Pessoal'!$M$7:$M$506&lt;=D$3,('Gastos com Pessoal'!$N$7:$N$506)+1,1))*(IF('Gastos com Pessoal'!$S$7:$S$506&lt;=D$3,('Gastos com Pessoal'!$T$7:$T$506)+1,1))*(IF('Gastos com Pessoal'!$Y$7:$Y$506&lt;=D$3,('Gastos com Pessoal'!$Z$7:$Z$506)+1,1))*(IF('Gastos com Pessoal'!$AE$7:$AE$506&lt;=D$3,('Gastos com Pessoal'!$AF$7:$AF$506)+1,1)),0)</f>
        <v>43351.335388888852</v>
      </c>
      <c r="E40" s="188">
        <f t="array" aca="1" ref="E40" ca="1">_xlfn.IFNA(SUM((E$3&gt;='Gastos com Pessoal'!$E$7:$E$506)*(E$3&lt;='Gastos com Pessoal'!$F$7:$F$506)*OFFSET('Encargos e Benefícios'!$D$5,1,MATCH($B40,'Encargos e Benefícios'!$E$5:$AB$5,0),500,1))*(IF('Gastos com Pessoal'!$G$7:$G$506&lt;=E$3,('Gastos com Pessoal'!$H$7:$H$506)+1,1))*(IF('Gastos com Pessoal'!$M$7:$M$506&lt;=E$3,('Gastos com Pessoal'!$N$7:$N$506)+1,1))*(IF('Gastos com Pessoal'!$S$7:$S$506&lt;=E$3,('Gastos com Pessoal'!$T$7:$T$506)+1,1))*(IF('Gastos com Pessoal'!$Y$7:$Y$506&lt;=E$3,('Gastos com Pessoal'!$Z$7:$Z$506)+1,1))*(IF('Gastos com Pessoal'!$AE$7:$AE$506&lt;=E$3,('Gastos com Pessoal'!$AF$7:$AF$506)+1,1)),0)</f>
        <v>45514.275277777742</v>
      </c>
      <c r="F40" s="188">
        <f t="array" aca="1" ref="F40" ca="1">_xlfn.IFNA(SUM((F$3&gt;='Gastos com Pessoal'!$E$7:$E$506)*(F$3&lt;='Gastos com Pessoal'!$F$7:$F$506)*OFFSET('Encargos e Benefícios'!$D$5,1,MATCH($B40,'Encargos e Benefícios'!$E$5:$AB$5,0),500,1))*(IF('Gastos com Pessoal'!$G$7:$G$506&lt;=F$3,('Gastos com Pessoal'!$H$7:$H$506)+1,1))*(IF('Gastos com Pessoal'!$M$7:$M$506&lt;=F$3,('Gastos com Pessoal'!$N$7:$N$506)+1,1))*(IF('Gastos com Pessoal'!$S$7:$S$506&lt;=F$3,('Gastos com Pessoal'!$T$7:$T$506)+1,1))*(IF('Gastos com Pessoal'!$Y$7:$Y$506&lt;=F$3,('Gastos com Pessoal'!$Z$7:$Z$506)+1,1))*(IF('Gastos com Pessoal'!$AE$7:$AE$506&lt;=F$3,('Gastos com Pessoal'!$AF$7:$AF$506)+1,1)),0)</f>
        <v>45849.6023333333</v>
      </c>
      <c r="G40" s="188">
        <f t="array" aca="1" ref="G40" ca="1">_xlfn.IFNA(SUM((G$3&gt;='Gastos com Pessoal'!$E$7:$E$506)*(G$3&lt;='Gastos com Pessoal'!$F$7:$F$506)*OFFSET('Encargos e Benefícios'!$D$5,1,MATCH($B40,'Encargos e Benefícios'!$E$5:$AB$5,0),500,1))*(IF('Gastos com Pessoal'!$G$7:$G$506&lt;=G$3,('Gastos com Pessoal'!$H$7:$H$506)+1,1))*(IF('Gastos com Pessoal'!$M$7:$M$506&lt;=G$3,('Gastos com Pessoal'!$N$7:$N$506)+1,1))*(IF('Gastos com Pessoal'!$S$7:$S$506&lt;=G$3,('Gastos com Pessoal'!$T$7:$T$506)+1,1))*(IF('Gastos com Pessoal'!$Y$7:$Y$506&lt;=G$3,('Gastos com Pessoal'!$Z$7:$Z$506)+1,1))*(IF('Gastos com Pessoal'!$AE$7:$AE$506&lt;=G$3,('Gastos com Pessoal'!$AF$7:$AF$506)+1,1)),0)</f>
        <v>48527.219109599966</v>
      </c>
      <c r="H40" s="188">
        <f t="array" aca="1" ref="H40" ca="1">_xlfn.IFNA(SUM((H$3&gt;='Gastos com Pessoal'!$E$7:$E$506)*(H$3&lt;='Gastos com Pessoal'!$F$7:$F$506)*OFFSET('Encargos e Benefícios'!$D$5,1,MATCH($B40,'Encargos e Benefícios'!$E$5:$AB$5,0),500,1))*(IF('Gastos com Pessoal'!$G$7:$G$506&lt;=H$3,('Gastos com Pessoal'!$H$7:$H$506)+1,1))*(IF('Gastos com Pessoal'!$M$7:$M$506&lt;=H$3,('Gastos com Pessoal'!$N$7:$N$506)+1,1))*(IF('Gastos com Pessoal'!$S$7:$S$506&lt;=H$3,('Gastos com Pessoal'!$T$7:$T$506)+1,1))*(IF('Gastos com Pessoal'!$Y$7:$Y$506&lt;=H$3,('Gastos com Pessoal'!$Z$7:$Z$506)+1,1))*(IF('Gastos com Pessoal'!$AE$7:$AE$506&lt;=H$3,('Gastos com Pessoal'!$AF$7:$AF$506)+1,1)),0)</f>
        <v>50816.474687999966</v>
      </c>
      <c r="I40" s="188">
        <f t="array" aca="1" ref="I40" ca="1">_xlfn.IFNA(SUM((I$3&gt;='Gastos com Pessoal'!$E$7:$E$506)*(I$3&lt;='Gastos com Pessoal'!$F$7:$F$506)*OFFSET('Encargos e Benefícios'!$D$5,1,MATCH($B40,'Encargos e Benefícios'!$E$5:$AB$5,0),500,1))*(IF('Gastos com Pessoal'!$G$7:$G$506&lt;=I$3,('Gastos com Pessoal'!$H$7:$H$506)+1,1))*(IF('Gastos com Pessoal'!$M$7:$M$506&lt;=I$3,('Gastos com Pessoal'!$N$7:$N$506)+1,1))*(IF('Gastos com Pessoal'!$S$7:$S$506&lt;=I$3,('Gastos com Pessoal'!$T$7:$T$506)+1,1))*(IF('Gastos com Pessoal'!$Y$7:$Y$506&lt;=I$3,('Gastos com Pessoal'!$Z$7:$Z$506)+1,1))*(IF('Gastos com Pessoal'!$AE$7:$AE$506&lt;=I$3,('Gastos com Pessoal'!$AF$7:$AF$506)+1,1)),0)</f>
        <v>51192.111020399963</v>
      </c>
      <c r="J40" s="188">
        <f t="array" aca="1" ref="J40" ca="1">_xlfn.IFNA(SUM((J$3&gt;='Gastos com Pessoal'!$E$7:$E$506)*(J$3&lt;='Gastos com Pessoal'!$F$7:$F$506)*OFFSET('Encargos e Benefícios'!$D$5,1,MATCH($B40,'Encargos e Benefícios'!$E$5:$AB$5,0),500,1))*(IF('Gastos com Pessoal'!$G$7:$G$506&lt;=J$3,('Gastos com Pessoal'!$H$7:$H$506)+1,1))*(IF('Gastos com Pessoal'!$M$7:$M$506&lt;=J$3,('Gastos com Pessoal'!$N$7:$N$506)+1,1))*(IF('Gastos com Pessoal'!$S$7:$S$506&lt;=J$3,('Gastos com Pessoal'!$T$7:$T$506)+1,1))*(IF('Gastos com Pessoal'!$Y$7:$Y$506&lt;=J$3,('Gastos com Pessoal'!$Z$7:$Z$506)+1,1))*(IF('Gastos com Pessoal'!$AE$7:$AE$506&lt;=J$3,('Gastos com Pessoal'!$AF$7:$AF$506)+1,1)),0)</f>
        <v>51192.111020399963</v>
      </c>
      <c r="K40" s="188">
        <f t="array" aca="1" ref="K40" ca="1">_xlfn.IFNA(SUM((K$3&gt;='Gastos com Pessoal'!$E$7:$E$506)*(K$3&lt;='Gastos com Pessoal'!$F$7:$F$506)*OFFSET('Encargos e Benefícios'!$D$5,1,MATCH($B40,'Encargos e Benefícios'!$E$5:$AB$5,0),500,1))*(IF('Gastos com Pessoal'!$G$7:$G$506&lt;=K$3,('Gastos com Pessoal'!$H$7:$H$506)+1,1))*(IF('Gastos com Pessoal'!$M$7:$M$506&lt;=K$3,('Gastos com Pessoal'!$N$7:$N$506)+1,1))*(IF('Gastos com Pessoal'!$S$7:$S$506&lt;=K$3,('Gastos com Pessoal'!$T$7:$T$506)+1,1))*(IF('Gastos com Pessoal'!$Y$7:$Y$506&lt;=K$3,('Gastos com Pessoal'!$Z$7:$Z$506)+1,1))*(IF('Gastos com Pessoal'!$AE$7:$AE$506&lt;=K$3,('Gastos com Pessoal'!$AF$7:$AF$506)+1,1)),0)</f>
        <v>53615.059100399973</v>
      </c>
      <c r="L40" s="188">
        <f t="array" aca="1" ref="L40" ca="1">_xlfn.IFNA(SUM((L$3&gt;='Gastos com Pessoal'!$E$7:$E$506)*(L$3&lt;='Gastos com Pessoal'!$F$7:$F$506)*OFFSET('Encargos e Benefícios'!$D$5,1,MATCH($B40,'Encargos e Benefícios'!$E$5:$AB$5,0),500,1))*(IF('Gastos com Pessoal'!$G$7:$G$506&lt;=L$3,('Gastos com Pessoal'!$H$7:$H$506)+1,1))*(IF('Gastos com Pessoal'!$M$7:$M$506&lt;=L$3,('Gastos com Pessoal'!$N$7:$N$506)+1,1))*(IF('Gastos com Pessoal'!$S$7:$S$506&lt;=L$3,('Gastos com Pessoal'!$T$7:$T$506)+1,1))*(IF('Gastos com Pessoal'!$Y$7:$Y$506&lt;=L$3,('Gastos com Pessoal'!$Z$7:$Z$506)+1,1))*(IF('Gastos com Pessoal'!$AE$7:$AE$506&lt;=L$3,('Gastos com Pessoal'!$AF$7:$AF$506)+1,1)),0)</f>
        <v>53990.69543279997</v>
      </c>
      <c r="M40" s="188">
        <f t="array" aca="1" ref="M40" ca="1">_xlfn.IFNA(SUM((M$3&gt;='Gastos com Pessoal'!$E$7:$E$506)*(M$3&lt;='Gastos com Pessoal'!$F$7:$F$506)*OFFSET('Encargos e Benefícios'!$D$5,1,MATCH($B40,'Encargos e Benefícios'!$E$5:$AB$5,0),500,1))*(IF('Gastos com Pessoal'!$G$7:$G$506&lt;=M$3,('Gastos com Pessoal'!$H$7:$H$506)+1,1))*(IF('Gastos com Pessoal'!$M$7:$M$506&lt;=M$3,('Gastos com Pessoal'!$N$7:$N$506)+1,1))*(IF('Gastos com Pessoal'!$S$7:$S$506&lt;=M$3,('Gastos com Pessoal'!$T$7:$T$506)+1,1))*(IF('Gastos com Pessoal'!$Y$7:$Y$506&lt;=M$3,('Gastos com Pessoal'!$Z$7:$Z$506)+1,1))*(IF('Gastos com Pessoal'!$AE$7:$AE$506&lt;=M$3,('Gastos com Pessoal'!$AF$7:$AF$506)+1,1)),0)</f>
        <v>53990.69543279997</v>
      </c>
      <c r="N40" s="188">
        <f t="array" aca="1" ref="N40" ca="1">_xlfn.IFNA(SUM((N$3&gt;='Gastos com Pessoal'!$E$7:$E$506)*(N$3&lt;='Gastos com Pessoal'!$F$7:$F$506)*OFFSET('Encargos e Benefícios'!$D$5,1,MATCH($B40,'Encargos e Benefícios'!$E$5:$AB$5,0),500,1))*(IF('Gastos com Pessoal'!$G$7:$G$506&lt;=N$3,('Gastos com Pessoal'!$H$7:$H$506)+1,1))*(IF('Gastos com Pessoal'!$M$7:$M$506&lt;=N$3,('Gastos com Pessoal'!$N$7:$N$506)+1,1))*(IF('Gastos com Pessoal'!$S$7:$S$506&lt;=N$3,('Gastos com Pessoal'!$T$7:$T$506)+1,1))*(IF('Gastos com Pessoal'!$Y$7:$Y$506&lt;=N$3,('Gastos com Pessoal'!$Z$7:$Z$506)+1,1))*(IF('Gastos com Pessoal'!$AE$7:$AE$506&lt;=N$3,('Gastos com Pessoal'!$AF$7:$AF$506)+1,1)),0)</f>
        <v>56413.643512799987</v>
      </c>
      <c r="O40" s="188">
        <f t="array" aca="1" ref="O40" ca="1">_xlfn.IFNA(SUM((O$3&gt;='Gastos com Pessoal'!$E$7:$E$506)*(O$3&lt;='Gastos com Pessoal'!$F$7:$F$506)*OFFSET('Encargos e Benefícios'!$D$5,1,MATCH($B40,'Encargos e Benefícios'!$E$5:$AB$5,0),500,1))*(IF('Gastos com Pessoal'!$G$7:$G$506&lt;=O$3,('Gastos com Pessoal'!$H$7:$H$506)+1,1))*(IF('Gastos com Pessoal'!$M$7:$M$506&lt;=O$3,('Gastos com Pessoal'!$N$7:$N$506)+1,1))*(IF('Gastos com Pessoal'!$S$7:$S$506&lt;=O$3,('Gastos com Pessoal'!$T$7:$T$506)+1,1))*(IF('Gastos com Pessoal'!$Y$7:$Y$506&lt;=O$3,('Gastos com Pessoal'!$Z$7:$Z$506)+1,1))*(IF('Gastos com Pessoal'!$AE$7:$AE$506&lt;=O$3,('Gastos com Pessoal'!$AF$7:$AF$506)+1,1)),0)</f>
        <v>56413.643512799987</v>
      </c>
      <c r="P40" s="188">
        <f t="array" aca="1" ref="P40" ca="1">_xlfn.IFNA(SUM((P$3&gt;='Gastos com Pessoal'!$E$7:$E$506)*(P$3&lt;='Gastos com Pessoal'!$F$7:$F$506)*OFFSET('Encargos e Benefícios'!$D$5,1,MATCH($B40,'Encargos e Benefícios'!$E$5:$AB$5,0),500,1))*(IF('Gastos com Pessoal'!$G$7:$G$506&lt;=P$3,('Gastos com Pessoal'!$H$7:$H$506)+1,1))*(IF('Gastos com Pessoal'!$M$7:$M$506&lt;=P$3,('Gastos com Pessoal'!$N$7:$N$506)+1,1))*(IF('Gastos com Pessoal'!$S$7:$S$506&lt;=P$3,('Gastos com Pessoal'!$T$7:$T$506)+1,1))*(IF('Gastos com Pessoal'!$Y$7:$Y$506&lt;=P$3,('Gastos com Pessoal'!$Z$7:$Z$506)+1,1))*(IF('Gastos com Pessoal'!$AE$7:$AE$506&lt;=P$3,('Gastos com Pessoal'!$AF$7:$AF$506)+1,1)),0)</f>
        <v>56413.643512799987</v>
      </c>
      <c r="Q40" s="188">
        <f t="array" aca="1" ref="Q40" ca="1">_xlfn.IFNA(SUM((Q$3&gt;='Gastos com Pessoal'!$E$7:$E$506)*(Q$3&lt;='Gastos com Pessoal'!$F$7:$F$506)*OFFSET('Encargos e Benefícios'!$D$5,1,MATCH($B40,'Encargos e Benefícios'!$E$5:$AB$5,0),500,1))*(IF('Gastos com Pessoal'!$G$7:$G$506&lt;=Q$3,('Gastos com Pessoal'!$H$7:$H$506)+1,1))*(IF('Gastos com Pessoal'!$M$7:$M$506&lt;=Q$3,('Gastos com Pessoal'!$N$7:$N$506)+1,1))*(IF('Gastos com Pessoal'!$S$7:$S$506&lt;=Q$3,('Gastos com Pessoal'!$T$7:$T$506)+1,1))*(IF('Gastos com Pessoal'!$Y$7:$Y$506&lt;=Q$3,('Gastos com Pessoal'!$Z$7:$Z$506)+1,1))*(IF('Gastos com Pessoal'!$AE$7:$AE$506&lt;=Q$3,('Gastos com Pessoal'!$AF$7:$AF$506)+1,1)),0)</f>
        <v>56413.643512799987</v>
      </c>
      <c r="R40" s="188">
        <f t="array" aca="1" ref="R40" ca="1">_xlfn.IFNA(SUM((R$3&gt;='Gastos com Pessoal'!$E$7:$E$506)*(R$3&lt;='Gastos com Pessoal'!$F$7:$F$506)*OFFSET('Encargos e Benefícios'!$D$5,1,MATCH($B40,'Encargos e Benefícios'!$E$5:$AB$5,0),500,1))*(IF('Gastos com Pessoal'!$G$7:$G$506&lt;=R$3,('Gastos com Pessoal'!$H$7:$H$506)+1,1))*(IF('Gastos com Pessoal'!$M$7:$M$506&lt;=R$3,('Gastos com Pessoal'!$N$7:$N$506)+1,1))*(IF('Gastos com Pessoal'!$S$7:$S$506&lt;=R$3,('Gastos com Pessoal'!$T$7:$T$506)+1,1))*(IF('Gastos com Pessoal'!$Y$7:$Y$506&lt;=R$3,('Gastos com Pessoal'!$Z$7:$Z$506)+1,1))*(IF('Gastos com Pessoal'!$AE$7:$AE$506&lt;=R$3,('Gastos com Pessoal'!$AF$7:$AF$506)+1,1)),0)</f>
        <v>56413.643512799987</v>
      </c>
      <c r="S40" s="188">
        <f t="array" aca="1" ref="S40" ca="1">_xlfn.IFNA(SUM((S$3&gt;='Gastos com Pessoal'!$E$7:$E$506)*(S$3&lt;='Gastos com Pessoal'!$F$7:$F$506)*OFFSET('Encargos e Benefícios'!$D$5,1,MATCH($B40,'Encargos e Benefícios'!$E$5:$AB$5,0),500,1))*(IF('Gastos com Pessoal'!$G$7:$G$506&lt;=S$3,('Gastos com Pessoal'!$H$7:$H$506)+1,1))*(IF('Gastos com Pessoal'!$M$7:$M$506&lt;=S$3,('Gastos com Pessoal'!$N$7:$N$506)+1,1))*(IF('Gastos com Pessoal'!$S$7:$S$506&lt;=S$3,('Gastos com Pessoal'!$T$7:$T$506)+1,1))*(IF('Gastos com Pessoal'!$Y$7:$Y$506&lt;=S$3,('Gastos com Pessoal'!$Z$7:$Z$506)+1,1))*(IF('Gastos com Pessoal'!$AE$7:$AE$506&lt;=S$3,('Gastos com Pessoal'!$AF$7:$AF$506)+1,1)),0)</f>
        <v>59708.200293947506</v>
      </c>
      <c r="T40" s="188">
        <f t="array" aca="1" ref="T40" ca="1">_xlfn.IFNA(SUM((T$3&gt;='Gastos com Pessoal'!$E$7:$E$506)*(T$3&lt;='Gastos com Pessoal'!$F$7:$F$506)*OFFSET('Encargos e Benefícios'!$D$5,1,MATCH($B40,'Encargos e Benefícios'!$E$5:$AB$5,0),500,1))*(IF('Gastos com Pessoal'!$G$7:$G$506&lt;=T$3,('Gastos com Pessoal'!$H$7:$H$506)+1,1))*(IF('Gastos com Pessoal'!$M$7:$M$506&lt;=T$3,('Gastos com Pessoal'!$N$7:$N$506)+1,1))*(IF('Gastos com Pessoal'!$S$7:$S$506&lt;=T$3,('Gastos com Pessoal'!$T$7:$T$506)+1,1))*(IF('Gastos com Pessoal'!$Y$7:$Y$506&lt;=T$3,('Gastos com Pessoal'!$Z$7:$Z$506)+1,1))*(IF('Gastos com Pessoal'!$AE$7:$AE$506&lt;=T$3,('Gastos com Pessoal'!$AF$7:$AF$506)+1,1)),0)</f>
        <v>59708.200293947506</v>
      </c>
      <c r="U40" s="188">
        <f t="array" aca="1" ref="U40" ca="1">_xlfn.IFNA(SUM((U$3&gt;='Gastos com Pessoal'!$E$7:$E$506)*(U$3&lt;='Gastos com Pessoal'!$F$7:$F$506)*OFFSET('Encargos e Benefícios'!$D$5,1,MATCH($B40,'Encargos e Benefícios'!$E$5:$AB$5,0),500,1))*(IF('Gastos com Pessoal'!$G$7:$G$506&lt;=U$3,('Gastos com Pessoal'!$H$7:$H$506)+1,1))*(IF('Gastos com Pessoal'!$M$7:$M$506&lt;=U$3,('Gastos com Pessoal'!$N$7:$N$506)+1,1))*(IF('Gastos com Pessoal'!$S$7:$S$506&lt;=U$3,('Gastos com Pessoal'!$T$7:$T$506)+1,1))*(IF('Gastos com Pessoal'!$Y$7:$Y$506&lt;=U$3,('Gastos com Pessoal'!$Z$7:$Z$506)+1,1))*(IF('Gastos com Pessoal'!$AE$7:$AE$506&lt;=U$3,('Gastos com Pessoal'!$AF$7:$AF$506)+1,1)),0)</f>
        <v>59708.200293947506</v>
      </c>
      <c r="V40" s="188">
        <f t="array" aca="1" ref="V40" ca="1">_xlfn.IFNA(SUM((V$3&gt;='Gastos com Pessoal'!$E$7:$E$506)*(V$3&lt;='Gastos com Pessoal'!$F$7:$F$506)*OFFSET('Encargos e Benefícios'!$D$5,1,MATCH($B40,'Encargos e Benefícios'!$E$5:$AB$5,0),500,1))*(IF('Gastos com Pessoal'!$G$7:$G$506&lt;=V$3,('Gastos com Pessoal'!$H$7:$H$506)+1,1))*(IF('Gastos com Pessoal'!$M$7:$M$506&lt;=V$3,('Gastos com Pessoal'!$N$7:$N$506)+1,1))*(IF('Gastos com Pessoal'!$S$7:$S$506&lt;=V$3,('Gastos com Pessoal'!$T$7:$T$506)+1,1))*(IF('Gastos com Pessoal'!$Y$7:$Y$506&lt;=V$3,('Gastos com Pessoal'!$Z$7:$Z$506)+1,1))*(IF('Gastos com Pessoal'!$AE$7:$AE$506&lt;=V$3,('Gastos com Pessoal'!$AF$7:$AF$506)+1,1)),0)</f>
        <v>59708.200293947506</v>
      </c>
      <c r="W40" s="188">
        <f t="array" aca="1" ref="W40" ca="1">_xlfn.IFNA(SUM((W$3&gt;='Gastos com Pessoal'!$E$7:$E$506)*(W$3&lt;='Gastos com Pessoal'!$F$7:$F$506)*OFFSET('Encargos e Benefícios'!$D$5,1,MATCH($B40,'Encargos e Benefícios'!$E$5:$AB$5,0),500,1))*(IF('Gastos com Pessoal'!$G$7:$G$506&lt;=W$3,('Gastos com Pessoal'!$H$7:$H$506)+1,1))*(IF('Gastos com Pessoal'!$M$7:$M$506&lt;=W$3,('Gastos com Pessoal'!$N$7:$N$506)+1,1))*(IF('Gastos com Pessoal'!$S$7:$S$506&lt;=W$3,('Gastos com Pessoal'!$T$7:$T$506)+1,1))*(IF('Gastos com Pessoal'!$Y$7:$Y$506&lt;=W$3,('Gastos com Pessoal'!$Z$7:$Z$506)+1,1))*(IF('Gastos com Pessoal'!$AE$7:$AE$506&lt;=W$3,('Gastos com Pessoal'!$AF$7:$AF$506)+1,1)),0)</f>
        <v>59708.200293947506</v>
      </c>
      <c r="X40" s="188">
        <f t="array" aca="1" ref="X40" ca="1">_xlfn.IFNA(SUM((X$3&gt;='Gastos com Pessoal'!$E$7:$E$506)*(X$3&lt;='Gastos com Pessoal'!$F$7:$F$506)*OFFSET('Encargos e Benefícios'!$D$5,1,MATCH($B40,'Encargos e Benefícios'!$E$5:$AB$5,0),500,1))*(IF('Gastos com Pessoal'!$G$7:$G$506&lt;=X$3,('Gastos com Pessoal'!$H$7:$H$506)+1,1))*(IF('Gastos com Pessoal'!$M$7:$M$506&lt;=X$3,('Gastos com Pessoal'!$N$7:$N$506)+1,1))*(IF('Gastos com Pessoal'!$S$7:$S$506&lt;=X$3,('Gastos com Pessoal'!$T$7:$T$506)+1,1))*(IF('Gastos com Pessoal'!$Y$7:$Y$506&lt;=X$3,('Gastos com Pessoal'!$Z$7:$Z$506)+1,1))*(IF('Gastos com Pessoal'!$AE$7:$AE$506&lt;=X$3,('Gastos com Pessoal'!$AF$7:$AF$506)+1,1)),0)</f>
        <v>59708.200293947506</v>
      </c>
      <c r="Y40" s="188">
        <f t="array" aca="1" ref="Y40" ca="1">_xlfn.IFNA(SUM((Y$3&gt;='Gastos com Pessoal'!$E$7:$E$506)*(Y$3&lt;='Gastos com Pessoal'!$F$7:$F$506)*OFFSET('Encargos e Benefícios'!$D$5,1,MATCH($B40,'Encargos e Benefícios'!$E$5:$AB$5,0),500,1))*(IF('Gastos com Pessoal'!$G$7:$G$506&lt;=Y$3,('Gastos com Pessoal'!$H$7:$H$506)+1,1))*(IF('Gastos com Pessoal'!$M$7:$M$506&lt;=Y$3,('Gastos com Pessoal'!$N$7:$N$506)+1,1))*(IF('Gastos com Pessoal'!$S$7:$S$506&lt;=Y$3,('Gastos com Pessoal'!$T$7:$T$506)+1,1))*(IF('Gastos com Pessoal'!$Y$7:$Y$506&lt;=Y$3,('Gastos com Pessoal'!$Z$7:$Z$506)+1,1))*(IF('Gastos com Pessoal'!$AE$7:$AE$506&lt;=Y$3,('Gastos com Pessoal'!$AF$7:$AF$506)+1,1)),0)</f>
        <v>59708.200293947506</v>
      </c>
      <c r="Z40" s="188">
        <f t="array" aca="1" ref="Z40" ca="1">_xlfn.IFNA(SUM((Z$3&gt;='Gastos com Pessoal'!$E$7:$E$506)*(Z$3&lt;='Gastos com Pessoal'!$F$7:$F$506)*OFFSET('Encargos e Benefícios'!$D$5,1,MATCH($B40,'Encargos e Benefícios'!$E$5:$AB$5,0),500,1))*(IF('Gastos com Pessoal'!$G$7:$G$506&lt;=Z$3,('Gastos com Pessoal'!$H$7:$H$506)+1,1))*(IF('Gastos com Pessoal'!$M$7:$M$506&lt;=Z$3,('Gastos com Pessoal'!$N$7:$N$506)+1,1))*(IF('Gastos com Pessoal'!$S$7:$S$506&lt;=Z$3,('Gastos com Pessoal'!$T$7:$T$506)+1,1))*(IF('Gastos com Pessoal'!$Y$7:$Y$506&lt;=Z$3,('Gastos com Pessoal'!$Z$7:$Z$506)+1,1))*(IF('Gastos com Pessoal'!$AE$7:$AE$506&lt;=Z$3,('Gastos com Pessoal'!$AF$7:$AF$506)+1,1)),0)</f>
        <v>59708.200293947506</v>
      </c>
      <c r="AA40" s="188">
        <f t="array" aca="1" ref="AA40" ca="1">_xlfn.IFNA(SUM((AA$3&gt;='Gastos com Pessoal'!$E$7:$E$506)*(AA$3&lt;='Gastos com Pessoal'!$F$7:$F$506)*OFFSET('Encargos e Benefícios'!$D$5,1,MATCH($B40,'Encargos e Benefícios'!$E$5:$AB$5,0),500,1))*(IF('Gastos com Pessoal'!$G$7:$G$506&lt;=AA$3,('Gastos com Pessoal'!$H$7:$H$506)+1,1))*(IF('Gastos com Pessoal'!$M$7:$M$506&lt;=AA$3,('Gastos com Pessoal'!$N$7:$N$506)+1,1))*(IF('Gastos com Pessoal'!$S$7:$S$506&lt;=AA$3,('Gastos com Pessoal'!$T$7:$T$506)+1,1))*(IF('Gastos com Pessoal'!$Y$7:$Y$506&lt;=AA$3,('Gastos com Pessoal'!$Z$7:$Z$506)+1,1))*(IF('Gastos com Pessoal'!$AE$7:$AE$506&lt;=AA$3,('Gastos com Pessoal'!$AF$7:$AF$506)+1,1)),0)</f>
        <v>59708.200293947506</v>
      </c>
      <c r="AB40" s="188">
        <f t="array" aca="1" ref="AB40" ca="1">_xlfn.IFNA(SUM((AB$3&gt;='Gastos com Pessoal'!$E$7:$E$506)*(AB$3&lt;='Gastos com Pessoal'!$F$7:$F$506)*OFFSET('Encargos e Benefícios'!$D$5,1,MATCH($B40,'Encargos e Benefícios'!$E$5:$AB$5,0),500,1))*(IF('Gastos com Pessoal'!$G$7:$G$506&lt;=AB$3,('Gastos com Pessoal'!$H$7:$H$506)+1,1))*(IF('Gastos com Pessoal'!$M$7:$M$506&lt;=AB$3,('Gastos com Pessoal'!$N$7:$N$506)+1,1))*(IF('Gastos com Pessoal'!$S$7:$S$506&lt;=AB$3,('Gastos com Pessoal'!$T$7:$T$506)+1,1))*(IF('Gastos com Pessoal'!$Y$7:$Y$506&lt;=AB$3,('Gastos com Pessoal'!$Z$7:$Z$506)+1,1))*(IF('Gastos com Pessoal'!$AE$7:$AE$506&lt;=AB$3,('Gastos com Pessoal'!$AF$7:$AF$506)+1,1)),0)</f>
        <v>59708.200293947506</v>
      </c>
      <c r="AC40" s="188">
        <f t="array" aca="1" ref="AC40" ca="1">_xlfn.IFNA(SUM((AC$3&gt;='Gastos com Pessoal'!$E$7:$E$506)*(AC$3&lt;='Gastos com Pessoal'!$F$7:$F$506)*OFFSET('Encargos e Benefícios'!$D$5,1,MATCH($B40,'Encargos e Benefícios'!$E$5:$AB$5,0),500,1))*(IF('Gastos com Pessoal'!$G$7:$G$506&lt;=AC$3,('Gastos com Pessoal'!$H$7:$H$506)+1,1))*(IF('Gastos com Pessoal'!$M$7:$M$506&lt;=AC$3,('Gastos com Pessoal'!$N$7:$N$506)+1,1))*(IF('Gastos com Pessoal'!$S$7:$S$506&lt;=AC$3,('Gastos com Pessoal'!$T$7:$T$506)+1,1))*(IF('Gastos com Pessoal'!$Y$7:$Y$506&lt;=AC$3,('Gastos com Pessoal'!$Z$7:$Z$506)+1,1))*(IF('Gastos com Pessoal'!$AE$7:$AE$506&lt;=AC$3,('Gastos com Pessoal'!$AF$7:$AF$506)+1,1)),0)</f>
        <v>59708.200293947506</v>
      </c>
      <c r="AD40" s="188">
        <f t="array" aca="1" ref="AD40" ca="1">_xlfn.IFNA(SUM((AD$3&gt;='Gastos com Pessoal'!$E$7:$E$506)*(AD$3&lt;='Gastos com Pessoal'!$F$7:$F$506)*OFFSET('Encargos e Benefícios'!$D$5,1,MATCH($B40,'Encargos e Benefícios'!$E$5:$AB$5,0),500,1))*(IF('Gastos com Pessoal'!$G$7:$G$506&lt;=AD$3,('Gastos com Pessoal'!$H$7:$H$506)+1,1))*(IF('Gastos com Pessoal'!$M$7:$M$506&lt;=AD$3,('Gastos com Pessoal'!$N$7:$N$506)+1,1))*(IF('Gastos com Pessoal'!$S$7:$S$506&lt;=AD$3,('Gastos com Pessoal'!$T$7:$T$506)+1,1))*(IF('Gastos com Pessoal'!$Y$7:$Y$506&lt;=AD$3,('Gastos com Pessoal'!$Z$7:$Z$506)+1,1))*(IF('Gastos com Pessoal'!$AE$7:$AE$506&lt;=AD$3,('Gastos com Pessoal'!$AF$7:$AF$506)+1,1)),0)</f>
        <v>59708.200293947506</v>
      </c>
      <c r="AE40" s="188">
        <f t="array" aca="1" ref="AE40" ca="1">_xlfn.IFNA(SUM((AE$3&gt;='Gastos com Pessoal'!$E$7:$E$506)*(AE$3&lt;='Gastos com Pessoal'!$F$7:$F$506)*OFFSET('Encargos e Benefícios'!$D$5,1,MATCH($B40,'Encargos e Benefícios'!$E$5:$AB$5,0),500,1))*(IF('Gastos com Pessoal'!$G$7:$G$506&lt;=AE$3,('Gastos com Pessoal'!$H$7:$H$506)+1,1))*(IF('Gastos com Pessoal'!$M$7:$M$506&lt;=AE$3,('Gastos com Pessoal'!$N$7:$N$506)+1,1))*(IF('Gastos com Pessoal'!$S$7:$S$506&lt;=AE$3,('Gastos com Pessoal'!$T$7:$T$506)+1,1))*(IF('Gastos com Pessoal'!$Y$7:$Y$506&lt;=AE$3,('Gastos com Pessoal'!$Z$7:$Z$506)+1,1))*(IF('Gastos com Pessoal'!$AE$7:$AE$506&lt;=AE$3,('Gastos com Pessoal'!$AF$7:$AF$506)+1,1)),0)</f>
        <v>63195.159191114042</v>
      </c>
      <c r="AF40" s="188">
        <f t="array" aca="1" ref="AF40" ca="1">_xlfn.IFNA(SUM((AF$3&gt;='Gastos com Pessoal'!$E$7:$E$506)*(AF$3&lt;='Gastos com Pessoal'!$F$7:$F$506)*OFFSET('Encargos e Benefícios'!$D$5,1,MATCH($B40,'Encargos e Benefícios'!$E$5:$AB$5,0),500,1))*(IF('Gastos com Pessoal'!$G$7:$G$506&lt;=AF$3,('Gastos com Pessoal'!$H$7:$H$506)+1,1))*(IF('Gastos com Pessoal'!$M$7:$M$506&lt;=AF$3,('Gastos com Pessoal'!$N$7:$N$506)+1,1))*(IF('Gastos com Pessoal'!$S$7:$S$506&lt;=AF$3,('Gastos com Pessoal'!$T$7:$T$506)+1,1))*(IF('Gastos com Pessoal'!$Y$7:$Y$506&lt;=AF$3,('Gastos com Pessoal'!$Z$7:$Z$506)+1,1))*(IF('Gastos com Pessoal'!$AE$7:$AE$506&lt;=AF$3,('Gastos com Pessoal'!$AF$7:$AF$506)+1,1)),0)</f>
        <v>63195.159191114042</v>
      </c>
      <c r="AG40" s="188">
        <f t="array" aca="1" ref="AG40" ca="1">_xlfn.IFNA(SUM((AG$3&gt;='Gastos com Pessoal'!$E$7:$E$506)*(AG$3&lt;='Gastos com Pessoal'!$F$7:$F$506)*OFFSET('Encargos e Benefícios'!$D$5,1,MATCH($B40,'Encargos e Benefícios'!$E$5:$AB$5,0),500,1))*(IF('Gastos com Pessoal'!$G$7:$G$506&lt;=AG$3,('Gastos com Pessoal'!$H$7:$H$506)+1,1))*(IF('Gastos com Pessoal'!$M$7:$M$506&lt;=AG$3,('Gastos com Pessoal'!$N$7:$N$506)+1,1))*(IF('Gastos com Pessoal'!$S$7:$S$506&lt;=AG$3,('Gastos com Pessoal'!$T$7:$T$506)+1,1))*(IF('Gastos com Pessoal'!$Y$7:$Y$506&lt;=AG$3,('Gastos com Pessoal'!$Z$7:$Z$506)+1,1))*(IF('Gastos com Pessoal'!$AE$7:$AE$506&lt;=AG$3,('Gastos com Pessoal'!$AF$7:$AF$506)+1,1)),0)</f>
        <v>63195.159191114042</v>
      </c>
      <c r="AH40" s="188">
        <f t="array" aca="1" ref="AH40" ca="1">_xlfn.IFNA(SUM((AH$3&gt;='Gastos com Pessoal'!$E$7:$E$506)*(AH$3&lt;='Gastos com Pessoal'!$F$7:$F$506)*OFFSET('Encargos e Benefícios'!$D$5,1,MATCH($B40,'Encargos e Benefícios'!$E$5:$AB$5,0),500,1))*(IF('Gastos com Pessoal'!$G$7:$G$506&lt;=AH$3,('Gastos com Pessoal'!$H$7:$H$506)+1,1))*(IF('Gastos com Pessoal'!$M$7:$M$506&lt;=AH$3,('Gastos com Pessoal'!$N$7:$N$506)+1,1))*(IF('Gastos com Pessoal'!$S$7:$S$506&lt;=AH$3,('Gastos com Pessoal'!$T$7:$T$506)+1,1))*(IF('Gastos com Pessoal'!$Y$7:$Y$506&lt;=AH$3,('Gastos com Pessoal'!$Z$7:$Z$506)+1,1))*(IF('Gastos com Pessoal'!$AE$7:$AE$506&lt;=AH$3,('Gastos com Pessoal'!$AF$7:$AF$506)+1,1)),0)</f>
        <v>63195.159191114042</v>
      </c>
      <c r="AI40" s="188">
        <f t="array" aca="1" ref="AI40" ca="1">_xlfn.IFNA(SUM((AI$3&gt;='Gastos com Pessoal'!$E$7:$E$506)*(AI$3&lt;='Gastos com Pessoal'!$F$7:$F$506)*OFFSET('Encargos e Benefícios'!$D$5,1,MATCH($B40,'Encargos e Benefícios'!$E$5:$AB$5,0),500,1))*(IF('Gastos com Pessoal'!$G$7:$G$506&lt;=AI$3,('Gastos com Pessoal'!$H$7:$H$506)+1,1))*(IF('Gastos com Pessoal'!$M$7:$M$506&lt;=AI$3,('Gastos com Pessoal'!$N$7:$N$506)+1,1))*(IF('Gastos com Pessoal'!$S$7:$S$506&lt;=AI$3,('Gastos com Pessoal'!$T$7:$T$506)+1,1))*(IF('Gastos com Pessoal'!$Y$7:$Y$506&lt;=AI$3,('Gastos com Pessoal'!$Z$7:$Z$506)+1,1))*(IF('Gastos com Pessoal'!$AE$7:$AE$506&lt;=AI$3,('Gastos com Pessoal'!$AF$7:$AF$506)+1,1)),0)</f>
        <v>63195.159191114042</v>
      </c>
      <c r="AJ40" s="188">
        <f t="array" aca="1" ref="AJ40" ca="1">_xlfn.IFNA(SUM((AJ$3&gt;='Gastos com Pessoal'!$E$7:$E$506)*(AJ$3&lt;='Gastos com Pessoal'!$F$7:$F$506)*OFFSET('Encargos e Benefícios'!$D$5,1,MATCH($B40,'Encargos e Benefícios'!$E$5:$AB$5,0),500,1))*(IF('Gastos com Pessoal'!$G$7:$G$506&lt;=AJ$3,('Gastos com Pessoal'!$H$7:$H$506)+1,1))*(IF('Gastos com Pessoal'!$M$7:$M$506&lt;=AJ$3,('Gastos com Pessoal'!$N$7:$N$506)+1,1))*(IF('Gastos com Pessoal'!$S$7:$S$506&lt;=AJ$3,('Gastos com Pessoal'!$T$7:$T$506)+1,1))*(IF('Gastos com Pessoal'!$Y$7:$Y$506&lt;=AJ$3,('Gastos com Pessoal'!$Z$7:$Z$506)+1,1))*(IF('Gastos com Pessoal'!$AE$7:$AE$506&lt;=AJ$3,('Gastos com Pessoal'!$AF$7:$AF$506)+1,1)),0)</f>
        <v>63195.159191114042</v>
      </c>
      <c r="AK40" s="188">
        <f t="array" aca="1" ref="AK40" ca="1">_xlfn.IFNA(SUM((AK$3&gt;='Gastos com Pessoal'!$E$7:$E$506)*(AK$3&lt;='Gastos com Pessoal'!$F$7:$F$506)*OFFSET('Encargos e Benefícios'!$D$5,1,MATCH($B40,'Encargos e Benefícios'!$E$5:$AB$5,0),500,1))*(IF('Gastos com Pessoal'!$G$7:$G$506&lt;=AK$3,('Gastos com Pessoal'!$H$7:$H$506)+1,1))*(IF('Gastos com Pessoal'!$M$7:$M$506&lt;=AK$3,('Gastos com Pessoal'!$N$7:$N$506)+1,1))*(IF('Gastos com Pessoal'!$S$7:$S$506&lt;=AK$3,('Gastos com Pessoal'!$T$7:$T$506)+1,1))*(IF('Gastos com Pessoal'!$Y$7:$Y$506&lt;=AK$3,('Gastos com Pessoal'!$Z$7:$Z$506)+1,1))*(IF('Gastos com Pessoal'!$AE$7:$AE$506&lt;=AK$3,('Gastos com Pessoal'!$AF$7:$AF$506)+1,1)),0)</f>
        <v>63195.159191114042</v>
      </c>
      <c r="AL40" s="188">
        <f t="array" aca="1" ref="AL40" ca="1">_xlfn.IFNA(SUM((AL$3&gt;='Gastos com Pessoal'!$E$7:$E$506)*(AL$3&lt;='Gastos com Pessoal'!$F$7:$F$506)*OFFSET('Encargos e Benefícios'!$D$5,1,MATCH($B40,'Encargos e Benefícios'!$E$5:$AB$5,0),500,1))*(IF('Gastos com Pessoal'!$G$7:$G$506&lt;=AL$3,('Gastos com Pessoal'!$H$7:$H$506)+1,1))*(IF('Gastos com Pessoal'!$M$7:$M$506&lt;=AL$3,('Gastos com Pessoal'!$N$7:$N$506)+1,1))*(IF('Gastos com Pessoal'!$S$7:$S$506&lt;=AL$3,('Gastos com Pessoal'!$T$7:$T$506)+1,1))*(IF('Gastos com Pessoal'!$Y$7:$Y$506&lt;=AL$3,('Gastos com Pessoal'!$Z$7:$Z$506)+1,1))*(IF('Gastos com Pessoal'!$AE$7:$AE$506&lt;=AL$3,('Gastos com Pessoal'!$AF$7:$AF$506)+1,1)),0)</f>
        <v>63195.159191114042</v>
      </c>
      <c r="AM40" s="188">
        <f t="array" aca="1" ref="AM40" ca="1">_xlfn.IFNA(SUM((AM$3&gt;='Gastos com Pessoal'!$E$7:$E$506)*(AM$3&lt;='Gastos com Pessoal'!$F$7:$F$506)*OFFSET('Encargos e Benefícios'!$D$5,1,MATCH($B40,'Encargos e Benefícios'!$E$5:$AB$5,0),500,1))*(IF('Gastos com Pessoal'!$G$7:$G$506&lt;=AM$3,('Gastos com Pessoal'!$H$7:$H$506)+1,1))*(IF('Gastos com Pessoal'!$M$7:$M$506&lt;=AM$3,('Gastos com Pessoal'!$N$7:$N$506)+1,1))*(IF('Gastos com Pessoal'!$S$7:$S$506&lt;=AM$3,('Gastos com Pessoal'!$T$7:$T$506)+1,1))*(IF('Gastos com Pessoal'!$Y$7:$Y$506&lt;=AM$3,('Gastos com Pessoal'!$Z$7:$Z$506)+1,1))*(IF('Gastos com Pessoal'!$AE$7:$AE$506&lt;=AM$3,('Gastos com Pessoal'!$AF$7:$AF$506)+1,1)),0)</f>
        <v>63195.159191114042</v>
      </c>
      <c r="AN40" s="188">
        <f t="array" aca="1" ref="AN40" ca="1">_xlfn.IFNA(SUM((AN$3&gt;='Gastos com Pessoal'!$E$7:$E$506)*(AN$3&lt;='Gastos com Pessoal'!$F$7:$F$506)*OFFSET('Encargos e Benefícios'!$D$5,1,MATCH($B40,'Encargos e Benefícios'!$E$5:$AB$5,0),500,1))*(IF('Gastos com Pessoal'!$G$7:$G$506&lt;=AN$3,('Gastos com Pessoal'!$H$7:$H$506)+1,1))*(IF('Gastos com Pessoal'!$M$7:$M$506&lt;=AN$3,('Gastos com Pessoal'!$N$7:$N$506)+1,1))*(IF('Gastos com Pessoal'!$S$7:$S$506&lt;=AN$3,('Gastos com Pessoal'!$T$7:$T$506)+1,1))*(IF('Gastos com Pessoal'!$Y$7:$Y$506&lt;=AN$3,('Gastos com Pessoal'!$Z$7:$Z$506)+1,1))*(IF('Gastos com Pessoal'!$AE$7:$AE$506&lt;=AN$3,('Gastos com Pessoal'!$AF$7:$AF$506)+1,1)),0)</f>
        <v>63195.159191114042</v>
      </c>
      <c r="AO40" s="188">
        <f t="array" aca="1" ref="AO40" ca="1">_xlfn.IFNA(SUM((AO$3&gt;='Gastos com Pessoal'!$E$7:$E$506)*(AO$3&lt;='Gastos com Pessoal'!$F$7:$F$506)*OFFSET('Encargos e Benefícios'!$D$5,1,MATCH($B40,'Encargos e Benefícios'!$E$5:$AB$5,0),500,1))*(IF('Gastos com Pessoal'!$G$7:$G$506&lt;=AO$3,('Gastos com Pessoal'!$H$7:$H$506)+1,1))*(IF('Gastos com Pessoal'!$M$7:$M$506&lt;=AO$3,('Gastos com Pessoal'!$N$7:$N$506)+1,1))*(IF('Gastos com Pessoal'!$S$7:$S$506&lt;=AO$3,('Gastos com Pessoal'!$T$7:$T$506)+1,1))*(IF('Gastos com Pessoal'!$Y$7:$Y$506&lt;=AO$3,('Gastos com Pessoal'!$Z$7:$Z$506)+1,1))*(IF('Gastos com Pessoal'!$AE$7:$AE$506&lt;=AO$3,('Gastos com Pessoal'!$AF$7:$AF$506)+1,1)),0)</f>
        <v>63195.159191114042</v>
      </c>
      <c r="AP40" s="188">
        <f t="array" aca="1" ref="AP40" ca="1">_xlfn.IFNA(SUM((AP$3&gt;='Gastos com Pessoal'!$E$7:$E$506)*(AP$3&lt;='Gastos com Pessoal'!$F$7:$F$506)*OFFSET('Encargos e Benefícios'!$D$5,1,MATCH($B40,'Encargos e Benefícios'!$E$5:$AB$5,0),500,1))*(IF('Gastos com Pessoal'!$G$7:$G$506&lt;=AP$3,('Gastos com Pessoal'!$H$7:$H$506)+1,1))*(IF('Gastos com Pessoal'!$M$7:$M$506&lt;=AP$3,('Gastos com Pessoal'!$N$7:$N$506)+1,1))*(IF('Gastos com Pessoal'!$S$7:$S$506&lt;=AP$3,('Gastos com Pessoal'!$T$7:$T$506)+1,1))*(IF('Gastos com Pessoal'!$Y$7:$Y$506&lt;=AP$3,('Gastos com Pessoal'!$Z$7:$Z$506)+1,1))*(IF('Gastos com Pessoal'!$AE$7:$AE$506&lt;=AP$3,('Gastos com Pessoal'!$AF$7:$AF$506)+1,1)),0)</f>
        <v>63195.159191114042</v>
      </c>
      <c r="AQ40" s="188">
        <f t="array" aca="1" ref="AQ40" ca="1">_xlfn.IFNA(SUM((AQ$3&gt;='Gastos com Pessoal'!$E$7:$E$506)*(AQ$3&lt;='Gastos com Pessoal'!$F$7:$F$506)*OFFSET('Encargos e Benefícios'!$D$5,1,MATCH($B40,'Encargos e Benefícios'!$E$5:$AB$5,0),500,1))*(IF('Gastos com Pessoal'!$G$7:$G$506&lt;=AQ$3,('Gastos com Pessoal'!$H$7:$H$506)+1,1))*(IF('Gastos com Pessoal'!$M$7:$M$506&lt;=AQ$3,('Gastos com Pessoal'!$N$7:$N$506)+1,1))*(IF('Gastos com Pessoal'!$S$7:$S$506&lt;=AQ$3,('Gastos com Pessoal'!$T$7:$T$506)+1,1))*(IF('Gastos com Pessoal'!$Y$7:$Y$506&lt;=AQ$3,('Gastos com Pessoal'!$Z$7:$Z$506)+1,1))*(IF('Gastos com Pessoal'!$AE$7:$AE$506&lt;=AQ$3,('Gastos com Pessoal'!$AF$7:$AF$506)+1,1)),0)</f>
        <v>66885.7564878751</v>
      </c>
      <c r="AR40" s="188">
        <f t="array" aca="1" ref="AR40" ca="1">_xlfn.IFNA(SUM((AR$3&gt;='Gastos com Pessoal'!$E$7:$E$506)*(AR$3&lt;='Gastos com Pessoal'!$F$7:$F$506)*OFFSET('Encargos e Benefícios'!$D$5,1,MATCH($B40,'Encargos e Benefícios'!$E$5:$AB$5,0),500,1))*(IF('Gastos com Pessoal'!$G$7:$G$506&lt;=AR$3,('Gastos com Pessoal'!$H$7:$H$506)+1,1))*(IF('Gastos com Pessoal'!$M$7:$M$506&lt;=AR$3,('Gastos com Pessoal'!$N$7:$N$506)+1,1))*(IF('Gastos com Pessoal'!$S$7:$S$506&lt;=AR$3,('Gastos com Pessoal'!$T$7:$T$506)+1,1))*(IF('Gastos com Pessoal'!$Y$7:$Y$506&lt;=AR$3,('Gastos com Pessoal'!$Z$7:$Z$506)+1,1))*(IF('Gastos com Pessoal'!$AE$7:$AE$506&lt;=AR$3,('Gastos com Pessoal'!$AF$7:$AF$506)+1,1)),0)</f>
        <v>66885.7564878751</v>
      </c>
      <c r="AS40" s="188">
        <f t="array" aca="1" ref="AS40" ca="1">_xlfn.IFNA(SUM((AS$3&gt;='Gastos com Pessoal'!$E$7:$E$506)*(AS$3&lt;='Gastos com Pessoal'!$F$7:$F$506)*OFFSET('Encargos e Benefícios'!$D$5,1,MATCH($B40,'Encargos e Benefícios'!$E$5:$AB$5,0),500,1))*(IF('Gastos com Pessoal'!$G$7:$G$506&lt;=AS$3,('Gastos com Pessoal'!$H$7:$H$506)+1,1))*(IF('Gastos com Pessoal'!$M$7:$M$506&lt;=AS$3,('Gastos com Pessoal'!$N$7:$N$506)+1,1))*(IF('Gastos com Pessoal'!$S$7:$S$506&lt;=AS$3,('Gastos com Pessoal'!$T$7:$T$506)+1,1))*(IF('Gastos com Pessoal'!$Y$7:$Y$506&lt;=AS$3,('Gastos com Pessoal'!$Z$7:$Z$506)+1,1))*(IF('Gastos com Pessoal'!$AE$7:$AE$506&lt;=AS$3,('Gastos com Pessoal'!$AF$7:$AF$506)+1,1)),0)</f>
        <v>66885.7564878751</v>
      </c>
      <c r="AT40" s="188">
        <f t="array" aca="1" ref="AT40" ca="1">_xlfn.IFNA(SUM((AT$3&gt;='Gastos com Pessoal'!$E$7:$E$506)*(AT$3&lt;='Gastos com Pessoal'!$F$7:$F$506)*OFFSET('Encargos e Benefícios'!$D$5,1,MATCH($B40,'Encargos e Benefícios'!$E$5:$AB$5,0),500,1))*(IF('Gastos com Pessoal'!$G$7:$G$506&lt;=AT$3,('Gastos com Pessoal'!$H$7:$H$506)+1,1))*(IF('Gastos com Pessoal'!$M$7:$M$506&lt;=AT$3,('Gastos com Pessoal'!$N$7:$N$506)+1,1))*(IF('Gastos com Pessoal'!$S$7:$S$506&lt;=AT$3,('Gastos com Pessoal'!$T$7:$T$506)+1,1))*(IF('Gastos com Pessoal'!$Y$7:$Y$506&lt;=AT$3,('Gastos com Pessoal'!$Z$7:$Z$506)+1,1))*(IF('Gastos com Pessoal'!$AE$7:$AE$506&lt;=AT$3,('Gastos com Pessoal'!$AF$7:$AF$506)+1,1)),0)</f>
        <v>66885.7564878751</v>
      </c>
      <c r="AU40" s="188">
        <f t="array" aca="1" ref="AU40" ca="1">_xlfn.IFNA(SUM((AU$3&gt;='Gastos com Pessoal'!$E$7:$E$506)*(AU$3&lt;='Gastos com Pessoal'!$F$7:$F$506)*OFFSET('Encargos e Benefícios'!$D$5,1,MATCH($B40,'Encargos e Benefícios'!$E$5:$AB$5,0),500,1))*(IF('Gastos com Pessoal'!$G$7:$G$506&lt;=AU$3,('Gastos com Pessoal'!$H$7:$H$506)+1,1))*(IF('Gastos com Pessoal'!$M$7:$M$506&lt;=AU$3,('Gastos com Pessoal'!$N$7:$N$506)+1,1))*(IF('Gastos com Pessoal'!$S$7:$S$506&lt;=AU$3,('Gastos com Pessoal'!$T$7:$T$506)+1,1))*(IF('Gastos com Pessoal'!$Y$7:$Y$506&lt;=AU$3,('Gastos com Pessoal'!$Z$7:$Z$506)+1,1))*(IF('Gastos com Pessoal'!$AE$7:$AE$506&lt;=AU$3,('Gastos com Pessoal'!$AF$7:$AF$506)+1,1)),0)</f>
        <v>66885.7564878751</v>
      </c>
      <c r="AV40" s="188">
        <f t="array" aca="1" ref="AV40" ca="1">_xlfn.IFNA(SUM((AV$3&gt;='Gastos com Pessoal'!$E$7:$E$506)*(AV$3&lt;='Gastos com Pessoal'!$F$7:$F$506)*OFFSET('Encargos e Benefícios'!$D$5,1,MATCH($B40,'Encargos e Benefícios'!$E$5:$AB$5,0),500,1))*(IF('Gastos com Pessoal'!$G$7:$G$506&lt;=AV$3,('Gastos com Pessoal'!$H$7:$H$506)+1,1))*(IF('Gastos com Pessoal'!$M$7:$M$506&lt;=AV$3,('Gastos com Pessoal'!$N$7:$N$506)+1,1))*(IF('Gastos com Pessoal'!$S$7:$S$506&lt;=AV$3,('Gastos com Pessoal'!$T$7:$T$506)+1,1))*(IF('Gastos com Pessoal'!$Y$7:$Y$506&lt;=AV$3,('Gastos com Pessoal'!$Z$7:$Z$506)+1,1))*(IF('Gastos com Pessoal'!$AE$7:$AE$506&lt;=AV$3,('Gastos com Pessoal'!$AF$7:$AF$506)+1,1)),0)</f>
        <v>66885.7564878751</v>
      </c>
      <c r="AW40" s="188">
        <f t="array" aca="1" ref="AW40" ca="1">_xlfn.IFNA(SUM((AW$3&gt;='Gastos com Pessoal'!$E$7:$E$506)*(AW$3&lt;='Gastos com Pessoal'!$F$7:$F$506)*OFFSET('Encargos e Benefícios'!$D$5,1,MATCH($B40,'Encargos e Benefícios'!$E$5:$AB$5,0),500,1))*(IF('Gastos com Pessoal'!$G$7:$G$506&lt;=AW$3,('Gastos com Pessoal'!$H$7:$H$506)+1,1))*(IF('Gastos com Pessoal'!$M$7:$M$506&lt;=AW$3,('Gastos com Pessoal'!$N$7:$N$506)+1,1))*(IF('Gastos com Pessoal'!$S$7:$S$506&lt;=AW$3,('Gastos com Pessoal'!$T$7:$T$506)+1,1))*(IF('Gastos com Pessoal'!$Y$7:$Y$506&lt;=AW$3,('Gastos com Pessoal'!$Z$7:$Z$506)+1,1))*(IF('Gastos com Pessoal'!$AE$7:$AE$506&lt;=AW$3,('Gastos com Pessoal'!$AF$7:$AF$506)+1,1)),0)</f>
        <v>66885.7564878751</v>
      </c>
      <c r="AX40" s="188">
        <f t="array" aca="1" ref="AX40" ca="1">_xlfn.IFNA(SUM((AX$3&gt;='Gastos com Pessoal'!$E$7:$E$506)*(AX$3&lt;='Gastos com Pessoal'!$F$7:$F$506)*OFFSET('Encargos e Benefícios'!$D$5,1,MATCH($B40,'Encargos e Benefícios'!$E$5:$AB$5,0),500,1))*(IF('Gastos com Pessoal'!$G$7:$G$506&lt;=AX$3,('Gastos com Pessoal'!$H$7:$H$506)+1,1))*(IF('Gastos com Pessoal'!$M$7:$M$506&lt;=AX$3,('Gastos com Pessoal'!$N$7:$N$506)+1,1))*(IF('Gastos com Pessoal'!$S$7:$S$506&lt;=AX$3,('Gastos com Pessoal'!$T$7:$T$506)+1,1))*(IF('Gastos com Pessoal'!$Y$7:$Y$506&lt;=AX$3,('Gastos com Pessoal'!$Z$7:$Z$506)+1,1))*(IF('Gastos com Pessoal'!$AE$7:$AE$506&lt;=AX$3,('Gastos com Pessoal'!$AF$7:$AF$506)+1,1)),0)</f>
        <v>0</v>
      </c>
      <c r="AY40" s="188">
        <f t="array" aca="1" ref="AY40" ca="1">_xlfn.IFNA(SUM((AY$3&gt;='Gastos com Pessoal'!$E$7:$E$506)*(AY$3&lt;='Gastos com Pessoal'!$F$7:$F$506)*OFFSET('Encargos e Benefícios'!$D$5,1,MATCH($B40,'Encargos e Benefícios'!$E$5:$AB$5,0),500,1))*(IF('Gastos com Pessoal'!$G$7:$G$506&lt;=AY$3,('Gastos com Pessoal'!$H$7:$H$506)+1,1))*(IF('Gastos com Pessoal'!$M$7:$M$506&lt;=AY$3,('Gastos com Pessoal'!$N$7:$N$506)+1,1))*(IF('Gastos com Pessoal'!$S$7:$S$506&lt;=AY$3,('Gastos com Pessoal'!$T$7:$T$506)+1,1))*(IF('Gastos com Pessoal'!$Y$7:$Y$506&lt;=AY$3,('Gastos com Pessoal'!$Z$7:$Z$506)+1,1))*(IF('Gastos com Pessoal'!$AE$7:$AE$506&lt;=AY$3,('Gastos com Pessoal'!$AF$7:$AF$506)+1,1)),0)</f>
        <v>0</v>
      </c>
      <c r="AZ40" s="188">
        <f t="array" aca="1" ref="AZ40" ca="1">_xlfn.IFNA(SUM((AZ$3&gt;='Gastos com Pessoal'!$E$7:$E$506)*(AZ$3&lt;='Gastos com Pessoal'!$F$7:$F$506)*OFFSET('Encargos e Benefícios'!$D$5,1,MATCH($B40,'Encargos e Benefícios'!$E$5:$AB$5,0),500,1))*(IF('Gastos com Pessoal'!$G$7:$G$506&lt;=AZ$3,('Gastos com Pessoal'!$H$7:$H$506)+1,1))*(IF('Gastos com Pessoal'!$M$7:$M$506&lt;=AZ$3,('Gastos com Pessoal'!$N$7:$N$506)+1,1))*(IF('Gastos com Pessoal'!$S$7:$S$506&lt;=AZ$3,('Gastos com Pessoal'!$T$7:$T$506)+1,1))*(IF('Gastos com Pessoal'!$Y$7:$Y$506&lt;=AZ$3,('Gastos com Pessoal'!$Z$7:$Z$506)+1,1))*(IF('Gastos com Pessoal'!$AE$7:$AE$506&lt;=AZ$3,('Gastos com Pessoal'!$AF$7:$AF$506)+1,1)),0)</f>
        <v>0</v>
      </c>
      <c r="BA40" s="188">
        <f t="array" aca="1" ref="BA40" ca="1">_xlfn.IFNA(SUM((BA$3&gt;='Gastos com Pessoal'!$E$7:$E$506)*(BA$3&lt;='Gastos com Pessoal'!$F$7:$F$506)*OFFSET('Encargos e Benefícios'!$D$5,1,MATCH($B40,'Encargos e Benefícios'!$E$5:$AB$5,0),500,1))*(IF('Gastos com Pessoal'!$G$7:$G$506&lt;=BA$3,('Gastos com Pessoal'!$H$7:$H$506)+1,1))*(IF('Gastos com Pessoal'!$M$7:$M$506&lt;=BA$3,('Gastos com Pessoal'!$N$7:$N$506)+1,1))*(IF('Gastos com Pessoal'!$S$7:$S$506&lt;=BA$3,('Gastos com Pessoal'!$T$7:$T$506)+1,1))*(IF('Gastos com Pessoal'!$Y$7:$Y$506&lt;=BA$3,('Gastos com Pessoal'!$Z$7:$Z$506)+1,1))*(IF('Gastos com Pessoal'!$AE$7:$AE$506&lt;=BA$3,('Gastos com Pessoal'!$AF$7:$AF$506)+1,1)),0)</f>
        <v>0</v>
      </c>
      <c r="BB40" s="188">
        <f t="array" aca="1" ref="BB40" ca="1">_xlfn.IFNA(SUM((BB$3&gt;='Gastos com Pessoal'!$E$7:$E$506)*(BB$3&lt;='Gastos com Pessoal'!$F$7:$F$506)*OFFSET('Encargos e Benefícios'!$D$5,1,MATCH($B40,'Encargos e Benefícios'!$E$5:$AB$5,0),500,1))*(IF('Gastos com Pessoal'!$G$7:$G$506&lt;=BB$3,('Gastos com Pessoal'!$H$7:$H$506)+1,1))*(IF('Gastos com Pessoal'!$M$7:$M$506&lt;=BB$3,('Gastos com Pessoal'!$N$7:$N$506)+1,1))*(IF('Gastos com Pessoal'!$S$7:$S$506&lt;=BB$3,('Gastos com Pessoal'!$T$7:$T$506)+1,1))*(IF('Gastos com Pessoal'!$Y$7:$Y$506&lt;=BB$3,('Gastos com Pessoal'!$Z$7:$Z$506)+1,1))*(IF('Gastos com Pessoal'!$AE$7:$AE$506&lt;=BB$3,('Gastos com Pessoal'!$AF$7:$AF$506)+1,1)),0)</f>
        <v>0</v>
      </c>
      <c r="BC40" s="188">
        <f t="array" aca="1" ref="BC40" ca="1">_xlfn.IFNA(SUM((BC$3&gt;='Gastos com Pessoal'!$E$7:$E$506)*(BC$3&lt;='Gastos com Pessoal'!$F$7:$F$506)*OFFSET('Encargos e Benefícios'!$D$5,1,MATCH($B40,'Encargos e Benefícios'!$E$5:$AB$5,0),500,1))*(IF('Gastos com Pessoal'!$G$7:$G$506&lt;=BC$3,('Gastos com Pessoal'!$H$7:$H$506)+1,1))*(IF('Gastos com Pessoal'!$M$7:$M$506&lt;=BC$3,('Gastos com Pessoal'!$N$7:$N$506)+1,1))*(IF('Gastos com Pessoal'!$S$7:$S$506&lt;=BC$3,('Gastos com Pessoal'!$T$7:$T$506)+1,1))*(IF('Gastos com Pessoal'!$Y$7:$Y$506&lt;=BC$3,('Gastos com Pessoal'!$Z$7:$Z$506)+1,1))*(IF('Gastos com Pessoal'!$AE$7:$AE$506&lt;=BC$3,('Gastos com Pessoal'!$AF$7:$AF$506)+1,1)),0)</f>
        <v>0</v>
      </c>
      <c r="BD40" s="188">
        <f t="array" aca="1" ref="BD40" ca="1">_xlfn.IFNA(SUM((BD$3&gt;='Gastos com Pessoal'!$E$7:$E$506)*(BD$3&lt;='Gastos com Pessoal'!$F$7:$F$506)*OFFSET('Encargos e Benefícios'!$D$5,1,MATCH($B40,'Encargos e Benefícios'!$E$5:$AB$5,0),500,1))*(IF('Gastos com Pessoal'!$G$7:$G$506&lt;=BD$3,('Gastos com Pessoal'!$H$7:$H$506)+1,1))*(IF('Gastos com Pessoal'!$M$7:$M$506&lt;=BD$3,('Gastos com Pessoal'!$N$7:$N$506)+1,1))*(IF('Gastos com Pessoal'!$S$7:$S$506&lt;=BD$3,('Gastos com Pessoal'!$T$7:$T$506)+1,1))*(IF('Gastos com Pessoal'!$Y$7:$Y$506&lt;=BD$3,('Gastos com Pessoal'!$Z$7:$Z$506)+1,1))*(IF('Gastos com Pessoal'!$AE$7:$AE$506&lt;=BD$3,('Gastos com Pessoal'!$AF$7:$AF$506)+1,1)),0)</f>
        <v>0</v>
      </c>
      <c r="BE40" s="188">
        <f t="array" aca="1" ref="BE40" ca="1">_xlfn.IFNA(SUM((BE$3&gt;='Gastos com Pessoal'!$E$7:$E$506)*(BE$3&lt;='Gastos com Pessoal'!$F$7:$F$506)*OFFSET('Encargos e Benefícios'!$D$5,1,MATCH($B40,'Encargos e Benefícios'!$E$5:$AB$5,0),500,1))*(IF('Gastos com Pessoal'!$G$7:$G$506&lt;=BE$3,('Gastos com Pessoal'!$H$7:$H$506)+1,1))*(IF('Gastos com Pessoal'!$M$7:$M$506&lt;=BE$3,('Gastos com Pessoal'!$N$7:$N$506)+1,1))*(IF('Gastos com Pessoal'!$S$7:$S$506&lt;=BE$3,('Gastos com Pessoal'!$T$7:$T$506)+1,1))*(IF('Gastos com Pessoal'!$Y$7:$Y$506&lt;=BE$3,('Gastos com Pessoal'!$Z$7:$Z$506)+1,1))*(IF('Gastos com Pessoal'!$AE$7:$AE$506&lt;=BE$3,('Gastos com Pessoal'!$AF$7:$AF$506)+1,1)),0)</f>
        <v>0</v>
      </c>
      <c r="BF40" s="188">
        <f t="array" aca="1" ref="BF40" ca="1">_xlfn.IFNA(SUM((BF$3&gt;='Gastos com Pessoal'!$E$7:$E$506)*(BF$3&lt;='Gastos com Pessoal'!$F$7:$F$506)*OFFSET('Encargos e Benefícios'!$D$5,1,MATCH($B40,'Encargos e Benefícios'!$E$5:$AB$5,0),500,1))*(IF('Gastos com Pessoal'!$G$7:$G$506&lt;=BF$3,('Gastos com Pessoal'!$H$7:$H$506)+1,1))*(IF('Gastos com Pessoal'!$M$7:$M$506&lt;=BF$3,('Gastos com Pessoal'!$N$7:$N$506)+1,1))*(IF('Gastos com Pessoal'!$S$7:$S$506&lt;=BF$3,('Gastos com Pessoal'!$T$7:$T$506)+1,1))*(IF('Gastos com Pessoal'!$Y$7:$Y$506&lt;=BF$3,('Gastos com Pessoal'!$Z$7:$Z$506)+1,1))*(IF('Gastos com Pessoal'!$AE$7:$AE$506&lt;=BF$3,('Gastos com Pessoal'!$AF$7:$AF$506)+1,1)),0)</f>
        <v>0</v>
      </c>
      <c r="BG40" s="188">
        <f t="array" aca="1" ref="BG40" ca="1">_xlfn.IFNA(SUM((BG$3&gt;='Gastos com Pessoal'!$E$7:$E$506)*(BG$3&lt;='Gastos com Pessoal'!$F$7:$F$506)*OFFSET('Encargos e Benefícios'!$D$5,1,MATCH($B40,'Encargos e Benefícios'!$E$5:$AB$5,0),500,1))*(IF('Gastos com Pessoal'!$G$7:$G$506&lt;=BG$3,('Gastos com Pessoal'!$H$7:$H$506)+1,1))*(IF('Gastos com Pessoal'!$M$7:$M$506&lt;=BG$3,('Gastos com Pessoal'!$N$7:$N$506)+1,1))*(IF('Gastos com Pessoal'!$S$7:$S$506&lt;=BG$3,('Gastos com Pessoal'!$T$7:$T$506)+1,1))*(IF('Gastos com Pessoal'!$Y$7:$Y$506&lt;=BG$3,('Gastos com Pessoal'!$Z$7:$Z$506)+1,1))*(IF('Gastos com Pessoal'!$AE$7:$AE$506&lt;=BG$3,('Gastos com Pessoal'!$AF$7:$AF$506)+1,1)),0)</f>
        <v>0</v>
      </c>
      <c r="BH40" s="188">
        <f t="array" aca="1" ref="BH40" ca="1">_xlfn.IFNA(SUM((BH$3&gt;='Gastos com Pessoal'!$E$7:$E$506)*(BH$3&lt;='Gastos com Pessoal'!$F$7:$F$506)*OFFSET('Encargos e Benefícios'!$D$5,1,MATCH($B40,'Encargos e Benefícios'!$E$5:$AB$5,0),500,1))*(IF('Gastos com Pessoal'!$G$7:$G$506&lt;=BH$3,('Gastos com Pessoal'!$H$7:$H$506)+1,1))*(IF('Gastos com Pessoal'!$M$7:$M$506&lt;=BH$3,('Gastos com Pessoal'!$N$7:$N$506)+1,1))*(IF('Gastos com Pessoal'!$S$7:$S$506&lt;=BH$3,('Gastos com Pessoal'!$T$7:$T$506)+1,1))*(IF('Gastos com Pessoal'!$Y$7:$Y$506&lt;=BH$3,('Gastos com Pessoal'!$Z$7:$Z$506)+1,1))*(IF('Gastos com Pessoal'!$AE$7:$AE$506&lt;=BH$3,('Gastos com Pessoal'!$AF$7:$AF$506)+1,1)),0)</f>
        <v>0</v>
      </c>
      <c r="BI40" s="188">
        <f t="array" aca="1" ref="BI40" ca="1">_xlfn.IFNA(SUM((BI$3&gt;='Gastos com Pessoal'!$E$7:$E$506)*(BI$3&lt;='Gastos com Pessoal'!$F$7:$F$506)*OFFSET('Encargos e Benefícios'!$D$5,1,MATCH($B40,'Encargos e Benefícios'!$E$5:$AB$5,0),500,1))*(IF('Gastos com Pessoal'!$G$7:$G$506&lt;=BI$3,('Gastos com Pessoal'!$H$7:$H$506)+1,1))*(IF('Gastos com Pessoal'!$M$7:$M$506&lt;=BI$3,('Gastos com Pessoal'!$N$7:$N$506)+1,1))*(IF('Gastos com Pessoal'!$S$7:$S$506&lt;=BI$3,('Gastos com Pessoal'!$T$7:$T$506)+1,1))*(IF('Gastos com Pessoal'!$Y$7:$Y$506&lt;=BI$3,('Gastos com Pessoal'!$Z$7:$Z$506)+1,1))*(IF('Gastos com Pessoal'!$AE$7:$AE$506&lt;=BI$3,('Gastos com Pessoal'!$AF$7:$AF$506)+1,1)),0)</f>
        <v>0</v>
      </c>
      <c r="BJ40" s="188">
        <f t="array" aca="1" ref="BJ40" ca="1">_xlfn.IFNA(SUM((BJ$3&gt;='Gastos com Pessoal'!$E$7:$E$506)*(BJ$3&lt;='Gastos com Pessoal'!$F$7:$F$506)*OFFSET('Encargos e Benefícios'!$D$5,1,MATCH($B40,'Encargos e Benefícios'!$E$5:$AB$5,0),500,1))*(IF('Gastos com Pessoal'!$G$7:$G$506&lt;=BJ$3,('Gastos com Pessoal'!$H$7:$H$506)+1,1))*(IF('Gastos com Pessoal'!$M$7:$M$506&lt;=BJ$3,('Gastos com Pessoal'!$N$7:$N$506)+1,1))*(IF('Gastos com Pessoal'!$S$7:$S$506&lt;=BJ$3,('Gastos com Pessoal'!$T$7:$T$506)+1,1))*(IF('Gastos com Pessoal'!$Y$7:$Y$506&lt;=BJ$3,('Gastos com Pessoal'!$Z$7:$Z$506)+1,1))*(IF('Gastos com Pessoal'!$AE$7:$AE$506&lt;=BJ$3,('Gastos com Pessoal'!$AF$7:$AF$506)+1,1)),0)</f>
        <v>0</v>
      </c>
      <c r="BK40" s="189">
        <f t="shared" ca="1" si="14"/>
        <v>2766249.7409931538</v>
      </c>
      <c r="BL40" s="136">
        <f t="shared" ca="1" si="15"/>
        <v>9.5241926281960376E-3</v>
      </c>
    </row>
    <row r="41" spans="1:64" s="160" customFormat="1" ht="23.25" customHeight="1">
      <c r="A41" s="198" t="s">
        <v>167</v>
      </c>
      <c r="B41" s="81" t="s">
        <v>168</v>
      </c>
      <c r="C41" s="188">
        <f t="array" aca="1" ref="C41" ca="1">_xlfn.IFNA(SUM((C$3&gt;='Gastos com Pessoal'!$E$7:$E$506)*(C$3&lt;='Gastos com Pessoal'!$F$7:$F$506)*OFFSET('Encargos e Benefícios'!$D$5,1,MATCH($B41,'Encargos e Benefícios'!$E$5:$AB$5,0),500,1))*(IF('Gastos com Pessoal'!$G$7:$G$506&lt;=C$3,('Gastos com Pessoal'!$H$7:$H$506)+1,1))*(IF('Gastos com Pessoal'!$M$7:$M$506&lt;=C$3,('Gastos com Pessoal'!$N$7:$N$506)+1,1))*(IF('Gastos com Pessoal'!$S$7:$S$506&lt;=C$3,('Gastos com Pessoal'!$T$7:$T$506)+1,1))*(IF('Gastos com Pessoal'!$Y$7:$Y$506&lt;=C$3,('Gastos com Pessoal'!$Z$7:$Z$506)+1,1))*(IF('Gastos com Pessoal'!$AE$7:$AE$506&lt;=C$3,('Gastos com Pessoal'!$AF$7:$AF$506)+1,1)),0)</f>
        <v>110774.22650000031</v>
      </c>
      <c r="D41" s="188">
        <f t="array" aca="1" ref="D41" ca="1">_xlfn.IFNA(SUM((D$3&gt;='Gastos com Pessoal'!$E$7:$E$506)*(D$3&lt;='Gastos com Pessoal'!$F$7:$F$506)*OFFSET('Encargos e Benefícios'!$D$5,1,MATCH($B41,'Encargos e Benefícios'!$E$5:$AB$5,0),500,1))*(IF('Gastos com Pessoal'!$G$7:$G$506&lt;=D$3,('Gastos com Pessoal'!$H$7:$H$506)+1,1))*(IF('Gastos com Pessoal'!$M$7:$M$506&lt;=D$3,('Gastos com Pessoal'!$N$7:$N$506)+1,1))*(IF('Gastos com Pessoal'!$S$7:$S$506&lt;=D$3,('Gastos com Pessoal'!$T$7:$T$506)+1,1))*(IF('Gastos com Pessoal'!$Y$7:$Y$506&lt;=D$3,('Gastos com Pessoal'!$Z$7:$Z$506)+1,1))*(IF('Gastos com Pessoal'!$AE$7:$AE$506&lt;=D$3,('Gastos com Pessoal'!$AF$7:$AF$506)+1,1)),0)</f>
        <v>111524.22650000031</v>
      </c>
      <c r="E41" s="188">
        <f t="array" aca="1" ref="E41" ca="1">_xlfn.IFNA(SUM((E$3&gt;='Gastos com Pessoal'!$E$7:$E$506)*(E$3&lt;='Gastos com Pessoal'!$F$7:$F$506)*OFFSET('Encargos e Benefícios'!$D$5,1,MATCH($B41,'Encargos e Benefícios'!$E$5:$AB$5,0),500,1))*(IF('Gastos com Pessoal'!$G$7:$G$506&lt;=E$3,('Gastos com Pessoal'!$H$7:$H$506)+1,1))*(IF('Gastos com Pessoal'!$M$7:$M$506&lt;=E$3,('Gastos com Pessoal'!$N$7:$N$506)+1,1))*(IF('Gastos com Pessoal'!$S$7:$S$506&lt;=E$3,('Gastos com Pessoal'!$T$7:$T$506)+1,1))*(IF('Gastos com Pessoal'!$Y$7:$Y$506&lt;=E$3,('Gastos com Pessoal'!$Z$7:$Z$506)+1,1))*(IF('Gastos com Pessoal'!$AE$7:$AE$506&lt;=E$3,('Gastos com Pessoal'!$AF$7:$AF$506)+1,1)),0)</f>
        <v>116907.01816666703</v>
      </c>
      <c r="F41" s="188">
        <f t="array" aca="1" ref="F41" ca="1">_xlfn.IFNA(SUM((F$3&gt;='Gastos com Pessoal'!$E$7:$E$506)*(F$3&lt;='Gastos com Pessoal'!$F$7:$F$506)*OFFSET('Encargos e Benefícios'!$D$5,1,MATCH($B41,'Encargos e Benefícios'!$E$5:$AB$5,0),500,1))*(IF('Gastos com Pessoal'!$G$7:$G$506&lt;=F$3,('Gastos com Pessoal'!$H$7:$H$506)+1,1))*(IF('Gastos com Pessoal'!$M$7:$M$506&lt;=F$3,('Gastos com Pessoal'!$N$7:$N$506)+1,1))*(IF('Gastos com Pessoal'!$S$7:$S$506&lt;=F$3,('Gastos com Pessoal'!$T$7:$T$506)+1,1))*(IF('Gastos com Pessoal'!$Y$7:$Y$506&lt;=F$3,('Gastos com Pessoal'!$Z$7:$Z$506)+1,1))*(IF('Gastos com Pessoal'!$AE$7:$AE$506&lt;=F$3,('Gastos com Pessoal'!$AF$7:$AF$506)+1,1)),0)</f>
        <v>117813.14983333369</v>
      </c>
      <c r="G41" s="188">
        <f t="array" aca="1" ref="G41" ca="1">_xlfn.IFNA(SUM((G$3&gt;='Gastos com Pessoal'!$E$7:$E$506)*(G$3&lt;='Gastos com Pessoal'!$F$7:$F$506)*OFFSET('Encargos e Benefícios'!$D$5,1,MATCH($B41,'Encargos e Benefícios'!$E$5:$AB$5,0),500,1))*(IF('Gastos com Pessoal'!$G$7:$G$506&lt;=G$3,('Gastos com Pessoal'!$H$7:$H$506)+1,1))*(IF('Gastos com Pessoal'!$M$7:$M$506&lt;=G$3,('Gastos com Pessoal'!$N$7:$N$506)+1,1))*(IF('Gastos com Pessoal'!$S$7:$S$506&lt;=G$3,('Gastos com Pessoal'!$T$7:$T$506)+1,1))*(IF('Gastos com Pessoal'!$Y$7:$Y$506&lt;=G$3,('Gastos com Pessoal'!$Z$7:$Z$506)+1,1))*(IF('Gastos com Pessoal'!$AE$7:$AE$506&lt;=G$3,('Gastos com Pessoal'!$AF$7:$AF$506)+1,1)),0)</f>
        <v>124693.43778360038</v>
      </c>
      <c r="H41" s="188">
        <f t="array" aca="1" ref="H41" ca="1">_xlfn.IFNA(SUM((H$3&gt;='Gastos com Pessoal'!$E$7:$E$506)*(H$3&lt;='Gastos com Pessoal'!$F$7:$F$506)*OFFSET('Encargos e Benefícios'!$D$5,1,MATCH($B41,'Encargos e Benefícios'!$E$5:$AB$5,0),500,1))*(IF('Gastos com Pessoal'!$G$7:$G$506&lt;=H$3,('Gastos com Pessoal'!$H$7:$H$506)+1,1))*(IF('Gastos com Pessoal'!$M$7:$M$506&lt;=H$3,('Gastos com Pessoal'!$N$7:$N$506)+1,1))*(IF('Gastos com Pessoal'!$S$7:$S$506&lt;=H$3,('Gastos com Pessoal'!$T$7:$T$506)+1,1))*(IF('Gastos com Pessoal'!$Y$7:$Y$506&lt;=H$3,('Gastos com Pessoal'!$Z$7:$Z$506)+1,1))*(IF('Gastos com Pessoal'!$AE$7:$AE$506&lt;=H$3,('Gastos com Pessoal'!$AF$7:$AF$506)+1,1)),0)</f>
        <v>130390.58448360044</v>
      </c>
      <c r="I41" s="188">
        <f t="array" aca="1" ref="I41" ca="1">_xlfn.IFNA(SUM((I$3&gt;='Gastos com Pessoal'!$E$7:$E$506)*(I$3&lt;='Gastos com Pessoal'!$F$7:$F$506)*OFFSET('Encargos e Benefícios'!$D$5,1,MATCH($B41,'Encargos e Benefícios'!$E$5:$AB$5,0),500,1))*(IF('Gastos com Pessoal'!$G$7:$G$506&lt;=I$3,('Gastos com Pessoal'!$H$7:$H$506)+1,1))*(IF('Gastos com Pessoal'!$M$7:$M$506&lt;=I$3,('Gastos com Pessoal'!$N$7:$N$506)+1,1))*(IF('Gastos com Pessoal'!$S$7:$S$506&lt;=I$3,('Gastos com Pessoal'!$T$7:$T$506)+1,1))*(IF('Gastos com Pessoal'!$Y$7:$Y$506&lt;=I$3,('Gastos com Pessoal'!$Z$7:$Z$506)+1,1))*(IF('Gastos com Pessoal'!$AE$7:$AE$506&lt;=I$3,('Gastos com Pessoal'!$AF$7:$AF$506)+1,1)),0)</f>
        <v>131405.64123960043</v>
      </c>
      <c r="J41" s="188">
        <f t="array" aca="1" ref="J41" ca="1">_xlfn.IFNA(SUM((J$3&gt;='Gastos com Pessoal'!$E$7:$E$506)*(J$3&lt;='Gastos com Pessoal'!$F$7:$F$506)*OFFSET('Encargos e Benefícios'!$D$5,1,MATCH($B41,'Encargos e Benefícios'!$E$5:$AB$5,0),500,1))*(IF('Gastos com Pessoal'!$G$7:$G$506&lt;=J$3,('Gastos com Pessoal'!$H$7:$H$506)+1,1))*(IF('Gastos com Pessoal'!$M$7:$M$506&lt;=J$3,('Gastos com Pessoal'!$N$7:$N$506)+1,1))*(IF('Gastos com Pessoal'!$S$7:$S$506&lt;=J$3,('Gastos com Pessoal'!$T$7:$T$506)+1,1))*(IF('Gastos com Pessoal'!$Y$7:$Y$506&lt;=J$3,('Gastos com Pessoal'!$Z$7:$Z$506)+1,1))*(IF('Gastos com Pessoal'!$AE$7:$AE$506&lt;=J$3,('Gastos com Pessoal'!$AF$7:$AF$506)+1,1)),0)</f>
        <v>131405.64123960043</v>
      </c>
      <c r="K41" s="188">
        <f t="array" aca="1" ref="K41" ca="1">_xlfn.IFNA(SUM((K$3&gt;='Gastos com Pessoal'!$E$7:$E$506)*(K$3&lt;='Gastos com Pessoal'!$F$7:$F$506)*OFFSET('Encargos e Benefícios'!$D$5,1,MATCH($B41,'Encargos e Benefícios'!$E$5:$AB$5,0),500,1))*(IF('Gastos com Pessoal'!$G$7:$G$506&lt;=K$3,('Gastos com Pessoal'!$H$7:$H$506)+1,1))*(IF('Gastos com Pessoal'!$M$7:$M$506&lt;=K$3,('Gastos com Pessoal'!$N$7:$N$506)+1,1))*(IF('Gastos com Pessoal'!$S$7:$S$506&lt;=K$3,('Gastos com Pessoal'!$T$7:$T$506)+1,1))*(IF('Gastos com Pessoal'!$Y$7:$Y$506&lt;=K$3,('Gastos com Pessoal'!$Z$7:$Z$506)+1,1))*(IF('Gastos com Pessoal'!$AE$7:$AE$506&lt;=K$3,('Gastos com Pessoal'!$AF$7:$AF$506)+1,1)),0)</f>
        <v>137510.59122360038</v>
      </c>
      <c r="L41" s="188">
        <f t="array" aca="1" ref="L41" ca="1">_xlfn.IFNA(SUM((L$3&gt;='Gastos com Pessoal'!$E$7:$E$506)*(L$3&lt;='Gastos com Pessoal'!$F$7:$F$506)*OFFSET('Encargos e Benefícios'!$D$5,1,MATCH($B41,'Encargos e Benefícios'!$E$5:$AB$5,0),500,1))*(IF('Gastos com Pessoal'!$G$7:$G$506&lt;=L$3,('Gastos com Pessoal'!$H$7:$H$506)+1,1))*(IF('Gastos com Pessoal'!$M$7:$M$506&lt;=L$3,('Gastos com Pessoal'!$N$7:$N$506)+1,1))*(IF('Gastos com Pessoal'!$S$7:$S$506&lt;=L$3,('Gastos com Pessoal'!$T$7:$T$506)+1,1))*(IF('Gastos com Pessoal'!$Y$7:$Y$506&lt;=L$3,('Gastos com Pessoal'!$Z$7:$Z$506)+1,1))*(IF('Gastos com Pessoal'!$AE$7:$AE$506&lt;=L$3,('Gastos com Pessoal'!$AF$7:$AF$506)+1,1)),0)</f>
        <v>138525.64797960036</v>
      </c>
      <c r="M41" s="188">
        <f t="array" aca="1" ref="M41" ca="1">_xlfn.IFNA(SUM((M$3&gt;='Gastos com Pessoal'!$E$7:$E$506)*(M$3&lt;='Gastos com Pessoal'!$F$7:$F$506)*OFFSET('Encargos e Benefícios'!$D$5,1,MATCH($B41,'Encargos e Benefícios'!$E$5:$AB$5,0),500,1))*(IF('Gastos com Pessoal'!$G$7:$G$506&lt;=M$3,('Gastos com Pessoal'!$H$7:$H$506)+1,1))*(IF('Gastos com Pessoal'!$M$7:$M$506&lt;=M$3,('Gastos com Pessoal'!$N$7:$N$506)+1,1))*(IF('Gastos com Pessoal'!$S$7:$S$506&lt;=M$3,('Gastos com Pessoal'!$T$7:$T$506)+1,1))*(IF('Gastos com Pessoal'!$Y$7:$Y$506&lt;=M$3,('Gastos com Pessoal'!$Z$7:$Z$506)+1,1))*(IF('Gastos com Pessoal'!$AE$7:$AE$506&lt;=M$3,('Gastos com Pessoal'!$AF$7:$AF$506)+1,1)),0)</f>
        <v>138525.64797960036</v>
      </c>
      <c r="N41" s="188">
        <f t="array" aca="1" ref="N41" ca="1">_xlfn.IFNA(SUM((N$3&gt;='Gastos com Pessoal'!$E$7:$E$506)*(N$3&lt;='Gastos com Pessoal'!$F$7:$F$506)*OFFSET('Encargos e Benefícios'!$D$5,1,MATCH($B41,'Encargos e Benefícios'!$E$5:$AB$5,0),500,1))*(IF('Gastos com Pessoal'!$G$7:$G$506&lt;=N$3,('Gastos com Pessoal'!$H$7:$H$506)+1,1))*(IF('Gastos com Pessoal'!$M$7:$M$506&lt;=N$3,('Gastos com Pessoal'!$N$7:$N$506)+1,1))*(IF('Gastos com Pessoal'!$S$7:$S$506&lt;=N$3,('Gastos com Pessoal'!$T$7:$T$506)+1,1))*(IF('Gastos com Pessoal'!$Y$7:$Y$506&lt;=N$3,('Gastos com Pessoal'!$Z$7:$Z$506)+1,1))*(IF('Gastos com Pessoal'!$AE$7:$AE$506&lt;=N$3,('Gastos com Pessoal'!$AF$7:$AF$506)+1,1)),0)</f>
        <v>144630.5979636003</v>
      </c>
      <c r="O41" s="188">
        <f t="array" aca="1" ref="O41" ca="1">_xlfn.IFNA(SUM((O$3&gt;='Gastos com Pessoal'!$E$7:$E$506)*(O$3&lt;='Gastos com Pessoal'!$F$7:$F$506)*OFFSET('Encargos e Benefícios'!$D$5,1,MATCH($B41,'Encargos e Benefícios'!$E$5:$AB$5,0),500,1))*(IF('Gastos com Pessoal'!$G$7:$G$506&lt;=O$3,('Gastos com Pessoal'!$H$7:$H$506)+1,1))*(IF('Gastos com Pessoal'!$M$7:$M$506&lt;=O$3,('Gastos com Pessoal'!$N$7:$N$506)+1,1))*(IF('Gastos com Pessoal'!$S$7:$S$506&lt;=O$3,('Gastos com Pessoal'!$T$7:$T$506)+1,1))*(IF('Gastos com Pessoal'!$Y$7:$Y$506&lt;=O$3,('Gastos com Pessoal'!$Z$7:$Z$506)+1,1))*(IF('Gastos com Pessoal'!$AE$7:$AE$506&lt;=O$3,('Gastos com Pessoal'!$AF$7:$AF$506)+1,1)),0)</f>
        <v>144630.5979636003</v>
      </c>
      <c r="P41" s="188">
        <f t="array" aca="1" ref="P41" ca="1">_xlfn.IFNA(SUM((P$3&gt;='Gastos com Pessoal'!$E$7:$E$506)*(P$3&lt;='Gastos com Pessoal'!$F$7:$F$506)*OFFSET('Encargos e Benefícios'!$D$5,1,MATCH($B41,'Encargos e Benefícios'!$E$5:$AB$5,0),500,1))*(IF('Gastos com Pessoal'!$G$7:$G$506&lt;=P$3,('Gastos com Pessoal'!$H$7:$H$506)+1,1))*(IF('Gastos com Pessoal'!$M$7:$M$506&lt;=P$3,('Gastos com Pessoal'!$N$7:$N$506)+1,1))*(IF('Gastos com Pessoal'!$S$7:$S$506&lt;=P$3,('Gastos com Pessoal'!$T$7:$T$506)+1,1))*(IF('Gastos com Pessoal'!$Y$7:$Y$506&lt;=P$3,('Gastos com Pessoal'!$Z$7:$Z$506)+1,1))*(IF('Gastos com Pessoal'!$AE$7:$AE$506&lt;=P$3,('Gastos com Pessoal'!$AF$7:$AF$506)+1,1)),0)</f>
        <v>144630.5979636003</v>
      </c>
      <c r="Q41" s="188">
        <f t="array" aca="1" ref="Q41" ca="1">_xlfn.IFNA(SUM((Q$3&gt;='Gastos com Pessoal'!$E$7:$E$506)*(Q$3&lt;='Gastos com Pessoal'!$F$7:$F$506)*OFFSET('Encargos e Benefícios'!$D$5,1,MATCH($B41,'Encargos e Benefícios'!$E$5:$AB$5,0),500,1))*(IF('Gastos com Pessoal'!$G$7:$G$506&lt;=Q$3,('Gastos com Pessoal'!$H$7:$H$506)+1,1))*(IF('Gastos com Pessoal'!$M$7:$M$506&lt;=Q$3,('Gastos com Pessoal'!$N$7:$N$506)+1,1))*(IF('Gastos com Pessoal'!$S$7:$S$506&lt;=Q$3,('Gastos com Pessoal'!$T$7:$T$506)+1,1))*(IF('Gastos com Pessoal'!$Y$7:$Y$506&lt;=Q$3,('Gastos com Pessoal'!$Z$7:$Z$506)+1,1))*(IF('Gastos com Pessoal'!$AE$7:$AE$506&lt;=Q$3,('Gastos com Pessoal'!$AF$7:$AF$506)+1,1)),0)</f>
        <v>144630.5979636003</v>
      </c>
      <c r="R41" s="188">
        <f t="array" aca="1" ref="R41" ca="1">_xlfn.IFNA(SUM((R$3&gt;='Gastos com Pessoal'!$E$7:$E$506)*(R$3&lt;='Gastos com Pessoal'!$F$7:$F$506)*OFFSET('Encargos e Benefícios'!$D$5,1,MATCH($B41,'Encargos e Benefícios'!$E$5:$AB$5,0),500,1))*(IF('Gastos com Pessoal'!$G$7:$G$506&lt;=R$3,('Gastos com Pessoal'!$H$7:$H$506)+1,1))*(IF('Gastos com Pessoal'!$M$7:$M$506&lt;=R$3,('Gastos com Pessoal'!$N$7:$N$506)+1,1))*(IF('Gastos com Pessoal'!$S$7:$S$506&lt;=R$3,('Gastos com Pessoal'!$T$7:$T$506)+1,1))*(IF('Gastos com Pessoal'!$Y$7:$Y$506&lt;=R$3,('Gastos com Pessoal'!$Z$7:$Z$506)+1,1))*(IF('Gastos com Pessoal'!$AE$7:$AE$506&lt;=R$3,('Gastos com Pessoal'!$AF$7:$AF$506)+1,1)),0)</f>
        <v>144630.5979636003</v>
      </c>
      <c r="S41" s="188">
        <f t="array" aca="1" ref="S41" ca="1">_xlfn.IFNA(SUM((S$3&gt;='Gastos com Pessoal'!$E$7:$E$506)*(S$3&lt;='Gastos com Pessoal'!$F$7:$F$506)*OFFSET('Encargos e Benefícios'!$D$5,1,MATCH($B41,'Encargos e Benefícios'!$E$5:$AB$5,0),500,1))*(IF('Gastos com Pessoal'!$G$7:$G$506&lt;=S$3,('Gastos com Pessoal'!$H$7:$H$506)+1,1))*(IF('Gastos com Pessoal'!$M$7:$M$506&lt;=S$3,('Gastos com Pessoal'!$N$7:$N$506)+1,1))*(IF('Gastos com Pessoal'!$S$7:$S$506&lt;=S$3,('Gastos com Pessoal'!$T$7:$T$506)+1,1))*(IF('Gastos com Pessoal'!$Y$7:$Y$506&lt;=S$3,('Gastos com Pessoal'!$Z$7:$Z$506)+1,1))*(IF('Gastos com Pessoal'!$AE$7:$AE$506&lt;=S$3,('Gastos com Pessoal'!$AF$7:$AF$506)+1,1)),0)</f>
        <v>153077.02488467455</v>
      </c>
      <c r="T41" s="188">
        <f t="array" aca="1" ref="T41" ca="1">_xlfn.IFNA(SUM((T$3&gt;='Gastos com Pessoal'!$E$7:$E$506)*(T$3&lt;='Gastos com Pessoal'!$F$7:$F$506)*OFFSET('Encargos e Benefícios'!$D$5,1,MATCH($B41,'Encargos e Benefícios'!$E$5:$AB$5,0),500,1))*(IF('Gastos com Pessoal'!$G$7:$G$506&lt;=T$3,('Gastos com Pessoal'!$H$7:$H$506)+1,1))*(IF('Gastos com Pessoal'!$M$7:$M$506&lt;=T$3,('Gastos com Pessoal'!$N$7:$N$506)+1,1))*(IF('Gastos com Pessoal'!$S$7:$S$506&lt;=T$3,('Gastos com Pessoal'!$T$7:$T$506)+1,1))*(IF('Gastos com Pessoal'!$Y$7:$Y$506&lt;=T$3,('Gastos com Pessoal'!$Z$7:$Z$506)+1,1))*(IF('Gastos com Pessoal'!$AE$7:$AE$506&lt;=T$3,('Gastos com Pessoal'!$AF$7:$AF$506)+1,1)),0)</f>
        <v>153077.02488467455</v>
      </c>
      <c r="U41" s="188">
        <f t="array" aca="1" ref="U41" ca="1">_xlfn.IFNA(SUM((U$3&gt;='Gastos com Pessoal'!$E$7:$E$506)*(U$3&lt;='Gastos com Pessoal'!$F$7:$F$506)*OFFSET('Encargos e Benefícios'!$D$5,1,MATCH($B41,'Encargos e Benefícios'!$E$5:$AB$5,0),500,1))*(IF('Gastos com Pessoal'!$G$7:$G$506&lt;=U$3,('Gastos com Pessoal'!$H$7:$H$506)+1,1))*(IF('Gastos com Pessoal'!$M$7:$M$506&lt;=U$3,('Gastos com Pessoal'!$N$7:$N$506)+1,1))*(IF('Gastos com Pessoal'!$S$7:$S$506&lt;=U$3,('Gastos com Pessoal'!$T$7:$T$506)+1,1))*(IF('Gastos com Pessoal'!$Y$7:$Y$506&lt;=U$3,('Gastos com Pessoal'!$Z$7:$Z$506)+1,1))*(IF('Gastos com Pessoal'!$AE$7:$AE$506&lt;=U$3,('Gastos com Pessoal'!$AF$7:$AF$506)+1,1)),0)</f>
        <v>153077.02488467455</v>
      </c>
      <c r="V41" s="188">
        <f t="array" aca="1" ref="V41" ca="1">_xlfn.IFNA(SUM((V$3&gt;='Gastos com Pessoal'!$E$7:$E$506)*(V$3&lt;='Gastos com Pessoal'!$F$7:$F$506)*OFFSET('Encargos e Benefícios'!$D$5,1,MATCH($B41,'Encargos e Benefícios'!$E$5:$AB$5,0),500,1))*(IF('Gastos com Pessoal'!$G$7:$G$506&lt;=V$3,('Gastos com Pessoal'!$H$7:$H$506)+1,1))*(IF('Gastos com Pessoal'!$M$7:$M$506&lt;=V$3,('Gastos com Pessoal'!$N$7:$N$506)+1,1))*(IF('Gastos com Pessoal'!$S$7:$S$506&lt;=V$3,('Gastos com Pessoal'!$T$7:$T$506)+1,1))*(IF('Gastos com Pessoal'!$Y$7:$Y$506&lt;=V$3,('Gastos com Pessoal'!$Z$7:$Z$506)+1,1))*(IF('Gastos com Pessoal'!$AE$7:$AE$506&lt;=V$3,('Gastos com Pessoal'!$AF$7:$AF$506)+1,1)),0)</f>
        <v>153077.02488467455</v>
      </c>
      <c r="W41" s="188">
        <f t="array" aca="1" ref="W41" ca="1">_xlfn.IFNA(SUM((W$3&gt;='Gastos com Pessoal'!$E$7:$E$506)*(W$3&lt;='Gastos com Pessoal'!$F$7:$F$506)*OFFSET('Encargos e Benefícios'!$D$5,1,MATCH($B41,'Encargos e Benefícios'!$E$5:$AB$5,0),500,1))*(IF('Gastos com Pessoal'!$G$7:$G$506&lt;=W$3,('Gastos com Pessoal'!$H$7:$H$506)+1,1))*(IF('Gastos com Pessoal'!$M$7:$M$506&lt;=W$3,('Gastos com Pessoal'!$N$7:$N$506)+1,1))*(IF('Gastos com Pessoal'!$S$7:$S$506&lt;=W$3,('Gastos com Pessoal'!$T$7:$T$506)+1,1))*(IF('Gastos com Pessoal'!$Y$7:$Y$506&lt;=W$3,('Gastos com Pessoal'!$Z$7:$Z$506)+1,1))*(IF('Gastos com Pessoal'!$AE$7:$AE$506&lt;=W$3,('Gastos com Pessoal'!$AF$7:$AF$506)+1,1)),0)</f>
        <v>153077.02488467455</v>
      </c>
      <c r="X41" s="188">
        <f t="array" aca="1" ref="X41" ca="1">_xlfn.IFNA(SUM((X$3&gt;='Gastos com Pessoal'!$E$7:$E$506)*(X$3&lt;='Gastos com Pessoal'!$F$7:$F$506)*OFFSET('Encargos e Benefícios'!$D$5,1,MATCH($B41,'Encargos e Benefícios'!$E$5:$AB$5,0),500,1))*(IF('Gastos com Pessoal'!$G$7:$G$506&lt;=X$3,('Gastos com Pessoal'!$H$7:$H$506)+1,1))*(IF('Gastos com Pessoal'!$M$7:$M$506&lt;=X$3,('Gastos com Pessoal'!$N$7:$N$506)+1,1))*(IF('Gastos com Pessoal'!$S$7:$S$506&lt;=X$3,('Gastos com Pessoal'!$T$7:$T$506)+1,1))*(IF('Gastos com Pessoal'!$Y$7:$Y$506&lt;=X$3,('Gastos com Pessoal'!$Z$7:$Z$506)+1,1))*(IF('Gastos com Pessoal'!$AE$7:$AE$506&lt;=X$3,('Gastos com Pessoal'!$AF$7:$AF$506)+1,1)),0)</f>
        <v>153077.02488467455</v>
      </c>
      <c r="Y41" s="188">
        <f t="array" aca="1" ref="Y41" ca="1">_xlfn.IFNA(SUM((Y$3&gt;='Gastos com Pessoal'!$E$7:$E$506)*(Y$3&lt;='Gastos com Pessoal'!$F$7:$F$506)*OFFSET('Encargos e Benefícios'!$D$5,1,MATCH($B41,'Encargos e Benefícios'!$E$5:$AB$5,0),500,1))*(IF('Gastos com Pessoal'!$G$7:$G$506&lt;=Y$3,('Gastos com Pessoal'!$H$7:$H$506)+1,1))*(IF('Gastos com Pessoal'!$M$7:$M$506&lt;=Y$3,('Gastos com Pessoal'!$N$7:$N$506)+1,1))*(IF('Gastos com Pessoal'!$S$7:$S$506&lt;=Y$3,('Gastos com Pessoal'!$T$7:$T$506)+1,1))*(IF('Gastos com Pessoal'!$Y$7:$Y$506&lt;=Y$3,('Gastos com Pessoal'!$Z$7:$Z$506)+1,1))*(IF('Gastos com Pessoal'!$AE$7:$AE$506&lt;=Y$3,('Gastos com Pessoal'!$AF$7:$AF$506)+1,1)),0)</f>
        <v>153077.02488467455</v>
      </c>
      <c r="Z41" s="188">
        <f t="array" aca="1" ref="Z41" ca="1">_xlfn.IFNA(SUM((Z$3&gt;='Gastos com Pessoal'!$E$7:$E$506)*(Z$3&lt;='Gastos com Pessoal'!$F$7:$F$506)*OFFSET('Encargos e Benefícios'!$D$5,1,MATCH($B41,'Encargos e Benefícios'!$E$5:$AB$5,0),500,1))*(IF('Gastos com Pessoal'!$G$7:$G$506&lt;=Z$3,('Gastos com Pessoal'!$H$7:$H$506)+1,1))*(IF('Gastos com Pessoal'!$M$7:$M$506&lt;=Z$3,('Gastos com Pessoal'!$N$7:$N$506)+1,1))*(IF('Gastos com Pessoal'!$S$7:$S$506&lt;=Z$3,('Gastos com Pessoal'!$T$7:$T$506)+1,1))*(IF('Gastos com Pessoal'!$Y$7:$Y$506&lt;=Z$3,('Gastos com Pessoal'!$Z$7:$Z$506)+1,1))*(IF('Gastos com Pessoal'!$AE$7:$AE$506&lt;=Z$3,('Gastos com Pessoal'!$AF$7:$AF$506)+1,1)),0)</f>
        <v>153077.02488467455</v>
      </c>
      <c r="AA41" s="188">
        <f t="array" aca="1" ref="AA41" ca="1">_xlfn.IFNA(SUM((AA$3&gt;='Gastos com Pessoal'!$E$7:$E$506)*(AA$3&lt;='Gastos com Pessoal'!$F$7:$F$506)*OFFSET('Encargos e Benefícios'!$D$5,1,MATCH($B41,'Encargos e Benefícios'!$E$5:$AB$5,0),500,1))*(IF('Gastos com Pessoal'!$G$7:$G$506&lt;=AA$3,('Gastos com Pessoal'!$H$7:$H$506)+1,1))*(IF('Gastos com Pessoal'!$M$7:$M$506&lt;=AA$3,('Gastos com Pessoal'!$N$7:$N$506)+1,1))*(IF('Gastos com Pessoal'!$S$7:$S$506&lt;=AA$3,('Gastos com Pessoal'!$T$7:$T$506)+1,1))*(IF('Gastos com Pessoal'!$Y$7:$Y$506&lt;=AA$3,('Gastos com Pessoal'!$Z$7:$Z$506)+1,1))*(IF('Gastos com Pessoal'!$AE$7:$AE$506&lt;=AA$3,('Gastos com Pessoal'!$AF$7:$AF$506)+1,1)),0)</f>
        <v>153077.02488467455</v>
      </c>
      <c r="AB41" s="188">
        <f t="array" aca="1" ref="AB41" ca="1">_xlfn.IFNA(SUM((AB$3&gt;='Gastos com Pessoal'!$E$7:$E$506)*(AB$3&lt;='Gastos com Pessoal'!$F$7:$F$506)*OFFSET('Encargos e Benefícios'!$D$5,1,MATCH($B41,'Encargos e Benefícios'!$E$5:$AB$5,0),500,1))*(IF('Gastos com Pessoal'!$G$7:$G$506&lt;=AB$3,('Gastos com Pessoal'!$H$7:$H$506)+1,1))*(IF('Gastos com Pessoal'!$M$7:$M$506&lt;=AB$3,('Gastos com Pessoal'!$N$7:$N$506)+1,1))*(IF('Gastos com Pessoal'!$S$7:$S$506&lt;=AB$3,('Gastos com Pessoal'!$T$7:$T$506)+1,1))*(IF('Gastos com Pessoal'!$Y$7:$Y$506&lt;=AB$3,('Gastos com Pessoal'!$Z$7:$Z$506)+1,1))*(IF('Gastos com Pessoal'!$AE$7:$AE$506&lt;=AB$3,('Gastos com Pessoal'!$AF$7:$AF$506)+1,1)),0)</f>
        <v>153077.02488467455</v>
      </c>
      <c r="AC41" s="188">
        <f t="array" aca="1" ref="AC41" ca="1">_xlfn.IFNA(SUM((AC$3&gt;='Gastos com Pessoal'!$E$7:$E$506)*(AC$3&lt;='Gastos com Pessoal'!$F$7:$F$506)*OFFSET('Encargos e Benefícios'!$D$5,1,MATCH($B41,'Encargos e Benefícios'!$E$5:$AB$5,0),500,1))*(IF('Gastos com Pessoal'!$G$7:$G$506&lt;=AC$3,('Gastos com Pessoal'!$H$7:$H$506)+1,1))*(IF('Gastos com Pessoal'!$M$7:$M$506&lt;=AC$3,('Gastos com Pessoal'!$N$7:$N$506)+1,1))*(IF('Gastos com Pessoal'!$S$7:$S$506&lt;=AC$3,('Gastos com Pessoal'!$T$7:$T$506)+1,1))*(IF('Gastos com Pessoal'!$Y$7:$Y$506&lt;=AC$3,('Gastos com Pessoal'!$Z$7:$Z$506)+1,1))*(IF('Gastos com Pessoal'!$AE$7:$AE$506&lt;=AC$3,('Gastos com Pessoal'!$AF$7:$AF$506)+1,1)),0)</f>
        <v>153077.02488467455</v>
      </c>
      <c r="AD41" s="188">
        <f t="array" aca="1" ref="AD41" ca="1">_xlfn.IFNA(SUM((AD$3&gt;='Gastos com Pessoal'!$E$7:$E$506)*(AD$3&lt;='Gastos com Pessoal'!$F$7:$F$506)*OFFSET('Encargos e Benefícios'!$D$5,1,MATCH($B41,'Encargos e Benefícios'!$E$5:$AB$5,0),500,1))*(IF('Gastos com Pessoal'!$G$7:$G$506&lt;=AD$3,('Gastos com Pessoal'!$H$7:$H$506)+1,1))*(IF('Gastos com Pessoal'!$M$7:$M$506&lt;=AD$3,('Gastos com Pessoal'!$N$7:$N$506)+1,1))*(IF('Gastos com Pessoal'!$S$7:$S$506&lt;=AD$3,('Gastos com Pessoal'!$T$7:$T$506)+1,1))*(IF('Gastos com Pessoal'!$Y$7:$Y$506&lt;=AD$3,('Gastos com Pessoal'!$Z$7:$Z$506)+1,1))*(IF('Gastos com Pessoal'!$AE$7:$AE$506&lt;=AD$3,('Gastos com Pessoal'!$AF$7:$AF$506)+1,1)),0)</f>
        <v>153077.02488467455</v>
      </c>
      <c r="AE41" s="188">
        <f t="array" aca="1" ref="AE41" ca="1">_xlfn.IFNA(SUM((AE$3&gt;='Gastos com Pessoal'!$E$7:$E$506)*(AE$3&lt;='Gastos com Pessoal'!$F$7:$F$506)*OFFSET('Encargos e Benefícios'!$D$5,1,MATCH($B41,'Encargos e Benefícios'!$E$5:$AB$5,0),500,1))*(IF('Gastos com Pessoal'!$G$7:$G$506&lt;=AE$3,('Gastos com Pessoal'!$H$7:$H$506)+1,1))*(IF('Gastos com Pessoal'!$M$7:$M$506&lt;=AE$3,('Gastos com Pessoal'!$N$7:$N$506)+1,1))*(IF('Gastos com Pessoal'!$S$7:$S$506&lt;=AE$3,('Gastos com Pessoal'!$T$7:$T$506)+1,1))*(IF('Gastos com Pessoal'!$Y$7:$Y$506&lt;=AE$3,('Gastos com Pessoal'!$Z$7:$Z$506)+1,1))*(IF('Gastos com Pessoal'!$AE$7:$AE$506&lt;=AE$3,('Gastos com Pessoal'!$AF$7:$AF$506)+1,1)),0)</f>
        <v>162016.72313793955</v>
      </c>
      <c r="AF41" s="188">
        <f t="array" aca="1" ref="AF41" ca="1">_xlfn.IFNA(SUM((AF$3&gt;='Gastos com Pessoal'!$E$7:$E$506)*(AF$3&lt;='Gastos com Pessoal'!$F$7:$F$506)*OFFSET('Encargos e Benefícios'!$D$5,1,MATCH($B41,'Encargos e Benefícios'!$E$5:$AB$5,0),500,1))*(IF('Gastos com Pessoal'!$G$7:$G$506&lt;=AF$3,('Gastos com Pessoal'!$H$7:$H$506)+1,1))*(IF('Gastos com Pessoal'!$M$7:$M$506&lt;=AF$3,('Gastos com Pessoal'!$N$7:$N$506)+1,1))*(IF('Gastos com Pessoal'!$S$7:$S$506&lt;=AF$3,('Gastos com Pessoal'!$T$7:$T$506)+1,1))*(IF('Gastos com Pessoal'!$Y$7:$Y$506&lt;=AF$3,('Gastos com Pessoal'!$Z$7:$Z$506)+1,1))*(IF('Gastos com Pessoal'!$AE$7:$AE$506&lt;=AF$3,('Gastos com Pessoal'!$AF$7:$AF$506)+1,1)),0)</f>
        <v>162016.72313793955</v>
      </c>
      <c r="AG41" s="188">
        <f t="array" aca="1" ref="AG41" ca="1">_xlfn.IFNA(SUM((AG$3&gt;='Gastos com Pessoal'!$E$7:$E$506)*(AG$3&lt;='Gastos com Pessoal'!$F$7:$F$506)*OFFSET('Encargos e Benefícios'!$D$5,1,MATCH($B41,'Encargos e Benefícios'!$E$5:$AB$5,0),500,1))*(IF('Gastos com Pessoal'!$G$7:$G$506&lt;=AG$3,('Gastos com Pessoal'!$H$7:$H$506)+1,1))*(IF('Gastos com Pessoal'!$M$7:$M$506&lt;=AG$3,('Gastos com Pessoal'!$N$7:$N$506)+1,1))*(IF('Gastos com Pessoal'!$S$7:$S$506&lt;=AG$3,('Gastos com Pessoal'!$T$7:$T$506)+1,1))*(IF('Gastos com Pessoal'!$Y$7:$Y$506&lt;=AG$3,('Gastos com Pessoal'!$Z$7:$Z$506)+1,1))*(IF('Gastos com Pessoal'!$AE$7:$AE$506&lt;=AG$3,('Gastos com Pessoal'!$AF$7:$AF$506)+1,1)),0)</f>
        <v>162016.72313793955</v>
      </c>
      <c r="AH41" s="188">
        <f t="array" aca="1" ref="AH41" ca="1">_xlfn.IFNA(SUM((AH$3&gt;='Gastos com Pessoal'!$E$7:$E$506)*(AH$3&lt;='Gastos com Pessoal'!$F$7:$F$506)*OFFSET('Encargos e Benefícios'!$D$5,1,MATCH($B41,'Encargos e Benefícios'!$E$5:$AB$5,0),500,1))*(IF('Gastos com Pessoal'!$G$7:$G$506&lt;=AH$3,('Gastos com Pessoal'!$H$7:$H$506)+1,1))*(IF('Gastos com Pessoal'!$M$7:$M$506&lt;=AH$3,('Gastos com Pessoal'!$N$7:$N$506)+1,1))*(IF('Gastos com Pessoal'!$S$7:$S$506&lt;=AH$3,('Gastos com Pessoal'!$T$7:$T$506)+1,1))*(IF('Gastos com Pessoal'!$Y$7:$Y$506&lt;=AH$3,('Gastos com Pessoal'!$Z$7:$Z$506)+1,1))*(IF('Gastos com Pessoal'!$AE$7:$AE$506&lt;=AH$3,('Gastos com Pessoal'!$AF$7:$AF$506)+1,1)),0)</f>
        <v>162016.72313793955</v>
      </c>
      <c r="AI41" s="188">
        <f t="array" aca="1" ref="AI41" ca="1">_xlfn.IFNA(SUM((AI$3&gt;='Gastos com Pessoal'!$E$7:$E$506)*(AI$3&lt;='Gastos com Pessoal'!$F$7:$F$506)*OFFSET('Encargos e Benefícios'!$D$5,1,MATCH($B41,'Encargos e Benefícios'!$E$5:$AB$5,0),500,1))*(IF('Gastos com Pessoal'!$G$7:$G$506&lt;=AI$3,('Gastos com Pessoal'!$H$7:$H$506)+1,1))*(IF('Gastos com Pessoal'!$M$7:$M$506&lt;=AI$3,('Gastos com Pessoal'!$N$7:$N$506)+1,1))*(IF('Gastos com Pessoal'!$S$7:$S$506&lt;=AI$3,('Gastos com Pessoal'!$T$7:$T$506)+1,1))*(IF('Gastos com Pessoal'!$Y$7:$Y$506&lt;=AI$3,('Gastos com Pessoal'!$Z$7:$Z$506)+1,1))*(IF('Gastos com Pessoal'!$AE$7:$AE$506&lt;=AI$3,('Gastos com Pessoal'!$AF$7:$AF$506)+1,1)),0)</f>
        <v>162016.72313793955</v>
      </c>
      <c r="AJ41" s="188">
        <f t="array" aca="1" ref="AJ41" ca="1">_xlfn.IFNA(SUM((AJ$3&gt;='Gastos com Pessoal'!$E$7:$E$506)*(AJ$3&lt;='Gastos com Pessoal'!$F$7:$F$506)*OFFSET('Encargos e Benefícios'!$D$5,1,MATCH($B41,'Encargos e Benefícios'!$E$5:$AB$5,0),500,1))*(IF('Gastos com Pessoal'!$G$7:$G$506&lt;=AJ$3,('Gastos com Pessoal'!$H$7:$H$506)+1,1))*(IF('Gastos com Pessoal'!$M$7:$M$506&lt;=AJ$3,('Gastos com Pessoal'!$N$7:$N$506)+1,1))*(IF('Gastos com Pessoal'!$S$7:$S$506&lt;=AJ$3,('Gastos com Pessoal'!$T$7:$T$506)+1,1))*(IF('Gastos com Pessoal'!$Y$7:$Y$506&lt;=AJ$3,('Gastos com Pessoal'!$Z$7:$Z$506)+1,1))*(IF('Gastos com Pessoal'!$AE$7:$AE$506&lt;=AJ$3,('Gastos com Pessoal'!$AF$7:$AF$506)+1,1)),0)</f>
        <v>162016.72313793955</v>
      </c>
      <c r="AK41" s="188">
        <f t="array" aca="1" ref="AK41" ca="1">_xlfn.IFNA(SUM((AK$3&gt;='Gastos com Pessoal'!$E$7:$E$506)*(AK$3&lt;='Gastos com Pessoal'!$F$7:$F$506)*OFFSET('Encargos e Benefícios'!$D$5,1,MATCH($B41,'Encargos e Benefícios'!$E$5:$AB$5,0),500,1))*(IF('Gastos com Pessoal'!$G$7:$G$506&lt;=AK$3,('Gastos com Pessoal'!$H$7:$H$506)+1,1))*(IF('Gastos com Pessoal'!$M$7:$M$506&lt;=AK$3,('Gastos com Pessoal'!$N$7:$N$506)+1,1))*(IF('Gastos com Pessoal'!$S$7:$S$506&lt;=AK$3,('Gastos com Pessoal'!$T$7:$T$506)+1,1))*(IF('Gastos com Pessoal'!$Y$7:$Y$506&lt;=AK$3,('Gastos com Pessoal'!$Z$7:$Z$506)+1,1))*(IF('Gastos com Pessoal'!$AE$7:$AE$506&lt;=AK$3,('Gastos com Pessoal'!$AF$7:$AF$506)+1,1)),0)</f>
        <v>162016.72313793955</v>
      </c>
      <c r="AL41" s="188">
        <f t="array" aca="1" ref="AL41" ca="1">_xlfn.IFNA(SUM((AL$3&gt;='Gastos com Pessoal'!$E$7:$E$506)*(AL$3&lt;='Gastos com Pessoal'!$F$7:$F$506)*OFFSET('Encargos e Benefícios'!$D$5,1,MATCH($B41,'Encargos e Benefícios'!$E$5:$AB$5,0),500,1))*(IF('Gastos com Pessoal'!$G$7:$G$506&lt;=AL$3,('Gastos com Pessoal'!$H$7:$H$506)+1,1))*(IF('Gastos com Pessoal'!$M$7:$M$506&lt;=AL$3,('Gastos com Pessoal'!$N$7:$N$506)+1,1))*(IF('Gastos com Pessoal'!$S$7:$S$506&lt;=AL$3,('Gastos com Pessoal'!$T$7:$T$506)+1,1))*(IF('Gastos com Pessoal'!$Y$7:$Y$506&lt;=AL$3,('Gastos com Pessoal'!$Z$7:$Z$506)+1,1))*(IF('Gastos com Pessoal'!$AE$7:$AE$506&lt;=AL$3,('Gastos com Pessoal'!$AF$7:$AF$506)+1,1)),0)</f>
        <v>162016.72313793955</v>
      </c>
      <c r="AM41" s="188">
        <f t="array" aca="1" ref="AM41" ca="1">_xlfn.IFNA(SUM((AM$3&gt;='Gastos com Pessoal'!$E$7:$E$506)*(AM$3&lt;='Gastos com Pessoal'!$F$7:$F$506)*OFFSET('Encargos e Benefícios'!$D$5,1,MATCH($B41,'Encargos e Benefícios'!$E$5:$AB$5,0),500,1))*(IF('Gastos com Pessoal'!$G$7:$G$506&lt;=AM$3,('Gastos com Pessoal'!$H$7:$H$506)+1,1))*(IF('Gastos com Pessoal'!$M$7:$M$506&lt;=AM$3,('Gastos com Pessoal'!$N$7:$N$506)+1,1))*(IF('Gastos com Pessoal'!$S$7:$S$506&lt;=AM$3,('Gastos com Pessoal'!$T$7:$T$506)+1,1))*(IF('Gastos com Pessoal'!$Y$7:$Y$506&lt;=AM$3,('Gastos com Pessoal'!$Z$7:$Z$506)+1,1))*(IF('Gastos com Pessoal'!$AE$7:$AE$506&lt;=AM$3,('Gastos com Pessoal'!$AF$7:$AF$506)+1,1)),0)</f>
        <v>162016.72313793955</v>
      </c>
      <c r="AN41" s="188">
        <f t="array" aca="1" ref="AN41" ca="1">_xlfn.IFNA(SUM((AN$3&gt;='Gastos com Pessoal'!$E$7:$E$506)*(AN$3&lt;='Gastos com Pessoal'!$F$7:$F$506)*OFFSET('Encargos e Benefícios'!$D$5,1,MATCH($B41,'Encargos e Benefícios'!$E$5:$AB$5,0),500,1))*(IF('Gastos com Pessoal'!$G$7:$G$506&lt;=AN$3,('Gastos com Pessoal'!$H$7:$H$506)+1,1))*(IF('Gastos com Pessoal'!$M$7:$M$506&lt;=AN$3,('Gastos com Pessoal'!$N$7:$N$506)+1,1))*(IF('Gastos com Pessoal'!$S$7:$S$506&lt;=AN$3,('Gastos com Pessoal'!$T$7:$T$506)+1,1))*(IF('Gastos com Pessoal'!$Y$7:$Y$506&lt;=AN$3,('Gastos com Pessoal'!$Z$7:$Z$506)+1,1))*(IF('Gastos com Pessoal'!$AE$7:$AE$506&lt;=AN$3,('Gastos com Pessoal'!$AF$7:$AF$506)+1,1)),0)</f>
        <v>162016.72313793955</v>
      </c>
      <c r="AO41" s="188">
        <f t="array" aca="1" ref="AO41" ca="1">_xlfn.IFNA(SUM((AO$3&gt;='Gastos com Pessoal'!$E$7:$E$506)*(AO$3&lt;='Gastos com Pessoal'!$F$7:$F$506)*OFFSET('Encargos e Benefícios'!$D$5,1,MATCH($B41,'Encargos e Benefícios'!$E$5:$AB$5,0),500,1))*(IF('Gastos com Pessoal'!$G$7:$G$506&lt;=AO$3,('Gastos com Pessoal'!$H$7:$H$506)+1,1))*(IF('Gastos com Pessoal'!$M$7:$M$506&lt;=AO$3,('Gastos com Pessoal'!$N$7:$N$506)+1,1))*(IF('Gastos com Pessoal'!$S$7:$S$506&lt;=AO$3,('Gastos com Pessoal'!$T$7:$T$506)+1,1))*(IF('Gastos com Pessoal'!$Y$7:$Y$506&lt;=AO$3,('Gastos com Pessoal'!$Z$7:$Z$506)+1,1))*(IF('Gastos com Pessoal'!$AE$7:$AE$506&lt;=AO$3,('Gastos com Pessoal'!$AF$7:$AF$506)+1,1)),0)</f>
        <v>162016.72313793955</v>
      </c>
      <c r="AP41" s="188">
        <f t="array" aca="1" ref="AP41" ca="1">_xlfn.IFNA(SUM((AP$3&gt;='Gastos com Pessoal'!$E$7:$E$506)*(AP$3&lt;='Gastos com Pessoal'!$F$7:$F$506)*OFFSET('Encargos e Benefícios'!$D$5,1,MATCH($B41,'Encargos e Benefícios'!$E$5:$AB$5,0),500,1))*(IF('Gastos com Pessoal'!$G$7:$G$506&lt;=AP$3,('Gastos com Pessoal'!$H$7:$H$506)+1,1))*(IF('Gastos com Pessoal'!$M$7:$M$506&lt;=AP$3,('Gastos com Pessoal'!$N$7:$N$506)+1,1))*(IF('Gastos com Pessoal'!$S$7:$S$506&lt;=AP$3,('Gastos com Pessoal'!$T$7:$T$506)+1,1))*(IF('Gastos com Pessoal'!$Y$7:$Y$506&lt;=AP$3,('Gastos com Pessoal'!$Z$7:$Z$506)+1,1))*(IF('Gastos com Pessoal'!$AE$7:$AE$506&lt;=AP$3,('Gastos com Pessoal'!$AF$7:$AF$506)+1,1)),0)</f>
        <v>162016.72313793955</v>
      </c>
      <c r="AQ41" s="188">
        <f t="array" aca="1" ref="AQ41" ca="1">_xlfn.IFNA(SUM((AQ$3&gt;='Gastos com Pessoal'!$E$7:$E$506)*(AQ$3&lt;='Gastos com Pessoal'!$F$7:$F$506)*OFFSET('Encargos e Benefícios'!$D$5,1,MATCH($B41,'Encargos e Benefícios'!$E$5:$AB$5,0),500,1))*(IF('Gastos com Pessoal'!$G$7:$G$506&lt;=AQ$3,('Gastos com Pessoal'!$H$7:$H$506)+1,1))*(IF('Gastos com Pessoal'!$M$7:$M$506&lt;=AQ$3,('Gastos com Pessoal'!$N$7:$N$506)+1,1))*(IF('Gastos com Pessoal'!$S$7:$S$506&lt;=AQ$3,('Gastos com Pessoal'!$T$7:$T$506)+1,1))*(IF('Gastos com Pessoal'!$Y$7:$Y$506&lt;=AQ$3,('Gastos com Pessoal'!$Z$7:$Z$506)+1,1))*(IF('Gastos com Pessoal'!$AE$7:$AE$506&lt;=AQ$3,('Gastos com Pessoal'!$AF$7:$AF$506)+1,1)),0)</f>
        <v>171478.49976919522</v>
      </c>
      <c r="AR41" s="188">
        <f t="array" aca="1" ref="AR41" ca="1">_xlfn.IFNA(SUM((AR$3&gt;='Gastos com Pessoal'!$E$7:$E$506)*(AR$3&lt;='Gastos com Pessoal'!$F$7:$F$506)*OFFSET('Encargos e Benefícios'!$D$5,1,MATCH($B41,'Encargos e Benefícios'!$E$5:$AB$5,0),500,1))*(IF('Gastos com Pessoal'!$G$7:$G$506&lt;=AR$3,('Gastos com Pessoal'!$H$7:$H$506)+1,1))*(IF('Gastos com Pessoal'!$M$7:$M$506&lt;=AR$3,('Gastos com Pessoal'!$N$7:$N$506)+1,1))*(IF('Gastos com Pessoal'!$S$7:$S$506&lt;=AR$3,('Gastos com Pessoal'!$T$7:$T$506)+1,1))*(IF('Gastos com Pessoal'!$Y$7:$Y$506&lt;=AR$3,('Gastos com Pessoal'!$Z$7:$Z$506)+1,1))*(IF('Gastos com Pessoal'!$AE$7:$AE$506&lt;=AR$3,('Gastos com Pessoal'!$AF$7:$AF$506)+1,1)),0)</f>
        <v>171478.49976919522</v>
      </c>
      <c r="AS41" s="188">
        <f t="array" aca="1" ref="AS41" ca="1">_xlfn.IFNA(SUM((AS$3&gt;='Gastos com Pessoal'!$E$7:$E$506)*(AS$3&lt;='Gastos com Pessoal'!$F$7:$F$506)*OFFSET('Encargos e Benefícios'!$D$5,1,MATCH($B41,'Encargos e Benefícios'!$E$5:$AB$5,0),500,1))*(IF('Gastos com Pessoal'!$G$7:$G$506&lt;=AS$3,('Gastos com Pessoal'!$H$7:$H$506)+1,1))*(IF('Gastos com Pessoal'!$M$7:$M$506&lt;=AS$3,('Gastos com Pessoal'!$N$7:$N$506)+1,1))*(IF('Gastos com Pessoal'!$S$7:$S$506&lt;=AS$3,('Gastos com Pessoal'!$T$7:$T$506)+1,1))*(IF('Gastos com Pessoal'!$Y$7:$Y$506&lt;=AS$3,('Gastos com Pessoal'!$Z$7:$Z$506)+1,1))*(IF('Gastos com Pessoal'!$AE$7:$AE$506&lt;=AS$3,('Gastos com Pessoal'!$AF$7:$AF$506)+1,1)),0)</f>
        <v>171478.49976919522</v>
      </c>
      <c r="AT41" s="188">
        <f t="array" aca="1" ref="AT41" ca="1">_xlfn.IFNA(SUM((AT$3&gt;='Gastos com Pessoal'!$E$7:$E$506)*(AT$3&lt;='Gastos com Pessoal'!$F$7:$F$506)*OFFSET('Encargos e Benefícios'!$D$5,1,MATCH($B41,'Encargos e Benefícios'!$E$5:$AB$5,0),500,1))*(IF('Gastos com Pessoal'!$G$7:$G$506&lt;=AT$3,('Gastos com Pessoal'!$H$7:$H$506)+1,1))*(IF('Gastos com Pessoal'!$M$7:$M$506&lt;=AT$3,('Gastos com Pessoal'!$N$7:$N$506)+1,1))*(IF('Gastos com Pessoal'!$S$7:$S$506&lt;=AT$3,('Gastos com Pessoal'!$T$7:$T$506)+1,1))*(IF('Gastos com Pessoal'!$Y$7:$Y$506&lt;=AT$3,('Gastos com Pessoal'!$Z$7:$Z$506)+1,1))*(IF('Gastos com Pessoal'!$AE$7:$AE$506&lt;=AT$3,('Gastos com Pessoal'!$AF$7:$AF$506)+1,1)),0)</f>
        <v>171478.49976919522</v>
      </c>
      <c r="AU41" s="188">
        <f t="array" aca="1" ref="AU41" ca="1">_xlfn.IFNA(SUM((AU$3&gt;='Gastos com Pessoal'!$E$7:$E$506)*(AU$3&lt;='Gastos com Pessoal'!$F$7:$F$506)*OFFSET('Encargos e Benefícios'!$D$5,1,MATCH($B41,'Encargos e Benefícios'!$E$5:$AB$5,0),500,1))*(IF('Gastos com Pessoal'!$G$7:$G$506&lt;=AU$3,('Gastos com Pessoal'!$H$7:$H$506)+1,1))*(IF('Gastos com Pessoal'!$M$7:$M$506&lt;=AU$3,('Gastos com Pessoal'!$N$7:$N$506)+1,1))*(IF('Gastos com Pessoal'!$S$7:$S$506&lt;=AU$3,('Gastos com Pessoal'!$T$7:$T$506)+1,1))*(IF('Gastos com Pessoal'!$Y$7:$Y$506&lt;=AU$3,('Gastos com Pessoal'!$Z$7:$Z$506)+1,1))*(IF('Gastos com Pessoal'!$AE$7:$AE$506&lt;=AU$3,('Gastos com Pessoal'!$AF$7:$AF$506)+1,1)),0)</f>
        <v>171478.49976919522</v>
      </c>
      <c r="AV41" s="188">
        <f t="array" aca="1" ref="AV41" ca="1">_xlfn.IFNA(SUM((AV$3&gt;='Gastos com Pessoal'!$E$7:$E$506)*(AV$3&lt;='Gastos com Pessoal'!$F$7:$F$506)*OFFSET('Encargos e Benefícios'!$D$5,1,MATCH($B41,'Encargos e Benefícios'!$E$5:$AB$5,0),500,1))*(IF('Gastos com Pessoal'!$G$7:$G$506&lt;=AV$3,('Gastos com Pessoal'!$H$7:$H$506)+1,1))*(IF('Gastos com Pessoal'!$M$7:$M$506&lt;=AV$3,('Gastos com Pessoal'!$N$7:$N$506)+1,1))*(IF('Gastos com Pessoal'!$S$7:$S$506&lt;=AV$3,('Gastos com Pessoal'!$T$7:$T$506)+1,1))*(IF('Gastos com Pessoal'!$Y$7:$Y$506&lt;=AV$3,('Gastos com Pessoal'!$Z$7:$Z$506)+1,1))*(IF('Gastos com Pessoal'!$AE$7:$AE$506&lt;=AV$3,('Gastos com Pessoal'!$AF$7:$AF$506)+1,1)),0)</f>
        <v>171478.49976919522</v>
      </c>
      <c r="AW41" s="188">
        <f t="array" aca="1" ref="AW41" ca="1">_xlfn.IFNA(SUM((AW$3&gt;='Gastos com Pessoal'!$E$7:$E$506)*(AW$3&lt;='Gastos com Pessoal'!$F$7:$F$506)*OFFSET('Encargos e Benefícios'!$D$5,1,MATCH($B41,'Encargos e Benefícios'!$E$5:$AB$5,0),500,1))*(IF('Gastos com Pessoal'!$G$7:$G$506&lt;=AW$3,('Gastos com Pessoal'!$H$7:$H$506)+1,1))*(IF('Gastos com Pessoal'!$M$7:$M$506&lt;=AW$3,('Gastos com Pessoal'!$N$7:$N$506)+1,1))*(IF('Gastos com Pessoal'!$S$7:$S$506&lt;=AW$3,('Gastos com Pessoal'!$T$7:$T$506)+1,1))*(IF('Gastos com Pessoal'!$Y$7:$Y$506&lt;=AW$3,('Gastos com Pessoal'!$Z$7:$Z$506)+1,1))*(IF('Gastos com Pessoal'!$AE$7:$AE$506&lt;=AW$3,('Gastos com Pessoal'!$AF$7:$AF$506)+1,1)),0)</f>
        <v>171478.49976919522</v>
      </c>
      <c r="AX41" s="188">
        <f t="array" aca="1" ref="AX41" ca="1">_xlfn.IFNA(SUM((AX$3&gt;='Gastos com Pessoal'!$E$7:$E$506)*(AX$3&lt;='Gastos com Pessoal'!$F$7:$F$506)*OFFSET('Encargos e Benefícios'!$D$5,1,MATCH($B41,'Encargos e Benefícios'!$E$5:$AB$5,0),500,1))*(IF('Gastos com Pessoal'!$G$7:$G$506&lt;=AX$3,('Gastos com Pessoal'!$H$7:$H$506)+1,1))*(IF('Gastos com Pessoal'!$M$7:$M$506&lt;=AX$3,('Gastos com Pessoal'!$N$7:$N$506)+1,1))*(IF('Gastos com Pessoal'!$S$7:$S$506&lt;=AX$3,('Gastos com Pessoal'!$T$7:$T$506)+1,1))*(IF('Gastos com Pessoal'!$Y$7:$Y$506&lt;=AX$3,('Gastos com Pessoal'!$Z$7:$Z$506)+1,1))*(IF('Gastos com Pessoal'!$AE$7:$AE$506&lt;=AX$3,('Gastos com Pessoal'!$AF$7:$AF$506)+1,1)),0)</f>
        <v>0</v>
      </c>
      <c r="AY41" s="188">
        <f t="array" aca="1" ref="AY41" ca="1">_xlfn.IFNA(SUM((AY$3&gt;='Gastos com Pessoal'!$E$7:$E$506)*(AY$3&lt;='Gastos com Pessoal'!$F$7:$F$506)*OFFSET('Encargos e Benefícios'!$D$5,1,MATCH($B41,'Encargos e Benefícios'!$E$5:$AB$5,0),500,1))*(IF('Gastos com Pessoal'!$G$7:$G$506&lt;=AY$3,('Gastos com Pessoal'!$H$7:$H$506)+1,1))*(IF('Gastos com Pessoal'!$M$7:$M$506&lt;=AY$3,('Gastos com Pessoal'!$N$7:$N$506)+1,1))*(IF('Gastos com Pessoal'!$S$7:$S$506&lt;=AY$3,('Gastos com Pessoal'!$T$7:$T$506)+1,1))*(IF('Gastos com Pessoal'!$Y$7:$Y$506&lt;=AY$3,('Gastos com Pessoal'!$Z$7:$Z$506)+1,1))*(IF('Gastos com Pessoal'!$AE$7:$AE$506&lt;=AY$3,('Gastos com Pessoal'!$AF$7:$AF$506)+1,1)),0)</f>
        <v>0</v>
      </c>
      <c r="AZ41" s="188">
        <v>0</v>
      </c>
      <c r="BA41" s="188">
        <f ca="1">10%*BA20</f>
        <v>0</v>
      </c>
      <c r="BB41" s="188">
        <v>0</v>
      </c>
      <c r="BC41" s="188">
        <v>0</v>
      </c>
      <c r="BD41" s="188">
        <v>0</v>
      </c>
      <c r="BE41" s="188">
        <v>0</v>
      </c>
      <c r="BF41" s="188">
        <v>0</v>
      </c>
      <c r="BG41" s="188">
        <v>0</v>
      </c>
      <c r="BH41" s="188">
        <v>0</v>
      </c>
      <c r="BI41" s="188">
        <v>0</v>
      </c>
      <c r="BJ41" s="188">
        <v>0</v>
      </c>
      <c r="BK41" s="189">
        <f t="shared" ca="1" si="14"/>
        <v>7094103.2774029402</v>
      </c>
      <c r="BL41" s="136">
        <f t="shared" ca="1" si="15"/>
        <v>2.4424984171546517E-2</v>
      </c>
    </row>
    <row r="42" spans="1:64" s="160" customFormat="1" ht="23.25" customHeight="1">
      <c r="A42" s="198" t="s">
        <v>169</v>
      </c>
      <c r="B42" s="81" t="s">
        <v>170</v>
      </c>
      <c r="C42" s="188"/>
      <c r="D42" s="188">
        <v>21000</v>
      </c>
      <c r="E42" s="188">
        <v>6500</v>
      </c>
      <c r="F42" s="188">
        <v>6500</v>
      </c>
      <c r="G42" s="188">
        <v>6500</v>
      </c>
      <c r="H42" s="188">
        <v>6500</v>
      </c>
      <c r="I42" s="188">
        <v>6500</v>
      </c>
      <c r="J42" s="188">
        <v>6500</v>
      </c>
      <c r="K42" s="188">
        <v>6500</v>
      </c>
      <c r="L42" s="188">
        <v>6500</v>
      </c>
      <c r="M42" s="188">
        <v>6500</v>
      </c>
      <c r="N42" s="188">
        <v>8000</v>
      </c>
      <c r="O42" s="188">
        <v>21004.05</v>
      </c>
      <c r="P42" s="188">
        <v>23000</v>
      </c>
      <c r="Q42" s="188">
        <v>6500</v>
      </c>
      <c r="R42" s="188">
        <v>6500</v>
      </c>
      <c r="S42" s="188">
        <v>6500</v>
      </c>
      <c r="T42" s="188">
        <v>6500</v>
      </c>
      <c r="U42" s="188">
        <v>6500</v>
      </c>
      <c r="V42" s="188">
        <v>6500</v>
      </c>
      <c r="W42" s="188">
        <v>6500</v>
      </c>
      <c r="X42" s="188">
        <v>6500</v>
      </c>
      <c r="Y42" s="188">
        <v>6500</v>
      </c>
      <c r="Z42" s="188">
        <v>6500</v>
      </c>
      <c r="AA42" s="188">
        <v>23000</v>
      </c>
      <c r="AB42" s="188">
        <v>5500</v>
      </c>
      <c r="AC42" s="188">
        <v>5500</v>
      </c>
      <c r="AD42" s="188">
        <v>5500</v>
      </c>
      <c r="AE42" s="188">
        <v>5500</v>
      </c>
      <c r="AF42" s="188">
        <v>5500</v>
      </c>
      <c r="AG42" s="188">
        <v>5500</v>
      </c>
      <c r="AH42" s="188">
        <v>5500</v>
      </c>
      <c r="AI42" s="188">
        <v>5500</v>
      </c>
      <c r="AJ42" s="188">
        <v>5500</v>
      </c>
      <c r="AK42" s="188">
        <v>23528.959999999999</v>
      </c>
      <c r="AL42" s="188">
        <v>17055.12</v>
      </c>
      <c r="AM42" s="188">
        <v>23000</v>
      </c>
      <c r="AN42" s="188">
        <v>4000</v>
      </c>
      <c r="AO42" s="188">
        <v>4000</v>
      </c>
      <c r="AP42" s="188">
        <v>4000</v>
      </c>
      <c r="AQ42" s="188">
        <v>4000</v>
      </c>
      <c r="AR42" s="188">
        <v>4000</v>
      </c>
      <c r="AS42" s="188">
        <v>4000</v>
      </c>
      <c r="AT42" s="188">
        <v>4000</v>
      </c>
      <c r="AU42" s="188">
        <v>4000</v>
      </c>
      <c r="AV42" s="188">
        <v>24903.05</v>
      </c>
      <c r="AW42" s="188">
        <v>18051.14</v>
      </c>
      <c r="AX42" s="188"/>
      <c r="AY42" s="188"/>
      <c r="AZ42" s="188"/>
      <c r="BA42" s="188"/>
      <c r="BB42" s="188"/>
      <c r="BC42" s="188"/>
      <c r="BD42" s="188"/>
      <c r="BE42" s="188"/>
      <c r="BF42" s="188"/>
      <c r="BG42" s="188"/>
      <c r="BH42" s="188"/>
      <c r="BI42" s="188"/>
      <c r="BJ42" s="188"/>
      <c r="BK42" s="189">
        <f t="shared" si="14"/>
        <v>407542.32</v>
      </c>
      <c r="BL42" s="136">
        <f t="shared" ca="1" si="15"/>
        <v>1.4031674372352041E-3</v>
      </c>
    </row>
    <row r="43" spans="1:64" s="160" customFormat="1" ht="23.25" customHeight="1">
      <c r="A43" s="198" t="s">
        <v>171</v>
      </c>
      <c r="B43" s="81" t="s">
        <v>172</v>
      </c>
      <c r="C43" s="188">
        <v>0</v>
      </c>
      <c r="D43" s="188">
        <v>0</v>
      </c>
      <c r="E43" s="188">
        <v>0</v>
      </c>
      <c r="F43" s="188">
        <v>0</v>
      </c>
      <c r="G43" s="188">
        <v>0</v>
      </c>
      <c r="H43" s="188">
        <v>0</v>
      </c>
      <c r="I43" s="188">
        <v>0</v>
      </c>
      <c r="J43" s="188">
        <v>0</v>
      </c>
      <c r="K43" s="188">
        <v>0</v>
      </c>
      <c r="L43" s="188">
        <v>0</v>
      </c>
      <c r="M43" s="188">
        <v>0</v>
      </c>
      <c r="N43" s="188">
        <v>0</v>
      </c>
      <c r="O43" s="188">
        <v>0</v>
      </c>
      <c r="P43" s="188">
        <v>0</v>
      </c>
      <c r="Q43" s="188">
        <v>0</v>
      </c>
      <c r="R43" s="188">
        <v>0</v>
      </c>
      <c r="S43" s="188">
        <v>0</v>
      </c>
      <c r="T43" s="188">
        <v>0</v>
      </c>
      <c r="U43" s="188">
        <v>0</v>
      </c>
      <c r="V43" s="188">
        <v>0</v>
      </c>
      <c r="W43" s="188">
        <v>0</v>
      </c>
      <c r="X43" s="188">
        <v>0</v>
      </c>
      <c r="Y43" s="188">
        <v>0</v>
      </c>
      <c r="Z43" s="188">
        <v>0</v>
      </c>
      <c r="AA43" s="188">
        <v>0</v>
      </c>
      <c r="AB43" s="188">
        <v>0</v>
      </c>
      <c r="AC43" s="188">
        <v>0</v>
      </c>
      <c r="AD43" s="188">
        <v>0</v>
      </c>
      <c r="AE43" s="188">
        <v>0</v>
      </c>
      <c r="AF43" s="188">
        <v>0</v>
      </c>
      <c r="AG43" s="188">
        <v>0</v>
      </c>
      <c r="AH43" s="188">
        <v>0</v>
      </c>
      <c r="AI43" s="188">
        <v>0</v>
      </c>
      <c r="AJ43" s="188">
        <v>0</v>
      </c>
      <c r="AK43" s="188">
        <v>0</v>
      </c>
      <c r="AL43" s="188">
        <v>0</v>
      </c>
      <c r="AM43" s="188">
        <v>0</v>
      </c>
      <c r="AN43" s="188">
        <v>0</v>
      </c>
      <c r="AO43" s="188">
        <v>0</v>
      </c>
      <c r="AP43" s="188">
        <v>0</v>
      </c>
      <c r="AQ43" s="188">
        <v>0</v>
      </c>
      <c r="AR43" s="188">
        <v>0</v>
      </c>
      <c r="AS43" s="188">
        <v>0</v>
      </c>
      <c r="AT43" s="188">
        <v>0</v>
      </c>
      <c r="AU43" s="188">
        <v>0</v>
      </c>
      <c r="AV43" s="188">
        <v>0</v>
      </c>
      <c r="AW43" s="188">
        <v>0</v>
      </c>
      <c r="AX43" s="188">
        <v>0</v>
      </c>
      <c r="AY43" s="188">
        <v>0</v>
      </c>
      <c r="AZ43" s="188">
        <v>0</v>
      </c>
      <c r="BA43" s="188">
        <v>0</v>
      </c>
      <c r="BB43" s="188">
        <v>0</v>
      </c>
      <c r="BC43" s="188">
        <v>0</v>
      </c>
      <c r="BD43" s="188">
        <v>0</v>
      </c>
      <c r="BE43" s="188">
        <v>0</v>
      </c>
      <c r="BF43" s="188">
        <v>0</v>
      </c>
      <c r="BG43" s="188">
        <v>0</v>
      </c>
      <c r="BH43" s="188">
        <v>0</v>
      </c>
      <c r="BI43" s="188">
        <v>0</v>
      </c>
      <c r="BJ43" s="188">
        <v>0</v>
      </c>
      <c r="BK43" s="189">
        <f t="shared" si="14"/>
        <v>0</v>
      </c>
      <c r="BL43" s="136">
        <f t="shared" ca="1" si="15"/>
        <v>0</v>
      </c>
    </row>
    <row r="44" spans="1:64" s="160" customFormat="1" ht="23.25" customHeight="1">
      <c r="A44" s="198" t="s">
        <v>173</v>
      </c>
      <c r="B44" s="81" t="s">
        <v>174</v>
      </c>
      <c r="C44" s="188">
        <v>0</v>
      </c>
      <c r="D44" s="188">
        <v>0</v>
      </c>
      <c r="E44" s="188">
        <v>0</v>
      </c>
      <c r="F44" s="188">
        <v>0</v>
      </c>
      <c r="G44" s="188">
        <v>0</v>
      </c>
      <c r="H44" s="188">
        <v>0</v>
      </c>
      <c r="I44" s="188">
        <v>0</v>
      </c>
      <c r="J44" s="188">
        <v>0</v>
      </c>
      <c r="K44" s="188">
        <v>0</v>
      </c>
      <c r="L44" s="188">
        <v>0</v>
      </c>
      <c r="M44" s="188">
        <v>0</v>
      </c>
      <c r="N44" s="188">
        <v>0</v>
      </c>
      <c r="O44" s="188">
        <v>0</v>
      </c>
      <c r="P44" s="188">
        <v>0</v>
      </c>
      <c r="Q44" s="188">
        <v>0</v>
      </c>
      <c r="R44" s="188">
        <v>0</v>
      </c>
      <c r="S44" s="188">
        <v>0</v>
      </c>
      <c r="T44" s="188">
        <v>0</v>
      </c>
      <c r="U44" s="188">
        <v>0</v>
      </c>
      <c r="V44" s="188">
        <v>0</v>
      </c>
      <c r="W44" s="188">
        <v>0</v>
      </c>
      <c r="X44" s="188">
        <v>0</v>
      </c>
      <c r="Y44" s="188">
        <v>0</v>
      </c>
      <c r="Z44" s="188">
        <v>0</v>
      </c>
      <c r="AA44" s="188">
        <v>0</v>
      </c>
      <c r="AB44" s="188">
        <v>0</v>
      </c>
      <c r="AC44" s="188">
        <v>0</v>
      </c>
      <c r="AD44" s="188">
        <v>0</v>
      </c>
      <c r="AE44" s="188">
        <v>0</v>
      </c>
      <c r="AF44" s="188">
        <v>0</v>
      </c>
      <c r="AG44" s="188">
        <v>0</v>
      </c>
      <c r="AH44" s="188">
        <v>0</v>
      </c>
      <c r="AI44" s="188">
        <v>0</v>
      </c>
      <c r="AJ44" s="188">
        <v>0</v>
      </c>
      <c r="AK44" s="188">
        <v>0</v>
      </c>
      <c r="AL44" s="188">
        <v>0</v>
      </c>
      <c r="AM44" s="188">
        <v>0</v>
      </c>
      <c r="AN44" s="188">
        <v>0</v>
      </c>
      <c r="AO44" s="188"/>
      <c r="AP44" s="188">
        <v>0</v>
      </c>
      <c r="AQ44" s="188">
        <v>0</v>
      </c>
      <c r="AR44" s="188">
        <v>0</v>
      </c>
      <c r="AS44" s="188">
        <v>0</v>
      </c>
      <c r="AT44" s="188">
        <v>0</v>
      </c>
      <c r="AU44" s="188">
        <v>0</v>
      </c>
      <c r="AV44" s="188">
        <v>0</v>
      </c>
      <c r="AW44" s="188">
        <v>0</v>
      </c>
      <c r="AX44" s="188">
        <v>0</v>
      </c>
      <c r="AY44" s="188">
        <v>0</v>
      </c>
      <c r="AZ44" s="188">
        <v>0</v>
      </c>
      <c r="BA44" s="188">
        <v>0</v>
      </c>
      <c r="BB44" s="188">
        <v>0</v>
      </c>
      <c r="BC44" s="188">
        <v>0</v>
      </c>
      <c r="BD44" s="188">
        <v>0</v>
      </c>
      <c r="BE44" s="188">
        <v>0</v>
      </c>
      <c r="BF44" s="188">
        <v>0</v>
      </c>
      <c r="BG44" s="188">
        <v>0</v>
      </c>
      <c r="BH44" s="188">
        <v>0</v>
      </c>
      <c r="BI44" s="188">
        <v>0</v>
      </c>
      <c r="BJ44" s="188">
        <v>0</v>
      </c>
      <c r="BK44" s="189">
        <f t="shared" si="14"/>
        <v>0</v>
      </c>
      <c r="BL44" s="136">
        <f t="shared" ca="1" si="15"/>
        <v>0</v>
      </c>
    </row>
    <row r="45" spans="1:64" s="160" customFormat="1" ht="23.25" customHeight="1">
      <c r="A45" s="198" t="s">
        <v>175</v>
      </c>
      <c r="B45" s="209" t="s">
        <v>176</v>
      </c>
      <c r="C45" s="188">
        <f t="array" aca="1" ref="C45" ca="1">_xlfn.IFNA(SUM((C$3&gt;='Gastos com Pessoal'!$E$7:$E$506)*(C$3&lt;='Gastos com Pessoal'!$F$7:$F$506)*OFFSET('Encargos e Benefícios'!$D$5,1,MATCH($B45,'Encargos e Benefícios'!$E$5:$AB$5,0),500,1))*(IF('Gastos com Pessoal'!$G$7:$G$506&lt;=C$3,('Gastos com Pessoal'!$H$7:$H$506)+1,1))*(IF('Gastos com Pessoal'!$M$7:$M$506&lt;=C$3,('Gastos com Pessoal'!$N$7:$N$506)+1,1))*(IF('Gastos com Pessoal'!$S$7:$S$506&lt;=C$3,('Gastos com Pessoal'!$T$7:$T$506)+1,1))*(IF('Gastos com Pessoal'!$Y$7:$Y$506&lt;=C$3,('Gastos com Pessoal'!$Z$7:$Z$506)+1,1))*(IF('Gastos com Pessoal'!$AE$7:$AE$506&lt;=C$3,('Gastos com Pessoal'!$AF$7:$AF$506)+1,1)),0)</f>
        <v>66657.514560000011</v>
      </c>
      <c r="D45" s="188">
        <f t="array" aca="1" ref="D45" ca="1">_xlfn.IFNA(SUM((D$3&gt;='Gastos com Pessoal'!$E$7:$E$506)*(D$3&lt;='Gastos com Pessoal'!$F$7:$F$506)*OFFSET('Encargos e Benefícios'!$D$5,1,MATCH($B45,'Encargos e Benefícios'!$E$5:$AB$5,0),500,1))*(IF('Gastos com Pessoal'!$G$7:$G$506&lt;=D$3,('Gastos com Pessoal'!$H$7:$H$506)+1,1))*(IF('Gastos com Pessoal'!$M$7:$M$506&lt;=D$3,('Gastos com Pessoal'!$N$7:$N$506)+1,1))*(IF('Gastos com Pessoal'!$S$7:$S$506&lt;=D$3,('Gastos com Pessoal'!$T$7:$T$506)+1,1))*(IF('Gastos com Pessoal'!$Y$7:$Y$506&lt;=D$3,('Gastos com Pessoal'!$Z$7:$Z$506)+1,1))*(IF('Gastos com Pessoal'!$AE$7:$AE$506&lt;=D$3,('Gastos com Pessoal'!$AF$7:$AF$506)+1,1)),0)</f>
        <v>66657.514560000011</v>
      </c>
      <c r="E45" s="188">
        <f t="array" aca="1" ref="E45" ca="1">_xlfn.IFNA(SUM((E$3&gt;='Gastos com Pessoal'!$E$7:$E$506)*(E$3&lt;='Gastos com Pessoal'!$F$7:$F$506)*OFFSET('Encargos e Benefícios'!$D$5,1,MATCH($B45,'Encargos e Benefícios'!$E$5:$AB$5,0),500,1))*(IF('Gastos com Pessoal'!$G$7:$G$506&lt;=E$3,('Gastos com Pessoal'!$H$7:$H$506)+1,1))*(IF('Gastos com Pessoal'!$M$7:$M$506&lt;=E$3,('Gastos com Pessoal'!$N$7:$N$506)+1,1))*(IF('Gastos com Pessoal'!$S$7:$S$506&lt;=E$3,('Gastos com Pessoal'!$T$7:$T$506)+1,1))*(IF('Gastos com Pessoal'!$Y$7:$Y$506&lt;=E$3,('Gastos com Pessoal'!$Z$7:$Z$506)+1,1))*(IF('Gastos com Pessoal'!$AE$7:$AE$506&lt;=E$3,('Gastos com Pessoal'!$AF$7:$AF$506)+1,1)),0)</f>
        <v>70739.61440000002</v>
      </c>
      <c r="F45" s="188">
        <f t="array" aca="1" ref="F45" ca="1">_xlfn.IFNA(SUM((F$3&gt;='Gastos com Pessoal'!$E$7:$E$506)*(F$3&lt;='Gastos com Pessoal'!$F$7:$F$506)*OFFSET('Encargos e Benefícios'!$D$5,1,MATCH($B45,'Encargos e Benefícios'!$E$5:$AB$5,0),500,1))*(IF('Gastos com Pessoal'!$G$7:$G$506&lt;=F$3,('Gastos com Pessoal'!$H$7:$H$506)+1,1))*(IF('Gastos com Pessoal'!$M$7:$M$506&lt;=F$3,('Gastos com Pessoal'!$N$7:$N$506)+1,1))*(IF('Gastos com Pessoal'!$S$7:$S$506&lt;=F$3,('Gastos com Pessoal'!$T$7:$T$506)+1,1))*(IF('Gastos com Pessoal'!$Y$7:$Y$506&lt;=F$3,('Gastos com Pessoal'!$Z$7:$Z$506)+1,1))*(IF('Gastos com Pessoal'!$AE$7:$AE$506&lt;=F$3,('Gastos com Pessoal'!$AF$7:$AF$506)+1,1)),0)</f>
        <v>70739.61440000002</v>
      </c>
      <c r="G45" s="188">
        <f t="array" aca="1" ref="G45" ca="1">_xlfn.IFNA(SUM((G$3&gt;='Gastos com Pessoal'!$E$7:$E$506)*(G$3&lt;='Gastos com Pessoal'!$F$7:$F$506)*OFFSET('Encargos e Benefícios'!$D$5,1,MATCH($B45,'Encargos e Benefícios'!$E$5:$AB$5,0),500,1))*(IF('Gastos com Pessoal'!$G$7:$G$506&lt;=G$3,('Gastos com Pessoal'!$H$7:$H$506)+1,1))*(IF('Gastos com Pessoal'!$M$7:$M$506&lt;=G$3,('Gastos com Pessoal'!$N$7:$N$506)+1,1))*(IF('Gastos com Pessoal'!$S$7:$S$506&lt;=G$3,('Gastos com Pessoal'!$T$7:$T$506)+1,1))*(IF('Gastos com Pessoal'!$Y$7:$Y$506&lt;=G$3,('Gastos com Pessoal'!$Z$7:$Z$506)+1,1))*(IF('Gastos com Pessoal'!$AE$7:$AE$506&lt;=G$3,('Gastos com Pessoal'!$AF$7:$AF$506)+1,1)),0)</f>
        <v>74870.807880960027</v>
      </c>
      <c r="H45" s="188">
        <f t="array" aca="1" ref="H45" ca="1">_xlfn.IFNA(SUM((H$3&gt;='Gastos com Pessoal'!$E$7:$E$506)*(H$3&lt;='Gastos com Pessoal'!$F$7:$F$506)*OFFSET('Encargos e Benefícios'!$D$5,1,MATCH($B45,'Encargos e Benefícios'!$E$5:$AB$5,0),500,1))*(IF('Gastos com Pessoal'!$G$7:$G$506&lt;=H$3,('Gastos com Pessoal'!$H$7:$H$506)+1,1))*(IF('Gastos com Pessoal'!$M$7:$M$506&lt;=H$3,('Gastos com Pessoal'!$N$7:$N$506)+1,1))*(IF('Gastos com Pessoal'!$S$7:$S$506&lt;=H$3,('Gastos com Pessoal'!$T$7:$T$506)+1,1))*(IF('Gastos com Pessoal'!$Y$7:$Y$506&lt;=H$3,('Gastos com Pessoal'!$Z$7:$Z$506)+1,1))*(IF('Gastos com Pessoal'!$AE$7:$AE$506&lt;=H$3,('Gastos com Pessoal'!$AF$7:$AF$506)+1,1)),0)</f>
        <v>79191.302351616032</v>
      </c>
      <c r="I45" s="188">
        <f t="array" aca="1" ref="I45" ca="1">_xlfn.IFNA(SUM((I$3&gt;='Gastos com Pessoal'!$E$7:$E$506)*(I$3&lt;='Gastos com Pessoal'!$F$7:$F$506)*OFFSET('Encargos e Benefícios'!$D$5,1,MATCH($B45,'Encargos e Benefícios'!$E$5:$AB$5,0),500,1))*(IF('Gastos com Pessoal'!$G$7:$G$506&lt;=I$3,('Gastos com Pessoal'!$H$7:$H$506)+1,1))*(IF('Gastos com Pessoal'!$M$7:$M$506&lt;=I$3,('Gastos com Pessoal'!$N$7:$N$506)+1,1))*(IF('Gastos com Pessoal'!$S$7:$S$506&lt;=I$3,('Gastos com Pessoal'!$T$7:$T$506)+1,1))*(IF('Gastos com Pessoal'!$Y$7:$Y$506&lt;=I$3,('Gastos com Pessoal'!$Z$7:$Z$506)+1,1))*(IF('Gastos com Pessoal'!$AE$7:$AE$506&lt;=I$3,('Gastos com Pessoal'!$AF$7:$AF$506)+1,1)),0)</f>
        <v>79191.302351616032</v>
      </c>
      <c r="J45" s="188">
        <f t="array" aca="1" ref="J45" ca="1">_xlfn.IFNA(SUM((J$3&gt;='Gastos com Pessoal'!$E$7:$E$506)*(J$3&lt;='Gastos com Pessoal'!$F$7:$F$506)*OFFSET('Encargos e Benefícios'!$D$5,1,MATCH($B45,'Encargos e Benefícios'!$E$5:$AB$5,0),500,1))*(IF('Gastos com Pessoal'!$G$7:$G$506&lt;=J$3,('Gastos com Pessoal'!$H$7:$H$506)+1,1))*(IF('Gastos com Pessoal'!$M$7:$M$506&lt;=J$3,('Gastos com Pessoal'!$N$7:$N$506)+1,1))*(IF('Gastos com Pessoal'!$S$7:$S$506&lt;=J$3,('Gastos com Pessoal'!$T$7:$T$506)+1,1))*(IF('Gastos com Pessoal'!$Y$7:$Y$506&lt;=J$3,('Gastos com Pessoal'!$Z$7:$Z$506)+1,1))*(IF('Gastos com Pessoal'!$AE$7:$AE$506&lt;=J$3,('Gastos com Pessoal'!$AF$7:$AF$506)+1,1)),0)</f>
        <v>79191.302351616032</v>
      </c>
      <c r="K45" s="188">
        <f t="array" aca="1" ref="K45" ca="1">_xlfn.IFNA(SUM((K$3&gt;='Gastos com Pessoal'!$E$7:$E$506)*(K$3&lt;='Gastos com Pessoal'!$F$7:$F$506)*OFFSET('Encargos e Benefícios'!$D$5,1,MATCH($B45,'Encargos e Benefícios'!$E$5:$AB$5,0),500,1))*(IF('Gastos com Pessoal'!$G$7:$G$506&lt;=K$3,('Gastos com Pessoal'!$H$7:$H$506)+1,1))*(IF('Gastos com Pessoal'!$M$7:$M$506&lt;=K$3,('Gastos com Pessoal'!$N$7:$N$506)+1,1))*(IF('Gastos com Pessoal'!$S$7:$S$506&lt;=K$3,('Gastos com Pessoal'!$T$7:$T$506)+1,1))*(IF('Gastos com Pessoal'!$Y$7:$Y$506&lt;=K$3,('Gastos com Pessoal'!$Z$7:$Z$506)+1,1))*(IF('Gastos com Pessoal'!$AE$7:$AE$506&lt;=K$3,('Gastos com Pessoal'!$AF$7:$AF$506)+1,1)),0)</f>
        <v>83764.113561856051</v>
      </c>
      <c r="L45" s="188">
        <f t="array" aca="1" ref="L45" ca="1">_xlfn.IFNA(SUM((L$3&gt;='Gastos com Pessoal'!$E$7:$E$506)*(L$3&lt;='Gastos com Pessoal'!$F$7:$F$506)*OFFSET('Encargos e Benefícios'!$D$5,1,MATCH($B45,'Encargos e Benefícios'!$E$5:$AB$5,0),500,1))*(IF('Gastos com Pessoal'!$G$7:$G$506&lt;=L$3,('Gastos com Pessoal'!$H$7:$H$506)+1,1))*(IF('Gastos com Pessoal'!$M$7:$M$506&lt;=L$3,('Gastos com Pessoal'!$N$7:$N$506)+1,1))*(IF('Gastos com Pessoal'!$S$7:$S$506&lt;=L$3,('Gastos com Pessoal'!$T$7:$T$506)+1,1))*(IF('Gastos com Pessoal'!$Y$7:$Y$506&lt;=L$3,('Gastos com Pessoal'!$Z$7:$Z$506)+1,1))*(IF('Gastos com Pessoal'!$AE$7:$AE$506&lt;=L$3,('Gastos com Pessoal'!$AF$7:$AF$506)+1,1)),0)</f>
        <v>83764.113561856051</v>
      </c>
      <c r="M45" s="188">
        <f t="array" aca="1" ref="M45" ca="1">_xlfn.IFNA(SUM((M$3&gt;='Gastos com Pessoal'!$E$7:$E$506)*(M$3&lt;='Gastos com Pessoal'!$F$7:$F$506)*OFFSET('Encargos e Benefícios'!$D$5,1,MATCH($B45,'Encargos e Benefícios'!$E$5:$AB$5,0),500,1))*(IF('Gastos com Pessoal'!$G$7:$G$506&lt;=M$3,('Gastos com Pessoal'!$H$7:$H$506)+1,1))*(IF('Gastos com Pessoal'!$M$7:$M$506&lt;=M$3,('Gastos com Pessoal'!$N$7:$N$506)+1,1))*(IF('Gastos com Pessoal'!$S$7:$S$506&lt;=M$3,('Gastos com Pessoal'!$T$7:$T$506)+1,1))*(IF('Gastos com Pessoal'!$Y$7:$Y$506&lt;=M$3,('Gastos com Pessoal'!$Z$7:$Z$506)+1,1))*(IF('Gastos com Pessoal'!$AE$7:$AE$506&lt;=M$3,('Gastos com Pessoal'!$AF$7:$AF$506)+1,1)),0)</f>
        <v>83764.113561856051</v>
      </c>
      <c r="N45" s="188">
        <f t="array" aca="1" ref="N45" ca="1">_xlfn.IFNA(SUM((N$3&gt;='Gastos com Pessoal'!$E$7:$E$506)*(N$3&lt;='Gastos com Pessoal'!$F$7:$F$506)*OFFSET('Encargos e Benefícios'!$D$5,1,MATCH($B45,'Encargos e Benefícios'!$E$5:$AB$5,0),500,1))*(IF('Gastos com Pessoal'!$G$7:$G$506&lt;=N$3,('Gastos com Pessoal'!$H$7:$H$506)+1,1))*(IF('Gastos com Pessoal'!$M$7:$M$506&lt;=N$3,('Gastos com Pessoal'!$N$7:$N$506)+1,1))*(IF('Gastos com Pessoal'!$S$7:$S$506&lt;=N$3,('Gastos com Pessoal'!$T$7:$T$506)+1,1))*(IF('Gastos com Pessoal'!$Y$7:$Y$506&lt;=N$3,('Gastos com Pessoal'!$Z$7:$Z$506)+1,1))*(IF('Gastos com Pessoal'!$AE$7:$AE$506&lt;=N$3,('Gastos com Pessoal'!$AF$7:$AF$506)+1,1)),0)</f>
        <v>88336.92477209607</v>
      </c>
      <c r="O45" s="188">
        <f t="array" aca="1" ref="O45" ca="1">_xlfn.IFNA(SUM((O$3&gt;='Gastos com Pessoal'!$E$7:$E$506)*(O$3&lt;='Gastos com Pessoal'!$F$7:$F$506)*OFFSET('Encargos e Benefícios'!$D$5,1,MATCH($B45,'Encargos e Benefícios'!$E$5:$AB$5,0),500,1))*(IF('Gastos com Pessoal'!$G$7:$G$506&lt;=O$3,('Gastos com Pessoal'!$H$7:$H$506)+1,1))*(IF('Gastos com Pessoal'!$M$7:$M$506&lt;=O$3,('Gastos com Pessoal'!$N$7:$N$506)+1,1))*(IF('Gastos com Pessoal'!$S$7:$S$506&lt;=O$3,('Gastos com Pessoal'!$T$7:$T$506)+1,1))*(IF('Gastos com Pessoal'!$Y$7:$Y$506&lt;=O$3,('Gastos com Pessoal'!$Z$7:$Z$506)+1,1))*(IF('Gastos com Pessoal'!$AE$7:$AE$506&lt;=O$3,('Gastos com Pessoal'!$AF$7:$AF$506)+1,1)),0)</f>
        <v>88336.92477209607</v>
      </c>
      <c r="P45" s="188">
        <f t="array" aca="1" ref="P45" ca="1">_xlfn.IFNA(SUM((P$3&gt;='Gastos com Pessoal'!$E$7:$E$506)*(P$3&lt;='Gastos com Pessoal'!$F$7:$F$506)*OFFSET('Encargos e Benefícios'!$D$5,1,MATCH($B45,'Encargos e Benefícios'!$E$5:$AB$5,0),500,1))*(IF('Gastos com Pessoal'!$G$7:$G$506&lt;=P$3,('Gastos com Pessoal'!$H$7:$H$506)+1,1))*(IF('Gastos com Pessoal'!$M$7:$M$506&lt;=P$3,('Gastos com Pessoal'!$N$7:$N$506)+1,1))*(IF('Gastos com Pessoal'!$S$7:$S$506&lt;=P$3,('Gastos com Pessoal'!$T$7:$T$506)+1,1))*(IF('Gastos com Pessoal'!$Y$7:$Y$506&lt;=P$3,('Gastos com Pessoal'!$Z$7:$Z$506)+1,1))*(IF('Gastos com Pessoal'!$AE$7:$AE$506&lt;=P$3,('Gastos com Pessoal'!$AF$7:$AF$506)+1,1)),0)</f>
        <v>88336.92477209607</v>
      </c>
      <c r="Q45" s="188">
        <f t="array" aca="1" ref="Q45" ca="1">_xlfn.IFNA(SUM((Q$3&gt;='Gastos com Pessoal'!$E$7:$E$506)*(Q$3&lt;='Gastos com Pessoal'!$F$7:$F$506)*OFFSET('Encargos e Benefícios'!$D$5,1,MATCH($B45,'Encargos e Benefícios'!$E$5:$AB$5,0),500,1))*(IF('Gastos com Pessoal'!$G$7:$G$506&lt;=Q$3,('Gastos com Pessoal'!$H$7:$H$506)+1,1))*(IF('Gastos com Pessoal'!$M$7:$M$506&lt;=Q$3,('Gastos com Pessoal'!$N$7:$N$506)+1,1))*(IF('Gastos com Pessoal'!$S$7:$S$506&lt;=Q$3,('Gastos com Pessoal'!$T$7:$T$506)+1,1))*(IF('Gastos com Pessoal'!$Y$7:$Y$506&lt;=Q$3,('Gastos com Pessoal'!$Z$7:$Z$506)+1,1))*(IF('Gastos com Pessoal'!$AE$7:$AE$506&lt;=Q$3,('Gastos com Pessoal'!$AF$7:$AF$506)+1,1)),0)</f>
        <v>88336.92477209607</v>
      </c>
      <c r="R45" s="188">
        <f t="array" aca="1" ref="R45" ca="1">_xlfn.IFNA(SUM((R$3&gt;='Gastos com Pessoal'!$E$7:$E$506)*(R$3&lt;='Gastos com Pessoal'!$F$7:$F$506)*OFFSET('Encargos e Benefícios'!$D$5,1,MATCH($B45,'Encargos e Benefícios'!$E$5:$AB$5,0),500,1))*(IF('Gastos com Pessoal'!$G$7:$G$506&lt;=R$3,('Gastos com Pessoal'!$H$7:$H$506)+1,1))*(IF('Gastos com Pessoal'!$M$7:$M$506&lt;=R$3,('Gastos com Pessoal'!$N$7:$N$506)+1,1))*(IF('Gastos com Pessoal'!$S$7:$S$506&lt;=R$3,('Gastos com Pessoal'!$T$7:$T$506)+1,1))*(IF('Gastos com Pessoal'!$Y$7:$Y$506&lt;=R$3,('Gastos com Pessoal'!$Z$7:$Z$506)+1,1))*(IF('Gastos com Pessoal'!$AE$7:$AE$506&lt;=R$3,('Gastos com Pessoal'!$AF$7:$AF$506)+1,1)),0)</f>
        <v>88336.92477209607</v>
      </c>
      <c r="S45" s="188">
        <f t="array" aca="1" ref="S45" ca="1">_xlfn.IFNA(SUM((S$3&gt;='Gastos com Pessoal'!$E$7:$E$506)*(S$3&lt;='Gastos com Pessoal'!$F$7:$F$506)*OFFSET('Encargos e Benefícios'!$D$5,1,MATCH($B45,'Encargos e Benefícios'!$E$5:$AB$5,0),500,1))*(IF('Gastos com Pessoal'!$G$7:$G$506&lt;=S$3,('Gastos com Pessoal'!$H$7:$H$506)+1,1))*(IF('Gastos com Pessoal'!$M$7:$M$506&lt;=S$3,('Gastos com Pessoal'!$N$7:$N$506)+1,1))*(IF('Gastos com Pessoal'!$S$7:$S$506&lt;=S$3,('Gastos com Pessoal'!$T$7:$T$506)+1,1))*(IF('Gastos com Pessoal'!$Y$7:$Y$506&lt;=S$3,('Gastos com Pessoal'!$Z$7:$Z$506)+1,1))*(IF('Gastos com Pessoal'!$AE$7:$AE$506&lt;=S$3,('Gastos com Pessoal'!$AF$7:$AF$506)+1,1)),0)</f>
        <v>93495.801178786482</v>
      </c>
      <c r="T45" s="188">
        <f t="array" aca="1" ref="T45" ca="1">_xlfn.IFNA(SUM((T$3&gt;='Gastos com Pessoal'!$E$7:$E$506)*(T$3&lt;='Gastos com Pessoal'!$F$7:$F$506)*OFFSET('Encargos e Benefícios'!$D$5,1,MATCH($B45,'Encargos e Benefícios'!$E$5:$AB$5,0),500,1))*(IF('Gastos com Pessoal'!$G$7:$G$506&lt;=T$3,('Gastos com Pessoal'!$H$7:$H$506)+1,1))*(IF('Gastos com Pessoal'!$M$7:$M$506&lt;=T$3,('Gastos com Pessoal'!$N$7:$N$506)+1,1))*(IF('Gastos com Pessoal'!$S$7:$S$506&lt;=T$3,('Gastos com Pessoal'!$T$7:$T$506)+1,1))*(IF('Gastos com Pessoal'!$Y$7:$Y$506&lt;=T$3,('Gastos com Pessoal'!$Z$7:$Z$506)+1,1))*(IF('Gastos com Pessoal'!$AE$7:$AE$506&lt;=T$3,('Gastos com Pessoal'!$AF$7:$AF$506)+1,1)),0)</f>
        <v>93495.801178786482</v>
      </c>
      <c r="U45" s="188">
        <f t="array" aca="1" ref="U45" ca="1">_xlfn.IFNA(SUM((U$3&gt;='Gastos com Pessoal'!$E$7:$E$506)*(U$3&lt;='Gastos com Pessoal'!$F$7:$F$506)*OFFSET('Encargos e Benefícios'!$D$5,1,MATCH($B45,'Encargos e Benefícios'!$E$5:$AB$5,0),500,1))*(IF('Gastos com Pessoal'!$G$7:$G$506&lt;=U$3,('Gastos com Pessoal'!$H$7:$H$506)+1,1))*(IF('Gastos com Pessoal'!$M$7:$M$506&lt;=U$3,('Gastos com Pessoal'!$N$7:$N$506)+1,1))*(IF('Gastos com Pessoal'!$S$7:$S$506&lt;=U$3,('Gastos com Pessoal'!$T$7:$T$506)+1,1))*(IF('Gastos com Pessoal'!$Y$7:$Y$506&lt;=U$3,('Gastos com Pessoal'!$Z$7:$Z$506)+1,1))*(IF('Gastos com Pessoal'!$AE$7:$AE$506&lt;=U$3,('Gastos com Pessoal'!$AF$7:$AF$506)+1,1)),0)</f>
        <v>93495.801178786482</v>
      </c>
      <c r="V45" s="188">
        <f t="array" aca="1" ref="V45" ca="1">_xlfn.IFNA(SUM((V$3&gt;='Gastos com Pessoal'!$E$7:$E$506)*(V$3&lt;='Gastos com Pessoal'!$F$7:$F$506)*OFFSET('Encargos e Benefícios'!$D$5,1,MATCH($B45,'Encargos e Benefícios'!$E$5:$AB$5,0),500,1))*(IF('Gastos com Pessoal'!$G$7:$G$506&lt;=V$3,('Gastos com Pessoal'!$H$7:$H$506)+1,1))*(IF('Gastos com Pessoal'!$M$7:$M$506&lt;=V$3,('Gastos com Pessoal'!$N$7:$N$506)+1,1))*(IF('Gastos com Pessoal'!$S$7:$S$506&lt;=V$3,('Gastos com Pessoal'!$T$7:$T$506)+1,1))*(IF('Gastos com Pessoal'!$Y$7:$Y$506&lt;=V$3,('Gastos com Pessoal'!$Z$7:$Z$506)+1,1))*(IF('Gastos com Pessoal'!$AE$7:$AE$506&lt;=V$3,('Gastos com Pessoal'!$AF$7:$AF$506)+1,1)),0)</f>
        <v>93495.801178786482</v>
      </c>
      <c r="W45" s="188">
        <f t="array" aca="1" ref="W45" ca="1">_xlfn.IFNA(SUM((W$3&gt;='Gastos com Pessoal'!$E$7:$E$506)*(W$3&lt;='Gastos com Pessoal'!$F$7:$F$506)*OFFSET('Encargos e Benefícios'!$D$5,1,MATCH($B45,'Encargos e Benefícios'!$E$5:$AB$5,0),500,1))*(IF('Gastos com Pessoal'!$G$7:$G$506&lt;=W$3,('Gastos com Pessoal'!$H$7:$H$506)+1,1))*(IF('Gastos com Pessoal'!$M$7:$M$506&lt;=W$3,('Gastos com Pessoal'!$N$7:$N$506)+1,1))*(IF('Gastos com Pessoal'!$S$7:$S$506&lt;=W$3,('Gastos com Pessoal'!$T$7:$T$506)+1,1))*(IF('Gastos com Pessoal'!$Y$7:$Y$506&lt;=W$3,('Gastos com Pessoal'!$Z$7:$Z$506)+1,1))*(IF('Gastos com Pessoal'!$AE$7:$AE$506&lt;=W$3,('Gastos com Pessoal'!$AF$7:$AF$506)+1,1)),0)</f>
        <v>93495.801178786482</v>
      </c>
      <c r="X45" s="188">
        <f t="array" aca="1" ref="X45" ca="1">_xlfn.IFNA(SUM((X$3&gt;='Gastos com Pessoal'!$E$7:$E$506)*(X$3&lt;='Gastos com Pessoal'!$F$7:$F$506)*OFFSET('Encargos e Benefícios'!$D$5,1,MATCH($B45,'Encargos e Benefícios'!$E$5:$AB$5,0),500,1))*(IF('Gastos com Pessoal'!$G$7:$G$506&lt;=X$3,('Gastos com Pessoal'!$H$7:$H$506)+1,1))*(IF('Gastos com Pessoal'!$M$7:$M$506&lt;=X$3,('Gastos com Pessoal'!$N$7:$N$506)+1,1))*(IF('Gastos com Pessoal'!$S$7:$S$506&lt;=X$3,('Gastos com Pessoal'!$T$7:$T$506)+1,1))*(IF('Gastos com Pessoal'!$Y$7:$Y$506&lt;=X$3,('Gastos com Pessoal'!$Z$7:$Z$506)+1,1))*(IF('Gastos com Pessoal'!$AE$7:$AE$506&lt;=X$3,('Gastos com Pessoal'!$AF$7:$AF$506)+1,1)),0)</f>
        <v>93495.801178786482</v>
      </c>
      <c r="Y45" s="188">
        <f t="array" aca="1" ref="Y45" ca="1">_xlfn.IFNA(SUM((Y$3&gt;='Gastos com Pessoal'!$E$7:$E$506)*(Y$3&lt;='Gastos com Pessoal'!$F$7:$F$506)*OFFSET('Encargos e Benefícios'!$D$5,1,MATCH($B45,'Encargos e Benefícios'!$E$5:$AB$5,0),500,1))*(IF('Gastos com Pessoal'!$G$7:$G$506&lt;=Y$3,('Gastos com Pessoal'!$H$7:$H$506)+1,1))*(IF('Gastos com Pessoal'!$M$7:$M$506&lt;=Y$3,('Gastos com Pessoal'!$N$7:$N$506)+1,1))*(IF('Gastos com Pessoal'!$S$7:$S$506&lt;=Y$3,('Gastos com Pessoal'!$T$7:$T$506)+1,1))*(IF('Gastos com Pessoal'!$Y$7:$Y$506&lt;=Y$3,('Gastos com Pessoal'!$Z$7:$Z$506)+1,1))*(IF('Gastos com Pessoal'!$AE$7:$AE$506&lt;=Y$3,('Gastos com Pessoal'!$AF$7:$AF$506)+1,1)),0)</f>
        <v>93495.801178786482</v>
      </c>
      <c r="Z45" s="188">
        <f t="array" aca="1" ref="Z45" ca="1">_xlfn.IFNA(SUM((Z$3&gt;='Gastos com Pessoal'!$E$7:$E$506)*(Z$3&lt;='Gastos com Pessoal'!$F$7:$F$506)*OFFSET('Encargos e Benefícios'!$D$5,1,MATCH($B45,'Encargos e Benefícios'!$E$5:$AB$5,0),500,1))*(IF('Gastos com Pessoal'!$G$7:$G$506&lt;=Z$3,('Gastos com Pessoal'!$H$7:$H$506)+1,1))*(IF('Gastos com Pessoal'!$M$7:$M$506&lt;=Z$3,('Gastos com Pessoal'!$N$7:$N$506)+1,1))*(IF('Gastos com Pessoal'!$S$7:$S$506&lt;=Z$3,('Gastos com Pessoal'!$T$7:$T$506)+1,1))*(IF('Gastos com Pessoal'!$Y$7:$Y$506&lt;=Z$3,('Gastos com Pessoal'!$Z$7:$Z$506)+1,1))*(IF('Gastos com Pessoal'!$AE$7:$AE$506&lt;=Z$3,('Gastos com Pessoal'!$AF$7:$AF$506)+1,1)),0)</f>
        <v>93495.801178786482</v>
      </c>
      <c r="AA45" s="188">
        <f t="array" aca="1" ref="AA45" ca="1">_xlfn.IFNA(SUM((AA$3&gt;='Gastos com Pessoal'!$E$7:$E$506)*(AA$3&lt;='Gastos com Pessoal'!$F$7:$F$506)*OFFSET('Encargos e Benefícios'!$D$5,1,MATCH($B45,'Encargos e Benefícios'!$E$5:$AB$5,0),500,1))*(IF('Gastos com Pessoal'!$G$7:$G$506&lt;=AA$3,('Gastos com Pessoal'!$H$7:$H$506)+1,1))*(IF('Gastos com Pessoal'!$M$7:$M$506&lt;=AA$3,('Gastos com Pessoal'!$N$7:$N$506)+1,1))*(IF('Gastos com Pessoal'!$S$7:$S$506&lt;=AA$3,('Gastos com Pessoal'!$T$7:$T$506)+1,1))*(IF('Gastos com Pessoal'!$Y$7:$Y$506&lt;=AA$3,('Gastos com Pessoal'!$Z$7:$Z$506)+1,1))*(IF('Gastos com Pessoal'!$AE$7:$AE$506&lt;=AA$3,('Gastos com Pessoal'!$AF$7:$AF$506)+1,1)),0)</f>
        <v>93495.801178786482</v>
      </c>
      <c r="AB45" s="188">
        <f t="array" aca="1" ref="AB45" ca="1">_xlfn.IFNA(SUM((AB$3&gt;='Gastos com Pessoal'!$E$7:$E$506)*(AB$3&lt;='Gastos com Pessoal'!$F$7:$F$506)*OFFSET('Encargos e Benefícios'!$D$5,1,MATCH($B45,'Encargos e Benefícios'!$E$5:$AB$5,0),500,1))*(IF('Gastos com Pessoal'!$G$7:$G$506&lt;=AB$3,('Gastos com Pessoal'!$H$7:$H$506)+1,1))*(IF('Gastos com Pessoal'!$M$7:$M$506&lt;=AB$3,('Gastos com Pessoal'!$N$7:$N$506)+1,1))*(IF('Gastos com Pessoal'!$S$7:$S$506&lt;=AB$3,('Gastos com Pessoal'!$T$7:$T$506)+1,1))*(IF('Gastos com Pessoal'!$Y$7:$Y$506&lt;=AB$3,('Gastos com Pessoal'!$Z$7:$Z$506)+1,1))*(IF('Gastos com Pessoal'!$AE$7:$AE$506&lt;=AB$3,('Gastos com Pessoal'!$AF$7:$AF$506)+1,1)),0)</f>
        <v>93495.801178786482</v>
      </c>
      <c r="AC45" s="188">
        <f t="array" aca="1" ref="AC45" ca="1">_xlfn.IFNA(SUM((AC$3&gt;='Gastos com Pessoal'!$E$7:$E$506)*(AC$3&lt;='Gastos com Pessoal'!$F$7:$F$506)*OFFSET('Encargos e Benefícios'!$D$5,1,MATCH($B45,'Encargos e Benefícios'!$E$5:$AB$5,0),500,1))*(IF('Gastos com Pessoal'!$G$7:$G$506&lt;=AC$3,('Gastos com Pessoal'!$H$7:$H$506)+1,1))*(IF('Gastos com Pessoal'!$M$7:$M$506&lt;=AC$3,('Gastos com Pessoal'!$N$7:$N$506)+1,1))*(IF('Gastos com Pessoal'!$S$7:$S$506&lt;=AC$3,('Gastos com Pessoal'!$T$7:$T$506)+1,1))*(IF('Gastos com Pessoal'!$Y$7:$Y$506&lt;=AC$3,('Gastos com Pessoal'!$Z$7:$Z$506)+1,1))*(IF('Gastos com Pessoal'!$AE$7:$AE$506&lt;=AC$3,('Gastos com Pessoal'!$AF$7:$AF$506)+1,1)),0)</f>
        <v>93495.801178786482</v>
      </c>
      <c r="AD45" s="188">
        <f t="array" aca="1" ref="AD45" ca="1">_xlfn.IFNA(SUM((AD$3&gt;='Gastos com Pessoal'!$E$7:$E$506)*(AD$3&lt;='Gastos com Pessoal'!$F$7:$F$506)*OFFSET('Encargos e Benefícios'!$D$5,1,MATCH($B45,'Encargos e Benefícios'!$E$5:$AB$5,0),500,1))*(IF('Gastos com Pessoal'!$G$7:$G$506&lt;=AD$3,('Gastos com Pessoal'!$H$7:$H$506)+1,1))*(IF('Gastos com Pessoal'!$M$7:$M$506&lt;=AD$3,('Gastos com Pessoal'!$N$7:$N$506)+1,1))*(IF('Gastos com Pessoal'!$S$7:$S$506&lt;=AD$3,('Gastos com Pessoal'!$T$7:$T$506)+1,1))*(IF('Gastos com Pessoal'!$Y$7:$Y$506&lt;=AD$3,('Gastos com Pessoal'!$Z$7:$Z$506)+1,1))*(IF('Gastos com Pessoal'!$AE$7:$AE$506&lt;=AD$3,('Gastos com Pessoal'!$AF$7:$AF$506)+1,1)),0)</f>
        <v>93495.801178786482</v>
      </c>
      <c r="AE45" s="188">
        <f t="array" aca="1" ref="AE45" ca="1">_xlfn.IFNA(SUM((AE$3&gt;='Gastos com Pessoal'!$E$7:$E$506)*(AE$3&lt;='Gastos com Pessoal'!$F$7:$F$506)*OFFSET('Encargos e Benefícios'!$D$5,1,MATCH($B45,'Encargos e Benefícios'!$E$5:$AB$5,0),500,1))*(IF('Gastos com Pessoal'!$G$7:$G$506&lt;=AE$3,('Gastos com Pessoal'!$H$7:$H$506)+1,1))*(IF('Gastos com Pessoal'!$M$7:$M$506&lt;=AE$3,('Gastos com Pessoal'!$N$7:$N$506)+1,1))*(IF('Gastos com Pessoal'!$S$7:$S$506&lt;=AE$3,('Gastos com Pessoal'!$T$7:$T$506)+1,1))*(IF('Gastos com Pessoal'!$Y$7:$Y$506&lt;=AE$3,('Gastos com Pessoal'!$Z$7:$Z$506)+1,1))*(IF('Gastos com Pessoal'!$AE$7:$AE$506&lt;=AE$3,('Gastos com Pessoal'!$AF$7:$AF$506)+1,1)),0)</f>
        <v>98955.955967627611</v>
      </c>
      <c r="AF45" s="188">
        <f t="array" aca="1" ref="AF45" ca="1">_xlfn.IFNA(SUM((AF$3&gt;='Gastos com Pessoal'!$E$7:$E$506)*(AF$3&lt;='Gastos com Pessoal'!$F$7:$F$506)*OFFSET('Encargos e Benefícios'!$D$5,1,MATCH($B45,'Encargos e Benefícios'!$E$5:$AB$5,0),500,1))*(IF('Gastos com Pessoal'!$G$7:$G$506&lt;=AF$3,('Gastos com Pessoal'!$H$7:$H$506)+1,1))*(IF('Gastos com Pessoal'!$M$7:$M$506&lt;=AF$3,('Gastos com Pessoal'!$N$7:$N$506)+1,1))*(IF('Gastos com Pessoal'!$S$7:$S$506&lt;=AF$3,('Gastos com Pessoal'!$T$7:$T$506)+1,1))*(IF('Gastos com Pessoal'!$Y$7:$Y$506&lt;=AF$3,('Gastos com Pessoal'!$Z$7:$Z$506)+1,1))*(IF('Gastos com Pessoal'!$AE$7:$AE$506&lt;=AF$3,('Gastos com Pessoal'!$AF$7:$AF$506)+1,1)),0)</f>
        <v>98955.955967627611</v>
      </c>
      <c r="AG45" s="188">
        <f t="array" aca="1" ref="AG45" ca="1">_xlfn.IFNA(SUM((AG$3&gt;='Gastos com Pessoal'!$E$7:$E$506)*(AG$3&lt;='Gastos com Pessoal'!$F$7:$F$506)*OFFSET('Encargos e Benefícios'!$D$5,1,MATCH($B45,'Encargos e Benefícios'!$E$5:$AB$5,0),500,1))*(IF('Gastos com Pessoal'!$G$7:$G$506&lt;=AG$3,('Gastos com Pessoal'!$H$7:$H$506)+1,1))*(IF('Gastos com Pessoal'!$M$7:$M$506&lt;=AG$3,('Gastos com Pessoal'!$N$7:$N$506)+1,1))*(IF('Gastos com Pessoal'!$S$7:$S$506&lt;=AG$3,('Gastos com Pessoal'!$T$7:$T$506)+1,1))*(IF('Gastos com Pessoal'!$Y$7:$Y$506&lt;=AG$3,('Gastos com Pessoal'!$Z$7:$Z$506)+1,1))*(IF('Gastos com Pessoal'!$AE$7:$AE$506&lt;=AG$3,('Gastos com Pessoal'!$AF$7:$AF$506)+1,1)),0)</f>
        <v>98955.955967627611</v>
      </c>
      <c r="AH45" s="188">
        <f t="array" aca="1" ref="AH45" ca="1">_xlfn.IFNA(SUM((AH$3&gt;='Gastos com Pessoal'!$E$7:$E$506)*(AH$3&lt;='Gastos com Pessoal'!$F$7:$F$506)*OFFSET('Encargos e Benefícios'!$D$5,1,MATCH($B45,'Encargos e Benefícios'!$E$5:$AB$5,0),500,1))*(IF('Gastos com Pessoal'!$G$7:$G$506&lt;=AH$3,('Gastos com Pessoal'!$H$7:$H$506)+1,1))*(IF('Gastos com Pessoal'!$M$7:$M$506&lt;=AH$3,('Gastos com Pessoal'!$N$7:$N$506)+1,1))*(IF('Gastos com Pessoal'!$S$7:$S$506&lt;=AH$3,('Gastos com Pessoal'!$T$7:$T$506)+1,1))*(IF('Gastos com Pessoal'!$Y$7:$Y$506&lt;=AH$3,('Gastos com Pessoal'!$Z$7:$Z$506)+1,1))*(IF('Gastos com Pessoal'!$AE$7:$AE$506&lt;=AH$3,('Gastos com Pessoal'!$AF$7:$AF$506)+1,1)),0)</f>
        <v>98955.955967627611</v>
      </c>
      <c r="AI45" s="188">
        <f t="array" aca="1" ref="AI45" ca="1">_xlfn.IFNA(SUM((AI$3&gt;='Gastos com Pessoal'!$E$7:$E$506)*(AI$3&lt;='Gastos com Pessoal'!$F$7:$F$506)*OFFSET('Encargos e Benefícios'!$D$5,1,MATCH($B45,'Encargos e Benefícios'!$E$5:$AB$5,0),500,1))*(IF('Gastos com Pessoal'!$G$7:$G$506&lt;=AI$3,('Gastos com Pessoal'!$H$7:$H$506)+1,1))*(IF('Gastos com Pessoal'!$M$7:$M$506&lt;=AI$3,('Gastos com Pessoal'!$N$7:$N$506)+1,1))*(IF('Gastos com Pessoal'!$S$7:$S$506&lt;=AI$3,('Gastos com Pessoal'!$T$7:$T$506)+1,1))*(IF('Gastos com Pessoal'!$Y$7:$Y$506&lt;=AI$3,('Gastos com Pessoal'!$Z$7:$Z$506)+1,1))*(IF('Gastos com Pessoal'!$AE$7:$AE$506&lt;=AI$3,('Gastos com Pessoal'!$AF$7:$AF$506)+1,1)),0)</f>
        <v>98955.955967627611</v>
      </c>
      <c r="AJ45" s="188">
        <f t="array" aca="1" ref="AJ45" ca="1">_xlfn.IFNA(SUM((AJ$3&gt;='Gastos com Pessoal'!$E$7:$E$506)*(AJ$3&lt;='Gastos com Pessoal'!$F$7:$F$506)*OFFSET('Encargos e Benefícios'!$D$5,1,MATCH($B45,'Encargos e Benefícios'!$E$5:$AB$5,0),500,1))*(IF('Gastos com Pessoal'!$G$7:$G$506&lt;=AJ$3,('Gastos com Pessoal'!$H$7:$H$506)+1,1))*(IF('Gastos com Pessoal'!$M$7:$M$506&lt;=AJ$3,('Gastos com Pessoal'!$N$7:$N$506)+1,1))*(IF('Gastos com Pessoal'!$S$7:$S$506&lt;=AJ$3,('Gastos com Pessoal'!$T$7:$T$506)+1,1))*(IF('Gastos com Pessoal'!$Y$7:$Y$506&lt;=AJ$3,('Gastos com Pessoal'!$Z$7:$Z$506)+1,1))*(IF('Gastos com Pessoal'!$AE$7:$AE$506&lt;=AJ$3,('Gastos com Pessoal'!$AF$7:$AF$506)+1,1)),0)</f>
        <v>98955.955967627611</v>
      </c>
      <c r="AK45" s="188">
        <f t="array" aca="1" ref="AK45" ca="1">_xlfn.IFNA(SUM((AK$3&gt;='Gastos com Pessoal'!$E$7:$E$506)*(AK$3&lt;='Gastos com Pessoal'!$F$7:$F$506)*OFFSET('Encargos e Benefícios'!$D$5,1,MATCH($B45,'Encargos e Benefícios'!$E$5:$AB$5,0),500,1))*(IF('Gastos com Pessoal'!$G$7:$G$506&lt;=AK$3,('Gastos com Pessoal'!$H$7:$H$506)+1,1))*(IF('Gastos com Pessoal'!$M$7:$M$506&lt;=AK$3,('Gastos com Pessoal'!$N$7:$N$506)+1,1))*(IF('Gastos com Pessoal'!$S$7:$S$506&lt;=AK$3,('Gastos com Pessoal'!$T$7:$T$506)+1,1))*(IF('Gastos com Pessoal'!$Y$7:$Y$506&lt;=AK$3,('Gastos com Pessoal'!$Z$7:$Z$506)+1,1))*(IF('Gastos com Pessoal'!$AE$7:$AE$506&lt;=AK$3,('Gastos com Pessoal'!$AF$7:$AF$506)+1,1)),0)</f>
        <v>98955.955967627611</v>
      </c>
      <c r="AL45" s="188">
        <f t="array" aca="1" ref="AL45" ca="1">_xlfn.IFNA(SUM((AL$3&gt;='Gastos com Pessoal'!$E$7:$E$506)*(AL$3&lt;='Gastos com Pessoal'!$F$7:$F$506)*OFFSET('Encargos e Benefícios'!$D$5,1,MATCH($B45,'Encargos e Benefícios'!$E$5:$AB$5,0),500,1))*(IF('Gastos com Pessoal'!$G$7:$G$506&lt;=AL$3,('Gastos com Pessoal'!$H$7:$H$506)+1,1))*(IF('Gastos com Pessoal'!$M$7:$M$506&lt;=AL$3,('Gastos com Pessoal'!$N$7:$N$506)+1,1))*(IF('Gastos com Pessoal'!$S$7:$S$506&lt;=AL$3,('Gastos com Pessoal'!$T$7:$T$506)+1,1))*(IF('Gastos com Pessoal'!$Y$7:$Y$506&lt;=AL$3,('Gastos com Pessoal'!$Z$7:$Z$506)+1,1))*(IF('Gastos com Pessoal'!$AE$7:$AE$506&lt;=AL$3,('Gastos com Pessoal'!$AF$7:$AF$506)+1,1)),0)</f>
        <v>98955.955967627611</v>
      </c>
      <c r="AM45" s="188">
        <f t="array" aca="1" ref="AM45" ca="1">_xlfn.IFNA(SUM((AM$3&gt;='Gastos com Pessoal'!$E$7:$E$506)*(AM$3&lt;='Gastos com Pessoal'!$F$7:$F$506)*OFFSET('Encargos e Benefícios'!$D$5,1,MATCH($B45,'Encargos e Benefícios'!$E$5:$AB$5,0),500,1))*(IF('Gastos com Pessoal'!$G$7:$G$506&lt;=AM$3,('Gastos com Pessoal'!$H$7:$H$506)+1,1))*(IF('Gastos com Pessoal'!$M$7:$M$506&lt;=AM$3,('Gastos com Pessoal'!$N$7:$N$506)+1,1))*(IF('Gastos com Pessoal'!$S$7:$S$506&lt;=AM$3,('Gastos com Pessoal'!$T$7:$T$506)+1,1))*(IF('Gastos com Pessoal'!$Y$7:$Y$506&lt;=AM$3,('Gastos com Pessoal'!$Z$7:$Z$506)+1,1))*(IF('Gastos com Pessoal'!$AE$7:$AE$506&lt;=AM$3,('Gastos com Pessoal'!$AF$7:$AF$506)+1,1)),0)</f>
        <v>98955.955967627611</v>
      </c>
      <c r="AN45" s="188">
        <f t="array" aca="1" ref="AN45" ca="1">_xlfn.IFNA(SUM((AN$3&gt;='Gastos com Pessoal'!$E$7:$E$506)*(AN$3&lt;='Gastos com Pessoal'!$F$7:$F$506)*OFFSET('Encargos e Benefícios'!$D$5,1,MATCH($B45,'Encargos e Benefícios'!$E$5:$AB$5,0),500,1))*(IF('Gastos com Pessoal'!$G$7:$G$506&lt;=AN$3,('Gastos com Pessoal'!$H$7:$H$506)+1,1))*(IF('Gastos com Pessoal'!$M$7:$M$506&lt;=AN$3,('Gastos com Pessoal'!$N$7:$N$506)+1,1))*(IF('Gastos com Pessoal'!$S$7:$S$506&lt;=AN$3,('Gastos com Pessoal'!$T$7:$T$506)+1,1))*(IF('Gastos com Pessoal'!$Y$7:$Y$506&lt;=AN$3,('Gastos com Pessoal'!$Z$7:$Z$506)+1,1))*(IF('Gastos com Pessoal'!$AE$7:$AE$506&lt;=AN$3,('Gastos com Pessoal'!$AF$7:$AF$506)+1,1)),0)</f>
        <v>98955.955967627611</v>
      </c>
      <c r="AO45" s="188">
        <f t="array" aca="1" ref="AO45" ca="1">_xlfn.IFNA(SUM((AO$3&gt;='Gastos com Pessoal'!$E$7:$E$506)*(AO$3&lt;='Gastos com Pessoal'!$F$7:$F$506)*OFFSET('Encargos e Benefícios'!$D$5,1,MATCH($B45,'Encargos e Benefícios'!$E$5:$AB$5,0),500,1))*(IF('Gastos com Pessoal'!$G$7:$G$506&lt;=AO$3,('Gastos com Pessoal'!$H$7:$H$506)+1,1))*(IF('Gastos com Pessoal'!$M$7:$M$506&lt;=AO$3,('Gastos com Pessoal'!$N$7:$N$506)+1,1))*(IF('Gastos com Pessoal'!$S$7:$S$506&lt;=AO$3,('Gastos com Pessoal'!$T$7:$T$506)+1,1))*(IF('Gastos com Pessoal'!$Y$7:$Y$506&lt;=AO$3,('Gastos com Pessoal'!$Z$7:$Z$506)+1,1))*(IF('Gastos com Pessoal'!$AE$7:$AE$506&lt;=AO$3,('Gastos com Pessoal'!$AF$7:$AF$506)+1,1)),0)</f>
        <v>98955.955967627611</v>
      </c>
      <c r="AP45" s="188">
        <f t="array" aca="1" ref="AP45" ca="1">_xlfn.IFNA(SUM((AP$3&gt;='Gastos com Pessoal'!$E$7:$E$506)*(AP$3&lt;='Gastos com Pessoal'!$F$7:$F$506)*OFFSET('Encargos e Benefícios'!$D$5,1,MATCH($B45,'Encargos e Benefícios'!$E$5:$AB$5,0),500,1))*(IF('Gastos com Pessoal'!$G$7:$G$506&lt;=AP$3,('Gastos com Pessoal'!$H$7:$H$506)+1,1))*(IF('Gastos com Pessoal'!$M$7:$M$506&lt;=AP$3,('Gastos com Pessoal'!$N$7:$N$506)+1,1))*(IF('Gastos com Pessoal'!$S$7:$S$506&lt;=AP$3,('Gastos com Pessoal'!$T$7:$T$506)+1,1))*(IF('Gastos com Pessoal'!$Y$7:$Y$506&lt;=AP$3,('Gastos com Pessoal'!$Z$7:$Z$506)+1,1))*(IF('Gastos com Pessoal'!$AE$7:$AE$506&lt;=AP$3,('Gastos com Pessoal'!$AF$7:$AF$506)+1,1)),0)</f>
        <v>98955.955967627611</v>
      </c>
      <c r="AQ45" s="188">
        <f t="array" aca="1" ref="AQ45" ca="1">_xlfn.IFNA(SUM((AQ$3&gt;='Gastos com Pessoal'!$E$7:$E$506)*(AQ$3&lt;='Gastos com Pessoal'!$F$7:$F$506)*OFFSET('Encargos e Benefícios'!$D$5,1,MATCH($B45,'Encargos e Benefícios'!$E$5:$AB$5,0),500,1))*(IF('Gastos com Pessoal'!$G$7:$G$506&lt;=AQ$3,('Gastos com Pessoal'!$H$7:$H$506)+1,1))*(IF('Gastos com Pessoal'!$M$7:$M$506&lt;=AQ$3,('Gastos com Pessoal'!$N$7:$N$506)+1,1))*(IF('Gastos com Pessoal'!$S$7:$S$506&lt;=AQ$3,('Gastos com Pessoal'!$T$7:$T$506)+1,1))*(IF('Gastos com Pessoal'!$Y$7:$Y$506&lt;=AQ$3,('Gastos com Pessoal'!$Z$7:$Z$506)+1,1))*(IF('Gastos com Pessoal'!$AE$7:$AE$506&lt;=AQ$3,('Gastos com Pessoal'!$AF$7:$AF$506)+1,1)),0)</f>
        <v>104734.98379613706</v>
      </c>
      <c r="AR45" s="188">
        <f t="array" aca="1" ref="AR45" ca="1">_xlfn.IFNA(SUM((AR$3&gt;='Gastos com Pessoal'!$E$7:$E$506)*(AR$3&lt;='Gastos com Pessoal'!$F$7:$F$506)*OFFSET('Encargos e Benefícios'!$D$5,1,MATCH($B45,'Encargos e Benefícios'!$E$5:$AB$5,0),500,1))*(IF('Gastos com Pessoal'!$G$7:$G$506&lt;=AR$3,('Gastos com Pessoal'!$H$7:$H$506)+1,1))*(IF('Gastos com Pessoal'!$M$7:$M$506&lt;=AR$3,('Gastos com Pessoal'!$N$7:$N$506)+1,1))*(IF('Gastos com Pessoal'!$S$7:$S$506&lt;=AR$3,('Gastos com Pessoal'!$T$7:$T$506)+1,1))*(IF('Gastos com Pessoal'!$Y$7:$Y$506&lt;=AR$3,('Gastos com Pessoal'!$Z$7:$Z$506)+1,1))*(IF('Gastos com Pessoal'!$AE$7:$AE$506&lt;=AR$3,('Gastos com Pessoal'!$AF$7:$AF$506)+1,1)),0)</f>
        <v>104734.98379613706</v>
      </c>
      <c r="AS45" s="188">
        <f t="array" aca="1" ref="AS45" ca="1">_xlfn.IFNA(SUM((AS$3&gt;='Gastos com Pessoal'!$E$7:$E$506)*(AS$3&lt;='Gastos com Pessoal'!$F$7:$F$506)*OFFSET('Encargos e Benefícios'!$D$5,1,MATCH($B45,'Encargos e Benefícios'!$E$5:$AB$5,0),500,1))*(IF('Gastos com Pessoal'!$G$7:$G$506&lt;=AS$3,('Gastos com Pessoal'!$H$7:$H$506)+1,1))*(IF('Gastos com Pessoal'!$M$7:$M$506&lt;=AS$3,('Gastos com Pessoal'!$N$7:$N$506)+1,1))*(IF('Gastos com Pessoal'!$S$7:$S$506&lt;=AS$3,('Gastos com Pessoal'!$T$7:$T$506)+1,1))*(IF('Gastos com Pessoal'!$Y$7:$Y$506&lt;=AS$3,('Gastos com Pessoal'!$Z$7:$Z$506)+1,1))*(IF('Gastos com Pessoal'!$AE$7:$AE$506&lt;=AS$3,('Gastos com Pessoal'!$AF$7:$AF$506)+1,1)),0)</f>
        <v>104734.98379613706</v>
      </c>
      <c r="AT45" s="188">
        <f t="array" aca="1" ref="AT45" ca="1">_xlfn.IFNA(SUM((AT$3&gt;='Gastos com Pessoal'!$E$7:$E$506)*(AT$3&lt;='Gastos com Pessoal'!$F$7:$F$506)*OFFSET('Encargos e Benefícios'!$D$5,1,MATCH($B45,'Encargos e Benefícios'!$E$5:$AB$5,0),500,1))*(IF('Gastos com Pessoal'!$G$7:$G$506&lt;=AT$3,('Gastos com Pessoal'!$H$7:$H$506)+1,1))*(IF('Gastos com Pessoal'!$M$7:$M$506&lt;=AT$3,('Gastos com Pessoal'!$N$7:$N$506)+1,1))*(IF('Gastos com Pessoal'!$S$7:$S$506&lt;=AT$3,('Gastos com Pessoal'!$T$7:$T$506)+1,1))*(IF('Gastos com Pessoal'!$Y$7:$Y$506&lt;=AT$3,('Gastos com Pessoal'!$Z$7:$Z$506)+1,1))*(IF('Gastos com Pessoal'!$AE$7:$AE$506&lt;=AT$3,('Gastos com Pessoal'!$AF$7:$AF$506)+1,1)),0)</f>
        <v>104734.98379613706</v>
      </c>
      <c r="AU45" s="188">
        <f t="array" aca="1" ref="AU45" ca="1">_xlfn.IFNA(SUM((AU$3&gt;='Gastos com Pessoal'!$E$7:$E$506)*(AU$3&lt;='Gastos com Pessoal'!$F$7:$F$506)*OFFSET('Encargos e Benefícios'!$D$5,1,MATCH($B45,'Encargos e Benefícios'!$E$5:$AB$5,0),500,1))*(IF('Gastos com Pessoal'!$G$7:$G$506&lt;=AU$3,('Gastos com Pessoal'!$H$7:$H$506)+1,1))*(IF('Gastos com Pessoal'!$M$7:$M$506&lt;=AU$3,('Gastos com Pessoal'!$N$7:$N$506)+1,1))*(IF('Gastos com Pessoal'!$S$7:$S$506&lt;=AU$3,('Gastos com Pessoal'!$T$7:$T$506)+1,1))*(IF('Gastos com Pessoal'!$Y$7:$Y$506&lt;=AU$3,('Gastos com Pessoal'!$Z$7:$Z$506)+1,1))*(IF('Gastos com Pessoal'!$AE$7:$AE$506&lt;=AU$3,('Gastos com Pessoal'!$AF$7:$AF$506)+1,1)),0)</f>
        <v>104734.98379613706</v>
      </c>
      <c r="AV45" s="188">
        <f t="array" aca="1" ref="AV45" ca="1">_xlfn.IFNA(SUM((AV$3&gt;='Gastos com Pessoal'!$E$7:$E$506)*(AV$3&lt;='Gastos com Pessoal'!$F$7:$F$506)*OFFSET('Encargos e Benefícios'!$D$5,1,MATCH($B45,'Encargos e Benefícios'!$E$5:$AB$5,0),500,1))*(IF('Gastos com Pessoal'!$G$7:$G$506&lt;=AV$3,('Gastos com Pessoal'!$H$7:$H$506)+1,1))*(IF('Gastos com Pessoal'!$M$7:$M$506&lt;=AV$3,('Gastos com Pessoal'!$N$7:$N$506)+1,1))*(IF('Gastos com Pessoal'!$S$7:$S$506&lt;=AV$3,('Gastos com Pessoal'!$T$7:$T$506)+1,1))*(IF('Gastos com Pessoal'!$Y$7:$Y$506&lt;=AV$3,('Gastos com Pessoal'!$Z$7:$Z$506)+1,1))*(IF('Gastos com Pessoal'!$AE$7:$AE$506&lt;=AV$3,('Gastos com Pessoal'!$AF$7:$AF$506)+1,1)),0)</f>
        <v>104734.98379613706</v>
      </c>
      <c r="AW45" s="188">
        <f t="array" aca="1" ref="AW45" ca="1">_xlfn.IFNA(SUM((AW$3&gt;='Gastos com Pessoal'!$E$7:$E$506)*(AW$3&lt;='Gastos com Pessoal'!$F$7:$F$506)*OFFSET('Encargos e Benefícios'!$D$5,1,MATCH($B45,'Encargos e Benefícios'!$E$5:$AB$5,0),500,1))*(IF('Gastos com Pessoal'!$G$7:$G$506&lt;=AW$3,('Gastos com Pessoal'!$H$7:$H$506)+1,1))*(IF('Gastos com Pessoal'!$M$7:$M$506&lt;=AW$3,('Gastos com Pessoal'!$N$7:$N$506)+1,1))*(IF('Gastos com Pessoal'!$S$7:$S$506&lt;=AW$3,('Gastos com Pessoal'!$T$7:$T$506)+1,1))*(IF('Gastos com Pessoal'!$Y$7:$Y$506&lt;=AW$3,('Gastos com Pessoal'!$Z$7:$Z$506)+1,1))*(IF('Gastos com Pessoal'!$AE$7:$AE$506&lt;=AW$3,('Gastos com Pessoal'!$AF$7:$AF$506)+1,1)),0)</f>
        <v>104734.98379613706</v>
      </c>
      <c r="AX45" s="188">
        <f t="array" aca="1" ref="AX45" ca="1">_xlfn.IFNA(SUM((AX$3&gt;='Gastos com Pessoal'!$E$7:$E$506)*(AX$3&lt;='Gastos com Pessoal'!$F$7:$F$506)*OFFSET('Encargos e Benefícios'!$D$5,1,MATCH($B45,'Encargos e Benefícios'!$E$5:$AB$5,0),500,1))*(IF('Gastos com Pessoal'!$G$7:$G$506&lt;=AX$3,('Gastos com Pessoal'!$H$7:$H$506)+1,1))*(IF('Gastos com Pessoal'!$M$7:$M$506&lt;=AX$3,('Gastos com Pessoal'!$N$7:$N$506)+1,1))*(IF('Gastos com Pessoal'!$S$7:$S$506&lt;=AX$3,('Gastos com Pessoal'!$T$7:$T$506)+1,1))*(IF('Gastos com Pessoal'!$Y$7:$Y$506&lt;=AX$3,('Gastos com Pessoal'!$Z$7:$Z$506)+1,1))*(IF('Gastos com Pessoal'!$AE$7:$AE$506&lt;=AX$3,('Gastos com Pessoal'!$AF$7:$AF$506)+1,1)),0)</f>
        <v>0</v>
      </c>
      <c r="AY45" s="188">
        <f t="array" aca="1" ref="AY45" ca="1">_xlfn.IFNA(SUM((AY$3&gt;='Gastos com Pessoal'!$E$7:$E$506)*(AY$3&lt;='Gastos com Pessoal'!$F$7:$F$506)*OFFSET('Encargos e Benefícios'!$D$5,1,MATCH($B45,'Encargos e Benefícios'!$E$5:$AB$5,0),500,1))*(IF('Gastos com Pessoal'!$G$7:$G$506&lt;=AY$3,('Gastos com Pessoal'!$H$7:$H$506)+1,1))*(IF('Gastos com Pessoal'!$M$7:$M$506&lt;=AY$3,('Gastos com Pessoal'!$N$7:$N$506)+1,1))*(IF('Gastos com Pessoal'!$S$7:$S$506&lt;=AY$3,('Gastos com Pessoal'!$T$7:$T$506)+1,1))*(IF('Gastos com Pessoal'!$Y$7:$Y$506&lt;=AY$3,('Gastos com Pessoal'!$Z$7:$Z$506)+1,1))*(IF('Gastos com Pessoal'!$AE$7:$AE$506&lt;=AY$3,('Gastos com Pessoal'!$AF$7:$AF$506)+1,1)),0)</f>
        <v>0</v>
      </c>
      <c r="AZ45" s="188">
        <f t="array" aca="1" ref="AZ45" ca="1">_xlfn.IFNA(SUM((AZ$3&gt;='Gastos com Pessoal'!$E$7:$E$506)*(AZ$3&lt;='Gastos com Pessoal'!$F$7:$F$506)*OFFSET('Encargos e Benefícios'!$D$5,1,MATCH($B45,'Encargos e Benefícios'!$E$5:$AB$5,0),500,1))*(IF('Gastos com Pessoal'!$G$7:$G$506&lt;=AZ$3,('Gastos com Pessoal'!$H$7:$H$506)+1,1))*(IF('Gastos com Pessoal'!$M$7:$M$506&lt;=AZ$3,('Gastos com Pessoal'!$N$7:$N$506)+1,1))*(IF('Gastos com Pessoal'!$S$7:$S$506&lt;=AZ$3,('Gastos com Pessoal'!$T$7:$T$506)+1,1))*(IF('Gastos com Pessoal'!$Y$7:$Y$506&lt;=AZ$3,('Gastos com Pessoal'!$Z$7:$Z$506)+1,1))*(IF('Gastos com Pessoal'!$AE$7:$AE$506&lt;=AZ$3,('Gastos com Pessoal'!$AF$7:$AF$506)+1,1)),0)</f>
        <v>0</v>
      </c>
      <c r="BA45" s="188">
        <f t="array" aca="1" ref="BA45" ca="1">_xlfn.IFNA(SUM((BA$3&gt;='Gastos com Pessoal'!$E$7:$E$506)*(BA$3&lt;='Gastos com Pessoal'!$F$7:$F$506)*OFFSET('Encargos e Benefícios'!$D$5,1,MATCH($B45,'Encargos e Benefícios'!$E$5:$AB$5,0),500,1))*(IF('Gastos com Pessoal'!$G$7:$G$506&lt;=BA$3,('Gastos com Pessoal'!$H$7:$H$506)+1,1))*(IF('Gastos com Pessoal'!$M$7:$M$506&lt;=BA$3,('Gastos com Pessoal'!$N$7:$N$506)+1,1))*(IF('Gastos com Pessoal'!$S$7:$S$506&lt;=BA$3,('Gastos com Pessoal'!$T$7:$T$506)+1,1))*(IF('Gastos com Pessoal'!$Y$7:$Y$506&lt;=BA$3,('Gastos com Pessoal'!$Z$7:$Z$506)+1,1))*(IF('Gastos com Pessoal'!$AE$7:$AE$506&lt;=BA$3,('Gastos com Pessoal'!$AF$7:$AF$506)+1,1)),0)</f>
        <v>0</v>
      </c>
      <c r="BB45" s="188">
        <f t="array" aca="1" ref="BB45" ca="1">_xlfn.IFNA(SUM((BB$3&gt;='Gastos com Pessoal'!$E$7:$E$506)*(BB$3&lt;='Gastos com Pessoal'!$F$7:$F$506)*OFFSET('Encargos e Benefícios'!$D$5,1,MATCH($B45,'Encargos e Benefícios'!$E$5:$AB$5,0),500,1))*(IF('Gastos com Pessoal'!$G$7:$G$506&lt;=BB$3,('Gastos com Pessoal'!$H$7:$H$506)+1,1))*(IF('Gastos com Pessoal'!$M$7:$M$506&lt;=BB$3,('Gastos com Pessoal'!$N$7:$N$506)+1,1))*(IF('Gastos com Pessoal'!$S$7:$S$506&lt;=BB$3,('Gastos com Pessoal'!$T$7:$T$506)+1,1))*(IF('Gastos com Pessoal'!$Y$7:$Y$506&lt;=BB$3,('Gastos com Pessoal'!$Z$7:$Z$506)+1,1))*(IF('Gastos com Pessoal'!$AE$7:$AE$506&lt;=BB$3,('Gastos com Pessoal'!$AF$7:$AF$506)+1,1)),0)</f>
        <v>0</v>
      </c>
      <c r="BC45" s="188">
        <f t="array" aca="1" ref="BC45" ca="1">_xlfn.IFNA(SUM((BC$3&gt;='Gastos com Pessoal'!$E$7:$E$506)*(BC$3&lt;='Gastos com Pessoal'!$F$7:$F$506)*OFFSET('Encargos e Benefícios'!$D$5,1,MATCH($B45,'Encargos e Benefícios'!$E$5:$AB$5,0),500,1))*(IF('Gastos com Pessoal'!$G$7:$G$506&lt;=BC$3,('Gastos com Pessoal'!$H$7:$H$506)+1,1))*(IF('Gastos com Pessoal'!$M$7:$M$506&lt;=BC$3,('Gastos com Pessoal'!$N$7:$N$506)+1,1))*(IF('Gastos com Pessoal'!$S$7:$S$506&lt;=BC$3,('Gastos com Pessoal'!$T$7:$T$506)+1,1))*(IF('Gastos com Pessoal'!$Y$7:$Y$506&lt;=BC$3,('Gastos com Pessoal'!$Z$7:$Z$506)+1,1))*(IF('Gastos com Pessoal'!$AE$7:$AE$506&lt;=BC$3,('Gastos com Pessoal'!$AF$7:$AF$506)+1,1)),0)</f>
        <v>0</v>
      </c>
      <c r="BD45" s="188">
        <f t="array" aca="1" ref="BD45" ca="1">_xlfn.IFNA(SUM((BD$3&gt;='Gastos com Pessoal'!$E$7:$E$506)*(BD$3&lt;='Gastos com Pessoal'!$F$7:$F$506)*OFFSET('Encargos e Benefícios'!$D$5,1,MATCH($B45,'Encargos e Benefícios'!$E$5:$AB$5,0),500,1))*(IF('Gastos com Pessoal'!$G$7:$G$506&lt;=BD$3,('Gastos com Pessoal'!$H$7:$H$506)+1,1))*(IF('Gastos com Pessoal'!$M$7:$M$506&lt;=BD$3,('Gastos com Pessoal'!$N$7:$N$506)+1,1))*(IF('Gastos com Pessoal'!$S$7:$S$506&lt;=BD$3,('Gastos com Pessoal'!$T$7:$T$506)+1,1))*(IF('Gastos com Pessoal'!$Y$7:$Y$506&lt;=BD$3,('Gastos com Pessoal'!$Z$7:$Z$506)+1,1))*(IF('Gastos com Pessoal'!$AE$7:$AE$506&lt;=BD$3,('Gastos com Pessoal'!$AF$7:$AF$506)+1,1)),0)</f>
        <v>0</v>
      </c>
      <c r="BE45" s="188">
        <f t="array" aca="1" ref="BE45" ca="1">_xlfn.IFNA(SUM((BE$3&gt;='Gastos com Pessoal'!$E$7:$E$506)*(BE$3&lt;='Gastos com Pessoal'!$F$7:$F$506)*OFFSET('Encargos e Benefícios'!$D$5,1,MATCH($B45,'Encargos e Benefícios'!$E$5:$AB$5,0),500,1))*(IF('Gastos com Pessoal'!$G$7:$G$506&lt;=BE$3,('Gastos com Pessoal'!$H$7:$H$506)+1,1))*(IF('Gastos com Pessoal'!$M$7:$M$506&lt;=BE$3,('Gastos com Pessoal'!$N$7:$N$506)+1,1))*(IF('Gastos com Pessoal'!$S$7:$S$506&lt;=BE$3,('Gastos com Pessoal'!$T$7:$T$506)+1,1))*(IF('Gastos com Pessoal'!$Y$7:$Y$506&lt;=BE$3,('Gastos com Pessoal'!$Z$7:$Z$506)+1,1))*(IF('Gastos com Pessoal'!$AE$7:$AE$506&lt;=BE$3,('Gastos com Pessoal'!$AF$7:$AF$506)+1,1)),0)</f>
        <v>0</v>
      </c>
      <c r="BF45" s="188">
        <f t="array" aca="1" ref="BF45" ca="1">_xlfn.IFNA(SUM((BF$3&gt;='Gastos com Pessoal'!$E$7:$E$506)*(BF$3&lt;='Gastos com Pessoal'!$F$7:$F$506)*OFFSET('Encargos e Benefícios'!$D$5,1,MATCH($B45,'Encargos e Benefícios'!$E$5:$AB$5,0),500,1))*(IF('Gastos com Pessoal'!$G$7:$G$506&lt;=BF$3,('Gastos com Pessoal'!$H$7:$H$506)+1,1))*(IF('Gastos com Pessoal'!$M$7:$M$506&lt;=BF$3,('Gastos com Pessoal'!$N$7:$N$506)+1,1))*(IF('Gastos com Pessoal'!$S$7:$S$506&lt;=BF$3,('Gastos com Pessoal'!$T$7:$T$506)+1,1))*(IF('Gastos com Pessoal'!$Y$7:$Y$506&lt;=BF$3,('Gastos com Pessoal'!$Z$7:$Z$506)+1,1))*(IF('Gastos com Pessoal'!$AE$7:$AE$506&lt;=BF$3,('Gastos com Pessoal'!$AF$7:$AF$506)+1,1)),0)</f>
        <v>0</v>
      </c>
      <c r="BG45" s="188">
        <f t="array" aca="1" ref="BG45" ca="1">_xlfn.IFNA(SUM((BG$3&gt;='Gastos com Pessoal'!$E$7:$E$506)*(BG$3&lt;='Gastos com Pessoal'!$F$7:$F$506)*OFFSET('Encargos e Benefícios'!$D$5,1,MATCH($B45,'Encargos e Benefícios'!$E$5:$AB$5,0),500,1))*(IF('Gastos com Pessoal'!$G$7:$G$506&lt;=BG$3,('Gastos com Pessoal'!$H$7:$H$506)+1,1))*(IF('Gastos com Pessoal'!$M$7:$M$506&lt;=BG$3,('Gastos com Pessoal'!$N$7:$N$506)+1,1))*(IF('Gastos com Pessoal'!$S$7:$S$506&lt;=BG$3,('Gastos com Pessoal'!$T$7:$T$506)+1,1))*(IF('Gastos com Pessoal'!$Y$7:$Y$506&lt;=BG$3,('Gastos com Pessoal'!$Z$7:$Z$506)+1,1))*(IF('Gastos com Pessoal'!$AE$7:$AE$506&lt;=BG$3,('Gastos com Pessoal'!$AF$7:$AF$506)+1,1)),0)</f>
        <v>0</v>
      </c>
      <c r="BH45" s="188">
        <f t="array" aca="1" ref="BH45" ca="1">_xlfn.IFNA(SUM((BH$3&gt;='Gastos com Pessoal'!$E$7:$E$506)*(BH$3&lt;='Gastos com Pessoal'!$F$7:$F$506)*OFFSET('Encargos e Benefícios'!$D$5,1,MATCH($B45,'Encargos e Benefícios'!$E$5:$AB$5,0),500,1))*(IF('Gastos com Pessoal'!$G$7:$G$506&lt;=BH$3,('Gastos com Pessoal'!$H$7:$H$506)+1,1))*(IF('Gastos com Pessoal'!$M$7:$M$506&lt;=BH$3,('Gastos com Pessoal'!$N$7:$N$506)+1,1))*(IF('Gastos com Pessoal'!$S$7:$S$506&lt;=BH$3,('Gastos com Pessoal'!$T$7:$T$506)+1,1))*(IF('Gastos com Pessoal'!$Y$7:$Y$506&lt;=BH$3,('Gastos com Pessoal'!$Z$7:$Z$506)+1,1))*(IF('Gastos com Pessoal'!$AE$7:$AE$506&lt;=BH$3,('Gastos com Pessoal'!$AF$7:$AF$506)+1,1)),0)</f>
        <v>0</v>
      </c>
      <c r="BI45" s="188">
        <f t="array" aca="1" ref="BI45" ca="1">_xlfn.IFNA(SUM((BI$3&gt;='Gastos com Pessoal'!$E$7:$E$506)*(BI$3&lt;='Gastos com Pessoal'!$F$7:$F$506)*OFFSET('Encargos e Benefícios'!$D$5,1,MATCH($B45,'Encargos e Benefícios'!$E$5:$AB$5,0),500,1))*(IF('Gastos com Pessoal'!$G$7:$G$506&lt;=BI$3,('Gastos com Pessoal'!$H$7:$H$506)+1,1))*(IF('Gastos com Pessoal'!$M$7:$M$506&lt;=BI$3,('Gastos com Pessoal'!$N$7:$N$506)+1,1))*(IF('Gastos com Pessoal'!$S$7:$S$506&lt;=BI$3,('Gastos com Pessoal'!$T$7:$T$506)+1,1))*(IF('Gastos com Pessoal'!$Y$7:$Y$506&lt;=BI$3,('Gastos com Pessoal'!$Z$7:$Z$506)+1,1))*(IF('Gastos com Pessoal'!$AE$7:$AE$506&lt;=BI$3,('Gastos com Pessoal'!$AF$7:$AF$506)+1,1)),0)</f>
        <v>0</v>
      </c>
      <c r="BJ45" s="188">
        <f t="array" aca="1" ref="BJ45" ca="1">_xlfn.IFNA(SUM((BJ$3&gt;='Gastos com Pessoal'!$E$7:$E$506)*(BJ$3&lt;='Gastos com Pessoal'!$F$7:$F$506)*OFFSET('Encargos e Benefícios'!$D$5,1,MATCH($B45,'Encargos e Benefícios'!$E$5:$AB$5,0),500,1))*(IF('Gastos com Pessoal'!$G$7:$G$506&lt;=BJ$3,('Gastos com Pessoal'!$H$7:$H$506)+1,1))*(IF('Gastos com Pessoal'!$M$7:$M$506&lt;=BJ$3,('Gastos com Pessoal'!$N$7:$N$506)+1,1))*(IF('Gastos com Pessoal'!$S$7:$S$506&lt;=BJ$3,('Gastos com Pessoal'!$T$7:$T$506)+1,1))*(IF('Gastos com Pessoal'!$Y$7:$Y$506&lt;=BJ$3,('Gastos com Pessoal'!$Z$7:$Z$506)+1,1))*(IF('Gastos com Pessoal'!$AE$7:$AE$506&lt;=BJ$3,('Gastos com Pessoal'!$AF$7:$AF$506)+1,1)),0)</f>
        <v>0</v>
      </c>
      <c r="BK45" s="189">
        <f t="shared" ca="1" si="14"/>
        <v>4322781.909731783</v>
      </c>
      <c r="BL45" s="136">
        <f t="shared" ca="1" si="15"/>
        <v>1.4883329942286846E-2</v>
      </c>
    </row>
    <row r="46" spans="1:64" s="160" customFormat="1" ht="23.25" customHeight="1">
      <c r="A46" s="190"/>
      <c r="B46" s="191" t="s">
        <v>177</v>
      </c>
      <c r="C46" s="215">
        <f t="shared" ref="C46:AH46" ca="1" si="16">SUBTOTAL(109,C34:C45)</f>
        <v>1204069.9478217429</v>
      </c>
      <c r="D46" s="215">
        <f t="shared" ca="1" si="16"/>
        <v>1232112.4478217429</v>
      </c>
      <c r="E46" s="215">
        <f t="shared" ca="1" si="16"/>
        <v>1278233.9422334677</v>
      </c>
      <c r="F46" s="215">
        <f t="shared" ca="1" si="16"/>
        <v>1287095.7827080791</v>
      </c>
      <c r="G46" s="215">
        <f t="shared" ca="1" si="16"/>
        <v>1361882.5764182301</v>
      </c>
      <c r="H46" s="215">
        <f t="shared" ca="1" si="16"/>
        <v>1426044.3661035998</v>
      </c>
      <c r="I46" s="215">
        <f t="shared" ca="1" si="16"/>
        <v>1435971.4784718556</v>
      </c>
      <c r="J46" s="215">
        <f t="shared" ca="1" si="16"/>
        <v>1435971.4784718556</v>
      </c>
      <c r="K46" s="215">
        <f t="shared" ca="1" si="16"/>
        <v>1503649.7499112838</v>
      </c>
      <c r="L46" s="215">
        <f t="shared" ca="1" si="16"/>
        <v>1513514.6821156726</v>
      </c>
      <c r="M46" s="215">
        <f t="shared" ca="1" si="16"/>
        <v>1513514.6821156726</v>
      </c>
      <c r="N46" s="215">
        <f t="shared" ca="1" si="16"/>
        <v>1582692.9535551013</v>
      </c>
      <c r="O46" s="215">
        <f t="shared" ca="1" si="16"/>
        <v>1595697.0035551013</v>
      </c>
      <c r="P46" s="215">
        <f t="shared" ca="1" si="16"/>
        <v>1597692.9535551013</v>
      </c>
      <c r="Q46" s="215">
        <f t="shared" ca="1" si="16"/>
        <v>1581192.9535551013</v>
      </c>
      <c r="R46" s="215">
        <f t="shared" ca="1" si="16"/>
        <v>1581192.9535551013</v>
      </c>
      <c r="S46" s="215">
        <f t="shared" ca="1" si="16"/>
        <v>1673155.0220427185</v>
      </c>
      <c r="T46" s="215">
        <f t="shared" ca="1" si="16"/>
        <v>1673155.0220427185</v>
      </c>
      <c r="U46" s="215">
        <f t="shared" ca="1" si="16"/>
        <v>1673155.0220427185</v>
      </c>
      <c r="V46" s="215">
        <f t="shared" ca="1" si="16"/>
        <v>1673155.0220427185</v>
      </c>
      <c r="W46" s="215">
        <f t="shared" ca="1" si="16"/>
        <v>1673155.0220427185</v>
      </c>
      <c r="X46" s="215">
        <f t="shared" ca="1" si="16"/>
        <v>1673155.0220427185</v>
      </c>
      <c r="Y46" s="215">
        <f t="shared" ca="1" si="16"/>
        <v>1673155.0220427185</v>
      </c>
      <c r="Z46" s="215">
        <f t="shared" ca="1" si="16"/>
        <v>1673155.0220427185</v>
      </c>
      <c r="AA46" s="215">
        <f t="shared" ca="1" si="16"/>
        <v>1689655.0220427185</v>
      </c>
      <c r="AB46" s="215">
        <f t="shared" ca="1" si="16"/>
        <v>1672155.0220427185</v>
      </c>
      <c r="AC46" s="215">
        <f t="shared" ca="1" si="16"/>
        <v>1672155.0220427185</v>
      </c>
      <c r="AD46" s="215">
        <f t="shared" ca="1" si="16"/>
        <v>1672155.0220427185</v>
      </c>
      <c r="AE46" s="215">
        <f t="shared" ca="1" si="16"/>
        <v>1769487.6753300135</v>
      </c>
      <c r="AF46" s="215">
        <f t="shared" ca="1" si="16"/>
        <v>1769487.6753300135</v>
      </c>
      <c r="AG46" s="215">
        <f t="shared" ca="1" si="16"/>
        <v>1769487.6753300135</v>
      </c>
      <c r="AH46" s="215">
        <f t="shared" ca="1" si="16"/>
        <v>1769487.6753300135</v>
      </c>
      <c r="AI46" s="215">
        <f t="shared" ref="AI46:BK46" ca="1" si="17">SUBTOTAL(109,AI34:AI45)</f>
        <v>1769487.6753300135</v>
      </c>
      <c r="AJ46" s="215">
        <f t="shared" ca="1" si="17"/>
        <v>1769487.6753300135</v>
      </c>
      <c r="AK46" s="215">
        <f t="shared" ca="1" si="17"/>
        <v>1787516.6353300135</v>
      </c>
      <c r="AL46" s="215">
        <f t="shared" ca="1" si="17"/>
        <v>1781042.7953300136</v>
      </c>
      <c r="AM46" s="215">
        <f t="shared" ca="1" si="17"/>
        <v>1786987.6753300135</v>
      </c>
      <c r="AN46" s="215">
        <f t="shared" ca="1" si="17"/>
        <v>1767987.6753300135</v>
      </c>
      <c r="AO46" s="215">
        <f t="shared" ca="1" si="17"/>
        <v>1767987.6753300135</v>
      </c>
      <c r="AP46" s="215">
        <f t="shared" ca="1" si="17"/>
        <v>1767987.6753300135</v>
      </c>
      <c r="AQ46" s="215">
        <f t="shared" ca="1" si="17"/>
        <v>1871004.5555692862</v>
      </c>
      <c r="AR46" s="215">
        <f t="shared" ca="1" si="17"/>
        <v>1871004.5555692862</v>
      </c>
      <c r="AS46" s="215">
        <f t="shared" ca="1" si="17"/>
        <v>1871004.5555692862</v>
      </c>
      <c r="AT46" s="215">
        <f t="shared" ca="1" si="17"/>
        <v>1871004.5555692862</v>
      </c>
      <c r="AU46" s="215">
        <f t="shared" ca="1" si="17"/>
        <v>1871004.5555692862</v>
      </c>
      <c r="AV46" s="215">
        <f t="shared" ca="1" si="17"/>
        <v>1891907.6055692863</v>
      </c>
      <c r="AW46" s="215">
        <f t="shared" ca="1" si="17"/>
        <v>1885055.6955692861</v>
      </c>
      <c r="AX46" s="215">
        <f t="shared" ca="1" si="17"/>
        <v>0</v>
      </c>
      <c r="AY46" s="215">
        <f t="shared" ca="1" si="17"/>
        <v>0</v>
      </c>
      <c r="AZ46" s="215">
        <f t="shared" ca="1" si="17"/>
        <v>0</v>
      </c>
      <c r="BA46" s="215">
        <f t="shared" ca="1" si="17"/>
        <v>0</v>
      </c>
      <c r="BB46" s="215">
        <f t="shared" ca="1" si="17"/>
        <v>0</v>
      </c>
      <c r="BC46" s="215">
        <f t="shared" ca="1" si="17"/>
        <v>0</v>
      </c>
      <c r="BD46" s="215">
        <f t="shared" ca="1" si="17"/>
        <v>0</v>
      </c>
      <c r="BE46" s="215">
        <f t="shared" ca="1" si="17"/>
        <v>0</v>
      </c>
      <c r="BF46" s="215">
        <f t="shared" ca="1" si="17"/>
        <v>0</v>
      </c>
      <c r="BG46" s="215">
        <f t="shared" ca="1" si="17"/>
        <v>0</v>
      </c>
      <c r="BH46" s="215">
        <f t="shared" ca="1" si="17"/>
        <v>0</v>
      </c>
      <c r="BI46" s="215">
        <f t="shared" ca="1" si="17"/>
        <v>0</v>
      </c>
      <c r="BJ46" s="215">
        <f t="shared" ca="1" si="17"/>
        <v>0</v>
      </c>
      <c r="BK46" s="215">
        <f t="shared" ca="1" si="17"/>
        <v>77630312.479426473</v>
      </c>
      <c r="BL46" s="216">
        <f t="shared" ca="1" si="15"/>
        <v>0.26728101909398005</v>
      </c>
    </row>
    <row r="47" spans="1:64" s="160" customFormat="1" ht="23.25" customHeight="1">
      <c r="A47" s="213" t="s">
        <v>87</v>
      </c>
      <c r="B47" s="206" t="s">
        <v>88</v>
      </c>
      <c r="C47" s="217"/>
      <c r="D47" s="217"/>
      <c r="E47" s="217"/>
      <c r="F47" s="217"/>
      <c r="G47" s="217"/>
      <c r="H47" s="217"/>
      <c r="I47" s="217"/>
      <c r="J47" s="217"/>
      <c r="K47" s="217"/>
      <c r="L47" s="217"/>
      <c r="M47" s="217"/>
      <c r="N47" s="217"/>
      <c r="O47" s="217"/>
      <c r="P47" s="217"/>
      <c r="Q47" s="217"/>
      <c r="R47" s="217"/>
      <c r="S47" s="217"/>
      <c r="T47" s="217"/>
      <c r="U47" s="217"/>
      <c r="V47" s="217"/>
      <c r="W47" s="217"/>
      <c r="X47" s="217"/>
      <c r="Y47" s="217"/>
      <c r="Z47" s="217"/>
      <c r="AA47" s="217"/>
      <c r="AB47" s="217"/>
      <c r="AC47" s="217"/>
      <c r="AD47" s="217"/>
      <c r="AE47" s="217"/>
      <c r="AF47" s="217"/>
      <c r="AG47" s="217"/>
      <c r="AH47" s="217"/>
      <c r="AI47" s="217"/>
      <c r="AJ47" s="217"/>
      <c r="AK47" s="217"/>
      <c r="AL47" s="217"/>
      <c r="AM47" s="217"/>
      <c r="AN47" s="217"/>
      <c r="AO47" s="217"/>
      <c r="AP47" s="217"/>
      <c r="AQ47" s="217"/>
      <c r="AR47" s="217"/>
      <c r="AS47" s="217"/>
      <c r="AT47" s="217"/>
      <c r="AU47" s="217"/>
      <c r="AV47" s="217"/>
      <c r="AW47" s="217"/>
      <c r="AX47" s="217"/>
      <c r="AY47" s="217"/>
      <c r="AZ47" s="217"/>
      <c r="BA47" s="217"/>
      <c r="BB47" s="217"/>
      <c r="BC47" s="217"/>
      <c r="BD47" s="217"/>
      <c r="BE47" s="217"/>
      <c r="BF47" s="217"/>
      <c r="BG47" s="217"/>
      <c r="BH47" s="217"/>
      <c r="BI47" s="217"/>
      <c r="BJ47" s="217"/>
      <c r="BK47" s="218"/>
      <c r="BL47" s="219"/>
    </row>
    <row r="48" spans="1:64" s="160" customFormat="1" ht="23.25" customHeight="1">
      <c r="A48" s="80" t="s">
        <v>178</v>
      </c>
      <c r="B48" s="81" t="s">
        <v>179</v>
      </c>
      <c r="C48" s="188">
        <f t="array" aca="1" ref="C48" ca="1">_xlfn.IFNA(SUM((C$3&gt;='Gastos com Pessoal'!$E$7:$E$506)*(C$3&lt;='Gastos com Pessoal'!$F$7:$F$506)*OFFSET('Encargos e Benefícios'!$D$5,1,MATCH($B48,'Encargos e Benefícios'!$E$5:$AB$5,0),500,1)),0)+_xlfn.IFNA(SUM((C$3&gt;='Gastos com Pessoal'!$E$513:$E$522)*(C$3&lt;='Gastos com Pessoal'!$F$513:$F$522)*OFFSET('Encargos e Benefícios'!$D$511,1,MATCH($B48,'Encargos e Benefícios'!$E$511:$AB$511,0),10,1)),0)+_xlfn.IFNA(SUM((C$3&gt;='Gastos com Pessoal'!$E$7:$E$506)*(C$3&lt;='Gastos com Pessoal'!$F$7:$F$506)*(IF('Gastos com Pessoal'!$G$7:$G$506&lt;=C$3,1,0))*OFFSET('Gastos com Pessoal'!$H$6,1,MATCH(1&amp;$B48,'Gastos com Pessoal'!$I$532:$AJ$532&amp;'Gastos com Pessoal'!$I$6:$AJ$6,0),500,1)),0)+_xlfn.IFNA(SUM((C$3&gt;='Gastos com Pessoal'!$E$7:$E$506)*(C$3&lt;='Gastos com Pessoal'!$F$7:$F$506)*(IF('Gastos com Pessoal'!$M$7:$M$506&lt;=C$3,1,0))*OFFSET('Gastos com Pessoal'!$H$6,1,MATCH(2&amp;$B48,'Gastos com Pessoal'!$I$532:$AJ$532&amp;'Gastos com Pessoal'!$I$6:$AJ$6,0),500,1)),0)+_xlfn.IFNA(SUM((C$3&gt;='Gastos com Pessoal'!$E$7:$E$506)*(C$3&lt;='Gastos com Pessoal'!$F$7:$F$506)*(IF('Gastos com Pessoal'!$S$7:$S$506&lt;=C$3,1,0))*OFFSET('Gastos com Pessoal'!$H$6,1,MATCH(3&amp;$B48,'Gastos com Pessoal'!$I$532:$AJ$532&amp;'Gastos com Pessoal'!$I$6:$AJ$6,0),500,1)),0)+_xlfn.IFNA(SUM((C$3&gt;='Gastos com Pessoal'!$E$7:$E$506)*(C$3&lt;='Gastos com Pessoal'!$F$7:$F$506)*(IF('Gastos com Pessoal'!$Y$7:$Y$506&lt;=C$3,1,0))*OFFSET('Gastos com Pessoal'!$H$6,1,MATCH(4&amp;$B48,'Gastos com Pessoal'!$I$532:$AJ$532&amp;'Gastos com Pessoal'!$I$6:$AJ$6,0),500,1)),0)+_xlfn.IFNA(SUM((C$3&gt;='Gastos com Pessoal'!$E$7:$E$506)*(C$3&lt;='Gastos com Pessoal'!$F$7:$F$506)*(IF('Gastos com Pessoal'!$AE$7:$AE$506&lt;=C$3,1,0))*OFFSET('Gastos com Pessoal'!$H$6,1,MATCH(5&amp;$B48,'Gastos com Pessoal'!$I$532:$AJ$532&amp;'Gastos com Pessoal'!$I$6:$AJ$6,0),500,1)),0)+_xlfn.IFNA(SUM((C$3&gt;='Gastos com Pessoal'!$E$513:$E$522)*(C$3&lt;='Gastos com Pessoal'!$F$513:$F$522)*(IF('Gastos com Pessoal'!$G$513:$G$522&lt;=C$3,1,0))*OFFSET('Gastos com Pessoal'!$H$512,1,MATCH(1&amp;$B48,'Gastos com Pessoal'!$I$532:$AJ$532&amp;'Gastos com Pessoal'!$I$512:$AJ$512,0),10,1)),0)+_xlfn.IFNA(SUM((C$3&gt;='Gastos com Pessoal'!$E$513:$E$522)*(C$3&lt;='Gastos com Pessoal'!$F$513:$F$522)*(IF('Gastos com Pessoal'!$M$513:$M$522&lt;=C$3,1,0))*OFFSET('Gastos com Pessoal'!$H$512,1,MATCH(2&amp;$B48,'Gastos com Pessoal'!$I$532:$AJ$532&amp;'Gastos com Pessoal'!$I$512:$AJ$512,0),10,1)),0)+_xlfn.IFNA(SUM((C$3&gt;='Gastos com Pessoal'!$E$513:$E$522)*(C$3&lt;='Gastos com Pessoal'!$F$513:$F$522)*(IF('Gastos com Pessoal'!$S$513:$S$522&lt;=C$3,1,0))*OFFSET('Gastos com Pessoal'!$H$512,1,MATCH(3&amp;$B48,'Gastos com Pessoal'!$I$532:$AJ$532&amp;'Gastos com Pessoal'!$I$512:$AJ$512,0),10,1)),0)+_xlfn.IFNA(SUM((C$3&gt;='Gastos com Pessoal'!$E$513:$E$522)*(C$3&lt;='Gastos com Pessoal'!$F$513:$F$522)*(IF('Gastos com Pessoal'!$Y$513:$Y$522&lt;=C$3,1,0))*OFFSET('Gastos com Pessoal'!$H$512,1,MATCH(4&amp;$B48,'Gastos com Pessoal'!$I$532:$AJ$532&amp;'Gastos com Pessoal'!$I$512:$AJ$512,0),10,1)),0)+_xlfn.IFNA(SUM((C$3&gt;='Gastos com Pessoal'!$E$513:$E$522)*(C$3&lt;='Gastos com Pessoal'!$F$513:$F$522)*(IF('Gastos com Pessoal'!$AE$513:$AE$522&lt;=C$3,1,0))*OFFSET('Gastos com Pessoal'!$H$512,1,MATCH(5&amp;$B48,'Gastos com Pessoal'!$I$532:$AJ$532&amp;'Gastos com Pessoal'!$I$512:$AJ$512,0),10,1)),0)</f>
        <v>44341.659999999894</v>
      </c>
      <c r="D48" s="188">
        <f t="array" aca="1" ref="D48" ca="1">_xlfn.IFNA(SUM((D$3&gt;='Gastos com Pessoal'!$E$7:$E$506)*(D$3&lt;='Gastos com Pessoal'!$F$7:$F$506)*OFFSET('Encargos e Benefícios'!$D$5,1,MATCH($B48,'Encargos e Benefícios'!$E$5:$AB$5,0),500,1)),0)+_xlfn.IFNA(SUM((D$3&gt;='Gastos com Pessoal'!$E$513:$E$522)*(D$3&lt;='Gastos com Pessoal'!$F$513:$F$522)*OFFSET('Encargos e Benefícios'!$D$511,1,MATCH($B48,'Encargos e Benefícios'!$E$511:$AB$511,0),10,1)),0)+_xlfn.IFNA(SUM((D$3&gt;='Gastos com Pessoal'!$E$7:$E$506)*(D$3&lt;='Gastos com Pessoal'!$F$7:$F$506)*(IF('Gastos com Pessoal'!$G$7:$G$506&lt;=D$3,1,0))*OFFSET('Gastos com Pessoal'!$H$6,1,MATCH(1&amp;$B48,'Gastos com Pessoal'!$I$532:$AJ$532&amp;'Gastos com Pessoal'!$I$6:$AJ$6,0),500,1)),0)+_xlfn.IFNA(SUM((D$3&gt;='Gastos com Pessoal'!$E$7:$E$506)*(D$3&lt;='Gastos com Pessoal'!$F$7:$F$506)*(IF('Gastos com Pessoal'!$M$7:$M$506&lt;=D$3,1,0))*OFFSET('Gastos com Pessoal'!$H$6,1,MATCH(2&amp;$B48,'Gastos com Pessoal'!$I$532:$AJ$532&amp;'Gastos com Pessoal'!$I$6:$AJ$6,0),500,1)),0)+_xlfn.IFNA(SUM((D$3&gt;='Gastos com Pessoal'!$E$7:$E$506)*(D$3&lt;='Gastos com Pessoal'!$F$7:$F$506)*(IF('Gastos com Pessoal'!$S$7:$S$506&lt;=D$3,1,0))*OFFSET('Gastos com Pessoal'!$H$6,1,MATCH(3&amp;$B48,'Gastos com Pessoal'!$I$532:$AJ$532&amp;'Gastos com Pessoal'!$I$6:$AJ$6,0),500,1)),0)+_xlfn.IFNA(SUM((D$3&gt;='Gastos com Pessoal'!$E$7:$E$506)*(D$3&lt;='Gastos com Pessoal'!$F$7:$F$506)*(IF('Gastos com Pessoal'!$Y$7:$Y$506&lt;=D$3,1,0))*OFFSET('Gastos com Pessoal'!$H$6,1,MATCH(4&amp;$B48,'Gastos com Pessoal'!$I$532:$AJ$532&amp;'Gastos com Pessoal'!$I$6:$AJ$6,0),500,1)),0)+_xlfn.IFNA(SUM((D$3&gt;='Gastos com Pessoal'!$E$7:$E$506)*(D$3&lt;='Gastos com Pessoal'!$F$7:$F$506)*(IF('Gastos com Pessoal'!$AE$7:$AE$506&lt;=D$3,1,0))*OFFSET('Gastos com Pessoal'!$H$6,1,MATCH(5&amp;$B48,'Gastos com Pessoal'!$I$532:$AJ$532&amp;'Gastos com Pessoal'!$I$6:$AJ$6,0),500,1)),0)+_xlfn.IFNA(SUM((D$3&gt;='Gastos com Pessoal'!$E$513:$E$522)*(D$3&lt;='Gastos com Pessoal'!$F$513:$F$522)*(IF('Gastos com Pessoal'!$G$513:$G$522&lt;=D$3,1,0))*OFFSET('Gastos com Pessoal'!$H$512,1,MATCH(1&amp;$B48,'Gastos com Pessoal'!$I$532:$AJ$532&amp;'Gastos com Pessoal'!$I$512:$AJ$512,0),10,1)),0)+_xlfn.IFNA(SUM((D$3&gt;='Gastos com Pessoal'!$E$513:$E$522)*(D$3&lt;='Gastos com Pessoal'!$F$513:$F$522)*(IF('Gastos com Pessoal'!$M$513:$M$522&lt;=D$3,1,0))*OFFSET('Gastos com Pessoal'!$H$512,1,MATCH(2&amp;$B48,'Gastos com Pessoal'!$I$532:$AJ$532&amp;'Gastos com Pessoal'!$I$512:$AJ$512,0),10,1)),0)+_xlfn.IFNA(SUM((D$3&gt;='Gastos com Pessoal'!$E$513:$E$522)*(D$3&lt;='Gastos com Pessoal'!$F$513:$F$522)*(IF('Gastos com Pessoal'!$S$513:$S$522&lt;=D$3,1,0))*OFFSET('Gastos com Pessoal'!$H$512,1,MATCH(3&amp;$B48,'Gastos com Pessoal'!$I$532:$AJ$532&amp;'Gastos com Pessoal'!$I$512:$AJ$512,0),10,1)),0)+_xlfn.IFNA(SUM((D$3&gt;='Gastos com Pessoal'!$E$513:$E$522)*(D$3&lt;='Gastos com Pessoal'!$F$513:$F$522)*(IF('Gastos com Pessoal'!$Y$513:$Y$522&lt;=D$3,1,0))*OFFSET('Gastos com Pessoal'!$H$512,1,MATCH(4&amp;$B48,'Gastos com Pessoal'!$I$532:$AJ$532&amp;'Gastos com Pessoal'!$I$512:$AJ$512,0),10,1)),0)+_xlfn.IFNA(SUM((D$3&gt;='Gastos com Pessoal'!$E$513:$E$522)*(D$3&lt;='Gastos com Pessoal'!$F$513:$F$522)*(IF('Gastos com Pessoal'!$AE$513:$AE$522&lt;=D$3,1,0))*OFFSET('Gastos com Pessoal'!$H$512,1,MATCH(5&amp;$B48,'Gastos com Pessoal'!$I$532:$AJ$532&amp;'Gastos com Pessoal'!$I$512:$AJ$512,0),10,1)),0)</f>
        <v>44409.339999999895</v>
      </c>
      <c r="E48" s="188">
        <f t="array" aca="1" ref="E48" ca="1">_xlfn.IFNA(SUM((E$3&gt;='Gastos com Pessoal'!$E$7:$E$506)*(E$3&lt;='Gastos com Pessoal'!$F$7:$F$506)*OFFSET('Encargos e Benefícios'!$D$5,1,MATCH($B48,'Encargos e Benefícios'!$E$5:$AB$5,0),500,1)),0)+_xlfn.IFNA(SUM((E$3&gt;='Gastos com Pessoal'!$E$513:$E$522)*(E$3&lt;='Gastos com Pessoal'!$F$513:$F$522)*OFFSET('Encargos e Benefícios'!$D$511,1,MATCH($B48,'Encargos e Benefícios'!$E$511:$AB$511,0),10,1)),0)+_xlfn.IFNA(SUM((E$3&gt;='Gastos com Pessoal'!$E$7:$E$506)*(E$3&lt;='Gastos com Pessoal'!$F$7:$F$506)*(IF('Gastos com Pessoal'!$G$7:$G$506&lt;=E$3,1,0))*OFFSET('Gastos com Pessoal'!$H$6,1,MATCH(1&amp;$B48,'Gastos com Pessoal'!$I$532:$AJ$532&amp;'Gastos com Pessoal'!$I$6:$AJ$6,0),500,1)),0)+_xlfn.IFNA(SUM((E$3&gt;='Gastos com Pessoal'!$E$7:$E$506)*(E$3&lt;='Gastos com Pessoal'!$F$7:$F$506)*(IF('Gastos com Pessoal'!$M$7:$M$506&lt;=E$3,1,0))*OFFSET('Gastos com Pessoal'!$H$6,1,MATCH(2&amp;$B48,'Gastos com Pessoal'!$I$532:$AJ$532&amp;'Gastos com Pessoal'!$I$6:$AJ$6,0),500,1)),0)+_xlfn.IFNA(SUM((E$3&gt;='Gastos com Pessoal'!$E$7:$E$506)*(E$3&lt;='Gastos com Pessoal'!$F$7:$F$506)*(IF('Gastos com Pessoal'!$S$7:$S$506&lt;=E$3,1,0))*OFFSET('Gastos com Pessoal'!$H$6,1,MATCH(3&amp;$B48,'Gastos com Pessoal'!$I$532:$AJ$532&amp;'Gastos com Pessoal'!$I$6:$AJ$6,0),500,1)),0)+_xlfn.IFNA(SUM((E$3&gt;='Gastos com Pessoal'!$E$7:$E$506)*(E$3&lt;='Gastos com Pessoal'!$F$7:$F$506)*(IF('Gastos com Pessoal'!$Y$7:$Y$506&lt;=E$3,1,0))*OFFSET('Gastos com Pessoal'!$H$6,1,MATCH(4&amp;$B48,'Gastos com Pessoal'!$I$532:$AJ$532&amp;'Gastos com Pessoal'!$I$6:$AJ$6,0),500,1)),0)+_xlfn.IFNA(SUM((E$3&gt;='Gastos com Pessoal'!$E$7:$E$506)*(E$3&lt;='Gastos com Pessoal'!$F$7:$F$506)*(IF('Gastos com Pessoal'!$AE$7:$AE$506&lt;=E$3,1,0))*OFFSET('Gastos com Pessoal'!$H$6,1,MATCH(5&amp;$B48,'Gastos com Pessoal'!$I$532:$AJ$532&amp;'Gastos com Pessoal'!$I$6:$AJ$6,0),500,1)),0)+_xlfn.IFNA(SUM((E$3&gt;='Gastos com Pessoal'!$E$513:$E$522)*(E$3&lt;='Gastos com Pessoal'!$F$513:$F$522)*(IF('Gastos com Pessoal'!$G$513:$G$522&lt;=E$3,1,0))*OFFSET('Gastos com Pessoal'!$H$512,1,MATCH(1&amp;$B48,'Gastos com Pessoal'!$I$532:$AJ$532&amp;'Gastos com Pessoal'!$I$512:$AJ$512,0),10,1)),0)+_xlfn.IFNA(SUM((E$3&gt;='Gastos com Pessoal'!$E$513:$E$522)*(E$3&lt;='Gastos com Pessoal'!$F$513:$F$522)*(IF('Gastos com Pessoal'!$M$513:$M$522&lt;=E$3,1,0))*OFFSET('Gastos com Pessoal'!$H$512,1,MATCH(2&amp;$B48,'Gastos com Pessoal'!$I$532:$AJ$532&amp;'Gastos com Pessoal'!$I$512:$AJ$512,0),10,1)),0)+_xlfn.IFNA(SUM((E$3&gt;='Gastos com Pessoal'!$E$513:$E$522)*(E$3&lt;='Gastos com Pessoal'!$F$513:$F$522)*(IF('Gastos com Pessoal'!$S$513:$S$522&lt;=E$3,1,0))*OFFSET('Gastos com Pessoal'!$H$512,1,MATCH(3&amp;$B48,'Gastos com Pessoal'!$I$532:$AJ$532&amp;'Gastos com Pessoal'!$I$512:$AJ$512,0),10,1)),0)+_xlfn.IFNA(SUM((E$3&gt;='Gastos com Pessoal'!$E$513:$E$522)*(E$3&lt;='Gastos com Pessoal'!$F$513:$F$522)*(IF('Gastos com Pessoal'!$Y$513:$Y$522&lt;=E$3,1,0))*OFFSET('Gastos com Pessoal'!$H$512,1,MATCH(4&amp;$B48,'Gastos com Pessoal'!$I$532:$AJ$532&amp;'Gastos com Pessoal'!$I$512:$AJ$512,0),10,1)),0)+_xlfn.IFNA(SUM((E$3&gt;='Gastos com Pessoal'!$E$513:$E$522)*(E$3&lt;='Gastos com Pessoal'!$F$513:$F$522)*(IF('Gastos com Pessoal'!$AE$513:$AE$522&lt;=E$3,1,0))*OFFSET('Gastos com Pessoal'!$H$512,1,MATCH(5&amp;$B48,'Gastos com Pessoal'!$I$532:$AJ$532&amp;'Gastos com Pessoal'!$I$512:$AJ$512,0),10,1)),0)</f>
        <v>46791.639999999919</v>
      </c>
      <c r="F48" s="188">
        <f t="array" aca="1" ref="F48" ca="1">_xlfn.IFNA(SUM((F$3&gt;='Gastos com Pessoal'!$E$7:$E$506)*(F$3&lt;='Gastos com Pessoal'!$F$7:$F$506)*OFFSET('Encargos e Benefícios'!$D$5,1,MATCH($B48,'Encargos e Benefícios'!$E$5:$AB$5,0),500,1)),0)+_xlfn.IFNA(SUM((F$3&gt;='Gastos com Pessoal'!$E$513:$E$522)*(F$3&lt;='Gastos com Pessoal'!$F$513:$F$522)*OFFSET('Encargos e Benefícios'!$D$511,1,MATCH($B48,'Encargos e Benefícios'!$E$511:$AB$511,0),10,1)),0)+_xlfn.IFNA(SUM((F$3&gt;='Gastos com Pessoal'!$E$7:$E$506)*(F$3&lt;='Gastos com Pessoal'!$F$7:$F$506)*(IF('Gastos com Pessoal'!$G$7:$G$506&lt;=F$3,1,0))*OFFSET('Gastos com Pessoal'!$H$6,1,MATCH(1&amp;$B48,'Gastos com Pessoal'!$I$532:$AJ$532&amp;'Gastos com Pessoal'!$I$6:$AJ$6,0),500,1)),0)+_xlfn.IFNA(SUM((F$3&gt;='Gastos com Pessoal'!$E$7:$E$506)*(F$3&lt;='Gastos com Pessoal'!$F$7:$F$506)*(IF('Gastos com Pessoal'!$M$7:$M$506&lt;=F$3,1,0))*OFFSET('Gastos com Pessoal'!$H$6,1,MATCH(2&amp;$B48,'Gastos com Pessoal'!$I$532:$AJ$532&amp;'Gastos com Pessoal'!$I$6:$AJ$6,0),500,1)),0)+_xlfn.IFNA(SUM((F$3&gt;='Gastos com Pessoal'!$E$7:$E$506)*(F$3&lt;='Gastos com Pessoal'!$F$7:$F$506)*(IF('Gastos com Pessoal'!$S$7:$S$506&lt;=F$3,1,0))*OFFSET('Gastos com Pessoal'!$H$6,1,MATCH(3&amp;$B48,'Gastos com Pessoal'!$I$532:$AJ$532&amp;'Gastos com Pessoal'!$I$6:$AJ$6,0),500,1)),0)+_xlfn.IFNA(SUM((F$3&gt;='Gastos com Pessoal'!$E$7:$E$506)*(F$3&lt;='Gastos com Pessoal'!$F$7:$F$506)*(IF('Gastos com Pessoal'!$Y$7:$Y$506&lt;=F$3,1,0))*OFFSET('Gastos com Pessoal'!$H$6,1,MATCH(4&amp;$B48,'Gastos com Pessoal'!$I$532:$AJ$532&amp;'Gastos com Pessoal'!$I$6:$AJ$6,0),500,1)),0)+_xlfn.IFNA(SUM((F$3&gt;='Gastos com Pessoal'!$E$7:$E$506)*(F$3&lt;='Gastos com Pessoal'!$F$7:$F$506)*(IF('Gastos com Pessoal'!$AE$7:$AE$506&lt;=F$3,1,0))*OFFSET('Gastos com Pessoal'!$H$6,1,MATCH(5&amp;$B48,'Gastos com Pessoal'!$I$532:$AJ$532&amp;'Gastos com Pessoal'!$I$6:$AJ$6,0),500,1)),0)+_xlfn.IFNA(SUM((F$3&gt;='Gastos com Pessoal'!$E$513:$E$522)*(F$3&lt;='Gastos com Pessoal'!$F$513:$F$522)*(IF('Gastos com Pessoal'!$G$513:$G$522&lt;=F$3,1,0))*OFFSET('Gastos com Pessoal'!$H$512,1,MATCH(1&amp;$B48,'Gastos com Pessoal'!$I$532:$AJ$532&amp;'Gastos com Pessoal'!$I$512:$AJ$512,0),10,1)),0)+_xlfn.IFNA(SUM((F$3&gt;='Gastos com Pessoal'!$E$513:$E$522)*(F$3&lt;='Gastos com Pessoal'!$F$513:$F$522)*(IF('Gastos com Pessoal'!$M$513:$M$522&lt;=F$3,1,0))*OFFSET('Gastos com Pessoal'!$H$512,1,MATCH(2&amp;$B48,'Gastos com Pessoal'!$I$532:$AJ$532&amp;'Gastos com Pessoal'!$I$512:$AJ$512,0),10,1)),0)+_xlfn.IFNA(SUM((F$3&gt;='Gastos com Pessoal'!$E$513:$E$522)*(F$3&lt;='Gastos com Pessoal'!$F$513:$F$522)*(IF('Gastos com Pessoal'!$S$513:$S$522&lt;=F$3,1,0))*OFFSET('Gastos com Pessoal'!$H$512,1,MATCH(3&amp;$B48,'Gastos com Pessoal'!$I$532:$AJ$532&amp;'Gastos com Pessoal'!$I$512:$AJ$512,0),10,1)),0)+_xlfn.IFNA(SUM((F$3&gt;='Gastos com Pessoal'!$E$513:$E$522)*(F$3&lt;='Gastos com Pessoal'!$F$513:$F$522)*(IF('Gastos com Pessoal'!$Y$513:$Y$522&lt;=F$3,1,0))*OFFSET('Gastos com Pessoal'!$H$512,1,MATCH(4&amp;$B48,'Gastos com Pessoal'!$I$532:$AJ$532&amp;'Gastos com Pessoal'!$I$512:$AJ$512,0),10,1)),0)+_xlfn.IFNA(SUM((F$3&gt;='Gastos com Pessoal'!$E$513:$E$522)*(F$3&lt;='Gastos com Pessoal'!$F$513:$F$522)*(IF('Gastos com Pessoal'!$AE$513:$AE$522&lt;=F$3,1,0))*OFFSET('Gastos com Pessoal'!$H$512,1,MATCH(5&amp;$B48,'Gastos com Pessoal'!$I$532:$AJ$532&amp;'Gastos com Pessoal'!$I$512:$AJ$512,0),10,1)),0)</f>
        <v>46791.639999999919</v>
      </c>
      <c r="G48" s="188">
        <f t="array" aca="1" ref="G48" ca="1">_xlfn.IFNA(SUM((G$3&gt;='Gastos com Pessoal'!$E$7:$E$506)*(G$3&lt;='Gastos com Pessoal'!$F$7:$F$506)*OFFSET('Encargos e Benefícios'!$D$5,1,MATCH($B48,'Encargos e Benefícios'!$E$5:$AB$5,0),500,1)),0)+_xlfn.IFNA(SUM((G$3&gt;='Gastos com Pessoal'!$E$513:$E$522)*(G$3&lt;='Gastos com Pessoal'!$F$513:$F$522)*OFFSET('Encargos e Benefícios'!$D$511,1,MATCH($B48,'Encargos e Benefícios'!$E$511:$AB$511,0),10,1)),0)+_xlfn.IFNA(SUM((G$3&gt;='Gastos com Pessoal'!$E$7:$E$506)*(G$3&lt;='Gastos com Pessoal'!$F$7:$F$506)*(IF('Gastos com Pessoal'!$G$7:$G$506&lt;=G$3,1,0))*OFFSET('Gastos com Pessoal'!$H$6,1,MATCH(1&amp;$B48,'Gastos com Pessoal'!$I$532:$AJ$532&amp;'Gastos com Pessoal'!$I$6:$AJ$6,0),500,1)),0)+_xlfn.IFNA(SUM((G$3&gt;='Gastos com Pessoal'!$E$7:$E$506)*(G$3&lt;='Gastos com Pessoal'!$F$7:$F$506)*(IF('Gastos com Pessoal'!$M$7:$M$506&lt;=G$3,1,0))*OFFSET('Gastos com Pessoal'!$H$6,1,MATCH(2&amp;$B48,'Gastos com Pessoal'!$I$532:$AJ$532&amp;'Gastos com Pessoal'!$I$6:$AJ$6,0),500,1)),0)+_xlfn.IFNA(SUM((G$3&gt;='Gastos com Pessoal'!$E$7:$E$506)*(G$3&lt;='Gastos com Pessoal'!$F$7:$F$506)*(IF('Gastos com Pessoal'!$S$7:$S$506&lt;=G$3,1,0))*OFFSET('Gastos com Pessoal'!$H$6,1,MATCH(3&amp;$B48,'Gastos com Pessoal'!$I$532:$AJ$532&amp;'Gastos com Pessoal'!$I$6:$AJ$6,0),500,1)),0)+_xlfn.IFNA(SUM((G$3&gt;='Gastos com Pessoal'!$E$7:$E$506)*(G$3&lt;='Gastos com Pessoal'!$F$7:$F$506)*(IF('Gastos com Pessoal'!$Y$7:$Y$506&lt;=G$3,1,0))*OFFSET('Gastos com Pessoal'!$H$6,1,MATCH(4&amp;$B48,'Gastos com Pessoal'!$I$532:$AJ$532&amp;'Gastos com Pessoal'!$I$6:$AJ$6,0),500,1)),0)+_xlfn.IFNA(SUM((G$3&gt;='Gastos com Pessoal'!$E$7:$E$506)*(G$3&lt;='Gastos com Pessoal'!$F$7:$F$506)*(IF('Gastos com Pessoal'!$AE$7:$AE$506&lt;=G$3,1,0))*OFFSET('Gastos com Pessoal'!$H$6,1,MATCH(5&amp;$B48,'Gastos com Pessoal'!$I$532:$AJ$532&amp;'Gastos com Pessoal'!$I$6:$AJ$6,0),500,1)),0)+_xlfn.IFNA(SUM((G$3&gt;='Gastos com Pessoal'!$E$513:$E$522)*(G$3&lt;='Gastos com Pessoal'!$F$513:$F$522)*(IF('Gastos com Pessoal'!$G$513:$G$522&lt;=G$3,1,0))*OFFSET('Gastos com Pessoal'!$H$512,1,MATCH(1&amp;$B48,'Gastos com Pessoal'!$I$532:$AJ$532&amp;'Gastos com Pessoal'!$I$512:$AJ$512,0),10,1)),0)+_xlfn.IFNA(SUM((G$3&gt;='Gastos com Pessoal'!$E$513:$E$522)*(G$3&lt;='Gastos com Pessoal'!$F$513:$F$522)*(IF('Gastos com Pessoal'!$M$513:$M$522&lt;=G$3,1,0))*OFFSET('Gastos com Pessoal'!$H$512,1,MATCH(2&amp;$B48,'Gastos com Pessoal'!$I$532:$AJ$532&amp;'Gastos com Pessoal'!$I$512:$AJ$512,0),10,1)),0)+_xlfn.IFNA(SUM((G$3&gt;='Gastos com Pessoal'!$E$513:$E$522)*(G$3&lt;='Gastos com Pessoal'!$F$513:$F$522)*(IF('Gastos com Pessoal'!$S$513:$S$522&lt;=G$3,1,0))*OFFSET('Gastos com Pessoal'!$H$512,1,MATCH(3&amp;$B48,'Gastos com Pessoal'!$I$532:$AJ$532&amp;'Gastos com Pessoal'!$I$512:$AJ$512,0),10,1)),0)+_xlfn.IFNA(SUM((G$3&gt;='Gastos com Pessoal'!$E$513:$E$522)*(G$3&lt;='Gastos com Pessoal'!$F$513:$F$522)*(IF('Gastos com Pessoal'!$Y$513:$Y$522&lt;=G$3,1,0))*OFFSET('Gastos com Pessoal'!$H$512,1,MATCH(4&amp;$B48,'Gastos com Pessoal'!$I$532:$AJ$532&amp;'Gastos com Pessoal'!$I$512:$AJ$512,0),10,1)),0)+_xlfn.IFNA(SUM((G$3&gt;='Gastos com Pessoal'!$E$513:$E$522)*(G$3&lt;='Gastos com Pessoal'!$F$513:$F$522)*(IF('Gastos com Pessoal'!$AE$513:$AE$522&lt;=G$3,1,0))*OFFSET('Gastos com Pessoal'!$H$512,1,MATCH(5&amp;$B48,'Gastos com Pessoal'!$I$532:$AJ$532&amp;'Gastos com Pessoal'!$I$512:$AJ$512,0),10,1)),0)</f>
        <v>49524.271775999921</v>
      </c>
      <c r="H48" s="188">
        <f t="array" aca="1" ref="H48" ca="1">_xlfn.IFNA(SUM((H$3&gt;='Gastos com Pessoal'!$E$7:$E$506)*(H$3&lt;='Gastos com Pessoal'!$F$7:$F$506)*OFFSET('Encargos e Benefícios'!$D$5,1,MATCH($B48,'Encargos e Benefícios'!$E$5:$AB$5,0),500,1)),0)+_xlfn.IFNA(SUM((H$3&gt;='Gastos com Pessoal'!$E$513:$E$522)*(H$3&lt;='Gastos com Pessoal'!$F$513:$F$522)*OFFSET('Encargos e Benefícios'!$D$511,1,MATCH($B48,'Encargos e Benefícios'!$E$511:$AB$511,0),10,1)),0)+_xlfn.IFNA(SUM((H$3&gt;='Gastos com Pessoal'!$E$7:$E$506)*(H$3&lt;='Gastos com Pessoal'!$F$7:$F$506)*(IF('Gastos com Pessoal'!$G$7:$G$506&lt;=H$3,1,0))*OFFSET('Gastos com Pessoal'!$H$6,1,MATCH(1&amp;$B48,'Gastos com Pessoal'!$I$532:$AJ$532&amp;'Gastos com Pessoal'!$I$6:$AJ$6,0),500,1)),0)+_xlfn.IFNA(SUM((H$3&gt;='Gastos com Pessoal'!$E$7:$E$506)*(H$3&lt;='Gastos com Pessoal'!$F$7:$F$506)*(IF('Gastos com Pessoal'!$M$7:$M$506&lt;=H$3,1,0))*OFFSET('Gastos com Pessoal'!$H$6,1,MATCH(2&amp;$B48,'Gastos com Pessoal'!$I$532:$AJ$532&amp;'Gastos com Pessoal'!$I$6:$AJ$6,0),500,1)),0)+_xlfn.IFNA(SUM((H$3&gt;='Gastos com Pessoal'!$E$7:$E$506)*(H$3&lt;='Gastos com Pessoal'!$F$7:$F$506)*(IF('Gastos com Pessoal'!$S$7:$S$506&lt;=H$3,1,0))*OFFSET('Gastos com Pessoal'!$H$6,1,MATCH(3&amp;$B48,'Gastos com Pessoal'!$I$532:$AJ$532&amp;'Gastos com Pessoal'!$I$6:$AJ$6,0),500,1)),0)+_xlfn.IFNA(SUM((H$3&gt;='Gastos com Pessoal'!$E$7:$E$506)*(H$3&lt;='Gastos com Pessoal'!$F$7:$F$506)*(IF('Gastos com Pessoal'!$Y$7:$Y$506&lt;=H$3,1,0))*OFFSET('Gastos com Pessoal'!$H$6,1,MATCH(4&amp;$B48,'Gastos com Pessoal'!$I$532:$AJ$532&amp;'Gastos com Pessoal'!$I$6:$AJ$6,0),500,1)),0)+_xlfn.IFNA(SUM((H$3&gt;='Gastos com Pessoal'!$E$7:$E$506)*(H$3&lt;='Gastos com Pessoal'!$F$7:$F$506)*(IF('Gastos com Pessoal'!$AE$7:$AE$506&lt;=H$3,1,0))*OFFSET('Gastos com Pessoal'!$H$6,1,MATCH(5&amp;$B48,'Gastos com Pessoal'!$I$532:$AJ$532&amp;'Gastos com Pessoal'!$I$6:$AJ$6,0),500,1)),0)+_xlfn.IFNA(SUM((H$3&gt;='Gastos com Pessoal'!$E$513:$E$522)*(H$3&lt;='Gastos com Pessoal'!$F$513:$F$522)*(IF('Gastos com Pessoal'!$G$513:$G$522&lt;=H$3,1,0))*OFFSET('Gastos com Pessoal'!$H$512,1,MATCH(1&amp;$B48,'Gastos com Pessoal'!$I$532:$AJ$532&amp;'Gastos com Pessoal'!$I$512:$AJ$512,0),10,1)),0)+_xlfn.IFNA(SUM((H$3&gt;='Gastos com Pessoal'!$E$513:$E$522)*(H$3&lt;='Gastos com Pessoal'!$F$513:$F$522)*(IF('Gastos com Pessoal'!$M$513:$M$522&lt;=H$3,1,0))*OFFSET('Gastos com Pessoal'!$H$512,1,MATCH(2&amp;$B48,'Gastos com Pessoal'!$I$532:$AJ$532&amp;'Gastos com Pessoal'!$I$512:$AJ$512,0),10,1)),0)+_xlfn.IFNA(SUM((H$3&gt;='Gastos com Pessoal'!$E$513:$E$522)*(H$3&lt;='Gastos com Pessoal'!$F$513:$F$522)*(IF('Gastos com Pessoal'!$S$513:$S$522&lt;=H$3,1,0))*OFFSET('Gastos com Pessoal'!$H$512,1,MATCH(3&amp;$B48,'Gastos com Pessoal'!$I$532:$AJ$532&amp;'Gastos com Pessoal'!$I$512:$AJ$512,0),10,1)),0)+_xlfn.IFNA(SUM((H$3&gt;='Gastos com Pessoal'!$E$513:$E$522)*(H$3&lt;='Gastos com Pessoal'!$F$513:$F$522)*(IF('Gastos com Pessoal'!$Y$513:$Y$522&lt;=H$3,1,0))*OFFSET('Gastos com Pessoal'!$H$512,1,MATCH(4&amp;$B48,'Gastos com Pessoal'!$I$532:$AJ$532&amp;'Gastos com Pessoal'!$I$512:$AJ$512,0),10,1)),0)+_xlfn.IFNA(SUM((H$3&gt;='Gastos com Pessoal'!$E$513:$E$522)*(H$3&lt;='Gastos com Pessoal'!$F$513:$F$522)*(IF('Gastos com Pessoal'!$AE$513:$AE$522&lt;=H$3,1,0))*OFFSET('Gastos com Pessoal'!$H$512,1,MATCH(5&amp;$B48,'Gastos com Pessoal'!$I$532:$AJ$532&amp;'Gastos com Pessoal'!$I$512:$AJ$512,0),10,1)),0)</f>
        <v>52045.698095999949</v>
      </c>
      <c r="I48" s="188">
        <f t="array" aca="1" ref="I48" ca="1">_xlfn.IFNA(SUM((I$3&gt;='Gastos com Pessoal'!$E$7:$E$506)*(I$3&lt;='Gastos com Pessoal'!$F$7:$F$506)*OFFSET('Encargos e Benefícios'!$D$5,1,MATCH($B48,'Encargos e Benefícios'!$E$5:$AB$5,0),500,1)),0)+_xlfn.IFNA(SUM((I$3&gt;='Gastos com Pessoal'!$E$513:$E$522)*(I$3&lt;='Gastos com Pessoal'!$F$513:$F$522)*OFFSET('Encargos e Benefícios'!$D$511,1,MATCH($B48,'Encargos e Benefícios'!$E$511:$AB$511,0),10,1)),0)+_xlfn.IFNA(SUM((I$3&gt;='Gastos com Pessoal'!$E$7:$E$506)*(I$3&lt;='Gastos com Pessoal'!$F$7:$F$506)*(IF('Gastos com Pessoal'!$G$7:$G$506&lt;=I$3,1,0))*OFFSET('Gastos com Pessoal'!$H$6,1,MATCH(1&amp;$B48,'Gastos com Pessoal'!$I$532:$AJ$532&amp;'Gastos com Pessoal'!$I$6:$AJ$6,0),500,1)),0)+_xlfn.IFNA(SUM((I$3&gt;='Gastos com Pessoal'!$E$7:$E$506)*(I$3&lt;='Gastos com Pessoal'!$F$7:$F$506)*(IF('Gastos com Pessoal'!$M$7:$M$506&lt;=I$3,1,0))*OFFSET('Gastos com Pessoal'!$H$6,1,MATCH(2&amp;$B48,'Gastos com Pessoal'!$I$532:$AJ$532&amp;'Gastos com Pessoal'!$I$6:$AJ$6,0),500,1)),0)+_xlfn.IFNA(SUM((I$3&gt;='Gastos com Pessoal'!$E$7:$E$506)*(I$3&lt;='Gastos com Pessoal'!$F$7:$F$506)*(IF('Gastos com Pessoal'!$S$7:$S$506&lt;=I$3,1,0))*OFFSET('Gastos com Pessoal'!$H$6,1,MATCH(3&amp;$B48,'Gastos com Pessoal'!$I$532:$AJ$532&amp;'Gastos com Pessoal'!$I$6:$AJ$6,0),500,1)),0)+_xlfn.IFNA(SUM((I$3&gt;='Gastos com Pessoal'!$E$7:$E$506)*(I$3&lt;='Gastos com Pessoal'!$F$7:$F$506)*(IF('Gastos com Pessoal'!$Y$7:$Y$506&lt;=I$3,1,0))*OFFSET('Gastos com Pessoal'!$H$6,1,MATCH(4&amp;$B48,'Gastos com Pessoal'!$I$532:$AJ$532&amp;'Gastos com Pessoal'!$I$6:$AJ$6,0),500,1)),0)+_xlfn.IFNA(SUM((I$3&gt;='Gastos com Pessoal'!$E$7:$E$506)*(I$3&lt;='Gastos com Pessoal'!$F$7:$F$506)*(IF('Gastos com Pessoal'!$AE$7:$AE$506&lt;=I$3,1,0))*OFFSET('Gastos com Pessoal'!$H$6,1,MATCH(5&amp;$B48,'Gastos com Pessoal'!$I$532:$AJ$532&amp;'Gastos com Pessoal'!$I$6:$AJ$6,0),500,1)),0)+_xlfn.IFNA(SUM((I$3&gt;='Gastos com Pessoal'!$E$513:$E$522)*(I$3&lt;='Gastos com Pessoal'!$F$513:$F$522)*(IF('Gastos com Pessoal'!$G$513:$G$522&lt;=I$3,1,0))*OFFSET('Gastos com Pessoal'!$H$512,1,MATCH(1&amp;$B48,'Gastos com Pessoal'!$I$532:$AJ$532&amp;'Gastos com Pessoal'!$I$512:$AJ$512,0),10,1)),0)+_xlfn.IFNA(SUM((I$3&gt;='Gastos com Pessoal'!$E$513:$E$522)*(I$3&lt;='Gastos com Pessoal'!$F$513:$F$522)*(IF('Gastos com Pessoal'!$M$513:$M$522&lt;=I$3,1,0))*OFFSET('Gastos com Pessoal'!$H$512,1,MATCH(2&amp;$B48,'Gastos com Pessoal'!$I$532:$AJ$532&amp;'Gastos com Pessoal'!$I$512:$AJ$512,0),10,1)),0)+_xlfn.IFNA(SUM((I$3&gt;='Gastos com Pessoal'!$E$513:$E$522)*(I$3&lt;='Gastos com Pessoal'!$F$513:$F$522)*(IF('Gastos com Pessoal'!$S$513:$S$522&lt;=I$3,1,0))*OFFSET('Gastos com Pessoal'!$H$512,1,MATCH(3&amp;$B48,'Gastos com Pessoal'!$I$532:$AJ$532&amp;'Gastos com Pessoal'!$I$512:$AJ$512,0),10,1)),0)+_xlfn.IFNA(SUM((I$3&gt;='Gastos com Pessoal'!$E$513:$E$522)*(I$3&lt;='Gastos com Pessoal'!$F$513:$F$522)*(IF('Gastos com Pessoal'!$Y$513:$Y$522&lt;=I$3,1,0))*OFFSET('Gastos com Pessoal'!$H$512,1,MATCH(4&amp;$B48,'Gastos com Pessoal'!$I$532:$AJ$532&amp;'Gastos com Pessoal'!$I$512:$AJ$512,0),10,1)),0)+_xlfn.IFNA(SUM((I$3&gt;='Gastos com Pessoal'!$E$513:$E$522)*(I$3&lt;='Gastos com Pessoal'!$F$513:$F$522)*(IF('Gastos com Pessoal'!$AE$513:$AE$522&lt;=I$3,1,0))*OFFSET('Gastos com Pessoal'!$H$512,1,MATCH(5&amp;$B48,'Gastos com Pessoal'!$I$532:$AJ$532&amp;'Gastos com Pessoal'!$I$512:$AJ$512,0),10,1)),0)</f>
        <v>52045.698095999949</v>
      </c>
      <c r="J48" s="188">
        <f t="array" aca="1" ref="J48" ca="1">_xlfn.IFNA(SUM((J$3&gt;='Gastos com Pessoal'!$E$7:$E$506)*(J$3&lt;='Gastos com Pessoal'!$F$7:$F$506)*OFFSET('Encargos e Benefícios'!$D$5,1,MATCH($B48,'Encargos e Benefícios'!$E$5:$AB$5,0),500,1)),0)+_xlfn.IFNA(SUM((J$3&gt;='Gastos com Pessoal'!$E$513:$E$522)*(J$3&lt;='Gastos com Pessoal'!$F$513:$F$522)*OFFSET('Encargos e Benefícios'!$D$511,1,MATCH($B48,'Encargos e Benefícios'!$E$511:$AB$511,0),10,1)),0)+_xlfn.IFNA(SUM((J$3&gt;='Gastos com Pessoal'!$E$7:$E$506)*(J$3&lt;='Gastos com Pessoal'!$F$7:$F$506)*(IF('Gastos com Pessoal'!$G$7:$G$506&lt;=J$3,1,0))*OFFSET('Gastos com Pessoal'!$H$6,1,MATCH(1&amp;$B48,'Gastos com Pessoal'!$I$532:$AJ$532&amp;'Gastos com Pessoal'!$I$6:$AJ$6,0),500,1)),0)+_xlfn.IFNA(SUM((J$3&gt;='Gastos com Pessoal'!$E$7:$E$506)*(J$3&lt;='Gastos com Pessoal'!$F$7:$F$506)*(IF('Gastos com Pessoal'!$M$7:$M$506&lt;=J$3,1,0))*OFFSET('Gastos com Pessoal'!$H$6,1,MATCH(2&amp;$B48,'Gastos com Pessoal'!$I$532:$AJ$532&amp;'Gastos com Pessoal'!$I$6:$AJ$6,0),500,1)),0)+_xlfn.IFNA(SUM((J$3&gt;='Gastos com Pessoal'!$E$7:$E$506)*(J$3&lt;='Gastos com Pessoal'!$F$7:$F$506)*(IF('Gastos com Pessoal'!$S$7:$S$506&lt;=J$3,1,0))*OFFSET('Gastos com Pessoal'!$H$6,1,MATCH(3&amp;$B48,'Gastos com Pessoal'!$I$532:$AJ$532&amp;'Gastos com Pessoal'!$I$6:$AJ$6,0),500,1)),0)+_xlfn.IFNA(SUM((J$3&gt;='Gastos com Pessoal'!$E$7:$E$506)*(J$3&lt;='Gastos com Pessoal'!$F$7:$F$506)*(IF('Gastos com Pessoal'!$Y$7:$Y$506&lt;=J$3,1,0))*OFFSET('Gastos com Pessoal'!$H$6,1,MATCH(4&amp;$B48,'Gastos com Pessoal'!$I$532:$AJ$532&amp;'Gastos com Pessoal'!$I$6:$AJ$6,0),500,1)),0)+_xlfn.IFNA(SUM((J$3&gt;='Gastos com Pessoal'!$E$7:$E$506)*(J$3&lt;='Gastos com Pessoal'!$F$7:$F$506)*(IF('Gastos com Pessoal'!$AE$7:$AE$506&lt;=J$3,1,0))*OFFSET('Gastos com Pessoal'!$H$6,1,MATCH(5&amp;$B48,'Gastos com Pessoal'!$I$532:$AJ$532&amp;'Gastos com Pessoal'!$I$6:$AJ$6,0),500,1)),0)+_xlfn.IFNA(SUM((J$3&gt;='Gastos com Pessoal'!$E$513:$E$522)*(J$3&lt;='Gastos com Pessoal'!$F$513:$F$522)*(IF('Gastos com Pessoal'!$G$513:$G$522&lt;=J$3,1,0))*OFFSET('Gastos com Pessoal'!$H$512,1,MATCH(1&amp;$B48,'Gastos com Pessoal'!$I$532:$AJ$532&amp;'Gastos com Pessoal'!$I$512:$AJ$512,0),10,1)),0)+_xlfn.IFNA(SUM((J$3&gt;='Gastos com Pessoal'!$E$513:$E$522)*(J$3&lt;='Gastos com Pessoal'!$F$513:$F$522)*(IF('Gastos com Pessoal'!$M$513:$M$522&lt;=J$3,1,0))*OFFSET('Gastos com Pessoal'!$H$512,1,MATCH(2&amp;$B48,'Gastos com Pessoal'!$I$532:$AJ$532&amp;'Gastos com Pessoal'!$I$512:$AJ$512,0),10,1)),0)+_xlfn.IFNA(SUM((J$3&gt;='Gastos com Pessoal'!$E$513:$E$522)*(J$3&lt;='Gastos com Pessoal'!$F$513:$F$522)*(IF('Gastos com Pessoal'!$S$513:$S$522&lt;=J$3,1,0))*OFFSET('Gastos com Pessoal'!$H$512,1,MATCH(3&amp;$B48,'Gastos com Pessoal'!$I$532:$AJ$532&amp;'Gastos com Pessoal'!$I$512:$AJ$512,0),10,1)),0)+_xlfn.IFNA(SUM((J$3&gt;='Gastos com Pessoal'!$E$513:$E$522)*(J$3&lt;='Gastos com Pessoal'!$F$513:$F$522)*(IF('Gastos com Pessoal'!$Y$513:$Y$522&lt;=J$3,1,0))*OFFSET('Gastos com Pessoal'!$H$512,1,MATCH(4&amp;$B48,'Gastos com Pessoal'!$I$532:$AJ$532&amp;'Gastos com Pessoal'!$I$512:$AJ$512,0),10,1)),0)+_xlfn.IFNA(SUM((J$3&gt;='Gastos com Pessoal'!$E$513:$E$522)*(J$3&lt;='Gastos com Pessoal'!$F$513:$F$522)*(IF('Gastos com Pessoal'!$AE$513:$AE$522&lt;=J$3,1,0))*OFFSET('Gastos com Pessoal'!$H$512,1,MATCH(5&amp;$B48,'Gastos com Pessoal'!$I$532:$AJ$532&amp;'Gastos com Pessoal'!$I$512:$AJ$512,0),10,1)),0)</f>
        <v>52045.698095999949</v>
      </c>
      <c r="K48" s="188">
        <f t="array" aca="1" ref="K48" ca="1">_xlfn.IFNA(SUM((K$3&gt;='Gastos com Pessoal'!$E$7:$E$506)*(K$3&lt;='Gastos com Pessoal'!$F$7:$F$506)*OFFSET('Encargos e Benefícios'!$D$5,1,MATCH($B48,'Encargos e Benefícios'!$E$5:$AB$5,0),500,1)),0)+_xlfn.IFNA(SUM((K$3&gt;='Gastos com Pessoal'!$E$513:$E$522)*(K$3&lt;='Gastos com Pessoal'!$F$513:$F$522)*OFFSET('Encargos e Benefícios'!$D$511,1,MATCH($B48,'Encargos e Benefícios'!$E$511:$AB$511,0),10,1)),0)+_xlfn.IFNA(SUM((K$3&gt;='Gastos com Pessoal'!$E$7:$E$506)*(K$3&lt;='Gastos com Pessoal'!$F$7:$F$506)*(IF('Gastos com Pessoal'!$G$7:$G$506&lt;=K$3,1,0))*OFFSET('Gastos com Pessoal'!$H$6,1,MATCH(1&amp;$B48,'Gastos com Pessoal'!$I$532:$AJ$532&amp;'Gastos com Pessoal'!$I$6:$AJ$6,0),500,1)),0)+_xlfn.IFNA(SUM((K$3&gt;='Gastos com Pessoal'!$E$7:$E$506)*(K$3&lt;='Gastos com Pessoal'!$F$7:$F$506)*(IF('Gastos com Pessoal'!$M$7:$M$506&lt;=K$3,1,0))*OFFSET('Gastos com Pessoal'!$H$6,1,MATCH(2&amp;$B48,'Gastos com Pessoal'!$I$532:$AJ$532&amp;'Gastos com Pessoal'!$I$6:$AJ$6,0),500,1)),0)+_xlfn.IFNA(SUM((K$3&gt;='Gastos com Pessoal'!$E$7:$E$506)*(K$3&lt;='Gastos com Pessoal'!$F$7:$F$506)*(IF('Gastos com Pessoal'!$S$7:$S$506&lt;=K$3,1,0))*OFFSET('Gastos com Pessoal'!$H$6,1,MATCH(3&amp;$B48,'Gastos com Pessoal'!$I$532:$AJ$532&amp;'Gastos com Pessoal'!$I$6:$AJ$6,0),500,1)),0)+_xlfn.IFNA(SUM((K$3&gt;='Gastos com Pessoal'!$E$7:$E$506)*(K$3&lt;='Gastos com Pessoal'!$F$7:$F$506)*(IF('Gastos com Pessoal'!$Y$7:$Y$506&lt;=K$3,1,0))*OFFSET('Gastos com Pessoal'!$H$6,1,MATCH(4&amp;$B48,'Gastos com Pessoal'!$I$532:$AJ$532&amp;'Gastos com Pessoal'!$I$6:$AJ$6,0),500,1)),0)+_xlfn.IFNA(SUM((K$3&gt;='Gastos com Pessoal'!$E$7:$E$506)*(K$3&lt;='Gastos com Pessoal'!$F$7:$F$506)*(IF('Gastos com Pessoal'!$AE$7:$AE$506&lt;=K$3,1,0))*OFFSET('Gastos com Pessoal'!$H$6,1,MATCH(5&amp;$B48,'Gastos com Pessoal'!$I$532:$AJ$532&amp;'Gastos com Pessoal'!$I$6:$AJ$6,0),500,1)),0)+_xlfn.IFNA(SUM((K$3&gt;='Gastos com Pessoal'!$E$513:$E$522)*(K$3&lt;='Gastos com Pessoal'!$F$513:$F$522)*(IF('Gastos com Pessoal'!$G$513:$G$522&lt;=K$3,1,0))*OFFSET('Gastos com Pessoal'!$H$512,1,MATCH(1&amp;$B48,'Gastos com Pessoal'!$I$532:$AJ$532&amp;'Gastos com Pessoal'!$I$512:$AJ$512,0),10,1)),0)+_xlfn.IFNA(SUM((K$3&gt;='Gastos com Pessoal'!$E$513:$E$522)*(K$3&lt;='Gastos com Pessoal'!$F$513:$F$522)*(IF('Gastos com Pessoal'!$M$513:$M$522&lt;=K$3,1,0))*OFFSET('Gastos com Pessoal'!$H$512,1,MATCH(2&amp;$B48,'Gastos com Pessoal'!$I$532:$AJ$532&amp;'Gastos com Pessoal'!$I$512:$AJ$512,0),10,1)),0)+_xlfn.IFNA(SUM((K$3&gt;='Gastos com Pessoal'!$E$513:$E$522)*(K$3&lt;='Gastos com Pessoal'!$F$513:$F$522)*(IF('Gastos com Pessoal'!$S$513:$S$522&lt;=K$3,1,0))*OFFSET('Gastos com Pessoal'!$H$512,1,MATCH(3&amp;$B48,'Gastos com Pessoal'!$I$532:$AJ$532&amp;'Gastos com Pessoal'!$I$512:$AJ$512,0),10,1)),0)+_xlfn.IFNA(SUM((K$3&gt;='Gastos com Pessoal'!$E$513:$E$522)*(K$3&lt;='Gastos com Pessoal'!$F$513:$F$522)*(IF('Gastos com Pessoal'!$Y$513:$Y$522&lt;=K$3,1,0))*OFFSET('Gastos com Pessoal'!$H$512,1,MATCH(4&amp;$B48,'Gastos com Pessoal'!$I$532:$AJ$532&amp;'Gastos com Pessoal'!$I$512:$AJ$512,0),10,1)),0)+_xlfn.IFNA(SUM((K$3&gt;='Gastos com Pessoal'!$E$513:$E$522)*(K$3&lt;='Gastos com Pessoal'!$F$513:$F$522)*(IF('Gastos com Pessoal'!$AE$513:$AE$522&lt;=K$3,1,0))*OFFSET('Gastos com Pessoal'!$H$512,1,MATCH(5&amp;$B48,'Gastos com Pessoal'!$I$532:$AJ$532&amp;'Gastos com Pessoal'!$I$512:$AJ$512,0),10,1)),0)</f>
        <v>57095.208095999937</v>
      </c>
      <c r="L48" s="188">
        <f t="array" aca="1" ref="L48" ca="1">_xlfn.IFNA(SUM((L$3&gt;='Gastos com Pessoal'!$E$7:$E$506)*(L$3&lt;='Gastos com Pessoal'!$F$7:$F$506)*OFFSET('Encargos e Benefícios'!$D$5,1,MATCH($B48,'Encargos e Benefícios'!$E$5:$AB$5,0),500,1)),0)+_xlfn.IFNA(SUM((L$3&gt;='Gastos com Pessoal'!$E$513:$E$522)*(L$3&lt;='Gastos com Pessoal'!$F$513:$F$522)*OFFSET('Encargos e Benefícios'!$D$511,1,MATCH($B48,'Encargos e Benefícios'!$E$511:$AB$511,0),10,1)),0)+_xlfn.IFNA(SUM((L$3&gt;='Gastos com Pessoal'!$E$7:$E$506)*(L$3&lt;='Gastos com Pessoal'!$F$7:$F$506)*(IF('Gastos com Pessoal'!$G$7:$G$506&lt;=L$3,1,0))*OFFSET('Gastos com Pessoal'!$H$6,1,MATCH(1&amp;$B48,'Gastos com Pessoal'!$I$532:$AJ$532&amp;'Gastos com Pessoal'!$I$6:$AJ$6,0),500,1)),0)+_xlfn.IFNA(SUM((L$3&gt;='Gastos com Pessoal'!$E$7:$E$506)*(L$3&lt;='Gastos com Pessoal'!$F$7:$F$506)*(IF('Gastos com Pessoal'!$M$7:$M$506&lt;=L$3,1,0))*OFFSET('Gastos com Pessoal'!$H$6,1,MATCH(2&amp;$B48,'Gastos com Pessoal'!$I$532:$AJ$532&amp;'Gastos com Pessoal'!$I$6:$AJ$6,0),500,1)),0)+_xlfn.IFNA(SUM((L$3&gt;='Gastos com Pessoal'!$E$7:$E$506)*(L$3&lt;='Gastos com Pessoal'!$F$7:$F$506)*(IF('Gastos com Pessoal'!$S$7:$S$506&lt;=L$3,1,0))*OFFSET('Gastos com Pessoal'!$H$6,1,MATCH(3&amp;$B48,'Gastos com Pessoal'!$I$532:$AJ$532&amp;'Gastos com Pessoal'!$I$6:$AJ$6,0),500,1)),0)+_xlfn.IFNA(SUM((L$3&gt;='Gastos com Pessoal'!$E$7:$E$506)*(L$3&lt;='Gastos com Pessoal'!$F$7:$F$506)*(IF('Gastos com Pessoal'!$Y$7:$Y$506&lt;=L$3,1,0))*OFFSET('Gastos com Pessoal'!$H$6,1,MATCH(4&amp;$B48,'Gastos com Pessoal'!$I$532:$AJ$532&amp;'Gastos com Pessoal'!$I$6:$AJ$6,0),500,1)),0)+_xlfn.IFNA(SUM((L$3&gt;='Gastos com Pessoal'!$E$7:$E$506)*(L$3&lt;='Gastos com Pessoal'!$F$7:$F$506)*(IF('Gastos com Pessoal'!$AE$7:$AE$506&lt;=L$3,1,0))*OFFSET('Gastos com Pessoal'!$H$6,1,MATCH(5&amp;$B48,'Gastos com Pessoal'!$I$532:$AJ$532&amp;'Gastos com Pessoal'!$I$6:$AJ$6,0),500,1)),0)+_xlfn.IFNA(SUM((L$3&gt;='Gastos com Pessoal'!$E$513:$E$522)*(L$3&lt;='Gastos com Pessoal'!$F$513:$F$522)*(IF('Gastos com Pessoal'!$G$513:$G$522&lt;=L$3,1,0))*OFFSET('Gastos com Pessoal'!$H$512,1,MATCH(1&amp;$B48,'Gastos com Pessoal'!$I$532:$AJ$532&amp;'Gastos com Pessoal'!$I$512:$AJ$512,0),10,1)),0)+_xlfn.IFNA(SUM((L$3&gt;='Gastos com Pessoal'!$E$513:$E$522)*(L$3&lt;='Gastos com Pessoal'!$F$513:$F$522)*(IF('Gastos com Pessoal'!$M$513:$M$522&lt;=L$3,1,0))*OFFSET('Gastos com Pessoal'!$H$512,1,MATCH(2&amp;$B48,'Gastos com Pessoal'!$I$532:$AJ$532&amp;'Gastos com Pessoal'!$I$512:$AJ$512,0),10,1)),0)+_xlfn.IFNA(SUM((L$3&gt;='Gastos com Pessoal'!$E$513:$E$522)*(L$3&lt;='Gastos com Pessoal'!$F$513:$F$522)*(IF('Gastos com Pessoal'!$S$513:$S$522&lt;=L$3,1,0))*OFFSET('Gastos com Pessoal'!$H$512,1,MATCH(3&amp;$B48,'Gastos com Pessoal'!$I$532:$AJ$532&amp;'Gastos com Pessoal'!$I$512:$AJ$512,0),10,1)),0)+_xlfn.IFNA(SUM((L$3&gt;='Gastos com Pessoal'!$E$513:$E$522)*(L$3&lt;='Gastos com Pessoal'!$F$513:$F$522)*(IF('Gastos com Pessoal'!$Y$513:$Y$522&lt;=L$3,1,0))*OFFSET('Gastos com Pessoal'!$H$512,1,MATCH(4&amp;$B48,'Gastos com Pessoal'!$I$532:$AJ$532&amp;'Gastos com Pessoal'!$I$512:$AJ$512,0),10,1)),0)+_xlfn.IFNA(SUM((L$3&gt;='Gastos com Pessoal'!$E$513:$E$522)*(L$3&lt;='Gastos com Pessoal'!$F$513:$F$522)*(IF('Gastos com Pessoal'!$AE$513:$AE$522&lt;=L$3,1,0))*OFFSET('Gastos com Pessoal'!$H$512,1,MATCH(5&amp;$B48,'Gastos com Pessoal'!$I$532:$AJ$532&amp;'Gastos com Pessoal'!$I$512:$AJ$512,0),10,1)),0)</f>
        <v>57095.208095999937</v>
      </c>
      <c r="M48" s="188">
        <f t="array" aca="1" ref="M48" ca="1">_xlfn.IFNA(SUM((M$3&gt;='Gastos com Pessoal'!$E$7:$E$506)*(M$3&lt;='Gastos com Pessoal'!$F$7:$F$506)*OFFSET('Encargos e Benefícios'!$D$5,1,MATCH($B48,'Encargos e Benefícios'!$E$5:$AB$5,0),500,1)),0)+_xlfn.IFNA(SUM((M$3&gt;='Gastos com Pessoal'!$E$513:$E$522)*(M$3&lt;='Gastos com Pessoal'!$F$513:$F$522)*OFFSET('Encargos e Benefícios'!$D$511,1,MATCH($B48,'Encargos e Benefícios'!$E$511:$AB$511,0),10,1)),0)+_xlfn.IFNA(SUM((M$3&gt;='Gastos com Pessoal'!$E$7:$E$506)*(M$3&lt;='Gastos com Pessoal'!$F$7:$F$506)*(IF('Gastos com Pessoal'!$G$7:$G$506&lt;=M$3,1,0))*OFFSET('Gastos com Pessoal'!$H$6,1,MATCH(1&amp;$B48,'Gastos com Pessoal'!$I$532:$AJ$532&amp;'Gastos com Pessoal'!$I$6:$AJ$6,0),500,1)),0)+_xlfn.IFNA(SUM((M$3&gt;='Gastos com Pessoal'!$E$7:$E$506)*(M$3&lt;='Gastos com Pessoal'!$F$7:$F$506)*(IF('Gastos com Pessoal'!$M$7:$M$506&lt;=M$3,1,0))*OFFSET('Gastos com Pessoal'!$H$6,1,MATCH(2&amp;$B48,'Gastos com Pessoal'!$I$532:$AJ$532&amp;'Gastos com Pessoal'!$I$6:$AJ$6,0),500,1)),0)+_xlfn.IFNA(SUM((M$3&gt;='Gastos com Pessoal'!$E$7:$E$506)*(M$3&lt;='Gastos com Pessoal'!$F$7:$F$506)*(IF('Gastos com Pessoal'!$S$7:$S$506&lt;=M$3,1,0))*OFFSET('Gastos com Pessoal'!$H$6,1,MATCH(3&amp;$B48,'Gastos com Pessoal'!$I$532:$AJ$532&amp;'Gastos com Pessoal'!$I$6:$AJ$6,0),500,1)),0)+_xlfn.IFNA(SUM((M$3&gt;='Gastos com Pessoal'!$E$7:$E$506)*(M$3&lt;='Gastos com Pessoal'!$F$7:$F$506)*(IF('Gastos com Pessoal'!$Y$7:$Y$506&lt;=M$3,1,0))*OFFSET('Gastos com Pessoal'!$H$6,1,MATCH(4&amp;$B48,'Gastos com Pessoal'!$I$532:$AJ$532&amp;'Gastos com Pessoal'!$I$6:$AJ$6,0),500,1)),0)+_xlfn.IFNA(SUM((M$3&gt;='Gastos com Pessoal'!$E$7:$E$506)*(M$3&lt;='Gastos com Pessoal'!$F$7:$F$506)*(IF('Gastos com Pessoal'!$AE$7:$AE$506&lt;=M$3,1,0))*OFFSET('Gastos com Pessoal'!$H$6,1,MATCH(5&amp;$B48,'Gastos com Pessoal'!$I$532:$AJ$532&amp;'Gastos com Pessoal'!$I$6:$AJ$6,0),500,1)),0)+_xlfn.IFNA(SUM((M$3&gt;='Gastos com Pessoal'!$E$513:$E$522)*(M$3&lt;='Gastos com Pessoal'!$F$513:$F$522)*(IF('Gastos com Pessoal'!$G$513:$G$522&lt;=M$3,1,0))*OFFSET('Gastos com Pessoal'!$H$512,1,MATCH(1&amp;$B48,'Gastos com Pessoal'!$I$532:$AJ$532&amp;'Gastos com Pessoal'!$I$512:$AJ$512,0),10,1)),0)+_xlfn.IFNA(SUM((M$3&gt;='Gastos com Pessoal'!$E$513:$E$522)*(M$3&lt;='Gastos com Pessoal'!$F$513:$F$522)*(IF('Gastos com Pessoal'!$M$513:$M$522&lt;=M$3,1,0))*OFFSET('Gastos com Pessoal'!$H$512,1,MATCH(2&amp;$B48,'Gastos com Pessoal'!$I$532:$AJ$532&amp;'Gastos com Pessoal'!$I$512:$AJ$512,0),10,1)),0)+_xlfn.IFNA(SUM((M$3&gt;='Gastos com Pessoal'!$E$513:$E$522)*(M$3&lt;='Gastos com Pessoal'!$F$513:$F$522)*(IF('Gastos com Pessoal'!$S$513:$S$522&lt;=M$3,1,0))*OFFSET('Gastos com Pessoal'!$H$512,1,MATCH(3&amp;$B48,'Gastos com Pessoal'!$I$532:$AJ$532&amp;'Gastos com Pessoal'!$I$512:$AJ$512,0),10,1)),0)+_xlfn.IFNA(SUM((M$3&gt;='Gastos com Pessoal'!$E$513:$E$522)*(M$3&lt;='Gastos com Pessoal'!$F$513:$F$522)*(IF('Gastos com Pessoal'!$Y$513:$Y$522&lt;=M$3,1,0))*OFFSET('Gastos com Pessoal'!$H$512,1,MATCH(4&amp;$B48,'Gastos com Pessoal'!$I$532:$AJ$532&amp;'Gastos com Pessoal'!$I$512:$AJ$512,0),10,1)),0)+_xlfn.IFNA(SUM((M$3&gt;='Gastos com Pessoal'!$E$513:$E$522)*(M$3&lt;='Gastos com Pessoal'!$F$513:$F$522)*(IF('Gastos com Pessoal'!$AE$513:$AE$522&lt;=M$3,1,0))*OFFSET('Gastos com Pessoal'!$H$512,1,MATCH(5&amp;$B48,'Gastos com Pessoal'!$I$532:$AJ$532&amp;'Gastos com Pessoal'!$I$512:$AJ$512,0),10,1)),0)</f>
        <v>57095.208095999937</v>
      </c>
      <c r="N48" s="188">
        <f t="array" aca="1" ref="N48" ca="1">_xlfn.IFNA(SUM((N$3&gt;='Gastos com Pessoal'!$E$7:$E$506)*(N$3&lt;='Gastos com Pessoal'!$F$7:$F$506)*OFFSET('Encargos e Benefícios'!$D$5,1,MATCH($B48,'Encargos e Benefícios'!$E$5:$AB$5,0),500,1)),0)+_xlfn.IFNA(SUM((N$3&gt;='Gastos com Pessoal'!$E$513:$E$522)*(N$3&lt;='Gastos com Pessoal'!$F$513:$F$522)*OFFSET('Encargos e Benefícios'!$D$511,1,MATCH($B48,'Encargos e Benefícios'!$E$511:$AB$511,0),10,1)),0)+_xlfn.IFNA(SUM((N$3&gt;='Gastos com Pessoal'!$E$7:$E$506)*(N$3&lt;='Gastos com Pessoal'!$F$7:$F$506)*(IF('Gastos com Pessoal'!$G$7:$G$506&lt;=N$3,1,0))*OFFSET('Gastos com Pessoal'!$H$6,1,MATCH(1&amp;$B48,'Gastos com Pessoal'!$I$532:$AJ$532&amp;'Gastos com Pessoal'!$I$6:$AJ$6,0),500,1)),0)+_xlfn.IFNA(SUM((N$3&gt;='Gastos com Pessoal'!$E$7:$E$506)*(N$3&lt;='Gastos com Pessoal'!$F$7:$F$506)*(IF('Gastos com Pessoal'!$M$7:$M$506&lt;=N$3,1,0))*OFFSET('Gastos com Pessoal'!$H$6,1,MATCH(2&amp;$B48,'Gastos com Pessoal'!$I$532:$AJ$532&amp;'Gastos com Pessoal'!$I$6:$AJ$6,0),500,1)),0)+_xlfn.IFNA(SUM((N$3&gt;='Gastos com Pessoal'!$E$7:$E$506)*(N$3&lt;='Gastos com Pessoal'!$F$7:$F$506)*(IF('Gastos com Pessoal'!$S$7:$S$506&lt;=N$3,1,0))*OFFSET('Gastos com Pessoal'!$H$6,1,MATCH(3&amp;$B48,'Gastos com Pessoal'!$I$532:$AJ$532&amp;'Gastos com Pessoal'!$I$6:$AJ$6,0),500,1)),0)+_xlfn.IFNA(SUM((N$3&gt;='Gastos com Pessoal'!$E$7:$E$506)*(N$3&lt;='Gastos com Pessoal'!$F$7:$F$506)*(IF('Gastos com Pessoal'!$Y$7:$Y$506&lt;=N$3,1,0))*OFFSET('Gastos com Pessoal'!$H$6,1,MATCH(4&amp;$B48,'Gastos com Pessoal'!$I$532:$AJ$532&amp;'Gastos com Pessoal'!$I$6:$AJ$6,0),500,1)),0)+_xlfn.IFNA(SUM((N$3&gt;='Gastos com Pessoal'!$E$7:$E$506)*(N$3&lt;='Gastos com Pessoal'!$F$7:$F$506)*(IF('Gastos com Pessoal'!$AE$7:$AE$506&lt;=N$3,1,0))*OFFSET('Gastos com Pessoal'!$H$6,1,MATCH(5&amp;$B48,'Gastos com Pessoal'!$I$532:$AJ$532&amp;'Gastos com Pessoal'!$I$6:$AJ$6,0),500,1)),0)+_xlfn.IFNA(SUM((N$3&gt;='Gastos com Pessoal'!$E$513:$E$522)*(N$3&lt;='Gastos com Pessoal'!$F$513:$F$522)*(IF('Gastos com Pessoal'!$G$513:$G$522&lt;=N$3,1,0))*OFFSET('Gastos com Pessoal'!$H$512,1,MATCH(1&amp;$B48,'Gastos com Pessoal'!$I$532:$AJ$532&amp;'Gastos com Pessoal'!$I$512:$AJ$512,0),10,1)),0)+_xlfn.IFNA(SUM((N$3&gt;='Gastos com Pessoal'!$E$513:$E$522)*(N$3&lt;='Gastos com Pessoal'!$F$513:$F$522)*(IF('Gastos com Pessoal'!$M$513:$M$522&lt;=N$3,1,0))*OFFSET('Gastos com Pessoal'!$H$512,1,MATCH(2&amp;$B48,'Gastos com Pessoal'!$I$532:$AJ$532&amp;'Gastos com Pessoal'!$I$512:$AJ$512,0),10,1)),0)+_xlfn.IFNA(SUM((N$3&gt;='Gastos com Pessoal'!$E$513:$E$522)*(N$3&lt;='Gastos com Pessoal'!$F$513:$F$522)*(IF('Gastos com Pessoal'!$S$513:$S$522&lt;=N$3,1,0))*OFFSET('Gastos com Pessoal'!$H$512,1,MATCH(3&amp;$B48,'Gastos com Pessoal'!$I$532:$AJ$532&amp;'Gastos com Pessoal'!$I$512:$AJ$512,0),10,1)),0)+_xlfn.IFNA(SUM((N$3&gt;='Gastos com Pessoal'!$E$513:$E$522)*(N$3&lt;='Gastos com Pessoal'!$F$513:$F$522)*(IF('Gastos com Pessoal'!$Y$513:$Y$522&lt;=N$3,1,0))*OFFSET('Gastos com Pessoal'!$H$512,1,MATCH(4&amp;$B48,'Gastos com Pessoal'!$I$532:$AJ$532&amp;'Gastos com Pessoal'!$I$512:$AJ$512,0),10,1)),0)+_xlfn.IFNA(SUM((N$3&gt;='Gastos com Pessoal'!$E$513:$E$522)*(N$3&lt;='Gastos com Pessoal'!$F$513:$F$522)*(IF('Gastos com Pessoal'!$AE$513:$AE$522&lt;=N$3,1,0))*OFFSET('Gastos com Pessoal'!$H$512,1,MATCH(5&amp;$B48,'Gastos com Pessoal'!$I$532:$AJ$532&amp;'Gastos com Pessoal'!$I$512:$AJ$512,0),10,1)),0)</f>
        <v>59775.318095999915</v>
      </c>
      <c r="O48" s="188">
        <f t="array" aca="1" ref="O48" ca="1">_xlfn.IFNA(SUM((O$3&gt;='Gastos com Pessoal'!$E$7:$E$506)*(O$3&lt;='Gastos com Pessoal'!$F$7:$F$506)*OFFSET('Encargos e Benefícios'!$D$5,1,MATCH($B48,'Encargos e Benefícios'!$E$5:$AB$5,0),500,1)),0)+_xlfn.IFNA(SUM((O$3&gt;='Gastos com Pessoal'!$E$513:$E$522)*(O$3&lt;='Gastos com Pessoal'!$F$513:$F$522)*OFFSET('Encargos e Benefícios'!$D$511,1,MATCH($B48,'Encargos e Benefícios'!$E$511:$AB$511,0),10,1)),0)+_xlfn.IFNA(SUM((O$3&gt;='Gastos com Pessoal'!$E$7:$E$506)*(O$3&lt;='Gastos com Pessoal'!$F$7:$F$506)*(IF('Gastos com Pessoal'!$G$7:$G$506&lt;=O$3,1,0))*OFFSET('Gastos com Pessoal'!$H$6,1,MATCH(1&amp;$B48,'Gastos com Pessoal'!$I$532:$AJ$532&amp;'Gastos com Pessoal'!$I$6:$AJ$6,0),500,1)),0)+_xlfn.IFNA(SUM((O$3&gt;='Gastos com Pessoal'!$E$7:$E$506)*(O$3&lt;='Gastos com Pessoal'!$F$7:$F$506)*(IF('Gastos com Pessoal'!$M$7:$M$506&lt;=O$3,1,0))*OFFSET('Gastos com Pessoal'!$H$6,1,MATCH(2&amp;$B48,'Gastos com Pessoal'!$I$532:$AJ$532&amp;'Gastos com Pessoal'!$I$6:$AJ$6,0),500,1)),0)+_xlfn.IFNA(SUM((O$3&gt;='Gastos com Pessoal'!$E$7:$E$506)*(O$3&lt;='Gastos com Pessoal'!$F$7:$F$506)*(IF('Gastos com Pessoal'!$S$7:$S$506&lt;=O$3,1,0))*OFFSET('Gastos com Pessoal'!$H$6,1,MATCH(3&amp;$B48,'Gastos com Pessoal'!$I$532:$AJ$532&amp;'Gastos com Pessoal'!$I$6:$AJ$6,0),500,1)),0)+_xlfn.IFNA(SUM((O$3&gt;='Gastos com Pessoal'!$E$7:$E$506)*(O$3&lt;='Gastos com Pessoal'!$F$7:$F$506)*(IF('Gastos com Pessoal'!$Y$7:$Y$506&lt;=O$3,1,0))*OFFSET('Gastos com Pessoal'!$H$6,1,MATCH(4&amp;$B48,'Gastos com Pessoal'!$I$532:$AJ$532&amp;'Gastos com Pessoal'!$I$6:$AJ$6,0),500,1)),0)+_xlfn.IFNA(SUM((O$3&gt;='Gastos com Pessoal'!$E$7:$E$506)*(O$3&lt;='Gastos com Pessoal'!$F$7:$F$506)*(IF('Gastos com Pessoal'!$AE$7:$AE$506&lt;=O$3,1,0))*OFFSET('Gastos com Pessoal'!$H$6,1,MATCH(5&amp;$B48,'Gastos com Pessoal'!$I$532:$AJ$532&amp;'Gastos com Pessoal'!$I$6:$AJ$6,0),500,1)),0)+_xlfn.IFNA(SUM((O$3&gt;='Gastos com Pessoal'!$E$513:$E$522)*(O$3&lt;='Gastos com Pessoal'!$F$513:$F$522)*(IF('Gastos com Pessoal'!$G$513:$G$522&lt;=O$3,1,0))*OFFSET('Gastos com Pessoal'!$H$512,1,MATCH(1&amp;$B48,'Gastos com Pessoal'!$I$532:$AJ$532&amp;'Gastos com Pessoal'!$I$512:$AJ$512,0),10,1)),0)+_xlfn.IFNA(SUM((O$3&gt;='Gastos com Pessoal'!$E$513:$E$522)*(O$3&lt;='Gastos com Pessoal'!$F$513:$F$522)*(IF('Gastos com Pessoal'!$M$513:$M$522&lt;=O$3,1,0))*OFFSET('Gastos com Pessoal'!$H$512,1,MATCH(2&amp;$B48,'Gastos com Pessoal'!$I$532:$AJ$532&amp;'Gastos com Pessoal'!$I$512:$AJ$512,0),10,1)),0)+_xlfn.IFNA(SUM((O$3&gt;='Gastos com Pessoal'!$E$513:$E$522)*(O$3&lt;='Gastos com Pessoal'!$F$513:$F$522)*(IF('Gastos com Pessoal'!$S$513:$S$522&lt;=O$3,1,0))*OFFSET('Gastos com Pessoal'!$H$512,1,MATCH(3&amp;$B48,'Gastos com Pessoal'!$I$532:$AJ$532&amp;'Gastos com Pessoal'!$I$512:$AJ$512,0),10,1)),0)+_xlfn.IFNA(SUM((O$3&gt;='Gastos com Pessoal'!$E$513:$E$522)*(O$3&lt;='Gastos com Pessoal'!$F$513:$F$522)*(IF('Gastos com Pessoal'!$Y$513:$Y$522&lt;=O$3,1,0))*OFFSET('Gastos com Pessoal'!$H$512,1,MATCH(4&amp;$B48,'Gastos com Pessoal'!$I$532:$AJ$532&amp;'Gastos com Pessoal'!$I$512:$AJ$512,0),10,1)),0)+_xlfn.IFNA(SUM((O$3&gt;='Gastos com Pessoal'!$E$513:$E$522)*(O$3&lt;='Gastos com Pessoal'!$F$513:$F$522)*(IF('Gastos com Pessoal'!$AE$513:$AE$522&lt;=O$3,1,0))*OFFSET('Gastos com Pessoal'!$H$512,1,MATCH(5&amp;$B48,'Gastos com Pessoal'!$I$532:$AJ$532&amp;'Gastos com Pessoal'!$I$512:$AJ$512,0),10,1)),0)</f>
        <v>59775.318095999915</v>
      </c>
      <c r="P48" s="188">
        <f t="array" aca="1" ref="P48" ca="1">_xlfn.IFNA(SUM((P$3&gt;='Gastos com Pessoal'!$E$7:$E$506)*(P$3&lt;='Gastos com Pessoal'!$F$7:$F$506)*OFFSET('Encargos e Benefícios'!$D$5,1,MATCH($B48,'Encargos e Benefícios'!$E$5:$AB$5,0),500,1)),0)+_xlfn.IFNA(SUM((P$3&gt;='Gastos com Pessoal'!$E$513:$E$522)*(P$3&lt;='Gastos com Pessoal'!$F$513:$F$522)*OFFSET('Encargos e Benefícios'!$D$511,1,MATCH($B48,'Encargos e Benefícios'!$E$511:$AB$511,0),10,1)),0)+_xlfn.IFNA(SUM((P$3&gt;='Gastos com Pessoal'!$E$7:$E$506)*(P$3&lt;='Gastos com Pessoal'!$F$7:$F$506)*(IF('Gastos com Pessoal'!$G$7:$G$506&lt;=P$3,1,0))*OFFSET('Gastos com Pessoal'!$H$6,1,MATCH(1&amp;$B48,'Gastos com Pessoal'!$I$532:$AJ$532&amp;'Gastos com Pessoal'!$I$6:$AJ$6,0),500,1)),0)+_xlfn.IFNA(SUM((P$3&gt;='Gastos com Pessoal'!$E$7:$E$506)*(P$3&lt;='Gastos com Pessoal'!$F$7:$F$506)*(IF('Gastos com Pessoal'!$M$7:$M$506&lt;=P$3,1,0))*OFFSET('Gastos com Pessoal'!$H$6,1,MATCH(2&amp;$B48,'Gastos com Pessoal'!$I$532:$AJ$532&amp;'Gastos com Pessoal'!$I$6:$AJ$6,0),500,1)),0)+_xlfn.IFNA(SUM((P$3&gt;='Gastos com Pessoal'!$E$7:$E$506)*(P$3&lt;='Gastos com Pessoal'!$F$7:$F$506)*(IF('Gastos com Pessoal'!$S$7:$S$506&lt;=P$3,1,0))*OFFSET('Gastos com Pessoal'!$H$6,1,MATCH(3&amp;$B48,'Gastos com Pessoal'!$I$532:$AJ$532&amp;'Gastos com Pessoal'!$I$6:$AJ$6,0),500,1)),0)+_xlfn.IFNA(SUM((P$3&gt;='Gastos com Pessoal'!$E$7:$E$506)*(P$3&lt;='Gastos com Pessoal'!$F$7:$F$506)*(IF('Gastos com Pessoal'!$Y$7:$Y$506&lt;=P$3,1,0))*OFFSET('Gastos com Pessoal'!$H$6,1,MATCH(4&amp;$B48,'Gastos com Pessoal'!$I$532:$AJ$532&amp;'Gastos com Pessoal'!$I$6:$AJ$6,0),500,1)),0)+_xlfn.IFNA(SUM((P$3&gt;='Gastos com Pessoal'!$E$7:$E$506)*(P$3&lt;='Gastos com Pessoal'!$F$7:$F$506)*(IF('Gastos com Pessoal'!$AE$7:$AE$506&lt;=P$3,1,0))*OFFSET('Gastos com Pessoal'!$H$6,1,MATCH(5&amp;$B48,'Gastos com Pessoal'!$I$532:$AJ$532&amp;'Gastos com Pessoal'!$I$6:$AJ$6,0),500,1)),0)+_xlfn.IFNA(SUM((P$3&gt;='Gastos com Pessoal'!$E$513:$E$522)*(P$3&lt;='Gastos com Pessoal'!$F$513:$F$522)*(IF('Gastos com Pessoal'!$G$513:$G$522&lt;=P$3,1,0))*OFFSET('Gastos com Pessoal'!$H$512,1,MATCH(1&amp;$B48,'Gastos com Pessoal'!$I$532:$AJ$532&amp;'Gastos com Pessoal'!$I$512:$AJ$512,0),10,1)),0)+_xlfn.IFNA(SUM((P$3&gt;='Gastos com Pessoal'!$E$513:$E$522)*(P$3&lt;='Gastos com Pessoal'!$F$513:$F$522)*(IF('Gastos com Pessoal'!$M$513:$M$522&lt;=P$3,1,0))*OFFSET('Gastos com Pessoal'!$H$512,1,MATCH(2&amp;$B48,'Gastos com Pessoal'!$I$532:$AJ$532&amp;'Gastos com Pessoal'!$I$512:$AJ$512,0),10,1)),0)+_xlfn.IFNA(SUM((P$3&gt;='Gastos com Pessoal'!$E$513:$E$522)*(P$3&lt;='Gastos com Pessoal'!$F$513:$F$522)*(IF('Gastos com Pessoal'!$S$513:$S$522&lt;=P$3,1,0))*OFFSET('Gastos com Pessoal'!$H$512,1,MATCH(3&amp;$B48,'Gastos com Pessoal'!$I$532:$AJ$532&amp;'Gastos com Pessoal'!$I$512:$AJ$512,0),10,1)),0)+_xlfn.IFNA(SUM((P$3&gt;='Gastos com Pessoal'!$E$513:$E$522)*(P$3&lt;='Gastos com Pessoal'!$F$513:$F$522)*(IF('Gastos com Pessoal'!$Y$513:$Y$522&lt;=P$3,1,0))*OFFSET('Gastos com Pessoal'!$H$512,1,MATCH(4&amp;$B48,'Gastos com Pessoal'!$I$532:$AJ$532&amp;'Gastos com Pessoal'!$I$512:$AJ$512,0),10,1)),0)+_xlfn.IFNA(SUM((P$3&gt;='Gastos com Pessoal'!$E$513:$E$522)*(P$3&lt;='Gastos com Pessoal'!$F$513:$F$522)*(IF('Gastos com Pessoal'!$AE$513:$AE$522&lt;=P$3,1,0))*OFFSET('Gastos com Pessoal'!$H$512,1,MATCH(5&amp;$B48,'Gastos com Pessoal'!$I$532:$AJ$532&amp;'Gastos com Pessoal'!$I$512:$AJ$512,0),10,1)),0)</f>
        <v>59775.318095999915</v>
      </c>
      <c r="Q48" s="188">
        <f t="array" aca="1" ref="Q48" ca="1">_xlfn.IFNA(SUM((Q$3&gt;='Gastos com Pessoal'!$E$7:$E$506)*(Q$3&lt;='Gastos com Pessoal'!$F$7:$F$506)*OFFSET('Encargos e Benefícios'!$D$5,1,MATCH($B48,'Encargos e Benefícios'!$E$5:$AB$5,0),500,1)),0)+_xlfn.IFNA(SUM((Q$3&gt;='Gastos com Pessoal'!$E$513:$E$522)*(Q$3&lt;='Gastos com Pessoal'!$F$513:$F$522)*OFFSET('Encargos e Benefícios'!$D$511,1,MATCH($B48,'Encargos e Benefícios'!$E$511:$AB$511,0),10,1)),0)+_xlfn.IFNA(SUM((Q$3&gt;='Gastos com Pessoal'!$E$7:$E$506)*(Q$3&lt;='Gastos com Pessoal'!$F$7:$F$506)*(IF('Gastos com Pessoal'!$G$7:$G$506&lt;=Q$3,1,0))*OFFSET('Gastos com Pessoal'!$H$6,1,MATCH(1&amp;$B48,'Gastos com Pessoal'!$I$532:$AJ$532&amp;'Gastos com Pessoal'!$I$6:$AJ$6,0),500,1)),0)+_xlfn.IFNA(SUM((Q$3&gt;='Gastos com Pessoal'!$E$7:$E$506)*(Q$3&lt;='Gastos com Pessoal'!$F$7:$F$506)*(IF('Gastos com Pessoal'!$M$7:$M$506&lt;=Q$3,1,0))*OFFSET('Gastos com Pessoal'!$H$6,1,MATCH(2&amp;$B48,'Gastos com Pessoal'!$I$532:$AJ$532&amp;'Gastos com Pessoal'!$I$6:$AJ$6,0),500,1)),0)+_xlfn.IFNA(SUM((Q$3&gt;='Gastos com Pessoal'!$E$7:$E$506)*(Q$3&lt;='Gastos com Pessoal'!$F$7:$F$506)*(IF('Gastos com Pessoal'!$S$7:$S$506&lt;=Q$3,1,0))*OFFSET('Gastos com Pessoal'!$H$6,1,MATCH(3&amp;$B48,'Gastos com Pessoal'!$I$532:$AJ$532&amp;'Gastos com Pessoal'!$I$6:$AJ$6,0),500,1)),0)+_xlfn.IFNA(SUM((Q$3&gt;='Gastos com Pessoal'!$E$7:$E$506)*(Q$3&lt;='Gastos com Pessoal'!$F$7:$F$506)*(IF('Gastos com Pessoal'!$Y$7:$Y$506&lt;=Q$3,1,0))*OFFSET('Gastos com Pessoal'!$H$6,1,MATCH(4&amp;$B48,'Gastos com Pessoal'!$I$532:$AJ$532&amp;'Gastos com Pessoal'!$I$6:$AJ$6,0),500,1)),0)+_xlfn.IFNA(SUM((Q$3&gt;='Gastos com Pessoal'!$E$7:$E$506)*(Q$3&lt;='Gastos com Pessoal'!$F$7:$F$506)*(IF('Gastos com Pessoal'!$AE$7:$AE$506&lt;=Q$3,1,0))*OFFSET('Gastos com Pessoal'!$H$6,1,MATCH(5&amp;$B48,'Gastos com Pessoal'!$I$532:$AJ$532&amp;'Gastos com Pessoal'!$I$6:$AJ$6,0),500,1)),0)+_xlfn.IFNA(SUM((Q$3&gt;='Gastos com Pessoal'!$E$513:$E$522)*(Q$3&lt;='Gastos com Pessoal'!$F$513:$F$522)*(IF('Gastos com Pessoal'!$G$513:$G$522&lt;=Q$3,1,0))*OFFSET('Gastos com Pessoal'!$H$512,1,MATCH(1&amp;$B48,'Gastos com Pessoal'!$I$532:$AJ$532&amp;'Gastos com Pessoal'!$I$512:$AJ$512,0),10,1)),0)+_xlfn.IFNA(SUM((Q$3&gt;='Gastos com Pessoal'!$E$513:$E$522)*(Q$3&lt;='Gastos com Pessoal'!$F$513:$F$522)*(IF('Gastos com Pessoal'!$M$513:$M$522&lt;=Q$3,1,0))*OFFSET('Gastos com Pessoal'!$H$512,1,MATCH(2&amp;$B48,'Gastos com Pessoal'!$I$532:$AJ$532&amp;'Gastos com Pessoal'!$I$512:$AJ$512,0),10,1)),0)+_xlfn.IFNA(SUM((Q$3&gt;='Gastos com Pessoal'!$E$513:$E$522)*(Q$3&lt;='Gastos com Pessoal'!$F$513:$F$522)*(IF('Gastos com Pessoal'!$S$513:$S$522&lt;=Q$3,1,0))*OFFSET('Gastos com Pessoal'!$H$512,1,MATCH(3&amp;$B48,'Gastos com Pessoal'!$I$532:$AJ$532&amp;'Gastos com Pessoal'!$I$512:$AJ$512,0),10,1)),0)+_xlfn.IFNA(SUM((Q$3&gt;='Gastos com Pessoal'!$E$513:$E$522)*(Q$3&lt;='Gastos com Pessoal'!$F$513:$F$522)*(IF('Gastos com Pessoal'!$Y$513:$Y$522&lt;=Q$3,1,0))*OFFSET('Gastos com Pessoal'!$H$512,1,MATCH(4&amp;$B48,'Gastos com Pessoal'!$I$532:$AJ$532&amp;'Gastos com Pessoal'!$I$512:$AJ$512,0),10,1)),0)+_xlfn.IFNA(SUM((Q$3&gt;='Gastos com Pessoal'!$E$513:$E$522)*(Q$3&lt;='Gastos com Pessoal'!$F$513:$F$522)*(IF('Gastos com Pessoal'!$AE$513:$AE$522&lt;=Q$3,1,0))*OFFSET('Gastos com Pessoal'!$H$512,1,MATCH(5&amp;$B48,'Gastos com Pessoal'!$I$532:$AJ$532&amp;'Gastos com Pessoal'!$I$512:$AJ$512,0),10,1)),0)</f>
        <v>59775.318095999915</v>
      </c>
      <c r="R48" s="188">
        <f t="array" aca="1" ref="R48" ca="1">_xlfn.IFNA(SUM((R$3&gt;='Gastos com Pessoal'!$E$7:$E$506)*(R$3&lt;='Gastos com Pessoal'!$F$7:$F$506)*OFFSET('Encargos e Benefícios'!$D$5,1,MATCH($B48,'Encargos e Benefícios'!$E$5:$AB$5,0),500,1)),0)+_xlfn.IFNA(SUM((R$3&gt;='Gastos com Pessoal'!$E$513:$E$522)*(R$3&lt;='Gastos com Pessoal'!$F$513:$F$522)*OFFSET('Encargos e Benefícios'!$D$511,1,MATCH($B48,'Encargos e Benefícios'!$E$511:$AB$511,0),10,1)),0)+_xlfn.IFNA(SUM((R$3&gt;='Gastos com Pessoal'!$E$7:$E$506)*(R$3&lt;='Gastos com Pessoal'!$F$7:$F$506)*(IF('Gastos com Pessoal'!$G$7:$G$506&lt;=R$3,1,0))*OFFSET('Gastos com Pessoal'!$H$6,1,MATCH(1&amp;$B48,'Gastos com Pessoal'!$I$532:$AJ$532&amp;'Gastos com Pessoal'!$I$6:$AJ$6,0),500,1)),0)+_xlfn.IFNA(SUM((R$3&gt;='Gastos com Pessoal'!$E$7:$E$506)*(R$3&lt;='Gastos com Pessoal'!$F$7:$F$506)*(IF('Gastos com Pessoal'!$M$7:$M$506&lt;=R$3,1,0))*OFFSET('Gastos com Pessoal'!$H$6,1,MATCH(2&amp;$B48,'Gastos com Pessoal'!$I$532:$AJ$532&amp;'Gastos com Pessoal'!$I$6:$AJ$6,0),500,1)),0)+_xlfn.IFNA(SUM((R$3&gt;='Gastos com Pessoal'!$E$7:$E$506)*(R$3&lt;='Gastos com Pessoal'!$F$7:$F$506)*(IF('Gastos com Pessoal'!$S$7:$S$506&lt;=R$3,1,0))*OFFSET('Gastos com Pessoal'!$H$6,1,MATCH(3&amp;$B48,'Gastos com Pessoal'!$I$532:$AJ$532&amp;'Gastos com Pessoal'!$I$6:$AJ$6,0),500,1)),0)+_xlfn.IFNA(SUM((R$3&gt;='Gastos com Pessoal'!$E$7:$E$506)*(R$3&lt;='Gastos com Pessoal'!$F$7:$F$506)*(IF('Gastos com Pessoal'!$Y$7:$Y$506&lt;=R$3,1,0))*OFFSET('Gastos com Pessoal'!$H$6,1,MATCH(4&amp;$B48,'Gastos com Pessoal'!$I$532:$AJ$532&amp;'Gastos com Pessoal'!$I$6:$AJ$6,0),500,1)),0)+_xlfn.IFNA(SUM((R$3&gt;='Gastos com Pessoal'!$E$7:$E$506)*(R$3&lt;='Gastos com Pessoal'!$F$7:$F$506)*(IF('Gastos com Pessoal'!$AE$7:$AE$506&lt;=R$3,1,0))*OFFSET('Gastos com Pessoal'!$H$6,1,MATCH(5&amp;$B48,'Gastos com Pessoal'!$I$532:$AJ$532&amp;'Gastos com Pessoal'!$I$6:$AJ$6,0),500,1)),0)+_xlfn.IFNA(SUM((R$3&gt;='Gastos com Pessoal'!$E$513:$E$522)*(R$3&lt;='Gastos com Pessoal'!$F$513:$F$522)*(IF('Gastos com Pessoal'!$G$513:$G$522&lt;=R$3,1,0))*OFFSET('Gastos com Pessoal'!$H$512,1,MATCH(1&amp;$B48,'Gastos com Pessoal'!$I$532:$AJ$532&amp;'Gastos com Pessoal'!$I$512:$AJ$512,0),10,1)),0)+_xlfn.IFNA(SUM((R$3&gt;='Gastos com Pessoal'!$E$513:$E$522)*(R$3&lt;='Gastos com Pessoal'!$F$513:$F$522)*(IF('Gastos com Pessoal'!$M$513:$M$522&lt;=R$3,1,0))*OFFSET('Gastos com Pessoal'!$H$512,1,MATCH(2&amp;$B48,'Gastos com Pessoal'!$I$532:$AJ$532&amp;'Gastos com Pessoal'!$I$512:$AJ$512,0),10,1)),0)+_xlfn.IFNA(SUM((R$3&gt;='Gastos com Pessoal'!$E$513:$E$522)*(R$3&lt;='Gastos com Pessoal'!$F$513:$F$522)*(IF('Gastos com Pessoal'!$S$513:$S$522&lt;=R$3,1,0))*OFFSET('Gastos com Pessoal'!$H$512,1,MATCH(3&amp;$B48,'Gastos com Pessoal'!$I$532:$AJ$532&amp;'Gastos com Pessoal'!$I$512:$AJ$512,0),10,1)),0)+_xlfn.IFNA(SUM((R$3&gt;='Gastos com Pessoal'!$E$513:$E$522)*(R$3&lt;='Gastos com Pessoal'!$F$513:$F$522)*(IF('Gastos com Pessoal'!$Y$513:$Y$522&lt;=R$3,1,0))*OFFSET('Gastos com Pessoal'!$H$512,1,MATCH(4&amp;$B48,'Gastos com Pessoal'!$I$532:$AJ$532&amp;'Gastos com Pessoal'!$I$512:$AJ$512,0),10,1)),0)+_xlfn.IFNA(SUM((R$3&gt;='Gastos com Pessoal'!$E$513:$E$522)*(R$3&lt;='Gastos com Pessoal'!$F$513:$F$522)*(IF('Gastos com Pessoal'!$AE$513:$AE$522&lt;=R$3,1,0))*OFFSET('Gastos com Pessoal'!$H$512,1,MATCH(5&amp;$B48,'Gastos com Pessoal'!$I$532:$AJ$532&amp;'Gastos com Pessoal'!$I$512:$AJ$512,0),10,1)),0)</f>
        <v>59775.318095999915</v>
      </c>
      <c r="S48" s="188">
        <f t="array" aca="1" ref="S48" ca="1">_xlfn.IFNA(SUM((S$3&gt;='Gastos com Pessoal'!$E$7:$E$506)*(S$3&lt;='Gastos com Pessoal'!$F$7:$F$506)*OFFSET('Encargos e Benefícios'!$D$5,1,MATCH($B48,'Encargos e Benefícios'!$E$5:$AB$5,0),500,1)),0)+_xlfn.IFNA(SUM((S$3&gt;='Gastos com Pessoal'!$E$513:$E$522)*(S$3&lt;='Gastos com Pessoal'!$F$513:$F$522)*OFFSET('Encargos e Benefícios'!$D$511,1,MATCH($B48,'Encargos e Benefícios'!$E$511:$AB$511,0),10,1)),0)+_xlfn.IFNA(SUM((S$3&gt;='Gastos com Pessoal'!$E$7:$E$506)*(S$3&lt;='Gastos com Pessoal'!$F$7:$F$506)*(IF('Gastos com Pessoal'!$G$7:$G$506&lt;=S$3,1,0))*OFFSET('Gastos com Pessoal'!$H$6,1,MATCH(1&amp;$B48,'Gastos com Pessoal'!$I$532:$AJ$532&amp;'Gastos com Pessoal'!$I$6:$AJ$6,0),500,1)),0)+_xlfn.IFNA(SUM((S$3&gt;='Gastos com Pessoal'!$E$7:$E$506)*(S$3&lt;='Gastos com Pessoal'!$F$7:$F$506)*(IF('Gastos com Pessoal'!$M$7:$M$506&lt;=S$3,1,0))*OFFSET('Gastos com Pessoal'!$H$6,1,MATCH(2&amp;$B48,'Gastos com Pessoal'!$I$532:$AJ$532&amp;'Gastos com Pessoal'!$I$6:$AJ$6,0),500,1)),0)+_xlfn.IFNA(SUM((S$3&gt;='Gastos com Pessoal'!$E$7:$E$506)*(S$3&lt;='Gastos com Pessoal'!$F$7:$F$506)*(IF('Gastos com Pessoal'!$S$7:$S$506&lt;=S$3,1,0))*OFFSET('Gastos com Pessoal'!$H$6,1,MATCH(3&amp;$B48,'Gastos com Pessoal'!$I$532:$AJ$532&amp;'Gastos com Pessoal'!$I$6:$AJ$6,0),500,1)),0)+_xlfn.IFNA(SUM((S$3&gt;='Gastos com Pessoal'!$E$7:$E$506)*(S$3&lt;='Gastos com Pessoal'!$F$7:$F$506)*(IF('Gastos com Pessoal'!$Y$7:$Y$506&lt;=S$3,1,0))*OFFSET('Gastos com Pessoal'!$H$6,1,MATCH(4&amp;$B48,'Gastos com Pessoal'!$I$532:$AJ$532&amp;'Gastos com Pessoal'!$I$6:$AJ$6,0),500,1)),0)+_xlfn.IFNA(SUM((S$3&gt;='Gastos com Pessoal'!$E$7:$E$506)*(S$3&lt;='Gastos com Pessoal'!$F$7:$F$506)*(IF('Gastos com Pessoal'!$AE$7:$AE$506&lt;=S$3,1,0))*OFFSET('Gastos com Pessoal'!$H$6,1,MATCH(5&amp;$B48,'Gastos com Pessoal'!$I$532:$AJ$532&amp;'Gastos com Pessoal'!$I$6:$AJ$6,0),500,1)),0)+_xlfn.IFNA(SUM((S$3&gt;='Gastos com Pessoal'!$E$513:$E$522)*(S$3&lt;='Gastos com Pessoal'!$F$513:$F$522)*(IF('Gastos com Pessoal'!$G$513:$G$522&lt;=S$3,1,0))*OFFSET('Gastos com Pessoal'!$H$512,1,MATCH(1&amp;$B48,'Gastos com Pessoal'!$I$532:$AJ$532&amp;'Gastos com Pessoal'!$I$512:$AJ$512,0),10,1)),0)+_xlfn.IFNA(SUM((S$3&gt;='Gastos com Pessoal'!$E$513:$E$522)*(S$3&lt;='Gastos com Pessoal'!$F$513:$F$522)*(IF('Gastos com Pessoal'!$M$513:$M$522&lt;=S$3,1,0))*OFFSET('Gastos com Pessoal'!$H$512,1,MATCH(2&amp;$B48,'Gastos com Pessoal'!$I$532:$AJ$532&amp;'Gastos com Pessoal'!$I$512:$AJ$512,0),10,1)),0)+_xlfn.IFNA(SUM((S$3&gt;='Gastos com Pessoal'!$E$513:$E$522)*(S$3&lt;='Gastos com Pessoal'!$F$513:$F$522)*(IF('Gastos com Pessoal'!$S$513:$S$522&lt;=S$3,1,0))*OFFSET('Gastos com Pessoal'!$H$512,1,MATCH(3&amp;$B48,'Gastos com Pessoal'!$I$532:$AJ$532&amp;'Gastos com Pessoal'!$I$512:$AJ$512,0),10,1)),0)+_xlfn.IFNA(SUM((S$3&gt;='Gastos com Pessoal'!$E$513:$E$522)*(S$3&lt;='Gastos com Pessoal'!$F$513:$F$522)*(IF('Gastos com Pessoal'!$Y$513:$Y$522&lt;=S$3,1,0))*OFFSET('Gastos com Pessoal'!$H$512,1,MATCH(4&amp;$B48,'Gastos com Pessoal'!$I$532:$AJ$532&amp;'Gastos com Pessoal'!$I$512:$AJ$512,0),10,1)),0)+_xlfn.IFNA(SUM((S$3&gt;='Gastos com Pessoal'!$E$513:$E$522)*(S$3&lt;='Gastos com Pessoal'!$F$513:$F$522)*(IF('Gastos com Pessoal'!$AE$513:$AE$522&lt;=S$3,1,0))*OFFSET('Gastos com Pessoal'!$H$512,1,MATCH(5&amp;$B48,'Gastos com Pessoal'!$I$532:$AJ$532&amp;'Gastos com Pessoal'!$I$512:$AJ$512,0),10,1)),0)</f>
        <v>63266.19667280632</v>
      </c>
      <c r="T48" s="188">
        <f t="array" aca="1" ref="T48" ca="1">_xlfn.IFNA(SUM((T$3&gt;='Gastos com Pessoal'!$E$7:$E$506)*(T$3&lt;='Gastos com Pessoal'!$F$7:$F$506)*OFFSET('Encargos e Benefícios'!$D$5,1,MATCH($B48,'Encargos e Benefícios'!$E$5:$AB$5,0),500,1)),0)+_xlfn.IFNA(SUM((T$3&gt;='Gastos com Pessoal'!$E$513:$E$522)*(T$3&lt;='Gastos com Pessoal'!$F$513:$F$522)*OFFSET('Encargos e Benefícios'!$D$511,1,MATCH($B48,'Encargos e Benefícios'!$E$511:$AB$511,0),10,1)),0)+_xlfn.IFNA(SUM((T$3&gt;='Gastos com Pessoal'!$E$7:$E$506)*(T$3&lt;='Gastos com Pessoal'!$F$7:$F$506)*(IF('Gastos com Pessoal'!$G$7:$G$506&lt;=T$3,1,0))*OFFSET('Gastos com Pessoal'!$H$6,1,MATCH(1&amp;$B48,'Gastos com Pessoal'!$I$532:$AJ$532&amp;'Gastos com Pessoal'!$I$6:$AJ$6,0),500,1)),0)+_xlfn.IFNA(SUM((T$3&gt;='Gastos com Pessoal'!$E$7:$E$506)*(T$3&lt;='Gastos com Pessoal'!$F$7:$F$506)*(IF('Gastos com Pessoal'!$M$7:$M$506&lt;=T$3,1,0))*OFFSET('Gastos com Pessoal'!$H$6,1,MATCH(2&amp;$B48,'Gastos com Pessoal'!$I$532:$AJ$532&amp;'Gastos com Pessoal'!$I$6:$AJ$6,0),500,1)),0)+_xlfn.IFNA(SUM((T$3&gt;='Gastos com Pessoal'!$E$7:$E$506)*(T$3&lt;='Gastos com Pessoal'!$F$7:$F$506)*(IF('Gastos com Pessoal'!$S$7:$S$506&lt;=T$3,1,0))*OFFSET('Gastos com Pessoal'!$H$6,1,MATCH(3&amp;$B48,'Gastos com Pessoal'!$I$532:$AJ$532&amp;'Gastos com Pessoal'!$I$6:$AJ$6,0),500,1)),0)+_xlfn.IFNA(SUM((T$3&gt;='Gastos com Pessoal'!$E$7:$E$506)*(T$3&lt;='Gastos com Pessoal'!$F$7:$F$506)*(IF('Gastos com Pessoal'!$Y$7:$Y$506&lt;=T$3,1,0))*OFFSET('Gastos com Pessoal'!$H$6,1,MATCH(4&amp;$B48,'Gastos com Pessoal'!$I$532:$AJ$532&amp;'Gastos com Pessoal'!$I$6:$AJ$6,0),500,1)),0)+_xlfn.IFNA(SUM((T$3&gt;='Gastos com Pessoal'!$E$7:$E$506)*(T$3&lt;='Gastos com Pessoal'!$F$7:$F$506)*(IF('Gastos com Pessoal'!$AE$7:$AE$506&lt;=T$3,1,0))*OFFSET('Gastos com Pessoal'!$H$6,1,MATCH(5&amp;$B48,'Gastos com Pessoal'!$I$532:$AJ$532&amp;'Gastos com Pessoal'!$I$6:$AJ$6,0),500,1)),0)+_xlfn.IFNA(SUM((T$3&gt;='Gastos com Pessoal'!$E$513:$E$522)*(T$3&lt;='Gastos com Pessoal'!$F$513:$F$522)*(IF('Gastos com Pessoal'!$G$513:$G$522&lt;=T$3,1,0))*OFFSET('Gastos com Pessoal'!$H$512,1,MATCH(1&amp;$B48,'Gastos com Pessoal'!$I$532:$AJ$532&amp;'Gastos com Pessoal'!$I$512:$AJ$512,0),10,1)),0)+_xlfn.IFNA(SUM((T$3&gt;='Gastos com Pessoal'!$E$513:$E$522)*(T$3&lt;='Gastos com Pessoal'!$F$513:$F$522)*(IF('Gastos com Pessoal'!$M$513:$M$522&lt;=T$3,1,0))*OFFSET('Gastos com Pessoal'!$H$512,1,MATCH(2&amp;$B48,'Gastos com Pessoal'!$I$532:$AJ$532&amp;'Gastos com Pessoal'!$I$512:$AJ$512,0),10,1)),0)+_xlfn.IFNA(SUM((T$3&gt;='Gastos com Pessoal'!$E$513:$E$522)*(T$3&lt;='Gastos com Pessoal'!$F$513:$F$522)*(IF('Gastos com Pessoal'!$S$513:$S$522&lt;=T$3,1,0))*OFFSET('Gastos com Pessoal'!$H$512,1,MATCH(3&amp;$B48,'Gastos com Pessoal'!$I$532:$AJ$532&amp;'Gastos com Pessoal'!$I$512:$AJ$512,0),10,1)),0)+_xlfn.IFNA(SUM((T$3&gt;='Gastos com Pessoal'!$E$513:$E$522)*(T$3&lt;='Gastos com Pessoal'!$F$513:$F$522)*(IF('Gastos com Pessoal'!$Y$513:$Y$522&lt;=T$3,1,0))*OFFSET('Gastos com Pessoal'!$H$512,1,MATCH(4&amp;$B48,'Gastos com Pessoal'!$I$532:$AJ$532&amp;'Gastos com Pessoal'!$I$512:$AJ$512,0),10,1)),0)+_xlfn.IFNA(SUM((T$3&gt;='Gastos com Pessoal'!$E$513:$E$522)*(T$3&lt;='Gastos com Pessoal'!$F$513:$F$522)*(IF('Gastos com Pessoal'!$AE$513:$AE$522&lt;=T$3,1,0))*OFFSET('Gastos com Pessoal'!$H$512,1,MATCH(5&amp;$B48,'Gastos com Pessoal'!$I$532:$AJ$532&amp;'Gastos com Pessoal'!$I$512:$AJ$512,0),10,1)),0)</f>
        <v>63266.19667280632</v>
      </c>
      <c r="U48" s="188">
        <f t="array" aca="1" ref="U48" ca="1">_xlfn.IFNA(SUM((U$3&gt;='Gastos com Pessoal'!$E$7:$E$506)*(U$3&lt;='Gastos com Pessoal'!$F$7:$F$506)*OFFSET('Encargos e Benefícios'!$D$5,1,MATCH($B48,'Encargos e Benefícios'!$E$5:$AB$5,0),500,1)),0)+_xlfn.IFNA(SUM((U$3&gt;='Gastos com Pessoal'!$E$513:$E$522)*(U$3&lt;='Gastos com Pessoal'!$F$513:$F$522)*OFFSET('Encargos e Benefícios'!$D$511,1,MATCH($B48,'Encargos e Benefícios'!$E$511:$AB$511,0),10,1)),0)+_xlfn.IFNA(SUM((U$3&gt;='Gastos com Pessoal'!$E$7:$E$506)*(U$3&lt;='Gastos com Pessoal'!$F$7:$F$506)*(IF('Gastos com Pessoal'!$G$7:$G$506&lt;=U$3,1,0))*OFFSET('Gastos com Pessoal'!$H$6,1,MATCH(1&amp;$B48,'Gastos com Pessoal'!$I$532:$AJ$532&amp;'Gastos com Pessoal'!$I$6:$AJ$6,0),500,1)),0)+_xlfn.IFNA(SUM((U$3&gt;='Gastos com Pessoal'!$E$7:$E$506)*(U$3&lt;='Gastos com Pessoal'!$F$7:$F$506)*(IF('Gastos com Pessoal'!$M$7:$M$506&lt;=U$3,1,0))*OFFSET('Gastos com Pessoal'!$H$6,1,MATCH(2&amp;$B48,'Gastos com Pessoal'!$I$532:$AJ$532&amp;'Gastos com Pessoal'!$I$6:$AJ$6,0),500,1)),0)+_xlfn.IFNA(SUM((U$3&gt;='Gastos com Pessoal'!$E$7:$E$506)*(U$3&lt;='Gastos com Pessoal'!$F$7:$F$506)*(IF('Gastos com Pessoal'!$S$7:$S$506&lt;=U$3,1,0))*OFFSET('Gastos com Pessoal'!$H$6,1,MATCH(3&amp;$B48,'Gastos com Pessoal'!$I$532:$AJ$532&amp;'Gastos com Pessoal'!$I$6:$AJ$6,0),500,1)),0)+_xlfn.IFNA(SUM((U$3&gt;='Gastos com Pessoal'!$E$7:$E$506)*(U$3&lt;='Gastos com Pessoal'!$F$7:$F$506)*(IF('Gastos com Pessoal'!$Y$7:$Y$506&lt;=U$3,1,0))*OFFSET('Gastos com Pessoal'!$H$6,1,MATCH(4&amp;$B48,'Gastos com Pessoal'!$I$532:$AJ$532&amp;'Gastos com Pessoal'!$I$6:$AJ$6,0),500,1)),0)+_xlfn.IFNA(SUM((U$3&gt;='Gastos com Pessoal'!$E$7:$E$506)*(U$3&lt;='Gastos com Pessoal'!$F$7:$F$506)*(IF('Gastos com Pessoal'!$AE$7:$AE$506&lt;=U$3,1,0))*OFFSET('Gastos com Pessoal'!$H$6,1,MATCH(5&amp;$B48,'Gastos com Pessoal'!$I$532:$AJ$532&amp;'Gastos com Pessoal'!$I$6:$AJ$6,0),500,1)),0)+_xlfn.IFNA(SUM((U$3&gt;='Gastos com Pessoal'!$E$513:$E$522)*(U$3&lt;='Gastos com Pessoal'!$F$513:$F$522)*(IF('Gastos com Pessoal'!$G$513:$G$522&lt;=U$3,1,0))*OFFSET('Gastos com Pessoal'!$H$512,1,MATCH(1&amp;$B48,'Gastos com Pessoal'!$I$532:$AJ$532&amp;'Gastos com Pessoal'!$I$512:$AJ$512,0),10,1)),0)+_xlfn.IFNA(SUM((U$3&gt;='Gastos com Pessoal'!$E$513:$E$522)*(U$3&lt;='Gastos com Pessoal'!$F$513:$F$522)*(IF('Gastos com Pessoal'!$M$513:$M$522&lt;=U$3,1,0))*OFFSET('Gastos com Pessoal'!$H$512,1,MATCH(2&amp;$B48,'Gastos com Pessoal'!$I$532:$AJ$532&amp;'Gastos com Pessoal'!$I$512:$AJ$512,0),10,1)),0)+_xlfn.IFNA(SUM((U$3&gt;='Gastos com Pessoal'!$E$513:$E$522)*(U$3&lt;='Gastos com Pessoal'!$F$513:$F$522)*(IF('Gastos com Pessoal'!$S$513:$S$522&lt;=U$3,1,0))*OFFSET('Gastos com Pessoal'!$H$512,1,MATCH(3&amp;$B48,'Gastos com Pessoal'!$I$532:$AJ$532&amp;'Gastos com Pessoal'!$I$512:$AJ$512,0),10,1)),0)+_xlfn.IFNA(SUM((U$3&gt;='Gastos com Pessoal'!$E$513:$E$522)*(U$3&lt;='Gastos com Pessoal'!$F$513:$F$522)*(IF('Gastos com Pessoal'!$Y$513:$Y$522&lt;=U$3,1,0))*OFFSET('Gastos com Pessoal'!$H$512,1,MATCH(4&amp;$B48,'Gastos com Pessoal'!$I$532:$AJ$532&amp;'Gastos com Pessoal'!$I$512:$AJ$512,0),10,1)),0)+_xlfn.IFNA(SUM((U$3&gt;='Gastos com Pessoal'!$E$513:$E$522)*(U$3&lt;='Gastos com Pessoal'!$F$513:$F$522)*(IF('Gastos com Pessoal'!$AE$513:$AE$522&lt;=U$3,1,0))*OFFSET('Gastos com Pessoal'!$H$512,1,MATCH(5&amp;$B48,'Gastos com Pessoal'!$I$532:$AJ$532&amp;'Gastos com Pessoal'!$I$512:$AJ$512,0),10,1)),0)</f>
        <v>63266.19667280632</v>
      </c>
      <c r="V48" s="188">
        <f t="array" aca="1" ref="V48" ca="1">_xlfn.IFNA(SUM((V$3&gt;='Gastos com Pessoal'!$E$7:$E$506)*(V$3&lt;='Gastos com Pessoal'!$F$7:$F$506)*OFFSET('Encargos e Benefícios'!$D$5,1,MATCH($B48,'Encargos e Benefícios'!$E$5:$AB$5,0),500,1)),0)+_xlfn.IFNA(SUM((V$3&gt;='Gastos com Pessoal'!$E$513:$E$522)*(V$3&lt;='Gastos com Pessoal'!$F$513:$F$522)*OFFSET('Encargos e Benefícios'!$D$511,1,MATCH($B48,'Encargos e Benefícios'!$E$511:$AB$511,0),10,1)),0)+_xlfn.IFNA(SUM((V$3&gt;='Gastos com Pessoal'!$E$7:$E$506)*(V$3&lt;='Gastos com Pessoal'!$F$7:$F$506)*(IF('Gastos com Pessoal'!$G$7:$G$506&lt;=V$3,1,0))*OFFSET('Gastos com Pessoal'!$H$6,1,MATCH(1&amp;$B48,'Gastos com Pessoal'!$I$532:$AJ$532&amp;'Gastos com Pessoal'!$I$6:$AJ$6,0),500,1)),0)+_xlfn.IFNA(SUM((V$3&gt;='Gastos com Pessoal'!$E$7:$E$506)*(V$3&lt;='Gastos com Pessoal'!$F$7:$F$506)*(IF('Gastos com Pessoal'!$M$7:$M$506&lt;=V$3,1,0))*OFFSET('Gastos com Pessoal'!$H$6,1,MATCH(2&amp;$B48,'Gastos com Pessoal'!$I$532:$AJ$532&amp;'Gastos com Pessoal'!$I$6:$AJ$6,0),500,1)),0)+_xlfn.IFNA(SUM((V$3&gt;='Gastos com Pessoal'!$E$7:$E$506)*(V$3&lt;='Gastos com Pessoal'!$F$7:$F$506)*(IF('Gastos com Pessoal'!$S$7:$S$506&lt;=V$3,1,0))*OFFSET('Gastos com Pessoal'!$H$6,1,MATCH(3&amp;$B48,'Gastos com Pessoal'!$I$532:$AJ$532&amp;'Gastos com Pessoal'!$I$6:$AJ$6,0),500,1)),0)+_xlfn.IFNA(SUM((V$3&gt;='Gastos com Pessoal'!$E$7:$E$506)*(V$3&lt;='Gastos com Pessoal'!$F$7:$F$506)*(IF('Gastos com Pessoal'!$Y$7:$Y$506&lt;=V$3,1,0))*OFFSET('Gastos com Pessoal'!$H$6,1,MATCH(4&amp;$B48,'Gastos com Pessoal'!$I$532:$AJ$532&amp;'Gastos com Pessoal'!$I$6:$AJ$6,0),500,1)),0)+_xlfn.IFNA(SUM((V$3&gt;='Gastos com Pessoal'!$E$7:$E$506)*(V$3&lt;='Gastos com Pessoal'!$F$7:$F$506)*(IF('Gastos com Pessoal'!$AE$7:$AE$506&lt;=V$3,1,0))*OFFSET('Gastos com Pessoal'!$H$6,1,MATCH(5&amp;$B48,'Gastos com Pessoal'!$I$532:$AJ$532&amp;'Gastos com Pessoal'!$I$6:$AJ$6,0),500,1)),0)+_xlfn.IFNA(SUM((V$3&gt;='Gastos com Pessoal'!$E$513:$E$522)*(V$3&lt;='Gastos com Pessoal'!$F$513:$F$522)*(IF('Gastos com Pessoal'!$G$513:$G$522&lt;=V$3,1,0))*OFFSET('Gastos com Pessoal'!$H$512,1,MATCH(1&amp;$B48,'Gastos com Pessoal'!$I$532:$AJ$532&amp;'Gastos com Pessoal'!$I$512:$AJ$512,0),10,1)),0)+_xlfn.IFNA(SUM((V$3&gt;='Gastos com Pessoal'!$E$513:$E$522)*(V$3&lt;='Gastos com Pessoal'!$F$513:$F$522)*(IF('Gastos com Pessoal'!$M$513:$M$522&lt;=V$3,1,0))*OFFSET('Gastos com Pessoal'!$H$512,1,MATCH(2&amp;$B48,'Gastos com Pessoal'!$I$532:$AJ$532&amp;'Gastos com Pessoal'!$I$512:$AJ$512,0),10,1)),0)+_xlfn.IFNA(SUM((V$3&gt;='Gastos com Pessoal'!$E$513:$E$522)*(V$3&lt;='Gastos com Pessoal'!$F$513:$F$522)*(IF('Gastos com Pessoal'!$S$513:$S$522&lt;=V$3,1,0))*OFFSET('Gastos com Pessoal'!$H$512,1,MATCH(3&amp;$B48,'Gastos com Pessoal'!$I$532:$AJ$532&amp;'Gastos com Pessoal'!$I$512:$AJ$512,0),10,1)),0)+_xlfn.IFNA(SUM((V$3&gt;='Gastos com Pessoal'!$E$513:$E$522)*(V$3&lt;='Gastos com Pessoal'!$F$513:$F$522)*(IF('Gastos com Pessoal'!$Y$513:$Y$522&lt;=V$3,1,0))*OFFSET('Gastos com Pessoal'!$H$512,1,MATCH(4&amp;$B48,'Gastos com Pessoal'!$I$532:$AJ$532&amp;'Gastos com Pessoal'!$I$512:$AJ$512,0),10,1)),0)+_xlfn.IFNA(SUM((V$3&gt;='Gastos com Pessoal'!$E$513:$E$522)*(V$3&lt;='Gastos com Pessoal'!$F$513:$F$522)*(IF('Gastos com Pessoal'!$AE$513:$AE$522&lt;=V$3,1,0))*OFFSET('Gastos com Pessoal'!$H$512,1,MATCH(5&amp;$B48,'Gastos com Pessoal'!$I$532:$AJ$532&amp;'Gastos com Pessoal'!$I$512:$AJ$512,0),10,1)),0)</f>
        <v>63266.19667280632</v>
      </c>
      <c r="W48" s="188">
        <f t="array" aca="1" ref="W48" ca="1">_xlfn.IFNA(SUM((W$3&gt;='Gastos com Pessoal'!$E$7:$E$506)*(W$3&lt;='Gastos com Pessoal'!$F$7:$F$506)*OFFSET('Encargos e Benefícios'!$D$5,1,MATCH($B48,'Encargos e Benefícios'!$E$5:$AB$5,0),500,1)),0)+_xlfn.IFNA(SUM((W$3&gt;='Gastos com Pessoal'!$E$513:$E$522)*(W$3&lt;='Gastos com Pessoal'!$F$513:$F$522)*OFFSET('Encargos e Benefícios'!$D$511,1,MATCH($B48,'Encargos e Benefícios'!$E$511:$AB$511,0),10,1)),0)+_xlfn.IFNA(SUM((W$3&gt;='Gastos com Pessoal'!$E$7:$E$506)*(W$3&lt;='Gastos com Pessoal'!$F$7:$F$506)*(IF('Gastos com Pessoal'!$G$7:$G$506&lt;=W$3,1,0))*OFFSET('Gastos com Pessoal'!$H$6,1,MATCH(1&amp;$B48,'Gastos com Pessoal'!$I$532:$AJ$532&amp;'Gastos com Pessoal'!$I$6:$AJ$6,0),500,1)),0)+_xlfn.IFNA(SUM((W$3&gt;='Gastos com Pessoal'!$E$7:$E$506)*(W$3&lt;='Gastos com Pessoal'!$F$7:$F$506)*(IF('Gastos com Pessoal'!$M$7:$M$506&lt;=W$3,1,0))*OFFSET('Gastos com Pessoal'!$H$6,1,MATCH(2&amp;$B48,'Gastos com Pessoal'!$I$532:$AJ$532&amp;'Gastos com Pessoal'!$I$6:$AJ$6,0),500,1)),0)+_xlfn.IFNA(SUM((W$3&gt;='Gastos com Pessoal'!$E$7:$E$506)*(W$3&lt;='Gastos com Pessoal'!$F$7:$F$506)*(IF('Gastos com Pessoal'!$S$7:$S$506&lt;=W$3,1,0))*OFFSET('Gastos com Pessoal'!$H$6,1,MATCH(3&amp;$B48,'Gastos com Pessoal'!$I$532:$AJ$532&amp;'Gastos com Pessoal'!$I$6:$AJ$6,0),500,1)),0)+_xlfn.IFNA(SUM((W$3&gt;='Gastos com Pessoal'!$E$7:$E$506)*(W$3&lt;='Gastos com Pessoal'!$F$7:$F$506)*(IF('Gastos com Pessoal'!$Y$7:$Y$506&lt;=W$3,1,0))*OFFSET('Gastos com Pessoal'!$H$6,1,MATCH(4&amp;$B48,'Gastos com Pessoal'!$I$532:$AJ$532&amp;'Gastos com Pessoal'!$I$6:$AJ$6,0),500,1)),0)+_xlfn.IFNA(SUM((W$3&gt;='Gastos com Pessoal'!$E$7:$E$506)*(W$3&lt;='Gastos com Pessoal'!$F$7:$F$506)*(IF('Gastos com Pessoal'!$AE$7:$AE$506&lt;=W$3,1,0))*OFFSET('Gastos com Pessoal'!$H$6,1,MATCH(5&amp;$B48,'Gastos com Pessoal'!$I$532:$AJ$532&amp;'Gastos com Pessoal'!$I$6:$AJ$6,0),500,1)),0)+_xlfn.IFNA(SUM((W$3&gt;='Gastos com Pessoal'!$E$513:$E$522)*(W$3&lt;='Gastos com Pessoal'!$F$513:$F$522)*(IF('Gastos com Pessoal'!$G$513:$G$522&lt;=W$3,1,0))*OFFSET('Gastos com Pessoal'!$H$512,1,MATCH(1&amp;$B48,'Gastos com Pessoal'!$I$532:$AJ$532&amp;'Gastos com Pessoal'!$I$512:$AJ$512,0),10,1)),0)+_xlfn.IFNA(SUM((W$3&gt;='Gastos com Pessoal'!$E$513:$E$522)*(W$3&lt;='Gastos com Pessoal'!$F$513:$F$522)*(IF('Gastos com Pessoal'!$M$513:$M$522&lt;=W$3,1,0))*OFFSET('Gastos com Pessoal'!$H$512,1,MATCH(2&amp;$B48,'Gastos com Pessoal'!$I$532:$AJ$532&amp;'Gastos com Pessoal'!$I$512:$AJ$512,0),10,1)),0)+_xlfn.IFNA(SUM((W$3&gt;='Gastos com Pessoal'!$E$513:$E$522)*(W$3&lt;='Gastos com Pessoal'!$F$513:$F$522)*(IF('Gastos com Pessoal'!$S$513:$S$522&lt;=W$3,1,0))*OFFSET('Gastos com Pessoal'!$H$512,1,MATCH(3&amp;$B48,'Gastos com Pessoal'!$I$532:$AJ$532&amp;'Gastos com Pessoal'!$I$512:$AJ$512,0),10,1)),0)+_xlfn.IFNA(SUM((W$3&gt;='Gastos com Pessoal'!$E$513:$E$522)*(W$3&lt;='Gastos com Pessoal'!$F$513:$F$522)*(IF('Gastos com Pessoal'!$Y$513:$Y$522&lt;=W$3,1,0))*OFFSET('Gastos com Pessoal'!$H$512,1,MATCH(4&amp;$B48,'Gastos com Pessoal'!$I$532:$AJ$532&amp;'Gastos com Pessoal'!$I$512:$AJ$512,0),10,1)),0)+_xlfn.IFNA(SUM((W$3&gt;='Gastos com Pessoal'!$E$513:$E$522)*(W$3&lt;='Gastos com Pessoal'!$F$513:$F$522)*(IF('Gastos com Pessoal'!$AE$513:$AE$522&lt;=W$3,1,0))*OFFSET('Gastos com Pessoal'!$H$512,1,MATCH(5&amp;$B48,'Gastos com Pessoal'!$I$532:$AJ$532&amp;'Gastos com Pessoal'!$I$512:$AJ$512,0),10,1)),0)</f>
        <v>63266.19667280632</v>
      </c>
      <c r="X48" s="188">
        <f t="array" aca="1" ref="X48" ca="1">_xlfn.IFNA(SUM((X$3&gt;='Gastos com Pessoal'!$E$7:$E$506)*(X$3&lt;='Gastos com Pessoal'!$F$7:$F$506)*OFFSET('Encargos e Benefícios'!$D$5,1,MATCH($B48,'Encargos e Benefícios'!$E$5:$AB$5,0),500,1)),0)+_xlfn.IFNA(SUM((X$3&gt;='Gastos com Pessoal'!$E$513:$E$522)*(X$3&lt;='Gastos com Pessoal'!$F$513:$F$522)*OFFSET('Encargos e Benefícios'!$D$511,1,MATCH($B48,'Encargos e Benefícios'!$E$511:$AB$511,0),10,1)),0)+_xlfn.IFNA(SUM((X$3&gt;='Gastos com Pessoal'!$E$7:$E$506)*(X$3&lt;='Gastos com Pessoal'!$F$7:$F$506)*(IF('Gastos com Pessoal'!$G$7:$G$506&lt;=X$3,1,0))*OFFSET('Gastos com Pessoal'!$H$6,1,MATCH(1&amp;$B48,'Gastos com Pessoal'!$I$532:$AJ$532&amp;'Gastos com Pessoal'!$I$6:$AJ$6,0),500,1)),0)+_xlfn.IFNA(SUM((X$3&gt;='Gastos com Pessoal'!$E$7:$E$506)*(X$3&lt;='Gastos com Pessoal'!$F$7:$F$506)*(IF('Gastos com Pessoal'!$M$7:$M$506&lt;=X$3,1,0))*OFFSET('Gastos com Pessoal'!$H$6,1,MATCH(2&amp;$B48,'Gastos com Pessoal'!$I$532:$AJ$532&amp;'Gastos com Pessoal'!$I$6:$AJ$6,0),500,1)),0)+_xlfn.IFNA(SUM((X$3&gt;='Gastos com Pessoal'!$E$7:$E$506)*(X$3&lt;='Gastos com Pessoal'!$F$7:$F$506)*(IF('Gastos com Pessoal'!$S$7:$S$506&lt;=X$3,1,0))*OFFSET('Gastos com Pessoal'!$H$6,1,MATCH(3&amp;$B48,'Gastos com Pessoal'!$I$532:$AJ$532&amp;'Gastos com Pessoal'!$I$6:$AJ$6,0),500,1)),0)+_xlfn.IFNA(SUM((X$3&gt;='Gastos com Pessoal'!$E$7:$E$506)*(X$3&lt;='Gastos com Pessoal'!$F$7:$F$506)*(IF('Gastos com Pessoal'!$Y$7:$Y$506&lt;=X$3,1,0))*OFFSET('Gastos com Pessoal'!$H$6,1,MATCH(4&amp;$B48,'Gastos com Pessoal'!$I$532:$AJ$532&amp;'Gastos com Pessoal'!$I$6:$AJ$6,0),500,1)),0)+_xlfn.IFNA(SUM((X$3&gt;='Gastos com Pessoal'!$E$7:$E$506)*(X$3&lt;='Gastos com Pessoal'!$F$7:$F$506)*(IF('Gastos com Pessoal'!$AE$7:$AE$506&lt;=X$3,1,0))*OFFSET('Gastos com Pessoal'!$H$6,1,MATCH(5&amp;$B48,'Gastos com Pessoal'!$I$532:$AJ$532&amp;'Gastos com Pessoal'!$I$6:$AJ$6,0),500,1)),0)+_xlfn.IFNA(SUM((X$3&gt;='Gastos com Pessoal'!$E$513:$E$522)*(X$3&lt;='Gastos com Pessoal'!$F$513:$F$522)*(IF('Gastos com Pessoal'!$G$513:$G$522&lt;=X$3,1,0))*OFFSET('Gastos com Pessoal'!$H$512,1,MATCH(1&amp;$B48,'Gastos com Pessoal'!$I$532:$AJ$532&amp;'Gastos com Pessoal'!$I$512:$AJ$512,0),10,1)),0)+_xlfn.IFNA(SUM((X$3&gt;='Gastos com Pessoal'!$E$513:$E$522)*(X$3&lt;='Gastos com Pessoal'!$F$513:$F$522)*(IF('Gastos com Pessoal'!$M$513:$M$522&lt;=X$3,1,0))*OFFSET('Gastos com Pessoal'!$H$512,1,MATCH(2&amp;$B48,'Gastos com Pessoal'!$I$532:$AJ$532&amp;'Gastos com Pessoal'!$I$512:$AJ$512,0),10,1)),0)+_xlfn.IFNA(SUM((X$3&gt;='Gastos com Pessoal'!$E$513:$E$522)*(X$3&lt;='Gastos com Pessoal'!$F$513:$F$522)*(IF('Gastos com Pessoal'!$S$513:$S$522&lt;=X$3,1,0))*OFFSET('Gastos com Pessoal'!$H$512,1,MATCH(3&amp;$B48,'Gastos com Pessoal'!$I$532:$AJ$532&amp;'Gastos com Pessoal'!$I$512:$AJ$512,0),10,1)),0)+_xlfn.IFNA(SUM((X$3&gt;='Gastos com Pessoal'!$E$513:$E$522)*(X$3&lt;='Gastos com Pessoal'!$F$513:$F$522)*(IF('Gastos com Pessoal'!$Y$513:$Y$522&lt;=X$3,1,0))*OFFSET('Gastos com Pessoal'!$H$512,1,MATCH(4&amp;$B48,'Gastos com Pessoal'!$I$532:$AJ$532&amp;'Gastos com Pessoal'!$I$512:$AJ$512,0),10,1)),0)+_xlfn.IFNA(SUM((X$3&gt;='Gastos com Pessoal'!$E$513:$E$522)*(X$3&lt;='Gastos com Pessoal'!$F$513:$F$522)*(IF('Gastos com Pessoal'!$AE$513:$AE$522&lt;=X$3,1,0))*OFFSET('Gastos com Pessoal'!$H$512,1,MATCH(5&amp;$B48,'Gastos com Pessoal'!$I$532:$AJ$532&amp;'Gastos com Pessoal'!$I$512:$AJ$512,0),10,1)),0)</f>
        <v>63266.19667280632</v>
      </c>
      <c r="Y48" s="188">
        <f t="array" aca="1" ref="Y48" ca="1">_xlfn.IFNA(SUM((Y$3&gt;='Gastos com Pessoal'!$E$7:$E$506)*(Y$3&lt;='Gastos com Pessoal'!$F$7:$F$506)*OFFSET('Encargos e Benefícios'!$D$5,1,MATCH($B48,'Encargos e Benefícios'!$E$5:$AB$5,0),500,1)),0)+_xlfn.IFNA(SUM((Y$3&gt;='Gastos com Pessoal'!$E$513:$E$522)*(Y$3&lt;='Gastos com Pessoal'!$F$513:$F$522)*OFFSET('Encargos e Benefícios'!$D$511,1,MATCH($B48,'Encargos e Benefícios'!$E$511:$AB$511,0),10,1)),0)+_xlfn.IFNA(SUM((Y$3&gt;='Gastos com Pessoal'!$E$7:$E$506)*(Y$3&lt;='Gastos com Pessoal'!$F$7:$F$506)*(IF('Gastos com Pessoal'!$G$7:$G$506&lt;=Y$3,1,0))*OFFSET('Gastos com Pessoal'!$H$6,1,MATCH(1&amp;$B48,'Gastos com Pessoal'!$I$532:$AJ$532&amp;'Gastos com Pessoal'!$I$6:$AJ$6,0),500,1)),0)+_xlfn.IFNA(SUM((Y$3&gt;='Gastos com Pessoal'!$E$7:$E$506)*(Y$3&lt;='Gastos com Pessoal'!$F$7:$F$506)*(IF('Gastos com Pessoal'!$M$7:$M$506&lt;=Y$3,1,0))*OFFSET('Gastos com Pessoal'!$H$6,1,MATCH(2&amp;$B48,'Gastos com Pessoal'!$I$532:$AJ$532&amp;'Gastos com Pessoal'!$I$6:$AJ$6,0),500,1)),0)+_xlfn.IFNA(SUM((Y$3&gt;='Gastos com Pessoal'!$E$7:$E$506)*(Y$3&lt;='Gastos com Pessoal'!$F$7:$F$506)*(IF('Gastos com Pessoal'!$S$7:$S$506&lt;=Y$3,1,0))*OFFSET('Gastos com Pessoal'!$H$6,1,MATCH(3&amp;$B48,'Gastos com Pessoal'!$I$532:$AJ$532&amp;'Gastos com Pessoal'!$I$6:$AJ$6,0),500,1)),0)+_xlfn.IFNA(SUM((Y$3&gt;='Gastos com Pessoal'!$E$7:$E$506)*(Y$3&lt;='Gastos com Pessoal'!$F$7:$F$506)*(IF('Gastos com Pessoal'!$Y$7:$Y$506&lt;=Y$3,1,0))*OFFSET('Gastos com Pessoal'!$H$6,1,MATCH(4&amp;$B48,'Gastos com Pessoal'!$I$532:$AJ$532&amp;'Gastos com Pessoal'!$I$6:$AJ$6,0),500,1)),0)+_xlfn.IFNA(SUM((Y$3&gt;='Gastos com Pessoal'!$E$7:$E$506)*(Y$3&lt;='Gastos com Pessoal'!$F$7:$F$506)*(IF('Gastos com Pessoal'!$AE$7:$AE$506&lt;=Y$3,1,0))*OFFSET('Gastos com Pessoal'!$H$6,1,MATCH(5&amp;$B48,'Gastos com Pessoal'!$I$532:$AJ$532&amp;'Gastos com Pessoal'!$I$6:$AJ$6,0),500,1)),0)+_xlfn.IFNA(SUM((Y$3&gt;='Gastos com Pessoal'!$E$513:$E$522)*(Y$3&lt;='Gastos com Pessoal'!$F$513:$F$522)*(IF('Gastos com Pessoal'!$G$513:$G$522&lt;=Y$3,1,0))*OFFSET('Gastos com Pessoal'!$H$512,1,MATCH(1&amp;$B48,'Gastos com Pessoal'!$I$532:$AJ$532&amp;'Gastos com Pessoal'!$I$512:$AJ$512,0),10,1)),0)+_xlfn.IFNA(SUM((Y$3&gt;='Gastos com Pessoal'!$E$513:$E$522)*(Y$3&lt;='Gastos com Pessoal'!$F$513:$F$522)*(IF('Gastos com Pessoal'!$M$513:$M$522&lt;=Y$3,1,0))*OFFSET('Gastos com Pessoal'!$H$512,1,MATCH(2&amp;$B48,'Gastos com Pessoal'!$I$532:$AJ$532&amp;'Gastos com Pessoal'!$I$512:$AJ$512,0),10,1)),0)+_xlfn.IFNA(SUM((Y$3&gt;='Gastos com Pessoal'!$E$513:$E$522)*(Y$3&lt;='Gastos com Pessoal'!$F$513:$F$522)*(IF('Gastos com Pessoal'!$S$513:$S$522&lt;=Y$3,1,0))*OFFSET('Gastos com Pessoal'!$H$512,1,MATCH(3&amp;$B48,'Gastos com Pessoal'!$I$532:$AJ$532&amp;'Gastos com Pessoal'!$I$512:$AJ$512,0),10,1)),0)+_xlfn.IFNA(SUM((Y$3&gt;='Gastos com Pessoal'!$E$513:$E$522)*(Y$3&lt;='Gastos com Pessoal'!$F$513:$F$522)*(IF('Gastos com Pessoal'!$Y$513:$Y$522&lt;=Y$3,1,0))*OFFSET('Gastos com Pessoal'!$H$512,1,MATCH(4&amp;$B48,'Gastos com Pessoal'!$I$532:$AJ$532&amp;'Gastos com Pessoal'!$I$512:$AJ$512,0),10,1)),0)+_xlfn.IFNA(SUM((Y$3&gt;='Gastos com Pessoal'!$E$513:$E$522)*(Y$3&lt;='Gastos com Pessoal'!$F$513:$F$522)*(IF('Gastos com Pessoal'!$AE$513:$AE$522&lt;=Y$3,1,0))*OFFSET('Gastos com Pessoal'!$H$512,1,MATCH(5&amp;$B48,'Gastos com Pessoal'!$I$532:$AJ$532&amp;'Gastos com Pessoal'!$I$512:$AJ$512,0),10,1)),0)</f>
        <v>63266.19667280632</v>
      </c>
      <c r="Z48" s="188">
        <f t="array" aca="1" ref="Z48" ca="1">_xlfn.IFNA(SUM((Z$3&gt;='Gastos com Pessoal'!$E$7:$E$506)*(Z$3&lt;='Gastos com Pessoal'!$F$7:$F$506)*OFFSET('Encargos e Benefícios'!$D$5,1,MATCH($B48,'Encargos e Benefícios'!$E$5:$AB$5,0),500,1)),0)+_xlfn.IFNA(SUM((Z$3&gt;='Gastos com Pessoal'!$E$513:$E$522)*(Z$3&lt;='Gastos com Pessoal'!$F$513:$F$522)*OFFSET('Encargos e Benefícios'!$D$511,1,MATCH($B48,'Encargos e Benefícios'!$E$511:$AB$511,0),10,1)),0)+_xlfn.IFNA(SUM((Z$3&gt;='Gastos com Pessoal'!$E$7:$E$506)*(Z$3&lt;='Gastos com Pessoal'!$F$7:$F$506)*(IF('Gastos com Pessoal'!$G$7:$G$506&lt;=Z$3,1,0))*OFFSET('Gastos com Pessoal'!$H$6,1,MATCH(1&amp;$B48,'Gastos com Pessoal'!$I$532:$AJ$532&amp;'Gastos com Pessoal'!$I$6:$AJ$6,0),500,1)),0)+_xlfn.IFNA(SUM((Z$3&gt;='Gastos com Pessoal'!$E$7:$E$506)*(Z$3&lt;='Gastos com Pessoal'!$F$7:$F$506)*(IF('Gastos com Pessoal'!$M$7:$M$506&lt;=Z$3,1,0))*OFFSET('Gastos com Pessoal'!$H$6,1,MATCH(2&amp;$B48,'Gastos com Pessoal'!$I$532:$AJ$532&amp;'Gastos com Pessoal'!$I$6:$AJ$6,0),500,1)),0)+_xlfn.IFNA(SUM((Z$3&gt;='Gastos com Pessoal'!$E$7:$E$506)*(Z$3&lt;='Gastos com Pessoal'!$F$7:$F$506)*(IF('Gastos com Pessoal'!$S$7:$S$506&lt;=Z$3,1,0))*OFFSET('Gastos com Pessoal'!$H$6,1,MATCH(3&amp;$B48,'Gastos com Pessoal'!$I$532:$AJ$532&amp;'Gastos com Pessoal'!$I$6:$AJ$6,0),500,1)),0)+_xlfn.IFNA(SUM((Z$3&gt;='Gastos com Pessoal'!$E$7:$E$506)*(Z$3&lt;='Gastos com Pessoal'!$F$7:$F$506)*(IF('Gastos com Pessoal'!$Y$7:$Y$506&lt;=Z$3,1,0))*OFFSET('Gastos com Pessoal'!$H$6,1,MATCH(4&amp;$B48,'Gastos com Pessoal'!$I$532:$AJ$532&amp;'Gastos com Pessoal'!$I$6:$AJ$6,0),500,1)),0)+_xlfn.IFNA(SUM((Z$3&gt;='Gastos com Pessoal'!$E$7:$E$506)*(Z$3&lt;='Gastos com Pessoal'!$F$7:$F$506)*(IF('Gastos com Pessoal'!$AE$7:$AE$506&lt;=Z$3,1,0))*OFFSET('Gastos com Pessoal'!$H$6,1,MATCH(5&amp;$B48,'Gastos com Pessoal'!$I$532:$AJ$532&amp;'Gastos com Pessoal'!$I$6:$AJ$6,0),500,1)),0)+_xlfn.IFNA(SUM((Z$3&gt;='Gastos com Pessoal'!$E$513:$E$522)*(Z$3&lt;='Gastos com Pessoal'!$F$513:$F$522)*(IF('Gastos com Pessoal'!$G$513:$G$522&lt;=Z$3,1,0))*OFFSET('Gastos com Pessoal'!$H$512,1,MATCH(1&amp;$B48,'Gastos com Pessoal'!$I$532:$AJ$532&amp;'Gastos com Pessoal'!$I$512:$AJ$512,0),10,1)),0)+_xlfn.IFNA(SUM((Z$3&gt;='Gastos com Pessoal'!$E$513:$E$522)*(Z$3&lt;='Gastos com Pessoal'!$F$513:$F$522)*(IF('Gastos com Pessoal'!$M$513:$M$522&lt;=Z$3,1,0))*OFFSET('Gastos com Pessoal'!$H$512,1,MATCH(2&amp;$B48,'Gastos com Pessoal'!$I$532:$AJ$532&amp;'Gastos com Pessoal'!$I$512:$AJ$512,0),10,1)),0)+_xlfn.IFNA(SUM((Z$3&gt;='Gastos com Pessoal'!$E$513:$E$522)*(Z$3&lt;='Gastos com Pessoal'!$F$513:$F$522)*(IF('Gastos com Pessoal'!$S$513:$S$522&lt;=Z$3,1,0))*OFFSET('Gastos com Pessoal'!$H$512,1,MATCH(3&amp;$B48,'Gastos com Pessoal'!$I$532:$AJ$532&amp;'Gastos com Pessoal'!$I$512:$AJ$512,0),10,1)),0)+_xlfn.IFNA(SUM((Z$3&gt;='Gastos com Pessoal'!$E$513:$E$522)*(Z$3&lt;='Gastos com Pessoal'!$F$513:$F$522)*(IF('Gastos com Pessoal'!$Y$513:$Y$522&lt;=Z$3,1,0))*OFFSET('Gastos com Pessoal'!$H$512,1,MATCH(4&amp;$B48,'Gastos com Pessoal'!$I$532:$AJ$532&amp;'Gastos com Pessoal'!$I$512:$AJ$512,0),10,1)),0)+_xlfn.IFNA(SUM((Z$3&gt;='Gastos com Pessoal'!$E$513:$E$522)*(Z$3&lt;='Gastos com Pessoal'!$F$513:$F$522)*(IF('Gastos com Pessoal'!$AE$513:$AE$522&lt;=Z$3,1,0))*OFFSET('Gastos com Pessoal'!$H$512,1,MATCH(5&amp;$B48,'Gastos com Pessoal'!$I$532:$AJ$532&amp;'Gastos com Pessoal'!$I$512:$AJ$512,0),10,1)),0)</f>
        <v>63266.19667280632</v>
      </c>
      <c r="AA48" s="188">
        <f t="array" aca="1" ref="AA48" ca="1">_xlfn.IFNA(SUM((AA$3&gt;='Gastos com Pessoal'!$E$7:$E$506)*(AA$3&lt;='Gastos com Pessoal'!$F$7:$F$506)*OFFSET('Encargos e Benefícios'!$D$5,1,MATCH($B48,'Encargos e Benefícios'!$E$5:$AB$5,0),500,1)),0)+_xlfn.IFNA(SUM((AA$3&gt;='Gastos com Pessoal'!$E$513:$E$522)*(AA$3&lt;='Gastos com Pessoal'!$F$513:$F$522)*OFFSET('Encargos e Benefícios'!$D$511,1,MATCH($B48,'Encargos e Benefícios'!$E$511:$AB$511,0),10,1)),0)+_xlfn.IFNA(SUM((AA$3&gt;='Gastos com Pessoal'!$E$7:$E$506)*(AA$3&lt;='Gastos com Pessoal'!$F$7:$F$506)*(IF('Gastos com Pessoal'!$G$7:$G$506&lt;=AA$3,1,0))*OFFSET('Gastos com Pessoal'!$H$6,1,MATCH(1&amp;$B48,'Gastos com Pessoal'!$I$532:$AJ$532&amp;'Gastos com Pessoal'!$I$6:$AJ$6,0),500,1)),0)+_xlfn.IFNA(SUM((AA$3&gt;='Gastos com Pessoal'!$E$7:$E$506)*(AA$3&lt;='Gastos com Pessoal'!$F$7:$F$506)*(IF('Gastos com Pessoal'!$M$7:$M$506&lt;=AA$3,1,0))*OFFSET('Gastos com Pessoal'!$H$6,1,MATCH(2&amp;$B48,'Gastos com Pessoal'!$I$532:$AJ$532&amp;'Gastos com Pessoal'!$I$6:$AJ$6,0),500,1)),0)+_xlfn.IFNA(SUM((AA$3&gt;='Gastos com Pessoal'!$E$7:$E$506)*(AA$3&lt;='Gastos com Pessoal'!$F$7:$F$506)*(IF('Gastos com Pessoal'!$S$7:$S$506&lt;=AA$3,1,0))*OFFSET('Gastos com Pessoal'!$H$6,1,MATCH(3&amp;$B48,'Gastos com Pessoal'!$I$532:$AJ$532&amp;'Gastos com Pessoal'!$I$6:$AJ$6,0),500,1)),0)+_xlfn.IFNA(SUM((AA$3&gt;='Gastos com Pessoal'!$E$7:$E$506)*(AA$3&lt;='Gastos com Pessoal'!$F$7:$F$506)*(IF('Gastos com Pessoal'!$Y$7:$Y$506&lt;=AA$3,1,0))*OFFSET('Gastos com Pessoal'!$H$6,1,MATCH(4&amp;$B48,'Gastos com Pessoal'!$I$532:$AJ$532&amp;'Gastos com Pessoal'!$I$6:$AJ$6,0),500,1)),0)+_xlfn.IFNA(SUM((AA$3&gt;='Gastos com Pessoal'!$E$7:$E$506)*(AA$3&lt;='Gastos com Pessoal'!$F$7:$F$506)*(IF('Gastos com Pessoal'!$AE$7:$AE$506&lt;=AA$3,1,0))*OFFSET('Gastos com Pessoal'!$H$6,1,MATCH(5&amp;$B48,'Gastos com Pessoal'!$I$532:$AJ$532&amp;'Gastos com Pessoal'!$I$6:$AJ$6,0),500,1)),0)+_xlfn.IFNA(SUM((AA$3&gt;='Gastos com Pessoal'!$E$513:$E$522)*(AA$3&lt;='Gastos com Pessoal'!$F$513:$F$522)*(IF('Gastos com Pessoal'!$G$513:$G$522&lt;=AA$3,1,0))*OFFSET('Gastos com Pessoal'!$H$512,1,MATCH(1&amp;$B48,'Gastos com Pessoal'!$I$532:$AJ$532&amp;'Gastos com Pessoal'!$I$512:$AJ$512,0),10,1)),0)+_xlfn.IFNA(SUM((AA$3&gt;='Gastos com Pessoal'!$E$513:$E$522)*(AA$3&lt;='Gastos com Pessoal'!$F$513:$F$522)*(IF('Gastos com Pessoal'!$M$513:$M$522&lt;=AA$3,1,0))*OFFSET('Gastos com Pessoal'!$H$512,1,MATCH(2&amp;$B48,'Gastos com Pessoal'!$I$532:$AJ$532&amp;'Gastos com Pessoal'!$I$512:$AJ$512,0),10,1)),0)+_xlfn.IFNA(SUM((AA$3&gt;='Gastos com Pessoal'!$E$513:$E$522)*(AA$3&lt;='Gastos com Pessoal'!$F$513:$F$522)*(IF('Gastos com Pessoal'!$S$513:$S$522&lt;=AA$3,1,0))*OFFSET('Gastos com Pessoal'!$H$512,1,MATCH(3&amp;$B48,'Gastos com Pessoal'!$I$532:$AJ$532&amp;'Gastos com Pessoal'!$I$512:$AJ$512,0),10,1)),0)+_xlfn.IFNA(SUM((AA$3&gt;='Gastos com Pessoal'!$E$513:$E$522)*(AA$3&lt;='Gastos com Pessoal'!$F$513:$F$522)*(IF('Gastos com Pessoal'!$Y$513:$Y$522&lt;=AA$3,1,0))*OFFSET('Gastos com Pessoal'!$H$512,1,MATCH(4&amp;$B48,'Gastos com Pessoal'!$I$532:$AJ$532&amp;'Gastos com Pessoal'!$I$512:$AJ$512,0),10,1)),0)+_xlfn.IFNA(SUM((AA$3&gt;='Gastos com Pessoal'!$E$513:$E$522)*(AA$3&lt;='Gastos com Pessoal'!$F$513:$F$522)*(IF('Gastos com Pessoal'!$AE$513:$AE$522&lt;=AA$3,1,0))*OFFSET('Gastos com Pessoal'!$H$512,1,MATCH(5&amp;$B48,'Gastos com Pessoal'!$I$532:$AJ$532&amp;'Gastos com Pessoal'!$I$512:$AJ$512,0),10,1)),0)</f>
        <v>63266.19667280632</v>
      </c>
      <c r="AB48" s="188">
        <f t="array" aca="1" ref="AB48" ca="1">_xlfn.IFNA(SUM((AB$3&gt;='Gastos com Pessoal'!$E$7:$E$506)*(AB$3&lt;='Gastos com Pessoal'!$F$7:$F$506)*OFFSET('Encargos e Benefícios'!$D$5,1,MATCH($B48,'Encargos e Benefícios'!$E$5:$AB$5,0),500,1)),0)+_xlfn.IFNA(SUM((AB$3&gt;='Gastos com Pessoal'!$E$513:$E$522)*(AB$3&lt;='Gastos com Pessoal'!$F$513:$F$522)*OFFSET('Encargos e Benefícios'!$D$511,1,MATCH($B48,'Encargos e Benefícios'!$E$511:$AB$511,0),10,1)),0)+_xlfn.IFNA(SUM((AB$3&gt;='Gastos com Pessoal'!$E$7:$E$506)*(AB$3&lt;='Gastos com Pessoal'!$F$7:$F$506)*(IF('Gastos com Pessoal'!$G$7:$G$506&lt;=AB$3,1,0))*OFFSET('Gastos com Pessoal'!$H$6,1,MATCH(1&amp;$B48,'Gastos com Pessoal'!$I$532:$AJ$532&amp;'Gastos com Pessoal'!$I$6:$AJ$6,0),500,1)),0)+_xlfn.IFNA(SUM((AB$3&gt;='Gastos com Pessoal'!$E$7:$E$506)*(AB$3&lt;='Gastos com Pessoal'!$F$7:$F$506)*(IF('Gastos com Pessoal'!$M$7:$M$506&lt;=AB$3,1,0))*OFFSET('Gastos com Pessoal'!$H$6,1,MATCH(2&amp;$B48,'Gastos com Pessoal'!$I$532:$AJ$532&amp;'Gastos com Pessoal'!$I$6:$AJ$6,0),500,1)),0)+_xlfn.IFNA(SUM((AB$3&gt;='Gastos com Pessoal'!$E$7:$E$506)*(AB$3&lt;='Gastos com Pessoal'!$F$7:$F$506)*(IF('Gastos com Pessoal'!$S$7:$S$506&lt;=AB$3,1,0))*OFFSET('Gastos com Pessoal'!$H$6,1,MATCH(3&amp;$B48,'Gastos com Pessoal'!$I$532:$AJ$532&amp;'Gastos com Pessoal'!$I$6:$AJ$6,0),500,1)),0)+_xlfn.IFNA(SUM((AB$3&gt;='Gastos com Pessoal'!$E$7:$E$506)*(AB$3&lt;='Gastos com Pessoal'!$F$7:$F$506)*(IF('Gastos com Pessoal'!$Y$7:$Y$506&lt;=AB$3,1,0))*OFFSET('Gastos com Pessoal'!$H$6,1,MATCH(4&amp;$B48,'Gastos com Pessoal'!$I$532:$AJ$532&amp;'Gastos com Pessoal'!$I$6:$AJ$6,0),500,1)),0)+_xlfn.IFNA(SUM((AB$3&gt;='Gastos com Pessoal'!$E$7:$E$506)*(AB$3&lt;='Gastos com Pessoal'!$F$7:$F$506)*(IF('Gastos com Pessoal'!$AE$7:$AE$506&lt;=AB$3,1,0))*OFFSET('Gastos com Pessoal'!$H$6,1,MATCH(5&amp;$B48,'Gastos com Pessoal'!$I$532:$AJ$532&amp;'Gastos com Pessoal'!$I$6:$AJ$6,0),500,1)),0)+_xlfn.IFNA(SUM((AB$3&gt;='Gastos com Pessoal'!$E$513:$E$522)*(AB$3&lt;='Gastos com Pessoal'!$F$513:$F$522)*(IF('Gastos com Pessoal'!$G$513:$G$522&lt;=AB$3,1,0))*OFFSET('Gastos com Pessoal'!$H$512,1,MATCH(1&amp;$B48,'Gastos com Pessoal'!$I$532:$AJ$532&amp;'Gastos com Pessoal'!$I$512:$AJ$512,0),10,1)),0)+_xlfn.IFNA(SUM((AB$3&gt;='Gastos com Pessoal'!$E$513:$E$522)*(AB$3&lt;='Gastos com Pessoal'!$F$513:$F$522)*(IF('Gastos com Pessoal'!$M$513:$M$522&lt;=AB$3,1,0))*OFFSET('Gastos com Pessoal'!$H$512,1,MATCH(2&amp;$B48,'Gastos com Pessoal'!$I$532:$AJ$532&amp;'Gastos com Pessoal'!$I$512:$AJ$512,0),10,1)),0)+_xlfn.IFNA(SUM((AB$3&gt;='Gastos com Pessoal'!$E$513:$E$522)*(AB$3&lt;='Gastos com Pessoal'!$F$513:$F$522)*(IF('Gastos com Pessoal'!$S$513:$S$522&lt;=AB$3,1,0))*OFFSET('Gastos com Pessoal'!$H$512,1,MATCH(3&amp;$B48,'Gastos com Pessoal'!$I$532:$AJ$532&amp;'Gastos com Pessoal'!$I$512:$AJ$512,0),10,1)),0)+_xlfn.IFNA(SUM((AB$3&gt;='Gastos com Pessoal'!$E$513:$E$522)*(AB$3&lt;='Gastos com Pessoal'!$F$513:$F$522)*(IF('Gastos com Pessoal'!$Y$513:$Y$522&lt;=AB$3,1,0))*OFFSET('Gastos com Pessoal'!$H$512,1,MATCH(4&amp;$B48,'Gastos com Pessoal'!$I$532:$AJ$532&amp;'Gastos com Pessoal'!$I$512:$AJ$512,0),10,1)),0)+_xlfn.IFNA(SUM((AB$3&gt;='Gastos com Pessoal'!$E$513:$E$522)*(AB$3&lt;='Gastos com Pessoal'!$F$513:$F$522)*(IF('Gastos com Pessoal'!$AE$513:$AE$522&lt;=AB$3,1,0))*OFFSET('Gastos com Pessoal'!$H$512,1,MATCH(5&amp;$B48,'Gastos com Pessoal'!$I$532:$AJ$532&amp;'Gastos com Pessoal'!$I$512:$AJ$512,0),10,1)),0)</f>
        <v>63266.19667280632</v>
      </c>
      <c r="AC48" s="188">
        <f t="array" aca="1" ref="AC48" ca="1">_xlfn.IFNA(SUM((AC$3&gt;='Gastos com Pessoal'!$E$7:$E$506)*(AC$3&lt;='Gastos com Pessoal'!$F$7:$F$506)*OFFSET('Encargos e Benefícios'!$D$5,1,MATCH($B48,'Encargos e Benefícios'!$E$5:$AB$5,0),500,1)),0)+_xlfn.IFNA(SUM((AC$3&gt;='Gastos com Pessoal'!$E$513:$E$522)*(AC$3&lt;='Gastos com Pessoal'!$F$513:$F$522)*OFFSET('Encargos e Benefícios'!$D$511,1,MATCH($B48,'Encargos e Benefícios'!$E$511:$AB$511,0),10,1)),0)+_xlfn.IFNA(SUM((AC$3&gt;='Gastos com Pessoal'!$E$7:$E$506)*(AC$3&lt;='Gastos com Pessoal'!$F$7:$F$506)*(IF('Gastos com Pessoal'!$G$7:$G$506&lt;=AC$3,1,0))*OFFSET('Gastos com Pessoal'!$H$6,1,MATCH(1&amp;$B48,'Gastos com Pessoal'!$I$532:$AJ$532&amp;'Gastos com Pessoal'!$I$6:$AJ$6,0),500,1)),0)+_xlfn.IFNA(SUM((AC$3&gt;='Gastos com Pessoal'!$E$7:$E$506)*(AC$3&lt;='Gastos com Pessoal'!$F$7:$F$506)*(IF('Gastos com Pessoal'!$M$7:$M$506&lt;=AC$3,1,0))*OFFSET('Gastos com Pessoal'!$H$6,1,MATCH(2&amp;$B48,'Gastos com Pessoal'!$I$532:$AJ$532&amp;'Gastos com Pessoal'!$I$6:$AJ$6,0),500,1)),0)+_xlfn.IFNA(SUM((AC$3&gt;='Gastos com Pessoal'!$E$7:$E$506)*(AC$3&lt;='Gastos com Pessoal'!$F$7:$F$506)*(IF('Gastos com Pessoal'!$S$7:$S$506&lt;=AC$3,1,0))*OFFSET('Gastos com Pessoal'!$H$6,1,MATCH(3&amp;$B48,'Gastos com Pessoal'!$I$532:$AJ$532&amp;'Gastos com Pessoal'!$I$6:$AJ$6,0),500,1)),0)+_xlfn.IFNA(SUM((AC$3&gt;='Gastos com Pessoal'!$E$7:$E$506)*(AC$3&lt;='Gastos com Pessoal'!$F$7:$F$506)*(IF('Gastos com Pessoal'!$Y$7:$Y$506&lt;=AC$3,1,0))*OFFSET('Gastos com Pessoal'!$H$6,1,MATCH(4&amp;$B48,'Gastos com Pessoal'!$I$532:$AJ$532&amp;'Gastos com Pessoal'!$I$6:$AJ$6,0),500,1)),0)+_xlfn.IFNA(SUM((AC$3&gt;='Gastos com Pessoal'!$E$7:$E$506)*(AC$3&lt;='Gastos com Pessoal'!$F$7:$F$506)*(IF('Gastos com Pessoal'!$AE$7:$AE$506&lt;=AC$3,1,0))*OFFSET('Gastos com Pessoal'!$H$6,1,MATCH(5&amp;$B48,'Gastos com Pessoal'!$I$532:$AJ$532&amp;'Gastos com Pessoal'!$I$6:$AJ$6,0),500,1)),0)+_xlfn.IFNA(SUM((AC$3&gt;='Gastos com Pessoal'!$E$513:$E$522)*(AC$3&lt;='Gastos com Pessoal'!$F$513:$F$522)*(IF('Gastos com Pessoal'!$G$513:$G$522&lt;=AC$3,1,0))*OFFSET('Gastos com Pessoal'!$H$512,1,MATCH(1&amp;$B48,'Gastos com Pessoal'!$I$532:$AJ$532&amp;'Gastos com Pessoal'!$I$512:$AJ$512,0),10,1)),0)+_xlfn.IFNA(SUM((AC$3&gt;='Gastos com Pessoal'!$E$513:$E$522)*(AC$3&lt;='Gastos com Pessoal'!$F$513:$F$522)*(IF('Gastos com Pessoal'!$M$513:$M$522&lt;=AC$3,1,0))*OFFSET('Gastos com Pessoal'!$H$512,1,MATCH(2&amp;$B48,'Gastos com Pessoal'!$I$532:$AJ$532&amp;'Gastos com Pessoal'!$I$512:$AJ$512,0),10,1)),0)+_xlfn.IFNA(SUM((AC$3&gt;='Gastos com Pessoal'!$E$513:$E$522)*(AC$3&lt;='Gastos com Pessoal'!$F$513:$F$522)*(IF('Gastos com Pessoal'!$S$513:$S$522&lt;=AC$3,1,0))*OFFSET('Gastos com Pessoal'!$H$512,1,MATCH(3&amp;$B48,'Gastos com Pessoal'!$I$532:$AJ$532&amp;'Gastos com Pessoal'!$I$512:$AJ$512,0),10,1)),0)+_xlfn.IFNA(SUM((AC$3&gt;='Gastos com Pessoal'!$E$513:$E$522)*(AC$3&lt;='Gastos com Pessoal'!$F$513:$F$522)*(IF('Gastos com Pessoal'!$Y$513:$Y$522&lt;=AC$3,1,0))*OFFSET('Gastos com Pessoal'!$H$512,1,MATCH(4&amp;$B48,'Gastos com Pessoal'!$I$532:$AJ$532&amp;'Gastos com Pessoal'!$I$512:$AJ$512,0),10,1)),0)+_xlfn.IFNA(SUM((AC$3&gt;='Gastos com Pessoal'!$E$513:$E$522)*(AC$3&lt;='Gastos com Pessoal'!$F$513:$F$522)*(IF('Gastos com Pessoal'!$AE$513:$AE$522&lt;=AC$3,1,0))*OFFSET('Gastos com Pessoal'!$H$512,1,MATCH(5&amp;$B48,'Gastos com Pessoal'!$I$532:$AJ$532&amp;'Gastos com Pessoal'!$I$512:$AJ$512,0),10,1)),0)</f>
        <v>63266.19667280632</v>
      </c>
      <c r="AD48" s="188">
        <f t="array" aca="1" ref="AD48" ca="1">_xlfn.IFNA(SUM((AD$3&gt;='Gastos com Pessoal'!$E$7:$E$506)*(AD$3&lt;='Gastos com Pessoal'!$F$7:$F$506)*OFFSET('Encargos e Benefícios'!$D$5,1,MATCH($B48,'Encargos e Benefícios'!$E$5:$AB$5,0),500,1)),0)+_xlfn.IFNA(SUM((AD$3&gt;='Gastos com Pessoal'!$E$513:$E$522)*(AD$3&lt;='Gastos com Pessoal'!$F$513:$F$522)*OFFSET('Encargos e Benefícios'!$D$511,1,MATCH($B48,'Encargos e Benefícios'!$E$511:$AB$511,0),10,1)),0)+_xlfn.IFNA(SUM((AD$3&gt;='Gastos com Pessoal'!$E$7:$E$506)*(AD$3&lt;='Gastos com Pessoal'!$F$7:$F$506)*(IF('Gastos com Pessoal'!$G$7:$G$506&lt;=AD$3,1,0))*OFFSET('Gastos com Pessoal'!$H$6,1,MATCH(1&amp;$B48,'Gastos com Pessoal'!$I$532:$AJ$532&amp;'Gastos com Pessoal'!$I$6:$AJ$6,0),500,1)),0)+_xlfn.IFNA(SUM((AD$3&gt;='Gastos com Pessoal'!$E$7:$E$506)*(AD$3&lt;='Gastos com Pessoal'!$F$7:$F$506)*(IF('Gastos com Pessoal'!$M$7:$M$506&lt;=AD$3,1,0))*OFFSET('Gastos com Pessoal'!$H$6,1,MATCH(2&amp;$B48,'Gastos com Pessoal'!$I$532:$AJ$532&amp;'Gastos com Pessoal'!$I$6:$AJ$6,0),500,1)),0)+_xlfn.IFNA(SUM((AD$3&gt;='Gastos com Pessoal'!$E$7:$E$506)*(AD$3&lt;='Gastos com Pessoal'!$F$7:$F$506)*(IF('Gastos com Pessoal'!$S$7:$S$506&lt;=AD$3,1,0))*OFFSET('Gastos com Pessoal'!$H$6,1,MATCH(3&amp;$B48,'Gastos com Pessoal'!$I$532:$AJ$532&amp;'Gastos com Pessoal'!$I$6:$AJ$6,0),500,1)),0)+_xlfn.IFNA(SUM((AD$3&gt;='Gastos com Pessoal'!$E$7:$E$506)*(AD$3&lt;='Gastos com Pessoal'!$F$7:$F$506)*(IF('Gastos com Pessoal'!$Y$7:$Y$506&lt;=AD$3,1,0))*OFFSET('Gastos com Pessoal'!$H$6,1,MATCH(4&amp;$B48,'Gastos com Pessoal'!$I$532:$AJ$532&amp;'Gastos com Pessoal'!$I$6:$AJ$6,0),500,1)),0)+_xlfn.IFNA(SUM((AD$3&gt;='Gastos com Pessoal'!$E$7:$E$506)*(AD$3&lt;='Gastos com Pessoal'!$F$7:$F$506)*(IF('Gastos com Pessoal'!$AE$7:$AE$506&lt;=AD$3,1,0))*OFFSET('Gastos com Pessoal'!$H$6,1,MATCH(5&amp;$B48,'Gastos com Pessoal'!$I$532:$AJ$532&amp;'Gastos com Pessoal'!$I$6:$AJ$6,0),500,1)),0)+_xlfn.IFNA(SUM((AD$3&gt;='Gastos com Pessoal'!$E$513:$E$522)*(AD$3&lt;='Gastos com Pessoal'!$F$513:$F$522)*(IF('Gastos com Pessoal'!$G$513:$G$522&lt;=AD$3,1,0))*OFFSET('Gastos com Pessoal'!$H$512,1,MATCH(1&amp;$B48,'Gastos com Pessoal'!$I$532:$AJ$532&amp;'Gastos com Pessoal'!$I$512:$AJ$512,0),10,1)),0)+_xlfn.IFNA(SUM((AD$3&gt;='Gastos com Pessoal'!$E$513:$E$522)*(AD$3&lt;='Gastos com Pessoal'!$F$513:$F$522)*(IF('Gastos com Pessoal'!$M$513:$M$522&lt;=AD$3,1,0))*OFFSET('Gastos com Pessoal'!$H$512,1,MATCH(2&amp;$B48,'Gastos com Pessoal'!$I$532:$AJ$532&amp;'Gastos com Pessoal'!$I$512:$AJ$512,0),10,1)),0)+_xlfn.IFNA(SUM((AD$3&gt;='Gastos com Pessoal'!$E$513:$E$522)*(AD$3&lt;='Gastos com Pessoal'!$F$513:$F$522)*(IF('Gastos com Pessoal'!$S$513:$S$522&lt;=AD$3,1,0))*OFFSET('Gastos com Pessoal'!$H$512,1,MATCH(3&amp;$B48,'Gastos com Pessoal'!$I$532:$AJ$532&amp;'Gastos com Pessoal'!$I$512:$AJ$512,0),10,1)),0)+_xlfn.IFNA(SUM((AD$3&gt;='Gastos com Pessoal'!$E$513:$E$522)*(AD$3&lt;='Gastos com Pessoal'!$F$513:$F$522)*(IF('Gastos com Pessoal'!$Y$513:$Y$522&lt;=AD$3,1,0))*OFFSET('Gastos com Pessoal'!$H$512,1,MATCH(4&amp;$B48,'Gastos com Pessoal'!$I$532:$AJ$532&amp;'Gastos com Pessoal'!$I$512:$AJ$512,0),10,1)),0)+_xlfn.IFNA(SUM((AD$3&gt;='Gastos com Pessoal'!$E$513:$E$522)*(AD$3&lt;='Gastos com Pessoal'!$F$513:$F$522)*(IF('Gastos com Pessoal'!$AE$513:$AE$522&lt;=AD$3,1,0))*OFFSET('Gastos com Pessoal'!$H$512,1,MATCH(5&amp;$B48,'Gastos com Pessoal'!$I$532:$AJ$532&amp;'Gastos com Pessoal'!$I$512:$AJ$512,0),10,1)),0)</f>
        <v>63266.19667280632</v>
      </c>
      <c r="AE48" s="188">
        <f t="array" aca="1" ref="AE48" ca="1">_xlfn.IFNA(SUM((AE$3&gt;='Gastos com Pessoal'!$E$7:$E$506)*(AE$3&lt;='Gastos com Pessoal'!$F$7:$F$506)*OFFSET('Encargos e Benefícios'!$D$5,1,MATCH($B48,'Encargos e Benefícios'!$E$5:$AB$5,0),500,1)),0)+_xlfn.IFNA(SUM((AE$3&gt;='Gastos com Pessoal'!$E$513:$E$522)*(AE$3&lt;='Gastos com Pessoal'!$F$513:$F$522)*OFFSET('Encargos e Benefícios'!$D$511,1,MATCH($B48,'Encargos e Benefícios'!$E$511:$AB$511,0),10,1)),0)+_xlfn.IFNA(SUM((AE$3&gt;='Gastos com Pessoal'!$E$7:$E$506)*(AE$3&lt;='Gastos com Pessoal'!$F$7:$F$506)*(IF('Gastos com Pessoal'!$G$7:$G$506&lt;=AE$3,1,0))*OFFSET('Gastos com Pessoal'!$H$6,1,MATCH(1&amp;$B48,'Gastos com Pessoal'!$I$532:$AJ$532&amp;'Gastos com Pessoal'!$I$6:$AJ$6,0),500,1)),0)+_xlfn.IFNA(SUM((AE$3&gt;='Gastos com Pessoal'!$E$7:$E$506)*(AE$3&lt;='Gastos com Pessoal'!$F$7:$F$506)*(IF('Gastos com Pessoal'!$M$7:$M$506&lt;=AE$3,1,0))*OFFSET('Gastos com Pessoal'!$H$6,1,MATCH(2&amp;$B48,'Gastos com Pessoal'!$I$532:$AJ$532&amp;'Gastos com Pessoal'!$I$6:$AJ$6,0),500,1)),0)+_xlfn.IFNA(SUM((AE$3&gt;='Gastos com Pessoal'!$E$7:$E$506)*(AE$3&lt;='Gastos com Pessoal'!$F$7:$F$506)*(IF('Gastos com Pessoal'!$S$7:$S$506&lt;=AE$3,1,0))*OFFSET('Gastos com Pessoal'!$H$6,1,MATCH(3&amp;$B48,'Gastos com Pessoal'!$I$532:$AJ$532&amp;'Gastos com Pessoal'!$I$6:$AJ$6,0),500,1)),0)+_xlfn.IFNA(SUM((AE$3&gt;='Gastos com Pessoal'!$E$7:$E$506)*(AE$3&lt;='Gastos com Pessoal'!$F$7:$F$506)*(IF('Gastos com Pessoal'!$Y$7:$Y$506&lt;=AE$3,1,0))*OFFSET('Gastos com Pessoal'!$H$6,1,MATCH(4&amp;$B48,'Gastos com Pessoal'!$I$532:$AJ$532&amp;'Gastos com Pessoal'!$I$6:$AJ$6,0),500,1)),0)+_xlfn.IFNA(SUM((AE$3&gt;='Gastos com Pessoal'!$E$7:$E$506)*(AE$3&lt;='Gastos com Pessoal'!$F$7:$F$506)*(IF('Gastos com Pessoal'!$AE$7:$AE$506&lt;=AE$3,1,0))*OFFSET('Gastos com Pessoal'!$H$6,1,MATCH(5&amp;$B48,'Gastos com Pessoal'!$I$532:$AJ$532&amp;'Gastos com Pessoal'!$I$6:$AJ$6,0),500,1)),0)+_xlfn.IFNA(SUM((AE$3&gt;='Gastos com Pessoal'!$E$513:$E$522)*(AE$3&lt;='Gastos com Pessoal'!$F$513:$F$522)*(IF('Gastos com Pessoal'!$G$513:$G$522&lt;=AE$3,1,0))*OFFSET('Gastos com Pessoal'!$H$512,1,MATCH(1&amp;$B48,'Gastos com Pessoal'!$I$532:$AJ$532&amp;'Gastos com Pessoal'!$I$512:$AJ$512,0),10,1)),0)+_xlfn.IFNA(SUM((AE$3&gt;='Gastos com Pessoal'!$E$513:$E$522)*(AE$3&lt;='Gastos com Pessoal'!$F$513:$F$522)*(IF('Gastos com Pessoal'!$M$513:$M$522&lt;=AE$3,1,0))*OFFSET('Gastos com Pessoal'!$H$512,1,MATCH(2&amp;$B48,'Gastos com Pessoal'!$I$532:$AJ$532&amp;'Gastos com Pessoal'!$I$512:$AJ$512,0),10,1)),0)+_xlfn.IFNA(SUM((AE$3&gt;='Gastos com Pessoal'!$E$513:$E$522)*(AE$3&lt;='Gastos com Pessoal'!$F$513:$F$522)*(IF('Gastos com Pessoal'!$S$513:$S$522&lt;=AE$3,1,0))*OFFSET('Gastos com Pessoal'!$H$512,1,MATCH(3&amp;$B48,'Gastos com Pessoal'!$I$532:$AJ$532&amp;'Gastos com Pessoal'!$I$512:$AJ$512,0),10,1)),0)+_xlfn.IFNA(SUM((AE$3&gt;='Gastos com Pessoal'!$E$513:$E$522)*(AE$3&lt;='Gastos com Pessoal'!$F$513:$F$522)*(IF('Gastos com Pessoal'!$Y$513:$Y$522&lt;=AE$3,1,0))*OFFSET('Gastos com Pessoal'!$H$512,1,MATCH(4&amp;$B48,'Gastos com Pessoal'!$I$532:$AJ$532&amp;'Gastos com Pessoal'!$I$512:$AJ$512,0),10,1)),0)+_xlfn.IFNA(SUM((AE$3&gt;='Gastos com Pessoal'!$E$513:$E$522)*(AE$3&lt;='Gastos com Pessoal'!$F$513:$F$522)*(IF('Gastos com Pessoal'!$AE$513:$AE$522&lt;=AE$3,1,0))*OFFSET('Gastos com Pessoal'!$H$512,1,MATCH(5&amp;$B48,'Gastos com Pessoal'!$I$532:$AJ$532&amp;'Gastos com Pessoal'!$I$512:$AJ$512,0),10,1)),0)</f>
        <v>63266.19667280632</v>
      </c>
      <c r="AF48" s="188">
        <f t="array" aca="1" ref="AF48" ca="1">_xlfn.IFNA(SUM((AF$3&gt;='Gastos com Pessoal'!$E$7:$E$506)*(AF$3&lt;='Gastos com Pessoal'!$F$7:$F$506)*OFFSET('Encargos e Benefícios'!$D$5,1,MATCH($B48,'Encargos e Benefícios'!$E$5:$AB$5,0),500,1)),0)+_xlfn.IFNA(SUM((AF$3&gt;='Gastos com Pessoal'!$E$513:$E$522)*(AF$3&lt;='Gastos com Pessoal'!$F$513:$F$522)*OFFSET('Encargos e Benefícios'!$D$511,1,MATCH($B48,'Encargos e Benefícios'!$E$511:$AB$511,0),10,1)),0)+_xlfn.IFNA(SUM((AF$3&gt;='Gastos com Pessoal'!$E$7:$E$506)*(AF$3&lt;='Gastos com Pessoal'!$F$7:$F$506)*(IF('Gastos com Pessoal'!$G$7:$G$506&lt;=AF$3,1,0))*OFFSET('Gastos com Pessoal'!$H$6,1,MATCH(1&amp;$B48,'Gastos com Pessoal'!$I$532:$AJ$532&amp;'Gastos com Pessoal'!$I$6:$AJ$6,0),500,1)),0)+_xlfn.IFNA(SUM((AF$3&gt;='Gastos com Pessoal'!$E$7:$E$506)*(AF$3&lt;='Gastos com Pessoal'!$F$7:$F$506)*(IF('Gastos com Pessoal'!$M$7:$M$506&lt;=AF$3,1,0))*OFFSET('Gastos com Pessoal'!$H$6,1,MATCH(2&amp;$B48,'Gastos com Pessoal'!$I$532:$AJ$532&amp;'Gastos com Pessoal'!$I$6:$AJ$6,0),500,1)),0)+_xlfn.IFNA(SUM((AF$3&gt;='Gastos com Pessoal'!$E$7:$E$506)*(AF$3&lt;='Gastos com Pessoal'!$F$7:$F$506)*(IF('Gastos com Pessoal'!$S$7:$S$506&lt;=AF$3,1,0))*OFFSET('Gastos com Pessoal'!$H$6,1,MATCH(3&amp;$B48,'Gastos com Pessoal'!$I$532:$AJ$532&amp;'Gastos com Pessoal'!$I$6:$AJ$6,0),500,1)),0)+_xlfn.IFNA(SUM((AF$3&gt;='Gastos com Pessoal'!$E$7:$E$506)*(AF$3&lt;='Gastos com Pessoal'!$F$7:$F$506)*(IF('Gastos com Pessoal'!$Y$7:$Y$506&lt;=AF$3,1,0))*OFFSET('Gastos com Pessoal'!$H$6,1,MATCH(4&amp;$B48,'Gastos com Pessoal'!$I$532:$AJ$532&amp;'Gastos com Pessoal'!$I$6:$AJ$6,0),500,1)),0)+_xlfn.IFNA(SUM((AF$3&gt;='Gastos com Pessoal'!$E$7:$E$506)*(AF$3&lt;='Gastos com Pessoal'!$F$7:$F$506)*(IF('Gastos com Pessoal'!$AE$7:$AE$506&lt;=AF$3,1,0))*OFFSET('Gastos com Pessoal'!$H$6,1,MATCH(5&amp;$B48,'Gastos com Pessoal'!$I$532:$AJ$532&amp;'Gastos com Pessoal'!$I$6:$AJ$6,0),500,1)),0)+_xlfn.IFNA(SUM((AF$3&gt;='Gastos com Pessoal'!$E$513:$E$522)*(AF$3&lt;='Gastos com Pessoal'!$F$513:$F$522)*(IF('Gastos com Pessoal'!$G$513:$G$522&lt;=AF$3,1,0))*OFFSET('Gastos com Pessoal'!$H$512,1,MATCH(1&amp;$B48,'Gastos com Pessoal'!$I$532:$AJ$532&amp;'Gastos com Pessoal'!$I$512:$AJ$512,0),10,1)),0)+_xlfn.IFNA(SUM((AF$3&gt;='Gastos com Pessoal'!$E$513:$E$522)*(AF$3&lt;='Gastos com Pessoal'!$F$513:$F$522)*(IF('Gastos com Pessoal'!$M$513:$M$522&lt;=AF$3,1,0))*OFFSET('Gastos com Pessoal'!$H$512,1,MATCH(2&amp;$B48,'Gastos com Pessoal'!$I$532:$AJ$532&amp;'Gastos com Pessoal'!$I$512:$AJ$512,0),10,1)),0)+_xlfn.IFNA(SUM((AF$3&gt;='Gastos com Pessoal'!$E$513:$E$522)*(AF$3&lt;='Gastos com Pessoal'!$F$513:$F$522)*(IF('Gastos com Pessoal'!$S$513:$S$522&lt;=AF$3,1,0))*OFFSET('Gastos com Pessoal'!$H$512,1,MATCH(3&amp;$B48,'Gastos com Pessoal'!$I$532:$AJ$532&amp;'Gastos com Pessoal'!$I$512:$AJ$512,0),10,1)),0)+_xlfn.IFNA(SUM((AF$3&gt;='Gastos com Pessoal'!$E$513:$E$522)*(AF$3&lt;='Gastos com Pessoal'!$F$513:$F$522)*(IF('Gastos com Pessoal'!$Y$513:$Y$522&lt;=AF$3,1,0))*OFFSET('Gastos com Pessoal'!$H$512,1,MATCH(4&amp;$B48,'Gastos com Pessoal'!$I$532:$AJ$532&amp;'Gastos com Pessoal'!$I$512:$AJ$512,0),10,1)),0)+_xlfn.IFNA(SUM((AF$3&gt;='Gastos com Pessoal'!$E$513:$E$522)*(AF$3&lt;='Gastos com Pessoal'!$F$513:$F$522)*(IF('Gastos com Pessoal'!$AE$513:$AE$522&lt;=AF$3,1,0))*OFFSET('Gastos com Pessoal'!$H$512,1,MATCH(5&amp;$B48,'Gastos com Pessoal'!$I$532:$AJ$532&amp;'Gastos com Pessoal'!$I$512:$AJ$512,0),10,1)),0)</f>
        <v>63266.19667280632</v>
      </c>
      <c r="AG48" s="188">
        <f t="array" aca="1" ref="AG48" ca="1">_xlfn.IFNA(SUM((AG$3&gt;='Gastos com Pessoal'!$E$7:$E$506)*(AG$3&lt;='Gastos com Pessoal'!$F$7:$F$506)*OFFSET('Encargos e Benefícios'!$D$5,1,MATCH($B48,'Encargos e Benefícios'!$E$5:$AB$5,0),500,1)),0)+_xlfn.IFNA(SUM((AG$3&gt;='Gastos com Pessoal'!$E$513:$E$522)*(AG$3&lt;='Gastos com Pessoal'!$F$513:$F$522)*OFFSET('Encargos e Benefícios'!$D$511,1,MATCH($B48,'Encargos e Benefícios'!$E$511:$AB$511,0),10,1)),0)+_xlfn.IFNA(SUM((AG$3&gt;='Gastos com Pessoal'!$E$7:$E$506)*(AG$3&lt;='Gastos com Pessoal'!$F$7:$F$506)*(IF('Gastos com Pessoal'!$G$7:$G$506&lt;=AG$3,1,0))*OFFSET('Gastos com Pessoal'!$H$6,1,MATCH(1&amp;$B48,'Gastos com Pessoal'!$I$532:$AJ$532&amp;'Gastos com Pessoal'!$I$6:$AJ$6,0),500,1)),0)+_xlfn.IFNA(SUM((AG$3&gt;='Gastos com Pessoal'!$E$7:$E$506)*(AG$3&lt;='Gastos com Pessoal'!$F$7:$F$506)*(IF('Gastos com Pessoal'!$M$7:$M$506&lt;=AG$3,1,0))*OFFSET('Gastos com Pessoal'!$H$6,1,MATCH(2&amp;$B48,'Gastos com Pessoal'!$I$532:$AJ$532&amp;'Gastos com Pessoal'!$I$6:$AJ$6,0),500,1)),0)+_xlfn.IFNA(SUM((AG$3&gt;='Gastos com Pessoal'!$E$7:$E$506)*(AG$3&lt;='Gastos com Pessoal'!$F$7:$F$506)*(IF('Gastos com Pessoal'!$S$7:$S$506&lt;=AG$3,1,0))*OFFSET('Gastos com Pessoal'!$H$6,1,MATCH(3&amp;$B48,'Gastos com Pessoal'!$I$532:$AJ$532&amp;'Gastos com Pessoal'!$I$6:$AJ$6,0),500,1)),0)+_xlfn.IFNA(SUM((AG$3&gt;='Gastos com Pessoal'!$E$7:$E$506)*(AG$3&lt;='Gastos com Pessoal'!$F$7:$F$506)*(IF('Gastos com Pessoal'!$Y$7:$Y$506&lt;=AG$3,1,0))*OFFSET('Gastos com Pessoal'!$H$6,1,MATCH(4&amp;$B48,'Gastos com Pessoal'!$I$532:$AJ$532&amp;'Gastos com Pessoal'!$I$6:$AJ$6,0),500,1)),0)+_xlfn.IFNA(SUM((AG$3&gt;='Gastos com Pessoal'!$E$7:$E$506)*(AG$3&lt;='Gastos com Pessoal'!$F$7:$F$506)*(IF('Gastos com Pessoal'!$AE$7:$AE$506&lt;=AG$3,1,0))*OFFSET('Gastos com Pessoal'!$H$6,1,MATCH(5&amp;$B48,'Gastos com Pessoal'!$I$532:$AJ$532&amp;'Gastos com Pessoal'!$I$6:$AJ$6,0),500,1)),0)+_xlfn.IFNA(SUM((AG$3&gt;='Gastos com Pessoal'!$E$513:$E$522)*(AG$3&lt;='Gastos com Pessoal'!$F$513:$F$522)*(IF('Gastos com Pessoal'!$G$513:$G$522&lt;=AG$3,1,0))*OFFSET('Gastos com Pessoal'!$H$512,1,MATCH(1&amp;$B48,'Gastos com Pessoal'!$I$532:$AJ$532&amp;'Gastos com Pessoal'!$I$512:$AJ$512,0),10,1)),0)+_xlfn.IFNA(SUM((AG$3&gt;='Gastos com Pessoal'!$E$513:$E$522)*(AG$3&lt;='Gastos com Pessoal'!$F$513:$F$522)*(IF('Gastos com Pessoal'!$M$513:$M$522&lt;=AG$3,1,0))*OFFSET('Gastos com Pessoal'!$H$512,1,MATCH(2&amp;$B48,'Gastos com Pessoal'!$I$532:$AJ$532&amp;'Gastos com Pessoal'!$I$512:$AJ$512,0),10,1)),0)+_xlfn.IFNA(SUM((AG$3&gt;='Gastos com Pessoal'!$E$513:$E$522)*(AG$3&lt;='Gastos com Pessoal'!$F$513:$F$522)*(IF('Gastos com Pessoal'!$S$513:$S$522&lt;=AG$3,1,0))*OFFSET('Gastos com Pessoal'!$H$512,1,MATCH(3&amp;$B48,'Gastos com Pessoal'!$I$532:$AJ$532&amp;'Gastos com Pessoal'!$I$512:$AJ$512,0),10,1)),0)+_xlfn.IFNA(SUM((AG$3&gt;='Gastos com Pessoal'!$E$513:$E$522)*(AG$3&lt;='Gastos com Pessoal'!$F$513:$F$522)*(IF('Gastos com Pessoal'!$Y$513:$Y$522&lt;=AG$3,1,0))*OFFSET('Gastos com Pessoal'!$H$512,1,MATCH(4&amp;$B48,'Gastos com Pessoal'!$I$532:$AJ$532&amp;'Gastos com Pessoal'!$I$512:$AJ$512,0),10,1)),0)+_xlfn.IFNA(SUM((AG$3&gt;='Gastos com Pessoal'!$E$513:$E$522)*(AG$3&lt;='Gastos com Pessoal'!$F$513:$F$522)*(IF('Gastos com Pessoal'!$AE$513:$AE$522&lt;=AG$3,1,0))*OFFSET('Gastos com Pessoal'!$H$512,1,MATCH(5&amp;$B48,'Gastos com Pessoal'!$I$532:$AJ$532&amp;'Gastos com Pessoal'!$I$512:$AJ$512,0),10,1)),0)</f>
        <v>63266.19667280632</v>
      </c>
      <c r="AH48" s="188">
        <f t="array" aca="1" ref="AH48" ca="1">_xlfn.IFNA(SUM((AH$3&gt;='Gastos com Pessoal'!$E$7:$E$506)*(AH$3&lt;='Gastos com Pessoal'!$F$7:$F$506)*OFFSET('Encargos e Benefícios'!$D$5,1,MATCH($B48,'Encargos e Benefícios'!$E$5:$AB$5,0),500,1)),0)+_xlfn.IFNA(SUM((AH$3&gt;='Gastos com Pessoal'!$E$513:$E$522)*(AH$3&lt;='Gastos com Pessoal'!$F$513:$F$522)*OFFSET('Encargos e Benefícios'!$D$511,1,MATCH($B48,'Encargos e Benefícios'!$E$511:$AB$511,0),10,1)),0)+_xlfn.IFNA(SUM((AH$3&gt;='Gastos com Pessoal'!$E$7:$E$506)*(AH$3&lt;='Gastos com Pessoal'!$F$7:$F$506)*(IF('Gastos com Pessoal'!$G$7:$G$506&lt;=AH$3,1,0))*OFFSET('Gastos com Pessoal'!$H$6,1,MATCH(1&amp;$B48,'Gastos com Pessoal'!$I$532:$AJ$532&amp;'Gastos com Pessoal'!$I$6:$AJ$6,0),500,1)),0)+_xlfn.IFNA(SUM((AH$3&gt;='Gastos com Pessoal'!$E$7:$E$506)*(AH$3&lt;='Gastos com Pessoal'!$F$7:$F$506)*(IF('Gastos com Pessoal'!$M$7:$M$506&lt;=AH$3,1,0))*OFFSET('Gastos com Pessoal'!$H$6,1,MATCH(2&amp;$B48,'Gastos com Pessoal'!$I$532:$AJ$532&amp;'Gastos com Pessoal'!$I$6:$AJ$6,0),500,1)),0)+_xlfn.IFNA(SUM((AH$3&gt;='Gastos com Pessoal'!$E$7:$E$506)*(AH$3&lt;='Gastos com Pessoal'!$F$7:$F$506)*(IF('Gastos com Pessoal'!$S$7:$S$506&lt;=AH$3,1,0))*OFFSET('Gastos com Pessoal'!$H$6,1,MATCH(3&amp;$B48,'Gastos com Pessoal'!$I$532:$AJ$532&amp;'Gastos com Pessoal'!$I$6:$AJ$6,0),500,1)),0)+_xlfn.IFNA(SUM((AH$3&gt;='Gastos com Pessoal'!$E$7:$E$506)*(AH$3&lt;='Gastos com Pessoal'!$F$7:$F$506)*(IF('Gastos com Pessoal'!$Y$7:$Y$506&lt;=AH$3,1,0))*OFFSET('Gastos com Pessoal'!$H$6,1,MATCH(4&amp;$B48,'Gastos com Pessoal'!$I$532:$AJ$532&amp;'Gastos com Pessoal'!$I$6:$AJ$6,0),500,1)),0)+_xlfn.IFNA(SUM((AH$3&gt;='Gastos com Pessoal'!$E$7:$E$506)*(AH$3&lt;='Gastos com Pessoal'!$F$7:$F$506)*(IF('Gastos com Pessoal'!$AE$7:$AE$506&lt;=AH$3,1,0))*OFFSET('Gastos com Pessoal'!$H$6,1,MATCH(5&amp;$B48,'Gastos com Pessoal'!$I$532:$AJ$532&amp;'Gastos com Pessoal'!$I$6:$AJ$6,0),500,1)),0)+_xlfn.IFNA(SUM((AH$3&gt;='Gastos com Pessoal'!$E$513:$E$522)*(AH$3&lt;='Gastos com Pessoal'!$F$513:$F$522)*(IF('Gastos com Pessoal'!$G$513:$G$522&lt;=AH$3,1,0))*OFFSET('Gastos com Pessoal'!$H$512,1,MATCH(1&amp;$B48,'Gastos com Pessoal'!$I$532:$AJ$532&amp;'Gastos com Pessoal'!$I$512:$AJ$512,0),10,1)),0)+_xlfn.IFNA(SUM((AH$3&gt;='Gastos com Pessoal'!$E$513:$E$522)*(AH$3&lt;='Gastos com Pessoal'!$F$513:$F$522)*(IF('Gastos com Pessoal'!$M$513:$M$522&lt;=AH$3,1,0))*OFFSET('Gastos com Pessoal'!$H$512,1,MATCH(2&amp;$B48,'Gastos com Pessoal'!$I$532:$AJ$532&amp;'Gastos com Pessoal'!$I$512:$AJ$512,0),10,1)),0)+_xlfn.IFNA(SUM((AH$3&gt;='Gastos com Pessoal'!$E$513:$E$522)*(AH$3&lt;='Gastos com Pessoal'!$F$513:$F$522)*(IF('Gastos com Pessoal'!$S$513:$S$522&lt;=AH$3,1,0))*OFFSET('Gastos com Pessoal'!$H$512,1,MATCH(3&amp;$B48,'Gastos com Pessoal'!$I$532:$AJ$532&amp;'Gastos com Pessoal'!$I$512:$AJ$512,0),10,1)),0)+_xlfn.IFNA(SUM((AH$3&gt;='Gastos com Pessoal'!$E$513:$E$522)*(AH$3&lt;='Gastos com Pessoal'!$F$513:$F$522)*(IF('Gastos com Pessoal'!$Y$513:$Y$522&lt;=AH$3,1,0))*OFFSET('Gastos com Pessoal'!$H$512,1,MATCH(4&amp;$B48,'Gastos com Pessoal'!$I$532:$AJ$532&amp;'Gastos com Pessoal'!$I$512:$AJ$512,0),10,1)),0)+_xlfn.IFNA(SUM((AH$3&gt;='Gastos com Pessoal'!$E$513:$E$522)*(AH$3&lt;='Gastos com Pessoal'!$F$513:$F$522)*(IF('Gastos com Pessoal'!$AE$513:$AE$522&lt;=AH$3,1,0))*OFFSET('Gastos com Pessoal'!$H$512,1,MATCH(5&amp;$B48,'Gastos com Pessoal'!$I$532:$AJ$532&amp;'Gastos com Pessoal'!$I$512:$AJ$512,0),10,1)),0)</f>
        <v>63266.19667280632</v>
      </c>
      <c r="AI48" s="188">
        <f t="array" aca="1" ref="AI48" ca="1">_xlfn.IFNA(SUM((AI$3&gt;='Gastos com Pessoal'!$E$7:$E$506)*(AI$3&lt;='Gastos com Pessoal'!$F$7:$F$506)*OFFSET('Encargos e Benefícios'!$D$5,1,MATCH($B48,'Encargos e Benefícios'!$E$5:$AB$5,0),500,1)),0)+_xlfn.IFNA(SUM((AI$3&gt;='Gastos com Pessoal'!$E$513:$E$522)*(AI$3&lt;='Gastos com Pessoal'!$F$513:$F$522)*OFFSET('Encargos e Benefícios'!$D$511,1,MATCH($B48,'Encargos e Benefícios'!$E$511:$AB$511,0),10,1)),0)+_xlfn.IFNA(SUM((AI$3&gt;='Gastos com Pessoal'!$E$7:$E$506)*(AI$3&lt;='Gastos com Pessoal'!$F$7:$F$506)*(IF('Gastos com Pessoal'!$G$7:$G$506&lt;=AI$3,1,0))*OFFSET('Gastos com Pessoal'!$H$6,1,MATCH(1&amp;$B48,'Gastos com Pessoal'!$I$532:$AJ$532&amp;'Gastos com Pessoal'!$I$6:$AJ$6,0),500,1)),0)+_xlfn.IFNA(SUM((AI$3&gt;='Gastos com Pessoal'!$E$7:$E$506)*(AI$3&lt;='Gastos com Pessoal'!$F$7:$F$506)*(IF('Gastos com Pessoal'!$M$7:$M$506&lt;=AI$3,1,0))*OFFSET('Gastos com Pessoal'!$H$6,1,MATCH(2&amp;$B48,'Gastos com Pessoal'!$I$532:$AJ$532&amp;'Gastos com Pessoal'!$I$6:$AJ$6,0),500,1)),0)+_xlfn.IFNA(SUM((AI$3&gt;='Gastos com Pessoal'!$E$7:$E$506)*(AI$3&lt;='Gastos com Pessoal'!$F$7:$F$506)*(IF('Gastos com Pessoal'!$S$7:$S$506&lt;=AI$3,1,0))*OFFSET('Gastos com Pessoal'!$H$6,1,MATCH(3&amp;$B48,'Gastos com Pessoal'!$I$532:$AJ$532&amp;'Gastos com Pessoal'!$I$6:$AJ$6,0),500,1)),0)+_xlfn.IFNA(SUM((AI$3&gt;='Gastos com Pessoal'!$E$7:$E$506)*(AI$3&lt;='Gastos com Pessoal'!$F$7:$F$506)*(IF('Gastos com Pessoal'!$Y$7:$Y$506&lt;=AI$3,1,0))*OFFSET('Gastos com Pessoal'!$H$6,1,MATCH(4&amp;$B48,'Gastos com Pessoal'!$I$532:$AJ$532&amp;'Gastos com Pessoal'!$I$6:$AJ$6,0),500,1)),0)+_xlfn.IFNA(SUM((AI$3&gt;='Gastos com Pessoal'!$E$7:$E$506)*(AI$3&lt;='Gastos com Pessoal'!$F$7:$F$506)*(IF('Gastos com Pessoal'!$AE$7:$AE$506&lt;=AI$3,1,0))*OFFSET('Gastos com Pessoal'!$H$6,1,MATCH(5&amp;$B48,'Gastos com Pessoal'!$I$532:$AJ$532&amp;'Gastos com Pessoal'!$I$6:$AJ$6,0),500,1)),0)+_xlfn.IFNA(SUM((AI$3&gt;='Gastos com Pessoal'!$E$513:$E$522)*(AI$3&lt;='Gastos com Pessoal'!$F$513:$F$522)*(IF('Gastos com Pessoal'!$G$513:$G$522&lt;=AI$3,1,0))*OFFSET('Gastos com Pessoal'!$H$512,1,MATCH(1&amp;$B48,'Gastos com Pessoal'!$I$532:$AJ$532&amp;'Gastos com Pessoal'!$I$512:$AJ$512,0),10,1)),0)+_xlfn.IFNA(SUM((AI$3&gt;='Gastos com Pessoal'!$E$513:$E$522)*(AI$3&lt;='Gastos com Pessoal'!$F$513:$F$522)*(IF('Gastos com Pessoal'!$M$513:$M$522&lt;=AI$3,1,0))*OFFSET('Gastos com Pessoal'!$H$512,1,MATCH(2&amp;$B48,'Gastos com Pessoal'!$I$532:$AJ$532&amp;'Gastos com Pessoal'!$I$512:$AJ$512,0),10,1)),0)+_xlfn.IFNA(SUM((AI$3&gt;='Gastos com Pessoal'!$E$513:$E$522)*(AI$3&lt;='Gastos com Pessoal'!$F$513:$F$522)*(IF('Gastos com Pessoal'!$S$513:$S$522&lt;=AI$3,1,0))*OFFSET('Gastos com Pessoal'!$H$512,1,MATCH(3&amp;$B48,'Gastos com Pessoal'!$I$532:$AJ$532&amp;'Gastos com Pessoal'!$I$512:$AJ$512,0),10,1)),0)+_xlfn.IFNA(SUM((AI$3&gt;='Gastos com Pessoal'!$E$513:$E$522)*(AI$3&lt;='Gastos com Pessoal'!$F$513:$F$522)*(IF('Gastos com Pessoal'!$Y$513:$Y$522&lt;=AI$3,1,0))*OFFSET('Gastos com Pessoal'!$H$512,1,MATCH(4&amp;$B48,'Gastos com Pessoal'!$I$532:$AJ$532&amp;'Gastos com Pessoal'!$I$512:$AJ$512,0),10,1)),0)+_xlfn.IFNA(SUM((AI$3&gt;='Gastos com Pessoal'!$E$513:$E$522)*(AI$3&lt;='Gastos com Pessoal'!$F$513:$F$522)*(IF('Gastos com Pessoal'!$AE$513:$AE$522&lt;=AI$3,1,0))*OFFSET('Gastos com Pessoal'!$H$512,1,MATCH(5&amp;$B48,'Gastos com Pessoal'!$I$532:$AJ$532&amp;'Gastos com Pessoal'!$I$512:$AJ$512,0),10,1)),0)</f>
        <v>63266.19667280632</v>
      </c>
      <c r="AJ48" s="188">
        <f t="array" aca="1" ref="AJ48" ca="1">_xlfn.IFNA(SUM((AJ$3&gt;='Gastos com Pessoal'!$E$7:$E$506)*(AJ$3&lt;='Gastos com Pessoal'!$F$7:$F$506)*OFFSET('Encargos e Benefícios'!$D$5,1,MATCH($B48,'Encargos e Benefícios'!$E$5:$AB$5,0),500,1)),0)+_xlfn.IFNA(SUM((AJ$3&gt;='Gastos com Pessoal'!$E$513:$E$522)*(AJ$3&lt;='Gastos com Pessoal'!$F$513:$F$522)*OFFSET('Encargos e Benefícios'!$D$511,1,MATCH($B48,'Encargos e Benefícios'!$E$511:$AB$511,0),10,1)),0)+_xlfn.IFNA(SUM((AJ$3&gt;='Gastos com Pessoal'!$E$7:$E$506)*(AJ$3&lt;='Gastos com Pessoal'!$F$7:$F$506)*(IF('Gastos com Pessoal'!$G$7:$G$506&lt;=AJ$3,1,0))*OFFSET('Gastos com Pessoal'!$H$6,1,MATCH(1&amp;$B48,'Gastos com Pessoal'!$I$532:$AJ$532&amp;'Gastos com Pessoal'!$I$6:$AJ$6,0),500,1)),0)+_xlfn.IFNA(SUM((AJ$3&gt;='Gastos com Pessoal'!$E$7:$E$506)*(AJ$3&lt;='Gastos com Pessoal'!$F$7:$F$506)*(IF('Gastos com Pessoal'!$M$7:$M$506&lt;=AJ$3,1,0))*OFFSET('Gastos com Pessoal'!$H$6,1,MATCH(2&amp;$B48,'Gastos com Pessoal'!$I$532:$AJ$532&amp;'Gastos com Pessoal'!$I$6:$AJ$6,0),500,1)),0)+_xlfn.IFNA(SUM((AJ$3&gt;='Gastos com Pessoal'!$E$7:$E$506)*(AJ$3&lt;='Gastos com Pessoal'!$F$7:$F$506)*(IF('Gastos com Pessoal'!$S$7:$S$506&lt;=AJ$3,1,0))*OFFSET('Gastos com Pessoal'!$H$6,1,MATCH(3&amp;$B48,'Gastos com Pessoal'!$I$532:$AJ$532&amp;'Gastos com Pessoal'!$I$6:$AJ$6,0),500,1)),0)+_xlfn.IFNA(SUM((AJ$3&gt;='Gastos com Pessoal'!$E$7:$E$506)*(AJ$3&lt;='Gastos com Pessoal'!$F$7:$F$506)*(IF('Gastos com Pessoal'!$Y$7:$Y$506&lt;=AJ$3,1,0))*OFFSET('Gastos com Pessoal'!$H$6,1,MATCH(4&amp;$B48,'Gastos com Pessoal'!$I$532:$AJ$532&amp;'Gastos com Pessoal'!$I$6:$AJ$6,0),500,1)),0)+_xlfn.IFNA(SUM((AJ$3&gt;='Gastos com Pessoal'!$E$7:$E$506)*(AJ$3&lt;='Gastos com Pessoal'!$F$7:$F$506)*(IF('Gastos com Pessoal'!$AE$7:$AE$506&lt;=AJ$3,1,0))*OFFSET('Gastos com Pessoal'!$H$6,1,MATCH(5&amp;$B48,'Gastos com Pessoal'!$I$532:$AJ$532&amp;'Gastos com Pessoal'!$I$6:$AJ$6,0),500,1)),0)+_xlfn.IFNA(SUM((AJ$3&gt;='Gastos com Pessoal'!$E$513:$E$522)*(AJ$3&lt;='Gastos com Pessoal'!$F$513:$F$522)*(IF('Gastos com Pessoal'!$G$513:$G$522&lt;=AJ$3,1,0))*OFFSET('Gastos com Pessoal'!$H$512,1,MATCH(1&amp;$B48,'Gastos com Pessoal'!$I$532:$AJ$532&amp;'Gastos com Pessoal'!$I$512:$AJ$512,0),10,1)),0)+_xlfn.IFNA(SUM((AJ$3&gt;='Gastos com Pessoal'!$E$513:$E$522)*(AJ$3&lt;='Gastos com Pessoal'!$F$513:$F$522)*(IF('Gastos com Pessoal'!$M$513:$M$522&lt;=AJ$3,1,0))*OFFSET('Gastos com Pessoal'!$H$512,1,MATCH(2&amp;$B48,'Gastos com Pessoal'!$I$532:$AJ$532&amp;'Gastos com Pessoal'!$I$512:$AJ$512,0),10,1)),0)+_xlfn.IFNA(SUM((AJ$3&gt;='Gastos com Pessoal'!$E$513:$E$522)*(AJ$3&lt;='Gastos com Pessoal'!$F$513:$F$522)*(IF('Gastos com Pessoal'!$S$513:$S$522&lt;=AJ$3,1,0))*OFFSET('Gastos com Pessoal'!$H$512,1,MATCH(3&amp;$B48,'Gastos com Pessoal'!$I$532:$AJ$532&amp;'Gastos com Pessoal'!$I$512:$AJ$512,0),10,1)),0)+_xlfn.IFNA(SUM((AJ$3&gt;='Gastos com Pessoal'!$E$513:$E$522)*(AJ$3&lt;='Gastos com Pessoal'!$F$513:$F$522)*(IF('Gastos com Pessoal'!$Y$513:$Y$522&lt;=AJ$3,1,0))*OFFSET('Gastos com Pessoal'!$H$512,1,MATCH(4&amp;$B48,'Gastos com Pessoal'!$I$532:$AJ$532&amp;'Gastos com Pessoal'!$I$512:$AJ$512,0),10,1)),0)+_xlfn.IFNA(SUM((AJ$3&gt;='Gastos com Pessoal'!$E$513:$E$522)*(AJ$3&lt;='Gastos com Pessoal'!$F$513:$F$522)*(IF('Gastos com Pessoal'!$AE$513:$AE$522&lt;=AJ$3,1,0))*OFFSET('Gastos com Pessoal'!$H$512,1,MATCH(5&amp;$B48,'Gastos com Pessoal'!$I$532:$AJ$532&amp;'Gastos com Pessoal'!$I$512:$AJ$512,0),10,1)),0)</f>
        <v>63266.19667280632</v>
      </c>
      <c r="AK48" s="188">
        <f t="array" aca="1" ref="AK48" ca="1">_xlfn.IFNA(SUM((AK$3&gt;='Gastos com Pessoal'!$E$7:$E$506)*(AK$3&lt;='Gastos com Pessoal'!$F$7:$F$506)*OFFSET('Encargos e Benefícios'!$D$5,1,MATCH($B48,'Encargos e Benefícios'!$E$5:$AB$5,0),500,1)),0)+_xlfn.IFNA(SUM((AK$3&gt;='Gastos com Pessoal'!$E$513:$E$522)*(AK$3&lt;='Gastos com Pessoal'!$F$513:$F$522)*OFFSET('Encargos e Benefícios'!$D$511,1,MATCH($B48,'Encargos e Benefícios'!$E$511:$AB$511,0),10,1)),0)+_xlfn.IFNA(SUM((AK$3&gt;='Gastos com Pessoal'!$E$7:$E$506)*(AK$3&lt;='Gastos com Pessoal'!$F$7:$F$506)*(IF('Gastos com Pessoal'!$G$7:$G$506&lt;=AK$3,1,0))*OFFSET('Gastos com Pessoal'!$H$6,1,MATCH(1&amp;$B48,'Gastos com Pessoal'!$I$532:$AJ$532&amp;'Gastos com Pessoal'!$I$6:$AJ$6,0),500,1)),0)+_xlfn.IFNA(SUM((AK$3&gt;='Gastos com Pessoal'!$E$7:$E$506)*(AK$3&lt;='Gastos com Pessoal'!$F$7:$F$506)*(IF('Gastos com Pessoal'!$M$7:$M$506&lt;=AK$3,1,0))*OFFSET('Gastos com Pessoal'!$H$6,1,MATCH(2&amp;$B48,'Gastos com Pessoal'!$I$532:$AJ$532&amp;'Gastos com Pessoal'!$I$6:$AJ$6,0),500,1)),0)+_xlfn.IFNA(SUM((AK$3&gt;='Gastos com Pessoal'!$E$7:$E$506)*(AK$3&lt;='Gastos com Pessoal'!$F$7:$F$506)*(IF('Gastos com Pessoal'!$S$7:$S$506&lt;=AK$3,1,0))*OFFSET('Gastos com Pessoal'!$H$6,1,MATCH(3&amp;$B48,'Gastos com Pessoal'!$I$532:$AJ$532&amp;'Gastos com Pessoal'!$I$6:$AJ$6,0),500,1)),0)+_xlfn.IFNA(SUM((AK$3&gt;='Gastos com Pessoal'!$E$7:$E$506)*(AK$3&lt;='Gastos com Pessoal'!$F$7:$F$506)*(IF('Gastos com Pessoal'!$Y$7:$Y$506&lt;=AK$3,1,0))*OFFSET('Gastos com Pessoal'!$H$6,1,MATCH(4&amp;$B48,'Gastos com Pessoal'!$I$532:$AJ$532&amp;'Gastos com Pessoal'!$I$6:$AJ$6,0),500,1)),0)+_xlfn.IFNA(SUM((AK$3&gt;='Gastos com Pessoal'!$E$7:$E$506)*(AK$3&lt;='Gastos com Pessoal'!$F$7:$F$506)*(IF('Gastos com Pessoal'!$AE$7:$AE$506&lt;=AK$3,1,0))*OFFSET('Gastos com Pessoal'!$H$6,1,MATCH(5&amp;$B48,'Gastos com Pessoal'!$I$532:$AJ$532&amp;'Gastos com Pessoal'!$I$6:$AJ$6,0),500,1)),0)+_xlfn.IFNA(SUM((AK$3&gt;='Gastos com Pessoal'!$E$513:$E$522)*(AK$3&lt;='Gastos com Pessoal'!$F$513:$F$522)*(IF('Gastos com Pessoal'!$G$513:$G$522&lt;=AK$3,1,0))*OFFSET('Gastos com Pessoal'!$H$512,1,MATCH(1&amp;$B48,'Gastos com Pessoal'!$I$532:$AJ$532&amp;'Gastos com Pessoal'!$I$512:$AJ$512,0),10,1)),0)+_xlfn.IFNA(SUM((AK$3&gt;='Gastos com Pessoal'!$E$513:$E$522)*(AK$3&lt;='Gastos com Pessoal'!$F$513:$F$522)*(IF('Gastos com Pessoal'!$M$513:$M$522&lt;=AK$3,1,0))*OFFSET('Gastos com Pessoal'!$H$512,1,MATCH(2&amp;$B48,'Gastos com Pessoal'!$I$532:$AJ$532&amp;'Gastos com Pessoal'!$I$512:$AJ$512,0),10,1)),0)+_xlfn.IFNA(SUM((AK$3&gt;='Gastos com Pessoal'!$E$513:$E$522)*(AK$3&lt;='Gastos com Pessoal'!$F$513:$F$522)*(IF('Gastos com Pessoal'!$S$513:$S$522&lt;=AK$3,1,0))*OFFSET('Gastos com Pessoal'!$H$512,1,MATCH(3&amp;$B48,'Gastos com Pessoal'!$I$532:$AJ$532&amp;'Gastos com Pessoal'!$I$512:$AJ$512,0),10,1)),0)+_xlfn.IFNA(SUM((AK$3&gt;='Gastos com Pessoal'!$E$513:$E$522)*(AK$3&lt;='Gastos com Pessoal'!$F$513:$F$522)*(IF('Gastos com Pessoal'!$Y$513:$Y$522&lt;=AK$3,1,0))*OFFSET('Gastos com Pessoal'!$H$512,1,MATCH(4&amp;$B48,'Gastos com Pessoal'!$I$532:$AJ$532&amp;'Gastos com Pessoal'!$I$512:$AJ$512,0),10,1)),0)+_xlfn.IFNA(SUM((AK$3&gt;='Gastos com Pessoal'!$E$513:$E$522)*(AK$3&lt;='Gastos com Pessoal'!$F$513:$F$522)*(IF('Gastos com Pessoal'!$AE$513:$AE$522&lt;=AK$3,1,0))*OFFSET('Gastos com Pessoal'!$H$512,1,MATCH(5&amp;$B48,'Gastos com Pessoal'!$I$532:$AJ$532&amp;'Gastos com Pessoal'!$I$512:$AJ$512,0),10,1)),0)</f>
        <v>63266.19667280632</v>
      </c>
      <c r="AL48" s="188">
        <f t="array" aca="1" ref="AL48" ca="1">_xlfn.IFNA(SUM((AL$3&gt;='Gastos com Pessoal'!$E$7:$E$506)*(AL$3&lt;='Gastos com Pessoal'!$F$7:$F$506)*OFFSET('Encargos e Benefícios'!$D$5,1,MATCH($B48,'Encargos e Benefícios'!$E$5:$AB$5,0),500,1)),0)+_xlfn.IFNA(SUM((AL$3&gt;='Gastos com Pessoal'!$E$513:$E$522)*(AL$3&lt;='Gastos com Pessoal'!$F$513:$F$522)*OFFSET('Encargos e Benefícios'!$D$511,1,MATCH($B48,'Encargos e Benefícios'!$E$511:$AB$511,0),10,1)),0)+_xlfn.IFNA(SUM((AL$3&gt;='Gastos com Pessoal'!$E$7:$E$506)*(AL$3&lt;='Gastos com Pessoal'!$F$7:$F$506)*(IF('Gastos com Pessoal'!$G$7:$G$506&lt;=AL$3,1,0))*OFFSET('Gastos com Pessoal'!$H$6,1,MATCH(1&amp;$B48,'Gastos com Pessoal'!$I$532:$AJ$532&amp;'Gastos com Pessoal'!$I$6:$AJ$6,0),500,1)),0)+_xlfn.IFNA(SUM((AL$3&gt;='Gastos com Pessoal'!$E$7:$E$506)*(AL$3&lt;='Gastos com Pessoal'!$F$7:$F$506)*(IF('Gastos com Pessoal'!$M$7:$M$506&lt;=AL$3,1,0))*OFFSET('Gastos com Pessoal'!$H$6,1,MATCH(2&amp;$B48,'Gastos com Pessoal'!$I$532:$AJ$532&amp;'Gastos com Pessoal'!$I$6:$AJ$6,0),500,1)),0)+_xlfn.IFNA(SUM((AL$3&gt;='Gastos com Pessoal'!$E$7:$E$506)*(AL$3&lt;='Gastos com Pessoal'!$F$7:$F$506)*(IF('Gastos com Pessoal'!$S$7:$S$506&lt;=AL$3,1,0))*OFFSET('Gastos com Pessoal'!$H$6,1,MATCH(3&amp;$B48,'Gastos com Pessoal'!$I$532:$AJ$532&amp;'Gastos com Pessoal'!$I$6:$AJ$6,0),500,1)),0)+_xlfn.IFNA(SUM((AL$3&gt;='Gastos com Pessoal'!$E$7:$E$506)*(AL$3&lt;='Gastos com Pessoal'!$F$7:$F$506)*(IF('Gastos com Pessoal'!$Y$7:$Y$506&lt;=AL$3,1,0))*OFFSET('Gastos com Pessoal'!$H$6,1,MATCH(4&amp;$B48,'Gastos com Pessoal'!$I$532:$AJ$532&amp;'Gastos com Pessoal'!$I$6:$AJ$6,0),500,1)),0)+_xlfn.IFNA(SUM((AL$3&gt;='Gastos com Pessoal'!$E$7:$E$506)*(AL$3&lt;='Gastos com Pessoal'!$F$7:$F$506)*(IF('Gastos com Pessoal'!$AE$7:$AE$506&lt;=AL$3,1,0))*OFFSET('Gastos com Pessoal'!$H$6,1,MATCH(5&amp;$B48,'Gastos com Pessoal'!$I$532:$AJ$532&amp;'Gastos com Pessoal'!$I$6:$AJ$6,0),500,1)),0)+_xlfn.IFNA(SUM((AL$3&gt;='Gastos com Pessoal'!$E$513:$E$522)*(AL$3&lt;='Gastos com Pessoal'!$F$513:$F$522)*(IF('Gastos com Pessoal'!$G$513:$G$522&lt;=AL$3,1,0))*OFFSET('Gastos com Pessoal'!$H$512,1,MATCH(1&amp;$B48,'Gastos com Pessoal'!$I$532:$AJ$532&amp;'Gastos com Pessoal'!$I$512:$AJ$512,0),10,1)),0)+_xlfn.IFNA(SUM((AL$3&gt;='Gastos com Pessoal'!$E$513:$E$522)*(AL$3&lt;='Gastos com Pessoal'!$F$513:$F$522)*(IF('Gastos com Pessoal'!$M$513:$M$522&lt;=AL$3,1,0))*OFFSET('Gastos com Pessoal'!$H$512,1,MATCH(2&amp;$B48,'Gastos com Pessoal'!$I$532:$AJ$532&amp;'Gastos com Pessoal'!$I$512:$AJ$512,0),10,1)),0)+_xlfn.IFNA(SUM((AL$3&gt;='Gastos com Pessoal'!$E$513:$E$522)*(AL$3&lt;='Gastos com Pessoal'!$F$513:$F$522)*(IF('Gastos com Pessoal'!$S$513:$S$522&lt;=AL$3,1,0))*OFFSET('Gastos com Pessoal'!$H$512,1,MATCH(3&amp;$B48,'Gastos com Pessoal'!$I$532:$AJ$532&amp;'Gastos com Pessoal'!$I$512:$AJ$512,0),10,1)),0)+_xlfn.IFNA(SUM((AL$3&gt;='Gastos com Pessoal'!$E$513:$E$522)*(AL$3&lt;='Gastos com Pessoal'!$F$513:$F$522)*(IF('Gastos com Pessoal'!$Y$513:$Y$522&lt;=AL$3,1,0))*OFFSET('Gastos com Pessoal'!$H$512,1,MATCH(4&amp;$B48,'Gastos com Pessoal'!$I$532:$AJ$532&amp;'Gastos com Pessoal'!$I$512:$AJ$512,0),10,1)),0)+_xlfn.IFNA(SUM((AL$3&gt;='Gastos com Pessoal'!$E$513:$E$522)*(AL$3&lt;='Gastos com Pessoal'!$F$513:$F$522)*(IF('Gastos com Pessoal'!$AE$513:$AE$522&lt;=AL$3,1,0))*OFFSET('Gastos com Pessoal'!$H$512,1,MATCH(5&amp;$B48,'Gastos com Pessoal'!$I$532:$AJ$532&amp;'Gastos com Pessoal'!$I$512:$AJ$512,0),10,1)),0)</f>
        <v>63266.19667280632</v>
      </c>
      <c r="AM48" s="188">
        <f t="array" aca="1" ref="AM48" ca="1">_xlfn.IFNA(SUM((AM$3&gt;='Gastos com Pessoal'!$E$7:$E$506)*(AM$3&lt;='Gastos com Pessoal'!$F$7:$F$506)*OFFSET('Encargos e Benefícios'!$D$5,1,MATCH($B48,'Encargos e Benefícios'!$E$5:$AB$5,0),500,1)),0)+_xlfn.IFNA(SUM((AM$3&gt;='Gastos com Pessoal'!$E$513:$E$522)*(AM$3&lt;='Gastos com Pessoal'!$F$513:$F$522)*OFFSET('Encargos e Benefícios'!$D$511,1,MATCH($B48,'Encargos e Benefícios'!$E$511:$AB$511,0),10,1)),0)+_xlfn.IFNA(SUM((AM$3&gt;='Gastos com Pessoal'!$E$7:$E$506)*(AM$3&lt;='Gastos com Pessoal'!$F$7:$F$506)*(IF('Gastos com Pessoal'!$G$7:$G$506&lt;=AM$3,1,0))*OFFSET('Gastos com Pessoal'!$H$6,1,MATCH(1&amp;$B48,'Gastos com Pessoal'!$I$532:$AJ$532&amp;'Gastos com Pessoal'!$I$6:$AJ$6,0),500,1)),0)+_xlfn.IFNA(SUM((AM$3&gt;='Gastos com Pessoal'!$E$7:$E$506)*(AM$3&lt;='Gastos com Pessoal'!$F$7:$F$506)*(IF('Gastos com Pessoal'!$M$7:$M$506&lt;=AM$3,1,0))*OFFSET('Gastos com Pessoal'!$H$6,1,MATCH(2&amp;$B48,'Gastos com Pessoal'!$I$532:$AJ$532&amp;'Gastos com Pessoal'!$I$6:$AJ$6,0),500,1)),0)+_xlfn.IFNA(SUM((AM$3&gt;='Gastos com Pessoal'!$E$7:$E$506)*(AM$3&lt;='Gastos com Pessoal'!$F$7:$F$506)*(IF('Gastos com Pessoal'!$S$7:$S$506&lt;=AM$3,1,0))*OFFSET('Gastos com Pessoal'!$H$6,1,MATCH(3&amp;$B48,'Gastos com Pessoal'!$I$532:$AJ$532&amp;'Gastos com Pessoal'!$I$6:$AJ$6,0),500,1)),0)+_xlfn.IFNA(SUM((AM$3&gt;='Gastos com Pessoal'!$E$7:$E$506)*(AM$3&lt;='Gastos com Pessoal'!$F$7:$F$506)*(IF('Gastos com Pessoal'!$Y$7:$Y$506&lt;=AM$3,1,0))*OFFSET('Gastos com Pessoal'!$H$6,1,MATCH(4&amp;$B48,'Gastos com Pessoal'!$I$532:$AJ$532&amp;'Gastos com Pessoal'!$I$6:$AJ$6,0),500,1)),0)+_xlfn.IFNA(SUM((AM$3&gt;='Gastos com Pessoal'!$E$7:$E$506)*(AM$3&lt;='Gastos com Pessoal'!$F$7:$F$506)*(IF('Gastos com Pessoal'!$AE$7:$AE$506&lt;=AM$3,1,0))*OFFSET('Gastos com Pessoal'!$H$6,1,MATCH(5&amp;$B48,'Gastos com Pessoal'!$I$532:$AJ$532&amp;'Gastos com Pessoal'!$I$6:$AJ$6,0),500,1)),0)+_xlfn.IFNA(SUM((AM$3&gt;='Gastos com Pessoal'!$E$513:$E$522)*(AM$3&lt;='Gastos com Pessoal'!$F$513:$F$522)*(IF('Gastos com Pessoal'!$G$513:$G$522&lt;=AM$3,1,0))*OFFSET('Gastos com Pessoal'!$H$512,1,MATCH(1&amp;$B48,'Gastos com Pessoal'!$I$532:$AJ$532&amp;'Gastos com Pessoal'!$I$512:$AJ$512,0),10,1)),0)+_xlfn.IFNA(SUM((AM$3&gt;='Gastos com Pessoal'!$E$513:$E$522)*(AM$3&lt;='Gastos com Pessoal'!$F$513:$F$522)*(IF('Gastos com Pessoal'!$M$513:$M$522&lt;=AM$3,1,0))*OFFSET('Gastos com Pessoal'!$H$512,1,MATCH(2&amp;$B48,'Gastos com Pessoal'!$I$532:$AJ$532&amp;'Gastos com Pessoal'!$I$512:$AJ$512,0),10,1)),0)+_xlfn.IFNA(SUM((AM$3&gt;='Gastos com Pessoal'!$E$513:$E$522)*(AM$3&lt;='Gastos com Pessoal'!$F$513:$F$522)*(IF('Gastos com Pessoal'!$S$513:$S$522&lt;=AM$3,1,0))*OFFSET('Gastos com Pessoal'!$H$512,1,MATCH(3&amp;$B48,'Gastos com Pessoal'!$I$532:$AJ$532&amp;'Gastos com Pessoal'!$I$512:$AJ$512,0),10,1)),0)+_xlfn.IFNA(SUM((AM$3&gt;='Gastos com Pessoal'!$E$513:$E$522)*(AM$3&lt;='Gastos com Pessoal'!$F$513:$F$522)*(IF('Gastos com Pessoal'!$Y$513:$Y$522&lt;=AM$3,1,0))*OFFSET('Gastos com Pessoal'!$H$512,1,MATCH(4&amp;$B48,'Gastos com Pessoal'!$I$532:$AJ$532&amp;'Gastos com Pessoal'!$I$512:$AJ$512,0),10,1)),0)+_xlfn.IFNA(SUM((AM$3&gt;='Gastos com Pessoal'!$E$513:$E$522)*(AM$3&lt;='Gastos com Pessoal'!$F$513:$F$522)*(IF('Gastos com Pessoal'!$AE$513:$AE$522&lt;=AM$3,1,0))*OFFSET('Gastos com Pessoal'!$H$512,1,MATCH(5&amp;$B48,'Gastos com Pessoal'!$I$532:$AJ$532&amp;'Gastos com Pessoal'!$I$512:$AJ$512,0),10,1)),0)</f>
        <v>63266.19667280632</v>
      </c>
      <c r="AN48" s="188">
        <f t="array" aca="1" ref="AN48" ca="1">_xlfn.IFNA(SUM((AN$3&gt;='Gastos com Pessoal'!$E$7:$E$506)*(AN$3&lt;='Gastos com Pessoal'!$F$7:$F$506)*OFFSET('Encargos e Benefícios'!$D$5,1,MATCH($B48,'Encargos e Benefícios'!$E$5:$AB$5,0),500,1)),0)+_xlfn.IFNA(SUM((AN$3&gt;='Gastos com Pessoal'!$E$513:$E$522)*(AN$3&lt;='Gastos com Pessoal'!$F$513:$F$522)*OFFSET('Encargos e Benefícios'!$D$511,1,MATCH($B48,'Encargos e Benefícios'!$E$511:$AB$511,0),10,1)),0)+_xlfn.IFNA(SUM((AN$3&gt;='Gastos com Pessoal'!$E$7:$E$506)*(AN$3&lt;='Gastos com Pessoal'!$F$7:$F$506)*(IF('Gastos com Pessoal'!$G$7:$G$506&lt;=AN$3,1,0))*OFFSET('Gastos com Pessoal'!$H$6,1,MATCH(1&amp;$B48,'Gastos com Pessoal'!$I$532:$AJ$532&amp;'Gastos com Pessoal'!$I$6:$AJ$6,0),500,1)),0)+_xlfn.IFNA(SUM((AN$3&gt;='Gastos com Pessoal'!$E$7:$E$506)*(AN$3&lt;='Gastos com Pessoal'!$F$7:$F$506)*(IF('Gastos com Pessoal'!$M$7:$M$506&lt;=AN$3,1,0))*OFFSET('Gastos com Pessoal'!$H$6,1,MATCH(2&amp;$B48,'Gastos com Pessoal'!$I$532:$AJ$532&amp;'Gastos com Pessoal'!$I$6:$AJ$6,0),500,1)),0)+_xlfn.IFNA(SUM((AN$3&gt;='Gastos com Pessoal'!$E$7:$E$506)*(AN$3&lt;='Gastos com Pessoal'!$F$7:$F$506)*(IF('Gastos com Pessoal'!$S$7:$S$506&lt;=AN$3,1,0))*OFFSET('Gastos com Pessoal'!$H$6,1,MATCH(3&amp;$B48,'Gastos com Pessoal'!$I$532:$AJ$532&amp;'Gastos com Pessoal'!$I$6:$AJ$6,0),500,1)),0)+_xlfn.IFNA(SUM((AN$3&gt;='Gastos com Pessoal'!$E$7:$E$506)*(AN$3&lt;='Gastos com Pessoal'!$F$7:$F$506)*(IF('Gastos com Pessoal'!$Y$7:$Y$506&lt;=AN$3,1,0))*OFFSET('Gastos com Pessoal'!$H$6,1,MATCH(4&amp;$B48,'Gastos com Pessoal'!$I$532:$AJ$532&amp;'Gastos com Pessoal'!$I$6:$AJ$6,0),500,1)),0)+_xlfn.IFNA(SUM((AN$3&gt;='Gastos com Pessoal'!$E$7:$E$506)*(AN$3&lt;='Gastos com Pessoal'!$F$7:$F$506)*(IF('Gastos com Pessoal'!$AE$7:$AE$506&lt;=AN$3,1,0))*OFFSET('Gastos com Pessoal'!$H$6,1,MATCH(5&amp;$B48,'Gastos com Pessoal'!$I$532:$AJ$532&amp;'Gastos com Pessoal'!$I$6:$AJ$6,0),500,1)),0)+_xlfn.IFNA(SUM((AN$3&gt;='Gastos com Pessoal'!$E$513:$E$522)*(AN$3&lt;='Gastos com Pessoal'!$F$513:$F$522)*(IF('Gastos com Pessoal'!$G$513:$G$522&lt;=AN$3,1,0))*OFFSET('Gastos com Pessoal'!$H$512,1,MATCH(1&amp;$B48,'Gastos com Pessoal'!$I$532:$AJ$532&amp;'Gastos com Pessoal'!$I$512:$AJ$512,0),10,1)),0)+_xlfn.IFNA(SUM((AN$3&gt;='Gastos com Pessoal'!$E$513:$E$522)*(AN$3&lt;='Gastos com Pessoal'!$F$513:$F$522)*(IF('Gastos com Pessoal'!$M$513:$M$522&lt;=AN$3,1,0))*OFFSET('Gastos com Pessoal'!$H$512,1,MATCH(2&amp;$B48,'Gastos com Pessoal'!$I$532:$AJ$532&amp;'Gastos com Pessoal'!$I$512:$AJ$512,0),10,1)),0)+_xlfn.IFNA(SUM((AN$3&gt;='Gastos com Pessoal'!$E$513:$E$522)*(AN$3&lt;='Gastos com Pessoal'!$F$513:$F$522)*(IF('Gastos com Pessoal'!$S$513:$S$522&lt;=AN$3,1,0))*OFFSET('Gastos com Pessoal'!$H$512,1,MATCH(3&amp;$B48,'Gastos com Pessoal'!$I$532:$AJ$532&amp;'Gastos com Pessoal'!$I$512:$AJ$512,0),10,1)),0)+_xlfn.IFNA(SUM((AN$3&gt;='Gastos com Pessoal'!$E$513:$E$522)*(AN$3&lt;='Gastos com Pessoal'!$F$513:$F$522)*(IF('Gastos com Pessoal'!$Y$513:$Y$522&lt;=AN$3,1,0))*OFFSET('Gastos com Pessoal'!$H$512,1,MATCH(4&amp;$B48,'Gastos com Pessoal'!$I$532:$AJ$532&amp;'Gastos com Pessoal'!$I$512:$AJ$512,0),10,1)),0)+_xlfn.IFNA(SUM((AN$3&gt;='Gastos com Pessoal'!$E$513:$E$522)*(AN$3&lt;='Gastos com Pessoal'!$F$513:$F$522)*(IF('Gastos com Pessoal'!$AE$513:$AE$522&lt;=AN$3,1,0))*OFFSET('Gastos com Pessoal'!$H$512,1,MATCH(5&amp;$B48,'Gastos com Pessoal'!$I$532:$AJ$532&amp;'Gastos com Pessoal'!$I$512:$AJ$512,0),10,1)),0)</f>
        <v>63266.19667280632</v>
      </c>
      <c r="AO48" s="188">
        <f t="array" aca="1" ref="AO48" ca="1">_xlfn.IFNA(SUM((AO$3&gt;='Gastos com Pessoal'!$E$7:$E$506)*(AO$3&lt;='Gastos com Pessoal'!$F$7:$F$506)*OFFSET('Encargos e Benefícios'!$D$5,1,MATCH($B48,'Encargos e Benefícios'!$E$5:$AB$5,0),500,1)),0)+_xlfn.IFNA(SUM((AO$3&gt;='Gastos com Pessoal'!$E$513:$E$522)*(AO$3&lt;='Gastos com Pessoal'!$F$513:$F$522)*OFFSET('Encargos e Benefícios'!$D$511,1,MATCH($B48,'Encargos e Benefícios'!$E$511:$AB$511,0),10,1)),0)+_xlfn.IFNA(SUM((AO$3&gt;='Gastos com Pessoal'!$E$7:$E$506)*(AO$3&lt;='Gastos com Pessoal'!$F$7:$F$506)*(IF('Gastos com Pessoal'!$G$7:$G$506&lt;=AO$3,1,0))*OFFSET('Gastos com Pessoal'!$H$6,1,MATCH(1&amp;$B48,'Gastos com Pessoal'!$I$532:$AJ$532&amp;'Gastos com Pessoal'!$I$6:$AJ$6,0),500,1)),0)+_xlfn.IFNA(SUM((AO$3&gt;='Gastos com Pessoal'!$E$7:$E$506)*(AO$3&lt;='Gastos com Pessoal'!$F$7:$F$506)*(IF('Gastos com Pessoal'!$M$7:$M$506&lt;=AO$3,1,0))*OFFSET('Gastos com Pessoal'!$H$6,1,MATCH(2&amp;$B48,'Gastos com Pessoal'!$I$532:$AJ$532&amp;'Gastos com Pessoal'!$I$6:$AJ$6,0),500,1)),0)+_xlfn.IFNA(SUM((AO$3&gt;='Gastos com Pessoal'!$E$7:$E$506)*(AO$3&lt;='Gastos com Pessoal'!$F$7:$F$506)*(IF('Gastos com Pessoal'!$S$7:$S$506&lt;=AO$3,1,0))*OFFSET('Gastos com Pessoal'!$H$6,1,MATCH(3&amp;$B48,'Gastos com Pessoal'!$I$532:$AJ$532&amp;'Gastos com Pessoal'!$I$6:$AJ$6,0),500,1)),0)+_xlfn.IFNA(SUM((AO$3&gt;='Gastos com Pessoal'!$E$7:$E$506)*(AO$3&lt;='Gastos com Pessoal'!$F$7:$F$506)*(IF('Gastos com Pessoal'!$Y$7:$Y$506&lt;=AO$3,1,0))*OFFSET('Gastos com Pessoal'!$H$6,1,MATCH(4&amp;$B48,'Gastos com Pessoal'!$I$532:$AJ$532&amp;'Gastos com Pessoal'!$I$6:$AJ$6,0),500,1)),0)+_xlfn.IFNA(SUM((AO$3&gt;='Gastos com Pessoal'!$E$7:$E$506)*(AO$3&lt;='Gastos com Pessoal'!$F$7:$F$506)*(IF('Gastos com Pessoal'!$AE$7:$AE$506&lt;=AO$3,1,0))*OFFSET('Gastos com Pessoal'!$H$6,1,MATCH(5&amp;$B48,'Gastos com Pessoal'!$I$532:$AJ$532&amp;'Gastos com Pessoal'!$I$6:$AJ$6,0),500,1)),0)+_xlfn.IFNA(SUM((AO$3&gt;='Gastos com Pessoal'!$E$513:$E$522)*(AO$3&lt;='Gastos com Pessoal'!$F$513:$F$522)*(IF('Gastos com Pessoal'!$G$513:$G$522&lt;=AO$3,1,0))*OFFSET('Gastos com Pessoal'!$H$512,1,MATCH(1&amp;$B48,'Gastos com Pessoal'!$I$532:$AJ$532&amp;'Gastos com Pessoal'!$I$512:$AJ$512,0),10,1)),0)+_xlfn.IFNA(SUM((AO$3&gt;='Gastos com Pessoal'!$E$513:$E$522)*(AO$3&lt;='Gastos com Pessoal'!$F$513:$F$522)*(IF('Gastos com Pessoal'!$M$513:$M$522&lt;=AO$3,1,0))*OFFSET('Gastos com Pessoal'!$H$512,1,MATCH(2&amp;$B48,'Gastos com Pessoal'!$I$532:$AJ$532&amp;'Gastos com Pessoal'!$I$512:$AJ$512,0),10,1)),0)+_xlfn.IFNA(SUM((AO$3&gt;='Gastos com Pessoal'!$E$513:$E$522)*(AO$3&lt;='Gastos com Pessoal'!$F$513:$F$522)*(IF('Gastos com Pessoal'!$S$513:$S$522&lt;=AO$3,1,0))*OFFSET('Gastos com Pessoal'!$H$512,1,MATCH(3&amp;$B48,'Gastos com Pessoal'!$I$532:$AJ$532&amp;'Gastos com Pessoal'!$I$512:$AJ$512,0),10,1)),0)+_xlfn.IFNA(SUM((AO$3&gt;='Gastos com Pessoal'!$E$513:$E$522)*(AO$3&lt;='Gastos com Pessoal'!$F$513:$F$522)*(IF('Gastos com Pessoal'!$Y$513:$Y$522&lt;=AO$3,1,0))*OFFSET('Gastos com Pessoal'!$H$512,1,MATCH(4&amp;$B48,'Gastos com Pessoal'!$I$532:$AJ$532&amp;'Gastos com Pessoal'!$I$512:$AJ$512,0),10,1)),0)+_xlfn.IFNA(SUM((AO$3&gt;='Gastos com Pessoal'!$E$513:$E$522)*(AO$3&lt;='Gastos com Pessoal'!$F$513:$F$522)*(IF('Gastos com Pessoal'!$AE$513:$AE$522&lt;=AO$3,1,0))*OFFSET('Gastos com Pessoal'!$H$512,1,MATCH(5&amp;$B48,'Gastos com Pessoal'!$I$532:$AJ$532&amp;'Gastos com Pessoal'!$I$512:$AJ$512,0),10,1)),0)</f>
        <v>63266.19667280632</v>
      </c>
      <c r="AP48" s="188">
        <f t="array" aca="1" ref="AP48" ca="1">_xlfn.IFNA(SUM((AP$3&gt;='Gastos com Pessoal'!$E$7:$E$506)*(AP$3&lt;='Gastos com Pessoal'!$F$7:$F$506)*OFFSET('Encargos e Benefícios'!$D$5,1,MATCH($B48,'Encargos e Benefícios'!$E$5:$AB$5,0),500,1)),0)+_xlfn.IFNA(SUM((AP$3&gt;='Gastos com Pessoal'!$E$513:$E$522)*(AP$3&lt;='Gastos com Pessoal'!$F$513:$F$522)*OFFSET('Encargos e Benefícios'!$D$511,1,MATCH($B48,'Encargos e Benefícios'!$E$511:$AB$511,0),10,1)),0)+_xlfn.IFNA(SUM((AP$3&gt;='Gastos com Pessoal'!$E$7:$E$506)*(AP$3&lt;='Gastos com Pessoal'!$F$7:$F$506)*(IF('Gastos com Pessoal'!$G$7:$G$506&lt;=AP$3,1,0))*OFFSET('Gastos com Pessoal'!$H$6,1,MATCH(1&amp;$B48,'Gastos com Pessoal'!$I$532:$AJ$532&amp;'Gastos com Pessoal'!$I$6:$AJ$6,0),500,1)),0)+_xlfn.IFNA(SUM((AP$3&gt;='Gastos com Pessoal'!$E$7:$E$506)*(AP$3&lt;='Gastos com Pessoal'!$F$7:$F$506)*(IF('Gastos com Pessoal'!$M$7:$M$506&lt;=AP$3,1,0))*OFFSET('Gastos com Pessoal'!$H$6,1,MATCH(2&amp;$B48,'Gastos com Pessoal'!$I$532:$AJ$532&amp;'Gastos com Pessoal'!$I$6:$AJ$6,0),500,1)),0)+_xlfn.IFNA(SUM((AP$3&gt;='Gastos com Pessoal'!$E$7:$E$506)*(AP$3&lt;='Gastos com Pessoal'!$F$7:$F$506)*(IF('Gastos com Pessoal'!$S$7:$S$506&lt;=AP$3,1,0))*OFFSET('Gastos com Pessoal'!$H$6,1,MATCH(3&amp;$B48,'Gastos com Pessoal'!$I$532:$AJ$532&amp;'Gastos com Pessoal'!$I$6:$AJ$6,0),500,1)),0)+_xlfn.IFNA(SUM((AP$3&gt;='Gastos com Pessoal'!$E$7:$E$506)*(AP$3&lt;='Gastos com Pessoal'!$F$7:$F$506)*(IF('Gastos com Pessoal'!$Y$7:$Y$506&lt;=AP$3,1,0))*OFFSET('Gastos com Pessoal'!$H$6,1,MATCH(4&amp;$B48,'Gastos com Pessoal'!$I$532:$AJ$532&amp;'Gastos com Pessoal'!$I$6:$AJ$6,0),500,1)),0)+_xlfn.IFNA(SUM((AP$3&gt;='Gastos com Pessoal'!$E$7:$E$506)*(AP$3&lt;='Gastos com Pessoal'!$F$7:$F$506)*(IF('Gastos com Pessoal'!$AE$7:$AE$506&lt;=AP$3,1,0))*OFFSET('Gastos com Pessoal'!$H$6,1,MATCH(5&amp;$B48,'Gastos com Pessoal'!$I$532:$AJ$532&amp;'Gastos com Pessoal'!$I$6:$AJ$6,0),500,1)),0)+_xlfn.IFNA(SUM((AP$3&gt;='Gastos com Pessoal'!$E$513:$E$522)*(AP$3&lt;='Gastos com Pessoal'!$F$513:$F$522)*(IF('Gastos com Pessoal'!$G$513:$G$522&lt;=AP$3,1,0))*OFFSET('Gastos com Pessoal'!$H$512,1,MATCH(1&amp;$B48,'Gastos com Pessoal'!$I$532:$AJ$532&amp;'Gastos com Pessoal'!$I$512:$AJ$512,0),10,1)),0)+_xlfn.IFNA(SUM((AP$3&gt;='Gastos com Pessoal'!$E$513:$E$522)*(AP$3&lt;='Gastos com Pessoal'!$F$513:$F$522)*(IF('Gastos com Pessoal'!$M$513:$M$522&lt;=AP$3,1,0))*OFFSET('Gastos com Pessoal'!$H$512,1,MATCH(2&amp;$B48,'Gastos com Pessoal'!$I$532:$AJ$532&amp;'Gastos com Pessoal'!$I$512:$AJ$512,0),10,1)),0)+_xlfn.IFNA(SUM((AP$3&gt;='Gastos com Pessoal'!$E$513:$E$522)*(AP$3&lt;='Gastos com Pessoal'!$F$513:$F$522)*(IF('Gastos com Pessoal'!$S$513:$S$522&lt;=AP$3,1,0))*OFFSET('Gastos com Pessoal'!$H$512,1,MATCH(3&amp;$B48,'Gastos com Pessoal'!$I$532:$AJ$532&amp;'Gastos com Pessoal'!$I$512:$AJ$512,0),10,1)),0)+_xlfn.IFNA(SUM((AP$3&gt;='Gastos com Pessoal'!$E$513:$E$522)*(AP$3&lt;='Gastos com Pessoal'!$F$513:$F$522)*(IF('Gastos com Pessoal'!$Y$513:$Y$522&lt;=AP$3,1,0))*OFFSET('Gastos com Pessoal'!$H$512,1,MATCH(4&amp;$B48,'Gastos com Pessoal'!$I$532:$AJ$532&amp;'Gastos com Pessoal'!$I$512:$AJ$512,0),10,1)),0)+_xlfn.IFNA(SUM((AP$3&gt;='Gastos com Pessoal'!$E$513:$E$522)*(AP$3&lt;='Gastos com Pessoal'!$F$513:$F$522)*(IF('Gastos com Pessoal'!$AE$513:$AE$522&lt;=AP$3,1,0))*OFFSET('Gastos com Pessoal'!$H$512,1,MATCH(5&amp;$B48,'Gastos com Pessoal'!$I$532:$AJ$532&amp;'Gastos com Pessoal'!$I$512:$AJ$512,0),10,1)),0)</f>
        <v>63266.19667280632</v>
      </c>
      <c r="AQ48" s="188">
        <f t="array" aca="1" ref="AQ48" ca="1">_xlfn.IFNA(SUM((AQ$3&gt;='Gastos com Pessoal'!$E$7:$E$506)*(AQ$3&lt;='Gastos com Pessoal'!$F$7:$F$506)*OFFSET('Encargos e Benefícios'!$D$5,1,MATCH($B48,'Encargos e Benefícios'!$E$5:$AB$5,0),500,1)),0)+_xlfn.IFNA(SUM((AQ$3&gt;='Gastos com Pessoal'!$E$513:$E$522)*(AQ$3&lt;='Gastos com Pessoal'!$F$513:$F$522)*OFFSET('Encargos e Benefícios'!$D$511,1,MATCH($B48,'Encargos e Benefícios'!$E$511:$AB$511,0),10,1)),0)+_xlfn.IFNA(SUM((AQ$3&gt;='Gastos com Pessoal'!$E$7:$E$506)*(AQ$3&lt;='Gastos com Pessoal'!$F$7:$F$506)*(IF('Gastos com Pessoal'!$G$7:$G$506&lt;=AQ$3,1,0))*OFFSET('Gastos com Pessoal'!$H$6,1,MATCH(1&amp;$B48,'Gastos com Pessoal'!$I$532:$AJ$532&amp;'Gastos com Pessoal'!$I$6:$AJ$6,0),500,1)),0)+_xlfn.IFNA(SUM((AQ$3&gt;='Gastos com Pessoal'!$E$7:$E$506)*(AQ$3&lt;='Gastos com Pessoal'!$F$7:$F$506)*(IF('Gastos com Pessoal'!$M$7:$M$506&lt;=AQ$3,1,0))*OFFSET('Gastos com Pessoal'!$H$6,1,MATCH(2&amp;$B48,'Gastos com Pessoal'!$I$532:$AJ$532&amp;'Gastos com Pessoal'!$I$6:$AJ$6,0),500,1)),0)+_xlfn.IFNA(SUM((AQ$3&gt;='Gastos com Pessoal'!$E$7:$E$506)*(AQ$3&lt;='Gastos com Pessoal'!$F$7:$F$506)*(IF('Gastos com Pessoal'!$S$7:$S$506&lt;=AQ$3,1,0))*OFFSET('Gastos com Pessoal'!$H$6,1,MATCH(3&amp;$B48,'Gastos com Pessoal'!$I$532:$AJ$532&amp;'Gastos com Pessoal'!$I$6:$AJ$6,0),500,1)),0)+_xlfn.IFNA(SUM((AQ$3&gt;='Gastos com Pessoal'!$E$7:$E$506)*(AQ$3&lt;='Gastos com Pessoal'!$F$7:$F$506)*(IF('Gastos com Pessoal'!$Y$7:$Y$506&lt;=AQ$3,1,0))*OFFSET('Gastos com Pessoal'!$H$6,1,MATCH(4&amp;$B48,'Gastos com Pessoal'!$I$532:$AJ$532&amp;'Gastos com Pessoal'!$I$6:$AJ$6,0),500,1)),0)+_xlfn.IFNA(SUM((AQ$3&gt;='Gastos com Pessoal'!$E$7:$E$506)*(AQ$3&lt;='Gastos com Pessoal'!$F$7:$F$506)*(IF('Gastos com Pessoal'!$AE$7:$AE$506&lt;=AQ$3,1,0))*OFFSET('Gastos com Pessoal'!$H$6,1,MATCH(5&amp;$B48,'Gastos com Pessoal'!$I$532:$AJ$532&amp;'Gastos com Pessoal'!$I$6:$AJ$6,0),500,1)),0)+_xlfn.IFNA(SUM((AQ$3&gt;='Gastos com Pessoal'!$E$513:$E$522)*(AQ$3&lt;='Gastos com Pessoal'!$F$513:$F$522)*(IF('Gastos com Pessoal'!$G$513:$G$522&lt;=AQ$3,1,0))*OFFSET('Gastos com Pessoal'!$H$512,1,MATCH(1&amp;$B48,'Gastos com Pessoal'!$I$532:$AJ$532&amp;'Gastos com Pessoal'!$I$512:$AJ$512,0),10,1)),0)+_xlfn.IFNA(SUM((AQ$3&gt;='Gastos com Pessoal'!$E$513:$E$522)*(AQ$3&lt;='Gastos com Pessoal'!$F$513:$F$522)*(IF('Gastos com Pessoal'!$M$513:$M$522&lt;=AQ$3,1,0))*OFFSET('Gastos com Pessoal'!$H$512,1,MATCH(2&amp;$B48,'Gastos com Pessoal'!$I$532:$AJ$532&amp;'Gastos com Pessoal'!$I$512:$AJ$512,0),10,1)),0)+_xlfn.IFNA(SUM((AQ$3&gt;='Gastos com Pessoal'!$E$513:$E$522)*(AQ$3&lt;='Gastos com Pessoal'!$F$513:$F$522)*(IF('Gastos com Pessoal'!$S$513:$S$522&lt;=AQ$3,1,0))*OFFSET('Gastos com Pessoal'!$H$512,1,MATCH(3&amp;$B48,'Gastos com Pessoal'!$I$532:$AJ$532&amp;'Gastos com Pessoal'!$I$512:$AJ$512,0),10,1)),0)+_xlfn.IFNA(SUM((AQ$3&gt;='Gastos com Pessoal'!$E$513:$E$522)*(AQ$3&lt;='Gastos com Pessoal'!$F$513:$F$522)*(IF('Gastos com Pessoal'!$Y$513:$Y$522&lt;=AQ$3,1,0))*OFFSET('Gastos com Pessoal'!$H$512,1,MATCH(4&amp;$B48,'Gastos com Pessoal'!$I$532:$AJ$532&amp;'Gastos com Pessoal'!$I$512:$AJ$512,0),10,1)),0)+_xlfn.IFNA(SUM((AQ$3&gt;='Gastos com Pessoal'!$E$513:$E$522)*(AQ$3&lt;='Gastos com Pessoal'!$F$513:$F$522)*(IF('Gastos com Pessoal'!$AE$513:$AE$522&lt;=AQ$3,1,0))*OFFSET('Gastos com Pessoal'!$H$512,1,MATCH(5&amp;$B48,'Gastos com Pessoal'!$I$532:$AJ$532&amp;'Gastos com Pessoal'!$I$512:$AJ$512,0),10,1)),0)</f>
        <v>67176.715718222622</v>
      </c>
      <c r="AR48" s="188">
        <f t="array" aca="1" ref="AR48" ca="1">_xlfn.IFNA(SUM((AR$3&gt;='Gastos com Pessoal'!$E$7:$E$506)*(AR$3&lt;='Gastos com Pessoal'!$F$7:$F$506)*OFFSET('Encargos e Benefícios'!$D$5,1,MATCH($B48,'Encargos e Benefícios'!$E$5:$AB$5,0),500,1)),0)+_xlfn.IFNA(SUM((AR$3&gt;='Gastos com Pessoal'!$E$513:$E$522)*(AR$3&lt;='Gastos com Pessoal'!$F$513:$F$522)*OFFSET('Encargos e Benefícios'!$D$511,1,MATCH($B48,'Encargos e Benefícios'!$E$511:$AB$511,0),10,1)),0)+_xlfn.IFNA(SUM((AR$3&gt;='Gastos com Pessoal'!$E$7:$E$506)*(AR$3&lt;='Gastos com Pessoal'!$F$7:$F$506)*(IF('Gastos com Pessoal'!$G$7:$G$506&lt;=AR$3,1,0))*OFFSET('Gastos com Pessoal'!$H$6,1,MATCH(1&amp;$B48,'Gastos com Pessoal'!$I$532:$AJ$532&amp;'Gastos com Pessoal'!$I$6:$AJ$6,0),500,1)),0)+_xlfn.IFNA(SUM((AR$3&gt;='Gastos com Pessoal'!$E$7:$E$506)*(AR$3&lt;='Gastos com Pessoal'!$F$7:$F$506)*(IF('Gastos com Pessoal'!$M$7:$M$506&lt;=AR$3,1,0))*OFFSET('Gastos com Pessoal'!$H$6,1,MATCH(2&amp;$B48,'Gastos com Pessoal'!$I$532:$AJ$532&amp;'Gastos com Pessoal'!$I$6:$AJ$6,0),500,1)),0)+_xlfn.IFNA(SUM((AR$3&gt;='Gastos com Pessoal'!$E$7:$E$506)*(AR$3&lt;='Gastos com Pessoal'!$F$7:$F$506)*(IF('Gastos com Pessoal'!$S$7:$S$506&lt;=AR$3,1,0))*OFFSET('Gastos com Pessoal'!$H$6,1,MATCH(3&amp;$B48,'Gastos com Pessoal'!$I$532:$AJ$532&amp;'Gastos com Pessoal'!$I$6:$AJ$6,0),500,1)),0)+_xlfn.IFNA(SUM((AR$3&gt;='Gastos com Pessoal'!$E$7:$E$506)*(AR$3&lt;='Gastos com Pessoal'!$F$7:$F$506)*(IF('Gastos com Pessoal'!$Y$7:$Y$506&lt;=AR$3,1,0))*OFFSET('Gastos com Pessoal'!$H$6,1,MATCH(4&amp;$B48,'Gastos com Pessoal'!$I$532:$AJ$532&amp;'Gastos com Pessoal'!$I$6:$AJ$6,0),500,1)),0)+_xlfn.IFNA(SUM((AR$3&gt;='Gastos com Pessoal'!$E$7:$E$506)*(AR$3&lt;='Gastos com Pessoal'!$F$7:$F$506)*(IF('Gastos com Pessoal'!$AE$7:$AE$506&lt;=AR$3,1,0))*OFFSET('Gastos com Pessoal'!$H$6,1,MATCH(5&amp;$B48,'Gastos com Pessoal'!$I$532:$AJ$532&amp;'Gastos com Pessoal'!$I$6:$AJ$6,0),500,1)),0)+_xlfn.IFNA(SUM((AR$3&gt;='Gastos com Pessoal'!$E$513:$E$522)*(AR$3&lt;='Gastos com Pessoal'!$F$513:$F$522)*(IF('Gastos com Pessoal'!$G$513:$G$522&lt;=AR$3,1,0))*OFFSET('Gastos com Pessoal'!$H$512,1,MATCH(1&amp;$B48,'Gastos com Pessoal'!$I$532:$AJ$532&amp;'Gastos com Pessoal'!$I$512:$AJ$512,0),10,1)),0)+_xlfn.IFNA(SUM((AR$3&gt;='Gastos com Pessoal'!$E$513:$E$522)*(AR$3&lt;='Gastos com Pessoal'!$F$513:$F$522)*(IF('Gastos com Pessoal'!$M$513:$M$522&lt;=AR$3,1,0))*OFFSET('Gastos com Pessoal'!$H$512,1,MATCH(2&amp;$B48,'Gastos com Pessoal'!$I$532:$AJ$532&amp;'Gastos com Pessoal'!$I$512:$AJ$512,0),10,1)),0)+_xlfn.IFNA(SUM((AR$3&gt;='Gastos com Pessoal'!$E$513:$E$522)*(AR$3&lt;='Gastos com Pessoal'!$F$513:$F$522)*(IF('Gastos com Pessoal'!$S$513:$S$522&lt;=AR$3,1,0))*OFFSET('Gastos com Pessoal'!$H$512,1,MATCH(3&amp;$B48,'Gastos com Pessoal'!$I$532:$AJ$532&amp;'Gastos com Pessoal'!$I$512:$AJ$512,0),10,1)),0)+_xlfn.IFNA(SUM((AR$3&gt;='Gastos com Pessoal'!$E$513:$E$522)*(AR$3&lt;='Gastos com Pessoal'!$F$513:$F$522)*(IF('Gastos com Pessoal'!$Y$513:$Y$522&lt;=AR$3,1,0))*OFFSET('Gastos com Pessoal'!$H$512,1,MATCH(4&amp;$B48,'Gastos com Pessoal'!$I$532:$AJ$532&amp;'Gastos com Pessoal'!$I$512:$AJ$512,0),10,1)),0)+_xlfn.IFNA(SUM((AR$3&gt;='Gastos com Pessoal'!$E$513:$E$522)*(AR$3&lt;='Gastos com Pessoal'!$F$513:$F$522)*(IF('Gastos com Pessoal'!$AE$513:$AE$522&lt;=AR$3,1,0))*OFFSET('Gastos com Pessoal'!$H$512,1,MATCH(5&amp;$B48,'Gastos com Pessoal'!$I$532:$AJ$532&amp;'Gastos com Pessoal'!$I$512:$AJ$512,0),10,1)),0)</f>
        <v>67176.715718222622</v>
      </c>
      <c r="AS48" s="188">
        <f t="array" aca="1" ref="AS48" ca="1">_xlfn.IFNA(SUM((AS$3&gt;='Gastos com Pessoal'!$E$7:$E$506)*(AS$3&lt;='Gastos com Pessoal'!$F$7:$F$506)*OFFSET('Encargos e Benefícios'!$D$5,1,MATCH($B48,'Encargos e Benefícios'!$E$5:$AB$5,0),500,1)),0)+_xlfn.IFNA(SUM((AS$3&gt;='Gastos com Pessoal'!$E$513:$E$522)*(AS$3&lt;='Gastos com Pessoal'!$F$513:$F$522)*OFFSET('Encargos e Benefícios'!$D$511,1,MATCH($B48,'Encargos e Benefícios'!$E$511:$AB$511,0),10,1)),0)+_xlfn.IFNA(SUM((AS$3&gt;='Gastos com Pessoal'!$E$7:$E$506)*(AS$3&lt;='Gastos com Pessoal'!$F$7:$F$506)*(IF('Gastos com Pessoal'!$G$7:$G$506&lt;=AS$3,1,0))*OFFSET('Gastos com Pessoal'!$H$6,1,MATCH(1&amp;$B48,'Gastos com Pessoal'!$I$532:$AJ$532&amp;'Gastos com Pessoal'!$I$6:$AJ$6,0),500,1)),0)+_xlfn.IFNA(SUM((AS$3&gt;='Gastos com Pessoal'!$E$7:$E$506)*(AS$3&lt;='Gastos com Pessoal'!$F$7:$F$506)*(IF('Gastos com Pessoal'!$M$7:$M$506&lt;=AS$3,1,0))*OFFSET('Gastos com Pessoal'!$H$6,1,MATCH(2&amp;$B48,'Gastos com Pessoal'!$I$532:$AJ$532&amp;'Gastos com Pessoal'!$I$6:$AJ$6,0),500,1)),0)+_xlfn.IFNA(SUM((AS$3&gt;='Gastos com Pessoal'!$E$7:$E$506)*(AS$3&lt;='Gastos com Pessoal'!$F$7:$F$506)*(IF('Gastos com Pessoal'!$S$7:$S$506&lt;=AS$3,1,0))*OFFSET('Gastos com Pessoal'!$H$6,1,MATCH(3&amp;$B48,'Gastos com Pessoal'!$I$532:$AJ$532&amp;'Gastos com Pessoal'!$I$6:$AJ$6,0),500,1)),0)+_xlfn.IFNA(SUM((AS$3&gt;='Gastos com Pessoal'!$E$7:$E$506)*(AS$3&lt;='Gastos com Pessoal'!$F$7:$F$506)*(IF('Gastos com Pessoal'!$Y$7:$Y$506&lt;=AS$3,1,0))*OFFSET('Gastos com Pessoal'!$H$6,1,MATCH(4&amp;$B48,'Gastos com Pessoal'!$I$532:$AJ$532&amp;'Gastos com Pessoal'!$I$6:$AJ$6,0),500,1)),0)+_xlfn.IFNA(SUM((AS$3&gt;='Gastos com Pessoal'!$E$7:$E$506)*(AS$3&lt;='Gastos com Pessoal'!$F$7:$F$506)*(IF('Gastos com Pessoal'!$AE$7:$AE$506&lt;=AS$3,1,0))*OFFSET('Gastos com Pessoal'!$H$6,1,MATCH(5&amp;$B48,'Gastos com Pessoal'!$I$532:$AJ$532&amp;'Gastos com Pessoal'!$I$6:$AJ$6,0),500,1)),0)+_xlfn.IFNA(SUM((AS$3&gt;='Gastos com Pessoal'!$E$513:$E$522)*(AS$3&lt;='Gastos com Pessoal'!$F$513:$F$522)*(IF('Gastos com Pessoal'!$G$513:$G$522&lt;=AS$3,1,0))*OFFSET('Gastos com Pessoal'!$H$512,1,MATCH(1&amp;$B48,'Gastos com Pessoal'!$I$532:$AJ$532&amp;'Gastos com Pessoal'!$I$512:$AJ$512,0),10,1)),0)+_xlfn.IFNA(SUM((AS$3&gt;='Gastos com Pessoal'!$E$513:$E$522)*(AS$3&lt;='Gastos com Pessoal'!$F$513:$F$522)*(IF('Gastos com Pessoal'!$M$513:$M$522&lt;=AS$3,1,0))*OFFSET('Gastos com Pessoal'!$H$512,1,MATCH(2&amp;$B48,'Gastos com Pessoal'!$I$532:$AJ$532&amp;'Gastos com Pessoal'!$I$512:$AJ$512,0),10,1)),0)+_xlfn.IFNA(SUM((AS$3&gt;='Gastos com Pessoal'!$E$513:$E$522)*(AS$3&lt;='Gastos com Pessoal'!$F$513:$F$522)*(IF('Gastos com Pessoal'!$S$513:$S$522&lt;=AS$3,1,0))*OFFSET('Gastos com Pessoal'!$H$512,1,MATCH(3&amp;$B48,'Gastos com Pessoal'!$I$532:$AJ$532&amp;'Gastos com Pessoal'!$I$512:$AJ$512,0),10,1)),0)+_xlfn.IFNA(SUM((AS$3&gt;='Gastos com Pessoal'!$E$513:$E$522)*(AS$3&lt;='Gastos com Pessoal'!$F$513:$F$522)*(IF('Gastos com Pessoal'!$Y$513:$Y$522&lt;=AS$3,1,0))*OFFSET('Gastos com Pessoal'!$H$512,1,MATCH(4&amp;$B48,'Gastos com Pessoal'!$I$532:$AJ$532&amp;'Gastos com Pessoal'!$I$512:$AJ$512,0),10,1)),0)+_xlfn.IFNA(SUM((AS$3&gt;='Gastos com Pessoal'!$E$513:$E$522)*(AS$3&lt;='Gastos com Pessoal'!$F$513:$F$522)*(IF('Gastos com Pessoal'!$AE$513:$AE$522&lt;=AS$3,1,0))*OFFSET('Gastos com Pessoal'!$H$512,1,MATCH(5&amp;$B48,'Gastos com Pessoal'!$I$532:$AJ$532&amp;'Gastos com Pessoal'!$I$512:$AJ$512,0),10,1)),0)</f>
        <v>67176.715718222622</v>
      </c>
      <c r="AT48" s="188">
        <f t="array" aca="1" ref="AT48" ca="1">_xlfn.IFNA(SUM((AT$3&gt;='Gastos com Pessoal'!$E$7:$E$506)*(AT$3&lt;='Gastos com Pessoal'!$F$7:$F$506)*OFFSET('Encargos e Benefícios'!$D$5,1,MATCH($B48,'Encargos e Benefícios'!$E$5:$AB$5,0),500,1)),0)+_xlfn.IFNA(SUM((AT$3&gt;='Gastos com Pessoal'!$E$513:$E$522)*(AT$3&lt;='Gastos com Pessoal'!$F$513:$F$522)*OFFSET('Encargos e Benefícios'!$D$511,1,MATCH($B48,'Encargos e Benefícios'!$E$511:$AB$511,0),10,1)),0)+_xlfn.IFNA(SUM((AT$3&gt;='Gastos com Pessoal'!$E$7:$E$506)*(AT$3&lt;='Gastos com Pessoal'!$F$7:$F$506)*(IF('Gastos com Pessoal'!$G$7:$G$506&lt;=AT$3,1,0))*OFFSET('Gastos com Pessoal'!$H$6,1,MATCH(1&amp;$B48,'Gastos com Pessoal'!$I$532:$AJ$532&amp;'Gastos com Pessoal'!$I$6:$AJ$6,0),500,1)),0)+_xlfn.IFNA(SUM((AT$3&gt;='Gastos com Pessoal'!$E$7:$E$506)*(AT$3&lt;='Gastos com Pessoal'!$F$7:$F$506)*(IF('Gastos com Pessoal'!$M$7:$M$506&lt;=AT$3,1,0))*OFFSET('Gastos com Pessoal'!$H$6,1,MATCH(2&amp;$B48,'Gastos com Pessoal'!$I$532:$AJ$532&amp;'Gastos com Pessoal'!$I$6:$AJ$6,0),500,1)),0)+_xlfn.IFNA(SUM((AT$3&gt;='Gastos com Pessoal'!$E$7:$E$506)*(AT$3&lt;='Gastos com Pessoal'!$F$7:$F$506)*(IF('Gastos com Pessoal'!$S$7:$S$506&lt;=AT$3,1,0))*OFFSET('Gastos com Pessoal'!$H$6,1,MATCH(3&amp;$B48,'Gastos com Pessoal'!$I$532:$AJ$532&amp;'Gastos com Pessoal'!$I$6:$AJ$6,0),500,1)),0)+_xlfn.IFNA(SUM((AT$3&gt;='Gastos com Pessoal'!$E$7:$E$506)*(AT$3&lt;='Gastos com Pessoal'!$F$7:$F$506)*(IF('Gastos com Pessoal'!$Y$7:$Y$506&lt;=AT$3,1,0))*OFFSET('Gastos com Pessoal'!$H$6,1,MATCH(4&amp;$B48,'Gastos com Pessoal'!$I$532:$AJ$532&amp;'Gastos com Pessoal'!$I$6:$AJ$6,0),500,1)),0)+_xlfn.IFNA(SUM((AT$3&gt;='Gastos com Pessoal'!$E$7:$E$506)*(AT$3&lt;='Gastos com Pessoal'!$F$7:$F$506)*(IF('Gastos com Pessoal'!$AE$7:$AE$506&lt;=AT$3,1,0))*OFFSET('Gastos com Pessoal'!$H$6,1,MATCH(5&amp;$B48,'Gastos com Pessoal'!$I$532:$AJ$532&amp;'Gastos com Pessoal'!$I$6:$AJ$6,0),500,1)),0)+_xlfn.IFNA(SUM((AT$3&gt;='Gastos com Pessoal'!$E$513:$E$522)*(AT$3&lt;='Gastos com Pessoal'!$F$513:$F$522)*(IF('Gastos com Pessoal'!$G$513:$G$522&lt;=AT$3,1,0))*OFFSET('Gastos com Pessoal'!$H$512,1,MATCH(1&amp;$B48,'Gastos com Pessoal'!$I$532:$AJ$532&amp;'Gastos com Pessoal'!$I$512:$AJ$512,0),10,1)),0)+_xlfn.IFNA(SUM((AT$3&gt;='Gastos com Pessoal'!$E$513:$E$522)*(AT$3&lt;='Gastos com Pessoal'!$F$513:$F$522)*(IF('Gastos com Pessoal'!$M$513:$M$522&lt;=AT$3,1,0))*OFFSET('Gastos com Pessoal'!$H$512,1,MATCH(2&amp;$B48,'Gastos com Pessoal'!$I$532:$AJ$532&amp;'Gastos com Pessoal'!$I$512:$AJ$512,0),10,1)),0)+_xlfn.IFNA(SUM((AT$3&gt;='Gastos com Pessoal'!$E$513:$E$522)*(AT$3&lt;='Gastos com Pessoal'!$F$513:$F$522)*(IF('Gastos com Pessoal'!$S$513:$S$522&lt;=AT$3,1,0))*OFFSET('Gastos com Pessoal'!$H$512,1,MATCH(3&amp;$B48,'Gastos com Pessoal'!$I$532:$AJ$532&amp;'Gastos com Pessoal'!$I$512:$AJ$512,0),10,1)),0)+_xlfn.IFNA(SUM((AT$3&gt;='Gastos com Pessoal'!$E$513:$E$522)*(AT$3&lt;='Gastos com Pessoal'!$F$513:$F$522)*(IF('Gastos com Pessoal'!$Y$513:$Y$522&lt;=AT$3,1,0))*OFFSET('Gastos com Pessoal'!$H$512,1,MATCH(4&amp;$B48,'Gastos com Pessoal'!$I$532:$AJ$532&amp;'Gastos com Pessoal'!$I$512:$AJ$512,0),10,1)),0)+_xlfn.IFNA(SUM((AT$3&gt;='Gastos com Pessoal'!$E$513:$E$522)*(AT$3&lt;='Gastos com Pessoal'!$F$513:$F$522)*(IF('Gastos com Pessoal'!$AE$513:$AE$522&lt;=AT$3,1,0))*OFFSET('Gastos com Pessoal'!$H$512,1,MATCH(5&amp;$B48,'Gastos com Pessoal'!$I$532:$AJ$532&amp;'Gastos com Pessoal'!$I$512:$AJ$512,0),10,1)),0)</f>
        <v>67176.715718222622</v>
      </c>
      <c r="AU48" s="188">
        <f t="array" aca="1" ref="AU48" ca="1">_xlfn.IFNA(SUM((AU$3&gt;='Gastos com Pessoal'!$E$7:$E$506)*(AU$3&lt;='Gastos com Pessoal'!$F$7:$F$506)*OFFSET('Encargos e Benefícios'!$D$5,1,MATCH($B48,'Encargos e Benefícios'!$E$5:$AB$5,0),500,1)),0)+_xlfn.IFNA(SUM((AU$3&gt;='Gastos com Pessoal'!$E$513:$E$522)*(AU$3&lt;='Gastos com Pessoal'!$F$513:$F$522)*OFFSET('Encargos e Benefícios'!$D$511,1,MATCH($B48,'Encargos e Benefícios'!$E$511:$AB$511,0),10,1)),0)+_xlfn.IFNA(SUM((AU$3&gt;='Gastos com Pessoal'!$E$7:$E$506)*(AU$3&lt;='Gastos com Pessoal'!$F$7:$F$506)*(IF('Gastos com Pessoal'!$G$7:$G$506&lt;=AU$3,1,0))*OFFSET('Gastos com Pessoal'!$H$6,1,MATCH(1&amp;$B48,'Gastos com Pessoal'!$I$532:$AJ$532&amp;'Gastos com Pessoal'!$I$6:$AJ$6,0),500,1)),0)+_xlfn.IFNA(SUM((AU$3&gt;='Gastos com Pessoal'!$E$7:$E$506)*(AU$3&lt;='Gastos com Pessoal'!$F$7:$F$506)*(IF('Gastos com Pessoal'!$M$7:$M$506&lt;=AU$3,1,0))*OFFSET('Gastos com Pessoal'!$H$6,1,MATCH(2&amp;$B48,'Gastos com Pessoal'!$I$532:$AJ$532&amp;'Gastos com Pessoal'!$I$6:$AJ$6,0),500,1)),0)+_xlfn.IFNA(SUM((AU$3&gt;='Gastos com Pessoal'!$E$7:$E$506)*(AU$3&lt;='Gastos com Pessoal'!$F$7:$F$506)*(IF('Gastos com Pessoal'!$S$7:$S$506&lt;=AU$3,1,0))*OFFSET('Gastos com Pessoal'!$H$6,1,MATCH(3&amp;$B48,'Gastos com Pessoal'!$I$532:$AJ$532&amp;'Gastos com Pessoal'!$I$6:$AJ$6,0),500,1)),0)+_xlfn.IFNA(SUM((AU$3&gt;='Gastos com Pessoal'!$E$7:$E$506)*(AU$3&lt;='Gastos com Pessoal'!$F$7:$F$506)*(IF('Gastos com Pessoal'!$Y$7:$Y$506&lt;=AU$3,1,0))*OFFSET('Gastos com Pessoal'!$H$6,1,MATCH(4&amp;$B48,'Gastos com Pessoal'!$I$532:$AJ$532&amp;'Gastos com Pessoal'!$I$6:$AJ$6,0),500,1)),0)+_xlfn.IFNA(SUM((AU$3&gt;='Gastos com Pessoal'!$E$7:$E$506)*(AU$3&lt;='Gastos com Pessoal'!$F$7:$F$506)*(IF('Gastos com Pessoal'!$AE$7:$AE$506&lt;=AU$3,1,0))*OFFSET('Gastos com Pessoal'!$H$6,1,MATCH(5&amp;$B48,'Gastos com Pessoal'!$I$532:$AJ$532&amp;'Gastos com Pessoal'!$I$6:$AJ$6,0),500,1)),0)+_xlfn.IFNA(SUM((AU$3&gt;='Gastos com Pessoal'!$E$513:$E$522)*(AU$3&lt;='Gastos com Pessoal'!$F$513:$F$522)*(IF('Gastos com Pessoal'!$G$513:$G$522&lt;=AU$3,1,0))*OFFSET('Gastos com Pessoal'!$H$512,1,MATCH(1&amp;$B48,'Gastos com Pessoal'!$I$532:$AJ$532&amp;'Gastos com Pessoal'!$I$512:$AJ$512,0),10,1)),0)+_xlfn.IFNA(SUM((AU$3&gt;='Gastos com Pessoal'!$E$513:$E$522)*(AU$3&lt;='Gastos com Pessoal'!$F$513:$F$522)*(IF('Gastos com Pessoal'!$M$513:$M$522&lt;=AU$3,1,0))*OFFSET('Gastos com Pessoal'!$H$512,1,MATCH(2&amp;$B48,'Gastos com Pessoal'!$I$532:$AJ$532&amp;'Gastos com Pessoal'!$I$512:$AJ$512,0),10,1)),0)+_xlfn.IFNA(SUM((AU$3&gt;='Gastos com Pessoal'!$E$513:$E$522)*(AU$3&lt;='Gastos com Pessoal'!$F$513:$F$522)*(IF('Gastos com Pessoal'!$S$513:$S$522&lt;=AU$3,1,0))*OFFSET('Gastos com Pessoal'!$H$512,1,MATCH(3&amp;$B48,'Gastos com Pessoal'!$I$532:$AJ$532&amp;'Gastos com Pessoal'!$I$512:$AJ$512,0),10,1)),0)+_xlfn.IFNA(SUM((AU$3&gt;='Gastos com Pessoal'!$E$513:$E$522)*(AU$3&lt;='Gastos com Pessoal'!$F$513:$F$522)*(IF('Gastos com Pessoal'!$Y$513:$Y$522&lt;=AU$3,1,0))*OFFSET('Gastos com Pessoal'!$H$512,1,MATCH(4&amp;$B48,'Gastos com Pessoal'!$I$532:$AJ$532&amp;'Gastos com Pessoal'!$I$512:$AJ$512,0),10,1)),0)+_xlfn.IFNA(SUM((AU$3&gt;='Gastos com Pessoal'!$E$513:$E$522)*(AU$3&lt;='Gastos com Pessoal'!$F$513:$F$522)*(IF('Gastos com Pessoal'!$AE$513:$AE$522&lt;=AU$3,1,0))*OFFSET('Gastos com Pessoal'!$H$512,1,MATCH(5&amp;$B48,'Gastos com Pessoal'!$I$532:$AJ$532&amp;'Gastos com Pessoal'!$I$512:$AJ$512,0),10,1)),0)</f>
        <v>67176.715718222622</v>
      </c>
      <c r="AV48" s="188">
        <f t="array" aca="1" ref="AV48" ca="1">_xlfn.IFNA(SUM((AV$3&gt;='Gastos com Pessoal'!$E$7:$E$506)*(AV$3&lt;='Gastos com Pessoal'!$F$7:$F$506)*OFFSET('Encargos e Benefícios'!$D$5,1,MATCH($B48,'Encargos e Benefícios'!$E$5:$AB$5,0),500,1)),0)+_xlfn.IFNA(SUM((AV$3&gt;='Gastos com Pessoal'!$E$513:$E$522)*(AV$3&lt;='Gastos com Pessoal'!$F$513:$F$522)*OFFSET('Encargos e Benefícios'!$D$511,1,MATCH($B48,'Encargos e Benefícios'!$E$511:$AB$511,0),10,1)),0)+_xlfn.IFNA(SUM((AV$3&gt;='Gastos com Pessoal'!$E$7:$E$506)*(AV$3&lt;='Gastos com Pessoal'!$F$7:$F$506)*(IF('Gastos com Pessoal'!$G$7:$G$506&lt;=AV$3,1,0))*OFFSET('Gastos com Pessoal'!$H$6,1,MATCH(1&amp;$B48,'Gastos com Pessoal'!$I$532:$AJ$532&amp;'Gastos com Pessoal'!$I$6:$AJ$6,0),500,1)),0)+_xlfn.IFNA(SUM((AV$3&gt;='Gastos com Pessoal'!$E$7:$E$506)*(AV$3&lt;='Gastos com Pessoal'!$F$7:$F$506)*(IF('Gastos com Pessoal'!$M$7:$M$506&lt;=AV$3,1,0))*OFFSET('Gastos com Pessoal'!$H$6,1,MATCH(2&amp;$B48,'Gastos com Pessoal'!$I$532:$AJ$532&amp;'Gastos com Pessoal'!$I$6:$AJ$6,0),500,1)),0)+_xlfn.IFNA(SUM((AV$3&gt;='Gastos com Pessoal'!$E$7:$E$506)*(AV$3&lt;='Gastos com Pessoal'!$F$7:$F$506)*(IF('Gastos com Pessoal'!$S$7:$S$506&lt;=AV$3,1,0))*OFFSET('Gastos com Pessoal'!$H$6,1,MATCH(3&amp;$B48,'Gastos com Pessoal'!$I$532:$AJ$532&amp;'Gastos com Pessoal'!$I$6:$AJ$6,0),500,1)),0)+_xlfn.IFNA(SUM((AV$3&gt;='Gastos com Pessoal'!$E$7:$E$506)*(AV$3&lt;='Gastos com Pessoal'!$F$7:$F$506)*(IF('Gastos com Pessoal'!$Y$7:$Y$506&lt;=AV$3,1,0))*OFFSET('Gastos com Pessoal'!$H$6,1,MATCH(4&amp;$B48,'Gastos com Pessoal'!$I$532:$AJ$532&amp;'Gastos com Pessoal'!$I$6:$AJ$6,0),500,1)),0)+_xlfn.IFNA(SUM((AV$3&gt;='Gastos com Pessoal'!$E$7:$E$506)*(AV$3&lt;='Gastos com Pessoal'!$F$7:$F$506)*(IF('Gastos com Pessoal'!$AE$7:$AE$506&lt;=AV$3,1,0))*OFFSET('Gastos com Pessoal'!$H$6,1,MATCH(5&amp;$B48,'Gastos com Pessoal'!$I$532:$AJ$532&amp;'Gastos com Pessoal'!$I$6:$AJ$6,0),500,1)),0)+_xlfn.IFNA(SUM((AV$3&gt;='Gastos com Pessoal'!$E$513:$E$522)*(AV$3&lt;='Gastos com Pessoal'!$F$513:$F$522)*(IF('Gastos com Pessoal'!$G$513:$G$522&lt;=AV$3,1,0))*OFFSET('Gastos com Pessoal'!$H$512,1,MATCH(1&amp;$B48,'Gastos com Pessoal'!$I$532:$AJ$532&amp;'Gastos com Pessoal'!$I$512:$AJ$512,0),10,1)),0)+_xlfn.IFNA(SUM((AV$3&gt;='Gastos com Pessoal'!$E$513:$E$522)*(AV$3&lt;='Gastos com Pessoal'!$F$513:$F$522)*(IF('Gastos com Pessoal'!$M$513:$M$522&lt;=AV$3,1,0))*OFFSET('Gastos com Pessoal'!$H$512,1,MATCH(2&amp;$B48,'Gastos com Pessoal'!$I$532:$AJ$532&amp;'Gastos com Pessoal'!$I$512:$AJ$512,0),10,1)),0)+_xlfn.IFNA(SUM((AV$3&gt;='Gastos com Pessoal'!$E$513:$E$522)*(AV$3&lt;='Gastos com Pessoal'!$F$513:$F$522)*(IF('Gastos com Pessoal'!$S$513:$S$522&lt;=AV$3,1,0))*OFFSET('Gastos com Pessoal'!$H$512,1,MATCH(3&amp;$B48,'Gastos com Pessoal'!$I$532:$AJ$532&amp;'Gastos com Pessoal'!$I$512:$AJ$512,0),10,1)),0)+_xlfn.IFNA(SUM((AV$3&gt;='Gastos com Pessoal'!$E$513:$E$522)*(AV$3&lt;='Gastos com Pessoal'!$F$513:$F$522)*(IF('Gastos com Pessoal'!$Y$513:$Y$522&lt;=AV$3,1,0))*OFFSET('Gastos com Pessoal'!$H$512,1,MATCH(4&amp;$B48,'Gastos com Pessoal'!$I$532:$AJ$532&amp;'Gastos com Pessoal'!$I$512:$AJ$512,0),10,1)),0)+_xlfn.IFNA(SUM((AV$3&gt;='Gastos com Pessoal'!$E$513:$E$522)*(AV$3&lt;='Gastos com Pessoal'!$F$513:$F$522)*(IF('Gastos com Pessoal'!$AE$513:$AE$522&lt;=AV$3,1,0))*OFFSET('Gastos com Pessoal'!$H$512,1,MATCH(5&amp;$B48,'Gastos com Pessoal'!$I$532:$AJ$532&amp;'Gastos com Pessoal'!$I$512:$AJ$512,0),10,1)),0)</f>
        <v>67176.715718222622</v>
      </c>
      <c r="AW48" s="188">
        <f t="array" aca="1" ref="AW48" ca="1">_xlfn.IFNA(SUM((AW$3&gt;='Gastos com Pessoal'!$E$7:$E$506)*(AW$3&lt;='Gastos com Pessoal'!$F$7:$F$506)*OFFSET('Encargos e Benefícios'!$D$5,1,MATCH($B48,'Encargos e Benefícios'!$E$5:$AB$5,0),500,1)),0)+_xlfn.IFNA(SUM((AW$3&gt;='Gastos com Pessoal'!$E$513:$E$522)*(AW$3&lt;='Gastos com Pessoal'!$F$513:$F$522)*OFFSET('Encargos e Benefícios'!$D$511,1,MATCH($B48,'Encargos e Benefícios'!$E$511:$AB$511,0),10,1)),0)+_xlfn.IFNA(SUM((AW$3&gt;='Gastos com Pessoal'!$E$7:$E$506)*(AW$3&lt;='Gastos com Pessoal'!$F$7:$F$506)*(IF('Gastos com Pessoal'!$G$7:$G$506&lt;=AW$3,1,0))*OFFSET('Gastos com Pessoal'!$H$6,1,MATCH(1&amp;$B48,'Gastos com Pessoal'!$I$532:$AJ$532&amp;'Gastos com Pessoal'!$I$6:$AJ$6,0),500,1)),0)+_xlfn.IFNA(SUM((AW$3&gt;='Gastos com Pessoal'!$E$7:$E$506)*(AW$3&lt;='Gastos com Pessoal'!$F$7:$F$506)*(IF('Gastos com Pessoal'!$M$7:$M$506&lt;=AW$3,1,0))*OFFSET('Gastos com Pessoal'!$H$6,1,MATCH(2&amp;$B48,'Gastos com Pessoal'!$I$532:$AJ$532&amp;'Gastos com Pessoal'!$I$6:$AJ$6,0),500,1)),0)+_xlfn.IFNA(SUM((AW$3&gt;='Gastos com Pessoal'!$E$7:$E$506)*(AW$3&lt;='Gastos com Pessoal'!$F$7:$F$506)*(IF('Gastos com Pessoal'!$S$7:$S$506&lt;=AW$3,1,0))*OFFSET('Gastos com Pessoal'!$H$6,1,MATCH(3&amp;$B48,'Gastos com Pessoal'!$I$532:$AJ$532&amp;'Gastos com Pessoal'!$I$6:$AJ$6,0),500,1)),0)+_xlfn.IFNA(SUM((AW$3&gt;='Gastos com Pessoal'!$E$7:$E$506)*(AW$3&lt;='Gastos com Pessoal'!$F$7:$F$506)*(IF('Gastos com Pessoal'!$Y$7:$Y$506&lt;=AW$3,1,0))*OFFSET('Gastos com Pessoal'!$H$6,1,MATCH(4&amp;$B48,'Gastos com Pessoal'!$I$532:$AJ$532&amp;'Gastos com Pessoal'!$I$6:$AJ$6,0),500,1)),0)+_xlfn.IFNA(SUM((AW$3&gt;='Gastos com Pessoal'!$E$7:$E$506)*(AW$3&lt;='Gastos com Pessoal'!$F$7:$F$506)*(IF('Gastos com Pessoal'!$AE$7:$AE$506&lt;=AW$3,1,0))*OFFSET('Gastos com Pessoal'!$H$6,1,MATCH(5&amp;$B48,'Gastos com Pessoal'!$I$532:$AJ$532&amp;'Gastos com Pessoal'!$I$6:$AJ$6,0),500,1)),0)+_xlfn.IFNA(SUM((AW$3&gt;='Gastos com Pessoal'!$E$513:$E$522)*(AW$3&lt;='Gastos com Pessoal'!$F$513:$F$522)*(IF('Gastos com Pessoal'!$G$513:$G$522&lt;=AW$3,1,0))*OFFSET('Gastos com Pessoal'!$H$512,1,MATCH(1&amp;$B48,'Gastos com Pessoal'!$I$532:$AJ$532&amp;'Gastos com Pessoal'!$I$512:$AJ$512,0),10,1)),0)+_xlfn.IFNA(SUM((AW$3&gt;='Gastos com Pessoal'!$E$513:$E$522)*(AW$3&lt;='Gastos com Pessoal'!$F$513:$F$522)*(IF('Gastos com Pessoal'!$M$513:$M$522&lt;=AW$3,1,0))*OFFSET('Gastos com Pessoal'!$H$512,1,MATCH(2&amp;$B48,'Gastos com Pessoal'!$I$532:$AJ$532&amp;'Gastos com Pessoal'!$I$512:$AJ$512,0),10,1)),0)+_xlfn.IFNA(SUM((AW$3&gt;='Gastos com Pessoal'!$E$513:$E$522)*(AW$3&lt;='Gastos com Pessoal'!$F$513:$F$522)*(IF('Gastos com Pessoal'!$S$513:$S$522&lt;=AW$3,1,0))*OFFSET('Gastos com Pessoal'!$H$512,1,MATCH(3&amp;$B48,'Gastos com Pessoal'!$I$532:$AJ$532&amp;'Gastos com Pessoal'!$I$512:$AJ$512,0),10,1)),0)+_xlfn.IFNA(SUM((AW$3&gt;='Gastos com Pessoal'!$E$513:$E$522)*(AW$3&lt;='Gastos com Pessoal'!$F$513:$F$522)*(IF('Gastos com Pessoal'!$Y$513:$Y$522&lt;=AW$3,1,0))*OFFSET('Gastos com Pessoal'!$H$512,1,MATCH(4&amp;$B48,'Gastos com Pessoal'!$I$532:$AJ$532&amp;'Gastos com Pessoal'!$I$512:$AJ$512,0),10,1)),0)+_xlfn.IFNA(SUM((AW$3&gt;='Gastos com Pessoal'!$E$513:$E$522)*(AW$3&lt;='Gastos com Pessoal'!$F$513:$F$522)*(IF('Gastos com Pessoal'!$AE$513:$AE$522&lt;=AW$3,1,0))*OFFSET('Gastos com Pessoal'!$H$512,1,MATCH(5&amp;$B48,'Gastos com Pessoal'!$I$532:$AJ$532&amp;'Gastos com Pessoal'!$I$512:$AJ$512,0),10,1)),0)</f>
        <v>67176.715718222622</v>
      </c>
      <c r="AX48" s="188">
        <f t="array" aca="1" ref="AX48" ca="1">_xlfn.IFNA(SUM((AX$3&gt;='Gastos com Pessoal'!$E$7:$E$506)*(AX$3&lt;='Gastos com Pessoal'!$F$7:$F$506)*OFFSET('Encargos e Benefícios'!$D$5,1,MATCH($B48,'Encargos e Benefícios'!$E$5:$AB$5,0),500,1)),0)+_xlfn.IFNA(SUM((AX$3&gt;='Gastos com Pessoal'!$E$513:$E$522)*(AX$3&lt;='Gastos com Pessoal'!$F$513:$F$522)*OFFSET('Encargos e Benefícios'!$D$511,1,MATCH($B48,'Encargos e Benefícios'!$E$511:$AB$511,0),10,1)),0)+_xlfn.IFNA(SUM((AX$3&gt;='Gastos com Pessoal'!$E$7:$E$506)*(AX$3&lt;='Gastos com Pessoal'!$F$7:$F$506)*(IF('Gastos com Pessoal'!$G$7:$G$506&lt;=AX$3,1,0))*OFFSET('Gastos com Pessoal'!$H$6,1,MATCH(1&amp;$B48,'Gastos com Pessoal'!$I$532:$AJ$532&amp;'Gastos com Pessoal'!$I$6:$AJ$6,0),500,1)),0)+_xlfn.IFNA(SUM((AX$3&gt;='Gastos com Pessoal'!$E$7:$E$506)*(AX$3&lt;='Gastos com Pessoal'!$F$7:$F$506)*(IF('Gastos com Pessoal'!$M$7:$M$506&lt;=AX$3,1,0))*OFFSET('Gastos com Pessoal'!$H$6,1,MATCH(2&amp;$B48,'Gastos com Pessoal'!$I$532:$AJ$532&amp;'Gastos com Pessoal'!$I$6:$AJ$6,0),500,1)),0)+_xlfn.IFNA(SUM((AX$3&gt;='Gastos com Pessoal'!$E$7:$E$506)*(AX$3&lt;='Gastos com Pessoal'!$F$7:$F$506)*(IF('Gastos com Pessoal'!$S$7:$S$506&lt;=AX$3,1,0))*OFFSET('Gastos com Pessoal'!$H$6,1,MATCH(3&amp;$B48,'Gastos com Pessoal'!$I$532:$AJ$532&amp;'Gastos com Pessoal'!$I$6:$AJ$6,0),500,1)),0)+_xlfn.IFNA(SUM((AX$3&gt;='Gastos com Pessoal'!$E$7:$E$506)*(AX$3&lt;='Gastos com Pessoal'!$F$7:$F$506)*(IF('Gastos com Pessoal'!$Y$7:$Y$506&lt;=AX$3,1,0))*OFFSET('Gastos com Pessoal'!$H$6,1,MATCH(4&amp;$B48,'Gastos com Pessoal'!$I$532:$AJ$532&amp;'Gastos com Pessoal'!$I$6:$AJ$6,0),500,1)),0)+_xlfn.IFNA(SUM((AX$3&gt;='Gastos com Pessoal'!$E$7:$E$506)*(AX$3&lt;='Gastos com Pessoal'!$F$7:$F$506)*(IF('Gastos com Pessoal'!$AE$7:$AE$506&lt;=AX$3,1,0))*OFFSET('Gastos com Pessoal'!$H$6,1,MATCH(5&amp;$B48,'Gastos com Pessoal'!$I$532:$AJ$532&amp;'Gastos com Pessoal'!$I$6:$AJ$6,0),500,1)),0)+_xlfn.IFNA(SUM((AX$3&gt;='Gastos com Pessoal'!$E$513:$E$522)*(AX$3&lt;='Gastos com Pessoal'!$F$513:$F$522)*(IF('Gastos com Pessoal'!$G$513:$G$522&lt;=AX$3,1,0))*OFFSET('Gastos com Pessoal'!$H$512,1,MATCH(1&amp;$B48,'Gastos com Pessoal'!$I$532:$AJ$532&amp;'Gastos com Pessoal'!$I$512:$AJ$512,0),10,1)),0)+_xlfn.IFNA(SUM((AX$3&gt;='Gastos com Pessoal'!$E$513:$E$522)*(AX$3&lt;='Gastos com Pessoal'!$F$513:$F$522)*(IF('Gastos com Pessoal'!$M$513:$M$522&lt;=AX$3,1,0))*OFFSET('Gastos com Pessoal'!$H$512,1,MATCH(2&amp;$B48,'Gastos com Pessoal'!$I$532:$AJ$532&amp;'Gastos com Pessoal'!$I$512:$AJ$512,0),10,1)),0)+_xlfn.IFNA(SUM((AX$3&gt;='Gastos com Pessoal'!$E$513:$E$522)*(AX$3&lt;='Gastos com Pessoal'!$F$513:$F$522)*(IF('Gastos com Pessoal'!$S$513:$S$522&lt;=AX$3,1,0))*OFFSET('Gastos com Pessoal'!$H$512,1,MATCH(3&amp;$B48,'Gastos com Pessoal'!$I$532:$AJ$532&amp;'Gastos com Pessoal'!$I$512:$AJ$512,0),10,1)),0)+_xlfn.IFNA(SUM((AX$3&gt;='Gastos com Pessoal'!$E$513:$E$522)*(AX$3&lt;='Gastos com Pessoal'!$F$513:$F$522)*(IF('Gastos com Pessoal'!$Y$513:$Y$522&lt;=AX$3,1,0))*OFFSET('Gastos com Pessoal'!$H$512,1,MATCH(4&amp;$B48,'Gastos com Pessoal'!$I$532:$AJ$532&amp;'Gastos com Pessoal'!$I$512:$AJ$512,0),10,1)),0)+_xlfn.IFNA(SUM((AX$3&gt;='Gastos com Pessoal'!$E$513:$E$522)*(AX$3&lt;='Gastos com Pessoal'!$F$513:$F$522)*(IF('Gastos com Pessoal'!$AE$513:$AE$522&lt;=AX$3,1,0))*OFFSET('Gastos com Pessoal'!$H$512,1,MATCH(5&amp;$B48,'Gastos com Pessoal'!$I$532:$AJ$532&amp;'Gastos com Pessoal'!$I$512:$AJ$512,0),10,1)),0)</f>
        <v>0</v>
      </c>
      <c r="AY48" s="188">
        <f t="array" aca="1" ref="AY48" ca="1">_xlfn.IFNA(SUM((AY$3&gt;='Gastos com Pessoal'!$E$7:$E$506)*(AY$3&lt;='Gastos com Pessoal'!$F$7:$F$506)*OFFSET('Encargos e Benefícios'!$D$5,1,MATCH($B48,'Encargos e Benefícios'!$E$5:$AB$5,0),500,1)),0)+_xlfn.IFNA(SUM((AY$3&gt;='Gastos com Pessoal'!$E$513:$E$522)*(AY$3&lt;='Gastos com Pessoal'!$F$513:$F$522)*OFFSET('Encargos e Benefícios'!$D$511,1,MATCH($B48,'Encargos e Benefícios'!$E$511:$AB$511,0),10,1)),0)+_xlfn.IFNA(SUM((AY$3&gt;='Gastos com Pessoal'!$E$7:$E$506)*(AY$3&lt;='Gastos com Pessoal'!$F$7:$F$506)*(IF('Gastos com Pessoal'!$G$7:$G$506&lt;=AY$3,1,0))*OFFSET('Gastos com Pessoal'!$H$6,1,MATCH(1&amp;$B48,'Gastos com Pessoal'!$I$532:$AJ$532&amp;'Gastos com Pessoal'!$I$6:$AJ$6,0),500,1)),0)+_xlfn.IFNA(SUM((AY$3&gt;='Gastos com Pessoal'!$E$7:$E$506)*(AY$3&lt;='Gastos com Pessoal'!$F$7:$F$506)*(IF('Gastos com Pessoal'!$M$7:$M$506&lt;=AY$3,1,0))*OFFSET('Gastos com Pessoal'!$H$6,1,MATCH(2&amp;$B48,'Gastos com Pessoal'!$I$532:$AJ$532&amp;'Gastos com Pessoal'!$I$6:$AJ$6,0),500,1)),0)+_xlfn.IFNA(SUM((AY$3&gt;='Gastos com Pessoal'!$E$7:$E$506)*(AY$3&lt;='Gastos com Pessoal'!$F$7:$F$506)*(IF('Gastos com Pessoal'!$S$7:$S$506&lt;=AY$3,1,0))*OFFSET('Gastos com Pessoal'!$H$6,1,MATCH(3&amp;$B48,'Gastos com Pessoal'!$I$532:$AJ$532&amp;'Gastos com Pessoal'!$I$6:$AJ$6,0),500,1)),0)+_xlfn.IFNA(SUM((AY$3&gt;='Gastos com Pessoal'!$E$7:$E$506)*(AY$3&lt;='Gastos com Pessoal'!$F$7:$F$506)*(IF('Gastos com Pessoal'!$Y$7:$Y$506&lt;=AY$3,1,0))*OFFSET('Gastos com Pessoal'!$H$6,1,MATCH(4&amp;$B48,'Gastos com Pessoal'!$I$532:$AJ$532&amp;'Gastos com Pessoal'!$I$6:$AJ$6,0),500,1)),0)+_xlfn.IFNA(SUM((AY$3&gt;='Gastos com Pessoal'!$E$7:$E$506)*(AY$3&lt;='Gastos com Pessoal'!$F$7:$F$506)*(IF('Gastos com Pessoal'!$AE$7:$AE$506&lt;=AY$3,1,0))*OFFSET('Gastos com Pessoal'!$H$6,1,MATCH(5&amp;$B48,'Gastos com Pessoal'!$I$532:$AJ$532&amp;'Gastos com Pessoal'!$I$6:$AJ$6,0),500,1)),0)+_xlfn.IFNA(SUM((AY$3&gt;='Gastos com Pessoal'!$E$513:$E$522)*(AY$3&lt;='Gastos com Pessoal'!$F$513:$F$522)*(IF('Gastos com Pessoal'!$G$513:$G$522&lt;=AY$3,1,0))*OFFSET('Gastos com Pessoal'!$H$512,1,MATCH(1&amp;$B48,'Gastos com Pessoal'!$I$532:$AJ$532&amp;'Gastos com Pessoal'!$I$512:$AJ$512,0),10,1)),0)+_xlfn.IFNA(SUM((AY$3&gt;='Gastos com Pessoal'!$E$513:$E$522)*(AY$3&lt;='Gastos com Pessoal'!$F$513:$F$522)*(IF('Gastos com Pessoal'!$M$513:$M$522&lt;=AY$3,1,0))*OFFSET('Gastos com Pessoal'!$H$512,1,MATCH(2&amp;$B48,'Gastos com Pessoal'!$I$532:$AJ$532&amp;'Gastos com Pessoal'!$I$512:$AJ$512,0),10,1)),0)+_xlfn.IFNA(SUM((AY$3&gt;='Gastos com Pessoal'!$E$513:$E$522)*(AY$3&lt;='Gastos com Pessoal'!$F$513:$F$522)*(IF('Gastos com Pessoal'!$S$513:$S$522&lt;=AY$3,1,0))*OFFSET('Gastos com Pessoal'!$H$512,1,MATCH(3&amp;$B48,'Gastos com Pessoal'!$I$532:$AJ$532&amp;'Gastos com Pessoal'!$I$512:$AJ$512,0),10,1)),0)+_xlfn.IFNA(SUM((AY$3&gt;='Gastos com Pessoal'!$E$513:$E$522)*(AY$3&lt;='Gastos com Pessoal'!$F$513:$F$522)*(IF('Gastos com Pessoal'!$Y$513:$Y$522&lt;=AY$3,1,0))*OFFSET('Gastos com Pessoal'!$H$512,1,MATCH(4&amp;$B48,'Gastos com Pessoal'!$I$532:$AJ$532&amp;'Gastos com Pessoal'!$I$512:$AJ$512,0),10,1)),0)+_xlfn.IFNA(SUM((AY$3&gt;='Gastos com Pessoal'!$E$513:$E$522)*(AY$3&lt;='Gastos com Pessoal'!$F$513:$F$522)*(IF('Gastos com Pessoal'!$AE$513:$AE$522&lt;=AY$3,1,0))*OFFSET('Gastos com Pessoal'!$H$512,1,MATCH(5&amp;$B48,'Gastos com Pessoal'!$I$532:$AJ$532&amp;'Gastos com Pessoal'!$I$512:$AJ$512,0),10,1)),0)</f>
        <v>0</v>
      </c>
      <c r="AZ48" s="188">
        <f t="array" aca="1" ref="AZ48" ca="1">_xlfn.IFNA(SUM((AZ$3&gt;='Gastos com Pessoal'!$E$7:$E$506)*(AZ$3&lt;='Gastos com Pessoal'!$F$7:$F$506)*OFFSET('Encargos e Benefícios'!$D$5,1,MATCH($B48,'Encargos e Benefícios'!$E$5:$AB$5,0),500,1)),0)+_xlfn.IFNA(SUM((AZ$3&gt;='Gastos com Pessoal'!$E$513:$E$522)*(AZ$3&lt;='Gastos com Pessoal'!$F$513:$F$522)*OFFSET('Encargos e Benefícios'!$D$511,1,MATCH($B48,'Encargos e Benefícios'!$E$511:$AB$511,0),10,1)),0)+_xlfn.IFNA(SUM((AZ$3&gt;='Gastos com Pessoal'!$E$7:$E$506)*(AZ$3&lt;='Gastos com Pessoal'!$F$7:$F$506)*(IF('Gastos com Pessoal'!$G$7:$G$506&lt;=AZ$3,1,0))*OFFSET('Gastos com Pessoal'!$H$6,1,MATCH(1&amp;$B48,'Gastos com Pessoal'!$I$532:$AJ$532&amp;'Gastos com Pessoal'!$I$6:$AJ$6,0),500,1)),0)+_xlfn.IFNA(SUM((AZ$3&gt;='Gastos com Pessoal'!$E$7:$E$506)*(AZ$3&lt;='Gastos com Pessoal'!$F$7:$F$506)*(IF('Gastos com Pessoal'!$M$7:$M$506&lt;=AZ$3,1,0))*OFFSET('Gastos com Pessoal'!$H$6,1,MATCH(2&amp;$B48,'Gastos com Pessoal'!$I$532:$AJ$532&amp;'Gastos com Pessoal'!$I$6:$AJ$6,0),500,1)),0)+_xlfn.IFNA(SUM((AZ$3&gt;='Gastos com Pessoal'!$E$7:$E$506)*(AZ$3&lt;='Gastos com Pessoal'!$F$7:$F$506)*(IF('Gastos com Pessoal'!$S$7:$S$506&lt;=AZ$3,1,0))*OFFSET('Gastos com Pessoal'!$H$6,1,MATCH(3&amp;$B48,'Gastos com Pessoal'!$I$532:$AJ$532&amp;'Gastos com Pessoal'!$I$6:$AJ$6,0),500,1)),0)+_xlfn.IFNA(SUM((AZ$3&gt;='Gastos com Pessoal'!$E$7:$E$506)*(AZ$3&lt;='Gastos com Pessoal'!$F$7:$F$506)*(IF('Gastos com Pessoal'!$Y$7:$Y$506&lt;=AZ$3,1,0))*OFFSET('Gastos com Pessoal'!$H$6,1,MATCH(4&amp;$B48,'Gastos com Pessoal'!$I$532:$AJ$532&amp;'Gastos com Pessoal'!$I$6:$AJ$6,0),500,1)),0)+_xlfn.IFNA(SUM((AZ$3&gt;='Gastos com Pessoal'!$E$7:$E$506)*(AZ$3&lt;='Gastos com Pessoal'!$F$7:$F$506)*(IF('Gastos com Pessoal'!$AE$7:$AE$506&lt;=AZ$3,1,0))*OFFSET('Gastos com Pessoal'!$H$6,1,MATCH(5&amp;$B48,'Gastos com Pessoal'!$I$532:$AJ$532&amp;'Gastos com Pessoal'!$I$6:$AJ$6,0),500,1)),0)+_xlfn.IFNA(SUM((AZ$3&gt;='Gastos com Pessoal'!$E$513:$E$522)*(AZ$3&lt;='Gastos com Pessoal'!$F$513:$F$522)*(IF('Gastos com Pessoal'!$G$513:$G$522&lt;=AZ$3,1,0))*OFFSET('Gastos com Pessoal'!$H$512,1,MATCH(1&amp;$B48,'Gastos com Pessoal'!$I$532:$AJ$532&amp;'Gastos com Pessoal'!$I$512:$AJ$512,0),10,1)),0)+_xlfn.IFNA(SUM((AZ$3&gt;='Gastos com Pessoal'!$E$513:$E$522)*(AZ$3&lt;='Gastos com Pessoal'!$F$513:$F$522)*(IF('Gastos com Pessoal'!$M$513:$M$522&lt;=AZ$3,1,0))*OFFSET('Gastos com Pessoal'!$H$512,1,MATCH(2&amp;$B48,'Gastos com Pessoal'!$I$532:$AJ$532&amp;'Gastos com Pessoal'!$I$512:$AJ$512,0),10,1)),0)+_xlfn.IFNA(SUM((AZ$3&gt;='Gastos com Pessoal'!$E$513:$E$522)*(AZ$3&lt;='Gastos com Pessoal'!$F$513:$F$522)*(IF('Gastos com Pessoal'!$S$513:$S$522&lt;=AZ$3,1,0))*OFFSET('Gastos com Pessoal'!$H$512,1,MATCH(3&amp;$B48,'Gastos com Pessoal'!$I$532:$AJ$532&amp;'Gastos com Pessoal'!$I$512:$AJ$512,0),10,1)),0)+_xlfn.IFNA(SUM((AZ$3&gt;='Gastos com Pessoal'!$E$513:$E$522)*(AZ$3&lt;='Gastos com Pessoal'!$F$513:$F$522)*(IF('Gastos com Pessoal'!$Y$513:$Y$522&lt;=AZ$3,1,0))*OFFSET('Gastos com Pessoal'!$H$512,1,MATCH(4&amp;$B48,'Gastos com Pessoal'!$I$532:$AJ$532&amp;'Gastos com Pessoal'!$I$512:$AJ$512,0),10,1)),0)+_xlfn.IFNA(SUM((AZ$3&gt;='Gastos com Pessoal'!$E$513:$E$522)*(AZ$3&lt;='Gastos com Pessoal'!$F$513:$F$522)*(IF('Gastos com Pessoal'!$AE$513:$AE$522&lt;=AZ$3,1,0))*OFFSET('Gastos com Pessoal'!$H$512,1,MATCH(5&amp;$B48,'Gastos com Pessoal'!$I$532:$AJ$532&amp;'Gastos com Pessoal'!$I$512:$AJ$512,0),10,1)),0)</f>
        <v>0</v>
      </c>
      <c r="BA48" s="188">
        <f t="array" aca="1" ref="BA48" ca="1">_xlfn.IFNA(SUM((BA$3&gt;='Gastos com Pessoal'!$E$7:$E$506)*(BA$3&lt;='Gastos com Pessoal'!$F$7:$F$506)*OFFSET('Encargos e Benefícios'!$D$5,1,MATCH($B48,'Encargos e Benefícios'!$E$5:$AB$5,0),500,1)),0)+_xlfn.IFNA(SUM((BA$3&gt;='Gastos com Pessoal'!$E$513:$E$522)*(BA$3&lt;='Gastos com Pessoal'!$F$513:$F$522)*OFFSET('Encargos e Benefícios'!$D$511,1,MATCH($B48,'Encargos e Benefícios'!$E$511:$AB$511,0),10,1)),0)+_xlfn.IFNA(SUM((BA$3&gt;='Gastos com Pessoal'!$E$7:$E$506)*(BA$3&lt;='Gastos com Pessoal'!$F$7:$F$506)*(IF('Gastos com Pessoal'!$G$7:$G$506&lt;=BA$3,1,0))*OFFSET('Gastos com Pessoal'!$H$6,1,MATCH(1&amp;$B48,'Gastos com Pessoal'!$I$532:$AJ$532&amp;'Gastos com Pessoal'!$I$6:$AJ$6,0),500,1)),0)+_xlfn.IFNA(SUM((BA$3&gt;='Gastos com Pessoal'!$E$7:$E$506)*(BA$3&lt;='Gastos com Pessoal'!$F$7:$F$506)*(IF('Gastos com Pessoal'!$M$7:$M$506&lt;=BA$3,1,0))*OFFSET('Gastos com Pessoal'!$H$6,1,MATCH(2&amp;$B48,'Gastos com Pessoal'!$I$532:$AJ$532&amp;'Gastos com Pessoal'!$I$6:$AJ$6,0),500,1)),0)+_xlfn.IFNA(SUM((BA$3&gt;='Gastos com Pessoal'!$E$7:$E$506)*(BA$3&lt;='Gastos com Pessoal'!$F$7:$F$506)*(IF('Gastos com Pessoal'!$S$7:$S$506&lt;=BA$3,1,0))*OFFSET('Gastos com Pessoal'!$H$6,1,MATCH(3&amp;$B48,'Gastos com Pessoal'!$I$532:$AJ$532&amp;'Gastos com Pessoal'!$I$6:$AJ$6,0),500,1)),0)+_xlfn.IFNA(SUM((BA$3&gt;='Gastos com Pessoal'!$E$7:$E$506)*(BA$3&lt;='Gastos com Pessoal'!$F$7:$F$506)*(IF('Gastos com Pessoal'!$Y$7:$Y$506&lt;=BA$3,1,0))*OFFSET('Gastos com Pessoal'!$H$6,1,MATCH(4&amp;$B48,'Gastos com Pessoal'!$I$532:$AJ$532&amp;'Gastos com Pessoal'!$I$6:$AJ$6,0),500,1)),0)+_xlfn.IFNA(SUM((BA$3&gt;='Gastos com Pessoal'!$E$7:$E$506)*(BA$3&lt;='Gastos com Pessoal'!$F$7:$F$506)*(IF('Gastos com Pessoal'!$AE$7:$AE$506&lt;=BA$3,1,0))*OFFSET('Gastos com Pessoal'!$H$6,1,MATCH(5&amp;$B48,'Gastos com Pessoal'!$I$532:$AJ$532&amp;'Gastos com Pessoal'!$I$6:$AJ$6,0),500,1)),0)+_xlfn.IFNA(SUM((BA$3&gt;='Gastos com Pessoal'!$E$513:$E$522)*(BA$3&lt;='Gastos com Pessoal'!$F$513:$F$522)*(IF('Gastos com Pessoal'!$G$513:$G$522&lt;=BA$3,1,0))*OFFSET('Gastos com Pessoal'!$H$512,1,MATCH(1&amp;$B48,'Gastos com Pessoal'!$I$532:$AJ$532&amp;'Gastos com Pessoal'!$I$512:$AJ$512,0),10,1)),0)+_xlfn.IFNA(SUM((BA$3&gt;='Gastos com Pessoal'!$E$513:$E$522)*(BA$3&lt;='Gastos com Pessoal'!$F$513:$F$522)*(IF('Gastos com Pessoal'!$M$513:$M$522&lt;=BA$3,1,0))*OFFSET('Gastos com Pessoal'!$H$512,1,MATCH(2&amp;$B48,'Gastos com Pessoal'!$I$532:$AJ$532&amp;'Gastos com Pessoal'!$I$512:$AJ$512,0),10,1)),0)+_xlfn.IFNA(SUM((BA$3&gt;='Gastos com Pessoal'!$E$513:$E$522)*(BA$3&lt;='Gastos com Pessoal'!$F$513:$F$522)*(IF('Gastos com Pessoal'!$S$513:$S$522&lt;=BA$3,1,0))*OFFSET('Gastos com Pessoal'!$H$512,1,MATCH(3&amp;$B48,'Gastos com Pessoal'!$I$532:$AJ$532&amp;'Gastos com Pessoal'!$I$512:$AJ$512,0),10,1)),0)+_xlfn.IFNA(SUM((BA$3&gt;='Gastos com Pessoal'!$E$513:$E$522)*(BA$3&lt;='Gastos com Pessoal'!$F$513:$F$522)*(IF('Gastos com Pessoal'!$Y$513:$Y$522&lt;=BA$3,1,0))*OFFSET('Gastos com Pessoal'!$H$512,1,MATCH(4&amp;$B48,'Gastos com Pessoal'!$I$532:$AJ$532&amp;'Gastos com Pessoal'!$I$512:$AJ$512,0),10,1)),0)+_xlfn.IFNA(SUM((BA$3&gt;='Gastos com Pessoal'!$E$513:$E$522)*(BA$3&lt;='Gastos com Pessoal'!$F$513:$F$522)*(IF('Gastos com Pessoal'!$AE$513:$AE$522&lt;=BA$3,1,0))*OFFSET('Gastos com Pessoal'!$H$512,1,MATCH(5&amp;$B48,'Gastos com Pessoal'!$I$532:$AJ$532&amp;'Gastos com Pessoal'!$I$512:$AJ$512,0),10,1)),0)</f>
        <v>0</v>
      </c>
      <c r="BB48" s="188">
        <f t="array" aca="1" ref="BB48" ca="1">_xlfn.IFNA(SUM((BB$3&gt;='Gastos com Pessoal'!$E$7:$E$506)*(BB$3&lt;='Gastos com Pessoal'!$F$7:$F$506)*OFFSET('Encargos e Benefícios'!$D$5,1,MATCH($B48,'Encargos e Benefícios'!$E$5:$AB$5,0),500,1)),0)+_xlfn.IFNA(SUM((BB$3&gt;='Gastos com Pessoal'!$E$513:$E$522)*(BB$3&lt;='Gastos com Pessoal'!$F$513:$F$522)*OFFSET('Encargos e Benefícios'!$D$511,1,MATCH($B48,'Encargos e Benefícios'!$E$511:$AB$511,0),10,1)),0)+_xlfn.IFNA(SUM((BB$3&gt;='Gastos com Pessoal'!$E$7:$E$506)*(BB$3&lt;='Gastos com Pessoal'!$F$7:$F$506)*(IF('Gastos com Pessoal'!$G$7:$G$506&lt;=BB$3,1,0))*OFFSET('Gastos com Pessoal'!$H$6,1,MATCH(1&amp;$B48,'Gastos com Pessoal'!$I$532:$AJ$532&amp;'Gastos com Pessoal'!$I$6:$AJ$6,0),500,1)),0)+_xlfn.IFNA(SUM((BB$3&gt;='Gastos com Pessoal'!$E$7:$E$506)*(BB$3&lt;='Gastos com Pessoal'!$F$7:$F$506)*(IF('Gastos com Pessoal'!$M$7:$M$506&lt;=BB$3,1,0))*OFFSET('Gastos com Pessoal'!$H$6,1,MATCH(2&amp;$B48,'Gastos com Pessoal'!$I$532:$AJ$532&amp;'Gastos com Pessoal'!$I$6:$AJ$6,0),500,1)),0)+_xlfn.IFNA(SUM((BB$3&gt;='Gastos com Pessoal'!$E$7:$E$506)*(BB$3&lt;='Gastos com Pessoal'!$F$7:$F$506)*(IF('Gastos com Pessoal'!$S$7:$S$506&lt;=BB$3,1,0))*OFFSET('Gastos com Pessoal'!$H$6,1,MATCH(3&amp;$B48,'Gastos com Pessoal'!$I$532:$AJ$532&amp;'Gastos com Pessoal'!$I$6:$AJ$6,0),500,1)),0)+_xlfn.IFNA(SUM((BB$3&gt;='Gastos com Pessoal'!$E$7:$E$506)*(BB$3&lt;='Gastos com Pessoal'!$F$7:$F$506)*(IF('Gastos com Pessoal'!$Y$7:$Y$506&lt;=BB$3,1,0))*OFFSET('Gastos com Pessoal'!$H$6,1,MATCH(4&amp;$B48,'Gastos com Pessoal'!$I$532:$AJ$532&amp;'Gastos com Pessoal'!$I$6:$AJ$6,0),500,1)),0)+_xlfn.IFNA(SUM((BB$3&gt;='Gastos com Pessoal'!$E$7:$E$506)*(BB$3&lt;='Gastos com Pessoal'!$F$7:$F$506)*(IF('Gastos com Pessoal'!$AE$7:$AE$506&lt;=BB$3,1,0))*OFFSET('Gastos com Pessoal'!$H$6,1,MATCH(5&amp;$B48,'Gastos com Pessoal'!$I$532:$AJ$532&amp;'Gastos com Pessoal'!$I$6:$AJ$6,0),500,1)),0)+_xlfn.IFNA(SUM((BB$3&gt;='Gastos com Pessoal'!$E$513:$E$522)*(BB$3&lt;='Gastos com Pessoal'!$F$513:$F$522)*(IF('Gastos com Pessoal'!$G$513:$G$522&lt;=BB$3,1,0))*OFFSET('Gastos com Pessoal'!$H$512,1,MATCH(1&amp;$B48,'Gastos com Pessoal'!$I$532:$AJ$532&amp;'Gastos com Pessoal'!$I$512:$AJ$512,0),10,1)),0)+_xlfn.IFNA(SUM((BB$3&gt;='Gastos com Pessoal'!$E$513:$E$522)*(BB$3&lt;='Gastos com Pessoal'!$F$513:$F$522)*(IF('Gastos com Pessoal'!$M$513:$M$522&lt;=BB$3,1,0))*OFFSET('Gastos com Pessoal'!$H$512,1,MATCH(2&amp;$B48,'Gastos com Pessoal'!$I$532:$AJ$532&amp;'Gastos com Pessoal'!$I$512:$AJ$512,0),10,1)),0)+_xlfn.IFNA(SUM((BB$3&gt;='Gastos com Pessoal'!$E$513:$E$522)*(BB$3&lt;='Gastos com Pessoal'!$F$513:$F$522)*(IF('Gastos com Pessoal'!$S$513:$S$522&lt;=BB$3,1,0))*OFFSET('Gastos com Pessoal'!$H$512,1,MATCH(3&amp;$B48,'Gastos com Pessoal'!$I$532:$AJ$532&amp;'Gastos com Pessoal'!$I$512:$AJ$512,0),10,1)),0)+_xlfn.IFNA(SUM((BB$3&gt;='Gastos com Pessoal'!$E$513:$E$522)*(BB$3&lt;='Gastos com Pessoal'!$F$513:$F$522)*(IF('Gastos com Pessoal'!$Y$513:$Y$522&lt;=BB$3,1,0))*OFFSET('Gastos com Pessoal'!$H$512,1,MATCH(4&amp;$B48,'Gastos com Pessoal'!$I$532:$AJ$532&amp;'Gastos com Pessoal'!$I$512:$AJ$512,0),10,1)),0)+_xlfn.IFNA(SUM((BB$3&gt;='Gastos com Pessoal'!$E$513:$E$522)*(BB$3&lt;='Gastos com Pessoal'!$F$513:$F$522)*(IF('Gastos com Pessoal'!$AE$513:$AE$522&lt;=BB$3,1,0))*OFFSET('Gastos com Pessoal'!$H$512,1,MATCH(5&amp;$B48,'Gastos com Pessoal'!$I$532:$AJ$532&amp;'Gastos com Pessoal'!$I$512:$AJ$512,0),10,1)),0)</f>
        <v>0</v>
      </c>
      <c r="BC48" s="188">
        <f t="array" aca="1" ref="BC48" ca="1">_xlfn.IFNA(SUM((BC$3&gt;='Gastos com Pessoal'!$E$7:$E$506)*(BC$3&lt;='Gastos com Pessoal'!$F$7:$F$506)*OFFSET('Encargos e Benefícios'!$D$5,1,MATCH($B48,'Encargos e Benefícios'!$E$5:$AB$5,0),500,1)),0)+_xlfn.IFNA(SUM((BC$3&gt;='Gastos com Pessoal'!$E$513:$E$522)*(BC$3&lt;='Gastos com Pessoal'!$F$513:$F$522)*OFFSET('Encargos e Benefícios'!$D$511,1,MATCH($B48,'Encargos e Benefícios'!$E$511:$AB$511,0),10,1)),0)+_xlfn.IFNA(SUM((BC$3&gt;='Gastos com Pessoal'!$E$7:$E$506)*(BC$3&lt;='Gastos com Pessoal'!$F$7:$F$506)*(IF('Gastos com Pessoal'!$G$7:$G$506&lt;=BC$3,1,0))*OFFSET('Gastos com Pessoal'!$H$6,1,MATCH(1&amp;$B48,'Gastos com Pessoal'!$I$532:$AJ$532&amp;'Gastos com Pessoal'!$I$6:$AJ$6,0),500,1)),0)+_xlfn.IFNA(SUM((BC$3&gt;='Gastos com Pessoal'!$E$7:$E$506)*(BC$3&lt;='Gastos com Pessoal'!$F$7:$F$506)*(IF('Gastos com Pessoal'!$M$7:$M$506&lt;=BC$3,1,0))*OFFSET('Gastos com Pessoal'!$H$6,1,MATCH(2&amp;$B48,'Gastos com Pessoal'!$I$532:$AJ$532&amp;'Gastos com Pessoal'!$I$6:$AJ$6,0),500,1)),0)+_xlfn.IFNA(SUM((BC$3&gt;='Gastos com Pessoal'!$E$7:$E$506)*(BC$3&lt;='Gastos com Pessoal'!$F$7:$F$506)*(IF('Gastos com Pessoal'!$S$7:$S$506&lt;=BC$3,1,0))*OFFSET('Gastos com Pessoal'!$H$6,1,MATCH(3&amp;$B48,'Gastos com Pessoal'!$I$532:$AJ$532&amp;'Gastos com Pessoal'!$I$6:$AJ$6,0),500,1)),0)+_xlfn.IFNA(SUM((BC$3&gt;='Gastos com Pessoal'!$E$7:$E$506)*(BC$3&lt;='Gastos com Pessoal'!$F$7:$F$506)*(IF('Gastos com Pessoal'!$Y$7:$Y$506&lt;=BC$3,1,0))*OFFSET('Gastos com Pessoal'!$H$6,1,MATCH(4&amp;$B48,'Gastos com Pessoal'!$I$532:$AJ$532&amp;'Gastos com Pessoal'!$I$6:$AJ$6,0),500,1)),0)+_xlfn.IFNA(SUM((BC$3&gt;='Gastos com Pessoal'!$E$7:$E$506)*(BC$3&lt;='Gastos com Pessoal'!$F$7:$F$506)*(IF('Gastos com Pessoal'!$AE$7:$AE$506&lt;=BC$3,1,0))*OFFSET('Gastos com Pessoal'!$H$6,1,MATCH(5&amp;$B48,'Gastos com Pessoal'!$I$532:$AJ$532&amp;'Gastos com Pessoal'!$I$6:$AJ$6,0),500,1)),0)+_xlfn.IFNA(SUM((BC$3&gt;='Gastos com Pessoal'!$E$513:$E$522)*(BC$3&lt;='Gastos com Pessoal'!$F$513:$F$522)*(IF('Gastos com Pessoal'!$G$513:$G$522&lt;=BC$3,1,0))*OFFSET('Gastos com Pessoal'!$H$512,1,MATCH(1&amp;$B48,'Gastos com Pessoal'!$I$532:$AJ$532&amp;'Gastos com Pessoal'!$I$512:$AJ$512,0),10,1)),0)+_xlfn.IFNA(SUM((BC$3&gt;='Gastos com Pessoal'!$E$513:$E$522)*(BC$3&lt;='Gastos com Pessoal'!$F$513:$F$522)*(IF('Gastos com Pessoal'!$M$513:$M$522&lt;=BC$3,1,0))*OFFSET('Gastos com Pessoal'!$H$512,1,MATCH(2&amp;$B48,'Gastos com Pessoal'!$I$532:$AJ$532&amp;'Gastos com Pessoal'!$I$512:$AJ$512,0),10,1)),0)+_xlfn.IFNA(SUM((BC$3&gt;='Gastos com Pessoal'!$E$513:$E$522)*(BC$3&lt;='Gastos com Pessoal'!$F$513:$F$522)*(IF('Gastos com Pessoal'!$S$513:$S$522&lt;=BC$3,1,0))*OFFSET('Gastos com Pessoal'!$H$512,1,MATCH(3&amp;$B48,'Gastos com Pessoal'!$I$532:$AJ$532&amp;'Gastos com Pessoal'!$I$512:$AJ$512,0),10,1)),0)+_xlfn.IFNA(SUM((BC$3&gt;='Gastos com Pessoal'!$E$513:$E$522)*(BC$3&lt;='Gastos com Pessoal'!$F$513:$F$522)*(IF('Gastos com Pessoal'!$Y$513:$Y$522&lt;=BC$3,1,0))*OFFSET('Gastos com Pessoal'!$H$512,1,MATCH(4&amp;$B48,'Gastos com Pessoal'!$I$532:$AJ$532&amp;'Gastos com Pessoal'!$I$512:$AJ$512,0),10,1)),0)+_xlfn.IFNA(SUM((BC$3&gt;='Gastos com Pessoal'!$E$513:$E$522)*(BC$3&lt;='Gastos com Pessoal'!$F$513:$F$522)*(IF('Gastos com Pessoal'!$AE$513:$AE$522&lt;=BC$3,1,0))*OFFSET('Gastos com Pessoal'!$H$512,1,MATCH(5&amp;$B48,'Gastos com Pessoal'!$I$532:$AJ$532&amp;'Gastos com Pessoal'!$I$512:$AJ$512,0),10,1)),0)</f>
        <v>0</v>
      </c>
      <c r="BD48" s="188">
        <f t="array" aca="1" ref="BD48" ca="1">_xlfn.IFNA(SUM((BD$3&gt;='Gastos com Pessoal'!$E$7:$E$506)*(BD$3&lt;='Gastos com Pessoal'!$F$7:$F$506)*OFFSET('Encargos e Benefícios'!$D$5,1,MATCH($B48,'Encargos e Benefícios'!$E$5:$AB$5,0),500,1)),0)+_xlfn.IFNA(SUM((BD$3&gt;='Gastos com Pessoal'!$E$513:$E$522)*(BD$3&lt;='Gastos com Pessoal'!$F$513:$F$522)*OFFSET('Encargos e Benefícios'!$D$511,1,MATCH($B48,'Encargos e Benefícios'!$E$511:$AB$511,0),10,1)),0)+_xlfn.IFNA(SUM((BD$3&gt;='Gastos com Pessoal'!$E$7:$E$506)*(BD$3&lt;='Gastos com Pessoal'!$F$7:$F$506)*(IF('Gastos com Pessoal'!$G$7:$G$506&lt;=BD$3,1,0))*OFFSET('Gastos com Pessoal'!$H$6,1,MATCH(1&amp;$B48,'Gastos com Pessoal'!$I$532:$AJ$532&amp;'Gastos com Pessoal'!$I$6:$AJ$6,0),500,1)),0)+_xlfn.IFNA(SUM((BD$3&gt;='Gastos com Pessoal'!$E$7:$E$506)*(BD$3&lt;='Gastos com Pessoal'!$F$7:$F$506)*(IF('Gastos com Pessoal'!$M$7:$M$506&lt;=BD$3,1,0))*OFFSET('Gastos com Pessoal'!$H$6,1,MATCH(2&amp;$B48,'Gastos com Pessoal'!$I$532:$AJ$532&amp;'Gastos com Pessoal'!$I$6:$AJ$6,0),500,1)),0)+_xlfn.IFNA(SUM((BD$3&gt;='Gastos com Pessoal'!$E$7:$E$506)*(BD$3&lt;='Gastos com Pessoal'!$F$7:$F$506)*(IF('Gastos com Pessoal'!$S$7:$S$506&lt;=BD$3,1,0))*OFFSET('Gastos com Pessoal'!$H$6,1,MATCH(3&amp;$B48,'Gastos com Pessoal'!$I$532:$AJ$532&amp;'Gastos com Pessoal'!$I$6:$AJ$6,0),500,1)),0)+_xlfn.IFNA(SUM((BD$3&gt;='Gastos com Pessoal'!$E$7:$E$506)*(BD$3&lt;='Gastos com Pessoal'!$F$7:$F$506)*(IF('Gastos com Pessoal'!$Y$7:$Y$506&lt;=BD$3,1,0))*OFFSET('Gastos com Pessoal'!$H$6,1,MATCH(4&amp;$B48,'Gastos com Pessoal'!$I$532:$AJ$532&amp;'Gastos com Pessoal'!$I$6:$AJ$6,0),500,1)),0)+_xlfn.IFNA(SUM((BD$3&gt;='Gastos com Pessoal'!$E$7:$E$506)*(BD$3&lt;='Gastos com Pessoal'!$F$7:$F$506)*(IF('Gastos com Pessoal'!$AE$7:$AE$506&lt;=BD$3,1,0))*OFFSET('Gastos com Pessoal'!$H$6,1,MATCH(5&amp;$B48,'Gastos com Pessoal'!$I$532:$AJ$532&amp;'Gastos com Pessoal'!$I$6:$AJ$6,0),500,1)),0)+_xlfn.IFNA(SUM((BD$3&gt;='Gastos com Pessoal'!$E$513:$E$522)*(BD$3&lt;='Gastos com Pessoal'!$F$513:$F$522)*(IF('Gastos com Pessoal'!$G$513:$G$522&lt;=BD$3,1,0))*OFFSET('Gastos com Pessoal'!$H$512,1,MATCH(1&amp;$B48,'Gastos com Pessoal'!$I$532:$AJ$532&amp;'Gastos com Pessoal'!$I$512:$AJ$512,0),10,1)),0)+_xlfn.IFNA(SUM((BD$3&gt;='Gastos com Pessoal'!$E$513:$E$522)*(BD$3&lt;='Gastos com Pessoal'!$F$513:$F$522)*(IF('Gastos com Pessoal'!$M$513:$M$522&lt;=BD$3,1,0))*OFFSET('Gastos com Pessoal'!$H$512,1,MATCH(2&amp;$B48,'Gastos com Pessoal'!$I$532:$AJ$532&amp;'Gastos com Pessoal'!$I$512:$AJ$512,0),10,1)),0)+_xlfn.IFNA(SUM((BD$3&gt;='Gastos com Pessoal'!$E$513:$E$522)*(BD$3&lt;='Gastos com Pessoal'!$F$513:$F$522)*(IF('Gastos com Pessoal'!$S$513:$S$522&lt;=BD$3,1,0))*OFFSET('Gastos com Pessoal'!$H$512,1,MATCH(3&amp;$B48,'Gastos com Pessoal'!$I$532:$AJ$532&amp;'Gastos com Pessoal'!$I$512:$AJ$512,0),10,1)),0)+_xlfn.IFNA(SUM((BD$3&gt;='Gastos com Pessoal'!$E$513:$E$522)*(BD$3&lt;='Gastos com Pessoal'!$F$513:$F$522)*(IF('Gastos com Pessoal'!$Y$513:$Y$522&lt;=BD$3,1,0))*OFFSET('Gastos com Pessoal'!$H$512,1,MATCH(4&amp;$B48,'Gastos com Pessoal'!$I$532:$AJ$532&amp;'Gastos com Pessoal'!$I$512:$AJ$512,0),10,1)),0)+_xlfn.IFNA(SUM((BD$3&gt;='Gastos com Pessoal'!$E$513:$E$522)*(BD$3&lt;='Gastos com Pessoal'!$F$513:$F$522)*(IF('Gastos com Pessoal'!$AE$513:$AE$522&lt;=BD$3,1,0))*OFFSET('Gastos com Pessoal'!$H$512,1,MATCH(5&amp;$B48,'Gastos com Pessoal'!$I$532:$AJ$532&amp;'Gastos com Pessoal'!$I$512:$AJ$512,0),10,1)),0)</f>
        <v>0</v>
      </c>
      <c r="BE48" s="188">
        <f t="array" aca="1" ref="BE48" ca="1">_xlfn.IFNA(SUM((BE$3&gt;='Gastos com Pessoal'!$E$7:$E$506)*(BE$3&lt;='Gastos com Pessoal'!$F$7:$F$506)*OFFSET('Encargos e Benefícios'!$D$5,1,MATCH($B48,'Encargos e Benefícios'!$E$5:$AB$5,0),500,1)),0)+_xlfn.IFNA(SUM((BE$3&gt;='Gastos com Pessoal'!$E$513:$E$522)*(BE$3&lt;='Gastos com Pessoal'!$F$513:$F$522)*OFFSET('Encargos e Benefícios'!$D$511,1,MATCH($B48,'Encargos e Benefícios'!$E$511:$AB$511,0),10,1)),0)+_xlfn.IFNA(SUM((BE$3&gt;='Gastos com Pessoal'!$E$7:$E$506)*(BE$3&lt;='Gastos com Pessoal'!$F$7:$F$506)*(IF('Gastos com Pessoal'!$G$7:$G$506&lt;=BE$3,1,0))*OFFSET('Gastos com Pessoal'!$H$6,1,MATCH(1&amp;$B48,'Gastos com Pessoal'!$I$532:$AJ$532&amp;'Gastos com Pessoal'!$I$6:$AJ$6,0),500,1)),0)+_xlfn.IFNA(SUM((BE$3&gt;='Gastos com Pessoal'!$E$7:$E$506)*(BE$3&lt;='Gastos com Pessoal'!$F$7:$F$506)*(IF('Gastos com Pessoal'!$M$7:$M$506&lt;=BE$3,1,0))*OFFSET('Gastos com Pessoal'!$H$6,1,MATCH(2&amp;$B48,'Gastos com Pessoal'!$I$532:$AJ$532&amp;'Gastos com Pessoal'!$I$6:$AJ$6,0),500,1)),0)+_xlfn.IFNA(SUM((BE$3&gt;='Gastos com Pessoal'!$E$7:$E$506)*(BE$3&lt;='Gastos com Pessoal'!$F$7:$F$506)*(IF('Gastos com Pessoal'!$S$7:$S$506&lt;=BE$3,1,0))*OFFSET('Gastos com Pessoal'!$H$6,1,MATCH(3&amp;$B48,'Gastos com Pessoal'!$I$532:$AJ$532&amp;'Gastos com Pessoal'!$I$6:$AJ$6,0),500,1)),0)+_xlfn.IFNA(SUM((BE$3&gt;='Gastos com Pessoal'!$E$7:$E$506)*(BE$3&lt;='Gastos com Pessoal'!$F$7:$F$506)*(IF('Gastos com Pessoal'!$Y$7:$Y$506&lt;=BE$3,1,0))*OFFSET('Gastos com Pessoal'!$H$6,1,MATCH(4&amp;$B48,'Gastos com Pessoal'!$I$532:$AJ$532&amp;'Gastos com Pessoal'!$I$6:$AJ$6,0),500,1)),0)+_xlfn.IFNA(SUM((BE$3&gt;='Gastos com Pessoal'!$E$7:$E$506)*(BE$3&lt;='Gastos com Pessoal'!$F$7:$F$506)*(IF('Gastos com Pessoal'!$AE$7:$AE$506&lt;=BE$3,1,0))*OFFSET('Gastos com Pessoal'!$H$6,1,MATCH(5&amp;$B48,'Gastos com Pessoal'!$I$532:$AJ$532&amp;'Gastos com Pessoal'!$I$6:$AJ$6,0),500,1)),0)+_xlfn.IFNA(SUM((BE$3&gt;='Gastos com Pessoal'!$E$513:$E$522)*(BE$3&lt;='Gastos com Pessoal'!$F$513:$F$522)*(IF('Gastos com Pessoal'!$G$513:$G$522&lt;=BE$3,1,0))*OFFSET('Gastos com Pessoal'!$H$512,1,MATCH(1&amp;$B48,'Gastos com Pessoal'!$I$532:$AJ$532&amp;'Gastos com Pessoal'!$I$512:$AJ$512,0),10,1)),0)+_xlfn.IFNA(SUM((BE$3&gt;='Gastos com Pessoal'!$E$513:$E$522)*(BE$3&lt;='Gastos com Pessoal'!$F$513:$F$522)*(IF('Gastos com Pessoal'!$M$513:$M$522&lt;=BE$3,1,0))*OFFSET('Gastos com Pessoal'!$H$512,1,MATCH(2&amp;$B48,'Gastos com Pessoal'!$I$532:$AJ$532&amp;'Gastos com Pessoal'!$I$512:$AJ$512,0),10,1)),0)+_xlfn.IFNA(SUM((BE$3&gt;='Gastos com Pessoal'!$E$513:$E$522)*(BE$3&lt;='Gastos com Pessoal'!$F$513:$F$522)*(IF('Gastos com Pessoal'!$S$513:$S$522&lt;=BE$3,1,0))*OFFSET('Gastos com Pessoal'!$H$512,1,MATCH(3&amp;$B48,'Gastos com Pessoal'!$I$532:$AJ$532&amp;'Gastos com Pessoal'!$I$512:$AJ$512,0),10,1)),0)+_xlfn.IFNA(SUM((BE$3&gt;='Gastos com Pessoal'!$E$513:$E$522)*(BE$3&lt;='Gastos com Pessoal'!$F$513:$F$522)*(IF('Gastos com Pessoal'!$Y$513:$Y$522&lt;=BE$3,1,0))*OFFSET('Gastos com Pessoal'!$H$512,1,MATCH(4&amp;$B48,'Gastos com Pessoal'!$I$532:$AJ$532&amp;'Gastos com Pessoal'!$I$512:$AJ$512,0),10,1)),0)+_xlfn.IFNA(SUM((BE$3&gt;='Gastos com Pessoal'!$E$513:$E$522)*(BE$3&lt;='Gastos com Pessoal'!$F$513:$F$522)*(IF('Gastos com Pessoal'!$AE$513:$AE$522&lt;=BE$3,1,0))*OFFSET('Gastos com Pessoal'!$H$512,1,MATCH(5&amp;$B48,'Gastos com Pessoal'!$I$532:$AJ$532&amp;'Gastos com Pessoal'!$I$512:$AJ$512,0),10,1)),0)</f>
        <v>0</v>
      </c>
      <c r="BF48" s="188">
        <f t="array" aca="1" ref="BF48" ca="1">_xlfn.IFNA(SUM((BF$3&gt;='Gastos com Pessoal'!$E$7:$E$506)*(BF$3&lt;='Gastos com Pessoal'!$F$7:$F$506)*OFFSET('Encargos e Benefícios'!$D$5,1,MATCH($B48,'Encargos e Benefícios'!$E$5:$AB$5,0),500,1)),0)+_xlfn.IFNA(SUM((BF$3&gt;='Gastos com Pessoal'!$E$513:$E$522)*(BF$3&lt;='Gastos com Pessoal'!$F$513:$F$522)*OFFSET('Encargos e Benefícios'!$D$511,1,MATCH($B48,'Encargos e Benefícios'!$E$511:$AB$511,0),10,1)),0)+_xlfn.IFNA(SUM((BF$3&gt;='Gastos com Pessoal'!$E$7:$E$506)*(BF$3&lt;='Gastos com Pessoal'!$F$7:$F$506)*(IF('Gastos com Pessoal'!$G$7:$G$506&lt;=BF$3,1,0))*OFFSET('Gastos com Pessoal'!$H$6,1,MATCH(1&amp;$B48,'Gastos com Pessoal'!$I$532:$AJ$532&amp;'Gastos com Pessoal'!$I$6:$AJ$6,0),500,1)),0)+_xlfn.IFNA(SUM((BF$3&gt;='Gastos com Pessoal'!$E$7:$E$506)*(BF$3&lt;='Gastos com Pessoal'!$F$7:$F$506)*(IF('Gastos com Pessoal'!$M$7:$M$506&lt;=BF$3,1,0))*OFFSET('Gastos com Pessoal'!$H$6,1,MATCH(2&amp;$B48,'Gastos com Pessoal'!$I$532:$AJ$532&amp;'Gastos com Pessoal'!$I$6:$AJ$6,0),500,1)),0)+_xlfn.IFNA(SUM((BF$3&gt;='Gastos com Pessoal'!$E$7:$E$506)*(BF$3&lt;='Gastos com Pessoal'!$F$7:$F$506)*(IF('Gastos com Pessoal'!$S$7:$S$506&lt;=BF$3,1,0))*OFFSET('Gastos com Pessoal'!$H$6,1,MATCH(3&amp;$B48,'Gastos com Pessoal'!$I$532:$AJ$532&amp;'Gastos com Pessoal'!$I$6:$AJ$6,0),500,1)),0)+_xlfn.IFNA(SUM((BF$3&gt;='Gastos com Pessoal'!$E$7:$E$506)*(BF$3&lt;='Gastos com Pessoal'!$F$7:$F$506)*(IF('Gastos com Pessoal'!$Y$7:$Y$506&lt;=BF$3,1,0))*OFFSET('Gastos com Pessoal'!$H$6,1,MATCH(4&amp;$B48,'Gastos com Pessoal'!$I$532:$AJ$532&amp;'Gastos com Pessoal'!$I$6:$AJ$6,0),500,1)),0)+_xlfn.IFNA(SUM((BF$3&gt;='Gastos com Pessoal'!$E$7:$E$506)*(BF$3&lt;='Gastos com Pessoal'!$F$7:$F$506)*(IF('Gastos com Pessoal'!$AE$7:$AE$506&lt;=BF$3,1,0))*OFFSET('Gastos com Pessoal'!$H$6,1,MATCH(5&amp;$B48,'Gastos com Pessoal'!$I$532:$AJ$532&amp;'Gastos com Pessoal'!$I$6:$AJ$6,0),500,1)),0)+_xlfn.IFNA(SUM((BF$3&gt;='Gastos com Pessoal'!$E$513:$E$522)*(BF$3&lt;='Gastos com Pessoal'!$F$513:$F$522)*(IF('Gastos com Pessoal'!$G$513:$G$522&lt;=BF$3,1,0))*OFFSET('Gastos com Pessoal'!$H$512,1,MATCH(1&amp;$B48,'Gastos com Pessoal'!$I$532:$AJ$532&amp;'Gastos com Pessoal'!$I$512:$AJ$512,0),10,1)),0)+_xlfn.IFNA(SUM((BF$3&gt;='Gastos com Pessoal'!$E$513:$E$522)*(BF$3&lt;='Gastos com Pessoal'!$F$513:$F$522)*(IF('Gastos com Pessoal'!$M$513:$M$522&lt;=BF$3,1,0))*OFFSET('Gastos com Pessoal'!$H$512,1,MATCH(2&amp;$B48,'Gastos com Pessoal'!$I$532:$AJ$532&amp;'Gastos com Pessoal'!$I$512:$AJ$512,0),10,1)),0)+_xlfn.IFNA(SUM((BF$3&gt;='Gastos com Pessoal'!$E$513:$E$522)*(BF$3&lt;='Gastos com Pessoal'!$F$513:$F$522)*(IF('Gastos com Pessoal'!$S$513:$S$522&lt;=BF$3,1,0))*OFFSET('Gastos com Pessoal'!$H$512,1,MATCH(3&amp;$B48,'Gastos com Pessoal'!$I$532:$AJ$532&amp;'Gastos com Pessoal'!$I$512:$AJ$512,0),10,1)),0)+_xlfn.IFNA(SUM((BF$3&gt;='Gastos com Pessoal'!$E$513:$E$522)*(BF$3&lt;='Gastos com Pessoal'!$F$513:$F$522)*(IF('Gastos com Pessoal'!$Y$513:$Y$522&lt;=BF$3,1,0))*OFFSET('Gastos com Pessoal'!$H$512,1,MATCH(4&amp;$B48,'Gastos com Pessoal'!$I$532:$AJ$532&amp;'Gastos com Pessoal'!$I$512:$AJ$512,0),10,1)),0)+_xlfn.IFNA(SUM((BF$3&gt;='Gastos com Pessoal'!$E$513:$E$522)*(BF$3&lt;='Gastos com Pessoal'!$F$513:$F$522)*(IF('Gastos com Pessoal'!$AE$513:$AE$522&lt;=BF$3,1,0))*OFFSET('Gastos com Pessoal'!$H$512,1,MATCH(5&amp;$B48,'Gastos com Pessoal'!$I$532:$AJ$532&amp;'Gastos com Pessoal'!$I$512:$AJ$512,0),10,1)),0)</f>
        <v>0</v>
      </c>
      <c r="BG48" s="188">
        <f t="array" aca="1" ref="BG48" ca="1">_xlfn.IFNA(SUM((BG$3&gt;='Gastos com Pessoal'!$E$7:$E$506)*(BG$3&lt;='Gastos com Pessoal'!$F$7:$F$506)*OFFSET('Encargos e Benefícios'!$D$5,1,MATCH($B48,'Encargos e Benefícios'!$E$5:$AB$5,0),500,1)),0)+_xlfn.IFNA(SUM((BG$3&gt;='Gastos com Pessoal'!$E$513:$E$522)*(BG$3&lt;='Gastos com Pessoal'!$F$513:$F$522)*OFFSET('Encargos e Benefícios'!$D$511,1,MATCH($B48,'Encargos e Benefícios'!$E$511:$AB$511,0),10,1)),0)+_xlfn.IFNA(SUM((BG$3&gt;='Gastos com Pessoal'!$E$7:$E$506)*(BG$3&lt;='Gastos com Pessoal'!$F$7:$F$506)*(IF('Gastos com Pessoal'!$G$7:$G$506&lt;=BG$3,1,0))*OFFSET('Gastos com Pessoal'!$H$6,1,MATCH(1&amp;$B48,'Gastos com Pessoal'!$I$532:$AJ$532&amp;'Gastos com Pessoal'!$I$6:$AJ$6,0),500,1)),0)+_xlfn.IFNA(SUM((BG$3&gt;='Gastos com Pessoal'!$E$7:$E$506)*(BG$3&lt;='Gastos com Pessoal'!$F$7:$F$506)*(IF('Gastos com Pessoal'!$M$7:$M$506&lt;=BG$3,1,0))*OFFSET('Gastos com Pessoal'!$H$6,1,MATCH(2&amp;$B48,'Gastos com Pessoal'!$I$532:$AJ$532&amp;'Gastos com Pessoal'!$I$6:$AJ$6,0),500,1)),0)+_xlfn.IFNA(SUM((BG$3&gt;='Gastos com Pessoal'!$E$7:$E$506)*(BG$3&lt;='Gastos com Pessoal'!$F$7:$F$506)*(IF('Gastos com Pessoal'!$S$7:$S$506&lt;=BG$3,1,0))*OFFSET('Gastos com Pessoal'!$H$6,1,MATCH(3&amp;$B48,'Gastos com Pessoal'!$I$532:$AJ$532&amp;'Gastos com Pessoal'!$I$6:$AJ$6,0),500,1)),0)+_xlfn.IFNA(SUM((BG$3&gt;='Gastos com Pessoal'!$E$7:$E$506)*(BG$3&lt;='Gastos com Pessoal'!$F$7:$F$506)*(IF('Gastos com Pessoal'!$Y$7:$Y$506&lt;=BG$3,1,0))*OFFSET('Gastos com Pessoal'!$H$6,1,MATCH(4&amp;$B48,'Gastos com Pessoal'!$I$532:$AJ$532&amp;'Gastos com Pessoal'!$I$6:$AJ$6,0),500,1)),0)+_xlfn.IFNA(SUM((BG$3&gt;='Gastos com Pessoal'!$E$7:$E$506)*(BG$3&lt;='Gastos com Pessoal'!$F$7:$F$506)*(IF('Gastos com Pessoal'!$AE$7:$AE$506&lt;=BG$3,1,0))*OFFSET('Gastos com Pessoal'!$H$6,1,MATCH(5&amp;$B48,'Gastos com Pessoal'!$I$532:$AJ$532&amp;'Gastos com Pessoal'!$I$6:$AJ$6,0),500,1)),0)+_xlfn.IFNA(SUM((BG$3&gt;='Gastos com Pessoal'!$E$513:$E$522)*(BG$3&lt;='Gastos com Pessoal'!$F$513:$F$522)*(IF('Gastos com Pessoal'!$G$513:$G$522&lt;=BG$3,1,0))*OFFSET('Gastos com Pessoal'!$H$512,1,MATCH(1&amp;$B48,'Gastos com Pessoal'!$I$532:$AJ$532&amp;'Gastos com Pessoal'!$I$512:$AJ$512,0),10,1)),0)+_xlfn.IFNA(SUM((BG$3&gt;='Gastos com Pessoal'!$E$513:$E$522)*(BG$3&lt;='Gastos com Pessoal'!$F$513:$F$522)*(IF('Gastos com Pessoal'!$M$513:$M$522&lt;=BG$3,1,0))*OFFSET('Gastos com Pessoal'!$H$512,1,MATCH(2&amp;$B48,'Gastos com Pessoal'!$I$532:$AJ$532&amp;'Gastos com Pessoal'!$I$512:$AJ$512,0),10,1)),0)+_xlfn.IFNA(SUM((BG$3&gt;='Gastos com Pessoal'!$E$513:$E$522)*(BG$3&lt;='Gastos com Pessoal'!$F$513:$F$522)*(IF('Gastos com Pessoal'!$S$513:$S$522&lt;=BG$3,1,0))*OFFSET('Gastos com Pessoal'!$H$512,1,MATCH(3&amp;$B48,'Gastos com Pessoal'!$I$532:$AJ$532&amp;'Gastos com Pessoal'!$I$512:$AJ$512,0),10,1)),0)+_xlfn.IFNA(SUM((BG$3&gt;='Gastos com Pessoal'!$E$513:$E$522)*(BG$3&lt;='Gastos com Pessoal'!$F$513:$F$522)*(IF('Gastos com Pessoal'!$Y$513:$Y$522&lt;=BG$3,1,0))*OFFSET('Gastos com Pessoal'!$H$512,1,MATCH(4&amp;$B48,'Gastos com Pessoal'!$I$532:$AJ$532&amp;'Gastos com Pessoal'!$I$512:$AJ$512,0),10,1)),0)+_xlfn.IFNA(SUM((BG$3&gt;='Gastos com Pessoal'!$E$513:$E$522)*(BG$3&lt;='Gastos com Pessoal'!$F$513:$F$522)*(IF('Gastos com Pessoal'!$AE$513:$AE$522&lt;=BG$3,1,0))*OFFSET('Gastos com Pessoal'!$H$512,1,MATCH(5&amp;$B48,'Gastos com Pessoal'!$I$532:$AJ$532&amp;'Gastos com Pessoal'!$I$512:$AJ$512,0),10,1)),0)</f>
        <v>0</v>
      </c>
      <c r="BH48" s="188">
        <f t="array" aca="1" ref="BH48" ca="1">_xlfn.IFNA(SUM((BH$3&gt;='Gastos com Pessoal'!$E$7:$E$506)*(BH$3&lt;='Gastos com Pessoal'!$F$7:$F$506)*OFFSET('Encargos e Benefícios'!$D$5,1,MATCH($B48,'Encargos e Benefícios'!$E$5:$AB$5,0),500,1)),0)+_xlfn.IFNA(SUM((BH$3&gt;='Gastos com Pessoal'!$E$513:$E$522)*(BH$3&lt;='Gastos com Pessoal'!$F$513:$F$522)*OFFSET('Encargos e Benefícios'!$D$511,1,MATCH($B48,'Encargos e Benefícios'!$E$511:$AB$511,0),10,1)),0)+_xlfn.IFNA(SUM((BH$3&gt;='Gastos com Pessoal'!$E$7:$E$506)*(BH$3&lt;='Gastos com Pessoal'!$F$7:$F$506)*(IF('Gastos com Pessoal'!$G$7:$G$506&lt;=BH$3,1,0))*OFFSET('Gastos com Pessoal'!$H$6,1,MATCH(1&amp;$B48,'Gastos com Pessoal'!$I$532:$AJ$532&amp;'Gastos com Pessoal'!$I$6:$AJ$6,0),500,1)),0)+_xlfn.IFNA(SUM((BH$3&gt;='Gastos com Pessoal'!$E$7:$E$506)*(BH$3&lt;='Gastos com Pessoal'!$F$7:$F$506)*(IF('Gastos com Pessoal'!$M$7:$M$506&lt;=BH$3,1,0))*OFFSET('Gastos com Pessoal'!$H$6,1,MATCH(2&amp;$B48,'Gastos com Pessoal'!$I$532:$AJ$532&amp;'Gastos com Pessoal'!$I$6:$AJ$6,0),500,1)),0)+_xlfn.IFNA(SUM((BH$3&gt;='Gastos com Pessoal'!$E$7:$E$506)*(BH$3&lt;='Gastos com Pessoal'!$F$7:$F$506)*(IF('Gastos com Pessoal'!$S$7:$S$506&lt;=BH$3,1,0))*OFFSET('Gastos com Pessoal'!$H$6,1,MATCH(3&amp;$B48,'Gastos com Pessoal'!$I$532:$AJ$532&amp;'Gastos com Pessoal'!$I$6:$AJ$6,0),500,1)),0)+_xlfn.IFNA(SUM((BH$3&gt;='Gastos com Pessoal'!$E$7:$E$506)*(BH$3&lt;='Gastos com Pessoal'!$F$7:$F$506)*(IF('Gastos com Pessoal'!$Y$7:$Y$506&lt;=BH$3,1,0))*OFFSET('Gastos com Pessoal'!$H$6,1,MATCH(4&amp;$B48,'Gastos com Pessoal'!$I$532:$AJ$532&amp;'Gastos com Pessoal'!$I$6:$AJ$6,0),500,1)),0)+_xlfn.IFNA(SUM((BH$3&gt;='Gastos com Pessoal'!$E$7:$E$506)*(BH$3&lt;='Gastos com Pessoal'!$F$7:$F$506)*(IF('Gastos com Pessoal'!$AE$7:$AE$506&lt;=BH$3,1,0))*OFFSET('Gastos com Pessoal'!$H$6,1,MATCH(5&amp;$B48,'Gastos com Pessoal'!$I$532:$AJ$532&amp;'Gastos com Pessoal'!$I$6:$AJ$6,0),500,1)),0)+_xlfn.IFNA(SUM((BH$3&gt;='Gastos com Pessoal'!$E$513:$E$522)*(BH$3&lt;='Gastos com Pessoal'!$F$513:$F$522)*(IF('Gastos com Pessoal'!$G$513:$G$522&lt;=BH$3,1,0))*OFFSET('Gastos com Pessoal'!$H$512,1,MATCH(1&amp;$B48,'Gastos com Pessoal'!$I$532:$AJ$532&amp;'Gastos com Pessoal'!$I$512:$AJ$512,0),10,1)),0)+_xlfn.IFNA(SUM((BH$3&gt;='Gastos com Pessoal'!$E$513:$E$522)*(BH$3&lt;='Gastos com Pessoal'!$F$513:$F$522)*(IF('Gastos com Pessoal'!$M$513:$M$522&lt;=BH$3,1,0))*OFFSET('Gastos com Pessoal'!$H$512,1,MATCH(2&amp;$B48,'Gastos com Pessoal'!$I$532:$AJ$532&amp;'Gastos com Pessoal'!$I$512:$AJ$512,0),10,1)),0)+_xlfn.IFNA(SUM((BH$3&gt;='Gastos com Pessoal'!$E$513:$E$522)*(BH$3&lt;='Gastos com Pessoal'!$F$513:$F$522)*(IF('Gastos com Pessoal'!$S$513:$S$522&lt;=BH$3,1,0))*OFFSET('Gastos com Pessoal'!$H$512,1,MATCH(3&amp;$B48,'Gastos com Pessoal'!$I$532:$AJ$532&amp;'Gastos com Pessoal'!$I$512:$AJ$512,0),10,1)),0)+_xlfn.IFNA(SUM((BH$3&gt;='Gastos com Pessoal'!$E$513:$E$522)*(BH$3&lt;='Gastos com Pessoal'!$F$513:$F$522)*(IF('Gastos com Pessoal'!$Y$513:$Y$522&lt;=BH$3,1,0))*OFFSET('Gastos com Pessoal'!$H$512,1,MATCH(4&amp;$B48,'Gastos com Pessoal'!$I$532:$AJ$532&amp;'Gastos com Pessoal'!$I$512:$AJ$512,0),10,1)),0)+_xlfn.IFNA(SUM((BH$3&gt;='Gastos com Pessoal'!$E$513:$E$522)*(BH$3&lt;='Gastos com Pessoal'!$F$513:$F$522)*(IF('Gastos com Pessoal'!$AE$513:$AE$522&lt;=BH$3,1,0))*OFFSET('Gastos com Pessoal'!$H$512,1,MATCH(5&amp;$B48,'Gastos com Pessoal'!$I$532:$AJ$532&amp;'Gastos com Pessoal'!$I$512:$AJ$512,0),10,1)),0)</f>
        <v>0</v>
      </c>
      <c r="BI48" s="188">
        <f t="array" aca="1" ref="BI48" ca="1">_xlfn.IFNA(SUM((BI$3&gt;='Gastos com Pessoal'!$E$7:$E$506)*(BI$3&lt;='Gastos com Pessoal'!$F$7:$F$506)*OFFSET('Encargos e Benefícios'!$D$5,1,MATCH($B48,'Encargos e Benefícios'!$E$5:$AB$5,0),500,1)),0)+_xlfn.IFNA(SUM((BI$3&gt;='Gastos com Pessoal'!$E$513:$E$522)*(BI$3&lt;='Gastos com Pessoal'!$F$513:$F$522)*OFFSET('Encargos e Benefícios'!$D$511,1,MATCH($B48,'Encargos e Benefícios'!$E$511:$AB$511,0),10,1)),0)+_xlfn.IFNA(SUM((BI$3&gt;='Gastos com Pessoal'!$E$7:$E$506)*(BI$3&lt;='Gastos com Pessoal'!$F$7:$F$506)*(IF('Gastos com Pessoal'!$G$7:$G$506&lt;=BI$3,1,0))*OFFSET('Gastos com Pessoal'!$H$6,1,MATCH(1&amp;$B48,'Gastos com Pessoal'!$I$532:$AJ$532&amp;'Gastos com Pessoal'!$I$6:$AJ$6,0),500,1)),0)+_xlfn.IFNA(SUM((BI$3&gt;='Gastos com Pessoal'!$E$7:$E$506)*(BI$3&lt;='Gastos com Pessoal'!$F$7:$F$506)*(IF('Gastos com Pessoal'!$M$7:$M$506&lt;=BI$3,1,0))*OFFSET('Gastos com Pessoal'!$H$6,1,MATCH(2&amp;$B48,'Gastos com Pessoal'!$I$532:$AJ$532&amp;'Gastos com Pessoal'!$I$6:$AJ$6,0),500,1)),0)+_xlfn.IFNA(SUM((BI$3&gt;='Gastos com Pessoal'!$E$7:$E$506)*(BI$3&lt;='Gastos com Pessoal'!$F$7:$F$506)*(IF('Gastos com Pessoal'!$S$7:$S$506&lt;=BI$3,1,0))*OFFSET('Gastos com Pessoal'!$H$6,1,MATCH(3&amp;$B48,'Gastos com Pessoal'!$I$532:$AJ$532&amp;'Gastos com Pessoal'!$I$6:$AJ$6,0),500,1)),0)+_xlfn.IFNA(SUM((BI$3&gt;='Gastos com Pessoal'!$E$7:$E$506)*(BI$3&lt;='Gastos com Pessoal'!$F$7:$F$506)*(IF('Gastos com Pessoal'!$Y$7:$Y$506&lt;=BI$3,1,0))*OFFSET('Gastos com Pessoal'!$H$6,1,MATCH(4&amp;$B48,'Gastos com Pessoal'!$I$532:$AJ$532&amp;'Gastos com Pessoal'!$I$6:$AJ$6,0),500,1)),0)+_xlfn.IFNA(SUM((BI$3&gt;='Gastos com Pessoal'!$E$7:$E$506)*(BI$3&lt;='Gastos com Pessoal'!$F$7:$F$506)*(IF('Gastos com Pessoal'!$AE$7:$AE$506&lt;=BI$3,1,0))*OFFSET('Gastos com Pessoal'!$H$6,1,MATCH(5&amp;$B48,'Gastos com Pessoal'!$I$532:$AJ$532&amp;'Gastos com Pessoal'!$I$6:$AJ$6,0),500,1)),0)+_xlfn.IFNA(SUM((BI$3&gt;='Gastos com Pessoal'!$E$513:$E$522)*(BI$3&lt;='Gastos com Pessoal'!$F$513:$F$522)*(IF('Gastos com Pessoal'!$G$513:$G$522&lt;=BI$3,1,0))*OFFSET('Gastos com Pessoal'!$H$512,1,MATCH(1&amp;$B48,'Gastos com Pessoal'!$I$532:$AJ$532&amp;'Gastos com Pessoal'!$I$512:$AJ$512,0),10,1)),0)+_xlfn.IFNA(SUM((BI$3&gt;='Gastos com Pessoal'!$E$513:$E$522)*(BI$3&lt;='Gastos com Pessoal'!$F$513:$F$522)*(IF('Gastos com Pessoal'!$M$513:$M$522&lt;=BI$3,1,0))*OFFSET('Gastos com Pessoal'!$H$512,1,MATCH(2&amp;$B48,'Gastos com Pessoal'!$I$532:$AJ$532&amp;'Gastos com Pessoal'!$I$512:$AJ$512,0),10,1)),0)+_xlfn.IFNA(SUM((BI$3&gt;='Gastos com Pessoal'!$E$513:$E$522)*(BI$3&lt;='Gastos com Pessoal'!$F$513:$F$522)*(IF('Gastos com Pessoal'!$S$513:$S$522&lt;=BI$3,1,0))*OFFSET('Gastos com Pessoal'!$H$512,1,MATCH(3&amp;$B48,'Gastos com Pessoal'!$I$532:$AJ$532&amp;'Gastos com Pessoal'!$I$512:$AJ$512,0),10,1)),0)+_xlfn.IFNA(SUM((BI$3&gt;='Gastos com Pessoal'!$E$513:$E$522)*(BI$3&lt;='Gastos com Pessoal'!$F$513:$F$522)*(IF('Gastos com Pessoal'!$Y$513:$Y$522&lt;=BI$3,1,0))*OFFSET('Gastos com Pessoal'!$H$512,1,MATCH(4&amp;$B48,'Gastos com Pessoal'!$I$532:$AJ$532&amp;'Gastos com Pessoal'!$I$512:$AJ$512,0),10,1)),0)+_xlfn.IFNA(SUM((BI$3&gt;='Gastos com Pessoal'!$E$513:$E$522)*(BI$3&lt;='Gastos com Pessoal'!$F$513:$F$522)*(IF('Gastos com Pessoal'!$AE$513:$AE$522&lt;=BI$3,1,0))*OFFSET('Gastos com Pessoal'!$H$512,1,MATCH(5&amp;$B48,'Gastos com Pessoal'!$I$532:$AJ$532&amp;'Gastos com Pessoal'!$I$512:$AJ$512,0),10,1)),0)</f>
        <v>0</v>
      </c>
      <c r="BJ48" s="188">
        <f t="array" aca="1" ref="BJ48" ca="1">_xlfn.IFNA(SUM((BJ$3&gt;='Gastos com Pessoal'!$E$7:$E$506)*(BJ$3&lt;='Gastos com Pessoal'!$F$7:$F$506)*OFFSET('Encargos e Benefícios'!$D$5,1,MATCH($B48,'Encargos e Benefícios'!$E$5:$AB$5,0),500,1)),0)+_xlfn.IFNA(SUM((BJ$3&gt;='Gastos com Pessoal'!$E$513:$E$522)*(BJ$3&lt;='Gastos com Pessoal'!$F$513:$F$522)*OFFSET('Encargos e Benefícios'!$D$511,1,MATCH($B48,'Encargos e Benefícios'!$E$511:$AB$511,0),10,1)),0)+_xlfn.IFNA(SUM((BJ$3&gt;='Gastos com Pessoal'!$E$7:$E$506)*(BJ$3&lt;='Gastos com Pessoal'!$F$7:$F$506)*(IF('Gastos com Pessoal'!$G$7:$G$506&lt;=BJ$3,1,0))*OFFSET('Gastos com Pessoal'!$H$6,1,MATCH(1&amp;$B48,'Gastos com Pessoal'!$I$532:$AJ$532&amp;'Gastos com Pessoal'!$I$6:$AJ$6,0),500,1)),0)+_xlfn.IFNA(SUM((BJ$3&gt;='Gastos com Pessoal'!$E$7:$E$506)*(BJ$3&lt;='Gastos com Pessoal'!$F$7:$F$506)*(IF('Gastos com Pessoal'!$M$7:$M$506&lt;=BJ$3,1,0))*OFFSET('Gastos com Pessoal'!$H$6,1,MATCH(2&amp;$B48,'Gastos com Pessoal'!$I$532:$AJ$532&amp;'Gastos com Pessoal'!$I$6:$AJ$6,0),500,1)),0)+_xlfn.IFNA(SUM((BJ$3&gt;='Gastos com Pessoal'!$E$7:$E$506)*(BJ$3&lt;='Gastos com Pessoal'!$F$7:$F$506)*(IF('Gastos com Pessoal'!$S$7:$S$506&lt;=BJ$3,1,0))*OFFSET('Gastos com Pessoal'!$H$6,1,MATCH(3&amp;$B48,'Gastos com Pessoal'!$I$532:$AJ$532&amp;'Gastos com Pessoal'!$I$6:$AJ$6,0),500,1)),0)+_xlfn.IFNA(SUM((BJ$3&gt;='Gastos com Pessoal'!$E$7:$E$506)*(BJ$3&lt;='Gastos com Pessoal'!$F$7:$F$506)*(IF('Gastos com Pessoal'!$Y$7:$Y$506&lt;=BJ$3,1,0))*OFFSET('Gastos com Pessoal'!$H$6,1,MATCH(4&amp;$B48,'Gastos com Pessoal'!$I$532:$AJ$532&amp;'Gastos com Pessoal'!$I$6:$AJ$6,0),500,1)),0)+_xlfn.IFNA(SUM((BJ$3&gt;='Gastos com Pessoal'!$E$7:$E$506)*(BJ$3&lt;='Gastos com Pessoal'!$F$7:$F$506)*(IF('Gastos com Pessoal'!$AE$7:$AE$506&lt;=BJ$3,1,0))*OFFSET('Gastos com Pessoal'!$H$6,1,MATCH(5&amp;$B48,'Gastos com Pessoal'!$I$532:$AJ$532&amp;'Gastos com Pessoal'!$I$6:$AJ$6,0),500,1)),0)+_xlfn.IFNA(SUM((BJ$3&gt;='Gastos com Pessoal'!$E$513:$E$522)*(BJ$3&lt;='Gastos com Pessoal'!$F$513:$F$522)*(IF('Gastos com Pessoal'!$G$513:$G$522&lt;=BJ$3,1,0))*OFFSET('Gastos com Pessoal'!$H$512,1,MATCH(1&amp;$B48,'Gastos com Pessoal'!$I$532:$AJ$532&amp;'Gastos com Pessoal'!$I$512:$AJ$512,0),10,1)),0)+_xlfn.IFNA(SUM((BJ$3&gt;='Gastos com Pessoal'!$E$513:$E$522)*(BJ$3&lt;='Gastos com Pessoal'!$F$513:$F$522)*(IF('Gastos com Pessoal'!$M$513:$M$522&lt;=BJ$3,1,0))*OFFSET('Gastos com Pessoal'!$H$512,1,MATCH(2&amp;$B48,'Gastos com Pessoal'!$I$532:$AJ$532&amp;'Gastos com Pessoal'!$I$512:$AJ$512,0),10,1)),0)+_xlfn.IFNA(SUM((BJ$3&gt;='Gastos com Pessoal'!$E$513:$E$522)*(BJ$3&lt;='Gastos com Pessoal'!$F$513:$F$522)*(IF('Gastos com Pessoal'!$S$513:$S$522&lt;=BJ$3,1,0))*OFFSET('Gastos com Pessoal'!$H$512,1,MATCH(3&amp;$B48,'Gastos com Pessoal'!$I$532:$AJ$532&amp;'Gastos com Pessoal'!$I$512:$AJ$512,0),10,1)),0)+_xlfn.IFNA(SUM((BJ$3&gt;='Gastos com Pessoal'!$E$513:$E$522)*(BJ$3&lt;='Gastos com Pessoal'!$F$513:$F$522)*(IF('Gastos com Pessoal'!$Y$513:$Y$522&lt;=BJ$3,1,0))*OFFSET('Gastos com Pessoal'!$H$512,1,MATCH(4&amp;$B48,'Gastos com Pessoal'!$I$532:$AJ$532&amp;'Gastos com Pessoal'!$I$512:$AJ$512,0),10,1)),0)+_xlfn.IFNA(SUM((BJ$3&gt;='Gastos com Pessoal'!$E$513:$E$522)*(BJ$3&lt;='Gastos com Pessoal'!$F$513:$F$522)*(IF('Gastos com Pessoal'!$AE$513:$AE$522&lt;=BJ$3,1,0))*OFFSET('Gastos com Pessoal'!$H$512,1,MATCH(5&amp;$B48,'Gastos com Pessoal'!$I$532:$AJ$532&amp;'Gastos com Pessoal'!$I$512:$AJ$512,0),10,1)),0)</f>
        <v>0</v>
      </c>
      <c r="BK48" s="189">
        <f t="shared" ref="BK48:BK56" ca="1" si="18">SUM(C48:BJ48)</f>
        <v>2846783.59100691</v>
      </c>
      <c r="BL48" s="136">
        <f t="shared" ref="BL48:BL58" ca="1" si="19">IF($BK$152=0,0,BK48/$BK$152)</f>
        <v>9.8014705215311061E-3</v>
      </c>
    </row>
    <row r="49" spans="1:64" s="160" customFormat="1" ht="23.25" customHeight="1">
      <c r="A49" s="80" t="s">
        <v>180</v>
      </c>
      <c r="B49" s="81" t="s">
        <v>181</v>
      </c>
      <c r="C49" s="188">
        <f t="array" aca="1" ref="C49" ca="1">_xlfn.IFNA(SUM((C$3&gt;='Gastos com Pessoal'!$E$7:$E$506)*(C$3&lt;='Gastos com Pessoal'!$F$7:$F$506)*OFFSET('Encargos e Benefícios'!$D$5,1,MATCH($B49,'Encargos e Benefícios'!$E$5:$AB$5,0),500,1)),0)+_xlfn.IFNA(SUM((C$3&gt;='Gastos com Pessoal'!$E$513:$E$522)*(C$3&lt;='Gastos com Pessoal'!$F$513:$F$522)*OFFSET('Encargos e Benefícios'!$D$511,1,MATCH($B49,'Encargos e Benefícios'!$E$511:$AB$511,0),10,1)),0)+_xlfn.IFNA(SUM((C$3&gt;='Gastos com Pessoal'!$E$7:$E$506)*(C$3&lt;='Gastos com Pessoal'!$F$7:$F$506)*(IF('Gastos com Pessoal'!$G$7:$G$506&lt;=C$3,1,0))*OFFSET('Gastos com Pessoal'!$H$6,1,MATCH(1&amp;$B49,'Gastos com Pessoal'!$I$532:$AJ$532&amp;'Gastos com Pessoal'!$I$6:$AJ$6,0),500,1)),0)+_xlfn.IFNA(SUM((C$3&gt;='Gastos com Pessoal'!$E$7:$E$506)*(C$3&lt;='Gastos com Pessoal'!$F$7:$F$506)*(IF('Gastos com Pessoal'!$M$7:$M$506&lt;=C$3,1,0))*OFFSET('Gastos com Pessoal'!$H$6,1,MATCH(2&amp;$B49,'Gastos com Pessoal'!$I$532:$AJ$532&amp;'Gastos com Pessoal'!$I$6:$AJ$6,0),500,1)),0)+_xlfn.IFNA(SUM((C$3&gt;='Gastos com Pessoal'!$E$7:$E$506)*(C$3&lt;='Gastos com Pessoal'!$F$7:$F$506)*(IF('Gastos com Pessoal'!$S$7:$S$506&lt;=C$3,1,0))*OFFSET('Gastos com Pessoal'!$H$6,1,MATCH(3&amp;$B49,'Gastos com Pessoal'!$I$532:$AJ$532&amp;'Gastos com Pessoal'!$I$6:$AJ$6,0),500,1)),0)+_xlfn.IFNA(SUM((C$3&gt;='Gastos com Pessoal'!$E$7:$E$506)*(C$3&lt;='Gastos com Pessoal'!$F$7:$F$506)*(IF('Gastos com Pessoal'!$Y$7:$Y$506&lt;=C$3,1,0))*OFFSET('Gastos com Pessoal'!$H$6,1,MATCH(4&amp;$B49,'Gastos com Pessoal'!$I$532:$AJ$532&amp;'Gastos com Pessoal'!$I$6:$AJ$6,0),500,1)),0)+_xlfn.IFNA(SUM((C$3&gt;='Gastos com Pessoal'!$E$7:$E$506)*(C$3&lt;='Gastos com Pessoal'!$F$7:$F$506)*(IF('Gastos com Pessoal'!$AE$7:$AE$506&lt;=C$3,1,0))*OFFSET('Gastos com Pessoal'!$H$6,1,MATCH(5&amp;$B49,'Gastos com Pessoal'!$I$532:$AJ$532&amp;'Gastos com Pessoal'!$I$6:$AJ$6,0),500,1)),0)+_xlfn.IFNA(SUM((C$3&gt;='Gastos com Pessoal'!$E$513:$E$522)*(C$3&lt;='Gastos com Pessoal'!$F$513:$F$522)*(IF('Gastos com Pessoal'!$G$513:$G$522&lt;=C$3,1,0))*OFFSET('Gastos com Pessoal'!$H$512,1,MATCH(1&amp;$B49,'Gastos com Pessoal'!$I$532:$AJ$532&amp;'Gastos com Pessoal'!$I$512:$AJ$512,0),10,1)),0)+_xlfn.IFNA(SUM((C$3&gt;='Gastos com Pessoal'!$E$513:$E$522)*(C$3&lt;='Gastos com Pessoal'!$F$513:$F$522)*(IF('Gastos com Pessoal'!$M$513:$M$522&lt;=C$3,1,0))*OFFSET('Gastos com Pessoal'!$H$512,1,MATCH(2&amp;$B49,'Gastos com Pessoal'!$I$532:$AJ$532&amp;'Gastos com Pessoal'!$I$512:$AJ$512,0),10,1)),0)+_xlfn.IFNA(SUM((C$3&gt;='Gastos com Pessoal'!$E$513:$E$522)*(C$3&lt;='Gastos com Pessoal'!$F$513:$F$522)*(IF('Gastos com Pessoal'!$S$513:$S$522&lt;=C$3,1,0))*OFFSET('Gastos com Pessoal'!$H$512,1,MATCH(3&amp;$B49,'Gastos com Pessoal'!$I$532:$AJ$532&amp;'Gastos com Pessoal'!$I$512:$AJ$512,0),10,1)),0)+_xlfn.IFNA(SUM((C$3&gt;='Gastos com Pessoal'!$E$513:$E$522)*(C$3&lt;='Gastos com Pessoal'!$F$513:$F$522)*(IF('Gastos com Pessoal'!$Y$513:$Y$522&lt;=C$3,1,0))*OFFSET('Gastos com Pessoal'!$H$512,1,MATCH(4&amp;$B49,'Gastos com Pessoal'!$I$532:$AJ$532&amp;'Gastos com Pessoal'!$I$512:$AJ$512,0),10,1)),0)+_xlfn.IFNA(SUM((C$3&gt;='Gastos com Pessoal'!$E$513:$E$522)*(C$3&lt;='Gastos com Pessoal'!$F$513:$F$522)*(IF('Gastos com Pessoal'!$AE$513:$AE$522&lt;=C$3,1,0))*OFFSET('Gastos com Pessoal'!$H$512,1,MATCH(5&amp;$B49,'Gastos com Pessoal'!$I$532:$AJ$532&amp;'Gastos com Pessoal'!$I$512:$AJ$512,0),10,1)),0)</f>
        <v>295822.80000000109</v>
      </c>
      <c r="D49" s="188">
        <f t="array" aca="1" ref="D49" ca="1">_xlfn.IFNA(SUM((D$3&gt;='Gastos com Pessoal'!$E$7:$E$506)*(D$3&lt;='Gastos com Pessoal'!$F$7:$F$506)*OFFSET('Encargos e Benefícios'!$D$5,1,MATCH($B49,'Encargos e Benefícios'!$E$5:$AB$5,0),500,1)),0)+_xlfn.IFNA(SUM((D$3&gt;='Gastos com Pessoal'!$E$513:$E$522)*(D$3&lt;='Gastos com Pessoal'!$F$513:$F$522)*OFFSET('Encargos e Benefícios'!$D$511,1,MATCH($B49,'Encargos e Benefícios'!$E$511:$AB$511,0),10,1)),0)+_xlfn.IFNA(SUM((D$3&gt;='Gastos com Pessoal'!$E$7:$E$506)*(D$3&lt;='Gastos com Pessoal'!$F$7:$F$506)*(IF('Gastos com Pessoal'!$G$7:$G$506&lt;=D$3,1,0))*OFFSET('Gastos com Pessoal'!$H$6,1,MATCH(1&amp;$B49,'Gastos com Pessoal'!$I$532:$AJ$532&amp;'Gastos com Pessoal'!$I$6:$AJ$6,0),500,1)),0)+_xlfn.IFNA(SUM((D$3&gt;='Gastos com Pessoal'!$E$7:$E$506)*(D$3&lt;='Gastos com Pessoal'!$F$7:$F$506)*(IF('Gastos com Pessoal'!$M$7:$M$506&lt;=D$3,1,0))*OFFSET('Gastos com Pessoal'!$H$6,1,MATCH(2&amp;$B49,'Gastos com Pessoal'!$I$532:$AJ$532&amp;'Gastos com Pessoal'!$I$6:$AJ$6,0),500,1)),0)+_xlfn.IFNA(SUM((D$3&gt;='Gastos com Pessoal'!$E$7:$E$506)*(D$3&lt;='Gastos com Pessoal'!$F$7:$F$506)*(IF('Gastos com Pessoal'!$S$7:$S$506&lt;=D$3,1,0))*OFFSET('Gastos com Pessoal'!$H$6,1,MATCH(3&amp;$B49,'Gastos com Pessoal'!$I$532:$AJ$532&amp;'Gastos com Pessoal'!$I$6:$AJ$6,0),500,1)),0)+_xlfn.IFNA(SUM((D$3&gt;='Gastos com Pessoal'!$E$7:$E$506)*(D$3&lt;='Gastos com Pessoal'!$F$7:$F$506)*(IF('Gastos com Pessoal'!$Y$7:$Y$506&lt;=D$3,1,0))*OFFSET('Gastos com Pessoal'!$H$6,1,MATCH(4&amp;$B49,'Gastos com Pessoal'!$I$532:$AJ$532&amp;'Gastos com Pessoal'!$I$6:$AJ$6,0),500,1)),0)+_xlfn.IFNA(SUM((D$3&gt;='Gastos com Pessoal'!$E$7:$E$506)*(D$3&lt;='Gastos com Pessoal'!$F$7:$F$506)*(IF('Gastos com Pessoal'!$AE$7:$AE$506&lt;=D$3,1,0))*OFFSET('Gastos com Pessoal'!$H$6,1,MATCH(5&amp;$B49,'Gastos com Pessoal'!$I$532:$AJ$532&amp;'Gastos com Pessoal'!$I$6:$AJ$6,0),500,1)),0)+_xlfn.IFNA(SUM((D$3&gt;='Gastos com Pessoal'!$E$513:$E$522)*(D$3&lt;='Gastos com Pessoal'!$F$513:$F$522)*(IF('Gastos com Pessoal'!$G$513:$G$522&lt;=D$3,1,0))*OFFSET('Gastos com Pessoal'!$H$512,1,MATCH(1&amp;$B49,'Gastos com Pessoal'!$I$532:$AJ$532&amp;'Gastos com Pessoal'!$I$512:$AJ$512,0),10,1)),0)+_xlfn.IFNA(SUM((D$3&gt;='Gastos com Pessoal'!$E$513:$E$522)*(D$3&lt;='Gastos com Pessoal'!$F$513:$F$522)*(IF('Gastos com Pessoal'!$M$513:$M$522&lt;=D$3,1,0))*OFFSET('Gastos com Pessoal'!$H$512,1,MATCH(2&amp;$B49,'Gastos com Pessoal'!$I$532:$AJ$532&amp;'Gastos com Pessoal'!$I$512:$AJ$512,0),10,1)),0)+_xlfn.IFNA(SUM((D$3&gt;='Gastos com Pessoal'!$E$513:$E$522)*(D$3&lt;='Gastos com Pessoal'!$F$513:$F$522)*(IF('Gastos com Pessoal'!$S$513:$S$522&lt;=D$3,1,0))*OFFSET('Gastos com Pessoal'!$H$512,1,MATCH(3&amp;$B49,'Gastos com Pessoal'!$I$532:$AJ$532&amp;'Gastos com Pessoal'!$I$512:$AJ$512,0),10,1)),0)+_xlfn.IFNA(SUM((D$3&gt;='Gastos com Pessoal'!$E$513:$E$522)*(D$3&lt;='Gastos com Pessoal'!$F$513:$F$522)*(IF('Gastos com Pessoal'!$Y$513:$Y$522&lt;=D$3,1,0))*OFFSET('Gastos com Pessoal'!$H$512,1,MATCH(4&amp;$B49,'Gastos com Pessoal'!$I$532:$AJ$532&amp;'Gastos com Pessoal'!$I$512:$AJ$512,0),10,1)),0)+_xlfn.IFNA(SUM((D$3&gt;='Gastos com Pessoal'!$E$513:$E$522)*(D$3&lt;='Gastos com Pessoal'!$F$513:$F$522)*(IF('Gastos com Pessoal'!$AE$513:$AE$522&lt;=D$3,1,0))*OFFSET('Gastos com Pessoal'!$H$512,1,MATCH(5&amp;$B49,'Gastos com Pessoal'!$I$532:$AJ$532&amp;'Gastos com Pessoal'!$I$512:$AJ$512,0),10,1)),0)</f>
        <v>296881.20000000112</v>
      </c>
      <c r="E49" s="188">
        <f t="array" aca="1" ref="E49" ca="1">_xlfn.IFNA(SUM((E$3&gt;='Gastos com Pessoal'!$E$7:$E$506)*(E$3&lt;='Gastos com Pessoal'!$F$7:$F$506)*OFFSET('Encargos e Benefícios'!$D$5,1,MATCH($B49,'Encargos e Benefícios'!$E$5:$AB$5,0),500,1)),0)+_xlfn.IFNA(SUM((E$3&gt;='Gastos com Pessoal'!$E$513:$E$522)*(E$3&lt;='Gastos com Pessoal'!$F$513:$F$522)*OFFSET('Encargos e Benefícios'!$D$511,1,MATCH($B49,'Encargos e Benefícios'!$E$511:$AB$511,0),10,1)),0)+_xlfn.IFNA(SUM((E$3&gt;='Gastos com Pessoal'!$E$7:$E$506)*(E$3&lt;='Gastos com Pessoal'!$F$7:$F$506)*(IF('Gastos com Pessoal'!$G$7:$G$506&lt;=E$3,1,0))*OFFSET('Gastos com Pessoal'!$H$6,1,MATCH(1&amp;$B49,'Gastos com Pessoal'!$I$532:$AJ$532&amp;'Gastos com Pessoal'!$I$6:$AJ$6,0),500,1)),0)+_xlfn.IFNA(SUM((E$3&gt;='Gastos com Pessoal'!$E$7:$E$506)*(E$3&lt;='Gastos com Pessoal'!$F$7:$F$506)*(IF('Gastos com Pessoal'!$M$7:$M$506&lt;=E$3,1,0))*OFFSET('Gastos com Pessoal'!$H$6,1,MATCH(2&amp;$B49,'Gastos com Pessoal'!$I$532:$AJ$532&amp;'Gastos com Pessoal'!$I$6:$AJ$6,0),500,1)),0)+_xlfn.IFNA(SUM((E$3&gt;='Gastos com Pessoal'!$E$7:$E$506)*(E$3&lt;='Gastos com Pessoal'!$F$7:$F$506)*(IF('Gastos com Pessoal'!$S$7:$S$506&lt;=E$3,1,0))*OFFSET('Gastos com Pessoal'!$H$6,1,MATCH(3&amp;$B49,'Gastos com Pessoal'!$I$532:$AJ$532&amp;'Gastos com Pessoal'!$I$6:$AJ$6,0),500,1)),0)+_xlfn.IFNA(SUM((E$3&gt;='Gastos com Pessoal'!$E$7:$E$506)*(E$3&lt;='Gastos com Pessoal'!$F$7:$F$506)*(IF('Gastos com Pessoal'!$Y$7:$Y$506&lt;=E$3,1,0))*OFFSET('Gastos com Pessoal'!$H$6,1,MATCH(4&amp;$B49,'Gastos com Pessoal'!$I$532:$AJ$532&amp;'Gastos com Pessoal'!$I$6:$AJ$6,0),500,1)),0)+_xlfn.IFNA(SUM((E$3&gt;='Gastos com Pessoal'!$E$7:$E$506)*(E$3&lt;='Gastos com Pessoal'!$F$7:$F$506)*(IF('Gastos com Pessoal'!$AE$7:$AE$506&lt;=E$3,1,0))*OFFSET('Gastos com Pessoal'!$H$6,1,MATCH(5&amp;$B49,'Gastos com Pessoal'!$I$532:$AJ$532&amp;'Gastos com Pessoal'!$I$6:$AJ$6,0),500,1)),0)+_xlfn.IFNA(SUM((E$3&gt;='Gastos com Pessoal'!$E$513:$E$522)*(E$3&lt;='Gastos com Pessoal'!$F$513:$F$522)*(IF('Gastos com Pessoal'!$G$513:$G$522&lt;=E$3,1,0))*OFFSET('Gastos com Pessoal'!$H$512,1,MATCH(1&amp;$B49,'Gastos com Pessoal'!$I$532:$AJ$532&amp;'Gastos com Pessoal'!$I$512:$AJ$512,0),10,1)),0)+_xlfn.IFNA(SUM((E$3&gt;='Gastos com Pessoal'!$E$513:$E$522)*(E$3&lt;='Gastos com Pessoal'!$F$513:$F$522)*(IF('Gastos com Pessoal'!$M$513:$M$522&lt;=E$3,1,0))*OFFSET('Gastos com Pessoal'!$H$512,1,MATCH(2&amp;$B49,'Gastos com Pessoal'!$I$532:$AJ$532&amp;'Gastos com Pessoal'!$I$512:$AJ$512,0),10,1)),0)+_xlfn.IFNA(SUM((E$3&gt;='Gastos com Pessoal'!$E$513:$E$522)*(E$3&lt;='Gastos com Pessoal'!$F$513:$F$522)*(IF('Gastos com Pessoal'!$S$513:$S$522&lt;=E$3,1,0))*OFFSET('Gastos com Pessoal'!$H$512,1,MATCH(3&amp;$B49,'Gastos com Pessoal'!$I$532:$AJ$532&amp;'Gastos com Pessoal'!$I$512:$AJ$512,0),10,1)),0)+_xlfn.IFNA(SUM((E$3&gt;='Gastos com Pessoal'!$E$513:$E$522)*(E$3&lt;='Gastos com Pessoal'!$F$513:$F$522)*(IF('Gastos com Pessoal'!$Y$513:$Y$522&lt;=E$3,1,0))*OFFSET('Gastos com Pessoal'!$H$512,1,MATCH(4&amp;$B49,'Gastos com Pessoal'!$I$532:$AJ$532&amp;'Gastos com Pessoal'!$I$512:$AJ$512,0),10,1)),0)+_xlfn.IFNA(SUM((E$3&gt;='Gastos com Pessoal'!$E$513:$E$522)*(E$3&lt;='Gastos com Pessoal'!$F$513:$F$522)*(IF('Gastos com Pessoal'!$AE$513:$AE$522&lt;=E$3,1,0))*OFFSET('Gastos com Pessoal'!$H$512,1,MATCH(5&amp;$B49,'Gastos com Pessoal'!$I$532:$AJ$532&amp;'Gastos com Pessoal'!$I$512:$AJ$512,0),10,1)),0)</f>
        <v>313286.4000000013</v>
      </c>
      <c r="F49" s="188">
        <f t="array" aca="1" ref="F49" ca="1">_xlfn.IFNA(SUM((F$3&gt;='Gastos com Pessoal'!$E$7:$E$506)*(F$3&lt;='Gastos com Pessoal'!$F$7:$F$506)*OFFSET('Encargos e Benefícios'!$D$5,1,MATCH($B49,'Encargos e Benefícios'!$E$5:$AB$5,0),500,1)),0)+_xlfn.IFNA(SUM((F$3&gt;='Gastos com Pessoal'!$E$513:$E$522)*(F$3&lt;='Gastos com Pessoal'!$F$513:$F$522)*OFFSET('Encargos e Benefícios'!$D$511,1,MATCH($B49,'Encargos e Benefícios'!$E$511:$AB$511,0),10,1)),0)+_xlfn.IFNA(SUM((F$3&gt;='Gastos com Pessoal'!$E$7:$E$506)*(F$3&lt;='Gastos com Pessoal'!$F$7:$F$506)*(IF('Gastos com Pessoal'!$G$7:$G$506&lt;=F$3,1,0))*OFFSET('Gastos com Pessoal'!$H$6,1,MATCH(1&amp;$B49,'Gastos com Pessoal'!$I$532:$AJ$532&amp;'Gastos com Pessoal'!$I$6:$AJ$6,0),500,1)),0)+_xlfn.IFNA(SUM((F$3&gt;='Gastos com Pessoal'!$E$7:$E$506)*(F$3&lt;='Gastos com Pessoal'!$F$7:$F$506)*(IF('Gastos com Pessoal'!$M$7:$M$506&lt;=F$3,1,0))*OFFSET('Gastos com Pessoal'!$H$6,1,MATCH(2&amp;$B49,'Gastos com Pessoal'!$I$532:$AJ$532&amp;'Gastos com Pessoal'!$I$6:$AJ$6,0),500,1)),0)+_xlfn.IFNA(SUM((F$3&gt;='Gastos com Pessoal'!$E$7:$E$506)*(F$3&lt;='Gastos com Pessoal'!$F$7:$F$506)*(IF('Gastos com Pessoal'!$S$7:$S$506&lt;=F$3,1,0))*OFFSET('Gastos com Pessoal'!$H$6,1,MATCH(3&amp;$B49,'Gastos com Pessoal'!$I$532:$AJ$532&amp;'Gastos com Pessoal'!$I$6:$AJ$6,0),500,1)),0)+_xlfn.IFNA(SUM((F$3&gt;='Gastos com Pessoal'!$E$7:$E$506)*(F$3&lt;='Gastos com Pessoal'!$F$7:$F$506)*(IF('Gastos com Pessoal'!$Y$7:$Y$506&lt;=F$3,1,0))*OFFSET('Gastos com Pessoal'!$H$6,1,MATCH(4&amp;$B49,'Gastos com Pessoal'!$I$532:$AJ$532&amp;'Gastos com Pessoal'!$I$6:$AJ$6,0),500,1)),0)+_xlfn.IFNA(SUM((F$3&gt;='Gastos com Pessoal'!$E$7:$E$506)*(F$3&lt;='Gastos com Pessoal'!$F$7:$F$506)*(IF('Gastos com Pessoal'!$AE$7:$AE$506&lt;=F$3,1,0))*OFFSET('Gastos com Pessoal'!$H$6,1,MATCH(5&amp;$B49,'Gastos com Pessoal'!$I$532:$AJ$532&amp;'Gastos com Pessoal'!$I$6:$AJ$6,0),500,1)),0)+_xlfn.IFNA(SUM((F$3&gt;='Gastos com Pessoal'!$E$513:$E$522)*(F$3&lt;='Gastos com Pessoal'!$F$513:$F$522)*(IF('Gastos com Pessoal'!$G$513:$G$522&lt;=F$3,1,0))*OFFSET('Gastos com Pessoal'!$H$512,1,MATCH(1&amp;$B49,'Gastos com Pessoal'!$I$532:$AJ$532&amp;'Gastos com Pessoal'!$I$512:$AJ$512,0),10,1)),0)+_xlfn.IFNA(SUM((F$3&gt;='Gastos com Pessoal'!$E$513:$E$522)*(F$3&lt;='Gastos com Pessoal'!$F$513:$F$522)*(IF('Gastos com Pessoal'!$M$513:$M$522&lt;=F$3,1,0))*OFFSET('Gastos com Pessoal'!$H$512,1,MATCH(2&amp;$B49,'Gastos com Pessoal'!$I$532:$AJ$532&amp;'Gastos com Pessoal'!$I$512:$AJ$512,0),10,1)),0)+_xlfn.IFNA(SUM((F$3&gt;='Gastos com Pessoal'!$E$513:$E$522)*(F$3&lt;='Gastos com Pessoal'!$F$513:$F$522)*(IF('Gastos com Pessoal'!$S$513:$S$522&lt;=F$3,1,0))*OFFSET('Gastos com Pessoal'!$H$512,1,MATCH(3&amp;$B49,'Gastos com Pessoal'!$I$532:$AJ$532&amp;'Gastos com Pessoal'!$I$512:$AJ$512,0),10,1)),0)+_xlfn.IFNA(SUM((F$3&gt;='Gastos com Pessoal'!$E$513:$E$522)*(F$3&lt;='Gastos com Pessoal'!$F$513:$F$522)*(IF('Gastos com Pessoal'!$Y$513:$Y$522&lt;=F$3,1,0))*OFFSET('Gastos com Pessoal'!$H$512,1,MATCH(4&amp;$B49,'Gastos com Pessoal'!$I$532:$AJ$532&amp;'Gastos com Pessoal'!$I$512:$AJ$512,0),10,1)),0)+_xlfn.IFNA(SUM((F$3&gt;='Gastos com Pessoal'!$E$513:$E$522)*(F$3&lt;='Gastos com Pessoal'!$F$513:$F$522)*(IF('Gastos com Pessoal'!$AE$513:$AE$522&lt;=F$3,1,0))*OFFSET('Gastos com Pessoal'!$H$512,1,MATCH(5&amp;$B49,'Gastos com Pessoal'!$I$532:$AJ$532&amp;'Gastos com Pessoal'!$I$512:$AJ$512,0),10,1)),0)</f>
        <v>314344.80000000133</v>
      </c>
      <c r="G49" s="188">
        <f t="array" aca="1" ref="G49" ca="1">_xlfn.IFNA(SUM((G$3&gt;='Gastos com Pessoal'!$E$7:$E$506)*(G$3&lt;='Gastos com Pessoal'!$F$7:$F$506)*OFFSET('Encargos e Benefícios'!$D$5,1,MATCH($B49,'Encargos e Benefícios'!$E$5:$AB$5,0),500,1)),0)+_xlfn.IFNA(SUM((G$3&gt;='Gastos com Pessoal'!$E$513:$E$522)*(G$3&lt;='Gastos com Pessoal'!$F$513:$F$522)*OFFSET('Encargos e Benefícios'!$D$511,1,MATCH($B49,'Encargos e Benefícios'!$E$511:$AB$511,0),10,1)),0)+_xlfn.IFNA(SUM((G$3&gt;='Gastos com Pessoal'!$E$7:$E$506)*(G$3&lt;='Gastos com Pessoal'!$F$7:$F$506)*(IF('Gastos com Pessoal'!$G$7:$G$506&lt;=G$3,1,0))*OFFSET('Gastos com Pessoal'!$H$6,1,MATCH(1&amp;$B49,'Gastos com Pessoal'!$I$532:$AJ$532&amp;'Gastos com Pessoal'!$I$6:$AJ$6,0),500,1)),0)+_xlfn.IFNA(SUM((G$3&gt;='Gastos com Pessoal'!$E$7:$E$506)*(G$3&lt;='Gastos com Pessoal'!$F$7:$F$506)*(IF('Gastos com Pessoal'!$M$7:$M$506&lt;=G$3,1,0))*OFFSET('Gastos com Pessoal'!$H$6,1,MATCH(2&amp;$B49,'Gastos com Pessoal'!$I$532:$AJ$532&amp;'Gastos com Pessoal'!$I$6:$AJ$6,0),500,1)),0)+_xlfn.IFNA(SUM((G$3&gt;='Gastos com Pessoal'!$E$7:$E$506)*(G$3&lt;='Gastos com Pessoal'!$F$7:$F$506)*(IF('Gastos com Pessoal'!$S$7:$S$506&lt;=G$3,1,0))*OFFSET('Gastos com Pessoal'!$H$6,1,MATCH(3&amp;$B49,'Gastos com Pessoal'!$I$532:$AJ$532&amp;'Gastos com Pessoal'!$I$6:$AJ$6,0),500,1)),0)+_xlfn.IFNA(SUM((G$3&gt;='Gastos com Pessoal'!$E$7:$E$506)*(G$3&lt;='Gastos com Pessoal'!$F$7:$F$506)*(IF('Gastos com Pessoal'!$Y$7:$Y$506&lt;=G$3,1,0))*OFFSET('Gastos com Pessoal'!$H$6,1,MATCH(4&amp;$B49,'Gastos com Pessoal'!$I$532:$AJ$532&amp;'Gastos com Pessoal'!$I$6:$AJ$6,0),500,1)),0)+_xlfn.IFNA(SUM((G$3&gt;='Gastos com Pessoal'!$E$7:$E$506)*(G$3&lt;='Gastos com Pessoal'!$F$7:$F$506)*(IF('Gastos com Pessoal'!$AE$7:$AE$506&lt;=G$3,1,0))*OFFSET('Gastos com Pessoal'!$H$6,1,MATCH(5&amp;$B49,'Gastos com Pessoal'!$I$532:$AJ$532&amp;'Gastos com Pessoal'!$I$6:$AJ$6,0),500,1)),0)+_xlfn.IFNA(SUM((G$3&gt;='Gastos com Pessoal'!$E$513:$E$522)*(G$3&lt;='Gastos com Pessoal'!$F$513:$F$522)*(IF('Gastos com Pessoal'!$G$513:$G$522&lt;=G$3,1,0))*OFFSET('Gastos com Pessoal'!$H$512,1,MATCH(1&amp;$B49,'Gastos com Pessoal'!$I$532:$AJ$532&amp;'Gastos com Pessoal'!$I$512:$AJ$512,0),10,1)),0)+_xlfn.IFNA(SUM((G$3&gt;='Gastos com Pessoal'!$E$513:$E$522)*(G$3&lt;='Gastos com Pessoal'!$F$513:$F$522)*(IF('Gastos com Pessoal'!$M$513:$M$522&lt;=G$3,1,0))*OFFSET('Gastos com Pessoal'!$H$512,1,MATCH(2&amp;$B49,'Gastos com Pessoal'!$I$532:$AJ$532&amp;'Gastos com Pessoal'!$I$512:$AJ$512,0),10,1)),0)+_xlfn.IFNA(SUM((G$3&gt;='Gastos com Pessoal'!$E$513:$E$522)*(G$3&lt;='Gastos com Pessoal'!$F$513:$F$522)*(IF('Gastos com Pessoal'!$S$513:$S$522&lt;=G$3,1,0))*OFFSET('Gastos com Pessoal'!$H$512,1,MATCH(3&amp;$B49,'Gastos com Pessoal'!$I$532:$AJ$532&amp;'Gastos com Pessoal'!$I$512:$AJ$512,0),10,1)),0)+_xlfn.IFNA(SUM((G$3&gt;='Gastos com Pessoal'!$E$513:$E$522)*(G$3&lt;='Gastos com Pessoal'!$F$513:$F$522)*(IF('Gastos com Pessoal'!$Y$513:$Y$522&lt;=G$3,1,0))*OFFSET('Gastos com Pessoal'!$H$512,1,MATCH(4&amp;$B49,'Gastos com Pessoal'!$I$532:$AJ$532&amp;'Gastos com Pessoal'!$I$512:$AJ$512,0),10,1)),0)+_xlfn.IFNA(SUM((G$3&gt;='Gastos com Pessoal'!$E$513:$E$522)*(G$3&lt;='Gastos com Pessoal'!$F$513:$F$522)*(IF('Gastos com Pessoal'!$AE$513:$AE$522&lt;=G$3,1,0))*OFFSET('Gastos com Pessoal'!$H$512,1,MATCH(5&amp;$B49,'Gastos com Pessoal'!$I$532:$AJ$532&amp;'Gastos com Pessoal'!$I$512:$AJ$512,0),10,1)),0)</f>
        <v>332702.53632000135</v>
      </c>
      <c r="H49" s="188">
        <f t="array" aca="1" ref="H49" ca="1">_xlfn.IFNA(SUM((H$3&gt;='Gastos com Pessoal'!$E$7:$E$506)*(H$3&lt;='Gastos com Pessoal'!$F$7:$F$506)*OFFSET('Encargos e Benefícios'!$D$5,1,MATCH($B49,'Encargos e Benefícios'!$E$5:$AB$5,0),500,1)),0)+_xlfn.IFNA(SUM((H$3&gt;='Gastos com Pessoal'!$E$513:$E$522)*(H$3&lt;='Gastos com Pessoal'!$F$513:$F$522)*OFFSET('Encargos e Benefícios'!$D$511,1,MATCH($B49,'Encargos e Benefícios'!$E$511:$AB$511,0),10,1)),0)+_xlfn.IFNA(SUM((H$3&gt;='Gastos com Pessoal'!$E$7:$E$506)*(H$3&lt;='Gastos com Pessoal'!$F$7:$F$506)*(IF('Gastos com Pessoal'!$G$7:$G$506&lt;=H$3,1,0))*OFFSET('Gastos com Pessoal'!$H$6,1,MATCH(1&amp;$B49,'Gastos com Pessoal'!$I$532:$AJ$532&amp;'Gastos com Pessoal'!$I$6:$AJ$6,0),500,1)),0)+_xlfn.IFNA(SUM((H$3&gt;='Gastos com Pessoal'!$E$7:$E$506)*(H$3&lt;='Gastos com Pessoal'!$F$7:$F$506)*(IF('Gastos com Pessoal'!$M$7:$M$506&lt;=H$3,1,0))*OFFSET('Gastos com Pessoal'!$H$6,1,MATCH(2&amp;$B49,'Gastos com Pessoal'!$I$532:$AJ$532&amp;'Gastos com Pessoal'!$I$6:$AJ$6,0),500,1)),0)+_xlfn.IFNA(SUM((H$3&gt;='Gastos com Pessoal'!$E$7:$E$506)*(H$3&lt;='Gastos com Pessoal'!$F$7:$F$506)*(IF('Gastos com Pessoal'!$S$7:$S$506&lt;=H$3,1,0))*OFFSET('Gastos com Pessoal'!$H$6,1,MATCH(3&amp;$B49,'Gastos com Pessoal'!$I$532:$AJ$532&amp;'Gastos com Pessoal'!$I$6:$AJ$6,0),500,1)),0)+_xlfn.IFNA(SUM((H$3&gt;='Gastos com Pessoal'!$E$7:$E$506)*(H$3&lt;='Gastos com Pessoal'!$F$7:$F$506)*(IF('Gastos com Pessoal'!$Y$7:$Y$506&lt;=H$3,1,0))*OFFSET('Gastos com Pessoal'!$H$6,1,MATCH(4&amp;$B49,'Gastos com Pessoal'!$I$532:$AJ$532&amp;'Gastos com Pessoal'!$I$6:$AJ$6,0),500,1)),0)+_xlfn.IFNA(SUM((H$3&gt;='Gastos com Pessoal'!$E$7:$E$506)*(H$3&lt;='Gastos com Pessoal'!$F$7:$F$506)*(IF('Gastos com Pessoal'!$AE$7:$AE$506&lt;=H$3,1,0))*OFFSET('Gastos com Pessoal'!$H$6,1,MATCH(5&amp;$B49,'Gastos com Pessoal'!$I$532:$AJ$532&amp;'Gastos com Pessoal'!$I$6:$AJ$6,0),500,1)),0)+_xlfn.IFNA(SUM((H$3&gt;='Gastos com Pessoal'!$E$513:$E$522)*(H$3&lt;='Gastos com Pessoal'!$F$513:$F$522)*(IF('Gastos com Pessoal'!$G$513:$G$522&lt;=H$3,1,0))*OFFSET('Gastos com Pessoal'!$H$512,1,MATCH(1&amp;$B49,'Gastos com Pessoal'!$I$532:$AJ$532&amp;'Gastos com Pessoal'!$I$512:$AJ$512,0),10,1)),0)+_xlfn.IFNA(SUM((H$3&gt;='Gastos com Pessoal'!$E$513:$E$522)*(H$3&lt;='Gastos com Pessoal'!$F$513:$F$522)*(IF('Gastos com Pessoal'!$M$513:$M$522&lt;=H$3,1,0))*OFFSET('Gastos com Pessoal'!$H$512,1,MATCH(2&amp;$B49,'Gastos com Pessoal'!$I$532:$AJ$532&amp;'Gastos com Pessoal'!$I$512:$AJ$512,0),10,1)),0)+_xlfn.IFNA(SUM((H$3&gt;='Gastos com Pessoal'!$E$513:$E$522)*(H$3&lt;='Gastos com Pessoal'!$F$513:$F$522)*(IF('Gastos com Pessoal'!$S$513:$S$522&lt;=H$3,1,0))*OFFSET('Gastos com Pessoal'!$H$512,1,MATCH(3&amp;$B49,'Gastos com Pessoal'!$I$532:$AJ$532&amp;'Gastos com Pessoal'!$I$512:$AJ$512,0),10,1)),0)+_xlfn.IFNA(SUM((H$3&gt;='Gastos com Pessoal'!$E$513:$E$522)*(H$3&lt;='Gastos com Pessoal'!$F$513:$F$522)*(IF('Gastos com Pessoal'!$Y$513:$Y$522&lt;=H$3,1,0))*OFFSET('Gastos com Pessoal'!$H$512,1,MATCH(4&amp;$B49,'Gastos com Pessoal'!$I$532:$AJ$532&amp;'Gastos com Pessoal'!$I$512:$AJ$512,0),10,1)),0)+_xlfn.IFNA(SUM((H$3&gt;='Gastos com Pessoal'!$E$513:$E$522)*(H$3&lt;='Gastos com Pessoal'!$F$513:$F$522)*(IF('Gastos com Pessoal'!$AE$513:$AE$522&lt;=H$3,1,0))*OFFSET('Gastos com Pessoal'!$H$512,1,MATCH(5&amp;$B49,'Gastos com Pessoal'!$I$532:$AJ$532&amp;'Gastos com Pessoal'!$I$512:$AJ$512,0),10,1)),0)</f>
        <v>350065.80000000156</v>
      </c>
      <c r="I49" s="188">
        <f t="array" aca="1" ref="I49" ca="1">_xlfn.IFNA(SUM((I$3&gt;='Gastos com Pessoal'!$E$7:$E$506)*(I$3&lt;='Gastos com Pessoal'!$F$7:$F$506)*OFFSET('Encargos e Benefícios'!$D$5,1,MATCH($B49,'Encargos e Benefícios'!$E$5:$AB$5,0),500,1)),0)+_xlfn.IFNA(SUM((I$3&gt;='Gastos com Pessoal'!$E$513:$E$522)*(I$3&lt;='Gastos com Pessoal'!$F$513:$F$522)*OFFSET('Encargos e Benefícios'!$D$511,1,MATCH($B49,'Encargos e Benefícios'!$E$511:$AB$511,0),10,1)),0)+_xlfn.IFNA(SUM((I$3&gt;='Gastos com Pessoal'!$E$7:$E$506)*(I$3&lt;='Gastos com Pessoal'!$F$7:$F$506)*(IF('Gastos com Pessoal'!$G$7:$G$506&lt;=I$3,1,0))*OFFSET('Gastos com Pessoal'!$H$6,1,MATCH(1&amp;$B49,'Gastos com Pessoal'!$I$532:$AJ$532&amp;'Gastos com Pessoal'!$I$6:$AJ$6,0),500,1)),0)+_xlfn.IFNA(SUM((I$3&gt;='Gastos com Pessoal'!$E$7:$E$506)*(I$3&lt;='Gastos com Pessoal'!$F$7:$F$506)*(IF('Gastos com Pessoal'!$M$7:$M$506&lt;=I$3,1,0))*OFFSET('Gastos com Pessoal'!$H$6,1,MATCH(2&amp;$B49,'Gastos com Pessoal'!$I$532:$AJ$532&amp;'Gastos com Pessoal'!$I$6:$AJ$6,0),500,1)),0)+_xlfn.IFNA(SUM((I$3&gt;='Gastos com Pessoal'!$E$7:$E$506)*(I$3&lt;='Gastos com Pessoal'!$F$7:$F$506)*(IF('Gastos com Pessoal'!$S$7:$S$506&lt;=I$3,1,0))*OFFSET('Gastos com Pessoal'!$H$6,1,MATCH(3&amp;$B49,'Gastos com Pessoal'!$I$532:$AJ$532&amp;'Gastos com Pessoal'!$I$6:$AJ$6,0),500,1)),0)+_xlfn.IFNA(SUM((I$3&gt;='Gastos com Pessoal'!$E$7:$E$506)*(I$3&lt;='Gastos com Pessoal'!$F$7:$F$506)*(IF('Gastos com Pessoal'!$Y$7:$Y$506&lt;=I$3,1,0))*OFFSET('Gastos com Pessoal'!$H$6,1,MATCH(4&amp;$B49,'Gastos com Pessoal'!$I$532:$AJ$532&amp;'Gastos com Pessoal'!$I$6:$AJ$6,0),500,1)),0)+_xlfn.IFNA(SUM((I$3&gt;='Gastos com Pessoal'!$E$7:$E$506)*(I$3&lt;='Gastos com Pessoal'!$F$7:$F$506)*(IF('Gastos com Pessoal'!$AE$7:$AE$506&lt;=I$3,1,0))*OFFSET('Gastos com Pessoal'!$H$6,1,MATCH(5&amp;$B49,'Gastos com Pessoal'!$I$532:$AJ$532&amp;'Gastos com Pessoal'!$I$6:$AJ$6,0),500,1)),0)+_xlfn.IFNA(SUM((I$3&gt;='Gastos com Pessoal'!$E$513:$E$522)*(I$3&lt;='Gastos com Pessoal'!$F$513:$F$522)*(IF('Gastos com Pessoal'!$G$513:$G$522&lt;=I$3,1,0))*OFFSET('Gastos com Pessoal'!$H$512,1,MATCH(1&amp;$B49,'Gastos com Pessoal'!$I$532:$AJ$532&amp;'Gastos com Pessoal'!$I$512:$AJ$512,0),10,1)),0)+_xlfn.IFNA(SUM((I$3&gt;='Gastos com Pessoal'!$E$513:$E$522)*(I$3&lt;='Gastos com Pessoal'!$F$513:$F$522)*(IF('Gastos com Pessoal'!$M$513:$M$522&lt;=I$3,1,0))*OFFSET('Gastos com Pessoal'!$H$512,1,MATCH(2&amp;$B49,'Gastos com Pessoal'!$I$532:$AJ$532&amp;'Gastos com Pessoal'!$I$512:$AJ$512,0),10,1)),0)+_xlfn.IFNA(SUM((I$3&gt;='Gastos com Pessoal'!$E$513:$E$522)*(I$3&lt;='Gastos com Pessoal'!$F$513:$F$522)*(IF('Gastos com Pessoal'!$S$513:$S$522&lt;=I$3,1,0))*OFFSET('Gastos com Pessoal'!$H$512,1,MATCH(3&amp;$B49,'Gastos com Pessoal'!$I$532:$AJ$532&amp;'Gastos com Pessoal'!$I$512:$AJ$512,0),10,1)),0)+_xlfn.IFNA(SUM((I$3&gt;='Gastos com Pessoal'!$E$513:$E$522)*(I$3&lt;='Gastos com Pessoal'!$F$513:$F$522)*(IF('Gastos com Pessoal'!$Y$513:$Y$522&lt;=I$3,1,0))*OFFSET('Gastos com Pessoal'!$H$512,1,MATCH(4&amp;$B49,'Gastos com Pessoal'!$I$532:$AJ$532&amp;'Gastos com Pessoal'!$I$512:$AJ$512,0),10,1)),0)+_xlfn.IFNA(SUM((I$3&gt;='Gastos com Pessoal'!$E$513:$E$522)*(I$3&lt;='Gastos com Pessoal'!$F$513:$F$522)*(IF('Gastos com Pessoal'!$AE$513:$AE$522&lt;=I$3,1,0))*OFFSET('Gastos com Pessoal'!$H$512,1,MATCH(5&amp;$B49,'Gastos com Pessoal'!$I$532:$AJ$532&amp;'Gastos com Pessoal'!$I$512:$AJ$512,0),10,1)),0)</f>
        <v>351251.41968000156</v>
      </c>
      <c r="J49" s="188">
        <f t="array" aca="1" ref="J49" ca="1">_xlfn.IFNA(SUM((J$3&gt;='Gastos com Pessoal'!$E$7:$E$506)*(J$3&lt;='Gastos com Pessoal'!$F$7:$F$506)*OFFSET('Encargos e Benefícios'!$D$5,1,MATCH($B49,'Encargos e Benefícios'!$E$5:$AB$5,0),500,1)),0)+_xlfn.IFNA(SUM((J$3&gt;='Gastos com Pessoal'!$E$513:$E$522)*(J$3&lt;='Gastos com Pessoal'!$F$513:$F$522)*OFFSET('Encargos e Benefícios'!$D$511,1,MATCH($B49,'Encargos e Benefícios'!$E$511:$AB$511,0),10,1)),0)+_xlfn.IFNA(SUM((J$3&gt;='Gastos com Pessoal'!$E$7:$E$506)*(J$3&lt;='Gastos com Pessoal'!$F$7:$F$506)*(IF('Gastos com Pessoal'!$G$7:$G$506&lt;=J$3,1,0))*OFFSET('Gastos com Pessoal'!$H$6,1,MATCH(1&amp;$B49,'Gastos com Pessoal'!$I$532:$AJ$532&amp;'Gastos com Pessoal'!$I$6:$AJ$6,0),500,1)),0)+_xlfn.IFNA(SUM((J$3&gt;='Gastos com Pessoal'!$E$7:$E$506)*(J$3&lt;='Gastos com Pessoal'!$F$7:$F$506)*(IF('Gastos com Pessoal'!$M$7:$M$506&lt;=J$3,1,0))*OFFSET('Gastos com Pessoal'!$H$6,1,MATCH(2&amp;$B49,'Gastos com Pessoal'!$I$532:$AJ$532&amp;'Gastos com Pessoal'!$I$6:$AJ$6,0),500,1)),0)+_xlfn.IFNA(SUM((J$3&gt;='Gastos com Pessoal'!$E$7:$E$506)*(J$3&lt;='Gastos com Pessoal'!$F$7:$F$506)*(IF('Gastos com Pessoal'!$S$7:$S$506&lt;=J$3,1,0))*OFFSET('Gastos com Pessoal'!$H$6,1,MATCH(3&amp;$B49,'Gastos com Pessoal'!$I$532:$AJ$532&amp;'Gastos com Pessoal'!$I$6:$AJ$6,0),500,1)),0)+_xlfn.IFNA(SUM((J$3&gt;='Gastos com Pessoal'!$E$7:$E$506)*(J$3&lt;='Gastos com Pessoal'!$F$7:$F$506)*(IF('Gastos com Pessoal'!$Y$7:$Y$506&lt;=J$3,1,0))*OFFSET('Gastos com Pessoal'!$H$6,1,MATCH(4&amp;$B49,'Gastos com Pessoal'!$I$532:$AJ$532&amp;'Gastos com Pessoal'!$I$6:$AJ$6,0),500,1)),0)+_xlfn.IFNA(SUM((J$3&gt;='Gastos com Pessoal'!$E$7:$E$506)*(J$3&lt;='Gastos com Pessoal'!$F$7:$F$506)*(IF('Gastos com Pessoal'!$AE$7:$AE$506&lt;=J$3,1,0))*OFFSET('Gastos com Pessoal'!$H$6,1,MATCH(5&amp;$B49,'Gastos com Pessoal'!$I$532:$AJ$532&amp;'Gastos com Pessoal'!$I$6:$AJ$6,0),500,1)),0)+_xlfn.IFNA(SUM((J$3&gt;='Gastos com Pessoal'!$E$513:$E$522)*(J$3&lt;='Gastos com Pessoal'!$F$513:$F$522)*(IF('Gastos com Pessoal'!$G$513:$G$522&lt;=J$3,1,0))*OFFSET('Gastos com Pessoal'!$H$512,1,MATCH(1&amp;$B49,'Gastos com Pessoal'!$I$532:$AJ$532&amp;'Gastos com Pessoal'!$I$512:$AJ$512,0),10,1)),0)+_xlfn.IFNA(SUM((J$3&gt;='Gastos com Pessoal'!$E$513:$E$522)*(J$3&lt;='Gastos com Pessoal'!$F$513:$F$522)*(IF('Gastos com Pessoal'!$M$513:$M$522&lt;=J$3,1,0))*OFFSET('Gastos com Pessoal'!$H$512,1,MATCH(2&amp;$B49,'Gastos com Pessoal'!$I$532:$AJ$532&amp;'Gastos com Pessoal'!$I$512:$AJ$512,0),10,1)),0)+_xlfn.IFNA(SUM((J$3&gt;='Gastos com Pessoal'!$E$513:$E$522)*(J$3&lt;='Gastos com Pessoal'!$F$513:$F$522)*(IF('Gastos com Pessoal'!$S$513:$S$522&lt;=J$3,1,0))*OFFSET('Gastos com Pessoal'!$H$512,1,MATCH(3&amp;$B49,'Gastos com Pessoal'!$I$532:$AJ$532&amp;'Gastos com Pessoal'!$I$512:$AJ$512,0),10,1)),0)+_xlfn.IFNA(SUM((J$3&gt;='Gastos com Pessoal'!$E$513:$E$522)*(J$3&lt;='Gastos com Pessoal'!$F$513:$F$522)*(IF('Gastos com Pessoal'!$Y$513:$Y$522&lt;=J$3,1,0))*OFFSET('Gastos com Pessoal'!$H$512,1,MATCH(4&amp;$B49,'Gastos com Pessoal'!$I$532:$AJ$532&amp;'Gastos com Pessoal'!$I$512:$AJ$512,0),10,1)),0)+_xlfn.IFNA(SUM((J$3&gt;='Gastos com Pessoal'!$E$513:$E$522)*(J$3&lt;='Gastos com Pessoal'!$F$513:$F$522)*(IF('Gastos com Pessoal'!$AE$513:$AE$522&lt;=J$3,1,0))*OFFSET('Gastos com Pessoal'!$H$512,1,MATCH(5&amp;$B49,'Gastos com Pessoal'!$I$532:$AJ$532&amp;'Gastos com Pessoal'!$I$512:$AJ$512,0),10,1)),0)</f>
        <v>351251.41968000156</v>
      </c>
      <c r="K49" s="188">
        <f t="array" aca="1" ref="K49" ca="1">_xlfn.IFNA(SUM((K$3&gt;='Gastos com Pessoal'!$E$7:$E$506)*(K$3&lt;='Gastos com Pessoal'!$F$7:$F$506)*OFFSET('Encargos e Benefícios'!$D$5,1,MATCH($B49,'Encargos e Benefícios'!$E$5:$AB$5,0),500,1)),0)+_xlfn.IFNA(SUM((K$3&gt;='Gastos com Pessoal'!$E$513:$E$522)*(K$3&lt;='Gastos com Pessoal'!$F$513:$F$522)*OFFSET('Encargos e Benefícios'!$D$511,1,MATCH($B49,'Encargos e Benefícios'!$E$511:$AB$511,0),10,1)),0)+_xlfn.IFNA(SUM((K$3&gt;='Gastos com Pessoal'!$E$7:$E$506)*(K$3&lt;='Gastos com Pessoal'!$F$7:$F$506)*(IF('Gastos com Pessoal'!$G$7:$G$506&lt;=K$3,1,0))*OFFSET('Gastos com Pessoal'!$H$6,1,MATCH(1&amp;$B49,'Gastos com Pessoal'!$I$532:$AJ$532&amp;'Gastos com Pessoal'!$I$6:$AJ$6,0),500,1)),0)+_xlfn.IFNA(SUM((K$3&gt;='Gastos com Pessoal'!$E$7:$E$506)*(K$3&lt;='Gastos com Pessoal'!$F$7:$F$506)*(IF('Gastos com Pessoal'!$M$7:$M$506&lt;=K$3,1,0))*OFFSET('Gastos com Pessoal'!$H$6,1,MATCH(2&amp;$B49,'Gastos com Pessoal'!$I$532:$AJ$532&amp;'Gastos com Pessoal'!$I$6:$AJ$6,0),500,1)),0)+_xlfn.IFNA(SUM((K$3&gt;='Gastos com Pessoal'!$E$7:$E$506)*(K$3&lt;='Gastos com Pessoal'!$F$7:$F$506)*(IF('Gastos com Pessoal'!$S$7:$S$506&lt;=K$3,1,0))*OFFSET('Gastos com Pessoal'!$H$6,1,MATCH(3&amp;$B49,'Gastos com Pessoal'!$I$532:$AJ$532&amp;'Gastos com Pessoal'!$I$6:$AJ$6,0),500,1)),0)+_xlfn.IFNA(SUM((K$3&gt;='Gastos com Pessoal'!$E$7:$E$506)*(K$3&lt;='Gastos com Pessoal'!$F$7:$F$506)*(IF('Gastos com Pessoal'!$Y$7:$Y$506&lt;=K$3,1,0))*OFFSET('Gastos com Pessoal'!$H$6,1,MATCH(4&amp;$B49,'Gastos com Pessoal'!$I$532:$AJ$532&amp;'Gastos com Pessoal'!$I$6:$AJ$6,0),500,1)),0)+_xlfn.IFNA(SUM((K$3&gt;='Gastos com Pessoal'!$E$7:$E$506)*(K$3&lt;='Gastos com Pessoal'!$F$7:$F$506)*(IF('Gastos com Pessoal'!$AE$7:$AE$506&lt;=K$3,1,0))*OFFSET('Gastos com Pessoal'!$H$6,1,MATCH(5&amp;$B49,'Gastos com Pessoal'!$I$532:$AJ$532&amp;'Gastos com Pessoal'!$I$6:$AJ$6,0),500,1)),0)+_xlfn.IFNA(SUM((K$3&gt;='Gastos com Pessoal'!$E$513:$E$522)*(K$3&lt;='Gastos com Pessoal'!$F$513:$F$522)*(IF('Gastos com Pessoal'!$G$513:$G$522&lt;=K$3,1,0))*OFFSET('Gastos com Pessoal'!$H$512,1,MATCH(1&amp;$B49,'Gastos com Pessoal'!$I$532:$AJ$532&amp;'Gastos com Pessoal'!$I$512:$AJ$512,0),10,1)),0)+_xlfn.IFNA(SUM((K$3&gt;='Gastos com Pessoal'!$E$513:$E$522)*(K$3&lt;='Gastos com Pessoal'!$F$513:$F$522)*(IF('Gastos com Pessoal'!$M$513:$M$522&lt;=K$3,1,0))*OFFSET('Gastos com Pessoal'!$H$512,1,MATCH(2&amp;$B49,'Gastos com Pessoal'!$I$532:$AJ$532&amp;'Gastos com Pessoal'!$I$512:$AJ$512,0),10,1)),0)+_xlfn.IFNA(SUM((K$3&gt;='Gastos com Pessoal'!$E$513:$E$522)*(K$3&lt;='Gastos com Pessoal'!$F$513:$F$522)*(IF('Gastos com Pessoal'!$S$513:$S$522&lt;=K$3,1,0))*OFFSET('Gastos com Pessoal'!$H$512,1,MATCH(3&amp;$B49,'Gastos com Pessoal'!$I$532:$AJ$532&amp;'Gastos com Pessoal'!$I$512:$AJ$512,0),10,1)),0)+_xlfn.IFNA(SUM((K$3&gt;='Gastos com Pessoal'!$E$513:$E$522)*(K$3&lt;='Gastos com Pessoal'!$F$513:$F$522)*(IF('Gastos com Pessoal'!$Y$513:$Y$522&lt;=K$3,1,0))*OFFSET('Gastos com Pessoal'!$H$512,1,MATCH(4&amp;$B49,'Gastos com Pessoal'!$I$532:$AJ$532&amp;'Gastos com Pessoal'!$I$512:$AJ$512,0),10,1)),0)+_xlfn.IFNA(SUM((K$3&gt;='Gastos com Pessoal'!$E$513:$E$522)*(K$3&lt;='Gastos com Pessoal'!$F$513:$F$522)*(IF('Gastos com Pessoal'!$AE$513:$AE$522&lt;=K$3,1,0))*OFFSET('Gastos com Pessoal'!$H$512,1,MATCH(5&amp;$B49,'Gastos com Pessoal'!$I$532:$AJ$532&amp;'Gastos com Pessoal'!$I$512:$AJ$512,0),10,1)),0)</f>
        <v>368614.51968000171</v>
      </c>
      <c r="L49" s="188">
        <f t="array" aca="1" ref="L49" ca="1">_xlfn.IFNA(SUM((L$3&gt;='Gastos com Pessoal'!$E$7:$E$506)*(L$3&lt;='Gastos com Pessoal'!$F$7:$F$506)*OFFSET('Encargos e Benefícios'!$D$5,1,MATCH($B49,'Encargos e Benefícios'!$E$5:$AB$5,0),500,1)),0)+_xlfn.IFNA(SUM((L$3&gt;='Gastos com Pessoal'!$E$513:$E$522)*(L$3&lt;='Gastos com Pessoal'!$F$513:$F$522)*OFFSET('Encargos e Benefícios'!$D$511,1,MATCH($B49,'Encargos e Benefícios'!$E$511:$AB$511,0),10,1)),0)+_xlfn.IFNA(SUM((L$3&gt;='Gastos com Pessoal'!$E$7:$E$506)*(L$3&lt;='Gastos com Pessoal'!$F$7:$F$506)*(IF('Gastos com Pessoal'!$G$7:$G$506&lt;=L$3,1,0))*OFFSET('Gastos com Pessoal'!$H$6,1,MATCH(1&amp;$B49,'Gastos com Pessoal'!$I$532:$AJ$532&amp;'Gastos com Pessoal'!$I$6:$AJ$6,0),500,1)),0)+_xlfn.IFNA(SUM((L$3&gt;='Gastos com Pessoal'!$E$7:$E$506)*(L$3&lt;='Gastos com Pessoal'!$F$7:$F$506)*(IF('Gastos com Pessoal'!$M$7:$M$506&lt;=L$3,1,0))*OFFSET('Gastos com Pessoal'!$H$6,1,MATCH(2&amp;$B49,'Gastos com Pessoal'!$I$532:$AJ$532&amp;'Gastos com Pessoal'!$I$6:$AJ$6,0),500,1)),0)+_xlfn.IFNA(SUM((L$3&gt;='Gastos com Pessoal'!$E$7:$E$506)*(L$3&lt;='Gastos com Pessoal'!$F$7:$F$506)*(IF('Gastos com Pessoal'!$S$7:$S$506&lt;=L$3,1,0))*OFFSET('Gastos com Pessoal'!$H$6,1,MATCH(3&amp;$B49,'Gastos com Pessoal'!$I$532:$AJ$532&amp;'Gastos com Pessoal'!$I$6:$AJ$6,0),500,1)),0)+_xlfn.IFNA(SUM((L$3&gt;='Gastos com Pessoal'!$E$7:$E$506)*(L$3&lt;='Gastos com Pessoal'!$F$7:$F$506)*(IF('Gastos com Pessoal'!$Y$7:$Y$506&lt;=L$3,1,0))*OFFSET('Gastos com Pessoal'!$H$6,1,MATCH(4&amp;$B49,'Gastos com Pessoal'!$I$532:$AJ$532&amp;'Gastos com Pessoal'!$I$6:$AJ$6,0),500,1)),0)+_xlfn.IFNA(SUM((L$3&gt;='Gastos com Pessoal'!$E$7:$E$506)*(L$3&lt;='Gastos com Pessoal'!$F$7:$F$506)*(IF('Gastos com Pessoal'!$AE$7:$AE$506&lt;=L$3,1,0))*OFFSET('Gastos com Pessoal'!$H$6,1,MATCH(5&amp;$B49,'Gastos com Pessoal'!$I$532:$AJ$532&amp;'Gastos com Pessoal'!$I$6:$AJ$6,0),500,1)),0)+_xlfn.IFNA(SUM((L$3&gt;='Gastos com Pessoal'!$E$513:$E$522)*(L$3&lt;='Gastos com Pessoal'!$F$513:$F$522)*(IF('Gastos com Pessoal'!$G$513:$G$522&lt;=L$3,1,0))*OFFSET('Gastos com Pessoal'!$H$512,1,MATCH(1&amp;$B49,'Gastos com Pessoal'!$I$532:$AJ$532&amp;'Gastos com Pessoal'!$I$512:$AJ$512,0),10,1)),0)+_xlfn.IFNA(SUM((L$3&gt;='Gastos com Pessoal'!$E$513:$E$522)*(L$3&lt;='Gastos com Pessoal'!$F$513:$F$522)*(IF('Gastos com Pessoal'!$M$513:$M$522&lt;=L$3,1,0))*OFFSET('Gastos com Pessoal'!$H$512,1,MATCH(2&amp;$B49,'Gastos com Pessoal'!$I$532:$AJ$532&amp;'Gastos com Pessoal'!$I$512:$AJ$512,0),10,1)),0)+_xlfn.IFNA(SUM((L$3&gt;='Gastos com Pessoal'!$E$513:$E$522)*(L$3&lt;='Gastos com Pessoal'!$F$513:$F$522)*(IF('Gastos com Pessoal'!$S$513:$S$522&lt;=L$3,1,0))*OFFSET('Gastos com Pessoal'!$H$512,1,MATCH(3&amp;$B49,'Gastos com Pessoal'!$I$532:$AJ$532&amp;'Gastos com Pessoal'!$I$512:$AJ$512,0),10,1)),0)+_xlfn.IFNA(SUM((L$3&gt;='Gastos com Pessoal'!$E$513:$E$522)*(L$3&lt;='Gastos com Pessoal'!$F$513:$F$522)*(IF('Gastos com Pessoal'!$Y$513:$Y$522&lt;=L$3,1,0))*OFFSET('Gastos com Pessoal'!$H$512,1,MATCH(4&amp;$B49,'Gastos com Pessoal'!$I$532:$AJ$532&amp;'Gastos com Pessoal'!$I$512:$AJ$512,0),10,1)),0)+_xlfn.IFNA(SUM((L$3&gt;='Gastos com Pessoal'!$E$513:$E$522)*(L$3&lt;='Gastos com Pessoal'!$F$513:$F$522)*(IF('Gastos com Pessoal'!$AE$513:$AE$522&lt;=L$3,1,0))*OFFSET('Gastos com Pessoal'!$H$512,1,MATCH(5&amp;$B49,'Gastos com Pessoal'!$I$532:$AJ$532&amp;'Gastos com Pessoal'!$I$512:$AJ$512,0),10,1)),0)</f>
        <v>369734.71968000178</v>
      </c>
      <c r="M49" s="188">
        <f t="array" aca="1" ref="M49" ca="1">_xlfn.IFNA(SUM((M$3&gt;='Gastos com Pessoal'!$E$7:$E$506)*(M$3&lt;='Gastos com Pessoal'!$F$7:$F$506)*OFFSET('Encargos e Benefícios'!$D$5,1,MATCH($B49,'Encargos e Benefícios'!$E$5:$AB$5,0),500,1)),0)+_xlfn.IFNA(SUM((M$3&gt;='Gastos com Pessoal'!$E$513:$E$522)*(M$3&lt;='Gastos com Pessoal'!$F$513:$F$522)*OFFSET('Encargos e Benefícios'!$D$511,1,MATCH($B49,'Encargos e Benefícios'!$E$511:$AB$511,0),10,1)),0)+_xlfn.IFNA(SUM((M$3&gt;='Gastos com Pessoal'!$E$7:$E$506)*(M$3&lt;='Gastos com Pessoal'!$F$7:$F$506)*(IF('Gastos com Pessoal'!$G$7:$G$506&lt;=M$3,1,0))*OFFSET('Gastos com Pessoal'!$H$6,1,MATCH(1&amp;$B49,'Gastos com Pessoal'!$I$532:$AJ$532&amp;'Gastos com Pessoal'!$I$6:$AJ$6,0),500,1)),0)+_xlfn.IFNA(SUM((M$3&gt;='Gastos com Pessoal'!$E$7:$E$506)*(M$3&lt;='Gastos com Pessoal'!$F$7:$F$506)*(IF('Gastos com Pessoal'!$M$7:$M$506&lt;=M$3,1,0))*OFFSET('Gastos com Pessoal'!$H$6,1,MATCH(2&amp;$B49,'Gastos com Pessoal'!$I$532:$AJ$532&amp;'Gastos com Pessoal'!$I$6:$AJ$6,0),500,1)),0)+_xlfn.IFNA(SUM((M$3&gt;='Gastos com Pessoal'!$E$7:$E$506)*(M$3&lt;='Gastos com Pessoal'!$F$7:$F$506)*(IF('Gastos com Pessoal'!$S$7:$S$506&lt;=M$3,1,0))*OFFSET('Gastos com Pessoal'!$H$6,1,MATCH(3&amp;$B49,'Gastos com Pessoal'!$I$532:$AJ$532&amp;'Gastos com Pessoal'!$I$6:$AJ$6,0),500,1)),0)+_xlfn.IFNA(SUM((M$3&gt;='Gastos com Pessoal'!$E$7:$E$506)*(M$3&lt;='Gastos com Pessoal'!$F$7:$F$506)*(IF('Gastos com Pessoal'!$Y$7:$Y$506&lt;=M$3,1,0))*OFFSET('Gastos com Pessoal'!$H$6,1,MATCH(4&amp;$B49,'Gastos com Pessoal'!$I$532:$AJ$532&amp;'Gastos com Pessoal'!$I$6:$AJ$6,0),500,1)),0)+_xlfn.IFNA(SUM((M$3&gt;='Gastos com Pessoal'!$E$7:$E$506)*(M$3&lt;='Gastos com Pessoal'!$F$7:$F$506)*(IF('Gastos com Pessoal'!$AE$7:$AE$506&lt;=M$3,1,0))*OFFSET('Gastos com Pessoal'!$H$6,1,MATCH(5&amp;$B49,'Gastos com Pessoal'!$I$532:$AJ$532&amp;'Gastos com Pessoal'!$I$6:$AJ$6,0),500,1)),0)+_xlfn.IFNA(SUM((M$3&gt;='Gastos com Pessoal'!$E$513:$E$522)*(M$3&lt;='Gastos com Pessoal'!$F$513:$F$522)*(IF('Gastos com Pessoal'!$G$513:$G$522&lt;=M$3,1,0))*OFFSET('Gastos com Pessoal'!$H$512,1,MATCH(1&amp;$B49,'Gastos com Pessoal'!$I$532:$AJ$532&amp;'Gastos com Pessoal'!$I$512:$AJ$512,0),10,1)),0)+_xlfn.IFNA(SUM((M$3&gt;='Gastos com Pessoal'!$E$513:$E$522)*(M$3&lt;='Gastos com Pessoal'!$F$513:$F$522)*(IF('Gastos com Pessoal'!$M$513:$M$522&lt;=M$3,1,0))*OFFSET('Gastos com Pessoal'!$H$512,1,MATCH(2&amp;$B49,'Gastos com Pessoal'!$I$532:$AJ$532&amp;'Gastos com Pessoal'!$I$512:$AJ$512,0),10,1)),0)+_xlfn.IFNA(SUM((M$3&gt;='Gastos com Pessoal'!$E$513:$E$522)*(M$3&lt;='Gastos com Pessoal'!$F$513:$F$522)*(IF('Gastos com Pessoal'!$S$513:$S$522&lt;=M$3,1,0))*OFFSET('Gastos com Pessoal'!$H$512,1,MATCH(3&amp;$B49,'Gastos com Pessoal'!$I$532:$AJ$532&amp;'Gastos com Pessoal'!$I$512:$AJ$512,0),10,1)),0)+_xlfn.IFNA(SUM((M$3&gt;='Gastos com Pessoal'!$E$513:$E$522)*(M$3&lt;='Gastos com Pessoal'!$F$513:$F$522)*(IF('Gastos com Pessoal'!$Y$513:$Y$522&lt;=M$3,1,0))*OFFSET('Gastos com Pessoal'!$H$512,1,MATCH(4&amp;$B49,'Gastos com Pessoal'!$I$532:$AJ$532&amp;'Gastos com Pessoal'!$I$512:$AJ$512,0),10,1)),0)+_xlfn.IFNA(SUM((M$3&gt;='Gastos com Pessoal'!$E$513:$E$522)*(M$3&lt;='Gastos com Pessoal'!$F$513:$F$522)*(IF('Gastos com Pessoal'!$AE$513:$AE$522&lt;=M$3,1,0))*OFFSET('Gastos com Pessoal'!$H$512,1,MATCH(5&amp;$B49,'Gastos com Pessoal'!$I$532:$AJ$532&amp;'Gastos com Pessoal'!$I$512:$AJ$512,0),10,1)),0)</f>
        <v>369734.71968000178</v>
      </c>
      <c r="N49" s="188">
        <f t="array" aca="1" ref="N49" ca="1">_xlfn.IFNA(SUM((N$3&gt;='Gastos com Pessoal'!$E$7:$E$506)*(N$3&lt;='Gastos com Pessoal'!$F$7:$F$506)*OFFSET('Encargos e Benefícios'!$D$5,1,MATCH($B49,'Encargos e Benefícios'!$E$5:$AB$5,0),500,1)),0)+_xlfn.IFNA(SUM((N$3&gt;='Gastos com Pessoal'!$E$513:$E$522)*(N$3&lt;='Gastos com Pessoal'!$F$513:$F$522)*OFFSET('Encargos e Benefícios'!$D$511,1,MATCH($B49,'Encargos e Benefícios'!$E$511:$AB$511,0),10,1)),0)+_xlfn.IFNA(SUM((N$3&gt;='Gastos com Pessoal'!$E$7:$E$506)*(N$3&lt;='Gastos com Pessoal'!$F$7:$F$506)*(IF('Gastos com Pessoal'!$G$7:$G$506&lt;=N$3,1,0))*OFFSET('Gastos com Pessoal'!$H$6,1,MATCH(1&amp;$B49,'Gastos com Pessoal'!$I$532:$AJ$532&amp;'Gastos com Pessoal'!$I$6:$AJ$6,0),500,1)),0)+_xlfn.IFNA(SUM((N$3&gt;='Gastos com Pessoal'!$E$7:$E$506)*(N$3&lt;='Gastos com Pessoal'!$F$7:$F$506)*(IF('Gastos com Pessoal'!$M$7:$M$506&lt;=N$3,1,0))*OFFSET('Gastos com Pessoal'!$H$6,1,MATCH(2&amp;$B49,'Gastos com Pessoal'!$I$532:$AJ$532&amp;'Gastos com Pessoal'!$I$6:$AJ$6,0),500,1)),0)+_xlfn.IFNA(SUM((N$3&gt;='Gastos com Pessoal'!$E$7:$E$506)*(N$3&lt;='Gastos com Pessoal'!$F$7:$F$506)*(IF('Gastos com Pessoal'!$S$7:$S$506&lt;=N$3,1,0))*OFFSET('Gastos com Pessoal'!$H$6,1,MATCH(3&amp;$B49,'Gastos com Pessoal'!$I$532:$AJ$532&amp;'Gastos com Pessoal'!$I$6:$AJ$6,0),500,1)),0)+_xlfn.IFNA(SUM((N$3&gt;='Gastos com Pessoal'!$E$7:$E$506)*(N$3&lt;='Gastos com Pessoal'!$F$7:$F$506)*(IF('Gastos com Pessoal'!$Y$7:$Y$506&lt;=N$3,1,0))*OFFSET('Gastos com Pessoal'!$H$6,1,MATCH(4&amp;$B49,'Gastos com Pessoal'!$I$532:$AJ$532&amp;'Gastos com Pessoal'!$I$6:$AJ$6,0),500,1)),0)+_xlfn.IFNA(SUM((N$3&gt;='Gastos com Pessoal'!$E$7:$E$506)*(N$3&lt;='Gastos com Pessoal'!$F$7:$F$506)*(IF('Gastos com Pessoal'!$AE$7:$AE$506&lt;=N$3,1,0))*OFFSET('Gastos com Pessoal'!$H$6,1,MATCH(5&amp;$B49,'Gastos com Pessoal'!$I$532:$AJ$532&amp;'Gastos com Pessoal'!$I$6:$AJ$6,0),500,1)),0)+_xlfn.IFNA(SUM((N$3&gt;='Gastos com Pessoal'!$E$513:$E$522)*(N$3&lt;='Gastos com Pessoal'!$F$513:$F$522)*(IF('Gastos com Pessoal'!$G$513:$G$522&lt;=N$3,1,0))*OFFSET('Gastos com Pessoal'!$H$512,1,MATCH(1&amp;$B49,'Gastos com Pessoal'!$I$532:$AJ$532&amp;'Gastos com Pessoal'!$I$512:$AJ$512,0),10,1)),0)+_xlfn.IFNA(SUM((N$3&gt;='Gastos com Pessoal'!$E$513:$E$522)*(N$3&lt;='Gastos com Pessoal'!$F$513:$F$522)*(IF('Gastos com Pessoal'!$M$513:$M$522&lt;=N$3,1,0))*OFFSET('Gastos com Pessoal'!$H$512,1,MATCH(2&amp;$B49,'Gastos com Pessoal'!$I$532:$AJ$532&amp;'Gastos com Pessoal'!$I$512:$AJ$512,0),10,1)),0)+_xlfn.IFNA(SUM((N$3&gt;='Gastos com Pessoal'!$E$513:$E$522)*(N$3&lt;='Gastos com Pessoal'!$F$513:$F$522)*(IF('Gastos com Pessoal'!$S$513:$S$522&lt;=N$3,1,0))*OFFSET('Gastos com Pessoal'!$H$512,1,MATCH(3&amp;$B49,'Gastos com Pessoal'!$I$532:$AJ$532&amp;'Gastos com Pessoal'!$I$512:$AJ$512,0),10,1)),0)+_xlfn.IFNA(SUM((N$3&gt;='Gastos com Pessoal'!$E$513:$E$522)*(N$3&lt;='Gastos com Pessoal'!$F$513:$F$522)*(IF('Gastos com Pessoal'!$Y$513:$Y$522&lt;=N$3,1,0))*OFFSET('Gastos com Pessoal'!$H$512,1,MATCH(4&amp;$B49,'Gastos com Pessoal'!$I$532:$AJ$532&amp;'Gastos com Pessoal'!$I$512:$AJ$512,0),10,1)),0)+_xlfn.IFNA(SUM((N$3&gt;='Gastos com Pessoal'!$E$513:$E$522)*(N$3&lt;='Gastos com Pessoal'!$F$513:$F$522)*(IF('Gastos com Pessoal'!$AE$513:$AE$522&lt;=N$3,1,0))*OFFSET('Gastos com Pessoal'!$H$512,1,MATCH(5&amp;$B49,'Gastos com Pessoal'!$I$532:$AJ$532&amp;'Gastos com Pessoal'!$I$512:$AJ$512,0),10,1)),0)</f>
        <v>387097.81968000194</v>
      </c>
      <c r="O49" s="188">
        <f t="array" aca="1" ref="O49" ca="1">_xlfn.IFNA(SUM((O$3&gt;='Gastos com Pessoal'!$E$7:$E$506)*(O$3&lt;='Gastos com Pessoal'!$F$7:$F$506)*OFFSET('Encargos e Benefícios'!$D$5,1,MATCH($B49,'Encargos e Benefícios'!$E$5:$AB$5,0),500,1)),0)+_xlfn.IFNA(SUM((O$3&gt;='Gastos com Pessoal'!$E$513:$E$522)*(O$3&lt;='Gastos com Pessoal'!$F$513:$F$522)*OFFSET('Encargos e Benefícios'!$D$511,1,MATCH($B49,'Encargos e Benefícios'!$E$511:$AB$511,0),10,1)),0)+_xlfn.IFNA(SUM((O$3&gt;='Gastos com Pessoal'!$E$7:$E$506)*(O$3&lt;='Gastos com Pessoal'!$F$7:$F$506)*(IF('Gastos com Pessoal'!$G$7:$G$506&lt;=O$3,1,0))*OFFSET('Gastos com Pessoal'!$H$6,1,MATCH(1&amp;$B49,'Gastos com Pessoal'!$I$532:$AJ$532&amp;'Gastos com Pessoal'!$I$6:$AJ$6,0),500,1)),0)+_xlfn.IFNA(SUM((O$3&gt;='Gastos com Pessoal'!$E$7:$E$506)*(O$3&lt;='Gastos com Pessoal'!$F$7:$F$506)*(IF('Gastos com Pessoal'!$M$7:$M$506&lt;=O$3,1,0))*OFFSET('Gastos com Pessoal'!$H$6,1,MATCH(2&amp;$B49,'Gastos com Pessoal'!$I$532:$AJ$532&amp;'Gastos com Pessoal'!$I$6:$AJ$6,0),500,1)),0)+_xlfn.IFNA(SUM((O$3&gt;='Gastos com Pessoal'!$E$7:$E$506)*(O$3&lt;='Gastos com Pessoal'!$F$7:$F$506)*(IF('Gastos com Pessoal'!$S$7:$S$506&lt;=O$3,1,0))*OFFSET('Gastos com Pessoal'!$H$6,1,MATCH(3&amp;$B49,'Gastos com Pessoal'!$I$532:$AJ$532&amp;'Gastos com Pessoal'!$I$6:$AJ$6,0),500,1)),0)+_xlfn.IFNA(SUM((O$3&gt;='Gastos com Pessoal'!$E$7:$E$506)*(O$3&lt;='Gastos com Pessoal'!$F$7:$F$506)*(IF('Gastos com Pessoal'!$Y$7:$Y$506&lt;=O$3,1,0))*OFFSET('Gastos com Pessoal'!$H$6,1,MATCH(4&amp;$B49,'Gastos com Pessoal'!$I$532:$AJ$532&amp;'Gastos com Pessoal'!$I$6:$AJ$6,0),500,1)),0)+_xlfn.IFNA(SUM((O$3&gt;='Gastos com Pessoal'!$E$7:$E$506)*(O$3&lt;='Gastos com Pessoal'!$F$7:$F$506)*(IF('Gastos com Pessoal'!$AE$7:$AE$506&lt;=O$3,1,0))*OFFSET('Gastos com Pessoal'!$H$6,1,MATCH(5&amp;$B49,'Gastos com Pessoal'!$I$532:$AJ$532&amp;'Gastos com Pessoal'!$I$6:$AJ$6,0),500,1)),0)+_xlfn.IFNA(SUM((O$3&gt;='Gastos com Pessoal'!$E$513:$E$522)*(O$3&lt;='Gastos com Pessoal'!$F$513:$F$522)*(IF('Gastos com Pessoal'!$G$513:$G$522&lt;=O$3,1,0))*OFFSET('Gastos com Pessoal'!$H$512,1,MATCH(1&amp;$B49,'Gastos com Pessoal'!$I$532:$AJ$532&amp;'Gastos com Pessoal'!$I$512:$AJ$512,0),10,1)),0)+_xlfn.IFNA(SUM((O$3&gt;='Gastos com Pessoal'!$E$513:$E$522)*(O$3&lt;='Gastos com Pessoal'!$F$513:$F$522)*(IF('Gastos com Pessoal'!$M$513:$M$522&lt;=O$3,1,0))*OFFSET('Gastos com Pessoal'!$H$512,1,MATCH(2&amp;$B49,'Gastos com Pessoal'!$I$532:$AJ$532&amp;'Gastos com Pessoal'!$I$512:$AJ$512,0),10,1)),0)+_xlfn.IFNA(SUM((O$3&gt;='Gastos com Pessoal'!$E$513:$E$522)*(O$3&lt;='Gastos com Pessoal'!$F$513:$F$522)*(IF('Gastos com Pessoal'!$S$513:$S$522&lt;=O$3,1,0))*OFFSET('Gastos com Pessoal'!$H$512,1,MATCH(3&amp;$B49,'Gastos com Pessoal'!$I$532:$AJ$532&amp;'Gastos com Pessoal'!$I$512:$AJ$512,0),10,1)),0)+_xlfn.IFNA(SUM((O$3&gt;='Gastos com Pessoal'!$E$513:$E$522)*(O$3&lt;='Gastos com Pessoal'!$F$513:$F$522)*(IF('Gastos com Pessoal'!$Y$513:$Y$522&lt;=O$3,1,0))*OFFSET('Gastos com Pessoal'!$H$512,1,MATCH(4&amp;$B49,'Gastos com Pessoal'!$I$532:$AJ$532&amp;'Gastos com Pessoal'!$I$512:$AJ$512,0),10,1)),0)+_xlfn.IFNA(SUM((O$3&gt;='Gastos com Pessoal'!$E$513:$E$522)*(O$3&lt;='Gastos com Pessoal'!$F$513:$F$522)*(IF('Gastos com Pessoal'!$AE$513:$AE$522&lt;=O$3,1,0))*OFFSET('Gastos com Pessoal'!$H$512,1,MATCH(5&amp;$B49,'Gastos com Pessoal'!$I$532:$AJ$532&amp;'Gastos com Pessoal'!$I$512:$AJ$512,0),10,1)),0)</f>
        <v>387097.81968000194</v>
      </c>
      <c r="P49" s="188">
        <f t="array" aca="1" ref="P49" ca="1">_xlfn.IFNA(SUM((P$3&gt;='Gastos com Pessoal'!$E$7:$E$506)*(P$3&lt;='Gastos com Pessoal'!$F$7:$F$506)*OFFSET('Encargos e Benefícios'!$D$5,1,MATCH($B49,'Encargos e Benefícios'!$E$5:$AB$5,0),500,1)),0)+_xlfn.IFNA(SUM((P$3&gt;='Gastos com Pessoal'!$E$513:$E$522)*(P$3&lt;='Gastos com Pessoal'!$F$513:$F$522)*OFFSET('Encargos e Benefícios'!$D$511,1,MATCH($B49,'Encargos e Benefícios'!$E$511:$AB$511,0),10,1)),0)+_xlfn.IFNA(SUM((P$3&gt;='Gastos com Pessoal'!$E$7:$E$506)*(P$3&lt;='Gastos com Pessoal'!$F$7:$F$506)*(IF('Gastos com Pessoal'!$G$7:$G$506&lt;=P$3,1,0))*OFFSET('Gastos com Pessoal'!$H$6,1,MATCH(1&amp;$B49,'Gastos com Pessoal'!$I$532:$AJ$532&amp;'Gastos com Pessoal'!$I$6:$AJ$6,0),500,1)),0)+_xlfn.IFNA(SUM((P$3&gt;='Gastos com Pessoal'!$E$7:$E$506)*(P$3&lt;='Gastos com Pessoal'!$F$7:$F$506)*(IF('Gastos com Pessoal'!$M$7:$M$506&lt;=P$3,1,0))*OFFSET('Gastos com Pessoal'!$H$6,1,MATCH(2&amp;$B49,'Gastos com Pessoal'!$I$532:$AJ$532&amp;'Gastos com Pessoal'!$I$6:$AJ$6,0),500,1)),0)+_xlfn.IFNA(SUM((P$3&gt;='Gastos com Pessoal'!$E$7:$E$506)*(P$3&lt;='Gastos com Pessoal'!$F$7:$F$506)*(IF('Gastos com Pessoal'!$S$7:$S$506&lt;=P$3,1,0))*OFFSET('Gastos com Pessoal'!$H$6,1,MATCH(3&amp;$B49,'Gastos com Pessoal'!$I$532:$AJ$532&amp;'Gastos com Pessoal'!$I$6:$AJ$6,0),500,1)),0)+_xlfn.IFNA(SUM((P$3&gt;='Gastos com Pessoal'!$E$7:$E$506)*(P$3&lt;='Gastos com Pessoal'!$F$7:$F$506)*(IF('Gastos com Pessoal'!$Y$7:$Y$506&lt;=P$3,1,0))*OFFSET('Gastos com Pessoal'!$H$6,1,MATCH(4&amp;$B49,'Gastos com Pessoal'!$I$532:$AJ$532&amp;'Gastos com Pessoal'!$I$6:$AJ$6,0),500,1)),0)+_xlfn.IFNA(SUM((P$3&gt;='Gastos com Pessoal'!$E$7:$E$506)*(P$3&lt;='Gastos com Pessoal'!$F$7:$F$506)*(IF('Gastos com Pessoal'!$AE$7:$AE$506&lt;=P$3,1,0))*OFFSET('Gastos com Pessoal'!$H$6,1,MATCH(5&amp;$B49,'Gastos com Pessoal'!$I$532:$AJ$532&amp;'Gastos com Pessoal'!$I$6:$AJ$6,0),500,1)),0)+_xlfn.IFNA(SUM((P$3&gt;='Gastos com Pessoal'!$E$513:$E$522)*(P$3&lt;='Gastos com Pessoal'!$F$513:$F$522)*(IF('Gastos com Pessoal'!$G$513:$G$522&lt;=P$3,1,0))*OFFSET('Gastos com Pessoal'!$H$512,1,MATCH(1&amp;$B49,'Gastos com Pessoal'!$I$532:$AJ$532&amp;'Gastos com Pessoal'!$I$512:$AJ$512,0),10,1)),0)+_xlfn.IFNA(SUM((P$3&gt;='Gastos com Pessoal'!$E$513:$E$522)*(P$3&lt;='Gastos com Pessoal'!$F$513:$F$522)*(IF('Gastos com Pessoal'!$M$513:$M$522&lt;=P$3,1,0))*OFFSET('Gastos com Pessoal'!$H$512,1,MATCH(2&amp;$B49,'Gastos com Pessoal'!$I$532:$AJ$532&amp;'Gastos com Pessoal'!$I$512:$AJ$512,0),10,1)),0)+_xlfn.IFNA(SUM((P$3&gt;='Gastos com Pessoal'!$E$513:$E$522)*(P$3&lt;='Gastos com Pessoal'!$F$513:$F$522)*(IF('Gastos com Pessoal'!$S$513:$S$522&lt;=P$3,1,0))*OFFSET('Gastos com Pessoal'!$H$512,1,MATCH(3&amp;$B49,'Gastos com Pessoal'!$I$532:$AJ$532&amp;'Gastos com Pessoal'!$I$512:$AJ$512,0),10,1)),0)+_xlfn.IFNA(SUM((P$3&gt;='Gastos com Pessoal'!$E$513:$E$522)*(P$3&lt;='Gastos com Pessoal'!$F$513:$F$522)*(IF('Gastos com Pessoal'!$Y$513:$Y$522&lt;=P$3,1,0))*OFFSET('Gastos com Pessoal'!$H$512,1,MATCH(4&amp;$B49,'Gastos com Pessoal'!$I$532:$AJ$532&amp;'Gastos com Pessoal'!$I$512:$AJ$512,0),10,1)),0)+_xlfn.IFNA(SUM((P$3&gt;='Gastos com Pessoal'!$E$513:$E$522)*(P$3&lt;='Gastos com Pessoal'!$F$513:$F$522)*(IF('Gastos com Pessoal'!$AE$513:$AE$522&lt;=P$3,1,0))*OFFSET('Gastos com Pessoal'!$H$512,1,MATCH(5&amp;$B49,'Gastos com Pessoal'!$I$532:$AJ$532&amp;'Gastos com Pessoal'!$I$512:$AJ$512,0),10,1)),0)</f>
        <v>387097.81968000194</v>
      </c>
      <c r="Q49" s="188">
        <f t="array" aca="1" ref="Q49" ca="1">_xlfn.IFNA(SUM((Q$3&gt;='Gastos com Pessoal'!$E$7:$E$506)*(Q$3&lt;='Gastos com Pessoal'!$F$7:$F$506)*OFFSET('Encargos e Benefícios'!$D$5,1,MATCH($B49,'Encargos e Benefícios'!$E$5:$AB$5,0),500,1)),0)+_xlfn.IFNA(SUM((Q$3&gt;='Gastos com Pessoal'!$E$513:$E$522)*(Q$3&lt;='Gastos com Pessoal'!$F$513:$F$522)*OFFSET('Encargos e Benefícios'!$D$511,1,MATCH($B49,'Encargos e Benefícios'!$E$511:$AB$511,0),10,1)),0)+_xlfn.IFNA(SUM((Q$3&gt;='Gastos com Pessoal'!$E$7:$E$506)*(Q$3&lt;='Gastos com Pessoal'!$F$7:$F$506)*(IF('Gastos com Pessoal'!$G$7:$G$506&lt;=Q$3,1,0))*OFFSET('Gastos com Pessoal'!$H$6,1,MATCH(1&amp;$B49,'Gastos com Pessoal'!$I$532:$AJ$532&amp;'Gastos com Pessoal'!$I$6:$AJ$6,0),500,1)),0)+_xlfn.IFNA(SUM((Q$3&gt;='Gastos com Pessoal'!$E$7:$E$506)*(Q$3&lt;='Gastos com Pessoal'!$F$7:$F$506)*(IF('Gastos com Pessoal'!$M$7:$M$506&lt;=Q$3,1,0))*OFFSET('Gastos com Pessoal'!$H$6,1,MATCH(2&amp;$B49,'Gastos com Pessoal'!$I$532:$AJ$532&amp;'Gastos com Pessoal'!$I$6:$AJ$6,0),500,1)),0)+_xlfn.IFNA(SUM((Q$3&gt;='Gastos com Pessoal'!$E$7:$E$506)*(Q$3&lt;='Gastos com Pessoal'!$F$7:$F$506)*(IF('Gastos com Pessoal'!$S$7:$S$506&lt;=Q$3,1,0))*OFFSET('Gastos com Pessoal'!$H$6,1,MATCH(3&amp;$B49,'Gastos com Pessoal'!$I$532:$AJ$532&amp;'Gastos com Pessoal'!$I$6:$AJ$6,0),500,1)),0)+_xlfn.IFNA(SUM((Q$3&gt;='Gastos com Pessoal'!$E$7:$E$506)*(Q$3&lt;='Gastos com Pessoal'!$F$7:$F$506)*(IF('Gastos com Pessoal'!$Y$7:$Y$506&lt;=Q$3,1,0))*OFFSET('Gastos com Pessoal'!$H$6,1,MATCH(4&amp;$B49,'Gastos com Pessoal'!$I$532:$AJ$532&amp;'Gastos com Pessoal'!$I$6:$AJ$6,0),500,1)),0)+_xlfn.IFNA(SUM((Q$3&gt;='Gastos com Pessoal'!$E$7:$E$506)*(Q$3&lt;='Gastos com Pessoal'!$F$7:$F$506)*(IF('Gastos com Pessoal'!$AE$7:$AE$506&lt;=Q$3,1,0))*OFFSET('Gastos com Pessoal'!$H$6,1,MATCH(5&amp;$B49,'Gastos com Pessoal'!$I$532:$AJ$532&amp;'Gastos com Pessoal'!$I$6:$AJ$6,0),500,1)),0)+_xlfn.IFNA(SUM((Q$3&gt;='Gastos com Pessoal'!$E$513:$E$522)*(Q$3&lt;='Gastos com Pessoal'!$F$513:$F$522)*(IF('Gastos com Pessoal'!$G$513:$G$522&lt;=Q$3,1,0))*OFFSET('Gastos com Pessoal'!$H$512,1,MATCH(1&amp;$B49,'Gastos com Pessoal'!$I$532:$AJ$532&amp;'Gastos com Pessoal'!$I$512:$AJ$512,0),10,1)),0)+_xlfn.IFNA(SUM((Q$3&gt;='Gastos com Pessoal'!$E$513:$E$522)*(Q$3&lt;='Gastos com Pessoal'!$F$513:$F$522)*(IF('Gastos com Pessoal'!$M$513:$M$522&lt;=Q$3,1,0))*OFFSET('Gastos com Pessoal'!$H$512,1,MATCH(2&amp;$B49,'Gastos com Pessoal'!$I$532:$AJ$532&amp;'Gastos com Pessoal'!$I$512:$AJ$512,0),10,1)),0)+_xlfn.IFNA(SUM((Q$3&gt;='Gastos com Pessoal'!$E$513:$E$522)*(Q$3&lt;='Gastos com Pessoal'!$F$513:$F$522)*(IF('Gastos com Pessoal'!$S$513:$S$522&lt;=Q$3,1,0))*OFFSET('Gastos com Pessoal'!$H$512,1,MATCH(3&amp;$B49,'Gastos com Pessoal'!$I$532:$AJ$532&amp;'Gastos com Pessoal'!$I$512:$AJ$512,0),10,1)),0)+_xlfn.IFNA(SUM((Q$3&gt;='Gastos com Pessoal'!$E$513:$E$522)*(Q$3&lt;='Gastos com Pessoal'!$F$513:$F$522)*(IF('Gastos com Pessoal'!$Y$513:$Y$522&lt;=Q$3,1,0))*OFFSET('Gastos com Pessoal'!$H$512,1,MATCH(4&amp;$B49,'Gastos com Pessoal'!$I$532:$AJ$532&amp;'Gastos com Pessoal'!$I$512:$AJ$512,0),10,1)),0)+_xlfn.IFNA(SUM((Q$3&gt;='Gastos com Pessoal'!$E$513:$E$522)*(Q$3&lt;='Gastos com Pessoal'!$F$513:$F$522)*(IF('Gastos com Pessoal'!$AE$513:$AE$522&lt;=Q$3,1,0))*OFFSET('Gastos com Pessoal'!$H$512,1,MATCH(5&amp;$B49,'Gastos com Pessoal'!$I$532:$AJ$532&amp;'Gastos com Pessoal'!$I$512:$AJ$512,0),10,1)),0)</f>
        <v>387097.81968000194</v>
      </c>
      <c r="R49" s="188">
        <f t="array" aca="1" ref="R49" ca="1">_xlfn.IFNA(SUM((R$3&gt;='Gastos com Pessoal'!$E$7:$E$506)*(R$3&lt;='Gastos com Pessoal'!$F$7:$F$506)*OFFSET('Encargos e Benefícios'!$D$5,1,MATCH($B49,'Encargos e Benefícios'!$E$5:$AB$5,0),500,1)),0)+_xlfn.IFNA(SUM((R$3&gt;='Gastos com Pessoal'!$E$513:$E$522)*(R$3&lt;='Gastos com Pessoal'!$F$513:$F$522)*OFFSET('Encargos e Benefícios'!$D$511,1,MATCH($B49,'Encargos e Benefícios'!$E$511:$AB$511,0),10,1)),0)+_xlfn.IFNA(SUM((R$3&gt;='Gastos com Pessoal'!$E$7:$E$506)*(R$3&lt;='Gastos com Pessoal'!$F$7:$F$506)*(IF('Gastos com Pessoal'!$G$7:$G$506&lt;=R$3,1,0))*OFFSET('Gastos com Pessoal'!$H$6,1,MATCH(1&amp;$B49,'Gastos com Pessoal'!$I$532:$AJ$532&amp;'Gastos com Pessoal'!$I$6:$AJ$6,0),500,1)),0)+_xlfn.IFNA(SUM((R$3&gt;='Gastos com Pessoal'!$E$7:$E$506)*(R$3&lt;='Gastos com Pessoal'!$F$7:$F$506)*(IF('Gastos com Pessoal'!$M$7:$M$506&lt;=R$3,1,0))*OFFSET('Gastos com Pessoal'!$H$6,1,MATCH(2&amp;$B49,'Gastos com Pessoal'!$I$532:$AJ$532&amp;'Gastos com Pessoal'!$I$6:$AJ$6,0),500,1)),0)+_xlfn.IFNA(SUM((R$3&gt;='Gastos com Pessoal'!$E$7:$E$506)*(R$3&lt;='Gastos com Pessoal'!$F$7:$F$506)*(IF('Gastos com Pessoal'!$S$7:$S$506&lt;=R$3,1,0))*OFFSET('Gastos com Pessoal'!$H$6,1,MATCH(3&amp;$B49,'Gastos com Pessoal'!$I$532:$AJ$532&amp;'Gastos com Pessoal'!$I$6:$AJ$6,0),500,1)),0)+_xlfn.IFNA(SUM((R$3&gt;='Gastos com Pessoal'!$E$7:$E$506)*(R$3&lt;='Gastos com Pessoal'!$F$7:$F$506)*(IF('Gastos com Pessoal'!$Y$7:$Y$506&lt;=R$3,1,0))*OFFSET('Gastos com Pessoal'!$H$6,1,MATCH(4&amp;$B49,'Gastos com Pessoal'!$I$532:$AJ$532&amp;'Gastos com Pessoal'!$I$6:$AJ$6,0),500,1)),0)+_xlfn.IFNA(SUM((R$3&gt;='Gastos com Pessoal'!$E$7:$E$506)*(R$3&lt;='Gastos com Pessoal'!$F$7:$F$506)*(IF('Gastos com Pessoal'!$AE$7:$AE$506&lt;=R$3,1,0))*OFFSET('Gastos com Pessoal'!$H$6,1,MATCH(5&amp;$B49,'Gastos com Pessoal'!$I$532:$AJ$532&amp;'Gastos com Pessoal'!$I$6:$AJ$6,0),500,1)),0)+_xlfn.IFNA(SUM((R$3&gt;='Gastos com Pessoal'!$E$513:$E$522)*(R$3&lt;='Gastos com Pessoal'!$F$513:$F$522)*(IF('Gastos com Pessoal'!$G$513:$G$522&lt;=R$3,1,0))*OFFSET('Gastos com Pessoal'!$H$512,1,MATCH(1&amp;$B49,'Gastos com Pessoal'!$I$532:$AJ$532&amp;'Gastos com Pessoal'!$I$512:$AJ$512,0),10,1)),0)+_xlfn.IFNA(SUM((R$3&gt;='Gastos com Pessoal'!$E$513:$E$522)*(R$3&lt;='Gastos com Pessoal'!$F$513:$F$522)*(IF('Gastos com Pessoal'!$M$513:$M$522&lt;=R$3,1,0))*OFFSET('Gastos com Pessoal'!$H$512,1,MATCH(2&amp;$B49,'Gastos com Pessoal'!$I$532:$AJ$532&amp;'Gastos com Pessoal'!$I$512:$AJ$512,0),10,1)),0)+_xlfn.IFNA(SUM((R$3&gt;='Gastos com Pessoal'!$E$513:$E$522)*(R$3&lt;='Gastos com Pessoal'!$F$513:$F$522)*(IF('Gastos com Pessoal'!$S$513:$S$522&lt;=R$3,1,0))*OFFSET('Gastos com Pessoal'!$H$512,1,MATCH(3&amp;$B49,'Gastos com Pessoal'!$I$532:$AJ$532&amp;'Gastos com Pessoal'!$I$512:$AJ$512,0),10,1)),0)+_xlfn.IFNA(SUM((R$3&gt;='Gastos com Pessoal'!$E$513:$E$522)*(R$3&lt;='Gastos com Pessoal'!$F$513:$F$522)*(IF('Gastos com Pessoal'!$Y$513:$Y$522&lt;=R$3,1,0))*OFFSET('Gastos com Pessoal'!$H$512,1,MATCH(4&amp;$B49,'Gastos com Pessoal'!$I$532:$AJ$532&amp;'Gastos com Pessoal'!$I$512:$AJ$512,0),10,1)),0)+_xlfn.IFNA(SUM((R$3&gt;='Gastos com Pessoal'!$E$513:$E$522)*(R$3&lt;='Gastos com Pessoal'!$F$513:$F$522)*(IF('Gastos com Pessoal'!$AE$513:$AE$522&lt;=R$3,1,0))*OFFSET('Gastos com Pessoal'!$H$512,1,MATCH(5&amp;$B49,'Gastos com Pessoal'!$I$532:$AJ$532&amp;'Gastos com Pessoal'!$I$512:$AJ$512,0),10,1)),0)</f>
        <v>387097.81968000194</v>
      </c>
      <c r="S49" s="188">
        <f t="array" aca="1" ref="S49" ca="1">_xlfn.IFNA(SUM((S$3&gt;='Gastos com Pessoal'!$E$7:$E$506)*(S$3&lt;='Gastos com Pessoal'!$F$7:$F$506)*OFFSET('Encargos e Benefícios'!$D$5,1,MATCH($B49,'Encargos e Benefícios'!$E$5:$AB$5,0),500,1)),0)+_xlfn.IFNA(SUM((S$3&gt;='Gastos com Pessoal'!$E$513:$E$522)*(S$3&lt;='Gastos com Pessoal'!$F$513:$F$522)*OFFSET('Encargos e Benefícios'!$D$511,1,MATCH($B49,'Encargos e Benefícios'!$E$511:$AB$511,0),10,1)),0)+_xlfn.IFNA(SUM((S$3&gt;='Gastos com Pessoal'!$E$7:$E$506)*(S$3&lt;='Gastos com Pessoal'!$F$7:$F$506)*(IF('Gastos com Pessoal'!$G$7:$G$506&lt;=S$3,1,0))*OFFSET('Gastos com Pessoal'!$H$6,1,MATCH(1&amp;$B49,'Gastos com Pessoal'!$I$532:$AJ$532&amp;'Gastos com Pessoal'!$I$6:$AJ$6,0),500,1)),0)+_xlfn.IFNA(SUM((S$3&gt;='Gastos com Pessoal'!$E$7:$E$506)*(S$3&lt;='Gastos com Pessoal'!$F$7:$F$506)*(IF('Gastos com Pessoal'!$M$7:$M$506&lt;=S$3,1,0))*OFFSET('Gastos com Pessoal'!$H$6,1,MATCH(2&amp;$B49,'Gastos com Pessoal'!$I$532:$AJ$532&amp;'Gastos com Pessoal'!$I$6:$AJ$6,0),500,1)),0)+_xlfn.IFNA(SUM((S$3&gt;='Gastos com Pessoal'!$E$7:$E$506)*(S$3&lt;='Gastos com Pessoal'!$F$7:$F$506)*(IF('Gastos com Pessoal'!$S$7:$S$506&lt;=S$3,1,0))*OFFSET('Gastos com Pessoal'!$H$6,1,MATCH(3&amp;$B49,'Gastos com Pessoal'!$I$532:$AJ$532&amp;'Gastos com Pessoal'!$I$6:$AJ$6,0),500,1)),0)+_xlfn.IFNA(SUM((S$3&gt;='Gastos com Pessoal'!$E$7:$E$506)*(S$3&lt;='Gastos com Pessoal'!$F$7:$F$506)*(IF('Gastos com Pessoal'!$Y$7:$Y$506&lt;=S$3,1,0))*OFFSET('Gastos com Pessoal'!$H$6,1,MATCH(4&amp;$B49,'Gastos com Pessoal'!$I$532:$AJ$532&amp;'Gastos com Pessoal'!$I$6:$AJ$6,0),500,1)),0)+_xlfn.IFNA(SUM((S$3&gt;='Gastos com Pessoal'!$E$7:$E$506)*(S$3&lt;='Gastos com Pessoal'!$F$7:$F$506)*(IF('Gastos com Pessoal'!$AE$7:$AE$506&lt;=S$3,1,0))*OFFSET('Gastos com Pessoal'!$H$6,1,MATCH(5&amp;$B49,'Gastos com Pessoal'!$I$532:$AJ$532&amp;'Gastos com Pessoal'!$I$6:$AJ$6,0),500,1)),0)+_xlfn.IFNA(SUM((S$3&gt;='Gastos com Pessoal'!$E$513:$E$522)*(S$3&lt;='Gastos com Pessoal'!$F$513:$F$522)*(IF('Gastos com Pessoal'!$G$513:$G$522&lt;=S$3,1,0))*OFFSET('Gastos com Pessoal'!$H$512,1,MATCH(1&amp;$B49,'Gastos com Pessoal'!$I$532:$AJ$532&amp;'Gastos com Pessoal'!$I$512:$AJ$512,0),10,1)),0)+_xlfn.IFNA(SUM((S$3&gt;='Gastos com Pessoal'!$E$513:$E$522)*(S$3&lt;='Gastos com Pessoal'!$F$513:$F$522)*(IF('Gastos com Pessoal'!$M$513:$M$522&lt;=S$3,1,0))*OFFSET('Gastos com Pessoal'!$H$512,1,MATCH(2&amp;$B49,'Gastos com Pessoal'!$I$532:$AJ$532&amp;'Gastos com Pessoal'!$I$512:$AJ$512,0),10,1)),0)+_xlfn.IFNA(SUM((S$3&gt;='Gastos com Pessoal'!$E$513:$E$522)*(S$3&lt;='Gastos com Pessoal'!$F$513:$F$522)*(IF('Gastos com Pessoal'!$S$513:$S$522&lt;=S$3,1,0))*OFFSET('Gastos com Pessoal'!$H$512,1,MATCH(3&amp;$B49,'Gastos com Pessoal'!$I$532:$AJ$532&amp;'Gastos com Pessoal'!$I$512:$AJ$512,0),10,1)),0)+_xlfn.IFNA(SUM((S$3&gt;='Gastos com Pessoal'!$E$513:$E$522)*(S$3&lt;='Gastos com Pessoal'!$F$513:$F$522)*(IF('Gastos com Pessoal'!$Y$513:$Y$522&lt;=S$3,1,0))*OFFSET('Gastos com Pessoal'!$H$512,1,MATCH(4&amp;$B49,'Gastos com Pessoal'!$I$532:$AJ$532&amp;'Gastos com Pessoal'!$I$512:$AJ$512,0),10,1)),0)+_xlfn.IFNA(SUM((S$3&gt;='Gastos com Pessoal'!$E$513:$E$522)*(S$3&lt;='Gastos com Pessoal'!$F$513:$F$522)*(IF('Gastos com Pessoal'!$AE$513:$AE$522&lt;=S$3,1,0))*OFFSET('Gastos com Pessoal'!$H$512,1,MATCH(5&amp;$B49,'Gastos com Pessoal'!$I$532:$AJ$532&amp;'Gastos com Pessoal'!$I$512:$AJ$512,0),10,1)),0)</f>
        <v>409704.33234931383</v>
      </c>
      <c r="T49" s="188">
        <f t="array" aca="1" ref="T49" ca="1">_xlfn.IFNA(SUM((T$3&gt;='Gastos com Pessoal'!$E$7:$E$506)*(T$3&lt;='Gastos com Pessoal'!$F$7:$F$506)*OFFSET('Encargos e Benefícios'!$D$5,1,MATCH($B49,'Encargos e Benefícios'!$E$5:$AB$5,0),500,1)),0)+_xlfn.IFNA(SUM((T$3&gt;='Gastos com Pessoal'!$E$513:$E$522)*(T$3&lt;='Gastos com Pessoal'!$F$513:$F$522)*OFFSET('Encargos e Benefícios'!$D$511,1,MATCH($B49,'Encargos e Benefícios'!$E$511:$AB$511,0),10,1)),0)+_xlfn.IFNA(SUM((T$3&gt;='Gastos com Pessoal'!$E$7:$E$506)*(T$3&lt;='Gastos com Pessoal'!$F$7:$F$506)*(IF('Gastos com Pessoal'!$G$7:$G$506&lt;=T$3,1,0))*OFFSET('Gastos com Pessoal'!$H$6,1,MATCH(1&amp;$B49,'Gastos com Pessoal'!$I$532:$AJ$532&amp;'Gastos com Pessoal'!$I$6:$AJ$6,0),500,1)),0)+_xlfn.IFNA(SUM((T$3&gt;='Gastos com Pessoal'!$E$7:$E$506)*(T$3&lt;='Gastos com Pessoal'!$F$7:$F$506)*(IF('Gastos com Pessoal'!$M$7:$M$506&lt;=T$3,1,0))*OFFSET('Gastos com Pessoal'!$H$6,1,MATCH(2&amp;$B49,'Gastos com Pessoal'!$I$532:$AJ$532&amp;'Gastos com Pessoal'!$I$6:$AJ$6,0),500,1)),0)+_xlfn.IFNA(SUM((T$3&gt;='Gastos com Pessoal'!$E$7:$E$506)*(T$3&lt;='Gastos com Pessoal'!$F$7:$F$506)*(IF('Gastos com Pessoal'!$S$7:$S$506&lt;=T$3,1,0))*OFFSET('Gastos com Pessoal'!$H$6,1,MATCH(3&amp;$B49,'Gastos com Pessoal'!$I$532:$AJ$532&amp;'Gastos com Pessoal'!$I$6:$AJ$6,0),500,1)),0)+_xlfn.IFNA(SUM((T$3&gt;='Gastos com Pessoal'!$E$7:$E$506)*(T$3&lt;='Gastos com Pessoal'!$F$7:$F$506)*(IF('Gastos com Pessoal'!$Y$7:$Y$506&lt;=T$3,1,0))*OFFSET('Gastos com Pessoal'!$H$6,1,MATCH(4&amp;$B49,'Gastos com Pessoal'!$I$532:$AJ$532&amp;'Gastos com Pessoal'!$I$6:$AJ$6,0),500,1)),0)+_xlfn.IFNA(SUM((T$3&gt;='Gastos com Pessoal'!$E$7:$E$506)*(T$3&lt;='Gastos com Pessoal'!$F$7:$F$506)*(IF('Gastos com Pessoal'!$AE$7:$AE$506&lt;=T$3,1,0))*OFFSET('Gastos com Pessoal'!$H$6,1,MATCH(5&amp;$B49,'Gastos com Pessoal'!$I$532:$AJ$532&amp;'Gastos com Pessoal'!$I$6:$AJ$6,0),500,1)),0)+_xlfn.IFNA(SUM((T$3&gt;='Gastos com Pessoal'!$E$513:$E$522)*(T$3&lt;='Gastos com Pessoal'!$F$513:$F$522)*(IF('Gastos com Pessoal'!$G$513:$G$522&lt;=T$3,1,0))*OFFSET('Gastos com Pessoal'!$H$512,1,MATCH(1&amp;$B49,'Gastos com Pessoal'!$I$532:$AJ$532&amp;'Gastos com Pessoal'!$I$512:$AJ$512,0),10,1)),0)+_xlfn.IFNA(SUM((T$3&gt;='Gastos com Pessoal'!$E$513:$E$522)*(T$3&lt;='Gastos com Pessoal'!$F$513:$F$522)*(IF('Gastos com Pessoal'!$M$513:$M$522&lt;=T$3,1,0))*OFFSET('Gastos com Pessoal'!$H$512,1,MATCH(2&amp;$B49,'Gastos com Pessoal'!$I$532:$AJ$532&amp;'Gastos com Pessoal'!$I$512:$AJ$512,0),10,1)),0)+_xlfn.IFNA(SUM((T$3&gt;='Gastos com Pessoal'!$E$513:$E$522)*(T$3&lt;='Gastos com Pessoal'!$F$513:$F$522)*(IF('Gastos com Pessoal'!$S$513:$S$522&lt;=T$3,1,0))*OFFSET('Gastos com Pessoal'!$H$512,1,MATCH(3&amp;$B49,'Gastos com Pessoal'!$I$532:$AJ$532&amp;'Gastos com Pessoal'!$I$512:$AJ$512,0),10,1)),0)+_xlfn.IFNA(SUM((T$3&gt;='Gastos com Pessoal'!$E$513:$E$522)*(T$3&lt;='Gastos com Pessoal'!$F$513:$F$522)*(IF('Gastos com Pessoal'!$Y$513:$Y$522&lt;=T$3,1,0))*OFFSET('Gastos com Pessoal'!$H$512,1,MATCH(4&amp;$B49,'Gastos com Pessoal'!$I$532:$AJ$532&amp;'Gastos com Pessoal'!$I$512:$AJ$512,0),10,1)),0)+_xlfn.IFNA(SUM((T$3&gt;='Gastos com Pessoal'!$E$513:$E$522)*(T$3&lt;='Gastos com Pessoal'!$F$513:$F$522)*(IF('Gastos com Pessoal'!$AE$513:$AE$522&lt;=T$3,1,0))*OFFSET('Gastos com Pessoal'!$H$512,1,MATCH(5&amp;$B49,'Gastos com Pessoal'!$I$532:$AJ$532&amp;'Gastos com Pessoal'!$I$512:$AJ$512,0),10,1)),0)</f>
        <v>409704.33234931383</v>
      </c>
      <c r="U49" s="188">
        <f t="array" aca="1" ref="U49" ca="1">_xlfn.IFNA(SUM((U$3&gt;='Gastos com Pessoal'!$E$7:$E$506)*(U$3&lt;='Gastos com Pessoal'!$F$7:$F$506)*OFFSET('Encargos e Benefícios'!$D$5,1,MATCH($B49,'Encargos e Benefícios'!$E$5:$AB$5,0),500,1)),0)+_xlfn.IFNA(SUM((U$3&gt;='Gastos com Pessoal'!$E$513:$E$522)*(U$3&lt;='Gastos com Pessoal'!$F$513:$F$522)*OFFSET('Encargos e Benefícios'!$D$511,1,MATCH($B49,'Encargos e Benefícios'!$E$511:$AB$511,0),10,1)),0)+_xlfn.IFNA(SUM((U$3&gt;='Gastos com Pessoal'!$E$7:$E$506)*(U$3&lt;='Gastos com Pessoal'!$F$7:$F$506)*(IF('Gastos com Pessoal'!$G$7:$G$506&lt;=U$3,1,0))*OFFSET('Gastos com Pessoal'!$H$6,1,MATCH(1&amp;$B49,'Gastos com Pessoal'!$I$532:$AJ$532&amp;'Gastos com Pessoal'!$I$6:$AJ$6,0),500,1)),0)+_xlfn.IFNA(SUM((U$3&gt;='Gastos com Pessoal'!$E$7:$E$506)*(U$3&lt;='Gastos com Pessoal'!$F$7:$F$506)*(IF('Gastos com Pessoal'!$M$7:$M$506&lt;=U$3,1,0))*OFFSET('Gastos com Pessoal'!$H$6,1,MATCH(2&amp;$B49,'Gastos com Pessoal'!$I$532:$AJ$532&amp;'Gastos com Pessoal'!$I$6:$AJ$6,0),500,1)),0)+_xlfn.IFNA(SUM((U$3&gt;='Gastos com Pessoal'!$E$7:$E$506)*(U$3&lt;='Gastos com Pessoal'!$F$7:$F$506)*(IF('Gastos com Pessoal'!$S$7:$S$506&lt;=U$3,1,0))*OFFSET('Gastos com Pessoal'!$H$6,1,MATCH(3&amp;$B49,'Gastos com Pessoal'!$I$532:$AJ$532&amp;'Gastos com Pessoal'!$I$6:$AJ$6,0),500,1)),0)+_xlfn.IFNA(SUM((U$3&gt;='Gastos com Pessoal'!$E$7:$E$506)*(U$3&lt;='Gastos com Pessoal'!$F$7:$F$506)*(IF('Gastos com Pessoal'!$Y$7:$Y$506&lt;=U$3,1,0))*OFFSET('Gastos com Pessoal'!$H$6,1,MATCH(4&amp;$B49,'Gastos com Pessoal'!$I$532:$AJ$532&amp;'Gastos com Pessoal'!$I$6:$AJ$6,0),500,1)),0)+_xlfn.IFNA(SUM((U$3&gt;='Gastos com Pessoal'!$E$7:$E$506)*(U$3&lt;='Gastos com Pessoal'!$F$7:$F$506)*(IF('Gastos com Pessoal'!$AE$7:$AE$506&lt;=U$3,1,0))*OFFSET('Gastos com Pessoal'!$H$6,1,MATCH(5&amp;$B49,'Gastos com Pessoal'!$I$532:$AJ$532&amp;'Gastos com Pessoal'!$I$6:$AJ$6,0),500,1)),0)+_xlfn.IFNA(SUM((U$3&gt;='Gastos com Pessoal'!$E$513:$E$522)*(U$3&lt;='Gastos com Pessoal'!$F$513:$F$522)*(IF('Gastos com Pessoal'!$G$513:$G$522&lt;=U$3,1,0))*OFFSET('Gastos com Pessoal'!$H$512,1,MATCH(1&amp;$B49,'Gastos com Pessoal'!$I$532:$AJ$532&amp;'Gastos com Pessoal'!$I$512:$AJ$512,0),10,1)),0)+_xlfn.IFNA(SUM((U$3&gt;='Gastos com Pessoal'!$E$513:$E$522)*(U$3&lt;='Gastos com Pessoal'!$F$513:$F$522)*(IF('Gastos com Pessoal'!$M$513:$M$522&lt;=U$3,1,0))*OFFSET('Gastos com Pessoal'!$H$512,1,MATCH(2&amp;$B49,'Gastos com Pessoal'!$I$532:$AJ$532&amp;'Gastos com Pessoal'!$I$512:$AJ$512,0),10,1)),0)+_xlfn.IFNA(SUM((U$3&gt;='Gastos com Pessoal'!$E$513:$E$522)*(U$3&lt;='Gastos com Pessoal'!$F$513:$F$522)*(IF('Gastos com Pessoal'!$S$513:$S$522&lt;=U$3,1,0))*OFFSET('Gastos com Pessoal'!$H$512,1,MATCH(3&amp;$B49,'Gastos com Pessoal'!$I$532:$AJ$532&amp;'Gastos com Pessoal'!$I$512:$AJ$512,0),10,1)),0)+_xlfn.IFNA(SUM((U$3&gt;='Gastos com Pessoal'!$E$513:$E$522)*(U$3&lt;='Gastos com Pessoal'!$F$513:$F$522)*(IF('Gastos com Pessoal'!$Y$513:$Y$522&lt;=U$3,1,0))*OFFSET('Gastos com Pessoal'!$H$512,1,MATCH(4&amp;$B49,'Gastos com Pessoal'!$I$532:$AJ$532&amp;'Gastos com Pessoal'!$I$512:$AJ$512,0),10,1)),0)+_xlfn.IFNA(SUM((U$3&gt;='Gastos com Pessoal'!$E$513:$E$522)*(U$3&lt;='Gastos com Pessoal'!$F$513:$F$522)*(IF('Gastos com Pessoal'!$AE$513:$AE$522&lt;=U$3,1,0))*OFFSET('Gastos com Pessoal'!$H$512,1,MATCH(5&amp;$B49,'Gastos com Pessoal'!$I$532:$AJ$532&amp;'Gastos com Pessoal'!$I$512:$AJ$512,0),10,1)),0)</f>
        <v>409704.33234931383</v>
      </c>
      <c r="V49" s="188">
        <f t="array" aca="1" ref="V49" ca="1">_xlfn.IFNA(SUM((V$3&gt;='Gastos com Pessoal'!$E$7:$E$506)*(V$3&lt;='Gastos com Pessoal'!$F$7:$F$506)*OFFSET('Encargos e Benefícios'!$D$5,1,MATCH($B49,'Encargos e Benefícios'!$E$5:$AB$5,0),500,1)),0)+_xlfn.IFNA(SUM((V$3&gt;='Gastos com Pessoal'!$E$513:$E$522)*(V$3&lt;='Gastos com Pessoal'!$F$513:$F$522)*OFFSET('Encargos e Benefícios'!$D$511,1,MATCH($B49,'Encargos e Benefícios'!$E$511:$AB$511,0),10,1)),0)+_xlfn.IFNA(SUM((V$3&gt;='Gastos com Pessoal'!$E$7:$E$506)*(V$3&lt;='Gastos com Pessoal'!$F$7:$F$506)*(IF('Gastos com Pessoal'!$G$7:$G$506&lt;=V$3,1,0))*OFFSET('Gastos com Pessoal'!$H$6,1,MATCH(1&amp;$B49,'Gastos com Pessoal'!$I$532:$AJ$532&amp;'Gastos com Pessoal'!$I$6:$AJ$6,0),500,1)),0)+_xlfn.IFNA(SUM((V$3&gt;='Gastos com Pessoal'!$E$7:$E$506)*(V$3&lt;='Gastos com Pessoal'!$F$7:$F$506)*(IF('Gastos com Pessoal'!$M$7:$M$506&lt;=V$3,1,0))*OFFSET('Gastos com Pessoal'!$H$6,1,MATCH(2&amp;$B49,'Gastos com Pessoal'!$I$532:$AJ$532&amp;'Gastos com Pessoal'!$I$6:$AJ$6,0),500,1)),0)+_xlfn.IFNA(SUM((V$3&gt;='Gastos com Pessoal'!$E$7:$E$506)*(V$3&lt;='Gastos com Pessoal'!$F$7:$F$506)*(IF('Gastos com Pessoal'!$S$7:$S$506&lt;=V$3,1,0))*OFFSET('Gastos com Pessoal'!$H$6,1,MATCH(3&amp;$B49,'Gastos com Pessoal'!$I$532:$AJ$532&amp;'Gastos com Pessoal'!$I$6:$AJ$6,0),500,1)),0)+_xlfn.IFNA(SUM((V$3&gt;='Gastos com Pessoal'!$E$7:$E$506)*(V$3&lt;='Gastos com Pessoal'!$F$7:$F$506)*(IF('Gastos com Pessoal'!$Y$7:$Y$506&lt;=V$3,1,0))*OFFSET('Gastos com Pessoal'!$H$6,1,MATCH(4&amp;$B49,'Gastos com Pessoal'!$I$532:$AJ$532&amp;'Gastos com Pessoal'!$I$6:$AJ$6,0),500,1)),0)+_xlfn.IFNA(SUM((V$3&gt;='Gastos com Pessoal'!$E$7:$E$506)*(V$3&lt;='Gastos com Pessoal'!$F$7:$F$506)*(IF('Gastos com Pessoal'!$AE$7:$AE$506&lt;=V$3,1,0))*OFFSET('Gastos com Pessoal'!$H$6,1,MATCH(5&amp;$B49,'Gastos com Pessoal'!$I$532:$AJ$532&amp;'Gastos com Pessoal'!$I$6:$AJ$6,0),500,1)),0)+_xlfn.IFNA(SUM((V$3&gt;='Gastos com Pessoal'!$E$513:$E$522)*(V$3&lt;='Gastos com Pessoal'!$F$513:$F$522)*(IF('Gastos com Pessoal'!$G$513:$G$522&lt;=V$3,1,0))*OFFSET('Gastos com Pessoal'!$H$512,1,MATCH(1&amp;$B49,'Gastos com Pessoal'!$I$532:$AJ$532&amp;'Gastos com Pessoal'!$I$512:$AJ$512,0),10,1)),0)+_xlfn.IFNA(SUM((V$3&gt;='Gastos com Pessoal'!$E$513:$E$522)*(V$3&lt;='Gastos com Pessoal'!$F$513:$F$522)*(IF('Gastos com Pessoal'!$M$513:$M$522&lt;=V$3,1,0))*OFFSET('Gastos com Pessoal'!$H$512,1,MATCH(2&amp;$B49,'Gastos com Pessoal'!$I$532:$AJ$532&amp;'Gastos com Pessoal'!$I$512:$AJ$512,0),10,1)),0)+_xlfn.IFNA(SUM((V$3&gt;='Gastos com Pessoal'!$E$513:$E$522)*(V$3&lt;='Gastos com Pessoal'!$F$513:$F$522)*(IF('Gastos com Pessoal'!$S$513:$S$522&lt;=V$3,1,0))*OFFSET('Gastos com Pessoal'!$H$512,1,MATCH(3&amp;$B49,'Gastos com Pessoal'!$I$532:$AJ$532&amp;'Gastos com Pessoal'!$I$512:$AJ$512,0),10,1)),0)+_xlfn.IFNA(SUM((V$3&gt;='Gastos com Pessoal'!$E$513:$E$522)*(V$3&lt;='Gastos com Pessoal'!$F$513:$F$522)*(IF('Gastos com Pessoal'!$Y$513:$Y$522&lt;=V$3,1,0))*OFFSET('Gastos com Pessoal'!$H$512,1,MATCH(4&amp;$B49,'Gastos com Pessoal'!$I$532:$AJ$532&amp;'Gastos com Pessoal'!$I$512:$AJ$512,0),10,1)),0)+_xlfn.IFNA(SUM((V$3&gt;='Gastos com Pessoal'!$E$513:$E$522)*(V$3&lt;='Gastos com Pessoal'!$F$513:$F$522)*(IF('Gastos com Pessoal'!$AE$513:$AE$522&lt;=V$3,1,0))*OFFSET('Gastos com Pessoal'!$H$512,1,MATCH(5&amp;$B49,'Gastos com Pessoal'!$I$532:$AJ$532&amp;'Gastos com Pessoal'!$I$512:$AJ$512,0),10,1)),0)</f>
        <v>409704.33234931383</v>
      </c>
      <c r="W49" s="188">
        <f t="array" aca="1" ref="W49" ca="1">_xlfn.IFNA(SUM((W$3&gt;='Gastos com Pessoal'!$E$7:$E$506)*(W$3&lt;='Gastos com Pessoal'!$F$7:$F$506)*OFFSET('Encargos e Benefícios'!$D$5,1,MATCH($B49,'Encargos e Benefícios'!$E$5:$AB$5,0),500,1)),0)+_xlfn.IFNA(SUM((W$3&gt;='Gastos com Pessoal'!$E$513:$E$522)*(W$3&lt;='Gastos com Pessoal'!$F$513:$F$522)*OFFSET('Encargos e Benefícios'!$D$511,1,MATCH($B49,'Encargos e Benefícios'!$E$511:$AB$511,0),10,1)),0)+_xlfn.IFNA(SUM((W$3&gt;='Gastos com Pessoal'!$E$7:$E$506)*(W$3&lt;='Gastos com Pessoal'!$F$7:$F$506)*(IF('Gastos com Pessoal'!$G$7:$G$506&lt;=W$3,1,0))*OFFSET('Gastos com Pessoal'!$H$6,1,MATCH(1&amp;$B49,'Gastos com Pessoal'!$I$532:$AJ$532&amp;'Gastos com Pessoal'!$I$6:$AJ$6,0),500,1)),0)+_xlfn.IFNA(SUM((W$3&gt;='Gastos com Pessoal'!$E$7:$E$506)*(W$3&lt;='Gastos com Pessoal'!$F$7:$F$506)*(IF('Gastos com Pessoal'!$M$7:$M$506&lt;=W$3,1,0))*OFFSET('Gastos com Pessoal'!$H$6,1,MATCH(2&amp;$B49,'Gastos com Pessoal'!$I$532:$AJ$532&amp;'Gastos com Pessoal'!$I$6:$AJ$6,0),500,1)),0)+_xlfn.IFNA(SUM((W$3&gt;='Gastos com Pessoal'!$E$7:$E$506)*(W$3&lt;='Gastos com Pessoal'!$F$7:$F$506)*(IF('Gastos com Pessoal'!$S$7:$S$506&lt;=W$3,1,0))*OFFSET('Gastos com Pessoal'!$H$6,1,MATCH(3&amp;$B49,'Gastos com Pessoal'!$I$532:$AJ$532&amp;'Gastos com Pessoal'!$I$6:$AJ$6,0),500,1)),0)+_xlfn.IFNA(SUM((W$3&gt;='Gastos com Pessoal'!$E$7:$E$506)*(W$3&lt;='Gastos com Pessoal'!$F$7:$F$506)*(IF('Gastos com Pessoal'!$Y$7:$Y$506&lt;=W$3,1,0))*OFFSET('Gastos com Pessoal'!$H$6,1,MATCH(4&amp;$B49,'Gastos com Pessoal'!$I$532:$AJ$532&amp;'Gastos com Pessoal'!$I$6:$AJ$6,0),500,1)),0)+_xlfn.IFNA(SUM((W$3&gt;='Gastos com Pessoal'!$E$7:$E$506)*(W$3&lt;='Gastos com Pessoal'!$F$7:$F$506)*(IF('Gastos com Pessoal'!$AE$7:$AE$506&lt;=W$3,1,0))*OFFSET('Gastos com Pessoal'!$H$6,1,MATCH(5&amp;$B49,'Gastos com Pessoal'!$I$532:$AJ$532&amp;'Gastos com Pessoal'!$I$6:$AJ$6,0),500,1)),0)+_xlfn.IFNA(SUM((W$3&gt;='Gastos com Pessoal'!$E$513:$E$522)*(W$3&lt;='Gastos com Pessoal'!$F$513:$F$522)*(IF('Gastos com Pessoal'!$G$513:$G$522&lt;=W$3,1,0))*OFFSET('Gastos com Pessoal'!$H$512,1,MATCH(1&amp;$B49,'Gastos com Pessoal'!$I$532:$AJ$532&amp;'Gastos com Pessoal'!$I$512:$AJ$512,0),10,1)),0)+_xlfn.IFNA(SUM((W$3&gt;='Gastos com Pessoal'!$E$513:$E$522)*(W$3&lt;='Gastos com Pessoal'!$F$513:$F$522)*(IF('Gastos com Pessoal'!$M$513:$M$522&lt;=W$3,1,0))*OFFSET('Gastos com Pessoal'!$H$512,1,MATCH(2&amp;$B49,'Gastos com Pessoal'!$I$532:$AJ$532&amp;'Gastos com Pessoal'!$I$512:$AJ$512,0),10,1)),0)+_xlfn.IFNA(SUM((W$3&gt;='Gastos com Pessoal'!$E$513:$E$522)*(W$3&lt;='Gastos com Pessoal'!$F$513:$F$522)*(IF('Gastos com Pessoal'!$S$513:$S$522&lt;=W$3,1,0))*OFFSET('Gastos com Pessoal'!$H$512,1,MATCH(3&amp;$B49,'Gastos com Pessoal'!$I$532:$AJ$532&amp;'Gastos com Pessoal'!$I$512:$AJ$512,0),10,1)),0)+_xlfn.IFNA(SUM((W$3&gt;='Gastos com Pessoal'!$E$513:$E$522)*(W$3&lt;='Gastos com Pessoal'!$F$513:$F$522)*(IF('Gastos com Pessoal'!$Y$513:$Y$522&lt;=W$3,1,0))*OFFSET('Gastos com Pessoal'!$H$512,1,MATCH(4&amp;$B49,'Gastos com Pessoal'!$I$532:$AJ$532&amp;'Gastos com Pessoal'!$I$512:$AJ$512,0),10,1)),0)+_xlfn.IFNA(SUM((W$3&gt;='Gastos com Pessoal'!$E$513:$E$522)*(W$3&lt;='Gastos com Pessoal'!$F$513:$F$522)*(IF('Gastos com Pessoal'!$AE$513:$AE$522&lt;=W$3,1,0))*OFFSET('Gastos com Pessoal'!$H$512,1,MATCH(5&amp;$B49,'Gastos com Pessoal'!$I$532:$AJ$532&amp;'Gastos com Pessoal'!$I$512:$AJ$512,0),10,1)),0)</f>
        <v>409704.33234931383</v>
      </c>
      <c r="X49" s="188">
        <f t="array" aca="1" ref="X49" ca="1">_xlfn.IFNA(SUM((X$3&gt;='Gastos com Pessoal'!$E$7:$E$506)*(X$3&lt;='Gastos com Pessoal'!$F$7:$F$506)*OFFSET('Encargos e Benefícios'!$D$5,1,MATCH($B49,'Encargos e Benefícios'!$E$5:$AB$5,0),500,1)),0)+_xlfn.IFNA(SUM((X$3&gt;='Gastos com Pessoal'!$E$513:$E$522)*(X$3&lt;='Gastos com Pessoal'!$F$513:$F$522)*OFFSET('Encargos e Benefícios'!$D$511,1,MATCH($B49,'Encargos e Benefícios'!$E$511:$AB$511,0),10,1)),0)+_xlfn.IFNA(SUM((X$3&gt;='Gastos com Pessoal'!$E$7:$E$506)*(X$3&lt;='Gastos com Pessoal'!$F$7:$F$506)*(IF('Gastos com Pessoal'!$G$7:$G$506&lt;=X$3,1,0))*OFFSET('Gastos com Pessoal'!$H$6,1,MATCH(1&amp;$B49,'Gastos com Pessoal'!$I$532:$AJ$532&amp;'Gastos com Pessoal'!$I$6:$AJ$6,0),500,1)),0)+_xlfn.IFNA(SUM((X$3&gt;='Gastos com Pessoal'!$E$7:$E$506)*(X$3&lt;='Gastos com Pessoal'!$F$7:$F$506)*(IF('Gastos com Pessoal'!$M$7:$M$506&lt;=X$3,1,0))*OFFSET('Gastos com Pessoal'!$H$6,1,MATCH(2&amp;$B49,'Gastos com Pessoal'!$I$532:$AJ$532&amp;'Gastos com Pessoal'!$I$6:$AJ$6,0),500,1)),0)+_xlfn.IFNA(SUM((X$3&gt;='Gastos com Pessoal'!$E$7:$E$506)*(X$3&lt;='Gastos com Pessoal'!$F$7:$F$506)*(IF('Gastos com Pessoal'!$S$7:$S$506&lt;=X$3,1,0))*OFFSET('Gastos com Pessoal'!$H$6,1,MATCH(3&amp;$B49,'Gastos com Pessoal'!$I$532:$AJ$532&amp;'Gastos com Pessoal'!$I$6:$AJ$6,0),500,1)),0)+_xlfn.IFNA(SUM((X$3&gt;='Gastos com Pessoal'!$E$7:$E$506)*(X$3&lt;='Gastos com Pessoal'!$F$7:$F$506)*(IF('Gastos com Pessoal'!$Y$7:$Y$506&lt;=X$3,1,0))*OFFSET('Gastos com Pessoal'!$H$6,1,MATCH(4&amp;$B49,'Gastos com Pessoal'!$I$532:$AJ$532&amp;'Gastos com Pessoal'!$I$6:$AJ$6,0),500,1)),0)+_xlfn.IFNA(SUM((X$3&gt;='Gastos com Pessoal'!$E$7:$E$506)*(X$3&lt;='Gastos com Pessoal'!$F$7:$F$506)*(IF('Gastos com Pessoal'!$AE$7:$AE$506&lt;=X$3,1,0))*OFFSET('Gastos com Pessoal'!$H$6,1,MATCH(5&amp;$B49,'Gastos com Pessoal'!$I$532:$AJ$532&amp;'Gastos com Pessoal'!$I$6:$AJ$6,0),500,1)),0)+_xlfn.IFNA(SUM((X$3&gt;='Gastos com Pessoal'!$E$513:$E$522)*(X$3&lt;='Gastos com Pessoal'!$F$513:$F$522)*(IF('Gastos com Pessoal'!$G$513:$G$522&lt;=X$3,1,0))*OFFSET('Gastos com Pessoal'!$H$512,1,MATCH(1&amp;$B49,'Gastos com Pessoal'!$I$532:$AJ$532&amp;'Gastos com Pessoal'!$I$512:$AJ$512,0),10,1)),0)+_xlfn.IFNA(SUM((X$3&gt;='Gastos com Pessoal'!$E$513:$E$522)*(X$3&lt;='Gastos com Pessoal'!$F$513:$F$522)*(IF('Gastos com Pessoal'!$M$513:$M$522&lt;=X$3,1,0))*OFFSET('Gastos com Pessoal'!$H$512,1,MATCH(2&amp;$B49,'Gastos com Pessoal'!$I$532:$AJ$532&amp;'Gastos com Pessoal'!$I$512:$AJ$512,0),10,1)),0)+_xlfn.IFNA(SUM((X$3&gt;='Gastos com Pessoal'!$E$513:$E$522)*(X$3&lt;='Gastos com Pessoal'!$F$513:$F$522)*(IF('Gastos com Pessoal'!$S$513:$S$522&lt;=X$3,1,0))*OFFSET('Gastos com Pessoal'!$H$512,1,MATCH(3&amp;$B49,'Gastos com Pessoal'!$I$532:$AJ$532&amp;'Gastos com Pessoal'!$I$512:$AJ$512,0),10,1)),0)+_xlfn.IFNA(SUM((X$3&gt;='Gastos com Pessoal'!$E$513:$E$522)*(X$3&lt;='Gastos com Pessoal'!$F$513:$F$522)*(IF('Gastos com Pessoal'!$Y$513:$Y$522&lt;=X$3,1,0))*OFFSET('Gastos com Pessoal'!$H$512,1,MATCH(4&amp;$B49,'Gastos com Pessoal'!$I$532:$AJ$532&amp;'Gastos com Pessoal'!$I$512:$AJ$512,0),10,1)),0)+_xlfn.IFNA(SUM((X$3&gt;='Gastos com Pessoal'!$E$513:$E$522)*(X$3&lt;='Gastos com Pessoal'!$F$513:$F$522)*(IF('Gastos com Pessoal'!$AE$513:$AE$522&lt;=X$3,1,0))*OFFSET('Gastos com Pessoal'!$H$512,1,MATCH(5&amp;$B49,'Gastos com Pessoal'!$I$532:$AJ$532&amp;'Gastos com Pessoal'!$I$512:$AJ$512,0),10,1)),0)</f>
        <v>409704.33234931383</v>
      </c>
      <c r="Y49" s="188">
        <f t="array" aca="1" ref="Y49" ca="1">_xlfn.IFNA(SUM((Y$3&gt;='Gastos com Pessoal'!$E$7:$E$506)*(Y$3&lt;='Gastos com Pessoal'!$F$7:$F$506)*OFFSET('Encargos e Benefícios'!$D$5,1,MATCH($B49,'Encargos e Benefícios'!$E$5:$AB$5,0),500,1)),0)+_xlfn.IFNA(SUM((Y$3&gt;='Gastos com Pessoal'!$E$513:$E$522)*(Y$3&lt;='Gastos com Pessoal'!$F$513:$F$522)*OFFSET('Encargos e Benefícios'!$D$511,1,MATCH($B49,'Encargos e Benefícios'!$E$511:$AB$511,0),10,1)),0)+_xlfn.IFNA(SUM((Y$3&gt;='Gastos com Pessoal'!$E$7:$E$506)*(Y$3&lt;='Gastos com Pessoal'!$F$7:$F$506)*(IF('Gastos com Pessoal'!$G$7:$G$506&lt;=Y$3,1,0))*OFFSET('Gastos com Pessoal'!$H$6,1,MATCH(1&amp;$B49,'Gastos com Pessoal'!$I$532:$AJ$532&amp;'Gastos com Pessoal'!$I$6:$AJ$6,0),500,1)),0)+_xlfn.IFNA(SUM((Y$3&gt;='Gastos com Pessoal'!$E$7:$E$506)*(Y$3&lt;='Gastos com Pessoal'!$F$7:$F$506)*(IF('Gastos com Pessoal'!$M$7:$M$506&lt;=Y$3,1,0))*OFFSET('Gastos com Pessoal'!$H$6,1,MATCH(2&amp;$B49,'Gastos com Pessoal'!$I$532:$AJ$532&amp;'Gastos com Pessoal'!$I$6:$AJ$6,0),500,1)),0)+_xlfn.IFNA(SUM((Y$3&gt;='Gastos com Pessoal'!$E$7:$E$506)*(Y$3&lt;='Gastos com Pessoal'!$F$7:$F$506)*(IF('Gastos com Pessoal'!$S$7:$S$506&lt;=Y$3,1,0))*OFFSET('Gastos com Pessoal'!$H$6,1,MATCH(3&amp;$B49,'Gastos com Pessoal'!$I$532:$AJ$532&amp;'Gastos com Pessoal'!$I$6:$AJ$6,0),500,1)),0)+_xlfn.IFNA(SUM((Y$3&gt;='Gastos com Pessoal'!$E$7:$E$506)*(Y$3&lt;='Gastos com Pessoal'!$F$7:$F$506)*(IF('Gastos com Pessoal'!$Y$7:$Y$506&lt;=Y$3,1,0))*OFFSET('Gastos com Pessoal'!$H$6,1,MATCH(4&amp;$B49,'Gastos com Pessoal'!$I$532:$AJ$532&amp;'Gastos com Pessoal'!$I$6:$AJ$6,0),500,1)),0)+_xlfn.IFNA(SUM((Y$3&gt;='Gastos com Pessoal'!$E$7:$E$506)*(Y$3&lt;='Gastos com Pessoal'!$F$7:$F$506)*(IF('Gastos com Pessoal'!$AE$7:$AE$506&lt;=Y$3,1,0))*OFFSET('Gastos com Pessoal'!$H$6,1,MATCH(5&amp;$B49,'Gastos com Pessoal'!$I$532:$AJ$532&amp;'Gastos com Pessoal'!$I$6:$AJ$6,0),500,1)),0)+_xlfn.IFNA(SUM((Y$3&gt;='Gastos com Pessoal'!$E$513:$E$522)*(Y$3&lt;='Gastos com Pessoal'!$F$513:$F$522)*(IF('Gastos com Pessoal'!$G$513:$G$522&lt;=Y$3,1,0))*OFFSET('Gastos com Pessoal'!$H$512,1,MATCH(1&amp;$B49,'Gastos com Pessoal'!$I$532:$AJ$532&amp;'Gastos com Pessoal'!$I$512:$AJ$512,0),10,1)),0)+_xlfn.IFNA(SUM((Y$3&gt;='Gastos com Pessoal'!$E$513:$E$522)*(Y$3&lt;='Gastos com Pessoal'!$F$513:$F$522)*(IF('Gastos com Pessoal'!$M$513:$M$522&lt;=Y$3,1,0))*OFFSET('Gastos com Pessoal'!$H$512,1,MATCH(2&amp;$B49,'Gastos com Pessoal'!$I$532:$AJ$532&amp;'Gastos com Pessoal'!$I$512:$AJ$512,0),10,1)),0)+_xlfn.IFNA(SUM((Y$3&gt;='Gastos com Pessoal'!$E$513:$E$522)*(Y$3&lt;='Gastos com Pessoal'!$F$513:$F$522)*(IF('Gastos com Pessoal'!$S$513:$S$522&lt;=Y$3,1,0))*OFFSET('Gastos com Pessoal'!$H$512,1,MATCH(3&amp;$B49,'Gastos com Pessoal'!$I$532:$AJ$532&amp;'Gastos com Pessoal'!$I$512:$AJ$512,0),10,1)),0)+_xlfn.IFNA(SUM((Y$3&gt;='Gastos com Pessoal'!$E$513:$E$522)*(Y$3&lt;='Gastos com Pessoal'!$F$513:$F$522)*(IF('Gastos com Pessoal'!$Y$513:$Y$522&lt;=Y$3,1,0))*OFFSET('Gastos com Pessoal'!$H$512,1,MATCH(4&amp;$B49,'Gastos com Pessoal'!$I$532:$AJ$532&amp;'Gastos com Pessoal'!$I$512:$AJ$512,0),10,1)),0)+_xlfn.IFNA(SUM((Y$3&gt;='Gastos com Pessoal'!$E$513:$E$522)*(Y$3&lt;='Gastos com Pessoal'!$F$513:$F$522)*(IF('Gastos com Pessoal'!$AE$513:$AE$522&lt;=Y$3,1,0))*OFFSET('Gastos com Pessoal'!$H$512,1,MATCH(5&amp;$B49,'Gastos com Pessoal'!$I$532:$AJ$532&amp;'Gastos com Pessoal'!$I$512:$AJ$512,0),10,1)),0)</f>
        <v>409704.33234931383</v>
      </c>
      <c r="Z49" s="188">
        <f t="array" aca="1" ref="Z49" ca="1">_xlfn.IFNA(SUM((Z$3&gt;='Gastos com Pessoal'!$E$7:$E$506)*(Z$3&lt;='Gastos com Pessoal'!$F$7:$F$506)*OFFSET('Encargos e Benefícios'!$D$5,1,MATCH($B49,'Encargos e Benefícios'!$E$5:$AB$5,0),500,1)),0)+_xlfn.IFNA(SUM((Z$3&gt;='Gastos com Pessoal'!$E$513:$E$522)*(Z$3&lt;='Gastos com Pessoal'!$F$513:$F$522)*OFFSET('Encargos e Benefícios'!$D$511,1,MATCH($B49,'Encargos e Benefícios'!$E$511:$AB$511,0),10,1)),0)+_xlfn.IFNA(SUM((Z$3&gt;='Gastos com Pessoal'!$E$7:$E$506)*(Z$3&lt;='Gastos com Pessoal'!$F$7:$F$506)*(IF('Gastos com Pessoal'!$G$7:$G$506&lt;=Z$3,1,0))*OFFSET('Gastos com Pessoal'!$H$6,1,MATCH(1&amp;$B49,'Gastos com Pessoal'!$I$532:$AJ$532&amp;'Gastos com Pessoal'!$I$6:$AJ$6,0),500,1)),0)+_xlfn.IFNA(SUM((Z$3&gt;='Gastos com Pessoal'!$E$7:$E$506)*(Z$3&lt;='Gastos com Pessoal'!$F$7:$F$506)*(IF('Gastos com Pessoal'!$M$7:$M$506&lt;=Z$3,1,0))*OFFSET('Gastos com Pessoal'!$H$6,1,MATCH(2&amp;$B49,'Gastos com Pessoal'!$I$532:$AJ$532&amp;'Gastos com Pessoal'!$I$6:$AJ$6,0),500,1)),0)+_xlfn.IFNA(SUM((Z$3&gt;='Gastos com Pessoal'!$E$7:$E$506)*(Z$3&lt;='Gastos com Pessoal'!$F$7:$F$506)*(IF('Gastos com Pessoal'!$S$7:$S$506&lt;=Z$3,1,0))*OFFSET('Gastos com Pessoal'!$H$6,1,MATCH(3&amp;$B49,'Gastos com Pessoal'!$I$532:$AJ$532&amp;'Gastos com Pessoal'!$I$6:$AJ$6,0),500,1)),0)+_xlfn.IFNA(SUM((Z$3&gt;='Gastos com Pessoal'!$E$7:$E$506)*(Z$3&lt;='Gastos com Pessoal'!$F$7:$F$506)*(IF('Gastos com Pessoal'!$Y$7:$Y$506&lt;=Z$3,1,0))*OFFSET('Gastos com Pessoal'!$H$6,1,MATCH(4&amp;$B49,'Gastos com Pessoal'!$I$532:$AJ$532&amp;'Gastos com Pessoal'!$I$6:$AJ$6,0),500,1)),0)+_xlfn.IFNA(SUM((Z$3&gt;='Gastos com Pessoal'!$E$7:$E$506)*(Z$3&lt;='Gastos com Pessoal'!$F$7:$F$506)*(IF('Gastos com Pessoal'!$AE$7:$AE$506&lt;=Z$3,1,0))*OFFSET('Gastos com Pessoal'!$H$6,1,MATCH(5&amp;$B49,'Gastos com Pessoal'!$I$532:$AJ$532&amp;'Gastos com Pessoal'!$I$6:$AJ$6,0),500,1)),0)+_xlfn.IFNA(SUM((Z$3&gt;='Gastos com Pessoal'!$E$513:$E$522)*(Z$3&lt;='Gastos com Pessoal'!$F$513:$F$522)*(IF('Gastos com Pessoal'!$G$513:$G$522&lt;=Z$3,1,0))*OFFSET('Gastos com Pessoal'!$H$512,1,MATCH(1&amp;$B49,'Gastos com Pessoal'!$I$532:$AJ$532&amp;'Gastos com Pessoal'!$I$512:$AJ$512,0),10,1)),0)+_xlfn.IFNA(SUM((Z$3&gt;='Gastos com Pessoal'!$E$513:$E$522)*(Z$3&lt;='Gastos com Pessoal'!$F$513:$F$522)*(IF('Gastos com Pessoal'!$M$513:$M$522&lt;=Z$3,1,0))*OFFSET('Gastos com Pessoal'!$H$512,1,MATCH(2&amp;$B49,'Gastos com Pessoal'!$I$532:$AJ$532&amp;'Gastos com Pessoal'!$I$512:$AJ$512,0),10,1)),0)+_xlfn.IFNA(SUM((Z$3&gt;='Gastos com Pessoal'!$E$513:$E$522)*(Z$3&lt;='Gastos com Pessoal'!$F$513:$F$522)*(IF('Gastos com Pessoal'!$S$513:$S$522&lt;=Z$3,1,0))*OFFSET('Gastos com Pessoal'!$H$512,1,MATCH(3&amp;$B49,'Gastos com Pessoal'!$I$532:$AJ$532&amp;'Gastos com Pessoal'!$I$512:$AJ$512,0),10,1)),0)+_xlfn.IFNA(SUM((Z$3&gt;='Gastos com Pessoal'!$E$513:$E$522)*(Z$3&lt;='Gastos com Pessoal'!$F$513:$F$522)*(IF('Gastos com Pessoal'!$Y$513:$Y$522&lt;=Z$3,1,0))*OFFSET('Gastos com Pessoal'!$H$512,1,MATCH(4&amp;$B49,'Gastos com Pessoal'!$I$532:$AJ$532&amp;'Gastos com Pessoal'!$I$512:$AJ$512,0),10,1)),0)+_xlfn.IFNA(SUM((Z$3&gt;='Gastos com Pessoal'!$E$513:$E$522)*(Z$3&lt;='Gastos com Pessoal'!$F$513:$F$522)*(IF('Gastos com Pessoal'!$AE$513:$AE$522&lt;=Z$3,1,0))*OFFSET('Gastos com Pessoal'!$H$512,1,MATCH(5&amp;$B49,'Gastos com Pessoal'!$I$532:$AJ$532&amp;'Gastos com Pessoal'!$I$512:$AJ$512,0),10,1)),0)</f>
        <v>409704.33234931383</v>
      </c>
      <c r="AA49" s="188">
        <f t="array" aca="1" ref="AA49" ca="1">_xlfn.IFNA(SUM((AA$3&gt;='Gastos com Pessoal'!$E$7:$E$506)*(AA$3&lt;='Gastos com Pessoal'!$F$7:$F$506)*OFFSET('Encargos e Benefícios'!$D$5,1,MATCH($B49,'Encargos e Benefícios'!$E$5:$AB$5,0),500,1)),0)+_xlfn.IFNA(SUM((AA$3&gt;='Gastos com Pessoal'!$E$513:$E$522)*(AA$3&lt;='Gastos com Pessoal'!$F$513:$F$522)*OFFSET('Encargos e Benefícios'!$D$511,1,MATCH($B49,'Encargos e Benefícios'!$E$511:$AB$511,0),10,1)),0)+_xlfn.IFNA(SUM((AA$3&gt;='Gastos com Pessoal'!$E$7:$E$506)*(AA$3&lt;='Gastos com Pessoal'!$F$7:$F$506)*(IF('Gastos com Pessoal'!$G$7:$G$506&lt;=AA$3,1,0))*OFFSET('Gastos com Pessoal'!$H$6,1,MATCH(1&amp;$B49,'Gastos com Pessoal'!$I$532:$AJ$532&amp;'Gastos com Pessoal'!$I$6:$AJ$6,0),500,1)),0)+_xlfn.IFNA(SUM((AA$3&gt;='Gastos com Pessoal'!$E$7:$E$506)*(AA$3&lt;='Gastos com Pessoal'!$F$7:$F$506)*(IF('Gastos com Pessoal'!$M$7:$M$506&lt;=AA$3,1,0))*OFFSET('Gastos com Pessoal'!$H$6,1,MATCH(2&amp;$B49,'Gastos com Pessoal'!$I$532:$AJ$532&amp;'Gastos com Pessoal'!$I$6:$AJ$6,0),500,1)),0)+_xlfn.IFNA(SUM((AA$3&gt;='Gastos com Pessoal'!$E$7:$E$506)*(AA$3&lt;='Gastos com Pessoal'!$F$7:$F$506)*(IF('Gastos com Pessoal'!$S$7:$S$506&lt;=AA$3,1,0))*OFFSET('Gastos com Pessoal'!$H$6,1,MATCH(3&amp;$B49,'Gastos com Pessoal'!$I$532:$AJ$532&amp;'Gastos com Pessoal'!$I$6:$AJ$6,0),500,1)),0)+_xlfn.IFNA(SUM((AA$3&gt;='Gastos com Pessoal'!$E$7:$E$506)*(AA$3&lt;='Gastos com Pessoal'!$F$7:$F$506)*(IF('Gastos com Pessoal'!$Y$7:$Y$506&lt;=AA$3,1,0))*OFFSET('Gastos com Pessoal'!$H$6,1,MATCH(4&amp;$B49,'Gastos com Pessoal'!$I$532:$AJ$532&amp;'Gastos com Pessoal'!$I$6:$AJ$6,0),500,1)),0)+_xlfn.IFNA(SUM((AA$3&gt;='Gastos com Pessoal'!$E$7:$E$506)*(AA$3&lt;='Gastos com Pessoal'!$F$7:$F$506)*(IF('Gastos com Pessoal'!$AE$7:$AE$506&lt;=AA$3,1,0))*OFFSET('Gastos com Pessoal'!$H$6,1,MATCH(5&amp;$B49,'Gastos com Pessoal'!$I$532:$AJ$532&amp;'Gastos com Pessoal'!$I$6:$AJ$6,0),500,1)),0)+_xlfn.IFNA(SUM((AA$3&gt;='Gastos com Pessoal'!$E$513:$E$522)*(AA$3&lt;='Gastos com Pessoal'!$F$513:$F$522)*(IF('Gastos com Pessoal'!$G$513:$G$522&lt;=AA$3,1,0))*OFFSET('Gastos com Pessoal'!$H$512,1,MATCH(1&amp;$B49,'Gastos com Pessoal'!$I$532:$AJ$532&amp;'Gastos com Pessoal'!$I$512:$AJ$512,0),10,1)),0)+_xlfn.IFNA(SUM((AA$3&gt;='Gastos com Pessoal'!$E$513:$E$522)*(AA$3&lt;='Gastos com Pessoal'!$F$513:$F$522)*(IF('Gastos com Pessoal'!$M$513:$M$522&lt;=AA$3,1,0))*OFFSET('Gastos com Pessoal'!$H$512,1,MATCH(2&amp;$B49,'Gastos com Pessoal'!$I$532:$AJ$532&amp;'Gastos com Pessoal'!$I$512:$AJ$512,0),10,1)),0)+_xlfn.IFNA(SUM((AA$3&gt;='Gastos com Pessoal'!$E$513:$E$522)*(AA$3&lt;='Gastos com Pessoal'!$F$513:$F$522)*(IF('Gastos com Pessoal'!$S$513:$S$522&lt;=AA$3,1,0))*OFFSET('Gastos com Pessoal'!$H$512,1,MATCH(3&amp;$B49,'Gastos com Pessoal'!$I$532:$AJ$532&amp;'Gastos com Pessoal'!$I$512:$AJ$512,0),10,1)),0)+_xlfn.IFNA(SUM((AA$3&gt;='Gastos com Pessoal'!$E$513:$E$522)*(AA$3&lt;='Gastos com Pessoal'!$F$513:$F$522)*(IF('Gastos com Pessoal'!$Y$513:$Y$522&lt;=AA$3,1,0))*OFFSET('Gastos com Pessoal'!$H$512,1,MATCH(4&amp;$B49,'Gastos com Pessoal'!$I$532:$AJ$532&amp;'Gastos com Pessoal'!$I$512:$AJ$512,0),10,1)),0)+_xlfn.IFNA(SUM((AA$3&gt;='Gastos com Pessoal'!$E$513:$E$522)*(AA$3&lt;='Gastos com Pessoal'!$F$513:$F$522)*(IF('Gastos com Pessoal'!$AE$513:$AE$522&lt;=AA$3,1,0))*OFFSET('Gastos com Pessoal'!$H$512,1,MATCH(5&amp;$B49,'Gastos com Pessoal'!$I$532:$AJ$532&amp;'Gastos com Pessoal'!$I$512:$AJ$512,0),10,1)),0)</f>
        <v>409704.33234931383</v>
      </c>
      <c r="AB49" s="188">
        <f t="array" aca="1" ref="AB49" ca="1">_xlfn.IFNA(SUM((AB$3&gt;='Gastos com Pessoal'!$E$7:$E$506)*(AB$3&lt;='Gastos com Pessoal'!$F$7:$F$506)*OFFSET('Encargos e Benefícios'!$D$5,1,MATCH($B49,'Encargos e Benefícios'!$E$5:$AB$5,0),500,1)),0)+_xlfn.IFNA(SUM((AB$3&gt;='Gastos com Pessoal'!$E$513:$E$522)*(AB$3&lt;='Gastos com Pessoal'!$F$513:$F$522)*OFFSET('Encargos e Benefícios'!$D$511,1,MATCH($B49,'Encargos e Benefícios'!$E$511:$AB$511,0),10,1)),0)+_xlfn.IFNA(SUM((AB$3&gt;='Gastos com Pessoal'!$E$7:$E$506)*(AB$3&lt;='Gastos com Pessoal'!$F$7:$F$506)*(IF('Gastos com Pessoal'!$G$7:$G$506&lt;=AB$3,1,0))*OFFSET('Gastos com Pessoal'!$H$6,1,MATCH(1&amp;$B49,'Gastos com Pessoal'!$I$532:$AJ$532&amp;'Gastos com Pessoal'!$I$6:$AJ$6,0),500,1)),0)+_xlfn.IFNA(SUM((AB$3&gt;='Gastos com Pessoal'!$E$7:$E$506)*(AB$3&lt;='Gastos com Pessoal'!$F$7:$F$506)*(IF('Gastos com Pessoal'!$M$7:$M$506&lt;=AB$3,1,0))*OFFSET('Gastos com Pessoal'!$H$6,1,MATCH(2&amp;$B49,'Gastos com Pessoal'!$I$532:$AJ$532&amp;'Gastos com Pessoal'!$I$6:$AJ$6,0),500,1)),0)+_xlfn.IFNA(SUM((AB$3&gt;='Gastos com Pessoal'!$E$7:$E$506)*(AB$3&lt;='Gastos com Pessoal'!$F$7:$F$506)*(IF('Gastos com Pessoal'!$S$7:$S$506&lt;=AB$3,1,0))*OFFSET('Gastos com Pessoal'!$H$6,1,MATCH(3&amp;$B49,'Gastos com Pessoal'!$I$532:$AJ$532&amp;'Gastos com Pessoal'!$I$6:$AJ$6,0),500,1)),0)+_xlfn.IFNA(SUM((AB$3&gt;='Gastos com Pessoal'!$E$7:$E$506)*(AB$3&lt;='Gastos com Pessoal'!$F$7:$F$506)*(IF('Gastos com Pessoal'!$Y$7:$Y$506&lt;=AB$3,1,0))*OFFSET('Gastos com Pessoal'!$H$6,1,MATCH(4&amp;$B49,'Gastos com Pessoal'!$I$532:$AJ$532&amp;'Gastos com Pessoal'!$I$6:$AJ$6,0),500,1)),0)+_xlfn.IFNA(SUM((AB$3&gt;='Gastos com Pessoal'!$E$7:$E$506)*(AB$3&lt;='Gastos com Pessoal'!$F$7:$F$506)*(IF('Gastos com Pessoal'!$AE$7:$AE$506&lt;=AB$3,1,0))*OFFSET('Gastos com Pessoal'!$H$6,1,MATCH(5&amp;$B49,'Gastos com Pessoal'!$I$532:$AJ$532&amp;'Gastos com Pessoal'!$I$6:$AJ$6,0),500,1)),0)+_xlfn.IFNA(SUM((AB$3&gt;='Gastos com Pessoal'!$E$513:$E$522)*(AB$3&lt;='Gastos com Pessoal'!$F$513:$F$522)*(IF('Gastos com Pessoal'!$G$513:$G$522&lt;=AB$3,1,0))*OFFSET('Gastos com Pessoal'!$H$512,1,MATCH(1&amp;$B49,'Gastos com Pessoal'!$I$532:$AJ$532&amp;'Gastos com Pessoal'!$I$512:$AJ$512,0),10,1)),0)+_xlfn.IFNA(SUM((AB$3&gt;='Gastos com Pessoal'!$E$513:$E$522)*(AB$3&lt;='Gastos com Pessoal'!$F$513:$F$522)*(IF('Gastos com Pessoal'!$M$513:$M$522&lt;=AB$3,1,0))*OFFSET('Gastos com Pessoal'!$H$512,1,MATCH(2&amp;$B49,'Gastos com Pessoal'!$I$532:$AJ$532&amp;'Gastos com Pessoal'!$I$512:$AJ$512,0),10,1)),0)+_xlfn.IFNA(SUM((AB$3&gt;='Gastos com Pessoal'!$E$513:$E$522)*(AB$3&lt;='Gastos com Pessoal'!$F$513:$F$522)*(IF('Gastos com Pessoal'!$S$513:$S$522&lt;=AB$3,1,0))*OFFSET('Gastos com Pessoal'!$H$512,1,MATCH(3&amp;$B49,'Gastos com Pessoal'!$I$532:$AJ$532&amp;'Gastos com Pessoal'!$I$512:$AJ$512,0),10,1)),0)+_xlfn.IFNA(SUM((AB$3&gt;='Gastos com Pessoal'!$E$513:$E$522)*(AB$3&lt;='Gastos com Pessoal'!$F$513:$F$522)*(IF('Gastos com Pessoal'!$Y$513:$Y$522&lt;=AB$3,1,0))*OFFSET('Gastos com Pessoal'!$H$512,1,MATCH(4&amp;$B49,'Gastos com Pessoal'!$I$532:$AJ$532&amp;'Gastos com Pessoal'!$I$512:$AJ$512,0),10,1)),0)+_xlfn.IFNA(SUM((AB$3&gt;='Gastos com Pessoal'!$E$513:$E$522)*(AB$3&lt;='Gastos com Pessoal'!$F$513:$F$522)*(IF('Gastos com Pessoal'!$AE$513:$AE$522&lt;=AB$3,1,0))*OFFSET('Gastos com Pessoal'!$H$512,1,MATCH(5&amp;$B49,'Gastos com Pessoal'!$I$532:$AJ$532&amp;'Gastos com Pessoal'!$I$512:$AJ$512,0),10,1)),0)</f>
        <v>409704.33234931383</v>
      </c>
      <c r="AC49" s="188">
        <f t="array" aca="1" ref="AC49" ca="1">_xlfn.IFNA(SUM((AC$3&gt;='Gastos com Pessoal'!$E$7:$E$506)*(AC$3&lt;='Gastos com Pessoal'!$F$7:$F$506)*OFFSET('Encargos e Benefícios'!$D$5,1,MATCH($B49,'Encargos e Benefícios'!$E$5:$AB$5,0),500,1)),0)+_xlfn.IFNA(SUM((AC$3&gt;='Gastos com Pessoal'!$E$513:$E$522)*(AC$3&lt;='Gastos com Pessoal'!$F$513:$F$522)*OFFSET('Encargos e Benefícios'!$D$511,1,MATCH($B49,'Encargos e Benefícios'!$E$511:$AB$511,0),10,1)),0)+_xlfn.IFNA(SUM((AC$3&gt;='Gastos com Pessoal'!$E$7:$E$506)*(AC$3&lt;='Gastos com Pessoal'!$F$7:$F$506)*(IF('Gastos com Pessoal'!$G$7:$G$506&lt;=AC$3,1,0))*OFFSET('Gastos com Pessoal'!$H$6,1,MATCH(1&amp;$B49,'Gastos com Pessoal'!$I$532:$AJ$532&amp;'Gastos com Pessoal'!$I$6:$AJ$6,0),500,1)),0)+_xlfn.IFNA(SUM((AC$3&gt;='Gastos com Pessoal'!$E$7:$E$506)*(AC$3&lt;='Gastos com Pessoal'!$F$7:$F$506)*(IF('Gastos com Pessoal'!$M$7:$M$506&lt;=AC$3,1,0))*OFFSET('Gastos com Pessoal'!$H$6,1,MATCH(2&amp;$B49,'Gastos com Pessoal'!$I$532:$AJ$532&amp;'Gastos com Pessoal'!$I$6:$AJ$6,0),500,1)),0)+_xlfn.IFNA(SUM((AC$3&gt;='Gastos com Pessoal'!$E$7:$E$506)*(AC$3&lt;='Gastos com Pessoal'!$F$7:$F$506)*(IF('Gastos com Pessoal'!$S$7:$S$506&lt;=AC$3,1,0))*OFFSET('Gastos com Pessoal'!$H$6,1,MATCH(3&amp;$B49,'Gastos com Pessoal'!$I$532:$AJ$532&amp;'Gastos com Pessoal'!$I$6:$AJ$6,0),500,1)),0)+_xlfn.IFNA(SUM((AC$3&gt;='Gastos com Pessoal'!$E$7:$E$506)*(AC$3&lt;='Gastos com Pessoal'!$F$7:$F$506)*(IF('Gastos com Pessoal'!$Y$7:$Y$506&lt;=AC$3,1,0))*OFFSET('Gastos com Pessoal'!$H$6,1,MATCH(4&amp;$B49,'Gastos com Pessoal'!$I$532:$AJ$532&amp;'Gastos com Pessoal'!$I$6:$AJ$6,0),500,1)),0)+_xlfn.IFNA(SUM((AC$3&gt;='Gastos com Pessoal'!$E$7:$E$506)*(AC$3&lt;='Gastos com Pessoal'!$F$7:$F$506)*(IF('Gastos com Pessoal'!$AE$7:$AE$506&lt;=AC$3,1,0))*OFFSET('Gastos com Pessoal'!$H$6,1,MATCH(5&amp;$B49,'Gastos com Pessoal'!$I$532:$AJ$532&amp;'Gastos com Pessoal'!$I$6:$AJ$6,0),500,1)),0)+_xlfn.IFNA(SUM((AC$3&gt;='Gastos com Pessoal'!$E$513:$E$522)*(AC$3&lt;='Gastos com Pessoal'!$F$513:$F$522)*(IF('Gastos com Pessoal'!$G$513:$G$522&lt;=AC$3,1,0))*OFFSET('Gastos com Pessoal'!$H$512,1,MATCH(1&amp;$B49,'Gastos com Pessoal'!$I$532:$AJ$532&amp;'Gastos com Pessoal'!$I$512:$AJ$512,0),10,1)),0)+_xlfn.IFNA(SUM((AC$3&gt;='Gastos com Pessoal'!$E$513:$E$522)*(AC$3&lt;='Gastos com Pessoal'!$F$513:$F$522)*(IF('Gastos com Pessoal'!$M$513:$M$522&lt;=AC$3,1,0))*OFFSET('Gastos com Pessoal'!$H$512,1,MATCH(2&amp;$B49,'Gastos com Pessoal'!$I$532:$AJ$532&amp;'Gastos com Pessoal'!$I$512:$AJ$512,0),10,1)),0)+_xlfn.IFNA(SUM((AC$3&gt;='Gastos com Pessoal'!$E$513:$E$522)*(AC$3&lt;='Gastos com Pessoal'!$F$513:$F$522)*(IF('Gastos com Pessoal'!$S$513:$S$522&lt;=AC$3,1,0))*OFFSET('Gastos com Pessoal'!$H$512,1,MATCH(3&amp;$B49,'Gastos com Pessoal'!$I$532:$AJ$532&amp;'Gastos com Pessoal'!$I$512:$AJ$512,0),10,1)),0)+_xlfn.IFNA(SUM((AC$3&gt;='Gastos com Pessoal'!$E$513:$E$522)*(AC$3&lt;='Gastos com Pessoal'!$F$513:$F$522)*(IF('Gastos com Pessoal'!$Y$513:$Y$522&lt;=AC$3,1,0))*OFFSET('Gastos com Pessoal'!$H$512,1,MATCH(4&amp;$B49,'Gastos com Pessoal'!$I$532:$AJ$532&amp;'Gastos com Pessoal'!$I$512:$AJ$512,0),10,1)),0)+_xlfn.IFNA(SUM((AC$3&gt;='Gastos com Pessoal'!$E$513:$E$522)*(AC$3&lt;='Gastos com Pessoal'!$F$513:$F$522)*(IF('Gastos com Pessoal'!$AE$513:$AE$522&lt;=AC$3,1,0))*OFFSET('Gastos com Pessoal'!$H$512,1,MATCH(5&amp;$B49,'Gastos com Pessoal'!$I$532:$AJ$532&amp;'Gastos com Pessoal'!$I$512:$AJ$512,0),10,1)),0)</f>
        <v>409704.33234931383</v>
      </c>
      <c r="AD49" s="188">
        <f t="array" aca="1" ref="AD49" ca="1">_xlfn.IFNA(SUM((AD$3&gt;='Gastos com Pessoal'!$E$7:$E$506)*(AD$3&lt;='Gastos com Pessoal'!$F$7:$F$506)*OFFSET('Encargos e Benefícios'!$D$5,1,MATCH($B49,'Encargos e Benefícios'!$E$5:$AB$5,0),500,1)),0)+_xlfn.IFNA(SUM((AD$3&gt;='Gastos com Pessoal'!$E$513:$E$522)*(AD$3&lt;='Gastos com Pessoal'!$F$513:$F$522)*OFFSET('Encargos e Benefícios'!$D$511,1,MATCH($B49,'Encargos e Benefícios'!$E$511:$AB$511,0),10,1)),0)+_xlfn.IFNA(SUM((AD$3&gt;='Gastos com Pessoal'!$E$7:$E$506)*(AD$3&lt;='Gastos com Pessoal'!$F$7:$F$506)*(IF('Gastos com Pessoal'!$G$7:$G$506&lt;=AD$3,1,0))*OFFSET('Gastos com Pessoal'!$H$6,1,MATCH(1&amp;$B49,'Gastos com Pessoal'!$I$532:$AJ$532&amp;'Gastos com Pessoal'!$I$6:$AJ$6,0),500,1)),0)+_xlfn.IFNA(SUM((AD$3&gt;='Gastos com Pessoal'!$E$7:$E$506)*(AD$3&lt;='Gastos com Pessoal'!$F$7:$F$506)*(IF('Gastos com Pessoal'!$M$7:$M$506&lt;=AD$3,1,0))*OFFSET('Gastos com Pessoal'!$H$6,1,MATCH(2&amp;$B49,'Gastos com Pessoal'!$I$532:$AJ$532&amp;'Gastos com Pessoal'!$I$6:$AJ$6,0),500,1)),0)+_xlfn.IFNA(SUM((AD$3&gt;='Gastos com Pessoal'!$E$7:$E$506)*(AD$3&lt;='Gastos com Pessoal'!$F$7:$F$506)*(IF('Gastos com Pessoal'!$S$7:$S$506&lt;=AD$3,1,0))*OFFSET('Gastos com Pessoal'!$H$6,1,MATCH(3&amp;$B49,'Gastos com Pessoal'!$I$532:$AJ$532&amp;'Gastos com Pessoal'!$I$6:$AJ$6,0),500,1)),0)+_xlfn.IFNA(SUM((AD$3&gt;='Gastos com Pessoal'!$E$7:$E$506)*(AD$3&lt;='Gastos com Pessoal'!$F$7:$F$506)*(IF('Gastos com Pessoal'!$Y$7:$Y$506&lt;=AD$3,1,0))*OFFSET('Gastos com Pessoal'!$H$6,1,MATCH(4&amp;$B49,'Gastos com Pessoal'!$I$532:$AJ$532&amp;'Gastos com Pessoal'!$I$6:$AJ$6,0),500,1)),0)+_xlfn.IFNA(SUM((AD$3&gt;='Gastos com Pessoal'!$E$7:$E$506)*(AD$3&lt;='Gastos com Pessoal'!$F$7:$F$506)*(IF('Gastos com Pessoal'!$AE$7:$AE$506&lt;=AD$3,1,0))*OFFSET('Gastos com Pessoal'!$H$6,1,MATCH(5&amp;$B49,'Gastos com Pessoal'!$I$532:$AJ$532&amp;'Gastos com Pessoal'!$I$6:$AJ$6,0),500,1)),0)+_xlfn.IFNA(SUM((AD$3&gt;='Gastos com Pessoal'!$E$513:$E$522)*(AD$3&lt;='Gastos com Pessoal'!$F$513:$F$522)*(IF('Gastos com Pessoal'!$G$513:$G$522&lt;=AD$3,1,0))*OFFSET('Gastos com Pessoal'!$H$512,1,MATCH(1&amp;$B49,'Gastos com Pessoal'!$I$532:$AJ$532&amp;'Gastos com Pessoal'!$I$512:$AJ$512,0),10,1)),0)+_xlfn.IFNA(SUM((AD$3&gt;='Gastos com Pessoal'!$E$513:$E$522)*(AD$3&lt;='Gastos com Pessoal'!$F$513:$F$522)*(IF('Gastos com Pessoal'!$M$513:$M$522&lt;=AD$3,1,0))*OFFSET('Gastos com Pessoal'!$H$512,1,MATCH(2&amp;$B49,'Gastos com Pessoal'!$I$532:$AJ$532&amp;'Gastos com Pessoal'!$I$512:$AJ$512,0),10,1)),0)+_xlfn.IFNA(SUM((AD$3&gt;='Gastos com Pessoal'!$E$513:$E$522)*(AD$3&lt;='Gastos com Pessoal'!$F$513:$F$522)*(IF('Gastos com Pessoal'!$S$513:$S$522&lt;=AD$3,1,0))*OFFSET('Gastos com Pessoal'!$H$512,1,MATCH(3&amp;$B49,'Gastos com Pessoal'!$I$532:$AJ$532&amp;'Gastos com Pessoal'!$I$512:$AJ$512,0),10,1)),0)+_xlfn.IFNA(SUM((AD$3&gt;='Gastos com Pessoal'!$E$513:$E$522)*(AD$3&lt;='Gastos com Pessoal'!$F$513:$F$522)*(IF('Gastos com Pessoal'!$Y$513:$Y$522&lt;=AD$3,1,0))*OFFSET('Gastos com Pessoal'!$H$512,1,MATCH(4&amp;$B49,'Gastos com Pessoal'!$I$532:$AJ$532&amp;'Gastos com Pessoal'!$I$512:$AJ$512,0),10,1)),0)+_xlfn.IFNA(SUM((AD$3&gt;='Gastos com Pessoal'!$E$513:$E$522)*(AD$3&lt;='Gastos com Pessoal'!$F$513:$F$522)*(IF('Gastos com Pessoal'!$AE$513:$AE$522&lt;=AD$3,1,0))*OFFSET('Gastos com Pessoal'!$H$512,1,MATCH(5&amp;$B49,'Gastos com Pessoal'!$I$532:$AJ$532&amp;'Gastos com Pessoal'!$I$512:$AJ$512,0),10,1)),0)</f>
        <v>409704.33234931383</v>
      </c>
      <c r="AE49" s="188">
        <f t="array" aca="1" ref="AE49" ca="1">_xlfn.IFNA(SUM((AE$3&gt;='Gastos com Pessoal'!$E$7:$E$506)*(AE$3&lt;='Gastos com Pessoal'!$F$7:$F$506)*OFFSET('Encargos e Benefícios'!$D$5,1,MATCH($B49,'Encargos e Benefícios'!$E$5:$AB$5,0),500,1)),0)+_xlfn.IFNA(SUM((AE$3&gt;='Gastos com Pessoal'!$E$513:$E$522)*(AE$3&lt;='Gastos com Pessoal'!$F$513:$F$522)*OFFSET('Encargos e Benefícios'!$D$511,1,MATCH($B49,'Encargos e Benefícios'!$E$511:$AB$511,0),10,1)),0)+_xlfn.IFNA(SUM((AE$3&gt;='Gastos com Pessoal'!$E$7:$E$506)*(AE$3&lt;='Gastos com Pessoal'!$F$7:$F$506)*(IF('Gastos com Pessoal'!$G$7:$G$506&lt;=AE$3,1,0))*OFFSET('Gastos com Pessoal'!$H$6,1,MATCH(1&amp;$B49,'Gastos com Pessoal'!$I$532:$AJ$532&amp;'Gastos com Pessoal'!$I$6:$AJ$6,0),500,1)),0)+_xlfn.IFNA(SUM((AE$3&gt;='Gastos com Pessoal'!$E$7:$E$506)*(AE$3&lt;='Gastos com Pessoal'!$F$7:$F$506)*(IF('Gastos com Pessoal'!$M$7:$M$506&lt;=AE$3,1,0))*OFFSET('Gastos com Pessoal'!$H$6,1,MATCH(2&amp;$B49,'Gastos com Pessoal'!$I$532:$AJ$532&amp;'Gastos com Pessoal'!$I$6:$AJ$6,0),500,1)),0)+_xlfn.IFNA(SUM((AE$3&gt;='Gastos com Pessoal'!$E$7:$E$506)*(AE$3&lt;='Gastos com Pessoal'!$F$7:$F$506)*(IF('Gastos com Pessoal'!$S$7:$S$506&lt;=AE$3,1,0))*OFFSET('Gastos com Pessoal'!$H$6,1,MATCH(3&amp;$B49,'Gastos com Pessoal'!$I$532:$AJ$532&amp;'Gastos com Pessoal'!$I$6:$AJ$6,0),500,1)),0)+_xlfn.IFNA(SUM((AE$3&gt;='Gastos com Pessoal'!$E$7:$E$506)*(AE$3&lt;='Gastos com Pessoal'!$F$7:$F$506)*(IF('Gastos com Pessoal'!$Y$7:$Y$506&lt;=AE$3,1,0))*OFFSET('Gastos com Pessoal'!$H$6,1,MATCH(4&amp;$B49,'Gastos com Pessoal'!$I$532:$AJ$532&amp;'Gastos com Pessoal'!$I$6:$AJ$6,0),500,1)),0)+_xlfn.IFNA(SUM((AE$3&gt;='Gastos com Pessoal'!$E$7:$E$506)*(AE$3&lt;='Gastos com Pessoal'!$F$7:$F$506)*(IF('Gastos com Pessoal'!$AE$7:$AE$506&lt;=AE$3,1,0))*OFFSET('Gastos com Pessoal'!$H$6,1,MATCH(5&amp;$B49,'Gastos com Pessoal'!$I$532:$AJ$532&amp;'Gastos com Pessoal'!$I$6:$AJ$6,0),500,1)),0)+_xlfn.IFNA(SUM((AE$3&gt;='Gastos com Pessoal'!$E$513:$E$522)*(AE$3&lt;='Gastos com Pessoal'!$F$513:$F$522)*(IF('Gastos com Pessoal'!$G$513:$G$522&lt;=AE$3,1,0))*OFFSET('Gastos com Pessoal'!$H$512,1,MATCH(1&amp;$B49,'Gastos com Pessoal'!$I$532:$AJ$532&amp;'Gastos com Pessoal'!$I$512:$AJ$512,0),10,1)),0)+_xlfn.IFNA(SUM((AE$3&gt;='Gastos com Pessoal'!$E$513:$E$522)*(AE$3&lt;='Gastos com Pessoal'!$F$513:$F$522)*(IF('Gastos com Pessoal'!$M$513:$M$522&lt;=AE$3,1,0))*OFFSET('Gastos com Pessoal'!$H$512,1,MATCH(2&amp;$B49,'Gastos com Pessoal'!$I$532:$AJ$532&amp;'Gastos com Pessoal'!$I$512:$AJ$512,0),10,1)),0)+_xlfn.IFNA(SUM((AE$3&gt;='Gastos com Pessoal'!$E$513:$E$522)*(AE$3&lt;='Gastos com Pessoal'!$F$513:$F$522)*(IF('Gastos com Pessoal'!$S$513:$S$522&lt;=AE$3,1,0))*OFFSET('Gastos com Pessoal'!$H$512,1,MATCH(3&amp;$B49,'Gastos com Pessoal'!$I$532:$AJ$532&amp;'Gastos com Pessoal'!$I$512:$AJ$512,0),10,1)),0)+_xlfn.IFNA(SUM((AE$3&gt;='Gastos com Pessoal'!$E$513:$E$522)*(AE$3&lt;='Gastos com Pessoal'!$F$513:$F$522)*(IF('Gastos com Pessoal'!$Y$513:$Y$522&lt;=AE$3,1,0))*OFFSET('Gastos com Pessoal'!$H$512,1,MATCH(4&amp;$B49,'Gastos com Pessoal'!$I$532:$AJ$532&amp;'Gastos com Pessoal'!$I$512:$AJ$512,0),10,1)),0)+_xlfn.IFNA(SUM((AE$3&gt;='Gastos com Pessoal'!$E$513:$E$522)*(AE$3&lt;='Gastos com Pessoal'!$F$513:$F$522)*(IF('Gastos com Pessoal'!$AE$513:$AE$522&lt;=AE$3,1,0))*OFFSET('Gastos com Pessoal'!$H$512,1,MATCH(5&amp;$B49,'Gastos com Pessoal'!$I$532:$AJ$532&amp;'Gastos com Pessoal'!$I$512:$AJ$512,0),10,1)),0)</f>
        <v>433631.06535851362</v>
      </c>
      <c r="AF49" s="188">
        <f t="array" aca="1" ref="AF49" ca="1">_xlfn.IFNA(SUM((AF$3&gt;='Gastos com Pessoal'!$E$7:$E$506)*(AF$3&lt;='Gastos com Pessoal'!$F$7:$F$506)*OFFSET('Encargos e Benefícios'!$D$5,1,MATCH($B49,'Encargos e Benefícios'!$E$5:$AB$5,0),500,1)),0)+_xlfn.IFNA(SUM((AF$3&gt;='Gastos com Pessoal'!$E$513:$E$522)*(AF$3&lt;='Gastos com Pessoal'!$F$513:$F$522)*OFFSET('Encargos e Benefícios'!$D$511,1,MATCH($B49,'Encargos e Benefícios'!$E$511:$AB$511,0),10,1)),0)+_xlfn.IFNA(SUM((AF$3&gt;='Gastos com Pessoal'!$E$7:$E$506)*(AF$3&lt;='Gastos com Pessoal'!$F$7:$F$506)*(IF('Gastos com Pessoal'!$G$7:$G$506&lt;=AF$3,1,0))*OFFSET('Gastos com Pessoal'!$H$6,1,MATCH(1&amp;$B49,'Gastos com Pessoal'!$I$532:$AJ$532&amp;'Gastos com Pessoal'!$I$6:$AJ$6,0),500,1)),0)+_xlfn.IFNA(SUM((AF$3&gt;='Gastos com Pessoal'!$E$7:$E$506)*(AF$3&lt;='Gastos com Pessoal'!$F$7:$F$506)*(IF('Gastos com Pessoal'!$M$7:$M$506&lt;=AF$3,1,0))*OFFSET('Gastos com Pessoal'!$H$6,1,MATCH(2&amp;$B49,'Gastos com Pessoal'!$I$532:$AJ$532&amp;'Gastos com Pessoal'!$I$6:$AJ$6,0),500,1)),0)+_xlfn.IFNA(SUM((AF$3&gt;='Gastos com Pessoal'!$E$7:$E$506)*(AF$3&lt;='Gastos com Pessoal'!$F$7:$F$506)*(IF('Gastos com Pessoal'!$S$7:$S$506&lt;=AF$3,1,0))*OFFSET('Gastos com Pessoal'!$H$6,1,MATCH(3&amp;$B49,'Gastos com Pessoal'!$I$532:$AJ$532&amp;'Gastos com Pessoal'!$I$6:$AJ$6,0),500,1)),0)+_xlfn.IFNA(SUM((AF$3&gt;='Gastos com Pessoal'!$E$7:$E$506)*(AF$3&lt;='Gastos com Pessoal'!$F$7:$F$506)*(IF('Gastos com Pessoal'!$Y$7:$Y$506&lt;=AF$3,1,0))*OFFSET('Gastos com Pessoal'!$H$6,1,MATCH(4&amp;$B49,'Gastos com Pessoal'!$I$532:$AJ$532&amp;'Gastos com Pessoal'!$I$6:$AJ$6,0),500,1)),0)+_xlfn.IFNA(SUM((AF$3&gt;='Gastos com Pessoal'!$E$7:$E$506)*(AF$3&lt;='Gastos com Pessoal'!$F$7:$F$506)*(IF('Gastos com Pessoal'!$AE$7:$AE$506&lt;=AF$3,1,0))*OFFSET('Gastos com Pessoal'!$H$6,1,MATCH(5&amp;$B49,'Gastos com Pessoal'!$I$532:$AJ$532&amp;'Gastos com Pessoal'!$I$6:$AJ$6,0),500,1)),0)+_xlfn.IFNA(SUM((AF$3&gt;='Gastos com Pessoal'!$E$513:$E$522)*(AF$3&lt;='Gastos com Pessoal'!$F$513:$F$522)*(IF('Gastos com Pessoal'!$G$513:$G$522&lt;=AF$3,1,0))*OFFSET('Gastos com Pessoal'!$H$512,1,MATCH(1&amp;$B49,'Gastos com Pessoal'!$I$532:$AJ$532&amp;'Gastos com Pessoal'!$I$512:$AJ$512,0),10,1)),0)+_xlfn.IFNA(SUM((AF$3&gt;='Gastos com Pessoal'!$E$513:$E$522)*(AF$3&lt;='Gastos com Pessoal'!$F$513:$F$522)*(IF('Gastos com Pessoal'!$M$513:$M$522&lt;=AF$3,1,0))*OFFSET('Gastos com Pessoal'!$H$512,1,MATCH(2&amp;$B49,'Gastos com Pessoal'!$I$532:$AJ$532&amp;'Gastos com Pessoal'!$I$512:$AJ$512,0),10,1)),0)+_xlfn.IFNA(SUM((AF$3&gt;='Gastos com Pessoal'!$E$513:$E$522)*(AF$3&lt;='Gastos com Pessoal'!$F$513:$F$522)*(IF('Gastos com Pessoal'!$S$513:$S$522&lt;=AF$3,1,0))*OFFSET('Gastos com Pessoal'!$H$512,1,MATCH(3&amp;$B49,'Gastos com Pessoal'!$I$532:$AJ$532&amp;'Gastos com Pessoal'!$I$512:$AJ$512,0),10,1)),0)+_xlfn.IFNA(SUM((AF$3&gt;='Gastos com Pessoal'!$E$513:$E$522)*(AF$3&lt;='Gastos com Pessoal'!$F$513:$F$522)*(IF('Gastos com Pessoal'!$Y$513:$Y$522&lt;=AF$3,1,0))*OFFSET('Gastos com Pessoal'!$H$512,1,MATCH(4&amp;$B49,'Gastos com Pessoal'!$I$532:$AJ$532&amp;'Gastos com Pessoal'!$I$512:$AJ$512,0),10,1)),0)+_xlfn.IFNA(SUM((AF$3&gt;='Gastos com Pessoal'!$E$513:$E$522)*(AF$3&lt;='Gastos com Pessoal'!$F$513:$F$522)*(IF('Gastos com Pessoal'!$AE$513:$AE$522&lt;=AF$3,1,0))*OFFSET('Gastos com Pessoal'!$H$512,1,MATCH(5&amp;$B49,'Gastos com Pessoal'!$I$532:$AJ$532&amp;'Gastos com Pessoal'!$I$512:$AJ$512,0),10,1)),0)</f>
        <v>433631.06535851362</v>
      </c>
      <c r="AG49" s="188">
        <f t="array" aca="1" ref="AG49" ca="1">_xlfn.IFNA(SUM((AG$3&gt;='Gastos com Pessoal'!$E$7:$E$506)*(AG$3&lt;='Gastos com Pessoal'!$F$7:$F$506)*OFFSET('Encargos e Benefícios'!$D$5,1,MATCH($B49,'Encargos e Benefícios'!$E$5:$AB$5,0),500,1)),0)+_xlfn.IFNA(SUM((AG$3&gt;='Gastos com Pessoal'!$E$513:$E$522)*(AG$3&lt;='Gastos com Pessoal'!$F$513:$F$522)*OFFSET('Encargos e Benefícios'!$D$511,1,MATCH($B49,'Encargos e Benefícios'!$E$511:$AB$511,0),10,1)),0)+_xlfn.IFNA(SUM((AG$3&gt;='Gastos com Pessoal'!$E$7:$E$506)*(AG$3&lt;='Gastos com Pessoal'!$F$7:$F$506)*(IF('Gastos com Pessoal'!$G$7:$G$506&lt;=AG$3,1,0))*OFFSET('Gastos com Pessoal'!$H$6,1,MATCH(1&amp;$B49,'Gastos com Pessoal'!$I$532:$AJ$532&amp;'Gastos com Pessoal'!$I$6:$AJ$6,0),500,1)),0)+_xlfn.IFNA(SUM((AG$3&gt;='Gastos com Pessoal'!$E$7:$E$506)*(AG$3&lt;='Gastos com Pessoal'!$F$7:$F$506)*(IF('Gastos com Pessoal'!$M$7:$M$506&lt;=AG$3,1,0))*OFFSET('Gastos com Pessoal'!$H$6,1,MATCH(2&amp;$B49,'Gastos com Pessoal'!$I$532:$AJ$532&amp;'Gastos com Pessoal'!$I$6:$AJ$6,0),500,1)),0)+_xlfn.IFNA(SUM((AG$3&gt;='Gastos com Pessoal'!$E$7:$E$506)*(AG$3&lt;='Gastos com Pessoal'!$F$7:$F$506)*(IF('Gastos com Pessoal'!$S$7:$S$506&lt;=AG$3,1,0))*OFFSET('Gastos com Pessoal'!$H$6,1,MATCH(3&amp;$B49,'Gastos com Pessoal'!$I$532:$AJ$532&amp;'Gastos com Pessoal'!$I$6:$AJ$6,0),500,1)),0)+_xlfn.IFNA(SUM((AG$3&gt;='Gastos com Pessoal'!$E$7:$E$506)*(AG$3&lt;='Gastos com Pessoal'!$F$7:$F$506)*(IF('Gastos com Pessoal'!$Y$7:$Y$506&lt;=AG$3,1,0))*OFFSET('Gastos com Pessoal'!$H$6,1,MATCH(4&amp;$B49,'Gastos com Pessoal'!$I$532:$AJ$532&amp;'Gastos com Pessoal'!$I$6:$AJ$6,0),500,1)),0)+_xlfn.IFNA(SUM((AG$3&gt;='Gastos com Pessoal'!$E$7:$E$506)*(AG$3&lt;='Gastos com Pessoal'!$F$7:$F$506)*(IF('Gastos com Pessoal'!$AE$7:$AE$506&lt;=AG$3,1,0))*OFFSET('Gastos com Pessoal'!$H$6,1,MATCH(5&amp;$B49,'Gastos com Pessoal'!$I$532:$AJ$532&amp;'Gastos com Pessoal'!$I$6:$AJ$6,0),500,1)),0)+_xlfn.IFNA(SUM((AG$3&gt;='Gastos com Pessoal'!$E$513:$E$522)*(AG$3&lt;='Gastos com Pessoal'!$F$513:$F$522)*(IF('Gastos com Pessoal'!$G$513:$G$522&lt;=AG$3,1,0))*OFFSET('Gastos com Pessoal'!$H$512,1,MATCH(1&amp;$B49,'Gastos com Pessoal'!$I$532:$AJ$532&amp;'Gastos com Pessoal'!$I$512:$AJ$512,0),10,1)),0)+_xlfn.IFNA(SUM((AG$3&gt;='Gastos com Pessoal'!$E$513:$E$522)*(AG$3&lt;='Gastos com Pessoal'!$F$513:$F$522)*(IF('Gastos com Pessoal'!$M$513:$M$522&lt;=AG$3,1,0))*OFFSET('Gastos com Pessoal'!$H$512,1,MATCH(2&amp;$B49,'Gastos com Pessoal'!$I$532:$AJ$532&amp;'Gastos com Pessoal'!$I$512:$AJ$512,0),10,1)),0)+_xlfn.IFNA(SUM((AG$3&gt;='Gastos com Pessoal'!$E$513:$E$522)*(AG$3&lt;='Gastos com Pessoal'!$F$513:$F$522)*(IF('Gastos com Pessoal'!$S$513:$S$522&lt;=AG$3,1,0))*OFFSET('Gastos com Pessoal'!$H$512,1,MATCH(3&amp;$B49,'Gastos com Pessoal'!$I$532:$AJ$532&amp;'Gastos com Pessoal'!$I$512:$AJ$512,0),10,1)),0)+_xlfn.IFNA(SUM((AG$3&gt;='Gastos com Pessoal'!$E$513:$E$522)*(AG$3&lt;='Gastos com Pessoal'!$F$513:$F$522)*(IF('Gastos com Pessoal'!$Y$513:$Y$522&lt;=AG$3,1,0))*OFFSET('Gastos com Pessoal'!$H$512,1,MATCH(4&amp;$B49,'Gastos com Pessoal'!$I$532:$AJ$532&amp;'Gastos com Pessoal'!$I$512:$AJ$512,0),10,1)),0)+_xlfn.IFNA(SUM((AG$3&gt;='Gastos com Pessoal'!$E$513:$E$522)*(AG$3&lt;='Gastos com Pessoal'!$F$513:$F$522)*(IF('Gastos com Pessoal'!$AE$513:$AE$522&lt;=AG$3,1,0))*OFFSET('Gastos com Pessoal'!$H$512,1,MATCH(5&amp;$B49,'Gastos com Pessoal'!$I$532:$AJ$532&amp;'Gastos com Pessoal'!$I$512:$AJ$512,0),10,1)),0)</f>
        <v>433631.06535851362</v>
      </c>
      <c r="AH49" s="188">
        <f t="array" aca="1" ref="AH49" ca="1">_xlfn.IFNA(SUM((AH$3&gt;='Gastos com Pessoal'!$E$7:$E$506)*(AH$3&lt;='Gastos com Pessoal'!$F$7:$F$506)*OFFSET('Encargos e Benefícios'!$D$5,1,MATCH($B49,'Encargos e Benefícios'!$E$5:$AB$5,0),500,1)),0)+_xlfn.IFNA(SUM((AH$3&gt;='Gastos com Pessoal'!$E$513:$E$522)*(AH$3&lt;='Gastos com Pessoal'!$F$513:$F$522)*OFFSET('Encargos e Benefícios'!$D$511,1,MATCH($B49,'Encargos e Benefícios'!$E$511:$AB$511,0),10,1)),0)+_xlfn.IFNA(SUM((AH$3&gt;='Gastos com Pessoal'!$E$7:$E$506)*(AH$3&lt;='Gastos com Pessoal'!$F$7:$F$506)*(IF('Gastos com Pessoal'!$G$7:$G$506&lt;=AH$3,1,0))*OFFSET('Gastos com Pessoal'!$H$6,1,MATCH(1&amp;$B49,'Gastos com Pessoal'!$I$532:$AJ$532&amp;'Gastos com Pessoal'!$I$6:$AJ$6,0),500,1)),0)+_xlfn.IFNA(SUM((AH$3&gt;='Gastos com Pessoal'!$E$7:$E$506)*(AH$3&lt;='Gastos com Pessoal'!$F$7:$F$506)*(IF('Gastos com Pessoal'!$M$7:$M$506&lt;=AH$3,1,0))*OFFSET('Gastos com Pessoal'!$H$6,1,MATCH(2&amp;$B49,'Gastos com Pessoal'!$I$532:$AJ$532&amp;'Gastos com Pessoal'!$I$6:$AJ$6,0),500,1)),0)+_xlfn.IFNA(SUM((AH$3&gt;='Gastos com Pessoal'!$E$7:$E$506)*(AH$3&lt;='Gastos com Pessoal'!$F$7:$F$506)*(IF('Gastos com Pessoal'!$S$7:$S$506&lt;=AH$3,1,0))*OFFSET('Gastos com Pessoal'!$H$6,1,MATCH(3&amp;$B49,'Gastos com Pessoal'!$I$532:$AJ$532&amp;'Gastos com Pessoal'!$I$6:$AJ$6,0),500,1)),0)+_xlfn.IFNA(SUM((AH$3&gt;='Gastos com Pessoal'!$E$7:$E$506)*(AH$3&lt;='Gastos com Pessoal'!$F$7:$F$506)*(IF('Gastos com Pessoal'!$Y$7:$Y$506&lt;=AH$3,1,0))*OFFSET('Gastos com Pessoal'!$H$6,1,MATCH(4&amp;$B49,'Gastos com Pessoal'!$I$532:$AJ$532&amp;'Gastos com Pessoal'!$I$6:$AJ$6,0),500,1)),0)+_xlfn.IFNA(SUM((AH$3&gt;='Gastos com Pessoal'!$E$7:$E$506)*(AH$3&lt;='Gastos com Pessoal'!$F$7:$F$506)*(IF('Gastos com Pessoal'!$AE$7:$AE$506&lt;=AH$3,1,0))*OFFSET('Gastos com Pessoal'!$H$6,1,MATCH(5&amp;$B49,'Gastos com Pessoal'!$I$532:$AJ$532&amp;'Gastos com Pessoal'!$I$6:$AJ$6,0),500,1)),0)+_xlfn.IFNA(SUM((AH$3&gt;='Gastos com Pessoal'!$E$513:$E$522)*(AH$3&lt;='Gastos com Pessoal'!$F$513:$F$522)*(IF('Gastos com Pessoal'!$G$513:$G$522&lt;=AH$3,1,0))*OFFSET('Gastos com Pessoal'!$H$512,1,MATCH(1&amp;$B49,'Gastos com Pessoal'!$I$532:$AJ$532&amp;'Gastos com Pessoal'!$I$512:$AJ$512,0),10,1)),0)+_xlfn.IFNA(SUM((AH$3&gt;='Gastos com Pessoal'!$E$513:$E$522)*(AH$3&lt;='Gastos com Pessoal'!$F$513:$F$522)*(IF('Gastos com Pessoal'!$M$513:$M$522&lt;=AH$3,1,0))*OFFSET('Gastos com Pessoal'!$H$512,1,MATCH(2&amp;$B49,'Gastos com Pessoal'!$I$532:$AJ$532&amp;'Gastos com Pessoal'!$I$512:$AJ$512,0),10,1)),0)+_xlfn.IFNA(SUM((AH$3&gt;='Gastos com Pessoal'!$E$513:$E$522)*(AH$3&lt;='Gastos com Pessoal'!$F$513:$F$522)*(IF('Gastos com Pessoal'!$S$513:$S$522&lt;=AH$3,1,0))*OFFSET('Gastos com Pessoal'!$H$512,1,MATCH(3&amp;$B49,'Gastos com Pessoal'!$I$532:$AJ$532&amp;'Gastos com Pessoal'!$I$512:$AJ$512,0),10,1)),0)+_xlfn.IFNA(SUM((AH$3&gt;='Gastos com Pessoal'!$E$513:$E$522)*(AH$3&lt;='Gastos com Pessoal'!$F$513:$F$522)*(IF('Gastos com Pessoal'!$Y$513:$Y$522&lt;=AH$3,1,0))*OFFSET('Gastos com Pessoal'!$H$512,1,MATCH(4&amp;$B49,'Gastos com Pessoal'!$I$532:$AJ$532&amp;'Gastos com Pessoal'!$I$512:$AJ$512,0),10,1)),0)+_xlfn.IFNA(SUM((AH$3&gt;='Gastos com Pessoal'!$E$513:$E$522)*(AH$3&lt;='Gastos com Pessoal'!$F$513:$F$522)*(IF('Gastos com Pessoal'!$AE$513:$AE$522&lt;=AH$3,1,0))*OFFSET('Gastos com Pessoal'!$H$512,1,MATCH(5&amp;$B49,'Gastos com Pessoal'!$I$532:$AJ$532&amp;'Gastos com Pessoal'!$I$512:$AJ$512,0),10,1)),0)</f>
        <v>433631.06535851362</v>
      </c>
      <c r="AI49" s="188">
        <f t="array" aca="1" ref="AI49" ca="1">_xlfn.IFNA(SUM((AI$3&gt;='Gastos com Pessoal'!$E$7:$E$506)*(AI$3&lt;='Gastos com Pessoal'!$F$7:$F$506)*OFFSET('Encargos e Benefícios'!$D$5,1,MATCH($B49,'Encargos e Benefícios'!$E$5:$AB$5,0),500,1)),0)+_xlfn.IFNA(SUM((AI$3&gt;='Gastos com Pessoal'!$E$513:$E$522)*(AI$3&lt;='Gastos com Pessoal'!$F$513:$F$522)*OFFSET('Encargos e Benefícios'!$D$511,1,MATCH($B49,'Encargos e Benefícios'!$E$511:$AB$511,0),10,1)),0)+_xlfn.IFNA(SUM((AI$3&gt;='Gastos com Pessoal'!$E$7:$E$506)*(AI$3&lt;='Gastos com Pessoal'!$F$7:$F$506)*(IF('Gastos com Pessoal'!$G$7:$G$506&lt;=AI$3,1,0))*OFFSET('Gastos com Pessoal'!$H$6,1,MATCH(1&amp;$B49,'Gastos com Pessoal'!$I$532:$AJ$532&amp;'Gastos com Pessoal'!$I$6:$AJ$6,0),500,1)),0)+_xlfn.IFNA(SUM((AI$3&gt;='Gastos com Pessoal'!$E$7:$E$506)*(AI$3&lt;='Gastos com Pessoal'!$F$7:$F$506)*(IF('Gastos com Pessoal'!$M$7:$M$506&lt;=AI$3,1,0))*OFFSET('Gastos com Pessoal'!$H$6,1,MATCH(2&amp;$B49,'Gastos com Pessoal'!$I$532:$AJ$532&amp;'Gastos com Pessoal'!$I$6:$AJ$6,0),500,1)),0)+_xlfn.IFNA(SUM((AI$3&gt;='Gastos com Pessoal'!$E$7:$E$506)*(AI$3&lt;='Gastos com Pessoal'!$F$7:$F$506)*(IF('Gastos com Pessoal'!$S$7:$S$506&lt;=AI$3,1,0))*OFFSET('Gastos com Pessoal'!$H$6,1,MATCH(3&amp;$B49,'Gastos com Pessoal'!$I$532:$AJ$532&amp;'Gastos com Pessoal'!$I$6:$AJ$6,0),500,1)),0)+_xlfn.IFNA(SUM((AI$3&gt;='Gastos com Pessoal'!$E$7:$E$506)*(AI$3&lt;='Gastos com Pessoal'!$F$7:$F$506)*(IF('Gastos com Pessoal'!$Y$7:$Y$506&lt;=AI$3,1,0))*OFFSET('Gastos com Pessoal'!$H$6,1,MATCH(4&amp;$B49,'Gastos com Pessoal'!$I$532:$AJ$532&amp;'Gastos com Pessoal'!$I$6:$AJ$6,0),500,1)),0)+_xlfn.IFNA(SUM((AI$3&gt;='Gastos com Pessoal'!$E$7:$E$506)*(AI$3&lt;='Gastos com Pessoal'!$F$7:$F$506)*(IF('Gastos com Pessoal'!$AE$7:$AE$506&lt;=AI$3,1,0))*OFFSET('Gastos com Pessoal'!$H$6,1,MATCH(5&amp;$B49,'Gastos com Pessoal'!$I$532:$AJ$532&amp;'Gastos com Pessoal'!$I$6:$AJ$6,0),500,1)),0)+_xlfn.IFNA(SUM((AI$3&gt;='Gastos com Pessoal'!$E$513:$E$522)*(AI$3&lt;='Gastos com Pessoal'!$F$513:$F$522)*(IF('Gastos com Pessoal'!$G$513:$G$522&lt;=AI$3,1,0))*OFFSET('Gastos com Pessoal'!$H$512,1,MATCH(1&amp;$B49,'Gastos com Pessoal'!$I$532:$AJ$532&amp;'Gastos com Pessoal'!$I$512:$AJ$512,0),10,1)),0)+_xlfn.IFNA(SUM((AI$3&gt;='Gastos com Pessoal'!$E$513:$E$522)*(AI$3&lt;='Gastos com Pessoal'!$F$513:$F$522)*(IF('Gastos com Pessoal'!$M$513:$M$522&lt;=AI$3,1,0))*OFFSET('Gastos com Pessoal'!$H$512,1,MATCH(2&amp;$B49,'Gastos com Pessoal'!$I$532:$AJ$532&amp;'Gastos com Pessoal'!$I$512:$AJ$512,0),10,1)),0)+_xlfn.IFNA(SUM((AI$3&gt;='Gastos com Pessoal'!$E$513:$E$522)*(AI$3&lt;='Gastos com Pessoal'!$F$513:$F$522)*(IF('Gastos com Pessoal'!$S$513:$S$522&lt;=AI$3,1,0))*OFFSET('Gastos com Pessoal'!$H$512,1,MATCH(3&amp;$B49,'Gastos com Pessoal'!$I$532:$AJ$532&amp;'Gastos com Pessoal'!$I$512:$AJ$512,0),10,1)),0)+_xlfn.IFNA(SUM((AI$3&gt;='Gastos com Pessoal'!$E$513:$E$522)*(AI$3&lt;='Gastos com Pessoal'!$F$513:$F$522)*(IF('Gastos com Pessoal'!$Y$513:$Y$522&lt;=AI$3,1,0))*OFFSET('Gastos com Pessoal'!$H$512,1,MATCH(4&amp;$B49,'Gastos com Pessoal'!$I$532:$AJ$532&amp;'Gastos com Pessoal'!$I$512:$AJ$512,0),10,1)),0)+_xlfn.IFNA(SUM((AI$3&gt;='Gastos com Pessoal'!$E$513:$E$522)*(AI$3&lt;='Gastos com Pessoal'!$F$513:$F$522)*(IF('Gastos com Pessoal'!$AE$513:$AE$522&lt;=AI$3,1,0))*OFFSET('Gastos com Pessoal'!$H$512,1,MATCH(5&amp;$B49,'Gastos com Pessoal'!$I$532:$AJ$532&amp;'Gastos com Pessoal'!$I$512:$AJ$512,0),10,1)),0)</f>
        <v>433631.06535851362</v>
      </c>
      <c r="AJ49" s="188">
        <f t="array" aca="1" ref="AJ49" ca="1">_xlfn.IFNA(SUM((AJ$3&gt;='Gastos com Pessoal'!$E$7:$E$506)*(AJ$3&lt;='Gastos com Pessoal'!$F$7:$F$506)*OFFSET('Encargos e Benefícios'!$D$5,1,MATCH($B49,'Encargos e Benefícios'!$E$5:$AB$5,0),500,1)),0)+_xlfn.IFNA(SUM((AJ$3&gt;='Gastos com Pessoal'!$E$513:$E$522)*(AJ$3&lt;='Gastos com Pessoal'!$F$513:$F$522)*OFFSET('Encargos e Benefícios'!$D$511,1,MATCH($B49,'Encargos e Benefícios'!$E$511:$AB$511,0),10,1)),0)+_xlfn.IFNA(SUM((AJ$3&gt;='Gastos com Pessoal'!$E$7:$E$506)*(AJ$3&lt;='Gastos com Pessoal'!$F$7:$F$506)*(IF('Gastos com Pessoal'!$G$7:$G$506&lt;=AJ$3,1,0))*OFFSET('Gastos com Pessoal'!$H$6,1,MATCH(1&amp;$B49,'Gastos com Pessoal'!$I$532:$AJ$532&amp;'Gastos com Pessoal'!$I$6:$AJ$6,0),500,1)),0)+_xlfn.IFNA(SUM((AJ$3&gt;='Gastos com Pessoal'!$E$7:$E$506)*(AJ$3&lt;='Gastos com Pessoal'!$F$7:$F$506)*(IF('Gastos com Pessoal'!$M$7:$M$506&lt;=AJ$3,1,0))*OFFSET('Gastos com Pessoal'!$H$6,1,MATCH(2&amp;$B49,'Gastos com Pessoal'!$I$532:$AJ$532&amp;'Gastos com Pessoal'!$I$6:$AJ$6,0),500,1)),0)+_xlfn.IFNA(SUM((AJ$3&gt;='Gastos com Pessoal'!$E$7:$E$506)*(AJ$3&lt;='Gastos com Pessoal'!$F$7:$F$506)*(IF('Gastos com Pessoal'!$S$7:$S$506&lt;=AJ$3,1,0))*OFFSET('Gastos com Pessoal'!$H$6,1,MATCH(3&amp;$B49,'Gastos com Pessoal'!$I$532:$AJ$532&amp;'Gastos com Pessoal'!$I$6:$AJ$6,0),500,1)),0)+_xlfn.IFNA(SUM((AJ$3&gt;='Gastos com Pessoal'!$E$7:$E$506)*(AJ$3&lt;='Gastos com Pessoal'!$F$7:$F$506)*(IF('Gastos com Pessoal'!$Y$7:$Y$506&lt;=AJ$3,1,0))*OFFSET('Gastos com Pessoal'!$H$6,1,MATCH(4&amp;$B49,'Gastos com Pessoal'!$I$532:$AJ$532&amp;'Gastos com Pessoal'!$I$6:$AJ$6,0),500,1)),0)+_xlfn.IFNA(SUM((AJ$3&gt;='Gastos com Pessoal'!$E$7:$E$506)*(AJ$3&lt;='Gastos com Pessoal'!$F$7:$F$506)*(IF('Gastos com Pessoal'!$AE$7:$AE$506&lt;=AJ$3,1,0))*OFFSET('Gastos com Pessoal'!$H$6,1,MATCH(5&amp;$B49,'Gastos com Pessoal'!$I$532:$AJ$532&amp;'Gastos com Pessoal'!$I$6:$AJ$6,0),500,1)),0)+_xlfn.IFNA(SUM((AJ$3&gt;='Gastos com Pessoal'!$E$513:$E$522)*(AJ$3&lt;='Gastos com Pessoal'!$F$513:$F$522)*(IF('Gastos com Pessoal'!$G$513:$G$522&lt;=AJ$3,1,0))*OFFSET('Gastos com Pessoal'!$H$512,1,MATCH(1&amp;$B49,'Gastos com Pessoal'!$I$532:$AJ$532&amp;'Gastos com Pessoal'!$I$512:$AJ$512,0),10,1)),0)+_xlfn.IFNA(SUM((AJ$3&gt;='Gastos com Pessoal'!$E$513:$E$522)*(AJ$3&lt;='Gastos com Pessoal'!$F$513:$F$522)*(IF('Gastos com Pessoal'!$M$513:$M$522&lt;=AJ$3,1,0))*OFFSET('Gastos com Pessoal'!$H$512,1,MATCH(2&amp;$B49,'Gastos com Pessoal'!$I$532:$AJ$532&amp;'Gastos com Pessoal'!$I$512:$AJ$512,0),10,1)),0)+_xlfn.IFNA(SUM((AJ$3&gt;='Gastos com Pessoal'!$E$513:$E$522)*(AJ$3&lt;='Gastos com Pessoal'!$F$513:$F$522)*(IF('Gastos com Pessoal'!$S$513:$S$522&lt;=AJ$3,1,0))*OFFSET('Gastos com Pessoal'!$H$512,1,MATCH(3&amp;$B49,'Gastos com Pessoal'!$I$532:$AJ$532&amp;'Gastos com Pessoal'!$I$512:$AJ$512,0),10,1)),0)+_xlfn.IFNA(SUM((AJ$3&gt;='Gastos com Pessoal'!$E$513:$E$522)*(AJ$3&lt;='Gastos com Pessoal'!$F$513:$F$522)*(IF('Gastos com Pessoal'!$Y$513:$Y$522&lt;=AJ$3,1,0))*OFFSET('Gastos com Pessoal'!$H$512,1,MATCH(4&amp;$B49,'Gastos com Pessoal'!$I$532:$AJ$532&amp;'Gastos com Pessoal'!$I$512:$AJ$512,0),10,1)),0)+_xlfn.IFNA(SUM((AJ$3&gt;='Gastos com Pessoal'!$E$513:$E$522)*(AJ$3&lt;='Gastos com Pessoal'!$F$513:$F$522)*(IF('Gastos com Pessoal'!$AE$513:$AE$522&lt;=AJ$3,1,0))*OFFSET('Gastos com Pessoal'!$H$512,1,MATCH(5&amp;$B49,'Gastos com Pessoal'!$I$532:$AJ$532&amp;'Gastos com Pessoal'!$I$512:$AJ$512,0),10,1)),0)</f>
        <v>433631.06535851362</v>
      </c>
      <c r="AK49" s="188">
        <f t="array" aca="1" ref="AK49" ca="1">_xlfn.IFNA(SUM((AK$3&gt;='Gastos com Pessoal'!$E$7:$E$506)*(AK$3&lt;='Gastos com Pessoal'!$F$7:$F$506)*OFFSET('Encargos e Benefícios'!$D$5,1,MATCH($B49,'Encargos e Benefícios'!$E$5:$AB$5,0),500,1)),0)+_xlfn.IFNA(SUM((AK$3&gt;='Gastos com Pessoal'!$E$513:$E$522)*(AK$3&lt;='Gastos com Pessoal'!$F$513:$F$522)*OFFSET('Encargos e Benefícios'!$D$511,1,MATCH($B49,'Encargos e Benefícios'!$E$511:$AB$511,0),10,1)),0)+_xlfn.IFNA(SUM((AK$3&gt;='Gastos com Pessoal'!$E$7:$E$506)*(AK$3&lt;='Gastos com Pessoal'!$F$7:$F$506)*(IF('Gastos com Pessoal'!$G$7:$G$506&lt;=AK$3,1,0))*OFFSET('Gastos com Pessoal'!$H$6,1,MATCH(1&amp;$B49,'Gastos com Pessoal'!$I$532:$AJ$532&amp;'Gastos com Pessoal'!$I$6:$AJ$6,0),500,1)),0)+_xlfn.IFNA(SUM((AK$3&gt;='Gastos com Pessoal'!$E$7:$E$506)*(AK$3&lt;='Gastos com Pessoal'!$F$7:$F$506)*(IF('Gastos com Pessoal'!$M$7:$M$506&lt;=AK$3,1,0))*OFFSET('Gastos com Pessoal'!$H$6,1,MATCH(2&amp;$B49,'Gastos com Pessoal'!$I$532:$AJ$532&amp;'Gastos com Pessoal'!$I$6:$AJ$6,0),500,1)),0)+_xlfn.IFNA(SUM((AK$3&gt;='Gastos com Pessoal'!$E$7:$E$506)*(AK$3&lt;='Gastos com Pessoal'!$F$7:$F$506)*(IF('Gastos com Pessoal'!$S$7:$S$506&lt;=AK$3,1,0))*OFFSET('Gastos com Pessoal'!$H$6,1,MATCH(3&amp;$B49,'Gastos com Pessoal'!$I$532:$AJ$532&amp;'Gastos com Pessoal'!$I$6:$AJ$6,0),500,1)),0)+_xlfn.IFNA(SUM((AK$3&gt;='Gastos com Pessoal'!$E$7:$E$506)*(AK$3&lt;='Gastos com Pessoal'!$F$7:$F$506)*(IF('Gastos com Pessoal'!$Y$7:$Y$506&lt;=AK$3,1,0))*OFFSET('Gastos com Pessoal'!$H$6,1,MATCH(4&amp;$B49,'Gastos com Pessoal'!$I$532:$AJ$532&amp;'Gastos com Pessoal'!$I$6:$AJ$6,0),500,1)),0)+_xlfn.IFNA(SUM((AK$3&gt;='Gastos com Pessoal'!$E$7:$E$506)*(AK$3&lt;='Gastos com Pessoal'!$F$7:$F$506)*(IF('Gastos com Pessoal'!$AE$7:$AE$506&lt;=AK$3,1,0))*OFFSET('Gastos com Pessoal'!$H$6,1,MATCH(5&amp;$B49,'Gastos com Pessoal'!$I$532:$AJ$532&amp;'Gastos com Pessoal'!$I$6:$AJ$6,0),500,1)),0)+_xlfn.IFNA(SUM((AK$3&gt;='Gastos com Pessoal'!$E$513:$E$522)*(AK$3&lt;='Gastos com Pessoal'!$F$513:$F$522)*(IF('Gastos com Pessoal'!$G$513:$G$522&lt;=AK$3,1,0))*OFFSET('Gastos com Pessoal'!$H$512,1,MATCH(1&amp;$B49,'Gastos com Pessoal'!$I$532:$AJ$532&amp;'Gastos com Pessoal'!$I$512:$AJ$512,0),10,1)),0)+_xlfn.IFNA(SUM((AK$3&gt;='Gastos com Pessoal'!$E$513:$E$522)*(AK$3&lt;='Gastos com Pessoal'!$F$513:$F$522)*(IF('Gastos com Pessoal'!$M$513:$M$522&lt;=AK$3,1,0))*OFFSET('Gastos com Pessoal'!$H$512,1,MATCH(2&amp;$B49,'Gastos com Pessoal'!$I$532:$AJ$532&amp;'Gastos com Pessoal'!$I$512:$AJ$512,0),10,1)),0)+_xlfn.IFNA(SUM((AK$3&gt;='Gastos com Pessoal'!$E$513:$E$522)*(AK$3&lt;='Gastos com Pessoal'!$F$513:$F$522)*(IF('Gastos com Pessoal'!$S$513:$S$522&lt;=AK$3,1,0))*OFFSET('Gastos com Pessoal'!$H$512,1,MATCH(3&amp;$B49,'Gastos com Pessoal'!$I$532:$AJ$532&amp;'Gastos com Pessoal'!$I$512:$AJ$512,0),10,1)),0)+_xlfn.IFNA(SUM((AK$3&gt;='Gastos com Pessoal'!$E$513:$E$522)*(AK$3&lt;='Gastos com Pessoal'!$F$513:$F$522)*(IF('Gastos com Pessoal'!$Y$513:$Y$522&lt;=AK$3,1,0))*OFFSET('Gastos com Pessoal'!$H$512,1,MATCH(4&amp;$B49,'Gastos com Pessoal'!$I$532:$AJ$532&amp;'Gastos com Pessoal'!$I$512:$AJ$512,0),10,1)),0)+_xlfn.IFNA(SUM((AK$3&gt;='Gastos com Pessoal'!$E$513:$E$522)*(AK$3&lt;='Gastos com Pessoal'!$F$513:$F$522)*(IF('Gastos com Pessoal'!$AE$513:$AE$522&lt;=AK$3,1,0))*OFFSET('Gastos com Pessoal'!$H$512,1,MATCH(5&amp;$B49,'Gastos com Pessoal'!$I$532:$AJ$532&amp;'Gastos com Pessoal'!$I$512:$AJ$512,0),10,1)),0)</f>
        <v>433631.06535851362</v>
      </c>
      <c r="AL49" s="188">
        <f t="array" aca="1" ref="AL49" ca="1">_xlfn.IFNA(SUM((AL$3&gt;='Gastos com Pessoal'!$E$7:$E$506)*(AL$3&lt;='Gastos com Pessoal'!$F$7:$F$506)*OFFSET('Encargos e Benefícios'!$D$5,1,MATCH($B49,'Encargos e Benefícios'!$E$5:$AB$5,0),500,1)),0)+_xlfn.IFNA(SUM((AL$3&gt;='Gastos com Pessoal'!$E$513:$E$522)*(AL$3&lt;='Gastos com Pessoal'!$F$513:$F$522)*OFFSET('Encargos e Benefícios'!$D$511,1,MATCH($B49,'Encargos e Benefícios'!$E$511:$AB$511,0),10,1)),0)+_xlfn.IFNA(SUM((AL$3&gt;='Gastos com Pessoal'!$E$7:$E$506)*(AL$3&lt;='Gastos com Pessoal'!$F$7:$F$506)*(IF('Gastos com Pessoal'!$G$7:$G$506&lt;=AL$3,1,0))*OFFSET('Gastos com Pessoal'!$H$6,1,MATCH(1&amp;$B49,'Gastos com Pessoal'!$I$532:$AJ$532&amp;'Gastos com Pessoal'!$I$6:$AJ$6,0),500,1)),0)+_xlfn.IFNA(SUM((AL$3&gt;='Gastos com Pessoal'!$E$7:$E$506)*(AL$3&lt;='Gastos com Pessoal'!$F$7:$F$506)*(IF('Gastos com Pessoal'!$M$7:$M$506&lt;=AL$3,1,0))*OFFSET('Gastos com Pessoal'!$H$6,1,MATCH(2&amp;$B49,'Gastos com Pessoal'!$I$532:$AJ$532&amp;'Gastos com Pessoal'!$I$6:$AJ$6,0),500,1)),0)+_xlfn.IFNA(SUM((AL$3&gt;='Gastos com Pessoal'!$E$7:$E$506)*(AL$3&lt;='Gastos com Pessoal'!$F$7:$F$506)*(IF('Gastos com Pessoal'!$S$7:$S$506&lt;=AL$3,1,0))*OFFSET('Gastos com Pessoal'!$H$6,1,MATCH(3&amp;$B49,'Gastos com Pessoal'!$I$532:$AJ$532&amp;'Gastos com Pessoal'!$I$6:$AJ$6,0),500,1)),0)+_xlfn.IFNA(SUM((AL$3&gt;='Gastos com Pessoal'!$E$7:$E$506)*(AL$3&lt;='Gastos com Pessoal'!$F$7:$F$506)*(IF('Gastos com Pessoal'!$Y$7:$Y$506&lt;=AL$3,1,0))*OFFSET('Gastos com Pessoal'!$H$6,1,MATCH(4&amp;$B49,'Gastos com Pessoal'!$I$532:$AJ$532&amp;'Gastos com Pessoal'!$I$6:$AJ$6,0),500,1)),0)+_xlfn.IFNA(SUM((AL$3&gt;='Gastos com Pessoal'!$E$7:$E$506)*(AL$3&lt;='Gastos com Pessoal'!$F$7:$F$506)*(IF('Gastos com Pessoal'!$AE$7:$AE$506&lt;=AL$3,1,0))*OFFSET('Gastos com Pessoal'!$H$6,1,MATCH(5&amp;$B49,'Gastos com Pessoal'!$I$532:$AJ$532&amp;'Gastos com Pessoal'!$I$6:$AJ$6,0),500,1)),0)+_xlfn.IFNA(SUM((AL$3&gt;='Gastos com Pessoal'!$E$513:$E$522)*(AL$3&lt;='Gastos com Pessoal'!$F$513:$F$522)*(IF('Gastos com Pessoal'!$G$513:$G$522&lt;=AL$3,1,0))*OFFSET('Gastos com Pessoal'!$H$512,1,MATCH(1&amp;$B49,'Gastos com Pessoal'!$I$532:$AJ$532&amp;'Gastos com Pessoal'!$I$512:$AJ$512,0),10,1)),0)+_xlfn.IFNA(SUM((AL$3&gt;='Gastos com Pessoal'!$E$513:$E$522)*(AL$3&lt;='Gastos com Pessoal'!$F$513:$F$522)*(IF('Gastos com Pessoal'!$M$513:$M$522&lt;=AL$3,1,0))*OFFSET('Gastos com Pessoal'!$H$512,1,MATCH(2&amp;$B49,'Gastos com Pessoal'!$I$532:$AJ$532&amp;'Gastos com Pessoal'!$I$512:$AJ$512,0),10,1)),0)+_xlfn.IFNA(SUM((AL$3&gt;='Gastos com Pessoal'!$E$513:$E$522)*(AL$3&lt;='Gastos com Pessoal'!$F$513:$F$522)*(IF('Gastos com Pessoal'!$S$513:$S$522&lt;=AL$3,1,0))*OFFSET('Gastos com Pessoal'!$H$512,1,MATCH(3&amp;$B49,'Gastos com Pessoal'!$I$532:$AJ$532&amp;'Gastos com Pessoal'!$I$512:$AJ$512,0),10,1)),0)+_xlfn.IFNA(SUM((AL$3&gt;='Gastos com Pessoal'!$E$513:$E$522)*(AL$3&lt;='Gastos com Pessoal'!$F$513:$F$522)*(IF('Gastos com Pessoal'!$Y$513:$Y$522&lt;=AL$3,1,0))*OFFSET('Gastos com Pessoal'!$H$512,1,MATCH(4&amp;$B49,'Gastos com Pessoal'!$I$532:$AJ$532&amp;'Gastos com Pessoal'!$I$512:$AJ$512,0),10,1)),0)+_xlfn.IFNA(SUM((AL$3&gt;='Gastos com Pessoal'!$E$513:$E$522)*(AL$3&lt;='Gastos com Pessoal'!$F$513:$F$522)*(IF('Gastos com Pessoal'!$AE$513:$AE$522&lt;=AL$3,1,0))*OFFSET('Gastos com Pessoal'!$H$512,1,MATCH(5&amp;$B49,'Gastos com Pessoal'!$I$532:$AJ$532&amp;'Gastos com Pessoal'!$I$512:$AJ$512,0),10,1)),0)</f>
        <v>433631.06535851362</v>
      </c>
      <c r="AM49" s="188">
        <f t="array" aca="1" ref="AM49" ca="1">_xlfn.IFNA(SUM((AM$3&gt;='Gastos com Pessoal'!$E$7:$E$506)*(AM$3&lt;='Gastos com Pessoal'!$F$7:$F$506)*OFFSET('Encargos e Benefícios'!$D$5,1,MATCH($B49,'Encargos e Benefícios'!$E$5:$AB$5,0),500,1)),0)+_xlfn.IFNA(SUM((AM$3&gt;='Gastos com Pessoal'!$E$513:$E$522)*(AM$3&lt;='Gastos com Pessoal'!$F$513:$F$522)*OFFSET('Encargos e Benefícios'!$D$511,1,MATCH($B49,'Encargos e Benefícios'!$E$511:$AB$511,0),10,1)),0)+_xlfn.IFNA(SUM((AM$3&gt;='Gastos com Pessoal'!$E$7:$E$506)*(AM$3&lt;='Gastos com Pessoal'!$F$7:$F$506)*(IF('Gastos com Pessoal'!$G$7:$G$506&lt;=AM$3,1,0))*OFFSET('Gastos com Pessoal'!$H$6,1,MATCH(1&amp;$B49,'Gastos com Pessoal'!$I$532:$AJ$532&amp;'Gastos com Pessoal'!$I$6:$AJ$6,0),500,1)),0)+_xlfn.IFNA(SUM((AM$3&gt;='Gastos com Pessoal'!$E$7:$E$506)*(AM$3&lt;='Gastos com Pessoal'!$F$7:$F$506)*(IF('Gastos com Pessoal'!$M$7:$M$506&lt;=AM$3,1,0))*OFFSET('Gastos com Pessoal'!$H$6,1,MATCH(2&amp;$B49,'Gastos com Pessoal'!$I$532:$AJ$532&amp;'Gastos com Pessoal'!$I$6:$AJ$6,0),500,1)),0)+_xlfn.IFNA(SUM((AM$3&gt;='Gastos com Pessoal'!$E$7:$E$506)*(AM$3&lt;='Gastos com Pessoal'!$F$7:$F$506)*(IF('Gastos com Pessoal'!$S$7:$S$506&lt;=AM$3,1,0))*OFFSET('Gastos com Pessoal'!$H$6,1,MATCH(3&amp;$B49,'Gastos com Pessoal'!$I$532:$AJ$532&amp;'Gastos com Pessoal'!$I$6:$AJ$6,0),500,1)),0)+_xlfn.IFNA(SUM((AM$3&gt;='Gastos com Pessoal'!$E$7:$E$506)*(AM$3&lt;='Gastos com Pessoal'!$F$7:$F$506)*(IF('Gastos com Pessoal'!$Y$7:$Y$506&lt;=AM$3,1,0))*OFFSET('Gastos com Pessoal'!$H$6,1,MATCH(4&amp;$B49,'Gastos com Pessoal'!$I$532:$AJ$532&amp;'Gastos com Pessoal'!$I$6:$AJ$6,0),500,1)),0)+_xlfn.IFNA(SUM((AM$3&gt;='Gastos com Pessoal'!$E$7:$E$506)*(AM$3&lt;='Gastos com Pessoal'!$F$7:$F$506)*(IF('Gastos com Pessoal'!$AE$7:$AE$506&lt;=AM$3,1,0))*OFFSET('Gastos com Pessoal'!$H$6,1,MATCH(5&amp;$B49,'Gastos com Pessoal'!$I$532:$AJ$532&amp;'Gastos com Pessoal'!$I$6:$AJ$6,0),500,1)),0)+_xlfn.IFNA(SUM((AM$3&gt;='Gastos com Pessoal'!$E$513:$E$522)*(AM$3&lt;='Gastos com Pessoal'!$F$513:$F$522)*(IF('Gastos com Pessoal'!$G$513:$G$522&lt;=AM$3,1,0))*OFFSET('Gastos com Pessoal'!$H$512,1,MATCH(1&amp;$B49,'Gastos com Pessoal'!$I$532:$AJ$532&amp;'Gastos com Pessoal'!$I$512:$AJ$512,0),10,1)),0)+_xlfn.IFNA(SUM((AM$3&gt;='Gastos com Pessoal'!$E$513:$E$522)*(AM$3&lt;='Gastos com Pessoal'!$F$513:$F$522)*(IF('Gastos com Pessoal'!$M$513:$M$522&lt;=AM$3,1,0))*OFFSET('Gastos com Pessoal'!$H$512,1,MATCH(2&amp;$B49,'Gastos com Pessoal'!$I$532:$AJ$532&amp;'Gastos com Pessoal'!$I$512:$AJ$512,0),10,1)),0)+_xlfn.IFNA(SUM((AM$3&gt;='Gastos com Pessoal'!$E$513:$E$522)*(AM$3&lt;='Gastos com Pessoal'!$F$513:$F$522)*(IF('Gastos com Pessoal'!$S$513:$S$522&lt;=AM$3,1,0))*OFFSET('Gastos com Pessoal'!$H$512,1,MATCH(3&amp;$B49,'Gastos com Pessoal'!$I$532:$AJ$532&amp;'Gastos com Pessoal'!$I$512:$AJ$512,0),10,1)),0)+_xlfn.IFNA(SUM((AM$3&gt;='Gastos com Pessoal'!$E$513:$E$522)*(AM$3&lt;='Gastos com Pessoal'!$F$513:$F$522)*(IF('Gastos com Pessoal'!$Y$513:$Y$522&lt;=AM$3,1,0))*OFFSET('Gastos com Pessoal'!$H$512,1,MATCH(4&amp;$B49,'Gastos com Pessoal'!$I$532:$AJ$532&amp;'Gastos com Pessoal'!$I$512:$AJ$512,0),10,1)),0)+_xlfn.IFNA(SUM((AM$3&gt;='Gastos com Pessoal'!$E$513:$E$522)*(AM$3&lt;='Gastos com Pessoal'!$F$513:$F$522)*(IF('Gastos com Pessoal'!$AE$513:$AE$522&lt;=AM$3,1,0))*OFFSET('Gastos com Pessoal'!$H$512,1,MATCH(5&amp;$B49,'Gastos com Pessoal'!$I$532:$AJ$532&amp;'Gastos com Pessoal'!$I$512:$AJ$512,0),10,1)),0)</f>
        <v>433631.06535851362</v>
      </c>
      <c r="AN49" s="188">
        <f t="array" aca="1" ref="AN49" ca="1">_xlfn.IFNA(SUM((AN$3&gt;='Gastos com Pessoal'!$E$7:$E$506)*(AN$3&lt;='Gastos com Pessoal'!$F$7:$F$506)*OFFSET('Encargos e Benefícios'!$D$5,1,MATCH($B49,'Encargos e Benefícios'!$E$5:$AB$5,0),500,1)),0)+_xlfn.IFNA(SUM((AN$3&gt;='Gastos com Pessoal'!$E$513:$E$522)*(AN$3&lt;='Gastos com Pessoal'!$F$513:$F$522)*OFFSET('Encargos e Benefícios'!$D$511,1,MATCH($B49,'Encargos e Benefícios'!$E$511:$AB$511,0),10,1)),0)+_xlfn.IFNA(SUM((AN$3&gt;='Gastos com Pessoal'!$E$7:$E$506)*(AN$3&lt;='Gastos com Pessoal'!$F$7:$F$506)*(IF('Gastos com Pessoal'!$G$7:$G$506&lt;=AN$3,1,0))*OFFSET('Gastos com Pessoal'!$H$6,1,MATCH(1&amp;$B49,'Gastos com Pessoal'!$I$532:$AJ$532&amp;'Gastos com Pessoal'!$I$6:$AJ$6,0),500,1)),0)+_xlfn.IFNA(SUM((AN$3&gt;='Gastos com Pessoal'!$E$7:$E$506)*(AN$3&lt;='Gastos com Pessoal'!$F$7:$F$506)*(IF('Gastos com Pessoal'!$M$7:$M$506&lt;=AN$3,1,0))*OFFSET('Gastos com Pessoal'!$H$6,1,MATCH(2&amp;$B49,'Gastos com Pessoal'!$I$532:$AJ$532&amp;'Gastos com Pessoal'!$I$6:$AJ$6,0),500,1)),0)+_xlfn.IFNA(SUM((AN$3&gt;='Gastos com Pessoal'!$E$7:$E$506)*(AN$3&lt;='Gastos com Pessoal'!$F$7:$F$506)*(IF('Gastos com Pessoal'!$S$7:$S$506&lt;=AN$3,1,0))*OFFSET('Gastos com Pessoal'!$H$6,1,MATCH(3&amp;$B49,'Gastos com Pessoal'!$I$532:$AJ$532&amp;'Gastos com Pessoal'!$I$6:$AJ$6,0),500,1)),0)+_xlfn.IFNA(SUM((AN$3&gt;='Gastos com Pessoal'!$E$7:$E$506)*(AN$3&lt;='Gastos com Pessoal'!$F$7:$F$506)*(IF('Gastos com Pessoal'!$Y$7:$Y$506&lt;=AN$3,1,0))*OFFSET('Gastos com Pessoal'!$H$6,1,MATCH(4&amp;$B49,'Gastos com Pessoal'!$I$532:$AJ$532&amp;'Gastos com Pessoal'!$I$6:$AJ$6,0),500,1)),0)+_xlfn.IFNA(SUM((AN$3&gt;='Gastos com Pessoal'!$E$7:$E$506)*(AN$3&lt;='Gastos com Pessoal'!$F$7:$F$506)*(IF('Gastos com Pessoal'!$AE$7:$AE$506&lt;=AN$3,1,0))*OFFSET('Gastos com Pessoal'!$H$6,1,MATCH(5&amp;$B49,'Gastos com Pessoal'!$I$532:$AJ$532&amp;'Gastos com Pessoal'!$I$6:$AJ$6,0),500,1)),0)+_xlfn.IFNA(SUM((AN$3&gt;='Gastos com Pessoal'!$E$513:$E$522)*(AN$3&lt;='Gastos com Pessoal'!$F$513:$F$522)*(IF('Gastos com Pessoal'!$G$513:$G$522&lt;=AN$3,1,0))*OFFSET('Gastos com Pessoal'!$H$512,1,MATCH(1&amp;$B49,'Gastos com Pessoal'!$I$532:$AJ$532&amp;'Gastos com Pessoal'!$I$512:$AJ$512,0),10,1)),0)+_xlfn.IFNA(SUM((AN$3&gt;='Gastos com Pessoal'!$E$513:$E$522)*(AN$3&lt;='Gastos com Pessoal'!$F$513:$F$522)*(IF('Gastos com Pessoal'!$M$513:$M$522&lt;=AN$3,1,0))*OFFSET('Gastos com Pessoal'!$H$512,1,MATCH(2&amp;$B49,'Gastos com Pessoal'!$I$532:$AJ$532&amp;'Gastos com Pessoal'!$I$512:$AJ$512,0),10,1)),0)+_xlfn.IFNA(SUM((AN$3&gt;='Gastos com Pessoal'!$E$513:$E$522)*(AN$3&lt;='Gastos com Pessoal'!$F$513:$F$522)*(IF('Gastos com Pessoal'!$S$513:$S$522&lt;=AN$3,1,0))*OFFSET('Gastos com Pessoal'!$H$512,1,MATCH(3&amp;$B49,'Gastos com Pessoal'!$I$532:$AJ$532&amp;'Gastos com Pessoal'!$I$512:$AJ$512,0),10,1)),0)+_xlfn.IFNA(SUM((AN$3&gt;='Gastos com Pessoal'!$E$513:$E$522)*(AN$3&lt;='Gastos com Pessoal'!$F$513:$F$522)*(IF('Gastos com Pessoal'!$Y$513:$Y$522&lt;=AN$3,1,0))*OFFSET('Gastos com Pessoal'!$H$512,1,MATCH(4&amp;$B49,'Gastos com Pessoal'!$I$532:$AJ$532&amp;'Gastos com Pessoal'!$I$512:$AJ$512,0),10,1)),0)+_xlfn.IFNA(SUM((AN$3&gt;='Gastos com Pessoal'!$E$513:$E$522)*(AN$3&lt;='Gastos com Pessoal'!$F$513:$F$522)*(IF('Gastos com Pessoal'!$AE$513:$AE$522&lt;=AN$3,1,0))*OFFSET('Gastos com Pessoal'!$H$512,1,MATCH(5&amp;$B49,'Gastos com Pessoal'!$I$532:$AJ$532&amp;'Gastos com Pessoal'!$I$512:$AJ$512,0),10,1)),0)</f>
        <v>433631.06535851362</v>
      </c>
      <c r="AO49" s="188">
        <f t="array" aca="1" ref="AO49" ca="1">_xlfn.IFNA(SUM((AO$3&gt;='Gastos com Pessoal'!$E$7:$E$506)*(AO$3&lt;='Gastos com Pessoal'!$F$7:$F$506)*OFFSET('Encargos e Benefícios'!$D$5,1,MATCH($B49,'Encargos e Benefícios'!$E$5:$AB$5,0),500,1)),0)+_xlfn.IFNA(SUM((AO$3&gt;='Gastos com Pessoal'!$E$513:$E$522)*(AO$3&lt;='Gastos com Pessoal'!$F$513:$F$522)*OFFSET('Encargos e Benefícios'!$D$511,1,MATCH($B49,'Encargos e Benefícios'!$E$511:$AB$511,0),10,1)),0)+_xlfn.IFNA(SUM((AO$3&gt;='Gastos com Pessoal'!$E$7:$E$506)*(AO$3&lt;='Gastos com Pessoal'!$F$7:$F$506)*(IF('Gastos com Pessoal'!$G$7:$G$506&lt;=AO$3,1,0))*OFFSET('Gastos com Pessoal'!$H$6,1,MATCH(1&amp;$B49,'Gastos com Pessoal'!$I$532:$AJ$532&amp;'Gastos com Pessoal'!$I$6:$AJ$6,0),500,1)),0)+_xlfn.IFNA(SUM((AO$3&gt;='Gastos com Pessoal'!$E$7:$E$506)*(AO$3&lt;='Gastos com Pessoal'!$F$7:$F$506)*(IF('Gastos com Pessoal'!$M$7:$M$506&lt;=AO$3,1,0))*OFFSET('Gastos com Pessoal'!$H$6,1,MATCH(2&amp;$B49,'Gastos com Pessoal'!$I$532:$AJ$532&amp;'Gastos com Pessoal'!$I$6:$AJ$6,0),500,1)),0)+_xlfn.IFNA(SUM((AO$3&gt;='Gastos com Pessoal'!$E$7:$E$506)*(AO$3&lt;='Gastos com Pessoal'!$F$7:$F$506)*(IF('Gastos com Pessoal'!$S$7:$S$506&lt;=AO$3,1,0))*OFFSET('Gastos com Pessoal'!$H$6,1,MATCH(3&amp;$B49,'Gastos com Pessoal'!$I$532:$AJ$532&amp;'Gastos com Pessoal'!$I$6:$AJ$6,0),500,1)),0)+_xlfn.IFNA(SUM((AO$3&gt;='Gastos com Pessoal'!$E$7:$E$506)*(AO$3&lt;='Gastos com Pessoal'!$F$7:$F$506)*(IF('Gastos com Pessoal'!$Y$7:$Y$506&lt;=AO$3,1,0))*OFFSET('Gastos com Pessoal'!$H$6,1,MATCH(4&amp;$B49,'Gastos com Pessoal'!$I$532:$AJ$532&amp;'Gastos com Pessoal'!$I$6:$AJ$6,0),500,1)),0)+_xlfn.IFNA(SUM((AO$3&gt;='Gastos com Pessoal'!$E$7:$E$506)*(AO$3&lt;='Gastos com Pessoal'!$F$7:$F$506)*(IF('Gastos com Pessoal'!$AE$7:$AE$506&lt;=AO$3,1,0))*OFFSET('Gastos com Pessoal'!$H$6,1,MATCH(5&amp;$B49,'Gastos com Pessoal'!$I$532:$AJ$532&amp;'Gastos com Pessoal'!$I$6:$AJ$6,0),500,1)),0)+_xlfn.IFNA(SUM((AO$3&gt;='Gastos com Pessoal'!$E$513:$E$522)*(AO$3&lt;='Gastos com Pessoal'!$F$513:$F$522)*(IF('Gastos com Pessoal'!$G$513:$G$522&lt;=AO$3,1,0))*OFFSET('Gastos com Pessoal'!$H$512,1,MATCH(1&amp;$B49,'Gastos com Pessoal'!$I$532:$AJ$532&amp;'Gastos com Pessoal'!$I$512:$AJ$512,0),10,1)),0)+_xlfn.IFNA(SUM((AO$3&gt;='Gastos com Pessoal'!$E$513:$E$522)*(AO$3&lt;='Gastos com Pessoal'!$F$513:$F$522)*(IF('Gastos com Pessoal'!$M$513:$M$522&lt;=AO$3,1,0))*OFFSET('Gastos com Pessoal'!$H$512,1,MATCH(2&amp;$B49,'Gastos com Pessoal'!$I$532:$AJ$532&amp;'Gastos com Pessoal'!$I$512:$AJ$512,0),10,1)),0)+_xlfn.IFNA(SUM((AO$3&gt;='Gastos com Pessoal'!$E$513:$E$522)*(AO$3&lt;='Gastos com Pessoal'!$F$513:$F$522)*(IF('Gastos com Pessoal'!$S$513:$S$522&lt;=AO$3,1,0))*OFFSET('Gastos com Pessoal'!$H$512,1,MATCH(3&amp;$B49,'Gastos com Pessoal'!$I$532:$AJ$532&amp;'Gastos com Pessoal'!$I$512:$AJ$512,0),10,1)),0)+_xlfn.IFNA(SUM((AO$3&gt;='Gastos com Pessoal'!$E$513:$E$522)*(AO$3&lt;='Gastos com Pessoal'!$F$513:$F$522)*(IF('Gastos com Pessoal'!$Y$513:$Y$522&lt;=AO$3,1,0))*OFFSET('Gastos com Pessoal'!$H$512,1,MATCH(4&amp;$B49,'Gastos com Pessoal'!$I$532:$AJ$532&amp;'Gastos com Pessoal'!$I$512:$AJ$512,0),10,1)),0)+_xlfn.IFNA(SUM((AO$3&gt;='Gastos com Pessoal'!$E$513:$E$522)*(AO$3&lt;='Gastos com Pessoal'!$F$513:$F$522)*(IF('Gastos com Pessoal'!$AE$513:$AE$522&lt;=AO$3,1,0))*OFFSET('Gastos com Pessoal'!$H$512,1,MATCH(5&amp;$B49,'Gastos com Pessoal'!$I$532:$AJ$532&amp;'Gastos com Pessoal'!$I$512:$AJ$512,0),10,1)),0)</f>
        <v>433631.06535851362</v>
      </c>
      <c r="AP49" s="188">
        <f t="array" aca="1" ref="AP49" ca="1">_xlfn.IFNA(SUM((AP$3&gt;='Gastos com Pessoal'!$E$7:$E$506)*(AP$3&lt;='Gastos com Pessoal'!$F$7:$F$506)*OFFSET('Encargos e Benefícios'!$D$5,1,MATCH($B49,'Encargos e Benefícios'!$E$5:$AB$5,0),500,1)),0)+_xlfn.IFNA(SUM((AP$3&gt;='Gastos com Pessoal'!$E$513:$E$522)*(AP$3&lt;='Gastos com Pessoal'!$F$513:$F$522)*OFFSET('Encargos e Benefícios'!$D$511,1,MATCH($B49,'Encargos e Benefícios'!$E$511:$AB$511,0),10,1)),0)+_xlfn.IFNA(SUM((AP$3&gt;='Gastos com Pessoal'!$E$7:$E$506)*(AP$3&lt;='Gastos com Pessoal'!$F$7:$F$506)*(IF('Gastos com Pessoal'!$G$7:$G$506&lt;=AP$3,1,0))*OFFSET('Gastos com Pessoal'!$H$6,1,MATCH(1&amp;$B49,'Gastos com Pessoal'!$I$532:$AJ$532&amp;'Gastos com Pessoal'!$I$6:$AJ$6,0),500,1)),0)+_xlfn.IFNA(SUM((AP$3&gt;='Gastos com Pessoal'!$E$7:$E$506)*(AP$3&lt;='Gastos com Pessoal'!$F$7:$F$506)*(IF('Gastos com Pessoal'!$M$7:$M$506&lt;=AP$3,1,0))*OFFSET('Gastos com Pessoal'!$H$6,1,MATCH(2&amp;$B49,'Gastos com Pessoal'!$I$532:$AJ$532&amp;'Gastos com Pessoal'!$I$6:$AJ$6,0),500,1)),0)+_xlfn.IFNA(SUM((AP$3&gt;='Gastos com Pessoal'!$E$7:$E$506)*(AP$3&lt;='Gastos com Pessoal'!$F$7:$F$506)*(IF('Gastos com Pessoal'!$S$7:$S$506&lt;=AP$3,1,0))*OFFSET('Gastos com Pessoal'!$H$6,1,MATCH(3&amp;$B49,'Gastos com Pessoal'!$I$532:$AJ$532&amp;'Gastos com Pessoal'!$I$6:$AJ$6,0),500,1)),0)+_xlfn.IFNA(SUM((AP$3&gt;='Gastos com Pessoal'!$E$7:$E$506)*(AP$3&lt;='Gastos com Pessoal'!$F$7:$F$506)*(IF('Gastos com Pessoal'!$Y$7:$Y$506&lt;=AP$3,1,0))*OFFSET('Gastos com Pessoal'!$H$6,1,MATCH(4&amp;$B49,'Gastos com Pessoal'!$I$532:$AJ$532&amp;'Gastos com Pessoal'!$I$6:$AJ$6,0),500,1)),0)+_xlfn.IFNA(SUM((AP$3&gt;='Gastos com Pessoal'!$E$7:$E$506)*(AP$3&lt;='Gastos com Pessoal'!$F$7:$F$506)*(IF('Gastos com Pessoal'!$AE$7:$AE$506&lt;=AP$3,1,0))*OFFSET('Gastos com Pessoal'!$H$6,1,MATCH(5&amp;$B49,'Gastos com Pessoal'!$I$532:$AJ$532&amp;'Gastos com Pessoal'!$I$6:$AJ$6,0),500,1)),0)+_xlfn.IFNA(SUM((AP$3&gt;='Gastos com Pessoal'!$E$513:$E$522)*(AP$3&lt;='Gastos com Pessoal'!$F$513:$F$522)*(IF('Gastos com Pessoal'!$G$513:$G$522&lt;=AP$3,1,0))*OFFSET('Gastos com Pessoal'!$H$512,1,MATCH(1&amp;$B49,'Gastos com Pessoal'!$I$532:$AJ$532&amp;'Gastos com Pessoal'!$I$512:$AJ$512,0),10,1)),0)+_xlfn.IFNA(SUM((AP$3&gt;='Gastos com Pessoal'!$E$513:$E$522)*(AP$3&lt;='Gastos com Pessoal'!$F$513:$F$522)*(IF('Gastos com Pessoal'!$M$513:$M$522&lt;=AP$3,1,0))*OFFSET('Gastos com Pessoal'!$H$512,1,MATCH(2&amp;$B49,'Gastos com Pessoal'!$I$532:$AJ$532&amp;'Gastos com Pessoal'!$I$512:$AJ$512,0),10,1)),0)+_xlfn.IFNA(SUM((AP$3&gt;='Gastos com Pessoal'!$E$513:$E$522)*(AP$3&lt;='Gastos com Pessoal'!$F$513:$F$522)*(IF('Gastos com Pessoal'!$S$513:$S$522&lt;=AP$3,1,0))*OFFSET('Gastos com Pessoal'!$H$512,1,MATCH(3&amp;$B49,'Gastos com Pessoal'!$I$532:$AJ$532&amp;'Gastos com Pessoal'!$I$512:$AJ$512,0),10,1)),0)+_xlfn.IFNA(SUM((AP$3&gt;='Gastos com Pessoal'!$E$513:$E$522)*(AP$3&lt;='Gastos com Pessoal'!$F$513:$F$522)*(IF('Gastos com Pessoal'!$Y$513:$Y$522&lt;=AP$3,1,0))*OFFSET('Gastos com Pessoal'!$H$512,1,MATCH(4&amp;$B49,'Gastos com Pessoal'!$I$532:$AJ$532&amp;'Gastos com Pessoal'!$I$512:$AJ$512,0),10,1)),0)+_xlfn.IFNA(SUM((AP$3&gt;='Gastos com Pessoal'!$E$513:$E$522)*(AP$3&lt;='Gastos com Pessoal'!$F$513:$F$522)*(IF('Gastos com Pessoal'!$AE$513:$AE$522&lt;=AP$3,1,0))*OFFSET('Gastos com Pessoal'!$H$512,1,MATCH(5&amp;$B49,'Gastos com Pessoal'!$I$532:$AJ$532&amp;'Gastos com Pessoal'!$I$512:$AJ$512,0),10,1)),0)</f>
        <v>433631.06535851362</v>
      </c>
      <c r="AQ49" s="188">
        <f t="array" aca="1" ref="AQ49" ca="1">_xlfn.IFNA(SUM((AQ$3&gt;='Gastos com Pessoal'!$E$7:$E$506)*(AQ$3&lt;='Gastos com Pessoal'!$F$7:$F$506)*OFFSET('Encargos e Benefícios'!$D$5,1,MATCH($B49,'Encargos e Benefícios'!$E$5:$AB$5,0),500,1)),0)+_xlfn.IFNA(SUM((AQ$3&gt;='Gastos com Pessoal'!$E$513:$E$522)*(AQ$3&lt;='Gastos com Pessoal'!$F$513:$F$522)*OFFSET('Encargos e Benefícios'!$D$511,1,MATCH($B49,'Encargos e Benefícios'!$E$511:$AB$511,0),10,1)),0)+_xlfn.IFNA(SUM((AQ$3&gt;='Gastos com Pessoal'!$E$7:$E$506)*(AQ$3&lt;='Gastos com Pessoal'!$F$7:$F$506)*(IF('Gastos com Pessoal'!$G$7:$G$506&lt;=AQ$3,1,0))*OFFSET('Gastos com Pessoal'!$H$6,1,MATCH(1&amp;$B49,'Gastos com Pessoal'!$I$532:$AJ$532&amp;'Gastos com Pessoal'!$I$6:$AJ$6,0),500,1)),0)+_xlfn.IFNA(SUM((AQ$3&gt;='Gastos com Pessoal'!$E$7:$E$506)*(AQ$3&lt;='Gastos com Pessoal'!$F$7:$F$506)*(IF('Gastos com Pessoal'!$M$7:$M$506&lt;=AQ$3,1,0))*OFFSET('Gastos com Pessoal'!$H$6,1,MATCH(2&amp;$B49,'Gastos com Pessoal'!$I$532:$AJ$532&amp;'Gastos com Pessoal'!$I$6:$AJ$6,0),500,1)),0)+_xlfn.IFNA(SUM((AQ$3&gt;='Gastos com Pessoal'!$E$7:$E$506)*(AQ$3&lt;='Gastos com Pessoal'!$F$7:$F$506)*(IF('Gastos com Pessoal'!$S$7:$S$506&lt;=AQ$3,1,0))*OFFSET('Gastos com Pessoal'!$H$6,1,MATCH(3&amp;$B49,'Gastos com Pessoal'!$I$532:$AJ$532&amp;'Gastos com Pessoal'!$I$6:$AJ$6,0),500,1)),0)+_xlfn.IFNA(SUM((AQ$3&gt;='Gastos com Pessoal'!$E$7:$E$506)*(AQ$3&lt;='Gastos com Pessoal'!$F$7:$F$506)*(IF('Gastos com Pessoal'!$Y$7:$Y$506&lt;=AQ$3,1,0))*OFFSET('Gastos com Pessoal'!$H$6,1,MATCH(4&amp;$B49,'Gastos com Pessoal'!$I$532:$AJ$532&amp;'Gastos com Pessoal'!$I$6:$AJ$6,0),500,1)),0)+_xlfn.IFNA(SUM((AQ$3&gt;='Gastos com Pessoal'!$E$7:$E$506)*(AQ$3&lt;='Gastos com Pessoal'!$F$7:$F$506)*(IF('Gastos com Pessoal'!$AE$7:$AE$506&lt;=AQ$3,1,0))*OFFSET('Gastos com Pessoal'!$H$6,1,MATCH(5&amp;$B49,'Gastos com Pessoal'!$I$532:$AJ$532&amp;'Gastos com Pessoal'!$I$6:$AJ$6,0),500,1)),0)+_xlfn.IFNA(SUM((AQ$3&gt;='Gastos com Pessoal'!$E$513:$E$522)*(AQ$3&lt;='Gastos com Pessoal'!$F$513:$F$522)*(IF('Gastos com Pessoal'!$G$513:$G$522&lt;=AQ$3,1,0))*OFFSET('Gastos com Pessoal'!$H$512,1,MATCH(1&amp;$B49,'Gastos com Pessoal'!$I$532:$AJ$532&amp;'Gastos com Pessoal'!$I$512:$AJ$512,0),10,1)),0)+_xlfn.IFNA(SUM((AQ$3&gt;='Gastos com Pessoal'!$E$513:$E$522)*(AQ$3&lt;='Gastos com Pessoal'!$F$513:$F$522)*(IF('Gastos com Pessoal'!$M$513:$M$522&lt;=AQ$3,1,0))*OFFSET('Gastos com Pessoal'!$H$512,1,MATCH(2&amp;$B49,'Gastos com Pessoal'!$I$532:$AJ$532&amp;'Gastos com Pessoal'!$I$512:$AJ$512,0),10,1)),0)+_xlfn.IFNA(SUM((AQ$3&gt;='Gastos com Pessoal'!$E$513:$E$522)*(AQ$3&lt;='Gastos com Pessoal'!$F$513:$F$522)*(IF('Gastos com Pessoal'!$S$513:$S$522&lt;=AQ$3,1,0))*OFFSET('Gastos com Pessoal'!$H$512,1,MATCH(3&amp;$B49,'Gastos com Pessoal'!$I$532:$AJ$532&amp;'Gastos com Pessoal'!$I$512:$AJ$512,0),10,1)),0)+_xlfn.IFNA(SUM((AQ$3&gt;='Gastos com Pessoal'!$E$513:$E$522)*(AQ$3&lt;='Gastos com Pessoal'!$F$513:$F$522)*(IF('Gastos com Pessoal'!$Y$513:$Y$522&lt;=AQ$3,1,0))*OFFSET('Gastos com Pessoal'!$H$512,1,MATCH(4&amp;$B49,'Gastos com Pessoal'!$I$532:$AJ$532&amp;'Gastos com Pessoal'!$I$512:$AJ$512,0),10,1)),0)+_xlfn.IFNA(SUM((AQ$3&gt;='Gastos com Pessoal'!$E$513:$E$522)*(AQ$3&lt;='Gastos com Pessoal'!$F$513:$F$522)*(IF('Gastos com Pessoal'!$AE$513:$AE$522&lt;=AQ$3,1,0))*OFFSET('Gastos com Pessoal'!$H$512,1,MATCH(5&amp;$B49,'Gastos com Pessoal'!$I$532:$AJ$532&amp;'Gastos com Pessoal'!$I$512:$AJ$512,0),10,1)),0)</f>
        <v>458955.11957545066</v>
      </c>
      <c r="AR49" s="188">
        <f t="array" aca="1" ref="AR49" ca="1">_xlfn.IFNA(SUM((AR$3&gt;='Gastos com Pessoal'!$E$7:$E$506)*(AR$3&lt;='Gastos com Pessoal'!$F$7:$F$506)*OFFSET('Encargos e Benefícios'!$D$5,1,MATCH($B49,'Encargos e Benefícios'!$E$5:$AB$5,0),500,1)),0)+_xlfn.IFNA(SUM((AR$3&gt;='Gastos com Pessoal'!$E$513:$E$522)*(AR$3&lt;='Gastos com Pessoal'!$F$513:$F$522)*OFFSET('Encargos e Benefícios'!$D$511,1,MATCH($B49,'Encargos e Benefícios'!$E$511:$AB$511,0),10,1)),0)+_xlfn.IFNA(SUM((AR$3&gt;='Gastos com Pessoal'!$E$7:$E$506)*(AR$3&lt;='Gastos com Pessoal'!$F$7:$F$506)*(IF('Gastos com Pessoal'!$G$7:$G$506&lt;=AR$3,1,0))*OFFSET('Gastos com Pessoal'!$H$6,1,MATCH(1&amp;$B49,'Gastos com Pessoal'!$I$532:$AJ$532&amp;'Gastos com Pessoal'!$I$6:$AJ$6,0),500,1)),0)+_xlfn.IFNA(SUM((AR$3&gt;='Gastos com Pessoal'!$E$7:$E$506)*(AR$3&lt;='Gastos com Pessoal'!$F$7:$F$506)*(IF('Gastos com Pessoal'!$M$7:$M$506&lt;=AR$3,1,0))*OFFSET('Gastos com Pessoal'!$H$6,1,MATCH(2&amp;$B49,'Gastos com Pessoal'!$I$532:$AJ$532&amp;'Gastos com Pessoal'!$I$6:$AJ$6,0),500,1)),0)+_xlfn.IFNA(SUM((AR$3&gt;='Gastos com Pessoal'!$E$7:$E$506)*(AR$3&lt;='Gastos com Pessoal'!$F$7:$F$506)*(IF('Gastos com Pessoal'!$S$7:$S$506&lt;=AR$3,1,0))*OFFSET('Gastos com Pessoal'!$H$6,1,MATCH(3&amp;$B49,'Gastos com Pessoal'!$I$532:$AJ$532&amp;'Gastos com Pessoal'!$I$6:$AJ$6,0),500,1)),0)+_xlfn.IFNA(SUM((AR$3&gt;='Gastos com Pessoal'!$E$7:$E$506)*(AR$3&lt;='Gastos com Pessoal'!$F$7:$F$506)*(IF('Gastos com Pessoal'!$Y$7:$Y$506&lt;=AR$3,1,0))*OFFSET('Gastos com Pessoal'!$H$6,1,MATCH(4&amp;$B49,'Gastos com Pessoal'!$I$532:$AJ$532&amp;'Gastos com Pessoal'!$I$6:$AJ$6,0),500,1)),0)+_xlfn.IFNA(SUM((AR$3&gt;='Gastos com Pessoal'!$E$7:$E$506)*(AR$3&lt;='Gastos com Pessoal'!$F$7:$F$506)*(IF('Gastos com Pessoal'!$AE$7:$AE$506&lt;=AR$3,1,0))*OFFSET('Gastos com Pessoal'!$H$6,1,MATCH(5&amp;$B49,'Gastos com Pessoal'!$I$532:$AJ$532&amp;'Gastos com Pessoal'!$I$6:$AJ$6,0),500,1)),0)+_xlfn.IFNA(SUM((AR$3&gt;='Gastos com Pessoal'!$E$513:$E$522)*(AR$3&lt;='Gastos com Pessoal'!$F$513:$F$522)*(IF('Gastos com Pessoal'!$G$513:$G$522&lt;=AR$3,1,0))*OFFSET('Gastos com Pessoal'!$H$512,1,MATCH(1&amp;$B49,'Gastos com Pessoal'!$I$532:$AJ$532&amp;'Gastos com Pessoal'!$I$512:$AJ$512,0),10,1)),0)+_xlfn.IFNA(SUM((AR$3&gt;='Gastos com Pessoal'!$E$513:$E$522)*(AR$3&lt;='Gastos com Pessoal'!$F$513:$F$522)*(IF('Gastos com Pessoal'!$M$513:$M$522&lt;=AR$3,1,0))*OFFSET('Gastos com Pessoal'!$H$512,1,MATCH(2&amp;$B49,'Gastos com Pessoal'!$I$532:$AJ$532&amp;'Gastos com Pessoal'!$I$512:$AJ$512,0),10,1)),0)+_xlfn.IFNA(SUM((AR$3&gt;='Gastos com Pessoal'!$E$513:$E$522)*(AR$3&lt;='Gastos com Pessoal'!$F$513:$F$522)*(IF('Gastos com Pessoal'!$S$513:$S$522&lt;=AR$3,1,0))*OFFSET('Gastos com Pessoal'!$H$512,1,MATCH(3&amp;$B49,'Gastos com Pessoal'!$I$532:$AJ$532&amp;'Gastos com Pessoal'!$I$512:$AJ$512,0),10,1)),0)+_xlfn.IFNA(SUM((AR$3&gt;='Gastos com Pessoal'!$E$513:$E$522)*(AR$3&lt;='Gastos com Pessoal'!$F$513:$F$522)*(IF('Gastos com Pessoal'!$Y$513:$Y$522&lt;=AR$3,1,0))*OFFSET('Gastos com Pessoal'!$H$512,1,MATCH(4&amp;$B49,'Gastos com Pessoal'!$I$532:$AJ$532&amp;'Gastos com Pessoal'!$I$512:$AJ$512,0),10,1)),0)+_xlfn.IFNA(SUM((AR$3&gt;='Gastos com Pessoal'!$E$513:$E$522)*(AR$3&lt;='Gastos com Pessoal'!$F$513:$F$522)*(IF('Gastos com Pessoal'!$AE$513:$AE$522&lt;=AR$3,1,0))*OFFSET('Gastos com Pessoal'!$H$512,1,MATCH(5&amp;$B49,'Gastos com Pessoal'!$I$532:$AJ$532&amp;'Gastos com Pessoal'!$I$512:$AJ$512,0),10,1)),0)</f>
        <v>458955.11957545066</v>
      </c>
      <c r="AS49" s="188">
        <f t="array" aca="1" ref="AS49" ca="1">_xlfn.IFNA(SUM((AS$3&gt;='Gastos com Pessoal'!$E$7:$E$506)*(AS$3&lt;='Gastos com Pessoal'!$F$7:$F$506)*OFFSET('Encargos e Benefícios'!$D$5,1,MATCH($B49,'Encargos e Benefícios'!$E$5:$AB$5,0),500,1)),0)+_xlfn.IFNA(SUM((AS$3&gt;='Gastos com Pessoal'!$E$513:$E$522)*(AS$3&lt;='Gastos com Pessoal'!$F$513:$F$522)*OFFSET('Encargos e Benefícios'!$D$511,1,MATCH($B49,'Encargos e Benefícios'!$E$511:$AB$511,0),10,1)),0)+_xlfn.IFNA(SUM((AS$3&gt;='Gastos com Pessoal'!$E$7:$E$506)*(AS$3&lt;='Gastos com Pessoal'!$F$7:$F$506)*(IF('Gastos com Pessoal'!$G$7:$G$506&lt;=AS$3,1,0))*OFFSET('Gastos com Pessoal'!$H$6,1,MATCH(1&amp;$B49,'Gastos com Pessoal'!$I$532:$AJ$532&amp;'Gastos com Pessoal'!$I$6:$AJ$6,0),500,1)),0)+_xlfn.IFNA(SUM((AS$3&gt;='Gastos com Pessoal'!$E$7:$E$506)*(AS$3&lt;='Gastos com Pessoal'!$F$7:$F$506)*(IF('Gastos com Pessoal'!$M$7:$M$506&lt;=AS$3,1,0))*OFFSET('Gastos com Pessoal'!$H$6,1,MATCH(2&amp;$B49,'Gastos com Pessoal'!$I$532:$AJ$532&amp;'Gastos com Pessoal'!$I$6:$AJ$6,0),500,1)),0)+_xlfn.IFNA(SUM((AS$3&gt;='Gastos com Pessoal'!$E$7:$E$506)*(AS$3&lt;='Gastos com Pessoal'!$F$7:$F$506)*(IF('Gastos com Pessoal'!$S$7:$S$506&lt;=AS$3,1,0))*OFFSET('Gastos com Pessoal'!$H$6,1,MATCH(3&amp;$B49,'Gastos com Pessoal'!$I$532:$AJ$532&amp;'Gastos com Pessoal'!$I$6:$AJ$6,0),500,1)),0)+_xlfn.IFNA(SUM((AS$3&gt;='Gastos com Pessoal'!$E$7:$E$506)*(AS$3&lt;='Gastos com Pessoal'!$F$7:$F$506)*(IF('Gastos com Pessoal'!$Y$7:$Y$506&lt;=AS$3,1,0))*OFFSET('Gastos com Pessoal'!$H$6,1,MATCH(4&amp;$B49,'Gastos com Pessoal'!$I$532:$AJ$532&amp;'Gastos com Pessoal'!$I$6:$AJ$6,0),500,1)),0)+_xlfn.IFNA(SUM((AS$3&gt;='Gastos com Pessoal'!$E$7:$E$506)*(AS$3&lt;='Gastos com Pessoal'!$F$7:$F$506)*(IF('Gastos com Pessoal'!$AE$7:$AE$506&lt;=AS$3,1,0))*OFFSET('Gastos com Pessoal'!$H$6,1,MATCH(5&amp;$B49,'Gastos com Pessoal'!$I$532:$AJ$532&amp;'Gastos com Pessoal'!$I$6:$AJ$6,0),500,1)),0)+_xlfn.IFNA(SUM((AS$3&gt;='Gastos com Pessoal'!$E$513:$E$522)*(AS$3&lt;='Gastos com Pessoal'!$F$513:$F$522)*(IF('Gastos com Pessoal'!$G$513:$G$522&lt;=AS$3,1,0))*OFFSET('Gastos com Pessoal'!$H$512,1,MATCH(1&amp;$B49,'Gastos com Pessoal'!$I$532:$AJ$532&amp;'Gastos com Pessoal'!$I$512:$AJ$512,0),10,1)),0)+_xlfn.IFNA(SUM((AS$3&gt;='Gastos com Pessoal'!$E$513:$E$522)*(AS$3&lt;='Gastos com Pessoal'!$F$513:$F$522)*(IF('Gastos com Pessoal'!$M$513:$M$522&lt;=AS$3,1,0))*OFFSET('Gastos com Pessoal'!$H$512,1,MATCH(2&amp;$B49,'Gastos com Pessoal'!$I$532:$AJ$532&amp;'Gastos com Pessoal'!$I$512:$AJ$512,0),10,1)),0)+_xlfn.IFNA(SUM((AS$3&gt;='Gastos com Pessoal'!$E$513:$E$522)*(AS$3&lt;='Gastos com Pessoal'!$F$513:$F$522)*(IF('Gastos com Pessoal'!$S$513:$S$522&lt;=AS$3,1,0))*OFFSET('Gastos com Pessoal'!$H$512,1,MATCH(3&amp;$B49,'Gastos com Pessoal'!$I$532:$AJ$532&amp;'Gastos com Pessoal'!$I$512:$AJ$512,0),10,1)),0)+_xlfn.IFNA(SUM((AS$3&gt;='Gastos com Pessoal'!$E$513:$E$522)*(AS$3&lt;='Gastos com Pessoal'!$F$513:$F$522)*(IF('Gastos com Pessoal'!$Y$513:$Y$522&lt;=AS$3,1,0))*OFFSET('Gastos com Pessoal'!$H$512,1,MATCH(4&amp;$B49,'Gastos com Pessoal'!$I$532:$AJ$532&amp;'Gastos com Pessoal'!$I$512:$AJ$512,0),10,1)),0)+_xlfn.IFNA(SUM((AS$3&gt;='Gastos com Pessoal'!$E$513:$E$522)*(AS$3&lt;='Gastos com Pessoal'!$F$513:$F$522)*(IF('Gastos com Pessoal'!$AE$513:$AE$522&lt;=AS$3,1,0))*OFFSET('Gastos com Pessoal'!$H$512,1,MATCH(5&amp;$B49,'Gastos com Pessoal'!$I$532:$AJ$532&amp;'Gastos com Pessoal'!$I$512:$AJ$512,0),10,1)),0)</f>
        <v>458955.11957545066</v>
      </c>
      <c r="AT49" s="188">
        <f t="array" aca="1" ref="AT49" ca="1">_xlfn.IFNA(SUM((AT$3&gt;='Gastos com Pessoal'!$E$7:$E$506)*(AT$3&lt;='Gastos com Pessoal'!$F$7:$F$506)*OFFSET('Encargos e Benefícios'!$D$5,1,MATCH($B49,'Encargos e Benefícios'!$E$5:$AB$5,0),500,1)),0)+_xlfn.IFNA(SUM((AT$3&gt;='Gastos com Pessoal'!$E$513:$E$522)*(AT$3&lt;='Gastos com Pessoal'!$F$513:$F$522)*OFFSET('Encargos e Benefícios'!$D$511,1,MATCH($B49,'Encargos e Benefícios'!$E$511:$AB$511,0),10,1)),0)+_xlfn.IFNA(SUM((AT$3&gt;='Gastos com Pessoal'!$E$7:$E$506)*(AT$3&lt;='Gastos com Pessoal'!$F$7:$F$506)*(IF('Gastos com Pessoal'!$G$7:$G$506&lt;=AT$3,1,0))*OFFSET('Gastos com Pessoal'!$H$6,1,MATCH(1&amp;$B49,'Gastos com Pessoal'!$I$532:$AJ$532&amp;'Gastos com Pessoal'!$I$6:$AJ$6,0),500,1)),0)+_xlfn.IFNA(SUM((AT$3&gt;='Gastos com Pessoal'!$E$7:$E$506)*(AT$3&lt;='Gastos com Pessoal'!$F$7:$F$506)*(IF('Gastos com Pessoal'!$M$7:$M$506&lt;=AT$3,1,0))*OFFSET('Gastos com Pessoal'!$H$6,1,MATCH(2&amp;$B49,'Gastos com Pessoal'!$I$532:$AJ$532&amp;'Gastos com Pessoal'!$I$6:$AJ$6,0),500,1)),0)+_xlfn.IFNA(SUM((AT$3&gt;='Gastos com Pessoal'!$E$7:$E$506)*(AT$3&lt;='Gastos com Pessoal'!$F$7:$F$506)*(IF('Gastos com Pessoal'!$S$7:$S$506&lt;=AT$3,1,0))*OFFSET('Gastos com Pessoal'!$H$6,1,MATCH(3&amp;$B49,'Gastos com Pessoal'!$I$532:$AJ$532&amp;'Gastos com Pessoal'!$I$6:$AJ$6,0),500,1)),0)+_xlfn.IFNA(SUM((AT$3&gt;='Gastos com Pessoal'!$E$7:$E$506)*(AT$3&lt;='Gastos com Pessoal'!$F$7:$F$506)*(IF('Gastos com Pessoal'!$Y$7:$Y$506&lt;=AT$3,1,0))*OFFSET('Gastos com Pessoal'!$H$6,1,MATCH(4&amp;$B49,'Gastos com Pessoal'!$I$532:$AJ$532&amp;'Gastos com Pessoal'!$I$6:$AJ$6,0),500,1)),0)+_xlfn.IFNA(SUM((AT$3&gt;='Gastos com Pessoal'!$E$7:$E$506)*(AT$3&lt;='Gastos com Pessoal'!$F$7:$F$506)*(IF('Gastos com Pessoal'!$AE$7:$AE$506&lt;=AT$3,1,0))*OFFSET('Gastos com Pessoal'!$H$6,1,MATCH(5&amp;$B49,'Gastos com Pessoal'!$I$532:$AJ$532&amp;'Gastos com Pessoal'!$I$6:$AJ$6,0),500,1)),0)+_xlfn.IFNA(SUM((AT$3&gt;='Gastos com Pessoal'!$E$513:$E$522)*(AT$3&lt;='Gastos com Pessoal'!$F$513:$F$522)*(IF('Gastos com Pessoal'!$G$513:$G$522&lt;=AT$3,1,0))*OFFSET('Gastos com Pessoal'!$H$512,1,MATCH(1&amp;$B49,'Gastos com Pessoal'!$I$532:$AJ$532&amp;'Gastos com Pessoal'!$I$512:$AJ$512,0),10,1)),0)+_xlfn.IFNA(SUM((AT$3&gt;='Gastos com Pessoal'!$E$513:$E$522)*(AT$3&lt;='Gastos com Pessoal'!$F$513:$F$522)*(IF('Gastos com Pessoal'!$M$513:$M$522&lt;=AT$3,1,0))*OFFSET('Gastos com Pessoal'!$H$512,1,MATCH(2&amp;$B49,'Gastos com Pessoal'!$I$532:$AJ$532&amp;'Gastos com Pessoal'!$I$512:$AJ$512,0),10,1)),0)+_xlfn.IFNA(SUM((AT$3&gt;='Gastos com Pessoal'!$E$513:$E$522)*(AT$3&lt;='Gastos com Pessoal'!$F$513:$F$522)*(IF('Gastos com Pessoal'!$S$513:$S$522&lt;=AT$3,1,0))*OFFSET('Gastos com Pessoal'!$H$512,1,MATCH(3&amp;$B49,'Gastos com Pessoal'!$I$532:$AJ$532&amp;'Gastos com Pessoal'!$I$512:$AJ$512,0),10,1)),0)+_xlfn.IFNA(SUM((AT$3&gt;='Gastos com Pessoal'!$E$513:$E$522)*(AT$3&lt;='Gastos com Pessoal'!$F$513:$F$522)*(IF('Gastos com Pessoal'!$Y$513:$Y$522&lt;=AT$3,1,0))*OFFSET('Gastos com Pessoal'!$H$512,1,MATCH(4&amp;$B49,'Gastos com Pessoal'!$I$532:$AJ$532&amp;'Gastos com Pessoal'!$I$512:$AJ$512,0),10,1)),0)+_xlfn.IFNA(SUM((AT$3&gt;='Gastos com Pessoal'!$E$513:$E$522)*(AT$3&lt;='Gastos com Pessoal'!$F$513:$F$522)*(IF('Gastos com Pessoal'!$AE$513:$AE$522&lt;=AT$3,1,0))*OFFSET('Gastos com Pessoal'!$H$512,1,MATCH(5&amp;$B49,'Gastos com Pessoal'!$I$532:$AJ$532&amp;'Gastos com Pessoal'!$I$512:$AJ$512,0),10,1)),0)</f>
        <v>458955.11957545066</v>
      </c>
      <c r="AU49" s="188">
        <f t="array" aca="1" ref="AU49" ca="1">_xlfn.IFNA(SUM((AU$3&gt;='Gastos com Pessoal'!$E$7:$E$506)*(AU$3&lt;='Gastos com Pessoal'!$F$7:$F$506)*OFFSET('Encargos e Benefícios'!$D$5,1,MATCH($B49,'Encargos e Benefícios'!$E$5:$AB$5,0),500,1)),0)+_xlfn.IFNA(SUM((AU$3&gt;='Gastos com Pessoal'!$E$513:$E$522)*(AU$3&lt;='Gastos com Pessoal'!$F$513:$F$522)*OFFSET('Encargos e Benefícios'!$D$511,1,MATCH($B49,'Encargos e Benefícios'!$E$511:$AB$511,0),10,1)),0)+_xlfn.IFNA(SUM((AU$3&gt;='Gastos com Pessoal'!$E$7:$E$506)*(AU$3&lt;='Gastos com Pessoal'!$F$7:$F$506)*(IF('Gastos com Pessoal'!$G$7:$G$506&lt;=AU$3,1,0))*OFFSET('Gastos com Pessoal'!$H$6,1,MATCH(1&amp;$B49,'Gastos com Pessoal'!$I$532:$AJ$532&amp;'Gastos com Pessoal'!$I$6:$AJ$6,0),500,1)),0)+_xlfn.IFNA(SUM((AU$3&gt;='Gastos com Pessoal'!$E$7:$E$506)*(AU$3&lt;='Gastos com Pessoal'!$F$7:$F$506)*(IF('Gastos com Pessoal'!$M$7:$M$506&lt;=AU$3,1,0))*OFFSET('Gastos com Pessoal'!$H$6,1,MATCH(2&amp;$B49,'Gastos com Pessoal'!$I$532:$AJ$532&amp;'Gastos com Pessoal'!$I$6:$AJ$6,0),500,1)),0)+_xlfn.IFNA(SUM((AU$3&gt;='Gastos com Pessoal'!$E$7:$E$506)*(AU$3&lt;='Gastos com Pessoal'!$F$7:$F$506)*(IF('Gastos com Pessoal'!$S$7:$S$506&lt;=AU$3,1,0))*OFFSET('Gastos com Pessoal'!$H$6,1,MATCH(3&amp;$B49,'Gastos com Pessoal'!$I$532:$AJ$532&amp;'Gastos com Pessoal'!$I$6:$AJ$6,0),500,1)),0)+_xlfn.IFNA(SUM((AU$3&gt;='Gastos com Pessoal'!$E$7:$E$506)*(AU$3&lt;='Gastos com Pessoal'!$F$7:$F$506)*(IF('Gastos com Pessoal'!$Y$7:$Y$506&lt;=AU$3,1,0))*OFFSET('Gastos com Pessoal'!$H$6,1,MATCH(4&amp;$B49,'Gastos com Pessoal'!$I$532:$AJ$532&amp;'Gastos com Pessoal'!$I$6:$AJ$6,0),500,1)),0)+_xlfn.IFNA(SUM((AU$3&gt;='Gastos com Pessoal'!$E$7:$E$506)*(AU$3&lt;='Gastos com Pessoal'!$F$7:$F$506)*(IF('Gastos com Pessoal'!$AE$7:$AE$506&lt;=AU$3,1,0))*OFFSET('Gastos com Pessoal'!$H$6,1,MATCH(5&amp;$B49,'Gastos com Pessoal'!$I$532:$AJ$532&amp;'Gastos com Pessoal'!$I$6:$AJ$6,0),500,1)),0)+_xlfn.IFNA(SUM((AU$3&gt;='Gastos com Pessoal'!$E$513:$E$522)*(AU$3&lt;='Gastos com Pessoal'!$F$513:$F$522)*(IF('Gastos com Pessoal'!$G$513:$G$522&lt;=AU$3,1,0))*OFFSET('Gastos com Pessoal'!$H$512,1,MATCH(1&amp;$B49,'Gastos com Pessoal'!$I$532:$AJ$532&amp;'Gastos com Pessoal'!$I$512:$AJ$512,0),10,1)),0)+_xlfn.IFNA(SUM((AU$3&gt;='Gastos com Pessoal'!$E$513:$E$522)*(AU$3&lt;='Gastos com Pessoal'!$F$513:$F$522)*(IF('Gastos com Pessoal'!$M$513:$M$522&lt;=AU$3,1,0))*OFFSET('Gastos com Pessoal'!$H$512,1,MATCH(2&amp;$B49,'Gastos com Pessoal'!$I$532:$AJ$532&amp;'Gastos com Pessoal'!$I$512:$AJ$512,0),10,1)),0)+_xlfn.IFNA(SUM((AU$3&gt;='Gastos com Pessoal'!$E$513:$E$522)*(AU$3&lt;='Gastos com Pessoal'!$F$513:$F$522)*(IF('Gastos com Pessoal'!$S$513:$S$522&lt;=AU$3,1,0))*OFFSET('Gastos com Pessoal'!$H$512,1,MATCH(3&amp;$B49,'Gastos com Pessoal'!$I$532:$AJ$532&amp;'Gastos com Pessoal'!$I$512:$AJ$512,0),10,1)),0)+_xlfn.IFNA(SUM((AU$3&gt;='Gastos com Pessoal'!$E$513:$E$522)*(AU$3&lt;='Gastos com Pessoal'!$F$513:$F$522)*(IF('Gastos com Pessoal'!$Y$513:$Y$522&lt;=AU$3,1,0))*OFFSET('Gastos com Pessoal'!$H$512,1,MATCH(4&amp;$B49,'Gastos com Pessoal'!$I$532:$AJ$532&amp;'Gastos com Pessoal'!$I$512:$AJ$512,0),10,1)),0)+_xlfn.IFNA(SUM((AU$3&gt;='Gastos com Pessoal'!$E$513:$E$522)*(AU$3&lt;='Gastos com Pessoal'!$F$513:$F$522)*(IF('Gastos com Pessoal'!$AE$513:$AE$522&lt;=AU$3,1,0))*OFFSET('Gastos com Pessoal'!$H$512,1,MATCH(5&amp;$B49,'Gastos com Pessoal'!$I$532:$AJ$532&amp;'Gastos com Pessoal'!$I$512:$AJ$512,0),10,1)),0)</f>
        <v>458955.11957545066</v>
      </c>
      <c r="AV49" s="188">
        <f t="array" aca="1" ref="AV49" ca="1">_xlfn.IFNA(SUM((AV$3&gt;='Gastos com Pessoal'!$E$7:$E$506)*(AV$3&lt;='Gastos com Pessoal'!$F$7:$F$506)*OFFSET('Encargos e Benefícios'!$D$5,1,MATCH($B49,'Encargos e Benefícios'!$E$5:$AB$5,0),500,1)),0)+_xlfn.IFNA(SUM((AV$3&gt;='Gastos com Pessoal'!$E$513:$E$522)*(AV$3&lt;='Gastos com Pessoal'!$F$513:$F$522)*OFFSET('Encargos e Benefícios'!$D$511,1,MATCH($B49,'Encargos e Benefícios'!$E$511:$AB$511,0),10,1)),0)+_xlfn.IFNA(SUM((AV$3&gt;='Gastos com Pessoal'!$E$7:$E$506)*(AV$3&lt;='Gastos com Pessoal'!$F$7:$F$506)*(IF('Gastos com Pessoal'!$G$7:$G$506&lt;=AV$3,1,0))*OFFSET('Gastos com Pessoal'!$H$6,1,MATCH(1&amp;$B49,'Gastos com Pessoal'!$I$532:$AJ$532&amp;'Gastos com Pessoal'!$I$6:$AJ$6,0),500,1)),0)+_xlfn.IFNA(SUM((AV$3&gt;='Gastos com Pessoal'!$E$7:$E$506)*(AV$3&lt;='Gastos com Pessoal'!$F$7:$F$506)*(IF('Gastos com Pessoal'!$M$7:$M$506&lt;=AV$3,1,0))*OFFSET('Gastos com Pessoal'!$H$6,1,MATCH(2&amp;$B49,'Gastos com Pessoal'!$I$532:$AJ$532&amp;'Gastos com Pessoal'!$I$6:$AJ$6,0),500,1)),0)+_xlfn.IFNA(SUM((AV$3&gt;='Gastos com Pessoal'!$E$7:$E$506)*(AV$3&lt;='Gastos com Pessoal'!$F$7:$F$506)*(IF('Gastos com Pessoal'!$S$7:$S$506&lt;=AV$3,1,0))*OFFSET('Gastos com Pessoal'!$H$6,1,MATCH(3&amp;$B49,'Gastos com Pessoal'!$I$532:$AJ$532&amp;'Gastos com Pessoal'!$I$6:$AJ$6,0),500,1)),0)+_xlfn.IFNA(SUM((AV$3&gt;='Gastos com Pessoal'!$E$7:$E$506)*(AV$3&lt;='Gastos com Pessoal'!$F$7:$F$506)*(IF('Gastos com Pessoal'!$Y$7:$Y$506&lt;=AV$3,1,0))*OFFSET('Gastos com Pessoal'!$H$6,1,MATCH(4&amp;$B49,'Gastos com Pessoal'!$I$532:$AJ$532&amp;'Gastos com Pessoal'!$I$6:$AJ$6,0),500,1)),0)+_xlfn.IFNA(SUM((AV$3&gt;='Gastos com Pessoal'!$E$7:$E$506)*(AV$3&lt;='Gastos com Pessoal'!$F$7:$F$506)*(IF('Gastos com Pessoal'!$AE$7:$AE$506&lt;=AV$3,1,0))*OFFSET('Gastos com Pessoal'!$H$6,1,MATCH(5&amp;$B49,'Gastos com Pessoal'!$I$532:$AJ$532&amp;'Gastos com Pessoal'!$I$6:$AJ$6,0),500,1)),0)+_xlfn.IFNA(SUM((AV$3&gt;='Gastos com Pessoal'!$E$513:$E$522)*(AV$3&lt;='Gastos com Pessoal'!$F$513:$F$522)*(IF('Gastos com Pessoal'!$G$513:$G$522&lt;=AV$3,1,0))*OFFSET('Gastos com Pessoal'!$H$512,1,MATCH(1&amp;$B49,'Gastos com Pessoal'!$I$532:$AJ$532&amp;'Gastos com Pessoal'!$I$512:$AJ$512,0),10,1)),0)+_xlfn.IFNA(SUM((AV$3&gt;='Gastos com Pessoal'!$E$513:$E$522)*(AV$3&lt;='Gastos com Pessoal'!$F$513:$F$522)*(IF('Gastos com Pessoal'!$M$513:$M$522&lt;=AV$3,1,0))*OFFSET('Gastos com Pessoal'!$H$512,1,MATCH(2&amp;$B49,'Gastos com Pessoal'!$I$532:$AJ$532&amp;'Gastos com Pessoal'!$I$512:$AJ$512,0),10,1)),0)+_xlfn.IFNA(SUM((AV$3&gt;='Gastos com Pessoal'!$E$513:$E$522)*(AV$3&lt;='Gastos com Pessoal'!$F$513:$F$522)*(IF('Gastos com Pessoal'!$S$513:$S$522&lt;=AV$3,1,0))*OFFSET('Gastos com Pessoal'!$H$512,1,MATCH(3&amp;$B49,'Gastos com Pessoal'!$I$532:$AJ$532&amp;'Gastos com Pessoal'!$I$512:$AJ$512,0),10,1)),0)+_xlfn.IFNA(SUM((AV$3&gt;='Gastos com Pessoal'!$E$513:$E$522)*(AV$3&lt;='Gastos com Pessoal'!$F$513:$F$522)*(IF('Gastos com Pessoal'!$Y$513:$Y$522&lt;=AV$3,1,0))*OFFSET('Gastos com Pessoal'!$H$512,1,MATCH(4&amp;$B49,'Gastos com Pessoal'!$I$532:$AJ$532&amp;'Gastos com Pessoal'!$I$512:$AJ$512,0),10,1)),0)+_xlfn.IFNA(SUM((AV$3&gt;='Gastos com Pessoal'!$E$513:$E$522)*(AV$3&lt;='Gastos com Pessoal'!$F$513:$F$522)*(IF('Gastos com Pessoal'!$AE$513:$AE$522&lt;=AV$3,1,0))*OFFSET('Gastos com Pessoal'!$H$512,1,MATCH(5&amp;$B49,'Gastos com Pessoal'!$I$532:$AJ$532&amp;'Gastos com Pessoal'!$I$512:$AJ$512,0),10,1)),0)</f>
        <v>458955.11957545066</v>
      </c>
      <c r="AW49" s="188">
        <f t="array" aca="1" ref="AW49" ca="1">_xlfn.IFNA(SUM((AW$3&gt;='Gastos com Pessoal'!$E$7:$E$506)*(AW$3&lt;='Gastos com Pessoal'!$F$7:$F$506)*OFFSET('Encargos e Benefícios'!$D$5,1,MATCH($B49,'Encargos e Benefícios'!$E$5:$AB$5,0),500,1)),0)+_xlfn.IFNA(SUM((AW$3&gt;='Gastos com Pessoal'!$E$513:$E$522)*(AW$3&lt;='Gastos com Pessoal'!$F$513:$F$522)*OFFSET('Encargos e Benefícios'!$D$511,1,MATCH($B49,'Encargos e Benefícios'!$E$511:$AB$511,0),10,1)),0)+_xlfn.IFNA(SUM((AW$3&gt;='Gastos com Pessoal'!$E$7:$E$506)*(AW$3&lt;='Gastos com Pessoal'!$F$7:$F$506)*(IF('Gastos com Pessoal'!$G$7:$G$506&lt;=AW$3,1,0))*OFFSET('Gastos com Pessoal'!$H$6,1,MATCH(1&amp;$B49,'Gastos com Pessoal'!$I$532:$AJ$532&amp;'Gastos com Pessoal'!$I$6:$AJ$6,0),500,1)),0)+_xlfn.IFNA(SUM((AW$3&gt;='Gastos com Pessoal'!$E$7:$E$506)*(AW$3&lt;='Gastos com Pessoal'!$F$7:$F$506)*(IF('Gastos com Pessoal'!$M$7:$M$506&lt;=AW$3,1,0))*OFFSET('Gastos com Pessoal'!$H$6,1,MATCH(2&amp;$B49,'Gastos com Pessoal'!$I$532:$AJ$532&amp;'Gastos com Pessoal'!$I$6:$AJ$6,0),500,1)),0)+_xlfn.IFNA(SUM((AW$3&gt;='Gastos com Pessoal'!$E$7:$E$506)*(AW$3&lt;='Gastos com Pessoal'!$F$7:$F$506)*(IF('Gastos com Pessoal'!$S$7:$S$506&lt;=AW$3,1,0))*OFFSET('Gastos com Pessoal'!$H$6,1,MATCH(3&amp;$B49,'Gastos com Pessoal'!$I$532:$AJ$532&amp;'Gastos com Pessoal'!$I$6:$AJ$6,0),500,1)),0)+_xlfn.IFNA(SUM((AW$3&gt;='Gastos com Pessoal'!$E$7:$E$506)*(AW$3&lt;='Gastos com Pessoal'!$F$7:$F$506)*(IF('Gastos com Pessoal'!$Y$7:$Y$506&lt;=AW$3,1,0))*OFFSET('Gastos com Pessoal'!$H$6,1,MATCH(4&amp;$B49,'Gastos com Pessoal'!$I$532:$AJ$532&amp;'Gastos com Pessoal'!$I$6:$AJ$6,0),500,1)),0)+_xlfn.IFNA(SUM((AW$3&gt;='Gastos com Pessoal'!$E$7:$E$506)*(AW$3&lt;='Gastos com Pessoal'!$F$7:$F$506)*(IF('Gastos com Pessoal'!$AE$7:$AE$506&lt;=AW$3,1,0))*OFFSET('Gastos com Pessoal'!$H$6,1,MATCH(5&amp;$B49,'Gastos com Pessoal'!$I$532:$AJ$532&amp;'Gastos com Pessoal'!$I$6:$AJ$6,0),500,1)),0)+_xlfn.IFNA(SUM((AW$3&gt;='Gastos com Pessoal'!$E$513:$E$522)*(AW$3&lt;='Gastos com Pessoal'!$F$513:$F$522)*(IF('Gastos com Pessoal'!$G$513:$G$522&lt;=AW$3,1,0))*OFFSET('Gastos com Pessoal'!$H$512,1,MATCH(1&amp;$B49,'Gastos com Pessoal'!$I$532:$AJ$532&amp;'Gastos com Pessoal'!$I$512:$AJ$512,0),10,1)),0)+_xlfn.IFNA(SUM((AW$3&gt;='Gastos com Pessoal'!$E$513:$E$522)*(AW$3&lt;='Gastos com Pessoal'!$F$513:$F$522)*(IF('Gastos com Pessoal'!$M$513:$M$522&lt;=AW$3,1,0))*OFFSET('Gastos com Pessoal'!$H$512,1,MATCH(2&amp;$B49,'Gastos com Pessoal'!$I$532:$AJ$532&amp;'Gastos com Pessoal'!$I$512:$AJ$512,0),10,1)),0)+_xlfn.IFNA(SUM((AW$3&gt;='Gastos com Pessoal'!$E$513:$E$522)*(AW$3&lt;='Gastos com Pessoal'!$F$513:$F$522)*(IF('Gastos com Pessoal'!$S$513:$S$522&lt;=AW$3,1,0))*OFFSET('Gastos com Pessoal'!$H$512,1,MATCH(3&amp;$B49,'Gastos com Pessoal'!$I$532:$AJ$532&amp;'Gastos com Pessoal'!$I$512:$AJ$512,0),10,1)),0)+_xlfn.IFNA(SUM((AW$3&gt;='Gastos com Pessoal'!$E$513:$E$522)*(AW$3&lt;='Gastos com Pessoal'!$F$513:$F$522)*(IF('Gastos com Pessoal'!$Y$513:$Y$522&lt;=AW$3,1,0))*OFFSET('Gastos com Pessoal'!$H$512,1,MATCH(4&amp;$B49,'Gastos com Pessoal'!$I$532:$AJ$532&amp;'Gastos com Pessoal'!$I$512:$AJ$512,0),10,1)),0)+_xlfn.IFNA(SUM((AW$3&gt;='Gastos com Pessoal'!$E$513:$E$522)*(AW$3&lt;='Gastos com Pessoal'!$F$513:$F$522)*(IF('Gastos com Pessoal'!$AE$513:$AE$522&lt;=AW$3,1,0))*OFFSET('Gastos com Pessoal'!$H$512,1,MATCH(5&amp;$B49,'Gastos com Pessoal'!$I$532:$AJ$532&amp;'Gastos com Pessoal'!$I$512:$AJ$512,0),10,1)),0)</f>
        <v>458955.11957545066</v>
      </c>
      <c r="AX49" s="188">
        <f t="array" aca="1" ref="AX49" ca="1">_xlfn.IFNA(SUM((AX$3&gt;='Gastos com Pessoal'!$E$7:$E$506)*(AX$3&lt;='Gastos com Pessoal'!$F$7:$F$506)*OFFSET('Encargos e Benefícios'!$D$5,1,MATCH($B49,'Encargos e Benefícios'!$E$5:$AB$5,0),500,1)),0)+_xlfn.IFNA(SUM((AX$3&gt;='Gastos com Pessoal'!$E$513:$E$522)*(AX$3&lt;='Gastos com Pessoal'!$F$513:$F$522)*OFFSET('Encargos e Benefícios'!$D$511,1,MATCH($B49,'Encargos e Benefícios'!$E$511:$AB$511,0),10,1)),0)+_xlfn.IFNA(SUM((AX$3&gt;='Gastos com Pessoal'!$E$7:$E$506)*(AX$3&lt;='Gastos com Pessoal'!$F$7:$F$506)*(IF('Gastos com Pessoal'!$G$7:$G$506&lt;=AX$3,1,0))*OFFSET('Gastos com Pessoal'!$H$6,1,MATCH(1&amp;$B49,'Gastos com Pessoal'!$I$532:$AJ$532&amp;'Gastos com Pessoal'!$I$6:$AJ$6,0),500,1)),0)+_xlfn.IFNA(SUM((AX$3&gt;='Gastos com Pessoal'!$E$7:$E$506)*(AX$3&lt;='Gastos com Pessoal'!$F$7:$F$506)*(IF('Gastos com Pessoal'!$M$7:$M$506&lt;=AX$3,1,0))*OFFSET('Gastos com Pessoal'!$H$6,1,MATCH(2&amp;$B49,'Gastos com Pessoal'!$I$532:$AJ$532&amp;'Gastos com Pessoal'!$I$6:$AJ$6,0),500,1)),0)+_xlfn.IFNA(SUM((AX$3&gt;='Gastos com Pessoal'!$E$7:$E$506)*(AX$3&lt;='Gastos com Pessoal'!$F$7:$F$506)*(IF('Gastos com Pessoal'!$S$7:$S$506&lt;=AX$3,1,0))*OFFSET('Gastos com Pessoal'!$H$6,1,MATCH(3&amp;$B49,'Gastos com Pessoal'!$I$532:$AJ$532&amp;'Gastos com Pessoal'!$I$6:$AJ$6,0),500,1)),0)+_xlfn.IFNA(SUM((AX$3&gt;='Gastos com Pessoal'!$E$7:$E$506)*(AX$3&lt;='Gastos com Pessoal'!$F$7:$F$506)*(IF('Gastos com Pessoal'!$Y$7:$Y$506&lt;=AX$3,1,0))*OFFSET('Gastos com Pessoal'!$H$6,1,MATCH(4&amp;$B49,'Gastos com Pessoal'!$I$532:$AJ$532&amp;'Gastos com Pessoal'!$I$6:$AJ$6,0),500,1)),0)+_xlfn.IFNA(SUM((AX$3&gt;='Gastos com Pessoal'!$E$7:$E$506)*(AX$3&lt;='Gastos com Pessoal'!$F$7:$F$506)*(IF('Gastos com Pessoal'!$AE$7:$AE$506&lt;=AX$3,1,0))*OFFSET('Gastos com Pessoal'!$H$6,1,MATCH(5&amp;$B49,'Gastos com Pessoal'!$I$532:$AJ$532&amp;'Gastos com Pessoal'!$I$6:$AJ$6,0),500,1)),0)+_xlfn.IFNA(SUM((AX$3&gt;='Gastos com Pessoal'!$E$513:$E$522)*(AX$3&lt;='Gastos com Pessoal'!$F$513:$F$522)*(IF('Gastos com Pessoal'!$G$513:$G$522&lt;=AX$3,1,0))*OFFSET('Gastos com Pessoal'!$H$512,1,MATCH(1&amp;$B49,'Gastos com Pessoal'!$I$532:$AJ$532&amp;'Gastos com Pessoal'!$I$512:$AJ$512,0),10,1)),0)+_xlfn.IFNA(SUM((AX$3&gt;='Gastos com Pessoal'!$E$513:$E$522)*(AX$3&lt;='Gastos com Pessoal'!$F$513:$F$522)*(IF('Gastos com Pessoal'!$M$513:$M$522&lt;=AX$3,1,0))*OFFSET('Gastos com Pessoal'!$H$512,1,MATCH(2&amp;$B49,'Gastos com Pessoal'!$I$532:$AJ$532&amp;'Gastos com Pessoal'!$I$512:$AJ$512,0),10,1)),0)+_xlfn.IFNA(SUM((AX$3&gt;='Gastos com Pessoal'!$E$513:$E$522)*(AX$3&lt;='Gastos com Pessoal'!$F$513:$F$522)*(IF('Gastos com Pessoal'!$S$513:$S$522&lt;=AX$3,1,0))*OFFSET('Gastos com Pessoal'!$H$512,1,MATCH(3&amp;$B49,'Gastos com Pessoal'!$I$532:$AJ$532&amp;'Gastos com Pessoal'!$I$512:$AJ$512,0),10,1)),0)+_xlfn.IFNA(SUM((AX$3&gt;='Gastos com Pessoal'!$E$513:$E$522)*(AX$3&lt;='Gastos com Pessoal'!$F$513:$F$522)*(IF('Gastos com Pessoal'!$Y$513:$Y$522&lt;=AX$3,1,0))*OFFSET('Gastos com Pessoal'!$H$512,1,MATCH(4&amp;$B49,'Gastos com Pessoal'!$I$532:$AJ$532&amp;'Gastos com Pessoal'!$I$512:$AJ$512,0),10,1)),0)+_xlfn.IFNA(SUM((AX$3&gt;='Gastos com Pessoal'!$E$513:$E$522)*(AX$3&lt;='Gastos com Pessoal'!$F$513:$F$522)*(IF('Gastos com Pessoal'!$AE$513:$AE$522&lt;=AX$3,1,0))*OFFSET('Gastos com Pessoal'!$H$512,1,MATCH(5&amp;$B49,'Gastos com Pessoal'!$I$532:$AJ$532&amp;'Gastos com Pessoal'!$I$512:$AJ$512,0),10,1)),0)</f>
        <v>0</v>
      </c>
      <c r="AY49" s="188">
        <f t="array" aca="1" ref="AY49" ca="1">_xlfn.IFNA(SUM((AY$3&gt;='Gastos com Pessoal'!$E$7:$E$506)*(AY$3&lt;='Gastos com Pessoal'!$F$7:$F$506)*OFFSET('Encargos e Benefícios'!$D$5,1,MATCH($B49,'Encargos e Benefícios'!$E$5:$AB$5,0),500,1)),0)+_xlfn.IFNA(SUM((AY$3&gt;='Gastos com Pessoal'!$E$513:$E$522)*(AY$3&lt;='Gastos com Pessoal'!$F$513:$F$522)*OFFSET('Encargos e Benefícios'!$D$511,1,MATCH($B49,'Encargos e Benefícios'!$E$511:$AB$511,0),10,1)),0)+_xlfn.IFNA(SUM((AY$3&gt;='Gastos com Pessoal'!$E$7:$E$506)*(AY$3&lt;='Gastos com Pessoal'!$F$7:$F$506)*(IF('Gastos com Pessoal'!$G$7:$G$506&lt;=AY$3,1,0))*OFFSET('Gastos com Pessoal'!$H$6,1,MATCH(1&amp;$B49,'Gastos com Pessoal'!$I$532:$AJ$532&amp;'Gastos com Pessoal'!$I$6:$AJ$6,0),500,1)),0)+_xlfn.IFNA(SUM((AY$3&gt;='Gastos com Pessoal'!$E$7:$E$506)*(AY$3&lt;='Gastos com Pessoal'!$F$7:$F$506)*(IF('Gastos com Pessoal'!$M$7:$M$506&lt;=AY$3,1,0))*OFFSET('Gastos com Pessoal'!$H$6,1,MATCH(2&amp;$B49,'Gastos com Pessoal'!$I$532:$AJ$532&amp;'Gastos com Pessoal'!$I$6:$AJ$6,0),500,1)),0)+_xlfn.IFNA(SUM((AY$3&gt;='Gastos com Pessoal'!$E$7:$E$506)*(AY$3&lt;='Gastos com Pessoal'!$F$7:$F$506)*(IF('Gastos com Pessoal'!$S$7:$S$506&lt;=AY$3,1,0))*OFFSET('Gastos com Pessoal'!$H$6,1,MATCH(3&amp;$B49,'Gastos com Pessoal'!$I$532:$AJ$532&amp;'Gastos com Pessoal'!$I$6:$AJ$6,0),500,1)),0)+_xlfn.IFNA(SUM((AY$3&gt;='Gastos com Pessoal'!$E$7:$E$506)*(AY$3&lt;='Gastos com Pessoal'!$F$7:$F$506)*(IF('Gastos com Pessoal'!$Y$7:$Y$506&lt;=AY$3,1,0))*OFFSET('Gastos com Pessoal'!$H$6,1,MATCH(4&amp;$B49,'Gastos com Pessoal'!$I$532:$AJ$532&amp;'Gastos com Pessoal'!$I$6:$AJ$6,0),500,1)),0)+_xlfn.IFNA(SUM((AY$3&gt;='Gastos com Pessoal'!$E$7:$E$506)*(AY$3&lt;='Gastos com Pessoal'!$F$7:$F$506)*(IF('Gastos com Pessoal'!$AE$7:$AE$506&lt;=AY$3,1,0))*OFFSET('Gastos com Pessoal'!$H$6,1,MATCH(5&amp;$B49,'Gastos com Pessoal'!$I$532:$AJ$532&amp;'Gastos com Pessoal'!$I$6:$AJ$6,0),500,1)),0)+_xlfn.IFNA(SUM((AY$3&gt;='Gastos com Pessoal'!$E$513:$E$522)*(AY$3&lt;='Gastos com Pessoal'!$F$513:$F$522)*(IF('Gastos com Pessoal'!$G$513:$G$522&lt;=AY$3,1,0))*OFFSET('Gastos com Pessoal'!$H$512,1,MATCH(1&amp;$B49,'Gastos com Pessoal'!$I$532:$AJ$532&amp;'Gastos com Pessoal'!$I$512:$AJ$512,0),10,1)),0)+_xlfn.IFNA(SUM((AY$3&gt;='Gastos com Pessoal'!$E$513:$E$522)*(AY$3&lt;='Gastos com Pessoal'!$F$513:$F$522)*(IF('Gastos com Pessoal'!$M$513:$M$522&lt;=AY$3,1,0))*OFFSET('Gastos com Pessoal'!$H$512,1,MATCH(2&amp;$B49,'Gastos com Pessoal'!$I$532:$AJ$532&amp;'Gastos com Pessoal'!$I$512:$AJ$512,0),10,1)),0)+_xlfn.IFNA(SUM((AY$3&gt;='Gastos com Pessoal'!$E$513:$E$522)*(AY$3&lt;='Gastos com Pessoal'!$F$513:$F$522)*(IF('Gastos com Pessoal'!$S$513:$S$522&lt;=AY$3,1,0))*OFFSET('Gastos com Pessoal'!$H$512,1,MATCH(3&amp;$B49,'Gastos com Pessoal'!$I$532:$AJ$532&amp;'Gastos com Pessoal'!$I$512:$AJ$512,0),10,1)),0)+_xlfn.IFNA(SUM((AY$3&gt;='Gastos com Pessoal'!$E$513:$E$522)*(AY$3&lt;='Gastos com Pessoal'!$F$513:$F$522)*(IF('Gastos com Pessoal'!$Y$513:$Y$522&lt;=AY$3,1,0))*OFFSET('Gastos com Pessoal'!$H$512,1,MATCH(4&amp;$B49,'Gastos com Pessoal'!$I$532:$AJ$532&amp;'Gastos com Pessoal'!$I$512:$AJ$512,0),10,1)),0)+_xlfn.IFNA(SUM((AY$3&gt;='Gastos com Pessoal'!$E$513:$E$522)*(AY$3&lt;='Gastos com Pessoal'!$F$513:$F$522)*(IF('Gastos com Pessoal'!$AE$513:$AE$522&lt;=AY$3,1,0))*OFFSET('Gastos com Pessoal'!$H$512,1,MATCH(5&amp;$B49,'Gastos com Pessoal'!$I$532:$AJ$532&amp;'Gastos com Pessoal'!$I$512:$AJ$512,0),10,1)),0)</f>
        <v>0</v>
      </c>
      <c r="AZ49" s="188">
        <f t="array" aca="1" ref="AZ49" ca="1">_xlfn.IFNA(SUM((AZ$3&gt;='Gastos com Pessoal'!$E$7:$E$506)*(AZ$3&lt;='Gastos com Pessoal'!$F$7:$F$506)*OFFSET('Encargos e Benefícios'!$D$5,1,MATCH($B49,'Encargos e Benefícios'!$E$5:$AB$5,0),500,1)),0)+_xlfn.IFNA(SUM((AZ$3&gt;='Gastos com Pessoal'!$E$513:$E$522)*(AZ$3&lt;='Gastos com Pessoal'!$F$513:$F$522)*OFFSET('Encargos e Benefícios'!$D$511,1,MATCH($B49,'Encargos e Benefícios'!$E$511:$AB$511,0),10,1)),0)+_xlfn.IFNA(SUM((AZ$3&gt;='Gastos com Pessoal'!$E$7:$E$506)*(AZ$3&lt;='Gastos com Pessoal'!$F$7:$F$506)*(IF('Gastos com Pessoal'!$G$7:$G$506&lt;=AZ$3,1,0))*OFFSET('Gastos com Pessoal'!$H$6,1,MATCH(1&amp;$B49,'Gastos com Pessoal'!$I$532:$AJ$532&amp;'Gastos com Pessoal'!$I$6:$AJ$6,0),500,1)),0)+_xlfn.IFNA(SUM((AZ$3&gt;='Gastos com Pessoal'!$E$7:$E$506)*(AZ$3&lt;='Gastos com Pessoal'!$F$7:$F$506)*(IF('Gastos com Pessoal'!$M$7:$M$506&lt;=AZ$3,1,0))*OFFSET('Gastos com Pessoal'!$H$6,1,MATCH(2&amp;$B49,'Gastos com Pessoal'!$I$532:$AJ$532&amp;'Gastos com Pessoal'!$I$6:$AJ$6,0),500,1)),0)+_xlfn.IFNA(SUM((AZ$3&gt;='Gastos com Pessoal'!$E$7:$E$506)*(AZ$3&lt;='Gastos com Pessoal'!$F$7:$F$506)*(IF('Gastos com Pessoal'!$S$7:$S$506&lt;=AZ$3,1,0))*OFFSET('Gastos com Pessoal'!$H$6,1,MATCH(3&amp;$B49,'Gastos com Pessoal'!$I$532:$AJ$532&amp;'Gastos com Pessoal'!$I$6:$AJ$6,0),500,1)),0)+_xlfn.IFNA(SUM((AZ$3&gt;='Gastos com Pessoal'!$E$7:$E$506)*(AZ$3&lt;='Gastos com Pessoal'!$F$7:$F$506)*(IF('Gastos com Pessoal'!$Y$7:$Y$506&lt;=AZ$3,1,0))*OFFSET('Gastos com Pessoal'!$H$6,1,MATCH(4&amp;$B49,'Gastos com Pessoal'!$I$532:$AJ$532&amp;'Gastos com Pessoal'!$I$6:$AJ$6,0),500,1)),0)+_xlfn.IFNA(SUM((AZ$3&gt;='Gastos com Pessoal'!$E$7:$E$506)*(AZ$3&lt;='Gastos com Pessoal'!$F$7:$F$506)*(IF('Gastos com Pessoal'!$AE$7:$AE$506&lt;=AZ$3,1,0))*OFFSET('Gastos com Pessoal'!$H$6,1,MATCH(5&amp;$B49,'Gastos com Pessoal'!$I$532:$AJ$532&amp;'Gastos com Pessoal'!$I$6:$AJ$6,0),500,1)),0)+_xlfn.IFNA(SUM((AZ$3&gt;='Gastos com Pessoal'!$E$513:$E$522)*(AZ$3&lt;='Gastos com Pessoal'!$F$513:$F$522)*(IF('Gastos com Pessoal'!$G$513:$G$522&lt;=AZ$3,1,0))*OFFSET('Gastos com Pessoal'!$H$512,1,MATCH(1&amp;$B49,'Gastos com Pessoal'!$I$532:$AJ$532&amp;'Gastos com Pessoal'!$I$512:$AJ$512,0),10,1)),0)+_xlfn.IFNA(SUM((AZ$3&gt;='Gastos com Pessoal'!$E$513:$E$522)*(AZ$3&lt;='Gastos com Pessoal'!$F$513:$F$522)*(IF('Gastos com Pessoal'!$M$513:$M$522&lt;=AZ$3,1,0))*OFFSET('Gastos com Pessoal'!$H$512,1,MATCH(2&amp;$B49,'Gastos com Pessoal'!$I$532:$AJ$532&amp;'Gastos com Pessoal'!$I$512:$AJ$512,0),10,1)),0)+_xlfn.IFNA(SUM((AZ$3&gt;='Gastos com Pessoal'!$E$513:$E$522)*(AZ$3&lt;='Gastos com Pessoal'!$F$513:$F$522)*(IF('Gastos com Pessoal'!$S$513:$S$522&lt;=AZ$3,1,0))*OFFSET('Gastos com Pessoal'!$H$512,1,MATCH(3&amp;$B49,'Gastos com Pessoal'!$I$532:$AJ$532&amp;'Gastos com Pessoal'!$I$512:$AJ$512,0),10,1)),0)+_xlfn.IFNA(SUM((AZ$3&gt;='Gastos com Pessoal'!$E$513:$E$522)*(AZ$3&lt;='Gastos com Pessoal'!$F$513:$F$522)*(IF('Gastos com Pessoal'!$Y$513:$Y$522&lt;=AZ$3,1,0))*OFFSET('Gastos com Pessoal'!$H$512,1,MATCH(4&amp;$B49,'Gastos com Pessoal'!$I$532:$AJ$532&amp;'Gastos com Pessoal'!$I$512:$AJ$512,0),10,1)),0)+_xlfn.IFNA(SUM((AZ$3&gt;='Gastos com Pessoal'!$E$513:$E$522)*(AZ$3&lt;='Gastos com Pessoal'!$F$513:$F$522)*(IF('Gastos com Pessoal'!$AE$513:$AE$522&lt;=AZ$3,1,0))*OFFSET('Gastos com Pessoal'!$H$512,1,MATCH(5&amp;$B49,'Gastos com Pessoal'!$I$532:$AJ$532&amp;'Gastos com Pessoal'!$I$512:$AJ$512,0),10,1)),0)</f>
        <v>0</v>
      </c>
      <c r="BA49" s="188">
        <f t="array" aca="1" ref="BA49" ca="1">_xlfn.IFNA(SUM((BA$3&gt;='Gastos com Pessoal'!$E$7:$E$506)*(BA$3&lt;='Gastos com Pessoal'!$F$7:$F$506)*OFFSET('Encargos e Benefícios'!$D$5,1,MATCH($B49,'Encargos e Benefícios'!$E$5:$AB$5,0),500,1)),0)+_xlfn.IFNA(SUM((BA$3&gt;='Gastos com Pessoal'!$E$513:$E$522)*(BA$3&lt;='Gastos com Pessoal'!$F$513:$F$522)*OFFSET('Encargos e Benefícios'!$D$511,1,MATCH($B49,'Encargos e Benefícios'!$E$511:$AB$511,0),10,1)),0)+_xlfn.IFNA(SUM((BA$3&gt;='Gastos com Pessoal'!$E$7:$E$506)*(BA$3&lt;='Gastos com Pessoal'!$F$7:$F$506)*(IF('Gastos com Pessoal'!$G$7:$G$506&lt;=BA$3,1,0))*OFFSET('Gastos com Pessoal'!$H$6,1,MATCH(1&amp;$B49,'Gastos com Pessoal'!$I$532:$AJ$532&amp;'Gastos com Pessoal'!$I$6:$AJ$6,0),500,1)),0)+_xlfn.IFNA(SUM((BA$3&gt;='Gastos com Pessoal'!$E$7:$E$506)*(BA$3&lt;='Gastos com Pessoal'!$F$7:$F$506)*(IF('Gastos com Pessoal'!$M$7:$M$506&lt;=BA$3,1,0))*OFFSET('Gastos com Pessoal'!$H$6,1,MATCH(2&amp;$B49,'Gastos com Pessoal'!$I$532:$AJ$532&amp;'Gastos com Pessoal'!$I$6:$AJ$6,0),500,1)),0)+_xlfn.IFNA(SUM((BA$3&gt;='Gastos com Pessoal'!$E$7:$E$506)*(BA$3&lt;='Gastos com Pessoal'!$F$7:$F$506)*(IF('Gastos com Pessoal'!$S$7:$S$506&lt;=BA$3,1,0))*OFFSET('Gastos com Pessoal'!$H$6,1,MATCH(3&amp;$B49,'Gastos com Pessoal'!$I$532:$AJ$532&amp;'Gastos com Pessoal'!$I$6:$AJ$6,0),500,1)),0)+_xlfn.IFNA(SUM((BA$3&gt;='Gastos com Pessoal'!$E$7:$E$506)*(BA$3&lt;='Gastos com Pessoal'!$F$7:$F$506)*(IF('Gastos com Pessoal'!$Y$7:$Y$506&lt;=BA$3,1,0))*OFFSET('Gastos com Pessoal'!$H$6,1,MATCH(4&amp;$B49,'Gastos com Pessoal'!$I$532:$AJ$532&amp;'Gastos com Pessoal'!$I$6:$AJ$6,0),500,1)),0)+_xlfn.IFNA(SUM((BA$3&gt;='Gastos com Pessoal'!$E$7:$E$506)*(BA$3&lt;='Gastos com Pessoal'!$F$7:$F$506)*(IF('Gastos com Pessoal'!$AE$7:$AE$506&lt;=BA$3,1,0))*OFFSET('Gastos com Pessoal'!$H$6,1,MATCH(5&amp;$B49,'Gastos com Pessoal'!$I$532:$AJ$532&amp;'Gastos com Pessoal'!$I$6:$AJ$6,0),500,1)),0)+_xlfn.IFNA(SUM((BA$3&gt;='Gastos com Pessoal'!$E$513:$E$522)*(BA$3&lt;='Gastos com Pessoal'!$F$513:$F$522)*(IF('Gastos com Pessoal'!$G$513:$G$522&lt;=BA$3,1,0))*OFFSET('Gastos com Pessoal'!$H$512,1,MATCH(1&amp;$B49,'Gastos com Pessoal'!$I$532:$AJ$532&amp;'Gastos com Pessoal'!$I$512:$AJ$512,0),10,1)),0)+_xlfn.IFNA(SUM((BA$3&gt;='Gastos com Pessoal'!$E$513:$E$522)*(BA$3&lt;='Gastos com Pessoal'!$F$513:$F$522)*(IF('Gastos com Pessoal'!$M$513:$M$522&lt;=BA$3,1,0))*OFFSET('Gastos com Pessoal'!$H$512,1,MATCH(2&amp;$B49,'Gastos com Pessoal'!$I$532:$AJ$532&amp;'Gastos com Pessoal'!$I$512:$AJ$512,0),10,1)),0)+_xlfn.IFNA(SUM((BA$3&gt;='Gastos com Pessoal'!$E$513:$E$522)*(BA$3&lt;='Gastos com Pessoal'!$F$513:$F$522)*(IF('Gastos com Pessoal'!$S$513:$S$522&lt;=BA$3,1,0))*OFFSET('Gastos com Pessoal'!$H$512,1,MATCH(3&amp;$B49,'Gastos com Pessoal'!$I$532:$AJ$532&amp;'Gastos com Pessoal'!$I$512:$AJ$512,0),10,1)),0)+_xlfn.IFNA(SUM((BA$3&gt;='Gastos com Pessoal'!$E$513:$E$522)*(BA$3&lt;='Gastos com Pessoal'!$F$513:$F$522)*(IF('Gastos com Pessoal'!$Y$513:$Y$522&lt;=BA$3,1,0))*OFFSET('Gastos com Pessoal'!$H$512,1,MATCH(4&amp;$B49,'Gastos com Pessoal'!$I$532:$AJ$532&amp;'Gastos com Pessoal'!$I$512:$AJ$512,0),10,1)),0)+_xlfn.IFNA(SUM((BA$3&gt;='Gastos com Pessoal'!$E$513:$E$522)*(BA$3&lt;='Gastos com Pessoal'!$F$513:$F$522)*(IF('Gastos com Pessoal'!$AE$513:$AE$522&lt;=BA$3,1,0))*OFFSET('Gastos com Pessoal'!$H$512,1,MATCH(5&amp;$B49,'Gastos com Pessoal'!$I$532:$AJ$532&amp;'Gastos com Pessoal'!$I$512:$AJ$512,0),10,1)),0)</f>
        <v>0</v>
      </c>
      <c r="BB49" s="188">
        <f t="array" aca="1" ref="BB49" ca="1">_xlfn.IFNA(SUM((BB$3&gt;='Gastos com Pessoal'!$E$7:$E$506)*(BB$3&lt;='Gastos com Pessoal'!$F$7:$F$506)*OFFSET('Encargos e Benefícios'!$D$5,1,MATCH($B49,'Encargos e Benefícios'!$E$5:$AB$5,0),500,1)),0)+_xlfn.IFNA(SUM((BB$3&gt;='Gastos com Pessoal'!$E$513:$E$522)*(BB$3&lt;='Gastos com Pessoal'!$F$513:$F$522)*OFFSET('Encargos e Benefícios'!$D$511,1,MATCH($B49,'Encargos e Benefícios'!$E$511:$AB$511,0),10,1)),0)+_xlfn.IFNA(SUM((BB$3&gt;='Gastos com Pessoal'!$E$7:$E$506)*(BB$3&lt;='Gastos com Pessoal'!$F$7:$F$506)*(IF('Gastos com Pessoal'!$G$7:$G$506&lt;=BB$3,1,0))*OFFSET('Gastos com Pessoal'!$H$6,1,MATCH(1&amp;$B49,'Gastos com Pessoal'!$I$532:$AJ$532&amp;'Gastos com Pessoal'!$I$6:$AJ$6,0),500,1)),0)+_xlfn.IFNA(SUM((BB$3&gt;='Gastos com Pessoal'!$E$7:$E$506)*(BB$3&lt;='Gastos com Pessoal'!$F$7:$F$506)*(IF('Gastos com Pessoal'!$M$7:$M$506&lt;=BB$3,1,0))*OFFSET('Gastos com Pessoal'!$H$6,1,MATCH(2&amp;$B49,'Gastos com Pessoal'!$I$532:$AJ$532&amp;'Gastos com Pessoal'!$I$6:$AJ$6,0),500,1)),0)+_xlfn.IFNA(SUM((BB$3&gt;='Gastos com Pessoal'!$E$7:$E$506)*(BB$3&lt;='Gastos com Pessoal'!$F$7:$F$506)*(IF('Gastos com Pessoal'!$S$7:$S$506&lt;=BB$3,1,0))*OFFSET('Gastos com Pessoal'!$H$6,1,MATCH(3&amp;$B49,'Gastos com Pessoal'!$I$532:$AJ$532&amp;'Gastos com Pessoal'!$I$6:$AJ$6,0),500,1)),0)+_xlfn.IFNA(SUM((BB$3&gt;='Gastos com Pessoal'!$E$7:$E$506)*(BB$3&lt;='Gastos com Pessoal'!$F$7:$F$506)*(IF('Gastos com Pessoal'!$Y$7:$Y$506&lt;=BB$3,1,0))*OFFSET('Gastos com Pessoal'!$H$6,1,MATCH(4&amp;$B49,'Gastos com Pessoal'!$I$532:$AJ$532&amp;'Gastos com Pessoal'!$I$6:$AJ$6,0),500,1)),0)+_xlfn.IFNA(SUM((BB$3&gt;='Gastos com Pessoal'!$E$7:$E$506)*(BB$3&lt;='Gastos com Pessoal'!$F$7:$F$506)*(IF('Gastos com Pessoal'!$AE$7:$AE$506&lt;=BB$3,1,0))*OFFSET('Gastos com Pessoal'!$H$6,1,MATCH(5&amp;$B49,'Gastos com Pessoal'!$I$532:$AJ$532&amp;'Gastos com Pessoal'!$I$6:$AJ$6,0),500,1)),0)+_xlfn.IFNA(SUM((BB$3&gt;='Gastos com Pessoal'!$E$513:$E$522)*(BB$3&lt;='Gastos com Pessoal'!$F$513:$F$522)*(IF('Gastos com Pessoal'!$G$513:$G$522&lt;=BB$3,1,0))*OFFSET('Gastos com Pessoal'!$H$512,1,MATCH(1&amp;$B49,'Gastos com Pessoal'!$I$532:$AJ$532&amp;'Gastos com Pessoal'!$I$512:$AJ$512,0),10,1)),0)+_xlfn.IFNA(SUM((BB$3&gt;='Gastos com Pessoal'!$E$513:$E$522)*(BB$3&lt;='Gastos com Pessoal'!$F$513:$F$522)*(IF('Gastos com Pessoal'!$M$513:$M$522&lt;=BB$3,1,0))*OFFSET('Gastos com Pessoal'!$H$512,1,MATCH(2&amp;$B49,'Gastos com Pessoal'!$I$532:$AJ$532&amp;'Gastos com Pessoal'!$I$512:$AJ$512,0),10,1)),0)+_xlfn.IFNA(SUM((BB$3&gt;='Gastos com Pessoal'!$E$513:$E$522)*(BB$3&lt;='Gastos com Pessoal'!$F$513:$F$522)*(IF('Gastos com Pessoal'!$S$513:$S$522&lt;=BB$3,1,0))*OFFSET('Gastos com Pessoal'!$H$512,1,MATCH(3&amp;$B49,'Gastos com Pessoal'!$I$532:$AJ$532&amp;'Gastos com Pessoal'!$I$512:$AJ$512,0),10,1)),0)+_xlfn.IFNA(SUM((BB$3&gt;='Gastos com Pessoal'!$E$513:$E$522)*(BB$3&lt;='Gastos com Pessoal'!$F$513:$F$522)*(IF('Gastos com Pessoal'!$Y$513:$Y$522&lt;=BB$3,1,0))*OFFSET('Gastos com Pessoal'!$H$512,1,MATCH(4&amp;$B49,'Gastos com Pessoal'!$I$532:$AJ$532&amp;'Gastos com Pessoal'!$I$512:$AJ$512,0),10,1)),0)+_xlfn.IFNA(SUM((BB$3&gt;='Gastos com Pessoal'!$E$513:$E$522)*(BB$3&lt;='Gastos com Pessoal'!$F$513:$F$522)*(IF('Gastos com Pessoal'!$AE$513:$AE$522&lt;=BB$3,1,0))*OFFSET('Gastos com Pessoal'!$H$512,1,MATCH(5&amp;$B49,'Gastos com Pessoal'!$I$532:$AJ$532&amp;'Gastos com Pessoal'!$I$512:$AJ$512,0),10,1)),0)</f>
        <v>0</v>
      </c>
      <c r="BC49" s="188">
        <f t="array" aca="1" ref="BC49" ca="1">_xlfn.IFNA(SUM((BC$3&gt;='Gastos com Pessoal'!$E$7:$E$506)*(BC$3&lt;='Gastos com Pessoal'!$F$7:$F$506)*OFFSET('Encargos e Benefícios'!$D$5,1,MATCH($B49,'Encargos e Benefícios'!$E$5:$AB$5,0),500,1)),0)+_xlfn.IFNA(SUM((BC$3&gt;='Gastos com Pessoal'!$E$513:$E$522)*(BC$3&lt;='Gastos com Pessoal'!$F$513:$F$522)*OFFSET('Encargos e Benefícios'!$D$511,1,MATCH($B49,'Encargos e Benefícios'!$E$511:$AB$511,0),10,1)),0)+_xlfn.IFNA(SUM((BC$3&gt;='Gastos com Pessoal'!$E$7:$E$506)*(BC$3&lt;='Gastos com Pessoal'!$F$7:$F$506)*(IF('Gastos com Pessoal'!$G$7:$G$506&lt;=BC$3,1,0))*OFFSET('Gastos com Pessoal'!$H$6,1,MATCH(1&amp;$B49,'Gastos com Pessoal'!$I$532:$AJ$532&amp;'Gastos com Pessoal'!$I$6:$AJ$6,0),500,1)),0)+_xlfn.IFNA(SUM((BC$3&gt;='Gastos com Pessoal'!$E$7:$E$506)*(BC$3&lt;='Gastos com Pessoal'!$F$7:$F$506)*(IF('Gastos com Pessoal'!$M$7:$M$506&lt;=BC$3,1,0))*OFFSET('Gastos com Pessoal'!$H$6,1,MATCH(2&amp;$B49,'Gastos com Pessoal'!$I$532:$AJ$532&amp;'Gastos com Pessoal'!$I$6:$AJ$6,0),500,1)),0)+_xlfn.IFNA(SUM((BC$3&gt;='Gastos com Pessoal'!$E$7:$E$506)*(BC$3&lt;='Gastos com Pessoal'!$F$7:$F$506)*(IF('Gastos com Pessoal'!$S$7:$S$506&lt;=BC$3,1,0))*OFFSET('Gastos com Pessoal'!$H$6,1,MATCH(3&amp;$B49,'Gastos com Pessoal'!$I$532:$AJ$532&amp;'Gastos com Pessoal'!$I$6:$AJ$6,0),500,1)),0)+_xlfn.IFNA(SUM((BC$3&gt;='Gastos com Pessoal'!$E$7:$E$506)*(BC$3&lt;='Gastos com Pessoal'!$F$7:$F$506)*(IF('Gastos com Pessoal'!$Y$7:$Y$506&lt;=BC$3,1,0))*OFFSET('Gastos com Pessoal'!$H$6,1,MATCH(4&amp;$B49,'Gastos com Pessoal'!$I$532:$AJ$532&amp;'Gastos com Pessoal'!$I$6:$AJ$6,0),500,1)),0)+_xlfn.IFNA(SUM((BC$3&gt;='Gastos com Pessoal'!$E$7:$E$506)*(BC$3&lt;='Gastos com Pessoal'!$F$7:$F$506)*(IF('Gastos com Pessoal'!$AE$7:$AE$506&lt;=BC$3,1,0))*OFFSET('Gastos com Pessoal'!$H$6,1,MATCH(5&amp;$B49,'Gastos com Pessoal'!$I$532:$AJ$532&amp;'Gastos com Pessoal'!$I$6:$AJ$6,0),500,1)),0)+_xlfn.IFNA(SUM((BC$3&gt;='Gastos com Pessoal'!$E$513:$E$522)*(BC$3&lt;='Gastos com Pessoal'!$F$513:$F$522)*(IF('Gastos com Pessoal'!$G$513:$G$522&lt;=BC$3,1,0))*OFFSET('Gastos com Pessoal'!$H$512,1,MATCH(1&amp;$B49,'Gastos com Pessoal'!$I$532:$AJ$532&amp;'Gastos com Pessoal'!$I$512:$AJ$512,0),10,1)),0)+_xlfn.IFNA(SUM((BC$3&gt;='Gastos com Pessoal'!$E$513:$E$522)*(BC$3&lt;='Gastos com Pessoal'!$F$513:$F$522)*(IF('Gastos com Pessoal'!$M$513:$M$522&lt;=BC$3,1,0))*OFFSET('Gastos com Pessoal'!$H$512,1,MATCH(2&amp;$B49,'Gastos com Pessoal'!$I$532:$AJ$532&amp;'Gastos com Pessoal'!$I$512:$AJ$512,0),10,1)),0)+_xlfn.IFNA(SUM((BC$3&gt;='Gastos com Pessoal'!$E$513:$E$522)*(BC$3&lt;='Gastos com Pessoal'!$F$513:$F$522)*(IF('Gastos com Pessoal'!$S$513:$S$522&lt;=BC$3,1,0))*OFFSET('Gastos com Pessoal'!$H$512,1,MATCH(3&amp;$B49,'Gastos com Pessoal'!$I$532:$AJ$532&amp;'Gastos com Pessoal'!$I$512:$AJ$512,0),10,1)),0)+_xlfn.IFNA(SUM((BC$3&gt;='Gastos com Pessoal'!$E$513:$E$522)*(BC$3&lt;='Gastos com Pessoal'!$F$513:$F$522)*(IF('Gastos com Pessoal'!$Y$513:$Y$522&lt;=BC$3,1,0))*OFFSET('Gastos com Pessoal'!$H$512,1,MATCH(4&amp;$B49,'Gastos com Pessoal'!$I$532:$AJ$532&amp;'Gastos com Pessoal'!$I$512:$AJ$512,0),10,1)),0)+_xlfn.IFNA(SUM((BC$3&gt;='Gastos com Pessoal'!$E$513:$E$522)*(BC$3&lt;='Gastos com Pessoal'!$F$513:$F$522)*(IF('Gastos com Pessoal'!$AE$513:$AE$522&lt;=BC$3,1,0))*OFFSET('Gastos com Pessoal'!$H$512,1,MATCH(5&amp;$B49,'Gastos com Pessoal'!$I$532:$AJ$532&amp;'Gastos com Pessoal'!$I$512:$AJ$512,0),10,1)),0)</f>
        <v>0</v>
      </c>
      <c r="BD49" s="188">
        <f t="array" aca="1" ref="BD49" ca="1">_xlfn.IFNA(SUM((BD$3&gt;='Gastos com Pessoal'!$E$7:$E$506)*(BD$3&lt;='Gastos com Pessoal'!$F$7:$F$506)*OFFSET('Encargos e Benefícios'!$D$5,1,MATCH($B49,'Encargos e Benefícios'!$E$5:$AB$5,0),500,1)),0)+_xlfn.IFNA(SUM((BD$3&gt;='Gastos com Pessoal'!$E$513:$E$522)*(BD$3&lt;='Gastos com Pessoal'!$F$513:$F$522)*OFFSET('Encargos e Benefícios'!$D$511,1,MATCH($B49,'Encargos e Benefícios'!$E$511:$AB$511,0),10,1)),0)+_xlfn.IFNA(SUM((BD$3&gt;='Gastos com Pessoal'!$E$7:$E$506)*(BD$3&lt;='Gastos com Pessoal'!$F$7:$F$506)*(IF('Gastos com Pessoal'!$G$7:$G$506&lt;=BD$3,1,0))*OFFSET('Gastos com Pessoal'!$H$6,1,MATCH(1&amp;$B49,'Gastos com Pessoal'!$I$532:$AJ$532&amp;'Gastos com Pessoal'!$I$6:$AJ$6,0),500,1)),0)+_xlfn.IFNA(SUM((BD$3&gt;='Gastos com Pessoal'!$E$7:$E$506)*(BD$3&lt;='Gastos com Pessoal'!$F$7:$F$506)*(IF('Gastos com Pessoal'!$M$7:$M$506&lt;=BD$3,1,0))*OFFSET('Gastos com Pessoal'!$H$6,1,MATCH(2&amp;$B49,'Gastos com Pessoal'!$I$532:$AJ$532&amp;'Gastos com Pessoal'!$I$6:$AJ$6,0),500,1)),0)+_xlfn.IFNA(SUM((BD$3&gt;='Gastos com Pessoal'!$E$7:$E$506)*(BD$3&lt;='Gastos com Pessoal'!$F$7:$F$506)*(IF('Gastos com Pessoal'!$S$7:$S$506&lt;=BD$3,1,0))*OFFSET('Gastos com Pessoal'!$H$6,1,MATCH(3&amp;$B49,'Gastos com Pessoal'!$I$532:$AJ$532&amp;'Gastos com Pessoal'!$I$6:$AJ$6,0),500,1)),0)+_xlfn.IFNA(SUM((BD$3&gt;='Gastos com Pessoal'!$E$7:$E$506)*(BD$3&lt;='Gastos com Pessoal'!$F$7:$F$506)*(IF('Gastos com Pessoal'!$Y$7:$Y$506&lt;=BD$3,1,0))*OFFSET('Gastos com Pessoal'!$H$6,1,MATCH(4&amp;$B49,'Gastos com Pessoal'!$I$532:$AJ$532&amp;'Gastos com Pessoal'!$I$6:$AJ$6,0),500,1)),0)+_xlfn.IFNA(SUM((BD$3&gt;='Gastos com Pessoal'!$E$7:$E$506)*(BD$3&lt;='Gastos com Pessoal'!$F$7:$F$506)*(IF('Gastos com Pessoal'!$AE$7:$AE$506&lt;=BD$3,1,0))*OFFSET('Gastos com Pessoal'!$H$6,1,MATCH(5&amp;$B49,'Gastos com Pessoal'!$I$532:$AJ$532&amp;'Gastos com Pessoal'!$I$6:$AJ$6,0),500,1)),0)+_xlfn.IFNA(SUM((BD$3&gt;='Gastos com Pessoal'!$E$513:$E$522)*(BD$3&lt;='Gastos com Pessoal'!$F$513:$F$522)*(IF('Gastos com Pessoal'!$G$513:$G$522&lt;=BD$3,1,0))*OFFSET('Gastos com Pessoal'!$H$512,1,MATCH(1&amp;$B49,'Gastos com Pessoal'!$I$532:$AJ$532&amp;'Gastos com Pessoal'!$I$512:$AJ$512,0),10,1)),0)+_xlfn.IFNA(SUM((BD$3&gt;='Gastos com Pessoal'!$E$513:$E$522)*(BD$3&lt;='Gastos com Pessoal'!$F$513:$F$522)*(IF('Gastos com Pessoal'!$M$513:$M$522&lt;=BD$3,1,0))*OFFSET('Gastos com Pessoal'!$H$512,1,MATCH(2&amp;$B49,'Gastos com Pessoal'!$I$532:$AJ$532&amp;'Gastos com Pessoal'!$I$512:$AJ$512,0),10,1)),0)+_xlfn.IFNA(SUM((BD$3&gt;='Gastos com Pessoal'!$E$513:$E$522)*(BD$3&lt;='Gastos com Pessoal'!$F$513:$F$522)*(IF('Gastos com Pessoal'!$S$513:$S$522&lt;=BD$3,1,0))*OFFSET('Gastos com Pessoal'!$H$512,1,MATCH(3&amp;$B49,'Gastos com Pessoal'!$I$532:$AJ$532&amp;'Gastos com Pessoal'!$I$512:$AJ$512,0),10,1)),0)+_xlfn.IFNA(SUM((BD$3&gt;='Gastos com Pessoal'!$E$513:$E$522)*(BD$3&lt;='Gastos com Pessoal'!$F$513:$F$522)*(IF('Gastos com Pessoal'!$Y$513:$Y$522&lt;=BD$3,1,0))*OFFSET('Gastos com Pessoal'!$H$512,1,MATCH(4&amp;$B49,'Gastos com Pessoal'!$I$532:$AJ$532&amp;'Gastos com Pessoal'!$I$512:$AJ$512,0),10,1)),0)+_xlfn.IFNA(SUM((BD$3&gt;='Gastos com Pessoal'!$E$513:$E$522)*(BD$3&lt;='Gastos com Pessoal'!$F$513:$F$522)*(IF('Gastos com Pessoal'!$AE$513:$AE$522&lt;=BD$3,1,0))*OFFSET('Gastos com Pessoal'!$H$512,1,MATCH(5&amp;$B49,'Gastos com Pessoal'!$I$532:$AJ$532&amp;'Gastos com Pessoal'!$I$512:$AJ$512,0),10,1)),0)</f>
        <v>0</v>
      </c>
      <c r="BE49" s="188">
        <f t="array" aca="1" ref="BE49" ca="1">_xlfn.IFNA(SUM((BE$3&gt;='Gastos com Pessoal'!$E$7:$E$506)*(BE$3&lt;='Gastos com Pessoal'!$F$7:$F$506)*OFFSET('Encargos e Benefícios'!$D$5,1,MATCH($B49,'Encargos e Benefícios'!$E$5:$AB$5,0),500,1)),0)+_xlfn.IFNA(SUM((BE$3&gt;='Gastos com Pessoal'!$E$513:$E$522)*(BE$3&lt;='Gastos com Pessoal'!$F$513:$F$522)*OFFSET('Encargos e Benefícios'!$D$511,1,MATCH($B49,'Encargos e Benefícios'!$E$511:$AB$511,0),10,1)),0)+_xlfn.IFNA(SUM((BE$3&gt;='Gastos com Pessoal'!$E$7:$E$506)*(BE$3&lt;='Gastos com Pessoal'!$F$7:$F$506)*(IF('Gastos com Pessoal'!$G$7:$G$506&lt;=BE$3,1,0))*OFFSET('Gastos com Pessoal'!$H$6,1,MATCH(1&amp;$B49,'Gastos com Pessoal'!$I$532:$AJ$532&amp;'Gastos com Pessoal'!$I$6:$AJ$6,0),500,1)),0)+_xlfn.IFNA(SUM((BE$3&gt;='Gastos com Pessoal'!$E$7:$E$506)*(BE$3&lt;='Gastos com Pessoal'!$F$7:$F$506)*(IF('Gastos com Pessoal'!$M$7:$M$506&lt;=BE$3,1,0))*OFFSET('Gastos com Pessoal'!$H$6,1,MATCH(2&amp;$B49,'Gastos com Pessoal'!$I$532:$AJ$532&amp;'Gastos com Pessoal'!$I$6:$AJ$6,0),500,1)),0)+_xlfn.IFNA(SUM((BE$3&gt;='Gastos com Pessoal'!$E$7:$E$506)*(BE$3&lt;='Gastos com Pessoal'!$F$7:$F$506)*(IF('Gastos com Pessoal'!$S$7:$S$506&lt;=BE$3,1,0))*OFFSET('Gastos com Pessoal'!$H$6,1,MATCH(3&amp;$B49,'Gastos com Pessoal'!$I$532:$AJ$532&amp;'Gastos com Pessoal'!$I$6:$AJ$6,0),500,1)),0)+_xlfn.IFNA(SUM((BE$3&gt;='Gastos com Pessoal'!$E$7:$E$506)*(BE$3&lt;='Gastos com Pessoal'!$F$7:$F$506)*(IF('Gastos com Pessoal'!$Y$7:$Y$506&lt;=BE$3,1,0))*OFFSET('Gastos com Pessoal'!$H$6,1,MATCH(4&amp;$B49,'Gastos com Pessoal'!$I$532:$AJ$532&amp;'Gastos com Pessoal'!$I$6:$AJ$6,0),500,1)),0)+_xlfn.IFNA(SUM((BE$3&gt;='Gastos com Pessoal'!$E$7:$E$506)*(BE$3&lt;='Gastos com Pessoal'!$F$7:$F$506)*(IF('Gastos com Pessoal'!$AE$7:$AE$506&lt;=BE$3,1,0))*OFFSET('Gastos com Pessoal'!$H$6,1,MATCH(5&amp;$B49,'Gastos com Pessoal'!$I$532:$AJ$532&amp;'Gastos com Pessoal'!$I$6:$AJ$6,0),500,1)),0)+_xlfn.IFNA(SUM((BE$3&gt;='Gastos com Pessoal'!$E$513:$E$522)*(BE$3&lt;='Gastos com Pessoal'!$F$513:$F$522)*(IF('Gastos com Pessoal'!$G$513:$G$522&lt;=BE$3,1,0))*OFFSET('Gastos com Pessoal'!$H$512,1,MATCH(1&amp;$B49,'Gastos com Pessoal'!$I$532:$AJ$532&amp;'Gastos com Pessoal'!$I$512:$AJ$512,0),10,1)),0)+_xlfn.IFNA(SUM((BE$3&gt;='Gastos com Pessoal'!$E$513:$E$522)*(BE$3&lt;='Gastos com Pessoal'!$F$513:$F$522)*(IF('Gastos com Pessoal'!$M$513:$M$522&lt;=BE$3,1,0))*OFFSET('Gastos com Pessoal'!$H$512,1,MATCH(2&amp;$B49,'Gastos com Pessoal'!$I$532:$AJ$532&amp;'Gastos com Pessoal'!$I$512:$AJ$512,0),10,1)),0)+_xlfn.IFNA(SUM((BE$3&gt;='Gastos com Pessoal'!$E$513:$E$522)*(BE$3&lt;='Gastos com Pessoal'!$F$513:$F$522)*(IF('Gastos com Pessoal'!$S$513:$S$522&lt;=BE$3,1,0))*OFFSET('Gastos com Pessoal'!$H$512,1,MATCH(3&amp;$B49,'Gastos com Pessoal'!$I$532:$AJ$532&amp;'Gastos com Pessoal'!$I$512:$AJ$512,0),10,1)),0)+_xlfn.IFNA(SUM((BE$3&gt;='Gastos com Pessoal'!$E$513:$E$522)*(BE$3&lt;='Gastos com Pessoal'!$F$513:$F$522)*(IF('Gastos com Pessoal'!$Y$513:$Y$522&lt;=BE$3,1,0))*OFFSET('Gastos com Pessoal'!$H$512,1,MATCH(4&amp;$B49,'Gastos com Pessoal'!$I$532:$AJ$532&amp;'Gastos com Pessoal'!$I$512:$AJ$512,0),10,1)),0)+_xlfn.IFNA(SUM((BE$3&gt;='Gastos com Pessoal'!$E$513:$E$522)*(BE$3&lt;='Gastos com Pessoal'!$F$513:$F$522)*(IF('Gastos com Pessoal'!$AE$513:$AE$522&lt;=BE$3,1,0))*OFFSET('Gastos com Pessoal'!$H$512,1,MATCH(5&amp;$B49,'Gastos com Pessoal'!$I$532:$AJ$532&amp;'Gastos com Pessoal'!$I$512:$AJ$512,0),10,1)),0)</f>
        <v>0</v>
      </c>
      <c r="BF49" s="188">
        <f t="array" aca="1" ref="BF49" ca="1">_xlfn.IFNA(SUM((BF$3&gt;='Gastos com Pessoal'!$E$7:$E$506)*(BF$3&lt;='Gastos com Pessoal'!$F$7:$F$506)*OFFSET('Encargos e Benefícios'!$D$5,1,MATCH($B49,'Encargos e Benefícios'!$E$5:$AB$5,0),500,1)),0)+_xlfn.IFNA(SUM((BF$3&gt;='Gastos com Pessoal'!$E$513:$E$522)*(BF$3&lt;='Gastos com Pessoal'!$F$513:$F$522)*OFFSET('Encargos e Benefícios'!$D$511,1,MATCH($B49,'Encargos e Benefícios'!$E$511:$AB$511,0),10,1)),0)+_xlfn.IFNA(SUM((BF$3&gt;='Gastos com Pessoal'!$E$7:$E$506)*(BF$3&lt;='Gastos com Pessoal'!$F$7:$F$506)*(IF('Gastos com Pessoal'!$G$7:$G$506&lt;=BF$3,1,0))*OFFSET('Gastos com Pessoal'!$H$6,1,MATCH(1&amp;$B49,'Gastos com Pessoal'!$I$532:$AJ$532&amp;'Gastos com Pessoal'!$I$6:$AJ$6,0),500,1)),0)+_xlfn.IFNA(SUM((BF$3&gt;='Gastos com Pessoal'!$E$7:$E$506)*(BF$3&lt;='Gastos com Pessoal'!$F$7:$F$506)*(IF('Gastos com Pessoal'!$M$7:$M$506&lt;=BF$3,1,0))*OFFSET('Gastos com Pessoal'!$H$6,1,MATCH(2&amp;$B49,'Gastos com Pessoal'!$I$532:$AJ$532&amp;'Gastos com Pessoal'!$I$6:$AJ$6,0),500,1)),0)+_xlfn.IFNA(SUM((BF$3&gt;='Gastos com Pessoal'!$E$7:$E$506)*(BF$3&lt;='Gastos com Pessoal'!$F$7:$F$506)*(IF('Gastos com Pessoal'!$S$7:$S$506&lt;=BF$3,1,0))*OFFSET('Gastos com Pessoal'!$H$6,1,MATCH(3&amp;$B49,'Gastos com Pessoal'!$I$532:$AJ$532&amp;'Gastos com Pessoal'!$I$6:$AJ$6,0),500,1)),0)+_xlfn.IFNA(SUM((BF$3&gt;='Gastos com Pessoal'!$E$7:$E$506)*(BF$3&lt;='Gastos com Pessoal'!$F$7:$F$506)*(IF('Gastos com Pessoal'!$Y$7:$Y$506&lt;=BF$3,1,0))*OFFSET('Gastos com Pessoal'!$H$6,1,MATCH(4&amp;$B49,'Gastos com Pessoal'!$I$532:$AJ$532&amp;'Gastos com Pessoal'!$I$6:$AJ$6,0),500,1)),0)+_xlfn.IFNA(SUM((BF$3&gt;='Gastos com Pessoal'!$E$7:$E$506)*(BF$3&lt;='Gastos com Pessoal'!$F$7:$F$506)*(IF('Gastos com Pessoal'!$AE$7:$AE$506&lt;=BF$3,1,0))*OFFSET('Gastos com Pessoal'!$H$6,1,MATCH(5&amp;$B49,'Gastos com Pessoal'!$I$532:$AJ$532&amp;'Gastos com Pessoal'!$I$6:$AJ$6,0),500,1)),0)+_xlfn.IFNA(SUM((BF$3&gt;='Gastos com Pessoal'!$E$513:$E$522)*(BF$3&lt;='Gastos com Pessoal'!$F$513:$F$522)*(IF('Gastos com Pessoal'!$G$513:$G$522&lt;=BF$3,1,0))*OFFSET('Gastos com Pessoal'!$H$512,1,MATCH(1&amp;$B49,'Gastos com Pessoal'!$I$532:$AJ$532&amp;'Gastos com Pessoal'!$I$512:$AJ$512,0),10,1)),0)+_xlfn.IFNA(SUM((BF$3&gt;='Gastos com Pessoal'!$E$513:$E$522)*(BF$3&lt;='Gastos com Pessoal'!$F$513:$F$522)*(IF('Gastos com Pessoal'!$M$513:$M$522&lt;=BF$3,1,0))*OFFSET('Gastos com Pessoal'!$H$512,1,MATCH(2&amp;$B49,'Gastos com Pessoal'!$I$532:$AJ$532&amp;'Gastos com Pessoal'!$I$512:$AJ$512,0),10,1)),0)+_xlfn.IFNA(SUM((BF$3&gt;='Gastos com Pessoal'!$E$513:$E$522)*(BF$3&lt;='Gastos com Pessoal'!$F$513:$F$522)*(IF('Gastos com Pessoal'!$S$513:$S$522&lt;=BF$3,1,0))*OFFSET('Gastos com Pessoal'!$H$512,1,MATCH(3&amp;$B49,'Gastos com Pessoal'!$I$532:$AJ$532&amp;'Gastos com Pessoal'!$I$512:$AJ$512,0),10,1)),0)+_xlfn.IFNA(SUM((BF$3&gt;='Gastos com Pessoal'!$E$513:$E$522)*(BF$3&lt;='Gastos com Pessoal'!$F$513:$F$522)*(IF('Gastos com Pessoal'!$Y$513:$Y$522&lt;=BF$3,1,0))*OFFSET('Gastos com Pessoal'!$H$512,1,MATCH(4&amp;$B49,'Gastos com Pessoal'!$I$532:$AJ$532&amp;'Gastos com Pessoal'!$I$512:$AJ$512,0),10,1)),0)+_xlfn.IFNA(SUM((BF$3&gt;='Gastos com Pessoal'!$E$513:$E$522)*(BF$3&lt;='Gastos com Pessoal'!$F$513:$F$522)*(IF('Gastos com Pessoal'!$AE$513:$AE$522&lt;=BF$3,1,0))*OFFSET('Gastos com Pessoal'!$H$512,1,MATCH(5&amp;$B49,'Gastos com Pessoal'!$I$532:$AJ$532&amp;'Gastos com Pessoal'!$I$512:$AJ$512,0),10,1)),0)</f>
        <v>0</v>
      </c>
      <c r="BG49" s="188">
        <f t="array" aca="1" ref="BG49" ca="1">_xlfn.IFNA(SUM((BG$3&gt;='Gastos com Pessoal'!$E$7:$E$506)*(BG$3&lt;='Gastos com Pessoal'!$F$7:$F$506)*OFFSET('Encargos e Benefícios'!$D$5,1,MATCH($B49,'Encargos e Benefícios'!$E$5:$AB$5,0),500,1)),0)+_xlfn.IFNA(SUM((BG$3&gt;='Gastos com Pessoal'!$E$513:$E$522)*(BG$3&lt;='Gastos com Pessoal'!$F$513:$F$522)*OFFSET('Encargos e Benefícios'!$D$511,1,MATCH($B49,'Encargos e Benefícios'!$E$511:$AB$511,0),10,1)),0)+_xlfn.IFNA(SUM((BG$3&gt;='Gastos com Pessoal'!$E$7:$E$506)*(BG$3&lt;='Gastos com Pessoal'!$F$7:$F$506)*(IF('Gastos com Pessoal'!$G$7:$G$506&lt;=BG$3,1,0))*OFFSET('Gastos com Pessoal'!$H$6,1,MATCH(1&amp;$B49,'Gastos com Pessoal'!$I$532:$AJ$532&amp;'Gastos com Pessoal'!$I$6:$AJ$6,0),500,1)),0)+_xlfn.IFNA(SUM((BG$3&gt;='Gastos com Pessoal'!$E$7:$E$506)*(BG$3&lt;='Gastos com Pessoal'!$F$7:$F$506)*(IF('Gastos com Pessoal'!$M$7:$M$506&lt;=BG$3,1,0))*OFFSET('Gastos com Pessoal'!$H$6,1,MATCH(2&amp;$B49,'Gastos com Pessoal'!$I$532:$AJ$532&amp;'Gastos com Pessoal'!$I$6:$AJ$6,0),500,1)),0)+_xlfn.IFNA(SUM((BG$3&gt;='Gastos com Pessoal'!$E$7:$E$506)*(BG$3&lt;='Gastos com Pessoal'!$F$7:$F$506)*(IF('Gastos com Pessoal'!$S$7:$S$506&lt;=BG$3,1,0))*OFFSET('Gastos com Pessoal'!$H$6,1,MATCH(3&amp;$B49,'Gastos com Pessoal'!$I$532:$AJ$532&amp;'Gastos com Pessoal'!$I$6:$AJ$6,0),500,1)),0)+_xlfn.IFNA(SUM((BG$3&gt;='Gastos com Pessoal'!$E$7:$E$506)*(BG$3&lt;='Gastos com Pessoal'!$F$7:$F$506)*(IF('Gastos com Pessoal'!$Y$7:$Y$506&lt;=BG$3,1,0))*OFFSET('Gastos com Pessoal'!$H$6,1,MATCH(4&amp;$B49,'Gastos com Pessoal'!$I$532:$AJ$532&amp;'Gastos com Pessoal'!$I$6:$AJ$6,0),500,1)),0)+_xlfn.IFNA(SUM((BG$3&gt;='Gastos com Pessoal'!$E$7:$E$506)*(BG$3&lt;='Gastos com Pessoal'!$F$7:$F$506)*(IF('Gastos com Pessoal'!$AE$7:$AE$506&lt;=BG$3,1,0))*OFFSET('Gastos com Pessoal'!$H$6,1,MATCH(5&amp;$B49,'Gastos com Pessoal'!$I$532:$AJ$532&amp;'Gastos com Pessoal'!$I$6:$AJ$6,0),500,1)),0)+_xlfn.IFNA(SUM((BG$3&gt;='Gastos com Pessoal'!$E$513:$E$522)*(BG$3&lt;='Gastos com Pessoal'!$F$513:$F$522)*(IF('Gastos com Pessoal'!$G$513:$G$522&lt;=BG$3,1,0))*OFFSET('Gastos com Pessoal'!$H$512,1,MATCH(1&amp;$B49,'Gastos com Pessoal'!$I$532:$AJ$532&amp;'Gastos com Pessoal'!$I$512:$AJ$512,0),10,1)),0)+_xlfn.IFNA(SUM((BG$3&gt;='Gastos com Pessoal'!$E$513:$E$522)*(BG$3&lt;='Gastos com Pessoal'!$F$513:$F$522)*(IF('Gastos com Pessoal'!$M$513:$M$522&lt;=BG$3,1,0))*OFFSET('Gastos com Pessoal'!$H$512,1,MATCH(2&amp;$B49,'Gastos com Pessoal'!$I$532:$AJ$532&amp;'Gastos com Pessoal'!$I$512:$AJ$512,0),10,1)),0)+_xlfn.IFNA(SUM((BG$3&gt;='Gastos com Pessoal'!$E$513:$E$522)*(BG$3&lt;='Gastos com Pessoal'!$F$513:$F$522)*(IF('Gastos com Pessoal'!$S$513:$S$522&lt;=BG$3,1,0))*OFFSET('Gastos com Pessoal'!$H$512,1,MATCH(3&amp;$B49,'Gastos com Pessoal'!$I$532:$AJ$532&amp;'Gastos com Pessoal'!$I$512:$AJ$512,0),10,1)),0)+_xlfn.IFNA(SUM((BG$3&gt;='Gastos com Pessoal'!$E$513:$E$522)*(BG$3&lt;='Gastos com Pessoal'!$F$513:$F$522)*(IF('Gastos com Pessoal'!$Y$513:$Y$522&lt;=BG$3,1,0))*OFFSET('Gastos com Pessoal'!$H$512,1,MATCH(4&amp;$B49,'Gastos com Pessoal'!$I$532:$AJ$532&amp;'Gastos com Pessoal'!$I$512:$AJ$512,0),10,1)),0)+_xlfn.IFNA(SUM((BG$3&gt;='Gastos com Pessoal'!$E$513:$E$522)*(BG$3&lt;='Gastos com Pessoal'!$F$513:$F$522)*(IF('Gastos com Pessoal'!$AE$513:$AE$522&lt;=BG$3,1,0))*OFFSET('Gastos com Pessoal'!$H$512,1,MATCH(5&amp;$B49,'Gastos com Pessoal'!$I$532:$AJ$532&amp;'Gastos com Pessoal'!$I$512:$AJ$512,0),10,1)),0)</f>
        <v>0</v>
      </c>
      <c r="BH49" s="188">
        <f t="array" aca="1" ref="BH49" ca="1">_xlfn.IFNA(SUM((BH$3&gt;='Gastos com Pessoal'!$E$7:$E$506)*(BH$3&lt;='Gastos com Pessoal'!$F$7:$F$506)*OFFSET('Encargos e Benefícios'!$D$5,1,MATCH($B49,'Encargos e Benefícios'!$E$5:$AB$5,0),500,1)),0)+_xlfn.IFNA(SUM((BH$3&gt;='Gastos com Pessoal'!$E$513:$E$522)*(BH$3&lt;='Gastos com Pessoal'!$F$513:$F$522)*OFFSET('Encargos e Benefícios'!$D$511,1,MATCH($B49,'Encargos e Benefícios'!$E$511:$AB$511,0),10,1)),0)+_xlfn.IFNA(SUM((BH$3&gt;='Gastos com Pessoal'!$E$7:$E$506)*(BH$3&lt;='Gastos com Pessoal'!$F$7:$F$506)*(IF('Gastos com Pessoal'!$G$7:$G$506&lt;=BH$3,1,0))*OFFSET('Gastos com Pessoal'!$H$6,1,MATCH(1&amp;$B49,'Gastos com Pessoal'!$I$532:$AJ$532&amp;'Gastos com Pessoal'!$I$6:$AJ$6,0),500,1)),0)+_xlfn.IFNA(SUM((BH$3&gt;='Gastos com Pessoal'!$E$7:$E$506)*(BH$3&lt;='Gastos com Pessoal'!$F$7:$F$506)*(IF('Gastos com Pessoal'!$M$7:$M$506&lt;=BH$3,1,0))*OFFSET('Gastos com Pessoal'!$H$6,1,MATCH(2&amp;$B49,'Gastos com Pessoal'!$I$532:$AJ$532&amp;'Gastos com Pessoal'!$I$6:$AJ$6,0),500,1)),0)+_xlfn.IFNA(SUM((BH$3&gt;='Gastos com Pessoal'!$E$7:$E$506)*(BH$3&lt;='Gastos com Pessoal'!$F$7:$F$506)*(IF('Gastos com Pessoal'!$S$7:$S$506&lt;=BH$3,1,0))*OFFSET('Gastos com Pessoal'!$H$6,1,MATCH(3&amp;$B49,'Gastos com Pessoal'!$I$532:$AJ$532&amp;'Gastos com Pessoal'!$I$6:$AJ$6,0),500,1)),0)+_xlfn.IFNA(SUM((BH$3&gt;='Gastos com Pessoal'!$E$7:$E$506)*(BH$3&lt;='Gastos com Pessoal'!$F$7:$F$506)*(IF('Gastos com Pessoal'!$Y$7:$Y$506&lt;=BH$3,1,0))*OFFSET('Gastos com Pessoal'!$H$6,1,MATCH(4&amp;$B49,'Gastos com Pessoal'!$I$532:$AJ$532&amp;'Gastos com Pessoal'!$I$6:$AJ$6,0),500,1)),0)+_xlfn.IFNA(SUM((BH$3&gt;='Gastos com Pessoal'!$E$7:$E$506)*(BH$3&lt;='Gastos com Pessoal'!$F$7:$F$506)*(IF('Gastos com Pessoal'!$AE$7:$AE$506&lt;=BH$3,1,0))*OFFSET('Gastos com Pessoal'!$H$6,1,MATCH(5&amp;$B49,'Gastos com Pessoal'!$I$532:$AJ$532&amp;'Gastos com Pessoal'!$I$6:$AJ$6,0),500,1)),0)+_xlfn.IFNA(SUM((BH$3&gt;='Gastos com Pessoal'!$E$513:$E$522)*(BH$3&lt;='Gastos com Pessoal'!$F$513:$F$522)*(IF('Gastos com Pessoal'!$G$513:$G$522&lt;=BH$3,1,0))*OFFSET('Gastos com Pessoal'!$H$512,1,MATCH(1&amp;$B49,'Gastos com Pessoal'!$I$532:$AJ$532&amp;'Gastos com Pessoal'!$I$512:$AJ$512,0),10,1)),0)+_xlfn.IFNA(SUM((BH$3&gt;='Gastos com Pessoal'!$E$513:$E$522)*(BH$3&lt;='Gastos com Pessoal'!$F$513:$F$522)*(IF('Gastos com Pessoal'!$M$513:$M$522&lt;=BH$3,1,0))*OFFSET('Gastos com Pessoal'!$H$512,1,MATCH(2&amp;$B49,'Gastos com Pessoal'!$I$532:$AJ$532&amp;'Gastos com Pessoal'!$I$512:$AJ$512,0),10,1)),0)+_xlfn.IFNA(SUM((BH$3&gt;='Gastos com Pessoal'!$E$513:$E$522)*(BH$3&lt;='Gastos com Pessoal'!$F$513:$F$522)*(IF('Gastos com Pessoal'!$S$513:$S$522&lt;=BH$3,1,0))*OFFSET('Gastos com Pessoal'!$H$512,1,MATCH(3&amp;$B49,'Gastos com Pessoal'!$I$532:$AJ$532&amp;'Gastos com Pessoal'!$I$512:$AJ$512,0),10,1)),0)+_xlfn.IFNA(SUM((BH$3&gt;='Gastos com Pessoal'!$E$513:$E$522)*(BH$3&lt;='Gastos com Pessoal'!$F$513:$F$522)*(IF('Gastos com Pessoal'!$Y$513:$Y$522&lt;=BH$3,1,0))*OFFSET('Gastos com Pessoal'!$H$512,1,MATCH(4&amp;$B49,'Gastos com Pessoal'!$I$532:$AJ$532&amp;'Gastos com Pessoal'!$I$512:$AJ$512,0),10,1)),0)+_xlfn.IFNA(SUM((BH$3&gt;='Gastos com Pessoal'!$E$513:$E$522)*(BH$3&lt;='Gastos com Pessoal'!$F$513:$F$522)*(IF('Gastos com Pessoal'!$AE$513:$AE$522&lt;=BH$3,1,0))*OFFSET('Gastos com Pessoal'!$H$512,1,MATCH(5&amp;$B49,'Gastos com Pessoal'!$I$532:$AJ$532&amp;'Gastos com Pessoal'!$I$512:$AJ$512,0),10,1)),0)</f>
        <v>0</v>
      </c>
      <c r="BI49" s="188">
        <f t="array" aca="1" ref="BI49" ca="1">_xlfn.IFNA(SUM((BI$3&gt;='Gastos com Pessoal'!$E$7:$E$506)*(BI$3&lt;='Gastos com Pessoal'!$F$7:$F$506)*OFFSET('Encargos e Benefícios'!$D$5,1,MATCH($B49,'Encargos e Benefícios'!$E$5:$AB$5,0),500,1)),0)+_xlfn.IFNA(SUM((BI$3&gt;='Gastos com Pessoal'!$E$513:$E$522)*(BI$3&lt;='Gastos com Pessoal'!$F$513:$F$522)*OFFSET('Encargos e Benefícios'!$D$511,1,MATCH($B49,'Encargos e Benefícios'!$E$511:$AB$511,0),10,1)),0)+_xlfn.IFNA(SUM((BI$3&gt;='Gastos com Pessoal'!$E$7:$E$506)*(BI$3&lt;='Gastos com Pessoal'!$F$7:$F$506)*(IF('Gastos com Pessoal'!$G$7:$G$506&lt;=BI$3,1,0))*OFFSET('Gastos com Pessoal'!$H$6,1,MATCH(1&amp;$B49,'Gastos com Pessoal'!$I$532:$AJ$532&amp;'Gastos com Pessoal'!$I$6:$AJ$6,0),500,1)),0)+_xlfn.IFNA(SUM((BI$3&gt;='Gastos com Pessoal'!$E$7:$E$506)*(BI$3&lt;='Gastos com Pessoal'!$F$7:$F$506)*(IF('Gastos com Pessoal'!$M$7:$M$506&lt;=BI$3,1,0))*OFFSET('Gastos com Pessoal'!$H$6,1,MATCH(2&amp;$B49,'Gastos com Pessoal'!$I$532:$AJ$532&amp;'Gastos com Pessoal'!$I$6:$AJ$6,0),500,1)),0)+_xlfn.IFNA(SUM((BI$3&gt;='Gastos com Pessoal'!$E$7:$E$506)*(BI$3&lt;='Gastos com Pessoal'!$F$7:$F$506)*(IF('Gastos com Pessoal'!$S$7:$S$506&lt;=BI$3,1,0))*OFFSET('Gastos com Pessoal'!$H$6,1,MATCH(3&amp;$B49,'Gastos com Pessoal'!$I$532:$AJ$532&amp;'Gastos com Pessoal'!$I$6:$AJ$6,0),500,1)),0)+_xlfn.IFNA(SUM((BI$3&gt;='Gastos com Pessoal'!$E$7:$E$506)*(BI$3&lt;='Gastos com Pessoal'!$F$7:$F$506)*(IF('Gastos com Pessoal'!$Y$7:$Y$506&lt;=BI$3,1,0))*OFFSET('Gastos com Pessoal'!$H$6,1,MATCH(4&amp;$B49,'Gastos com Pessoal'!$I$532:$AJ$532&amp;'Gastos com Pessoal'!$I$6:$AJ$6,0),500,1)),0)+_xlfn.IFNA(SUM((BI$3&gt;='Gastos com Pessoal'!$E$7:$E$506)*(BI$3&lt;='Gastos com Pessoal'!$F$7:$F$506)*(IF('Gastos com Pessoal'!$AE$7:$AE$506&lt;=BI$3,1,0))*OFFSET('Gastos com Pessoal'!$H$6,1,MATCH(5&amp;$B49,'Gastos com Pessoal'!$I$532:$AJ$532&amp;'Gastos com Pessoal'!$I$6:$AJ$6,0),500,1)),0)+_xlfn.IFNA(SUM((BI$3&gt;='Gastos com Pessoal'!$E$513:$E$522)*(BI$3&lt;='Gastos com Pessoal'!$F$513:$F$522)*(IF('Gastos com Pessoal'!$G$513:$G$522&lt;=BI$3,1,0))*OFFSET('Gastos com Pessoal'!$H$512,1,MATCH(1&amp;$B49,'Gastos com Pessoal'!$I$532:$AJ$532&amp;'Gastos com Pessoal'!$I$512:$AJ$512,0),10,1)),0)+_xlfn.IFNA(SUM((BI$3&gt;='Gastos com Pessoal'!$E$513:$E$522)*(BI$3&lt;='Gastos com Pessoal'!$F$513:$F$522)*(IF('Gastos com Pessoal'!$M$513:$M$522&lt;=BI$3,1,0))*OFFSET('Gastos com Pessoal'!$H$512,1,MATCH(2&amp;$B49,'Gastos com Pessoal'!$I$532:$AJ$532&amp;'Gastos com Pessoal'!$I$512:$AJ$512,0),10,1)),0)+_xlfn.IFNA(SUM((BI$3&gt;='Gastos com Pessoal'!$E$513:$E$522)*(BI$3&lt;='Gastos com Pessoal'!$F$513:$F$522)*(IF('Gastos com Pessoal'!$S$513:$S$522&lt;=BI$3,1,0))*OFFSET('Gastos com Pessoal'!$H$512,1,MATCH(3&amp;$B49,'Gastos com Pessoal'!$I$532:$AJ$532&amp;'Gastos com Pessoal'!$I$512:$AJ$512,0),10,1)),0)+_xlfn.IFNA(SUM((BI$3&gt;='Gastos com Pessoal'!$E$513:$E$522)*(BI$3&lt;='Gastos com Pessoal'!$F$513:$F$522)*(IF('Gastos com Pessoal'!$Y$513:$Y$522&lt;=BI$3,1,0))*OFFSET('Gastos com Pessoal'!$H$512,1,MATCH(4&amp;$B49,'Gastos com Pessoal'!$I$532:$AJ$532&amp;'Gastos com Pessoal'!$I$512:$AJ$512,0),10,1)),0)+_xlfn.IFNA(SUM((BI$3&gt;='Gastos com Pessoal'!$E$513:$E$522)*(BI$3&lt;='Gastos com Pessoal'!$F$513:$F$522)*(IF('Gastos com Pessoal'!$AE$513:$AE$522&lt;=BI$3,1,0))*OFFSET('Gastos com Pessoal'!$H$512,1,MATCH(5&amp;$B49,'Gastos com Pessoal'!$I$532:$AJ$532&amp;'Gastos com Pessoal'!$I$512:$AJ$512,0),10,1)),0)</f>
        <v>0</v>
      </c>
      <c r="BJ49" s="188">
        <f t="array" aca="1" ref="BJ49" ca="1">_xlfn.IFNA(SUM((BJ$3&gt;='Gastos com Pessoal'!$E$7:$E$506)*(BJ$3&lt;='Gastos com Pessoal'!$F$7:$F$506)*OFFSET('Encargos e Benefícios'!$D$5,1,MATCH($B49,'Encargos e Benefícios'!$E$5:$AB$5,0),500,1)),0)+_xlfn.IFNA(SUM((BJ$3&gt;='Gastos com Pessoal'!$E$513:$E$522)*(BJ$3&lt;='Gastos com Pessoal'!$F$513:$F$522)*OFFSET('Encargos e Benefícios'!$D$511,1,MATCH($B49,'Encargos e Benefícios'!$E$511:$AB$511,0),10,1)),0)+_xlfn.IFNA(SUM((BJ$3&gt;='Gastos com Pessoal'!$E$7:$E$506)*(BJ$3&lt;='Gastos com Pessoal'!$F$7:$F$506)*(IF('Gastos com Pessoal'!$G$7:$G$506&lt;=BJ$3,1,0))*OFFSET('Gastos com Pessoal'!$H$6,1,MATCH(1&amp;$B49,'Gastos com Pessoal'!$I$532:$AJ$532&amp;'Gastos com Pessoal'!$I$6:$AJ$6,0),500,1)),0)+_xlfn.IFNA(SUM((BJ$3&gt;='Gastos com Pessoal'!$E$7:$E$506)*(BJ$3&lt;='Gastos com Pessoal'!$F$7:$F$506)*(IF('Gastos com Pessoal'!$M$7:$M$506&lt;=BJ$3,1,0))*OFFSET('Gastos com Pessoal'!$H$6,1,MATCH(2&amp;$B49,'Gastos com Pessoal'!$I$532:$AJ$532&amp;'Gastos com Pessoal'!$I$6:$AJ$6,0),500,1)),0)+_xlfn.IFNA(SUM((BJ$3&gt;='Gastos com Pessoal'!$E$7:$E$506)*(BJ$3&lt;='Gastos com Pessoal'!$F$7:$F$506)*(IF('Gastos com Pessoal'!$S$7:$S$506&lt;=BJ$3,1,0))*OFFSET('Gastos com Pessoal'!$H$6,1,MATCH(3&amp;$B49,'Gastos com Pessoal'!$I$532:$AJ$532&amp;'Gastos com Pessoal'!$I$6:$AJ$6,0),500,1)),0)+_xlfn.IFNA(SUM((BJ$3&gt;='Gastos com Pessoal'!$E$7:$E$506)*(BJ$3&lt;='Gastos com Pessoal'!$F$7:$F$506)*(IF('Gastos com Pessoal'!$Y$7:$Y$506&lt;=BJ$3,1,0))*OFFSET('Gastos com Pessoal'!$H$6,1,MATCH(4&amp;$B49,'Gastos com Pessoal'!$I$532:$AJ$532&amp;'Gastos com Pessoal'!$I$6:$AJ$6,0),500,1)),0)+_xlfn.IFNA(SUM((BJ$3&gt;='Gastos com Pessoal'!$E$7:$E$506)*(BJ$3&lt;='Gastos com Pessoal'!$F$7:$F$506)*(IF('Gastos com Pessoal'!$AE$7:$AE$506&lt;=BJ$3,1,0))*OFFSET('Gastos com Pessoal'!$H$6,1,MATCH(5&amp;$B49,'Gastos com Pessoal'!$I$532:$AJ$532&amp;'Gastos com Pessoal'!$I$6:$AJ$6,0),500,1)),0)+_xlfn.IFNA(SUM((BJ$3&gt;='Gastos com Pessoal'!$E$513:$E$522)*(BJ$3&lt;='Gastos com Pessoal'!$F$513:$F$522)*(IF('Gastos com Pessoal'!$G$513:$G$522&lt;=BJ$3,1,0))*OFFSET('Gastos com Pessoal'!$H$512,1,MATCH(1&amp;$B49,'Gastos com Pessoal'!$I$532:$AJ$532&amp;'Gastos com Pessoal'!$I$512:$AJ$512,0),10,1)),0)+_xlfn.IFNA(SUM((BJ$3&gt;='Gastos com Pessoal'!$E$513:$E$522)*(BJ$3&lt;='Gastos com Pessoal'!$F$513:$F$522)*(IF('Gastos com Pessoal'!$M$513:$M$522&lt;=BJ$3,1,0))*OFFSET('Gastos com Pessoal'!$H$512,1,MATCH(2&amp;$B49,'Gastos com Pessoal'!$I$532:$AJ$532&amp;'Gastos com Pessoal'!$I$512:$AJ$512,0),10,1)),0)+_xlfn.IFNA(SUM((BJ$3&gt;='Gastos com Pessoal'!$E$513:$E$522)*(BJ$3&lt;='Gastos com Pessoal'!$F$513:$F$522)*(IF('Gastos com Pessoal'!$S$513:$S$522&lt;=BJ$3,1,0))*OFFSET('Gastos com Pessoal'!$H$512,1,MATCH(3&amp;$B49,'Gastos com Pessoal'!$I$532:$AJ$532&amp;'Gastos com Pessoal'!$I$512:$AJ$512,0),10,1)),0)+_xlfn.IFNA(SUM((BJ$3&gt;='Gastos com Pessoal'!$E$513:$E$522)*(BJ$3&lt;='Gastos com Pessoal'!$F$513:$F$522)*(IF('Gastos com Pessoal'!$Y$513:$Y$522&lt;=BJ$3,1,0))*OFFSET('Gastos com Pessoal'!$H$512,1,MATCH(4&amp;$B49,'Gastos com Pessoal'!$I$532:$AJ$532&amp;'Gastos com Pessoal'!$I$512:$AJ$512,0),10,1)),0)+_xlfn.IFNA(SUM((BJ$3&gt;='Gastos com Pessoal'!$E$513:$E$522)*(BJ$3&lt;='Gastos com Pessoal'!$F$513:$F$522)*(IF('Gastos com Pessoal'!$AE$513:$AE$522&lt;=BJ$3,1,0))*OFFSET('Gastos com Pessoal'!$H$512,1,MATCH(5&amp;$B49,'Gastos com Pessoal'!$I$532:$AJ$532&amp;'Gastos com Pessoal'!$I$512:$AJ$512,0),10,1)),0)</f>
        <v>0</v>
      </c>
      <c r="BK49" s="189">
        <f t="shared" ca="1" si="18"/>
        <v>18981890.042642113</v>
      </c>
      <c r="BL49" s="136">
        <f t="shared" ca="1" si="19"/>
        <v>6.5354611528477755E-2</v>
      </c>
    </row>
    <row r="50" spans="1:64" s="160" customFormat="1" ht="23.25" customHeight="1">
      <c r="A50" s="80" t="s">
        <v>182</v>
      </c>
      <c r="B50" s="81" t="s">
        <v>183</v>
      </c>
      <c r="C50" s="188">
        <f t="array" aca="1" ref="C50" ca="1">_xlfn.IFNA(SUM((C$3&gt;='Gastos com Pessoal'!$E$7:$E$506)*(C$3&lt;='Gastos com Pessoal'!$F$7:$F$506)*OFFSET('Encargos e Benefícios'!$D$5,1,MATCH($B50,'Encargos e Benefícios'!$E$5:$AB$5,0),500,1)),0)+_xlfn.IFNA(SUM((C$3&gt;='Gastos com Pessoal'!$E$513:$E$522)*(C$3&lt;='Gastos com Pessoal'!$F$513:$F$522)*OFFSET('Encargos e Benefícios'!$D$511,1,MATCH($B50,'Encargos e Benefícios'!$E$511:$AB$511,0),10,1)),0)+_xlfn.IFNA(SUM((C$3&gt;='Gastos com Pessoal'!$E$7:$E$506)*(C$3&lt;='Gastos com Pessoal'!$F$7:$F$506)*(IF('Gastos com Pessoal'!$G$7:$G$506&lt;=C$3,1,0))*OFFSET('Gastos com Pessoal'!$H$6,1,MATCH(1&amp;$B50,'Gastos com Pessoal'!$I$532:$AJ$532&amp;'Gastos com Pessoal'!$I$6:$AJ$6,0),500,1)),0)+_xlfn.IFNA(SUM((C$3&gt;='Gastos com Pessoal'!$E$7:$E$506)*(C$3&lt;='Gastos com Pessoal'!$F$7:$F$506)*(IF('Gastos com Pessoal'!$M$7:$M$506&lt;=C$3,1,0))*OFFSET('Gastos com Pessoal'!$H$6,1,MATCH(2&amp;$B50,'Gastos com Pessoal'!$I$532:$AJ$532&amp;'Gastos com Pessoal'!$I$6:$AJ$6,0),500,1)),0)+_xlfn.IFNA(SUM((C$3&gt;='Gastos com Pessoal'!$E$7:$E$506)*(C$3&lt;='Gastos com Pessoal'!$F$7:$F$506)*(IF('Gastos com Pessoal'!$S$7:$S$506&lt;=C$3,1,0))*OFFSET('Gastos com Pessoal'!$H$6,1,MATCH(3&amp;$B50,'Gastos com Pessoal'!$I$532:$AJ$532&amp;'Gastos com Pessoal'!$I$6:$AJ$6,0),500,1)),0)+_xlfn.IFNA(SUM((C$3&gt;='Gastos com Pessoal'!$E$7:$E$506)*(C$3&lt;='Gastos com Pessoal'!$F$7:$F$506)*(IF('Gastos com Pessoal'!$Y$7:$Y$506&lt;=C$3,1,0))*OFFSET('Gastos com Pessoal'!$H$6,1,MATCH(4&amp;$B50,'Gastos com Pessoal'!$I$532:$AJ$532&amp;'Gastos com Pessoal'!$I$6:$AJ$6,0),500,1)),0)+_xlfn.IFNA(SUM((C$3&gt;='Gastos com Pessoal'!$E$7:$E$506)*(C$3&lt;='Gastos com Pessoal'!$F$7:$F$506)*(IF('Gastos com Pessoal'!$AE$7:$AE$506&lt;=C$3,1,0))*OFFSET('Gastos com Pessoal'!$H$6,1,MATCH(5&amp;$B50,'Gastos com Pessoal'!$I$532:$AJ$532&amp;'Gastos com Pessoal'!$I$6:$AJ$6,0),500,1)),0)+_xlfn.IFNA(SUM((C$3&gt;='Gastos com Pessoal'!$E$513:$E$522)*(C$3&lt;='Gastos com Pessoal'!$F$513:$F$522)*(IF('Gastos com Pessoal'!$G$513:$G$522&lt;=C$3,1,0))*OFFSET('Gastos com Pessoal'!$H$512,1,MATCH(1&amp;$B50,'Gastos com Pessoal'!$I$532:$AJ$532&amp;'Gastos com Pessoal'!$I$512:$AJ$512,0),10,1)),0)+_xlfn.IFNA(SUM((C$3&gt;='Gastos com Pessoal'!$E$513:$E$522)*(C$3&lt;='Gastos com Pessoal'!$F$513:$F$522)*(IF('Gastos com Pessoal'!$M$513:$M$522&lt;=C$3,1,0))*OFFSET('Gastos com Pessoal'!$H$512,1,MATCH(2&amp;$B50,'Gastos com Pessoal'!$I$532:$AJ$532&amp;'Gastos com Pessoal'!$I$512:$AJ$512,0),10,1)),0)+_xlfn.IFNA(SUM((C$3&gt;='Gastos com Pessoal'!$E$513:$E$522)*(C$3&lt;='Gastos com Pessoal'!$F$513:$F$522)*(IF('Gastos com Pessoal'!$S$513:$S$522&lt;=C$3,1,0))*OFFSET('Gastos com Pessoal'!$H$512,1,MATCH(3&amp;$B50,'Gastos com Pessoal'!$I$532:$AJ$532&amp;'Gastos com Pessoal'!$I$512:$AJ$512,0),10,1)),0)+_xlfn.IFNA(SUM((C$3&gt;='Gastos com Pessoal'!$E$513:$E$522)*(C$3&lt;='Gastos com Pessoal'!$F$513:$F$522)*(IF('Gastos com Pessoal'!$Y$513:$Y$522&lt;=C$3,1,0))*OFFSET('Gastos com Pessoal'!$H$512,1,MATCH(4&amp;$B50,'Gastos com Pessoal'!$I$532:$AJ$532&amp;'Gastos com Pessoal'!$I$512:$AJ$512,0),10,1)),0)+_xlfn.IFNA(SUM((C$3&gt;='Gastos com Pessoal'!$E$513:$E$522)*(C$3&lt;='Gastos com Pessoal'!$F$513:$F$522)*(IF('Gastos com Pessoal'!$AE$513:$AE$522&lt;=C$3,1,0))*OFFSET('Gastos com Pessoal'!$H$512,1,MATCH(5&amp;$B50,'Gastos com Pessoal'!$I$532:$AJ$532&amp;'Gastos com Pessoal'!$I$512:$AJ$512,0),10,1)),0)</f>
        <v>16211</v>
      </c>
      <c r="D50" s="188">
        <f t="array" aca="1" ref="D50" ca="1">_xlfn.IFNA(SUM((D$3&gt;='Gastos com Pessoal'!$E$7:$E$506)*(D$3&lt;='Gastos com Pessoal'!$F$7:$F$506)*OFFSET('Encargos e Benefícios'!$D$5,1,MATCH($B50,'Encargos e Benefícios'!$E$5:$AB$5,0),500,1)),0)+_xlfn.IFNA(SUM((D$3&gt;='Gastos com Pessoal'!$E$513:$E$522)*(D$3&lt;='Gastos com Pessoal'!$F$513:$F$522)*OFFSET('Encargos e Benefícios'!$D$511,1,MATCH($B50,'Encargos e Benefícios'!$E$511:$AB$511,0),10,1)),0)+_xlfn.IFNA(SUM((D$3&gt;='Gastos com Pessoal'!$E$7:$E$506)*(D$3&lt;='Gastos com Pessoal'!$F$7:$F$506)*(IF('Gastos com Pessoal'!$G$7:$G$506&lt;=D$3,1,0))*OFFSET('Gastos com Pessoal'!$H$6,1,MATCH(1&amp;$B50,'Gastos com Pessoal'!$I$532:$AJ$532&amp;'Gastos com Pessoal'!$I$6:$AJ$6,0),500,1)),0)+_xlfn.IFNA(SUM((D$3&gt;='Gastos com Pessoal'!$E$7:$E$506)*(D$3&lt;='Gastos com Pessoal'!$F$7:$F$506)*(IF('Gastos com Pessoal'!$M$7:$M$506&lt;=D$3,1,0))*OFFSET('Gastos com Pessoal'!$H$6,1,MATCH(2&amp;$B50,'Gastos com Pessoal'!$I$532:$AJ$532&amp;'Gastos com Pessoal'!$I$6:$AJ$6,0),500,1)),0)+_xlfn.IFNA(SUM((D$3&gt;='Gastos com Pessoal'!$E$7:$E$506)*(D$3&lt;='Gastos com Pessoal'!$F$7:$F$506)*(IF('Gastos com Pessoal'!$S$7:$S$506&lt;=D$3,1,0))*OFFSET('Gastos com Pessoal'!$H$6,1,MATCH(3&amp;$B50,'Gastos com Pessoal'!$I$532:$AJ$532&amp;'Gastos com Pessoal'!$I$6:$AJ$6,0),500,1)),0)+_xlfn.IFNA(SUM((D$3&gt;='Gastos com Pessoal'!$E$7:$E$506)*(D$3&lt;='Gastos com Pessoal'!$F$7:$F$506)*(IF('Gastos com Pessoal'!$Y$7:$Y$506&lt;=D$3,1,0))*OFFSET('Gastos com Pessoal'!$H$6,1,MATCH(4&amp;$B50,'Gastos com Pessoal'!$I$532:$AJ$532&amp;'Gastos com Pessoal'!$I$6:$AJ$6,0),500,1)),0)+_xlfn.IFNA(SUM((D$3&gt;='Gastos com Pessoal'!$E$7:$E$506)*(D$3&lt;='Gastos com Pessoal'!$F$7:$F$506)*(IF('Gastos com Pessoal'!$AE$7:$AE$506&lt;=D$3,1,0))*OFFSET('Gastos com Pessoal'!$H$6,1,MATCH(5&amp;$B50,'Gastos com Pessoal'!$I$532:$AJ$532&amp;'Gastos com Pessoal'!$I$6:$AJ$6,0),500,1)),0)+_xlfn.IFNA(SUM((D$3&gt;='Gastos com Pessoal'!$E$513:$E$522)*(D$3&lt;='Gastos com Pessoal'!$F$513:$F$522)*(IF('Gastos com Pessoal'!$G$513:$G$522&lt;=D$3,1,0))*OFFSET('Gastos com Pessoal'!$H$512,1,MATCH(1&amp;$B50,'Gastos com Pessoal'!$I$532:$AJ$532&amp;'Gastos com Pessoal'!$I$512:$AJ$512,0),10,1)),0)+_xlfn.IFNA(SUM((D$3&gt;='Gastos com Pessoal'!$E$513:$E$522)*(D$3&lt;='Gastos com Pessoal'!$F$513:$F$522)*(IF('Gastos com Pessoal'!$M$513:$M$522&lt;=D$3,1,0))*OFFSET('Gastos com Pessoal'!$H$512,1,MATCH(2&amp;$B50,'Gastos com Pessoal'!$I$532:$AJ$532&amp;'Gastos com Pessoal'!$I$512:$AJ$512,0),10,1)),0)+_xlfn.IFNA(SUM((D$3&gt;='Gastos com Pessoal'!$E$513:$E$522)*(D$3&lt;='Gastos com Pessoal'!$F$513:$F$522)*(IF('Gastos com Pessoal'!$S$513:$S$522&lt;=D$3,1,0))*OFFSET('Gastos com Pessoal'!$H$512,1,MATCH(3&amp;$B50,'Gastos com Pessoal'!$I$532:$AJ$532&amp;'Gastos com Pessoal'!$I$512:$AJ$512,0),10,1)),0)+_xlfn.IFNA(SUM((D$3&gt;='Gastos com Pessoal'!$E$513:$E$522)*(D$3&lt;='Gastos com Pessoal'!$F$513:$F$522)*(IF('Gastos com Pessoal'!$Y$513:$Y$522&lt;=D$3,1,0))*OFFSET('Gastos com Pessoal'!$H$512,1,MATCH(4&amp;$B50,'Gastos com Pessoal'!$I$532:$AJ$532&amp;'Gastos com Pessoal'!$I$512:$AJ$512,0),10,1)),0)+_xlfn.IFNA(SUM((D$3&gt;='Gastos com Pessoal'!$E$513:$E$522)*(D$3&lt;='Gastos com Pessoal'!$F$513:$F$522)*(IF('Gastos com Pessoal'!$AE$513:$AE$522&lt;=D$3,1,0))*OFFSET('Gastos com Pessoal'!$H$512,1,MATCH(5&amp;$B50,'Gastos com Pessoal'!$I$532:$AJ$532&amp;'Gastos com Pessoal'!$I$512:$AJ$512,0),10,1)),0)</f>
        <v>16269</v>
      </c>
      <c r="E50" s="188">
        <f t="array" aca="1" ref="E50" ca="1">_xlfn.IFNA(SUM((E$3&gt;='Gastos com Pessoal'!$E$7:$E$506)*(E$3&lt;='Gastos com Pessoal'!$F$7:$F$506)*OFFSET('Encargos e Benefícios'!$D$5,1,MATCH($B50,'Encargos e Benefícios'!$E$5:$AB$5,0),500,1)),0)+_xlfn.IFNA(SUM((E$3&gt;='Gastos com Pessoal'!$E$513:$E$522)*(E$3&lt;='Gastos com Pessoal'!$F$513:$F$522)*OFFSET('Encargos e Benefícios'!$D$511,1,MATCH($B50,'Encargos e Benefícios'!$E$511:$AB$511,0),10,1)),0)+_xlfn.IFNA(SUM((E$3&gt;='Gastos com Pessoal'!$E$7:$E$506)*(E$3&lt;='Gastos com Pessoal'!$F$7:$F$506)*(IF('Gastos com Pessoal'!$G$7:$G$506&lt;=E$3,1,0))*OFFSET('Gastos com Pessoal'!$H$6,1,MATCH(1&amp;$B50,'Gastos com Pessoal'!$I$532:$AJ$532&amp;'Gastos com Pessoal'!$I$6:$AJ$6,0),500,1)),0)+_xlfn.IFNA(SUM((E$3&gt;='Gastos com Pessoal'!$E$7:$E$506)*(E$3&lt;='Gastos com Pessoal'!$F$7:$F$506)*(IF('Gastos com Pessoal'!$M$7:$M$506&lt;=E$3,1,0))*OFFSET('Gastos com Pessoal'!$H$6,1,MATCH(2&amp;$B50,'Gastos com Pessoal'!$I$532:$AJ$532&amp;'Gastos com Pessoal'!$I$6:$AJ$6,0),500,1)),0)+_xlfn.IFNA(SUM((E$3&gt;='Gastos com Pessoal'!$E$7:$E$506)*(E$3&lt;='Gastos com Pessoal'!$F$7:$F$506)*(IF('Gastos com Pessoal'!$S$7:$S$506&lt;=E$3,1,0))*OFFSET('Gastos com Pessoal'!$H$6,1,MATCH(3&amp;$B50,'Gastos com Pessoal'!$I$532:$AJ$532&amp;'Gastos com Pessoal'!$I$6:$AJ$6,0),500,1)),0)+_xlfn.IFNA(SUM((E$3&gt;='Gastos com Pessoal'!$E$7:$E$506)*(E$3&lt;='Gastos com Pessoal'!$F$7:$F$506)*(IF('Gastos com Pessoal'!$Y$7:$Y$506&lt;=E$3,1,0))*OFFSET('Gastos com Pessoal'!$H$6,1,MATCH(4&amp;$B50,'Gastos com Pessoal'!$I$532:$AJ$532&amp;'Gastos com Pessoal'!$I$6:$AJ$6,0),500,1)),0)+_xlfn.IFNA(SUM((E$3&gt;='Gastos com Pessoal'!$E$7:$E$506)*(E$3&lt;='Gastos com Pessoal'!$F$7:$F$506)*(IF('Gastos com Pessoal'!$AE$7:$AE$506&lt;=E$3,1,0))*OFFSET('Gastos com Pessoal'!$H$6,1,MATCH(5&amp;$B50,'Gastos com Pessoal'!$I$532:$AJ$532&amp;'Gastos com Pessoal'!$I$6:$AJ$6,0),500,1)),0)+_xlfn.IFNA(SUM((E$3&gt;='Gastos com Pessoal'!$E$513:$E$522)*(E$3&lt;='Gastos com Pessoal'!$F$513:$F$522)*(IF('Gastos com Pessoal'!$G$513:$G$522&lt;=E$3,1,0))*OFFSET('Gastos com Pessoal'!$H$512,1,MATCH(1&amp;$B50,'Gastos com Pessoal'!$I$532:$AJ$532&amp;'Gastos com Pessoal'!$I$512:$AJ$512,0),10,1)),0)+_xlfn.IFNA(SUM((E$3&gt;='Gastos com Pessoal'!$E$513:$E$522)*(E$3&lt;='Gastos com Pessoal'!$F$513:$F$522)*(IF('Gastos com Pessoal'!$M$513:$M$522&lt;=E$3,1,0))*OFFSET('Gastos com Pessoal'!$H$512,1,MATCH(2&amp;$B50,'Gastos com Pessoal'!$I$532:$AJ$532&amp;'Gastos com Pessoal'!$I$512:$AJ$512,0),10,1)),0)+_xlfn.IFNA(SUM((E$3&gt;='Gastos com Pessoal'!$E$513:$E$522)*(E$3&lt;='Gastos com Pessoal'!$F$513:$F$522)*(IF('Gastos com Pessoal'!$S$513:$S$522&lt;=E$3,1,0))*OFFSET('Gastos com Pessoal'!$H$512,1,MATCH(3&amp;$B50,'Gastos com Pessoal'!$I$532:$AJ$532&amp;'Gastos com Pessoal'!$I$512:$AJ$512,0),10,1)),0)+_xlfn.IFNA(SUM((E$3&gt;='Gastos com Pessoal'!$E$513:$E$522)*(E$3&lt;='Gastos com Pessoal'!$F$513:$F$522)*(IF('Gastos com Pessoal'!$Y$513:$Y$522&lt;=E$3,1,0))*OFFSET('Gastos com Pessoal'!$H$512,1,MATCH(4&amp;$B50,'Gastos com Pessoal'!$I$532:$AJ$532&amp;'Gastos com Pessoal'!$I$512:$AJ$512,0),10,1)),0)+_xlfn.IFNA(SUM((E$3&gt;='Gastos com Pessoal'!$E$513:$E$522)*(E$3&lt;='Gastos com Pessoal'!$F$513:$F$522)*(IF('Gastos com Pessoal'!$AE$513:$AE$522&lt;=E$3,1,0))*OFFSET('Gastos com Pessoal'!$H$512,1,MATCH(5&amp;$B50,'Gastos com Pessoal'!$I$532:$AJ$532&amp;'Gastos com Pessoal'!$I$512:$AJ$512,0),10,1)),0)</f>
        <v>17168</v>
      </c>
      <c r="F50" s="188">
        <f t="array" aca="1" ref="F50" ca="1">_xlfn.IFNA(SUM((F$3&gt;='Gastos com Pessoal'!$E$7:$E$506)*(F$3&lt;='Gastos com Pessoal'!$F$7:$F$506)*OFFSET('Encargos e Benefícios'!$D$5,1,MATCH($B50,'Encargos e Benefícios'!$E$5:$AB$5,0),500,1)),0)+_xlfn.IFNA(SUM((F$3&gt;='Gastos com Pessoal'!$E$513:$E$522)*(F$3&lt;='Gastos com Pessoal'!$F$513:$F$522)*OFFSET('Encargos e Benefícios'!$D$511,1,MATCH($B50,'Encargos e Benefícios'!$E$511:$AB$511,0),10,1)),0)+_xlfn.IFNA(SUM((F$3&gt;='Gastos com Pessoal'!$E$7:$E$506)*(F$3&lt;='Gastos com Pessoal'!$F$7:$F$506)*(IF('Gastos com Pessoal'!$G$7:$G$506&lt;=F$3,1,0))*OFFSET('Gastos com Pessoal'!$H$6,1,MATCH(1&amp;$B50,'Gastos com Pessoal'!$I$532:$AJ$532&amp;'Gastos com Pessoal'!$I$6:$AJ$6,0),500,1)),0)+_xlfn.IFNA(SUM((F$3&gt;='Gastos com Pessoal'!$E$7:$E$506)*(F$3&lt;='Gastos com Pessoal'!$F$7:$F$506)*(IF('Gastos com Pessoal'!$M$7:$M$506&lt;=F$3,1,0))*OFFSET('Gastos com Pessoal'!$H$6,1,MATCH(2&amp;$B50,'Gastos com Pessoal'!$I$532:$AJ$532&amp;'Gastos com Pessoal'!$I$6:$AJ$6,0),500,1)),0)+_xlfn.IFNA(SUM((F$3&gt;='Gastos com Pessoal'!$E$7:$E$506)*(F$3&lt;='Gastos com Pessoal'!$F$7:$F$506)*(IF('Gastos com Pessoal'!$S$7:$S$506&lt;=F$3,1,0))*OFFSET('Gastos com Pessoal'!$H$6,1,MATCH(3&amp;$B50,'Gastos com Pessoal'!$I$532:$AJ$532&amp;'Gastos com Pessoal'!$I$6:$AJ$6,0),500,1)),0)+_xlfn.IFNA(SUM((F$3&gt;='Gastos com Pessoal'!$E$7:$E$506)*(F$3&lt;='Gastos com Pessoal'!$F$7:$F$506)*(IF('Gastos com Pessoal'!$Y$7:$Y$506&lt;=F$3,1,0))*OFFSET('Gastos com Pessoal'!$H$6,1,MATCH(4&amp;$B50,'Gastos com Pessoal'!$I$532:$AJ$532&amp;'Gastos com Pessoal'!$I$6:$AJ$6,0),500,1)),0)+_xlfn.IFNA(SUM((F$3&gt;='Gastos com Pessoal'!$E$7:$E$506)*(F$3&lt;='Gastos com Pessoal'!$F$7:$F$506)*(IF('Gastos com Pessoal'!$AE$7:$AE$506&lt;=F$3,1,0))*OFFSET('Gastos com Pessoal'!$H$6,1,MATCH(5&amp;$B50,'Gastos com Pessoal'!$I$532:$AJ$532&amp;'Gastos com Pessoal'!$I$6:$AJ$6,0),500,1)),0)+_xlfn.IFNA(SUM((F$3&gt;='Gastos com Pessoal'!$E$513:$E$522)*(F$3&lt;='Gastos com Pessoal'!$F$513:$F$522)*(IF('Gastos com Pessoal'!$G$513:$G$522&lt;=F$3,1,0))*OFFSET('Gastos com Pessoal'!$H$512,1,MATCH(1&amp;$B50,'Gastos com Pessoal'!$I$532:$AJ$532&amp;'Gastos com Pessoal'!$I$512:$AJ$512,0),10,1)),0)+_xlfn.IFNA(SUM((F$3&gt;='Gastos com Pessoal'!$E$513:$E$522)*(F$3&lt;='Gastos com Pessoal'!$F$513:$F$522)*(IF('Gastos com Pessoal'!$M$513:$M$522&lt;=F$3,1,0))*OFFSET('Gastos com Pessoal'!$H$512,1,MATCH(2&amp;$B50,'Gastos com Pessoal'!$I$532:$AJ$532&amp;'Gastos com Pessoal'!$I$512:$AJ$512,0),10,1)),0)+_xlfn.IFNA(SUM((F$3&gt;='Gastos com Pessoal'!$E$513:$E$522)*(F$3&lt;='Gastos com Pessoal'!$F$513:$F$522)*(IF('Gastos com Pessoal'!$S$513:$S$522&lt;=F$3,1,0))*OFFSET('Gastos com Pessoal'!$H$512,1,MATCH(3&amp;$B50,'Gastos com Pessoal'!$I$532:$AJ$532&amp;'Gastos com Pessoal'!$I$512:$AJ$512,0),10,1)),0)+_xlfn.IFNA(SUM((F$3&gt;='Gastos com Pessoal'!$E$513:$E$522)*(F$3&lt;='Gastos com Pessoal'!$F$513:$F$522)*(IF('Gastos com Pessoal'!$Y$513:$Y$522&lt;=F$3,1,0))*OFFSET('Gastos com Pessoal'!$H$512,1,MATCH(4&amp;$B50,'Gastos com Pessoal'!$I$532:$AJ$532&amp;'Gastos com Pessoal'!$I$512:$AJ$512,0),10,1)),0)+_xlfn.IFNA(SUM((F$3&gt;='Gastos com Pessoal'!$E$513:$E$522)*(F$3&lt;='Gastos com Pessoal'!$F$513:$F$522)*(IF('Gastos com Pessoal'!$AE$513:$AE$522&lt;=F$3,1,0))*OFFSET('Gastos com Pessoal'!$H$512,1,MATCH(5&amp;$B50,'Gastos com Pessoal'!$I$532:$AJ$532&amp;'Gastos com Pessoal'!$I$512:$AJ$512,0),10,1)),0)</f>
        <v>17226</v>
      </c>
      <c r="G50" s="188">
        <f t="array" aca="1" ref="G50" ca="1">_xlfn.IFNA(SUM((G$3&gt;='Gastos com Pessoal'!$E$7:$E$506)*(G$3&lt;='Gastos com Pessoal'!$F$7:$F$506)*OFFSET('Encargos e Benefícios'!$D$5,1,MATCH($B50,'Encargos e Benefícios'!$E$5:$AB$5,0),500,1)),0)+_xlfn.IFNA(SUM((G$3&gt;='Gastos com Pessoal'!$E$513:$E$522)*(G$3&lt;='Gastos com Pessoal'!$F$513:$F$522)*OFFSET('Encargos e Benefícios'!$D$511,1,MATCH($B50,'Encargos e Benefícios'!$E$511:$AB$511,0),10,1)),0)+_xlfn.IFNA(SUM((G$3&gt;='Gastos com Pessoal'!$E$7:$E$506)*(G$3&lt;='Gastos com Pessoal'!$F$7:$F$506)*(IF('Gastos com Pessoal'!$G$7:$G$506&lt;=G$3,1,0))*OFFSET('Gastos com Pessoal'!$H$6,1,MATCH(1&amp;$B50,'Gastos com Pessoal'!$I$532:$AJ$532&amp;'Gastos com Pessoal'!$I$6:$AJ$6,0),500,1)),0)+_xlfn.IFNA(SUM((G$3&gt;='Gastos com Pessoal'!$E$7:$E$506)*(G$3&lt;='Gastos com Pessoal'!$F$7:$F$506)*(IF('Gastos com Pessoal'!$M$7:$M$506&lt;=G$3,1,0))*OFFSET('Gastos com Pessoal'!$H$6,1,MATCH(2&amp;$B50,'Gastos com Pessoal'!$I$532:$AJ$532&amp;'Gastos com Pessoal'!$I$6:$AJ$6,0),500,1)),0)+_xlfn.IFNA(SUM((G$3&gt;='Gastos com Pessoal'!$E$7:$E$506)*(G$3&lt;='Gastos com Pessoal'!$F$7:$F$506)*(IF('Gastos com Pessoal'!$S$7:$S$506&lt;=G$3,1,0))*OFFSET('Gastos com Pessoal'!$H$6,1,MATCH(3&amp;$B50,'Gastos com Pessoal'!$I$532:$AJ$532&amp;'Gastos com Pessoal'!$I$6:$AJ$6,0),500,1)),0)+_xlfn.IFNA(SUM((G$3&gt;='Gastos com Pessoal'!$E$7:$E$506)*(G$3&lt;='Gastos com Pessoal'!$F$7:$F$506)*(IF('Gastos com Pessoal'!$Y$7:$Y$506&lt;=G$3,1,0))*OFFSET('Gastos com Pessoal'!$H$6,1,MATCH(4&amp;$B50,'Gastos com Pessoal'!$I$532:$AJ$532&amp;'Gastos com Pessoal'!$I$6:$AJ$6,0),500,1)),0)+_xlfn.IFNA(SUM((G$3&gt;='Gastos com Pessoal'!$E$7:$E$506)*(G$3&lt;='Gastos com Pessoal'!$F$7:$F$506)*(IF('Gastos com Pessoal'!$AE$7:$AE$506&lt;=G$3,1,0))*OFFSET('Gastos com Pessoal'!$H$6,1,MATCH(5&amp;$B50,'Gastos com Pessoal'!$I$532:$AJ$532&amp;'Gastos com Pessoal'!$I$6:$AJ$6,0),500,1)),0)+_xlfn.IFNA(SUM((G$3&gt;='Gastos com Pessoal'!$E$513:$E$522)*(G$3&lt;='Gastos com Pessoal'!$F$513:$F$522)*(IF('Gastos com Pessoal'!$G$513:$G$522&lt;=G$3,1,0))*OFFSET('Gastos com Pessoal'!$H$512,1,MATCH(1&amp;$B50,'Gastos com Pessoal'!$I$532:$AJ$532&amp;'Gastos com Pessoal'!$I$512:$AJ$512,0),10,1)),0)+_xlfn.IFNA(SUM((G$3&gt;='Gastos com Pessoal'!$E$513:$E$522)*(G$3&lt;='Gastos com Pessoal'!$F$513:$F$522)*(IF('Gastos com Pessoal'!$M$513:$M$522&lt;=G$3,1,0))*OFFSET('Gastos com Pessoal'!$H$512,1,MATCH(2&amp;$B50,'Gastos com Pessoal'!$I$532:$AJ$532&amp;'Gastos com Pessoal'!$I$512:$AJ$512,0),10,1)),0)+_xlfn.IFNA(SUM((G$3&gt;='Gastos com Pessoal'!$E$513:$E$522)*(G$3&lt;='Gastos com Pessoal'!$F$513:$F$522)*(IF('Gastos com Pessoal'!$S$513:$S$522&lt;=G$3,1,0))*OFFSET('Gastos com Pessoal'!$H$512,1,MATCH(3&amp;$B50,'Gastos com Pessoal'!$I$532:$AJ$532&amp;'Gastos com Pessoal'!$I$512:$AJ$512,0),10,1)),0)+_xlfn.IFNA(SUM((G$3&gt;='Gastos com Pessoal'!$E$513:$E$522)*(G$3&lt;='Gastos com Pessoal'!$F$513:$F$522)*(IF('Gastos com Pessoal'!$Y$513:$Y$522&lt;=G$3,1,0))*OFFSET('Gastos com Pessoal'!$H$512,1,MATCH(4&amp;$B50,'Gastos com Pessoal'!$I$532:$AJ$532&amp;'Gastos com Pessoal'!$I$512:$AJ$512,0),10,1)),0)+_xlfn.IFNA(SUM((G$3&gt;='Gastos com Pessoal'!$E$513:$E$522)*(G$3&lt;='Gastos com Pessoal'!$F$513:$F$522)*(IF('Gastos com Pessoal'!$AE$513:$AE$522&lt;=G$3,1,0))*OFFSET('Gastos com Pessoal'!$H$512,1,MATCH(5&amp;$B50,'Gastos com Pessoal'!$I$532:$AJ$532&amp;'Gastos com Pessoal'!$I$512:$AJ$512,0),10,1)),0)</f>
        <v>17226</v>
      </c>
      <c r="H50" s="188">
        <f t="array" aca="1" ref="H50" ca="1">_xlfn.IFNA(SUM((H$3&gt;='Gastos com Pessoal'!$E$7:$E$506)*(H$3&lt;='Gastos com Pessoal'!$F$7:$F$506)*OFFSET('Encargos e Benefícios'!$D$5,1,MATCH($B50,'Encargos e Benefícios'!$E$5:$AB$5,0),500,1)),0)+_xlfn.IFNA(SUM((H$3&gt;='Gastos com Pessoal'!$E$513:$E$522)*(H$3&lt;='Gastos com Pessoal'!$F$513:$F$522)*OFFSET('Encargos e Benefícios'!$D$511,1,MATCH($B50,'Encargos e Benefícios'!$E$511:$AB$511,0),10,1)),0)+_xlfn.IFNA(SUM((H$3&gt;='Gastos com Pessoal'!$E$7:$E$506)*(H$3&lt;='Gastos com Pessoal'!$F$7:$F$506)*(IF('Gastos com Pessoal'!$G$7:$G$506&lt;=H$3,1,0))*OFFSET('Gastos com Pessoal'!$H$6,1,MATCH(1&amp;$B50,'Gastos com Pessoal'!$I$532:$AJ$532&amp;'Gastos com Pessoal'!$I$6:$AJ$6,0),500,1)),0)+_xlfn.IFNA(SUM((H$3&gt;='Gastos com Pessoal'!$E$7:$E$506)*(H$3&lt;='Gastos com Pessoal'!$F$7:$F$506)*(IF('Gastos com Pessoal'!$M$7:$M$506&lt;=H$3,1,0))*OFFSET('Gastos com Pessoal'!$H$6,1,MATCH(2&amp;$B50,'Gastos com Pessoal'!$I$532:$AJ$532&amp;'Gastos com Pessoal'!$I$6:$AJ$6,0),500,1)),0)+_xlfn.IFNA(SUM((H$3&gt;='Gastos com Pessoal'!$E$7:$E$506)*(H$3&lt;='Gastos com Pessoal'!$F$7:$F$506)*(IF('Gastos com Pessoal'!$S$7:$S$506&lt;=H$3,1,0))*OFFSET('Gastos com Pessoal'!$H$6,1,MATCH(3&amp;$B50,'Gastos com Pessoal'!$I$532:$AJ$532&amp;'Gastos com Pessoal'!$I$6:$AJ$6,0),500,1)),0)+_xlfn.IFNA(SUM((H$3&gt;='Gastos com Pessoal'!$E$7:$E$506)*(H$3&lt;='Gastos com Pessoal'!$F$7:$F$506)*(IF('Gastos com Pessoal'!$Y$7:$Y$506&lt;=H$3,1,0))*OFFSET('Gastos com Pessoal'!$H$6,1,MATCH(4&amp;$B50,'Gastos com Pessoal'!$I$532:$AJ$532&amp;'Gastos com Pessoal'!$I$6:$AJ$6,0),500,1)),0)+_xlfn.IFNA(SUM((H$3&gt;='Gastos com Pessoal'!$E$7:$E$506)*(H$3&lt;='Gastos com Pessoal'!$F$7:$F$506)*(IF('Gastos com Pessoal'!$AE$7:$AE$506&lt;=H$3,1,0))*OFFSET('Gastos com Pessoal'!$H$6,1,MATCH(5&amp;$B50,'Gastos com Pessoal'!$I$532:$AJ$532&amp;'Gastos com Pessoal'!$I$6:$AJ$6,0),500,1)),0)+_xlfn.IFNA(SUM((H$3&gt;='Gastos com Pessoal'!$E$513:$E$522)*(H$3&lt;='Gastos com Pessoal'!$F$513:$F$522)*(IF('Gastos com Pessoal'!$G$513:$G$522&lt;=H$3,1,0))*OFFSET('Gastos com Pessoal'!$H$512,1,MATCH(1&amp;$B50,'Gastos com Pessoal'!$I$532:$AJ$532&amp;'Gastos com Pessoal'!$I$512:$AJ$512,0),10,1)),0)+_xlfn.IFNA(SUM((H$3&gt;='Gastos com Pessoal'!$E$513:$E$522)*(H$3&lt;='Gastos com Pessoal'!$F$513:$F$522)*(IF('Gastos com Pessoal'!$M$513:$M$522&lt;=H$3,1,0))*OFFSET('Gastos com Pessoal'!$H$512,1,MATCH(2&amp;$B50,'Gastos com Pessoal'!$I$532:$AJ$532&amp;'Gastos com Pessoal'!$I$512:$AJ$512,0),10,1)),0)+_xlfn.IFNA(SUM((H$3&gt;='Gastos com Pessoal'!$E$513:$E$522)*(H$3&lt;='Gastos com Pessoal'!$F$513:$F$522)*(IF('Gastos com Pessoal'!$S$513:$S$522&lt;=H$3,1,0))*OFFSET('Gastos com Pessoal'!$H$512,1,MATCH(3&amp;$B50,'Gastos com Pessoal'!$I$532:$AJ$532&amp;'Gastos com Pessoal'!$I$512:$AJ$512,0),10,1)),0)+_xlfn.IFNA(SUM((H$3&gt;='Gastos com Pessoal'!$E$513:$E$522)*(H$3&lt;='Gastos com Pessoal'!$F$513:$F$522)*(IF('Gastos com Pessoal'!$Y$513:$Y$522&lt;=H$3,1,0))*OFFSET('Gastos com Pessoal'!$H$512,1,MATCH(4&amp;$B50,'Gastos com Pessoal'!$I$532:$AJ$532&amp;'Gastos com Pessoal'!$I$512:$AJ$512,0),10,1)),0)+_xlfn.IFNA(SUM((H$3&gt;='Gastos com Pessoal'!$E$513:$E$522)*(H$3&lt;='Gastos com Pessoal'!$F$513:$F$522)*(IF('Gastos com Pessoal'!$AE$513:$AE$522&lt;=H$3,1,0))*OFFSET('Gastos com Pessoal'!$H$512,1,MATCH(5&amp;$B50,'Gastos com Pessoal'!$I$532:$AJ$532&amp;'Gastos com Pessoal'!$I$512:$AJ$512,0),10,1)),0)</f>
        <v>18125</v>
      </c>
      <c r="I50" s="188">
        <f t="array" aca="1" ref="I50" ca="1">_xlfn.IFNA(SUM((I$3&gt;='Gastos com Pessoal'!$E$7:$E$506)*(I$3&lt;='Gastos com Pessoal'!$F$7:$F$506)*OFFSET('Encargos e Benefícios'!$D$5,1,MATCH($B50,'Encargos e Benefícios'!$E$5:$AB$5,0),500,1)),0)+_xlfn.IFNA(SUM((I$3&gt;='Gastos com Pessoal'!$E$513:$E$522)*(I$3&lt;='Gastos com Pessoal'!$F$513:$F$522)*OFFSET('Encargos e Benefícios'!$D$511,1,MATCH($B50,'Encargos e Benefícios'!$E$511:$AB$511,0),10,1)),0)+_xlfn.IFNA(SUM((I$3&gt;='Gastos com Pessoal'!$E$7:$E$506)*(I$3&lt;='Gastos com Pessoal'!$F$7:$F$506)*(IF('Gastos com Pessoal'!$G$7:$G$506&lt;=I$3,1,0))*OFFSET('Gastos com Pessoal'!$H$6,1,MATCH(1&amp;$B50,'Gastos com Pessoal'!$I$532:$AJ$532&amp;'Gastos com Pessoal'!$I$6:$AJ$6,0),500,1)),0)+_xlfn.IFNA(SUM((I$3&gt;='Gastos com Pessoal'!$E$7:$E$506)*(I$3&lt;='Gastos com Pessoal'!$F$7:$F$506)*(IF('Gastos com Pessoal'!$M$7:$M$506&lt;=I$3,1,0))*OFFSET('Gastos com Pessoal'!$H$6,1,MATCH(2&amp;$B50,'Gastos com Pessoal'!$I$532:$AJ$532&amp;'Gastos com Pessoal'!$I$6:$AJ$6,0),500,1)),0)+_xlfn.IFNA(SUM((I$3&gt;='Gastos com Pessoal'!$E$7:$E$506)*(I$3&lt;='Gastos com Pessoal'!$F$7:$F$506)*(IF('Gastos com Pessoal'!$S$7:$S$506&lt;=I$3,1,0))*OFFSET('Gastos com Pessoal'!$H$6,1,MATCH(3&amp;$B50,'Gastos com Pessoal'!$I$532:$AJ$532&amp;'Gastos com Pessoal'!$I$6:$AJ$6,0),500,1)),0)+_xlfn.IFNA(SUM((I$3&gt;='Gastos com Pessoal'!$E$7:$E$506)*(I$3&lt;='Gastos com Pessoal'!$F$7:$F$506)*(IF('Gastos com Pessoal'!$Y$7:$Y$506&lt;=I$3,1,0))*OFFSET('Gastos com Pessoal'!$H$6,1,MATCH(4&amp;$B50,'Gastos com Pessoal'!$I$532:$AJ$532&amp;'Gastos com Pessoal'!$I$6:$AJ$6,0),500,1)),0)+_xlfn.IFNA(SUM((I$3&gt;='Gastos com Pessoal'!$E$7:$E$506)*(I$3&lt;='Gastos com Pessoal'!$F$7:$F$506)*(IF('Gastos com Pessoal'!$AE$7:$AE$506&lt;=I$3,1,0))*OFFSET('Gastos com Pessoal'!$H$6,1,MATCH(5&amp;$B50,'Gastos com Pessoal'!$I$532:$AJ$532&amp;'Gastos com Pessoal'!$I$6:$AJ$6,0),500,1)),0)+_xlfn.IFNA(SUM((I$3&gt;='Gastos com Pessoal'!$E$513:$E$522)*(I$3&lt;='Gastos com Pessoal'!$F$513:$F$522)*(IF('Gastos com Pessoal'!$G$513:$G$522&lt;=I$3,1,0))*OFFSET('Gastos com Pessoal'!$H$512,1,MATCH(1&amp;$B50,'Gastos com Pessoal'!$I$532:$AJ$532&amp;'Gastos com Pessoal'!$I$512:$AJ$512,0),10,1)),0)+_xlfn.IFNA(SUM((I$3&gt;='Gastos com Pessoal'!$E$513:$E$522)*(I$3&lt;='Gastos com Pessoal'!$F$513:$F$522)*(IF('Gastos com Pessoal'!$M$513:$M$522&lt;=I$3,1,0))*OFFSET('Gastos com Pessoal'!$H$512,1,MATCH(2&amp;$B50,'Gastos com Pessoal'!$I$532:$AJ$532&amp;'Gastos com Pessoal'!$I$512:$AJ$512,0),10,1)),0)+_xlfn.IFNA(SUM((I$3&gt;='Gastos com Pessoal'!$E$513:$E$522)*(I$3&lt;='Gastos com Pessoal'!$F$513:$F$522)*(IF('Gastos com Pessoal'!$S$513:$S$522&lt;=I$3,1,0))*OFFSET('Gastos com Pessoal'!$H$512,1,MATCH(3&amp;$B50,'Gastos com Pessoal'!$I$532:$AJ$532&amp;'Gastos com Pessoal'!$I$512:$AJ$512,0),10,1)),0)+_xlfn.IFNA(SUM((I$3&gt;='Gastos com Pessoal'!$E$513:$E$522)*(I$3&lt;='Gastos com Pessoal'!$F$513:$F$522)*(IF('Gastos com Pessoal'!$Y$513:$Y$522&lt;=I$3,1,0))*OFFSET('Gastos com Pessoal'!$H$512,1,MATCH(4&amp;$B50,'Gastos com Pessoal'!$I$532:$AJ$532&amp;'Gastos com Pessoal'!$I$512:$AJ$512,0),10,1)),0)+_xlfn.IFNA(SUM((I$3&gt;='Gastos com Pessoal'!$E$513:$E$522)*(I$3&lt;='Gastos com Pessoal'!$F$513:$F$522)*(IF('Gastos com Pessoal'!$AE$513:$AE$522&lt;=I$3,1,0))*OFFSET('Gastos com Pessoal'!$H$512,1,MATCH(5&amp;$B50,'Gastos com Pessoal'!$I$532:$AJ$532&amp;'Gastos com Pessoal'!$I$512:$AJ$512,0),10,1)),0)</f>
        <v>18186.38</v>
      </c>
      <c r="J50" s="188">
        <f t="array" aca="1" ref="J50" ca="1">_xlfn.IFNA(SUM((J$3&gt;='Gastos com Pessoal'!$E$7:$E$506)*(J$3&lt;='Gastos com Pessoal'!$F$7:$F$506)*OFFSET('Encargos e Benefícios'!$D$5,1,MATCH($B50,'Encargos e Benefícios'!$E$5:$AB$5,0),500,1)),0)+_xlfn.IFNA(SUM((J$3&gt;='Gastos com Pessoal'!$E$513:$E$522)*(J$3&lt;='Gastos com Pessoal'!$F$513:$F$522)*OFFSET('Encargos e Benefícios'!$D$511,1,MATCH($B50,'Encargos e Benefícios'!$E$511:$AB$511,0),10,1)),0)+_xlfn.IFNA(SUM((J$3&gt;='Gastos com Pessoal'!$E$7:$E$506)*(J$3&lt;='Gastos com Pessoal'!$F$7:$F$506)*(IF('Gastos com Pessoal'!$G$7:$G$506&lt;=J$3,1,0))*OFFSET('Gastos com Pessoal'!$H$6,1,MATCH(1&amp;$B50,'Gastos com Pessoal'!$I$532:$AJ$532&amp;'Gastos com Pessoal'!$I$6:$AJ$6,0),500,1)),0)+_xlfn.IFNA(SUM((J$3&gt;='Gastos com Pessoal'!$E$7:$E$506)*(J$3&lt;='Gastos com Pessoal'!$F$7:$F$506)*(IF('Gastos com Pessoal'!$M$7:$M$506&lt;=J$3,1,0))*OFFSET('Gastos com Pessoal'!$H$6,1,MATCH(2&amp;$B50,'Gastos com Pessoal'!$I$532:$AJ$532&amp;'Gastos com Pessoal'!$I$6:$AJ$6,0),500,1)),0)+_xlfn.IFNA(SUM((J$3&gt;='Gastos com Pessoal'!$E$7:$E$506)*(J$3&lt;='Gastos com Pessoal'!$F$7:$F$506)*(IF('Gastos com Pessoal'!$S$7:$S$506&lt;=J$3,1,0))*OFFSET('Gastos com Pessoal'!$H$6,1,MATCH(3&amp;$B50,'Gastos com Pessoal'!$I$532:$AJ$532&amp;'Gastos com Pessoal'!$I$6:$AJ$6,0),500,1)),0)+_xlfn.IFNA(SUM((J$3&gt;='Gastos com Pessoal'!$E$7:$E$506)*(J$3&lt;='Gastos com Pessoal'!$F$7:$F$506)*(IF('Gastos com Pessoal'!$Y$7:$Y$506&lt;=J$3,1,0))*OFFSET('Gastos com Pessoal'!$H$6,1,MATCH(4&amp;$B50,'Gastos com Pessoal'!$I$532:$AJ$532&amp;'Gastos com Pessoal'!$I$6:$AJ$6,0),500,1)),0)+_xlfn.IFNA(SUM((J$3&gt;='Gastos com Pessoal'!$E$7:$E$506)*(J$3&lt;='Gastos com Pessoal'!$F$7:$F$506)*(IF('Gastos com Pessoal'!$AE$7:$AE$506&lt;=J$3,1,0))*OFFSET('Gastos com Pessoal'!$H$6,1,MATCH(5&amp;$B50,'Gastos com Pessoal'!$I$532:$AJ$532&amp;'Gastos com Pessoal'!$I$6:$AJ$6,0),500,1)),0)+_xlfn.IFNA(SUM((J$3&gt;='Gastos com Pessoal'!$E$513:$E$522)*(J$3&lt;='Gastos com Pessoal'!$F$513:$F$522)*(IF('Gastos com Pessoal'!$G$513:$G$522&lt;=J$3,1,0))*OFFSET('Gastos com Pessoal'!$H$512,1,MATCH(1&amp;$B50,'Gastos com Pessoal'!$I$532:$AJ$532&amp;'Gastos com Pessoal'!$I$512:$AJ$512,0),10,1)),0)+_xlfn.IFNA(SUM((J$3&gt;='Gastos com Pessoal'!$E$513:$E$522)*(J$3&lt;='Gastos com Pessoal'!$F$513:$F$522)*(IF('Gastos com Pessoal'!$M$513:$M$522&lt;=J$3,1,0))*OFFSET('Gastos com Pessoal'!$H$512,1,MATCH(2&amp;$B50,'Gastos com Pessoal'!$I$532:$AJ$532&amp;'Gastos com Pessoal'!$I$512:$AJ$512,0),10,1)),0)+_xlfn.IFNA(SUM((J$3&gt;='Gastos com Pessoal'!$E$513:$E$522)*(J$3&lt;='Gastos com Pessoal'!$F$513:$F$522)*(IF('Gastos com Pessoal'!$S$513:$S$522&lt;=J$3,1,0))*OFFSET('Gastos com Pessoal'!$H$512,1,MATCH(3&amp;$B50,'Gastos com Pessoal'!$I$532:$AJ$532&amp;'Gastos com Pessoal'!$I$512:$AJ$512,0),10,1)),0)+_xlfn.IFNA(SUM((J$3&gt;='Gastos com Pessoal'!$E$513:$E$522)*(J$3&lt;='Gastos com Pessoal'!$F$513:$F$522)*(IF('Gastos com Pessoal'!$Y$513:$Y$522&lt;=J$3,1,0))*OFFSET('Gastos com Pessoal'!$H$512,1,MATCH(4&amp;$B50,'Gastos com Pessoal'!$I$532:$AJ$532&amp;'Gastos com Pessoal'!$I$512:$AJ$512,0),10,1)),0)+_xlfn.IFNA(SUM((J$3&gt;='Gastos com Pessoal'!$E$513:$E$522)*(J$3&lt;='Gastos com Pessoal'!$F$513:$F$522)*(IF('Gastos com Pessoal'!$AE$513:$AE$522&lt;=J$3,1,0))*OFFSET('Gastos com Pessoal'!$H$512,1,MATCH(5&amp;$B50,'Gastos com Pessoal'!$I$532:$AJ$532&amp;'Gastos com Pessoal'!$I$512:$AJ$512,0),10,1)),0)</f>
        <v>18186.38</v>
      </c>
      <c r="K50" s="188">
        <f t="array" aca="1" ref="K50" ca="1">_xlfn.IFNA(SUM((K$3&gt;='Gastos com Pessoal'!$E$7:$E$506)*(K$3&lt;='Gastos com Pessoal'!$F$7:$F$506)*OFFSET('Encargos e Benefícios'!$D$5,1,MATCH($B50,'Encargos e Benefícios'!$E$5:$AB$5,0),500,1)),0)+_xlfn.IFNA(SUM((K$3&gt;='Gastos com Pessoal'!$E$513:$E$522)*(K$3&lt;='Gastos com Pessoal'!$F$513:$F$522)*OFFSET('Encargos e Benefícios'!$D$511,1,MATCH($B50,'Encargos e Benefícios'!$E$511:$AB$511,0),10,1)),0)+_xlfn.IFNA(SUM((K$3&gt;='Gastos com Pessoal'!$E$7:$E$506)*(K$3&lt;='Gastos com Pessoal'!$F$7:$F$506)*(IF('Gastos com Pessoal'!$G$7:$G$506&lt;=K$3,1,0))*OFFSET('Gastos com Pessoal'!$H$6,1,MATCH(1&amp;$B50,'Gastos com Pessoal'!$I$532:$AJ$532&amp;'Gastos com Pessoal'!$I$6:$AJ$6,0),500,1)),0)+_xlfn.IFNA(SUM((K$3&gt;='Gastos com Pessoal'!$E$7:$E$506)*(K$3&lt;='Gastos com Pessoal'!$F$7:$F$506)*(IF('Gastos com Pessoal'!$M$7:$M$506&lt;=K$3,1,0))*OFFSET('Gastos com Pessoal'!$H$6,1,MATCH(2&amp;$B50,'Gastos com Pessoal'!$I$532:$AJ$532&amp;'Gastos com Pessoal'!$I$6:$AJ$6,0),500,1)),0)+_xlfn.IFNA(SUM((K$3&gt;='Gastos com Pessoal'!$E$7:$E$506)*(K$3&lt;='Gastos com Pessoal'!$F$7:$F$506)*(IF('Gastos com Pessoal'!$S$7:$S$506&lt;=K$3,1,0))*OFFSET('Gastos com Pessoal'!$H$6,1,MATCH(3&amp;$B50,'Gastos com Pessoal'!$I$532:$AJ$532&amp;'Gastos com Pessoal'!$I$6:$AJ$6,0),500,1)),0)+_xlfn.IFNA(SUM((K$3&gt;='Gastos com Pessoal'!$E$7:$E$506)*(K$3&lt;='Gastos com Pessoal'!$F$7:$F$506)*(IF('Gastos com Pessoal'!$Y$7:$Y$506&lt;=K$3,1,0))*OFFSET('Gastos com Pessoal'!$H$6,1,MATCH(4&amp;$B50,'Gastos com Pessoal'!$I$532:$AJ$532&amp;'Gastos com Pessoal'!$I$6:$AJ$6,0),500,1)),0)+_xlfn.IFNA(SUM((K$3&gt;='Gastos com Pessoal'!$E$7:$E$506)*(K$3&lt;='Gastos com Pessoal'!$F$7:$F$506)*(IF('Gastos com Pessoal'!$AE$7:$AE$506&lt;=K$3,1,0))*OFFSET('Gastos com Pessoal'!$H$6,1,MATCH(5&amp;$B50,'Gastos com Pessoal'!$I$532:$AJ$532&amp;'Gastos com Pessoal'!$I$6:$AJ$6,0),500,1)),0)+_xlfn.IFNA(SUM((K$3&gt;='Gastos com Pessoal'!$E$513:$E$522)*(K$3&lt;='Gastos com Pessoal'!$F$513:$F$522)*(IF('Gastos com Pessoal'!$G$513:$G$522&lt;=K$3,1,0))*OFFSET('Gastos com Pessoal'!$H$512,1,MATCH(1&amp;$B50,'Gastos com Pessoal'!$I$532:$AJ$532&amp;'Gastos com Pessoal'!$I$512:$AJ$512,0),10,1)),0)+_xlfn.IFNA(SUM((K$3&gt;='Gastos com Pessoal'!$E$513:$E$522)*(K$3&lt;='Gastos com Pessoal'!$F$513:$F$522)*(IF('Gastos com Pessoal'!$M$513:$M$522&lt;=K$3,1,0))*OFFSET('Gastos com Pessoal'!$H$512,1,MATCH(2&amp;$B50,'Gastos com Pessoal'!$I$532:$AJ$532&amp;'Gastos com Pessoal'!$I$512:$AJ$512,0),10,1)),0)+_xlfn.IFNA(SUM((K$3&gt;='Gastos com Pessoal'!$E$513:$E$522)*(K$3&lt;='Gastos com Pessoal'!$F$513:$F$522)*(IF('Gastos com Pessoal'!$S$513:$S$522&lt;=K$3,1,0))*OFFSET('Gastos com Pessoal'!$H$512,1,MATCH(3&amp;$B50,'Gastos com Pessoal'!$I$532:$AJ$532&amp;'Gastos com Pessoal'!$I$512:$AJ$512,0),10,1)),0)+_xlfn.IFNA(SUM((K$3&gt;='Gastos com Pessoal'!$E$513:$E$522)*(K$3&lt;='Gastos com Pessoal'!$F$513:$F$522)*(IF('Gastos com Pessoal'!$Y$513:$Y$522&lt;=K$3,1,0))*OFFSET('Gastos com Pessoal'!$H$512,1,MATCH(4&amp;$B50,'Gastos com Pessoal'!$I$532:$AJ$532&amp;'Gastos com Pessoal'!$I$512:$AJ$512,0),10,1)),0)+_xlfn.IFNA(SUM((K$3&gt;='Gastos com Pessoal'!$E$513:$E$522)*(K$3&lt;='Gastos com Pessoal'!$F$513:$F$522)*(IF('Gastos com Pessoal'!$AE$513:$AE$522&lt;=K$3,1,0))*OFFSET('Gastos com Pessoal'!$H$512,1,MATCH(5&amp;$B50,'Gastos com Pessoal'!$I$532:$AJ$532&amp;'Gastos com Pessoal'!$I$512:$AJ$512,0),10,1)),0)</f>
        <v>19137.770000000004</v>
      </c>
      <c r="L50" s="188">
        <f t="array" aca="1" ref="L50" ca="1">_xlfn.IFNA(SUM((L$3&gt;='Gastos com Pessoal'!$E$7:$E$506)*(L$3&lt;='Gastos com Pessoal'!$F$7:$F$506)*OFFSET('Encargos e Benefícios'!$D$5,1,MATCH($B50,'Encargos e Benefícios'!$E$5:$AB$5,0),500,1)),0)+_xlfn.IFNA(SUM((L$3&gt;='Gastos com Pessoal'!$E$513:$E$522)*(L$3&lt;='Gastos com Pessoal'!$F$513:$F$522)*OFFSET('Encargos e Benefícios'!$D$511,1,MATCH($B50,'Encargos e Benefícios'!$E$511:$AB$511,0),10,1)),0)+_xlfn.IFNA(SUM((L$3&gt;='Gastos com Pessoal'!$E$7:$E$506)*(L$3&lt;='Gastos com Pessoal'!$F$7:$F$506)*(IF('Gastos com Pessoal'!$G$7:$G$506&lt;=L$3,1,0))*OFFSET('Gastos com Pessoal'!$H$6,1,MATCH(1&amp;$B50,'Gastos com Pessoal'!$I$532:$AJ$532&amp;'Gastos com Pessoal'!$I$6:$AJ$6,0),500,1)),0)+_xlfn.IFNA(SUM((L$3&gt;='Gastos com Pessoal'!$E$7:$E$506)*(L$3&lt;='Gastos com Pessoal'!$F$7:$F$506)*(IF('Gastos com Pessoal'!$M$7:$M$506&lt;=L$3,1,0))*OFFSET('Gastos com Pessoal'!$H$6,1,MATCH(2&amp;$B50,'Gastos com Pessoal'!$I$532:$AJ$532&amp;'Gastos com Pessoal'!$I$6:$AJ$6,0),500,1)),0)+_xlfn.IFNA(SUM((L$3&gt;='Gastos com Pessoal'!$E$7:$E$506)*(L$3&lt;='Gastos com Pessoal'!$F$7:$F$506)*(IF('Gastos com Pessoal'!$S$7:$S$506&lt;=L$3,1,0))*OFFSET('Gastos com Pessoal'!$H$6,1,MATCH(3&amp;$B50,'Gastos com Pessoal'!$I$532:$AJ$532&amp;'Gastos com Pessoal'!$I$6:$AJ$6,0),500,1)),0)+_xlfn.IFNA(SUM((L$3&gt;='Gastos com Pessoal'!$E$7:$E$506)*(L$3&lt;='Gastos com Pessoal'!$F$7:$F$506)*(IF('Gastos com Pessoal'!$Y$7:$Y$506&lt;=L$3,1,0))*OFFSET('Gastos com Pessoal'!$H$6,1,MATCH(4&amp;$B50,'Gastos com Pessoal'!$I$532:$AJ$532&amp;'Gastos com Pessoal'!$I$6:$AJ$6,0),500,1)),0)+_xlfn.IFNA(SUM((L$3&gt;='Gastos com Pessoal'!$E$7:$E$506)*(L$3&lt;='Gastos com Pessoal'!$F$7:$F$506)*(IF('Gastos com Pessoal'!$AE$7:$AE$506&lt;=L$3,1,0))*OFFSET('Gastos com Pessoal'!$H$6,1,MATCH(5&amp;$B50,'Gastos com Pessoal'!$I$532:$AJ$532&amp;'Gastos com Pessoal'!$I$6:$AJ$6,0),500,1)),0)+_xlfn.IFNA(SUM((L$3&gt;='Gastos com Pessoal'!$E$513:$E$522)*(L$3&lt;='Gastos com Pessoal'!$F$513:$F$522)*(IF('Gastos com Pessoal'!$G$513:$G$522&lt;=L$3,1,0))*OFFSET('Gastos com Pessoal'!$H$512,1,MATCH(1&amp;$B50,'Gastos com Pessoal'!$I$532:$AJ$532&amp;'Gastos com Pessoal'!$I$512:$AJ$512,0),10,1)),0)+_xlfn.IFNA(SUM((L$3&gt;='Gastos com Pessoal'!$E$513:$E$522)*(L$3&lt;='Gastos com Pessoal'!$F$513:$F$522)*(IF('Gastos com Pessoal'!$M$513:$M$522&lt;=L$3,1,0))*OFFSET('Gastos com Pessoal'!$H$512,1,MATCH(2&amp;$B50,'Gastos com Pessoal'!$I$532:$AJ$532&amp;'Gastos com Pessoal'!$I$512:$AJ$512,0),10,1)),0)+_xlfn.IFNA(SUM((L$3&gt;='Gastos com Pessoal'!$E$513:$E$522)*(L$3&lt;='Gastos com Pessoal'!$F$513:$F$522)*(IF('Gastos com Pessoal'!$S$513:$S$522&lt;=L$3,1,0))*OFFSET('Gastos com Pessoal'!$H$512,1,MATCH(3&amp;$B50,'Gastos com Pessoal'!$I$532:$AJ$532&amp;'Gastos com Pessoal'!$I$512:$AJ$512,0),10,1)),0)+_xlfn.IFNA(SUM((L$3&gt;='Gastos com Pessoal'!$E$513:$E$522)*(L$3&lt;='Gastos com Pessoal'!$F$513:$F$522)*(IF('Gastos com Pessoal'!$Y$513:$Y$522&lt;=L$3,1,0))*OFFSET('Gastos com Pessoal'!$H$512,1,MATCH(4&amp;$B50,'Gastos com Pessoal'!$I$532:$AJ$532&amp;'Gastos com Pessoal'!$I$512:$AJ$512,0),10,1)),0)+_xlfn.IFNA(SUM((L$3&gt;='Gastos com Pessoal'!$E$513:$E$522)*(L$3&lt;='Gastos com Pessoal'!$F$513:$F$522)*(IF('Gastos com Pessoal'!$AE$513:$AE$522&lt;=L$3,1,0))*OFFSET('Gastos com Pessoal'!$H$512,1,MATCH(5&amp;$B50,'Gastos com Pessoal'!$I$532:$AJ$532&amp;'Gastos com Pessoal'!$I$512:$AJ$512,0),10,1)),0)</f>
        <v>19199.150000000005</v>
      </c>
      <c r="M50" s="188">
        <f t="array" aca="1" ref="M50" ca="1">_xlfn.IFNA(SUM((M$3&gt;='Gastos com Pessoal'!$E$7:$E$506)*(M$3&lt;='Gastos com Pessoal'!$F$7:$F$506)*OFFSET('Encargos e Benefícios'!$D$5,1,MATCH($B50,'Encargos e Benefícios'!$E$5:$AB$5,0),500,1)),0)+_xlfn.IFNA(SUM((M$3&gt;='Gastos com Pessoal'!$E$513:$E$522)*(M$3&lt;='Gastos com Pessoal'!$F$513:$F$522)*OFFSET('Encargos e Benefícios'!$D$511,1,MATCH($B50,'Encargos e Benefícios'!$E$511:$AB$511,0),10,1)),0)+_xlfn.IFNA(SUM((M$3&gt;='Gastos com Pessoal'!$E$7:$E$506)*(M$3&lt;='Gastos com Pessoal'!$F$7:$F$506)*(IF('Gastos com Pessoal'!$G$7:$G$506&lt;=M$3,1,0))*OFFSET('Gastos com Pessoal'!$H$6,1,MATCH(1&amp;$B50,'Gastos com Pessoal'!$I$532:$AJ$532&amp;'Gastos com Pessoal'!$I$6:$AJ$6,0),500,1)),0)+_xlfn.IFNA(SUM((M$3&gt;='Gastos com Pessoal'!$E$7:$E$506)*(M$3&lt;='Gastos com Pessoal'!$F$7:$F$506)*(IF('Gastos com Pessoal'!$M$7:$M$506&lt;=M$3,1,0))*OFFSET('Gastos com Pessoal'!$H$6,1,MATCH(2&amp;$B50,'Gastos com Pessoal'!$I$532:$AJ$532&amp;'Gastos com Pessoal'!$I$6:$AJ$6,0),500,1)),0)+_xlfn.IFNA(SUM((M$3&gt;='Gastos com Pessoal'!$E$7:$E$506)*(M$3&lt;='Gastos com Pessoal'!$F$7:$F$506)*(IF('Gastos com Pessoal'!$S$7:$S$506&lt;=M$3,1,0))*OFFSET('Gastos com Pessoal'!$H$6,1,MATCH(3&amp;$B50,'Gastos com Pessoal'!$I$532:$AJ$532&amp;'Gastos com Pessoal'!$I$6:$AJ$6,0),500,1)),0)+_xlfn.IFNA(SUM((M$3&gt;='Gastos com Pessoal'!$E$7:$E$506)*(M$3&lt;='Gastos com Pessoal'!$F$7:$F$506)*(IF('Gastos com Pessoal'!$Y$7:$Y$506&lt;=M$3,1,0))*OFFSET('Gastos com Pessoal'!$H$6,1,MATCH(4&amp;$B50,'Gastos com Pessoal'!$I$532:$AJ$532&amp;'Gastos com Pessoal'!$I$6:$AJ$6,0),500,1)),0)+_xlfn.IFNA(SUM((M$3&gt;='Gastos com Pessoal'!$E$7:$E$506)*(M$3&lt;='Gastos com Pessoal'!$F$7:$F$506)*(IF('Gastos com Pessoal'!$AE$7:$AE$506&lt;=M$3,1,0))*OFFSET('Gastos com Pessoal'!$H$6,1,MATCH(5&amp;$B50,'Gastos com Pessoal'!$I$532:$AJ$532&amp;'Gastos com Pessoal'!$I$6:$AJ$6,0),500,1)),0)+_xlfn.IFNA(SUM((M$3&gt;='Gastos com Pessoal'!$E$513:$E$522)*(M$3&lt;='Gastos com Pessoal'!$F$513:$F$522)*(IF('Gastos com Pessoal'!$G$513:$G$522&lt;=M$3,1,0))*OFFSET('Gastos com Pessoal'!$H$512,1,MATCH(1&amp;$B50,'Gastos com Pessoal'!$I$532:$AJ$532&amp;'Gastos com Pessoal'!$I$512:$AJ$512,0),10,1)),0)+_xlfn.IFNA(SUM((M$3&gt;='Gastos com Pessoal'!$E$513:$E$522)*(M$3&lt;='Gastos com Pessoal'!$F$513:$F$522)*(IF('Gastos com Pessoal'!$M$513:$M$522&lt;=M$3,1,0))*OFFSET('Gastos com Pessoal'!$H$512,1,MATCH(2&amp;$B50,'Gastos com Pessoal'!$I$532:$AJ$532&amp;'Gastos com Pessoal'!$I$512:$AJ$512,0),10,1)),0)+_xlfn.IFNA(SUM((M$3&gt;='Gastos com Pessoal'!$E$513:$E$522)*(M$3&lt;='Gastos com Pessoal'!$F$513:$F$522)*(IF('Gastos com Pessoal'!$S$513:$S$522&lt;=M$3,1,0))*OFFSET('Gastos com Pessoal'!$H$512,1,MATCH(3&amp;$B50,'Gastos com Pessoal'!$I$532:$AJ$532&amp;'Gastos com Pessoal'!$I$512:$AJ$512,0),10,1)),0)+_xlfn.IFNA(SUM((M$3&gt;='Gastos com Pessoal'!$E$513:$E$522)*(M$3&lt;='Gastos com Pessoal'!$F$513:$F$522)*(IF('Gastos com Pessoal'!$Y$513:$Y$522&lt;=M$3,1,0))*OFFSET('Gastos com Pessoal'!$H$512,1,MATCH(4&amp;$B50,'Gastos com Pessoal'!$I$532:$AJ$532&amp;'Gastos com Pessoal'!$I$512:$AJ$512,0),10,1)),0)+_xlfn.IFNA(SUM((M$3&gt;='Gastos com Pessoal'!$E$513:$E$522)*(M$3&lt;='Gastos com Pessoal'!$F$513:$F$522)*(IF('Gastos com Pessoal'!$AE$513:$AE$522&lt;=M$3,1,0))*OFFSET('Gastos com Pessoal'!$H$512,1,MATCH(5&amp;$B50,'Gastos com Pessoal'!$I$532:$AJ$532&amp;'Gastos com Pessoal'!$I$512:$AJ$512,0),10,1)),0)</f>
        <v>19199.150000000005</v>
      </c>
      <c r="N50" s="188">
        <f t="array" aca="1" ref="N50" ca="1">_xlfn.IFNA(SUM((N$3&gt;='Gastos com Pessoal'!$E$7:$E$506)*(N$3&lt;='Gastos com Pessoal'!$F$7:$F$506)*OFFSET('Encargos e Benefícios'!$D$5,1,MATCH($B50,'Encargos e Benefícios'!$E$5:$AB$5,0),500,1)),0)+_xlfn.IFNA(SUM((N$3&gt;='Gastos com Pessoal'!$E$513:$E$522)*(N$3&lt;='Gastos com Pessoal'!$F$513:$F$522)*OFFSET('Encargos e Benefícios'!$D$511,1,MATCH($B50,'Encargos e Benefícios'!$E$511:$AB$511,0),10,1)),0)+_xlfn.IFNA(SUM((N$3&gt;='Gastos com Pessoal'!$E$7:$E$506)*(N$3&lt;='Gastos com Pessoal'!$F$7:$F$506)*(IF('Gastos com Pessoal'!$G$7:$G$506&lt;=N$3,1,0))*OFFSET('Gastos com Pessoal'!$H$6,1,MATCH(1&amp;$B50,'Gastos com Pessoal'!$I$532:$AJ$532&amp;'Gastos com Pessoal'!$I$6:$AJ$6,0),500,1)),0)+_xlfn.IFNA(SUM((N$3&gt;='Gastos com Pessoal'!$E$7:$E$506)*(N$3&lt;='Gastos com Pessoal'!$F$7:$F$506)*(IF('Gastos com Pessoal'!$M$7:$M$506&lt;=N$3,1,0))*OFFSET('Gastos com Pessoal'!$H$6,1,MATCH(2&amp;$B50,'Gastos com Pessoal'!$I$532:$AJ$532&amp;'Gastos com Pessoal'!$I$6:$AJ$6,0),500,1)),0)+_xlfn.IFNA(SUM((N$3&gt;='Gastos com Pessoal'!$E$7:$E$506)*(N$3&lt;='Gastos com Pessoal'!$F$7:$F$506)*(IF('Gastos com Pessoal'!$S$7:$S$506&lt;=N$3,1,0))*OFFSET('Gastos com Pessoal'!$H$6,1,MATCH(3&amp;$B50,'Gastos com Pessoal'!$I$532:$AJ$532&amp;'Gastos com Pessoal'!$I$6:$AJ$6,0),500,1)),0)+_xlfn.IFNA(SUM((N$3&gt;='Gastos com Pessoal'!$E$7:$E$506)*(N$3&lt;='Gastos com Pessoal'!$F$7:$F$506)*(IF('Gastos com Pessoal'!$Y$7:$Y$506&lt;=N$3,1,0))*OFFSET('Gastos com Pessoal'!$H$6,1,MATCH(4&amp;$B50,'Gastos com Pessoal'!$I$532:$AJ$532&amp;'Gastos com Pessoal'!$I$6:$AJ$6,0),500,1)),0)+_xlfn.IFNA(SUM((N$3&gt;='Gastos com Pessoal'!$E$7:$E$506)*(N$3&lt;='Gastos com Pessoal'!$F$7:$F$506)*(IF('Gastos com Pessoal'!$AE$7:$AE$506&lt;=N$3,1,0))*OFFSET('Gastos com Pessoal'!$H$6,1,MATCH(5&amp;$B50,'Gastos com Pessoal'!$I$532:$AJ$532&amp;'Gastos com Pessoal'!$I$6:$AJ$6,0),500,1)),0)+_xlfn.IFNA(SUM((N$3&gt;='Gastos com Pessoal'!$E$513:$E$522)*(N$3&lt;='Gastos com Pessoal'!$F$513:$F$522)*(IF('Gastos com Pessoal'!$G$513:$G$522&lt;=N$3,1,0))*OFFSET('Gastos com Pessoal'!$H$512,1,MATCH(1&amp;$B50,'Gastos com Pessoal'!$I$532:$AJ$532&amp;'Gastos com Pessoal'!$I$512:$AJ$512,0),10,1)),0)+_xlfn.IFNA(SUM((N$3&gt;='Gastos com Pessoal'!$E$513:$E$522)*(N$3&lt;='Gastos com Pessoal'!$F$513:$F$522)*(IF('Gastos com Pessoal'!$M$513:$M$522&lt;=N$3,1,0))*OFFSET('Gastos com Pessoal'!$H$512,1,MATCH(2&amp;$B50,'Gastos com Pessoal'!$I$532:$AJ$532&amp;'Gastos com Pessoal'!$I$512:$AJ$512,0),10,1)),0)+_xlfn.IFNA(SUM((N$3&gt;='Gastos com Pessoal'!$E$513:$E$522)*(N$3&lt;='Gastos com Pessoal'!$F$513:$F$522)*(IF('Gastos com Pessoal'!$S$513:$S$522&lt;=N$3,1,0))*OFFSET('Gastos com Pessoal'!$H$512,1,MATCH(3&amp;$B50,'Gastos com Pessoal'!$I$532:$AJ$532&amp;'Gastos com Pessoal'!$I$512:$AJ$512,0),10,1)),0)+_xlfn.IFNA(SUM((N$3&gt;='Gastos com Pessoal'!$E$513:$E$522)*(N$3&lt;='Gastos com Pessoal'!$F$513:$F$522)*(IF('Gastos com Pessoal'!$Y$513:$Y$522&lt;=N$3,1,0))*OFFSET('Gastos com Pessoal'!$H$512,1,MATCH(4&amp;$B50,'Gastos com Pessoal'!$I$532:$AJ$532&amp;'Gastos com Pessoal'!$I$512:$AJ$512,0),10,1)),0)+_xlfn.IFNA(SUM((N$3&gt;='Gastos com Pessoal'!$E$513:$E$522)*(N$3&lt;='Gastos com Pessoal'!$F$513:$F$522)*(IF('Gastos com Pessoal'!$AE$513:$AE$522&lt;=N$3,1,0))*OFFSET('Gastos com Pessoal'!$H$512,1,MATCH(5&amp;$B50,'Gastos com Pessoal'!$I$532:$AJ$532&amp;'Gastos com Pessoal'!$I$512:$AJ$512,0),10,1)),0)</f>
        <v>20150.540000000008</v>
      </c>
      <c r="O50" s="188">
        <f t="array" aca="1" ref="O50" ca="1">_xlfn.IFNA(SUM((O$3&gt;='Gastos com Pessoal'!$E$7:$E$506)*(O$3&lt;='Gastos com Pessoal'!$F$7:$F$506)*OFFSET('Encargos e Benefícios'!$D$5,1,MATCH($B50,'Encargos e Benefícios'!$E$5:$AB$5,0),500,1)),0)+_xlfn.IFNA(SUM((O$3&gt;='Gastos com Pessoal'!$E$513:$E$522)*(O$3&lt;='Gastos com Pessoal'!$F$513:$F$522)*OFFSET('Encargos e Benefícios'!$D$511,1,MATCH($B50,'Encargos e Benefícios'!$E$511:$AB$511,0),10,1)),0)+_xlfn.IFNA(SUM((O$3&gt;='Gastos com Pessoal'!$E$7:$E$506)*(O$3&lt;='Gastos com Pessoal'!$F$7:$F$506)*(IF('Gastos com Pessoal'!$G$7:$G$506&lt;=O$3,1,0))*OFFSET('Gastos com Pessoal'!$H$6,1,MATCH(1&amp;$B50,'Gastos com Pessoal'!$I$532:$AJ$532&amp;'Gastos com Pessoal'!$I$6:$AJ$6,0),500,1)),0)+_xlfn.IFNA(SUM((O$3&gt;='Gastos com Pessoal'!$E$7:$E$506)*(O$3&lt;='Gastos com Pessoal'!$F$7:$F$506)*(IF('Gastos com Pessoal'!$M$7:$M$506&lt;=O$3,1,0))*OFFSET('Gastos com Pessoal'!$H$6,1,MATCH(2&amp;$B50,'Gastos com Pessoal'!$I$532:$AJ$532&amp;'Gastos com Pessoal'!$I$6:$AJ$6,0),500,1)),0)+_xlfn.IFNA(SUM((O$3&gt;='Gastos com Pessoal'!$E$7:$E$506)*(O$3&lt;='Gastos com Pessoal'!$F$7:$F$506)*(IF('Gastos com Pessoal'!$S$7:$S$506&lt;=O$3,1,0))*OFFSET('Gastos com Pessoal'!$H$6,1,MATCH(3&amp;$B50,'Gastos com Pessoal'!$I$532:$AJ$532&amp;'Gastos com Pessoal'!$I$6:$AJ$6,0),500,1)),0)+_xlfn.IFNA(SUM((O$3&gt;='Gastos com Pessoal'!$E$7:$E$506)*(O$3&lt;='Gastos com Pessoal'!$F$7:$F$506)*(IF('Gastos com Pessoal'!$Y$7:$Y$506&lt;=O$3,1,0))*OFFSET('Gastos com Pessoal'!$H$6,1,MATCH(4&amp;$B50,'Gastos com Pessoal'!$I$532:$AJ$532&amp;'Gastos com Pessoal'!$I$6:$AJ$6,0),500,1)),0)+_xlfn.IFNA(SUM((O$3&gt;='Gastos com Pessoal'!$E$7:$E$506)*(O$3&lt;='Gastos com Pessoal'!$F$7:$F$506)*(IF('Gastos com Pessoal'!$AE$7:$AE$506&lt;=O$3,1,0))*OFFSET('Gastos com Pessoal'!$H$6,1,MATCH(5&amp;$B50,'Gastos com Pessoal'!$I$532:$AJ$532&amp;'Gastos com Pessoal'!$I$6:$AJ$6,0),500,1)),0)+_xlfn.IFNA(SUM((O$3&gt;='Gastos com Pessoal'!$E$513:$E$522)*(O$3&lt;='Gastos com Pessoal'!$F$513:$F$522)*(IF('Gastos com Pessoal'!$G$513:$G$522&lt;=O$3,1,0))*OFFSET('Gastos com Pessoal'!$H$512,1,MATCH(1&amp;$B50,'Gastos com Pessoal'!$I$532:$AJ$532&amp;'Gastos com Pessoal'!$I$512:$AJ$512,0),10,1)),0)+_xlfn.IFNA(SUM((O$3&gt;='Gastos com Pessoal'!$E$513:$E$522)*(O$3&lt;='Gastos com Pessoal'!$F$513:$F$522)*(IF('Gastos com Pessoal'!$M$513:$M$522&lt;=O$3,1,0))*OFFSET('Gastos com Pessoal'!$H$512,1,MATCH(2&amp;$B50,'Gastos com Pessoal'!$I$532:$AJ$532&amp;'Gastos com Pessoal'!$I$512:$AJ$512,0),10,1)),0)+_xlfn.IFNA(SUM((O$3&gt;='Gastos com Pessoal'!$E$513:$E$522)*(O$3&lt;='Gastos com Pessoal'!$F$513:$F$522)*(IF('Gastos com Pessoal'!$S$513:$S$522&lt;=O$3,1,0))*OFFSET('Gastos com Pessoal'!$H$512,1,MATCH(3&amp;$B50,'Gastos com Pessoal'!$I$532:$AJ$532&amp;'Gastos com Pessoal'!$I$512:$AJ$512,0),10,1)),0)+_xlfn.IFNA(SUM((O$3&gt;='Gastos com Pessoal'!$E$513:$E$522)*(O$3&lt;='Gastos com Pessoal'!$F$513:$F$522)*(IF('Gastos com Pessoal'!$Y$513:$Y$522&lt;=O$3,1,0))*OFFSET('Gastos com Pessoal'!$H$512,1,MATCH(4&amp;$B50,'Gastos com Pessoal'!$I$532:$AJ$532&amp;'Gastos com Pessoal'!$I$512:$AJ$512,0),10,1)),0)+_xlfn.IFNA(SUM((O$3&gt;='Gastos com Pessoal'!$E$513:$E$522)*(O$3&lt;='Gastos com Pessoal'!$F$513:$F$522)*(IF('Gastos com Pessoal'!$AE$513:$AE$522&lt;=O$3,1,0))*OFFSET('Gastos com Pessoal'!$H$512,1,MATCH(5&amp;$B50,'Gastos com Pessoal'!$I$532:$AJ$532&amp;'Gastos com Pessoal'!$I$512:$AJ$512,0),10,1)),0)</f>
        <v>20150.540000000008</v>
      </c>
      <c r="P50" s="188">
        <f t="array" aca="1" ref="P50" ca="1">_xlfn.IFNA(SUM((P$3&gt;='Gastos com Pessoal'!$E$7:$E$506)*(P$3&lt;='Gastos com Pessoal'!$F$7:$F$506)*OFFSET('Encargos e Benefícios'!$D$5,1,MATCH($B50,'Encargos e Benefícios'!$E$5:$AB$5,0),500,1)),0)+_xlfn.IFNA(SUM((P$3&gt;='Gastos com Pessoal'!$E$513:$E$522)*(P$3&lt;='Gastos com Pessoal'!$F$513:$F$522)*OFFSET('Encargos e Benefícios'!$D$511,1,MATCH($B50,'Encargos e Benefícios'!$E$511:$AB$511,0),10,1)),0)+_xlfn.IFNA(SUM((P$3&gt;='Gastos com Pessoal'!$E$7:$E$506)*(P$3&lt;='Gastos com Pessoal'!$F$7:$F$506)*(IF('Gastos com Pessoal'!$G$7:$G$506&lt;=P$3,1,0))*OFFSET('Gastos com Pessoal'!$H$6,1,MATCH(1&amp;$B50,'Gastos com Pessoal'!$I$532:$AJ$532&amp;'Gastos com Pessoal'!$I$6:$AJ$6,0),500,1)),0)+_xlfn.IFNA(SUM((P$3&gt;='Gastos com Pessoal'!$E$7:$E$506)*(P$3&lt;='Gastos com Pessoal'!$F$7:$F$506)*(IF('Gastos com Pessoal'!$M$7:$M$506&lt;=P$3,1,0))*OFFSET('Gastos com Pessoal'!$H$6,1,MATCH(2&amp;$B50,'Gastos com Pessoal'!$I$532:$AJ$532&amp;'Gastos com Pessoal'!$I$6:$AJ$6,0),500,1)),0)+_xlfn.IFNA(SUM((P$3&gt;='Gastos com Pessoal'!$E$7:$E$506)*(P$3&lt;='Gastos com Pessoal'!$F$7:$F$506)*(IF('Gastos com Pessoal'!$S$7:$S$506&lt;=P$3,1,0))*OFFSET('Gastos com Pessoal'!$H$6,1,MATCH(3&amp;$B50,'Gastos com Pessoal'!$I$532:$AJ$532&amp;'Gastos com Pessoal'!$I$6:$AJ$6,0),500,1)),0)+_xlfn.IFNA(SUM((P$3&gt;='Gastos com Pessoal'!$E$7:$E$506)*(P$3&lt;='Gastos com Pessoal'!$F$7:$F$506)*(IF('Gastos com Pessoal'!$Y$7:$Y$506&lt;=P$3,1,0))*OFFSET('Gastos com Pessoal'!$H$6,1,MATCH(4&amp;$B50,'Gastos com Pessoal'!$I$532:$AJ$532&amp;'Gastos com Pessoal'!$I$6:$AJ$6,0),500,1)),0)+_xlfn.IFNA(SUM((P$3&gt;='Gastos com Pessoal'!$E$7:$E$506)*(P$3&lt;='Gastos com Pessoal'!$F$7:$F$506)*(IF('Gastos com Pessoal'!$AE$7:$AE$506&lt;=P$3,1,0))*OFFSET('Gastos com Pessoal'!$H$6,1,MATCH(5&amp;$B50,'Gastos com Pessoal'!$I$532:$AJ$532&amp;'Gastos com Pessoal'!$I$6:$AJ$6,0),500,1)),0)+_xlfn.IFNA(SUM((P$3&gt;='Gastos com Pessoal'!$E$513:$E$522)*(P$3&lt;='Gastos com Pessoal'!$F$513:$F$522)*(IF('Gastos com Pessoal'!$G$513:$G$522&lt;=P$3,1,0))*OFFSET('Gastos com Pessoal'!$H$512,1,MATCH(1&amp;$B50,'Gastos com Pessoal'!$I$532:$AJ$532&amp;'Gastos com Pessoal'!$I$512:$AJ$512,0),10,1)),0)+_xlfn.IFNA(SUM((P$3&gt;='Gastos com Pessoal'!$E$513:$E$522)*(P$3&lt;='Gastos com Pessoal'!$F$513:$F$522)*(IF('Gastos com Pessoal'!$M$513:$M$522&lt;=P$3,1,0))*OFFSET('Gastos com Pessoal'!$H$512,1,MATCH(2&amp;$B50,'Gastos com Pessoal'!$I$532:$AJ$532&amp;'Gastos com Pessoal'!$I$512:$AJ$512,0),10,1)),0)+_xlfn.IFNA(SUM((P$3&gt;='Gastos com Pessoal'!$E$513:$E$522)*(P$3&lt;='Gastos com Pessoal'!$F$513:$F$522)*(IF('Gastos com Pessoal'!$S$513:$S$522&lt;=P$3,1,0))*OFFSET('Gastos com Pessoal'!$H$512,1,MATCH(3&amp;$B50,'Gastos com Pessoal'!$I$532:$AJ$532&amp;'Gastos com Pessoal'!$I$512:$AJ$512,0),10,1)),0)+_xlfn.IFNA(SUM((P$3&gt;='Gastos com Pessoal'!$E$513:$E$522)*(P$3&lt;='Gastos com Pessoal'!$F$513:$F$522)*(IF('Gastos com Pessoal'!$Y$513:$Y$522&lt;=P$3,1,0))*OFFSET('Gastos com Pessoal'!$H$512,1,MATCH(4&amp;$B50,'Gastos com Pessoal'!$I$532:$AJ$532&amp;'Gastos com Pessoal'!$I$512:$AJ$512,0),10,1)),0)+_xlfn.IFNA(SUM((P$3&gt;='Gastos com Pessoal'!$E$513:$E$522)*(P$3&lt;='Gastos com Pessoal'!$F$513:$F$522)*(IF('Gastos com Pessoal'!$AE$513:$AE$522&lt;=P$3,1,0))*OFFSET('Gastos com Pessoal'!$H$512,1,MATCH(5&amp;$B50,'Gastos com Pessoal'!$I$532:$AJ$532&amp;'Gastos com Pessoal'!$I$512:$AJ$512,0),10,1)),0)</f>
        <v>20150.540000000008</v>
      </c>
      <c r="Q50" s="188">
        <f t="array" aca="1" ref="Q50" ca="1">_xlfn.IFNA(SUM((Q$3&gt;='Gastos com Pessoal'!$E$7:$E$506)*(Q$3&lt;='Gastos com Pessoal'!$F$7:$F$506)*OFFSET('Encargos e Benefícios'!$D$5,1,MATCH($B50,'Encargos e Benefícios'!$E$5:$AB$5,0),500,1)),0)+_xlfn.IFNA(SUM((Q$3&gt;='Gastos com Pessoal'!$E$513:$E$522)*(Q$3&lt;='Gastos com Pessoal'!$F$513:$F$522)*OFFSET('Encargos e Benefícios'!$D$511,1,MATCH($B50,'Encargos e Benefícios'!$E$511:$AB$511,0),10,1)),0)+_xlfn.IFNA(SUM((Q$3&gt;='Gastos com Pessoal'!$E$7:$E$506)*(Q$3&lt;='Gastos com Pessoal'!$F$7:$F$506)*(IF('Gastos com Pessoal'!$G$7:$G$506&lt;=Q$3,1,0))*OFFSET('Gastos com Pessoal'!$H$6,1,MATCH(1&amp;$B50,'Gastos com Pessoal'!$I$532:$AJ$532&amp;'Gastos com Pessoal'!$I$6:$AJ$6,0),500,1)),0)+_xlfn.IFNA(SUM((Q$3&gt;='Gastos com Pessoal'!$E$7:$E$506)*(Q$3&lt;='Gastos com Pessoal'!$F$7:$F$506)*(IF('Gastos com Pessoal'!$M$7:$M$506&lt;=Q$3,1,0))*OFFSET('Gastos com Pessoal'!$H$6,1,MATCH(2&amp;$B50,'Gastos com Pessoal'!$I$532:$AJ$532&amp;'Gastos com Pessoal'!$I$6:$AJ$6,0),500,1)),0)+_xlfn.IFNA(SUM((Q$3&gt;='Gastos com Pessoal'!$E$7:$E$506)*(Q$3&lt;='Gastos com Pessoal'!$F$7:$F$506)*(IF('Gastos com Pessoal'!$S$7:$S$506&lt;=Q$3,1,0))*OFFSET('Gastos com Pessoal'!$H$6,1,MATCH(3&amp;$B50,'Gastos com Pessoal'!$I$532:$AJ$532&amp;'Gastos com Pessoal'!$I$6:$AJ$6,0),500,1)),0)+_xlfn.IFNA(SUM((Q$3&gt;='Gastos com Pessoal'!$E$7:$E$506)*(Q$3&lt;='Gastos com Pessoal'!$F$7:$F$506)*(IF('Gastos com Pessoal'!$Y$7:$Y$506&lt;=Q$3,1,0))*OFFSET('Gastos com Pessoal'!$H$6,1,MATCH(4&amp;$B50,'Gastos com Pessoal'!$I$532:$AJ$532&amp;'Gastos com Pessoal'!$I$6:$AJ$6,0),500,1)),0)+_xlfn.IFNA(SUM((Q$3&gt;='Gastos com Pessoal'!$E$7:$E$506)*(Q$3&lt;='Gastos com Pessoal'!$F$7:$F$506)*(IF('Gastos com Pessoal'!$AE$7:$AE$506&lt;=Q$3,1,0))*OFFSET('Gastos com Pessoal'!$H$6,1,MATCH(5&amp;$B50,'Gastos com Pessoal'!$I$532:$AJ$532&amp;'Gastos com Pessoal'!$I$6:$AJ$6,0),500,1)),0)+_xlfn.IFNA(SUM((Q$3&gt;='Gastos com Pessoal'!$E$513:$E$522)*(Q$3&lt;='Gastos com Pessoal'!$F$513:$F$522)*(IF('Gastos com Pessoal'!$G$513:$G$522&lt;=Q$3,1,0))*OFFSET('Gastos com Pessoal'!$H$512,1,MATCH(1&amp;$B50,'Gastos com Pessoal'!$I$532:$AJ$532&amp;'Gastos com Pessoal'!$I$512:$AJ$512,0),10,1)),0)+_xlfn.IFNA(SUM((Q$3&gt;='Gastos com Pessoal'!$E$513:$E$522)*(Q$3&lt;='Gastos com Pessoal'!$F$513:$F$522)*(IF('Gastos com Pessoal'!$M$513:$M$522&lt;=Q$3,1,0))*OFFSET('Gastos com Pessoal'!$H$512,1,MATCH(2&amp;$B50,'Gastos com Pessoal'!$I$532:$AJ$532&amp;'Gastos com Pessoal'!$I$512:$AJ$512,0),10,1)),0)+_xlfn.IFNA(SUM((Q$3&gt;='Gastos com Pessoal'!$E$513:$E$522)*(Q$3&lt;='Gastos com Pessoal'!$F$513:$F$522)*(IF('Gastos com Pessoal'!$S$513:$S$522&lt;=Q$3,1,0))*OFFSET('Gastos com Pessoal'!$H$512,1,MATCH(3&amp;$B50,'Gastos com Pessoal'!$I$532:$AJ$532&amp;'Gastos com Pessoal'!$I$512:$AJ$512,0),10,1)),0)+_xlfn.IFNA(SUM((Q$3&gt;='Gastos com Pessoal'!$E$513:$E$522)*(Q$3&lt;='Gastos com Pessoal'!$F$513:$F$522)*(IF('Gastos com Pessoal'!$Y$513:$Y$522&lt;=Q$3,1,0))*OFFSET('Gastos com Pessoal'!$H$512,1,MATCH(4&amp;$B50,'Gastos com Pessoal'!$I$532:$AJ$532&amp;'Gastos com Pessoal'!$I$512:$AJ$512,0),10,1)),0)+_xlfn.IFNA(SUM((Q$3&gt;='Gastos com Pessoal'!$E$513:$E$522)*(Q$3&lt;='Gastos com Pessoal'!$F$513:$F$522)*(IF('Gastos com Pessoal'!$AE$513:$AE$522&lt;=Q$3,1,0))*OFFSET('Gastos com Pessoal'!$H$512,1,MATCH(5&amp;$B50,'Gastos com Pessoal'!$I$532:$AJ$532&amp;'Gastos com Pessoal'!$I$512:$AJ$512,0),10,1)),0)</f>
        <v>20150.540000000008</v>
      </c>
      <c r="R50" s="188">
        <f t="array" aca="1" ref="R50" ca="1">_xlfn.IFNA(SUM((R$3&gt;='Gastos com Pessoal'!$E$7:$E$506)*(R$3&lt;='Gastos com Pessoal'!$F$7:$F$506)*OFFSET('Encargos e Benefícios'!$D$5,1,MATCH($B50,'Encargos e Benefícios'!$E$5:$AB$5,0),500,1)),0)+_xlfn.IFNA(SUM((R$3&gt;='Gastos com Pessoal'!$E$513:$E$522)*(R$3&lt;='Gastos com Pessoal'!$F$513:$F$522)*OFFSET('Encargos e Benefícios'!$D$511,1,MATCH($B50,'Encargos e Benefícios'!$E$511:$AB$511,0),10,1)),0)+_xlfn.IFNA(SUM((R$3&gt;='Gastos com Pessoal'!$E$7:$E$506)*(R$3&lt;='Gastos com Pessoal'!$F$7:$F$506)*(IF('Gastos com Pessoal'!$G$7:$G$506&lt;=R$3,1,0))*OFFSET('Gastos com Pessoal'!$H$6,1,MATCH(1&amp;$B50,'Gastos com Pessoal'!$I$532:$AJ$532&amp;'Gastos com Pessoal'!$I$6:$AJ$6,0),500,1)),0)+_xlfn.IFNA(SUM((R$3&gt;='Gastos com Pessoal'!$E$7:$E$506)*(R$3&lt;='Gastos com Pessoal'!$F$7:$F$506)*(IF('Gastos com Pessoal'!$M$7:$M$506&lt;=R$3,1,0))*OFFSET('Gastos com Pessoal'!$H$6,1,MATCH(2&amp;$B50,'Gastos com Pessoal'!$I$532:$AJ$532&amp;'Gastos com Pessoal'!$I$6:$AJ$6,0),500,1)),0)+_xlfn.IFNA(SUM((R$3&gt;='Gastos com Pessoal'!$E$7:$E$506)*(R$3&lt;='Gastos com Pessoal'!$F$7:$F$506)*(IF('Gastos com Pessoal'!$S$7:$S$506&lt;=R$3,1,0))*OFFSET('Gastos com Pessoal'!$H$6,1,MATCH(3&amp;$B50,'Gastos com Pessoal'!$I$532:$AJ$532&amp;'Gastos com Pessoal'!$I$6:$AJ$6,0),500,1)),0)+_xlfn.IFNA(SUM((R$3&gt;='Gastos com Pessoal'!$E$7:$E$506)*(R$3&lt;='Gastos com Pessoal'!$F$7:$F$506)*(IF('Gastos com Pessoal'!$Y$7:$Y$506&lt;=R$3,1,0))*OFFSET('Gastos com Pessoal'!$H$6,1,MATCH(4&amp;$B50,'Gastos com Pessoal'!$I$532:$AJ$532&amp;'Gastos com Pessoal'!$I$6:$AJ$6,0),500,1)),0)+_xlfn.IFNA(SUM((R$3&gt;='Gastos com Pessoal'!$E$7:$E$506)*(R$3&lt;='Gastos com Pessoal'!$F$7:$F$506)*(IF('Gastos com Pessoal'!$AE$7:$AE$506&lt;=R$3,1,0))*OFFSET('Gastos com Pessoal'!$H$6,1,MATCH(5&amp;$B50,'Gastos com Pessoal'!$I$532:$AJ$532&amp;'Gastos com Pessoal'!$I$6:$AJ$6,0),500,1)),0)+_xlfn.IFNA(SUM((R$3&gt;='Gastos com Pessoal'!$E$513:$E$522)*(R$3&lt;='Gastos com Pessoal'!$F$513:$F$522)*(IF('Gastos com Pessoal'!$G$513:$G$522&lt;=R$3,1,0))*OFFSET('Gastos com Pessoal'!$H$512,1,MATCH(1&amp;$B50,'Gastos com Pessoal'!$I$532:$AJ$532&amp;'Gastos com Pessoal'!$I$512:$AJ$512,0),10,1)),0)+_xlfn.IFNA(SUM((R$3&gt;='Gastos com Pessoal'!$E$513:$E$522)*(R$3&lt;='Gastos com Pessoal'!$F$513:$F$522)*(IF('Gastos com Pessoal'!$M$513:$M$522&lt;=R$3,1,0))*OFFSET('Gastos com Pessoal'!$H$512,1,MATCH(2&amp;$B50,'Gastos com Pessoal'!$I$532:$AJ$532&amp;'Gastos com Pessoal'!$I$512:$AJ$512,0),10,1)),0)+_xlfn.IFNA(SUM((R$3&gt;='Gastos com Pessoal'!$E$513:$E$522)*(R$3&lt;='Gastos com Pessoal'!$F$513:$F$522)*(IF('Gastos com Pessoal'!$S$513:$S$522&lt;=R$3,1,0))*OFFSET('Gastos com Pessoal'!$H$512,1,MATCH(3&amp;$B50,'Gastos com Pessoal'!$I$532:$AJ$532&amp;'Gastos com Pessoal'!$I$512:$AJ$512,0),10,1)),0)+_xlfn.IFNA(SUM((R$3&gt;='Gastos com Pessoal'!$E$513:$E$522)*(R$3&lt;='Gastos com Pessoal'!$F$513:$F$522)*(IF('Gastos com Pessoal'!$Y$513:$Y$522&lt;=R$3,1,0))*OFFSET('Gastos com Pessoal'!$H$512,1,MATCH(4&amp;$B50,'Gastos com Pessoal'!$I$532:$AJ$532&amp;'Gastos com Pessoal'!$I$512:$AJ$512,0),10,1)),0)+_xlfn.IFNA(SUM((R$3&gt;='Gastos com Pessoal'!$E$513:$E$522)*(R$3&lt;='Gastos com Pessoal'!$F$513:$F$522)*(IF('Gastos com Pessoal'!$AE$513:$AE$522&lt;=R$3,1,0))*OFFSET('Gastos com Pessoal'!$H$512,1,MATCH(5&amp;$B50,'Gastos com Pessoal'!$I$532:$AJ$532&amp;'Gastos com Pessoal'!$I$512:$AJ$512,0),10,1)),0)</f>
        <v>20150.540000000008</v>
      </c>
      <c r="S50" s="188">
        <f t="array" aca="1" ref="S50" ca="1">_xlfn.IFNA(SUM((S$3&gt;='Gastos com Pessoal'!$E$7:$E$506)*(S$3&lt;='Gastos com Pessoal'!$F$7:$F$506)*OFFSET('Encargos e Benefícios'!$D$5,1,MATCH($B50,'Encargos e Benefícios'!$E$5:$AB$5,0),500,1)),0)+_xlfn.IFNA(SUM((S$3&gt;='Gastos com Pessoal'!$E$513:$E$522)*(S$3&lt;='Gastos com Pessoal'!$F$513:$F$522)*OFFSET('Encargos e Benefícios'!$D$511,1,MATCH($B50,'Encargos e Benefícios'!$E$511:$AB$511,0),10,1)),0)+_xlfn.IFNA(SUM((S$3&gt;='Gastos com Pessoal'!$E$7:$E$506)*(S$3&lt;='Gastos com Pessoal'!$F$7:$F$506)*(IF('Gastos com Pessoal'!$G$7:$G$506&lt;=S$3,1,0))*OFFSET('Gastos com Pessoal'!$H$6,1,MATCH(1&amp;$B50,'Gastos com Pessoal'!$I$532:$AJ$532&amp;'Gastos com Pessoal'!$I$6:$AJ$6,0),500,1)),0)+_xlfn.IFNA(SUM((S$3&gt;='Gastos com Pessoal'!$E$7:$E$506)*(S$3&lt;='Gastos com Pessoal'!$F$7:$F$506)*(IF('Gastos com Pessoal'!$M$7:$M$506&lt;=S$3,1,0))*OFFSET('Gastos com Pessoal'!$H$6,1,MATCH(2&amp;$B50,'Gastos com Pessoal'!$I$532:$AJ$532&amp;'Gastos com Pessoal'!$I$6:$AJ$6,0),500,1)),0)+_xlfn.IFNA(SUM((S$3&gt;='Gastos com Pessoal'!$E$7:$E$506)*(S$3&lt;='Gastos com Pessoal'!$F$7:$F$506)*(IF('Gastos com Pessoal'!$S$7:$S$506&lt;=S$3,1,0))*OFFSET('Gastos com Pessoal'!$H$6,1,MATCH(3&amp;$B50,'Gastos com Pessoal'!$I$532:$AJ$532&amp;'Gastos com Pessoal'!$I$6:$AJ$6,0),500,1)),0)+_xlfn.IFNA(SUM((S$3&gt;='Gastos com Pessoal'!$E$7:$E$506)*(S$3&lt;='Gastos com Pessoal'!$F$7:$F$506)*(IF('Gastos com Pessoal'!$Y$7:$Y$506&lt;=S$3,1,0))*OFFSET('Gastos com Pessoal'!$H$6,1,MATCH(4&amp;$B50,'Gastos com Pessoal'!$I$532:$AJ$532&amp;'Gastos com Pessoal'!$I$6:$AJ$6,0),500,1)),0)+_xlfn.IFNA(SUM((S$3&gt;='Gastos com Pessoal'!$E$7:$E$506)*(S$3&lt;='Gastos com Pessoal'!$F$7:$F$506)*(IF('Gastos com Pessoal'!$AE$7:$AE$506&lt;=S$3,1,0))*OFFSET('Gastos com Pessoal'!$H$6,1,MATCH(5&amp;$B50,'Gastos com Pessoal'!$I$532:$AJ$532&amp;'Gastos com Pessoal'!$I$6:$AJ$6,0),500,1)),0)+_xlfn.IFNA(SUM((S$3&gt;='Gastos com Pessoal'!$E$513:$E$522)*(S$3&lt;='Gastos com Pessoal'!$F$513:$F$522)*(IF('Gastos com Pessoal'!$G$513:$G$522&lt;=S$3,1,0))*OFFSET('Gastos com Pessoal'!$H$512,1,MATCH(1&amp;$B50,'Gastos com Pessoal'!$I$532:$AJ$532&amp;'Gastos com Pessoal'!$I$512:$AJ$512,0),10,1)),0)+_xlfn.IFNA(SUM((S$3&gt;='Gastos com Pessoal'!$E$513:$E$522)*(S$3&lt;='Gastos com Pessoal'!$F$513:$F$522)*(IF('Gastos com Pessoal'!$M$513:$M$522&lt;=S$3,1,0))*OFFSET('Gastos com Pessoal'!$H$512,1,MATCH(2&amp;$B50,'Gastos com Pessoal'!$I$532:$AJ$532&amp;'Gastos com Pessoal'!$I$512:$AJ$512,0),10,1)),0)+_xlfn.IFNA(SUM((S$3&gt;='Gastos com Pessoal'!$E$513:$E$522)*(S$3&lt;='Gastos com Pessoal'!$F$513:$F$522)*(IF('Gastos com Pessoal'!$S$513:$S$522&lt;=S$3,1,0))*OFFSET('Gastos com Pessoal'!$H$512,1,MATCH(3&amp;$B50,'Gastos com Pessoal'!$I$532:$AJ$532&amp;'Gastos com Pessoal'!$I$512:$AJ$512,0),10,1)),0)+_xlfn.IFNA(SUM((S$3&gt;='Gastos com Pessoal'!$E$513:$E$522)*(S$3&lt;='Gastos com Pessoal'!$F$513:$F$522)*(IF('Gastos com Pessoal'!$Y$513:$Y$522&lt;=S$3,1,0))*OFFSET('Gastos com Pessoal'!$H$512,1,MATCH(4&amp;$B50,'Gastos com Pessoal'!$I$532:$AJ$532&amp;'Gastos com Pessoal'!$I$512:$AJ$512,0),10,1)),0)+_xlfn.IFNA(SUM((S$3&gt;='Gastos com Pessoal'!$E$513:$E$522)*(S$3&lt;='Gastos com Pessoal'!$F$513:$F$522)*(IF('Gastos com Pessoal'!$AE$513:$AE$522&lt;=S$3,1,0))*OFFSET('Gastos com Pessoal'!$H$512,1,MATCH(5&amp;$B50,'Gastos com Pessoal'!$I$532:$AJ$532&amp;'Gastos com Pessoal'!$I$512:$AJ$512,0),10,1)),0)</f>
        <v>20150.540000000008</v>
      </c>
      <c r="T50" s="188">
        <f t="array" aca="1" ref="T50" ca="1">_xlfn.IFNA(SUM((T$3&gt;='Gastos com Pessoal'!$E$7:$E$506)*(T$3&lt;='Gastos com Pessoal'!$F$7:$F$506)*OFFSET('Encargos e Benefícios'!$D$5,1,MATCH($B50,'Encargos e Benefícios'!$E$5:$AB$5,0),500,1)),0)+_xlfn.IFNA(SUM((T$3&gt;='Gastos com Pessoal'!$E$513:$E$522)*(T$3&lt;='Gastos com Pessoal'!$F$513:$F$522)*OFFSET('Encargos e Benefícios'!$D$511,1,MATCH($B50,'Encargos e Benefícios'!$E$511:$AB$511,0),10,1)),0)+_xlfn.IFNA(SUM((T$3&gt;='Gastos com Pessoal'!$E$7:$E$506)*(T$3&lt;='Gastos com Pessoal'!$F$7:$F$506)*(IF('Gastos com Pessoal'!$G$7:$G$506&lt;=T$3,1,0))*OFFSET('Gastos com Pessoal'!$H$6,1,MATCH(1&amp;$B50,'Gastos com Pessoal'!$I$532:$AJ$532&amp;'Gastos com Pessoal'!$I$6:$AJ$6,0),500,1)),0)+_xlfn.IFNA(SUM((T$3&gt;='Gastos com Pessoal'!$E$7:$E$506)*(T$3&lt;='Gastos com Pessoal'!$F$7:$F$506)*(IF('Gastos com Pessoal'!$M$7:$M$506&lt;=T$3,1,0))*OFFSET('Gastos com Pessoal'!$H$6,1,MATCH(2&amp;$B50,'Gastos com Pessoal'!$I$532:$AJ$532&amp;'Gastos com Pessoal'!$I$6:$AJ$6,0),500,1)),0)+_xlfn.IFNA(SUM((T$3&gt;='Gastos com Pessoal'!$E$7:$E$506)*(T$3&lt;='Gastos com Pessoal'!$F$7:$F$506)*(IF('Gastos com Pessoal'!$S$7:$S$506&lt;=T$3,1,0))*OFFSET('Gastos com Pessoal'!$H$6,1,MATCH(3&amp;$B50,'Gastos com Pessoal'!$I$532:$AJ$532&amp;'Gastos com Pessoal'!$I$6:$AJ$6,0),500,1)),0)+_xlfn.IFNA(SUM((T$3&gt;='Gastos com Pessoal'!$E$7:$E$506)*(T$3&lt;='Gastos com Pessoal'!$F$7:$F$506)*(IF('Gastos com Pessoal'!$Y$7:$Y$506&lt;=T$3,1,0))*OFFSET('Gastos com Pessoal'!$H$6,1,MATCH(4&amp;$B50,'Gastos com Pessoal'!$I$532:$AJ$532&amp;'Gastos com Pessoal'!$I$6:$AJ$6,0),500,1)),0)+_xlfn.IFNA(SUM((T$3&gt;='Gastos com Pessoal'!$E$7:$E$506)*(T$3&lt;='Gastos com Pessoal'!$F$7:$F$506)*(IF('Gastos com Pessoal'!$AE$7:$AE$506&lt;=T$3,1,0))*OFFSET('Gastos com Pessoal'!$H$6,1,MATCH(5&amp;$B50,'Gastos com Pessoal'!$I$532:$AJ$532&amp;'Gastos com Pessoal'!$I$6:$AJ$6,0),500,1)),0)+_xlfn.IFNA(SUM((T$3&gt;='Gastos com Pessoal'!$E$513:$E$522)*(T$3&lt;='Gastos com Pessoal'!$F$513:$F$522)*(IF('Gastos com Pessoal'!$G$513:$G$522&lt;=T$3,1,0))*OFFSET('Gastos com Pessoal'!$H$512,1,MATCH(1&amp;$B50,'Gastos com Pessoal'!$I$532:$AJ$532&amp;'Gastos com Pessoal'!$I$512:$AJ$512,0),10,1)),0)+_xlfn.IFNA(SUM((T$3&gt;='Gastos com Pessoal'!$E$513:$E$522)*(T$3&lt;='Gastos com Pessoal'!$F$513:$F$522)*(IF('Gastos com Pessoal'!$M$513:$M$522&lt;=T$3,1,0))*OFFSET('Gastos com Pessoal'!$H$512,1,MATCH(2&amp;$B50,'Gastos com Pessoal'!$I$532:$AJ$532&amp;'Gastos com Pessoal'!$I$512:$AJ$512,0),10,1)),0)+_xlfn.IFNA(SUM((T$3&gt;='Gastos com Pessoal'!$E$513:$E$522)*(T$3&lt;='Gastos com Pessoal'!$F$513:$F$522)*(IF('Gastos com Pessoal'!$S$513:$S$522&lt;=T$3,1,0))*OFFSET('Gastos com Pessoal'!$H$512,1,MATCH(3&amp;$B50,'Gastos com Pessoal'!$I$532:$AJ$532&amp;'Gastos com Pessoal'!$I$512:$AJ$512,0),10,1)),0)+_xlfn.IFNA(SUM((T$3&gt;='Gastos com Pessoal'!$E$513:$E$522)*(T$3&lt;='Gastos com Pessoal'!$F$513:$F$522)*(IF('Gastos com Pessoal'!$Y$513:$Y$522&lt;=T$3,1,0))*OFFSET('Gastos com Pessoal'!$H$512,1,MATCH(4&amp;$B50,'Gastos com Pessoal'!$I$532:$AJ$532&amp;'Gastos com Pessoal'!$I$512:$AJ$512,0),10,1)),0)+_xlfn.IFNA(SUM((T$3&gt;='Gastos com Pessoal'!$E$513:$E$522)*(T$3&lt;='Gastos com Pessoal'!$F$513:$F$522)*(IF('Gastos com Pessoal'!$AE$513:$AE$522&lt;=T$3,1,0))*OFFSET('Gastos com Pessoal'!$H$512,1,MATCH(5&amp;$B50,'Gastos com Pessoal'!$I$532:$AJ$532&amp;'Gastos com Pessoal'!$I$512:$AJ$512,0),10,1)),0)</f>
        <v>20150.540000000008</v>
      </c>
      <c r="U50" s="188">
        <f t="array" aca="1" ref="U50" ca="1">_xlfn.IFNA(SUM((U$3&gt;='Gastos com Pessoal'!$E$7:$E$506)*(U$3&lt;='Gastos com Pessoal'!$F$7:$F$506)*OFFSET('Encargos e Benefícios'!$D$5,1,MATCH($B50,'Encargos e Benefícios'!$E$5:$AB$5,0),500,1)),0)+_xlfn.IFNA(SUM((U$3&gt;='Gastos com Pessoal'!$E$513:$E$522)*(U$3&lt;='Gastos com Pessoal'!$F$513:$F$522)*OFFSET('Encargos e Benefícios'!$D$511,1,MATCH($B50,'Encargos e Benefícios'!$E$511:$AB$511,0),10,1)),0)+_xlfn.IFNA(SUM((U$3&gt;='Gastos com Pessoal'!$E$7:$E$506)*(U$3&lt;='Gastos com Pessoal'!$F$7:$F$506)*(IF('Gastos com Pessoal'!$G$7:$G$506&lt;=U$3,1,0))*OFFSET('Gastos com Pessoal'!$H$6,1,MATCH(1&amp;$B50,'Gastos com Pessoal'!$I$532:$AJ$532&amp;'Gastos com Pessoal'!$I$6:$AJ$6,0),500,1)),0)+_xlfn.IFNA(SUM((U$3&gt;='Gastos com Pessoal'!$E$7:$E$506)*(U$3&lt;='Gastos com Pessoal'!$F$7:$F$506)*(IF('Gastos com Pessoal'!$M$7:$M$506&lt;=U$3,1,0))*OFFSET('Gastos com Pessoal'!$H$6,1,MATCH(2&amp;$B50,'Gastos com Pessoal'!$I$532:$AJ$532&amp;'Gastos com Pessoal'!$I$6:$AJ$6,0),500,1)),0)+_xlfn.IFNA(SUM((U$3&gt;='Gastos com Pessoal'!$E$7:$E$506)*(U$3&lt;='Gastos com Pessoal'!$F$7:$F$506)*(IF('Gastos com Pessoal'!$S$7:$S$506&lt;=U$3,1,0))*OFFSET('Gastos com Pessoal'!$H$6,1,MATCH(3&amp;$B50,'Gastos com Pessoal'!$I$532:$AJ$532&amp;'Gastos com Pessoal'!$I$6:$AJ$6,0),500,1)),0)+_xlfn.IFNA(SUM((U$3&gt;='Gastos com Pessoal'!$E$7:$E$506)*(U$3&lt;='Gastos com Pessoal'!$F$7:$F$506)*(IF('Gastos com Pessoal'!$Y$7:$Y$506&lt;=U$3,1,0))*OFFSET('Gastos com Pessoal'!$H$6,1,MATCH(4&amp;$B50,'Gastos com Pessoal'!$I$532:$AJ$532&amp;'Gastos com Pessoal'!$I$6:$AJ$6,0),500,1)),0)+_xlfn.IFNA(SUM((U$3&gt;='Gastos com Pessoal'!$E$7:$E$506)*(U$3&lt;='Gastos com Pessoal'!$F$7:$F$506)*(IF('Gastos com Pessoal'!$AE$7:$AE$506&lt;=U$3,1,0))*OFFSET('Gastos com Pessoal'!$H$6,1,MATCH(5&amp;$B50,'Gastos com Pessoal'!$I$532:$AJ$532&amp;'Gastos com Pessoal'!$I$6:$AJ$6,0),500,1)),0)+_xlfn.IFNA(SUM((U$3&gt;='Gastos com Pessoal'!$E$513:$E$522)*(U$3&lt;='Gastos com Pessoal'!$F$513:$F$522)*(IF('Gastos com Pessoal'!$G$513:$G$522&lt;=U$3,1,0))*OFFSET('Gastos com Pessoal'!$H$512,1,MATCH(1&amp;$B50,'Gastos com Pessoal'!$I$532:$AJ$532&amp;'Gastos com Pessoal'!$I$512:$AJ$512,0),10,1)),0)+_xlfn.IFNA(SUM((U$3&gt;='Gastos com Pessoal'!$E$513:$E$522)*(U$3&lt;='Gastos com Pessoal'!$F$513:$F$522)*(IF('Gastos com Pessoal'!$M$513:$M$522&lt;=U$3,1,0))*OFFSET('Gastos com Pessoal'!$H$512,1,MATCH(2&amp;$B50,'Gastos com Pessoal'!$I$532:$AJ$532&amp;'Gastos com Pessoal'!$I$512:$AJ$512,0),10,1)),0)+_xlfn.IFNA(SUM((U$3&gt;='Gastos com Pessoal'!$E$513:$E$522)*(U$3&lt;='Gastos com Pessoal'!$F$513:$F$522)*(IF('Gastos com Pessoal'!$S$513:$S$522&lt;=U$3,1,0))*OFFSET('Gastos com Pessoal'!$H$512,1,MATCH(3&amp;$B50,'Gastos com Pessoal'!$I$532:$AJ$532&amp;'Gastos com Pessoal'!$I$512:$AJ$512,0),10,1)),0)+_xlfn.IFNA(SUM((U$3&gt;='Gastos com Pessoal'!$E$513:$E$522)*(U$3&lt;='Gastos com Pessoal'!$F$513:$F$522)*(IF('Gastos com Pessoal'!$Y$513:$Y$522&lt;=U$3,1,0))*OFFSET('Gastos com Pessoal'!$H$512,1,MATCH(4&amp;$B50,'Gastos com Pessoal'!$I$532:$AJ$532&amp;'Gastos com Pessoal'!$I$512:$AJ$512,0),10,1)),0)+_xlfn.IFNA(SUM((U$3&gt;='Gastos com Pessoal'!$E$513:$E$522)*(U$3&lt;='Gastos com Pessoal'!$F$513:$F$522)*(IF('Gastos com Pessoal'!$AE$513:$AE$522&lt;=U$3,1,0))*OFFSET('Gastos com Pessoal'!$H$512,1,MATCH(5&amp;$B50,'Gastos com Pessoal'!$I$532:$AJ$532&amp;'Gastos com Pessoal'!$I$512:$AJ$512,0),10,1)),0)</f>
        <v>20150.540000000008</v>
      </c>
      <c r="V50" s="188">
        <f t="array" aca="1" ref="V50" ca="1">_xlfn.IFNA(SUM((V$3&gt;='Gastos com Pessoal'!$E$7:$E$506)*(V$3&lt;='Gastos com Pessoal'!$F$7:$F$506)*OFFSET('Encargos e Benefícios'!$D$5,1,MATCH($B50,'Encargos e Benefícios'!$E$5:$AB$5,0),500,1)),0)+_xlfn.IFNA(SUM((V$3&gt;='Gastos com Pessoal'!$E$513:$E$522)*(V$3&lt;='Gastos com Pessoal'!$F$513:$F$522)*OFFSET('Encargos e Benefícios'!$D$511,1,MATCH($B50,'Encargos e Benefícios'!$E$511:$AB$511,0),10,1)),0)+_xlfn.IFNA(SUM((V$3&gt;='Gastos com Pessoal'!$E$7:$E$506)*(V$3&lt;='Gastos com Pessoal'!$F$7:$F$506)*(IF('Gastos com Pessoal'!$G$7:$G$506&lt;=V$3,1,0))*OFFSET('Gastos com Pessoal'!$H$6,1,MATCH(1&amp;$B50,'Gastos com Pessoal'!$I$532:$AJ$532&amp;'Gastos com Pessoal'!$I$6:$AJ$6,0),500,1)),0)+_xlfn.IFNA(SUM((V$3&gt;='Gastos com Pessoal'!$E$7:$E$506)*(V$3&lt;='Gastos com Pessoal'!$F$7:$F$506)*(IF('Gastos com Pessoal'!$M$7:$M$506&lt;=V$3,1,0))*OFFSET('Gastos com Pessoal'!$H$6,1,MATCH(2&amp;$B50,'Gastos com Pessoal'!$I$532:$AJ$532&amp;'Gastos com Pessoal'!$I$6:$AJ$6,0),500,1)),0)+_xlfn.IFNA(SUM((V$3&gt;='Gastos com Pessoal'!$E$7:$E$506)*(V$3&lt;='Gastos com Pessoal'!$F$7:$F$506)*(IF('Gastos com Pessoal'!$S$7:$S$506&lt;=V$3,1,0))*OFFSET('Gastos com Pessoal'!$H$6,1,MATCH(3&amp;$B50,'Gastos com Pessoal'!$I$532:$AJ$532&amp;'Gastos com Pessoal'!$I$6:$AJ$6,0),500,1)),0)+_xlfn.IFNA(SUM((V$3&gt;='Gastos com Pessoal'!$E$7:$E$506)*(V$3&lt;='Gastos com Pessoal'!$F$7:$F$506)*(IF('Gastos com Pessoal'!$Y$7:$Y$506&lt;=V$3,1,0))*OFFSET('Gastos com Pessoal'!$H$6,1,MATCH(4&amp;$B50,'Gastos com Pessoal'!$I$532:$AJ$532&amp;'Gastos com Pessoal'!$I$6:$AJ$6,0),500,1)),0)+_xlfn.IFNA(SUM((V$3&gt;='Gastos com Pessoal'!$E$7:$E$506)*(V$3&lt;='Gastos com Pessoal'!$F$7:$F$506)*(IF('Gastos com Pessoal'!$AE$7:$AE$506&lt;=V$3,1,0))*OFFSET('Gastos com Pessoal'!$H$6,1,MATCH(5&amp;$B50,'Gastos com Pessoal'!$I$532:$AJ$532&amp;'Gastos com Pessoal'!$I$6:$AJ$6,0),500,1)),0)+_xlfn.IFNA(SUM((V$3&gt;='Gastos com Pessoal'!$E$513:$E$522)*(V$3&lt;='Gastos com Pessoal'!$F$513:$F$522)*(IF('Gastos com Pessoal'!$G$513:$G$522&lt;=V$3,1,0))*OFFSET('Gastos com Pessoal'!$H$512,1,MATCH(1&amp;$B50,'Gastos com Pessoal'!$I$532:$AJ$532&amp;'Gastos com Pessoal'!$I$512:$AJ$512,0),10,1)),0)+_xlfn.IFNA(SUM((V$3&gt;='Gastos com Pessoal'!$E$513:$E$522)*(V$3&lt;='Gastos com Pessoal'!$F$513:$F$522)*(IF('Gastos com Pessoal'!$M$513:$M$522&lt;=V$3,1,0))*OFFSET('Gastos com Pessoal'!$H$512,1,MATCH(2&amp;$B50,'Gastos com Pessoal'!$I$532:$AJ$532&amp;'Gastos com Pessoal'!$I$512:$AJ$512,0),10,1)),0)+_xlfn.IFNA(SUM((V$3&gt;='Gastos com Pessoal'!$E$513:$E$522)*(V$3&lt;='Gastos com Pessoal'!$F$513:$F$522)*(IF('Gastos com Pessoal'!$S$513:$S$522&lt;=V$3,1,0))*OFFSET('Gastos com Pessoal'!$H$512,1,MATCH(3&amp;$B50,'Gastos com Pessoal'!$I$532:$AJ$532&amp;'Gastos com Pessoal'!$I$512:$AJ$512,0),10,1)),0)+_xlfn.IFNA(SUM((V$3&gt;='Gastos com Pessoal'!$E$513:$E$522)*(V$3&lt;='Gastos com Pessoal'!$F$513:$F$522)*(IF('Gastos com Pessoal'!$Y$513:$Y$522&lt;=V$3,1,0))*OFFSET('Gastos com Pessoal'!$H$512,1,MATCH(4&amp;$B50,'Gastos com Pessoal'!$I$532:$AJ$532&amp;'Gastos com Pessoal'!$I$512:$AJ$512,0),10,1)),0)+_xlfn.IFNA(SUM((V$3&gt;='Gastos com Pessoal'!$E$513:$E$522)*(V$3&lt;='Gastos com Pessoal'!$F$513:$F$522)*(IF('Gastos com Pessoal'!$AE$513:$AE$522&lt;=V$3,1,0))*OFFSET('Gastos com Pessoal'!$H$512,1,MATCH(5&amp;$B50,'Gastos com Pessoal'!$I$532:$AJ$532&amp;'Gastos com Pessoal'!$I$512:$AJ$512,0),10,1)),0)</f>
        <v>20150.540000000008</v>
      </c>
      <c r="W50" s="188">
        <f t="array" aca="1" ref="W50" ca="1">_xlfn.IFNA(SUM((W$3&gt;='Gastos com Pessoal'!$E$7:$E$506)*(W$3&lt;='Gastos com Pessoal'!$F$7:$F$506)*OFFSET('Encargos e Benefícios'!$D$5,1,MATCH($B50,'Encargos e Benefícios'!$E$5:$AB$5,0),500,1)),0)+_xlfn.IFNA(SUM((W$3&gt;='Gastos com Pessoal'!$E$513:$E$522)*(W$3&lt;='Gastos com Pessoal'!$F$513:$F$522)*OFFSET('Encargos e Benefícios'!$D$511,1,MATCH($B50,'Encargos e Benefícios'!$E$511:$AB$511,0),10,1)),0)+_xlfn.IFNA(SUM((W$3&gt;='Gastos com Pessoal'!$E$7:$E$506)*(W$3&lt;='Gastos com Pessoal'!$F$7:$F$506)*(IF('Gastos com Pessoal'!$G$7:$G$506&lt;=W$3,1,0))*OFFSET('Gastos com Pessoal'!$H$6,1,MATCH(1&amp;$B50,'Gastos com Pessoal'!$I$532:$AJ$532&amp;'Gastos com Pessoal'!$I$6:$AJ$6,0),500,1)),0)+_xlfn.IFNA(SUM((W$3&gt;='Gastos com Pessoal'!$E$7:$E$506)*(W$3&lt;='Gastos com Pessoal'!$F$7:$F$506)*(IF('Gastos com Pessoal'!$M$7:$M$506&lt;=W$3,1,0))*OFFSET('Gastos com Pessoal'!$H$6,1,MATCH(2&amp;$B50,'Gastos com Pessoal'!$I$532:$AJ$532&amp;'Gastos com Pessoal'!$I$6:$AJ$6,0),500,1)),0)+_xlfn.IFNA(SUM((W$3&gt;='Gastos com Pessoal'!$E$7:$E$506)*(W$3&lt;='Gastos com Pessoal'!$F$7:$F$506)*(IF('Gastos com Pessoal'!$S$7:$S$506&lt;=W$3,1,0))*OFFSET('Gastos com Pessoal'!$H$6,1,MATCH(3&amp;$B50,'Gastos com Pessoal'!$I$532:$AJ$532&amp;'Gastos com Pessoal'!$I$6:$AJ$6,0),500,1)),0)+_xlfn.IFNA(SUM((W$3&gt;='Gastos com Pessoal'!$E$7:$E$506)*(W$3&lt;='Gastos com Pessoal'!$F$7:$F$506)*(IF('Gastos com Pessoal'!$Y$7:$Y$506&lt;=W$3,1,0))*OFFSET('Gastos com Pessoal'!$H$6,1,MATCH(4&amp;$B50,'Gastos com Pessoal'!$I$532:$AJ$532&amp;'Gastos com Pessoal'!$I$6:$AJ$6,0),500,1)),0)+_xlfn.IFNA(SUM((W$3&gt;='Gastos com Pessoal'!$E$7:$E$506)*(W$3&lt;='Gastos com Pessoal'!$F$7:$F$506)*(IF('Gastos com Pessoal'!$AE$7:$AE$506&lt;=W$3,1,0))*OFFSET('Gastos com Pessoal'!$H$6,1,MATCH(5&amp;$B50,'Gastos com Pessoal'!$I$532:$AJ$532&amp;'Gastos com Pessoal'!$I$6:$AJ$6,0),500,1)),0)+_xlfn.IFNA(SUM((W$3&gt;='Gastos com Pessoal'!$E$513:$E$522)*(W$3&lt;='Gastos com Pessoal'!$F$513:$F$522)*(IF('Gastos com Pessoal'!$G$513:$G$522&lt;=W$3,1,0))*OFFSET('Gastos com Pessoal'!$H$512,1,MATCH(1&amp;$B50,'Gastos com Pessoal'!$I$532:$AJ$532&amp;'Gastos com Pessoal'!$I$512:$AJ$512,0),10,1)),0)+_xlfn.IFNA(SUM((W$3&gt;='Gastos com Pessoal'!$E$513:$E$522)*(W$3&lt;='Gastos com Pessoal'!$F$513:$F$522)*(IF('Gastos com Pessoal'!$M$513:$M$522&lt;=W$3,1,0))*OFFSET('Gastos com Pessoal'!$H$512,1,MATCH(2&amp;$B50,'Gastos com Pessoal'!$I$532:$AJ$532&amp;'Gastos com Pessoal'!$I$512:$AJ$512,0),10,1)),0)+_xlfn.IFNA(SUM((W$3&gt;='Gastos com Pessoal'!$E$513:$E$522)*(W$3&lt;='Gastos com Pessoal'!$F$513:$F$522)*(IF('Gastos com Pessoal'!$S$513:$S$522&lt;=W$3,1,0))*OFFSET('Gastos com Pessoal'!$H$512,1,MATCH(3&amp;$B50,'Gastos com Pessoal'!$I$532:$AJ$532&amp;'Gastos com Pessoal'!$I$512:$AJ$512,0),10,1)),0)+_xlfn.IFNA(SUM((W$3&gt;='Gastos com Pessoal'!$E$513:$E$522)*(W$3&lt;='Gastos com Pessoal'!$F$513:$F$522)*(IF('Gastos com Pessoal'!$Y$513:$Y$522&lt;=W$3,1,0))*OFFSET('Gastos com Pessoal'!$H$512,1,MATCH(4&amp;$B50,'Gastos com Pessoal'!$I$532:$AJ$532&amp;'Gastos com Pessoal'!$I$512:$AJ$512,0),10,1)),0)+_xlfn.IFNA(SUM((W$3&gt;='Gastos com Pessoal'!$E$513:$E$522)*(W$3&lt;='Gastos com Pessoal'!$F$513:$F$522)*(IF('Gastos com Pessoal'!$AE$513:$AE$522&lt;=W$3,1,0))*OFFSET('Gastos com Pessoal'!$H$512,1,MATCH(5&amp;$B50,'Gastos com Pessoal'!$I$532:$AJ$532&amp;'Gastos com Pessoal'!$I$512:$AJ$512,0),10,1)),0)</f>
        <v>20150.540000000008</v>
      </c>
      <c r="X50" s="188">
        <f t="array" aca="1" ref="X50" ca="1">_xlfn.IFNA(SUM((X$3&gt;='Gastos com Pessoal'!$E$7:$E$506)*(X$3&lt;='Gastos com Pessoal'!$F$7:$F$506)*OFFSET('Encargos e Benefícios'!$D$5,1,MATCH($B50,'Encargos e Benefícios'!$E$5:$AB$5,0),500,1)),0)+_xlfn.IFNA(SUM((X$3&gt;='Gastos com Pessoal'!$E$513:$E$522)*(X$3&lt;='Gastos com Pessoal'!$F$513:$F$522)*OFFSET('Encargos e Benefícios'!$D$511,1,MATCH($B50,'Encargos e Benefícios'!$E$511:$AB$511,0),10,1)),0)+_xlfn.IFNA(SUM((X$3&gt;='Gastos com Pessoal'!$E$7:$E$506)*(X$3&lt;='Gastos com Pessoal'!$F$7:$F$506)*(IF('Gastos com Pessoal'!$G$7:$G$506&lt;=X$3,1,0))*OFFSET('Gastos com Pessoal'!$H$6,1,MATCH(1&amp;$B50,'Gastos com Pessoal'!$I$532:$AJ$532&amp;'Gastos com Pessoal'!$I$6:$AJ$6,0),500,1)),0)+_xlfn.IFNA(SUM((X$3&gt;='Gastos com Pessoal'!$E$7:$E$506)*(X$3&lt;='Gastos com Pessoal'!$F$7:$F$506)*(IF('Gastos com Pessoal'!$M$7:$M$506&lt;=X$3,1,0))*OFFSET('Gastos com Pessoal'!$H$6,1,MATCH(2&amp;$B50,'Gastos com Pessoal'!$I$532:$AJ$532&amp;'Gastos com Pessoal'!$I$6:$AJ$6,0),500,1)),0)+_xlfn.IFNA(SUM((X$3&gt;='Gastos com Pessoal'!$E$7:$E$506)*(X$3&lt;='Gastos com Pessoal'!$F$7:$F$506)*(IF('Gastos com Pessoal'!$S$7:$S$506&lt;=X$3,1,0))*OFFSET('Gastos com Pessoal'!$H$6,1,MATCH(3&amp;$B50,'Gastos com Pessoal'!$I$532:$AJ$532&amp;'Gastos com Pessoal'!$I$6:$AJ$6,0),500,1)),0)+_xlfn.IFNA(SUM((X$3&gt;='Gastos com Pessoal'!$E$7:$E$506)*(X$3&lt;='Gastos com Pessoal'!$F$7:$F$506)*(IF('Gastos com Pessoal'!$Y$7:$Y$506&lt;=X$3,1,0))*OFFSET('Gastos com Pessoal'!$H$6,1,MATCH(4&amp;$B50,'Gastos com Pessoal'!$I$532:$AJ$532&amp;'Gastos com Pessoal'!$I$6:$AJ$6,0),500,1)),0)+_xlfn.IFNA(SUM((X$3&gt;='Gastos com Pessoal'!$E$7:$E$506)*(X$3&lt;='Gastos com Pessoal'!$F$7:$F$506)*(IF('Gastos com Pessoal'!$AE$7:$AE$506&lt;=X$3,1,0))*OFFSET('Gastos com Pessoal'!$H$6,1,MATCH(5&amp;$B50,'Gastos com Pessoal'!$I$532:$AJ$532&amp;'Gastos com Pessoal'!$I$6:$AJ$6,0),500,1)),0)+_xlfn.IFNA(SUM((X$3&gt;='Gastos com Pessoal'!$E$513:$E$522)*(X$3&lt;='Gastos com Pessoal'!$F$513:$F$522)*(IF('Gastos com Pessoal'!$G$513:$G$522&lt;=X$3,1,0))*OFFSET('Gastos com Pessoal'!$H$512,1,MATCH(1&amp;$B50,'Gastos com Pessoal'!$I$532:$AJ$532&amp;'Gastos com Pessoal'!$I$512:$AJ$512,0),10,1)),0)+_xlfn.IFNA(SUM((X$3&gt;='Gastos com Pessoal'!$E$513:$E$522)*(X$3&lt;='Gastos com Pessoal'!$F$513:$F$522)*(IF('Gastos com Pessoal'!$M$513:$M$522&lt;=X$3,1,0))*OFFSET('Gastos com Pessoal'!$H$512,1,MATCH(2&amp;$B50,'Gastos com Pessoal'!$I$532:$AJ$532&amp;'Gastos com Pessoal'!$I$512:$AJ$512,0),10,1)),0)+_xlfn.IFNA(SUM((X$3&gt;='Gastos com Pessoal'!$E$513:$E$522)*(X$3&lt;='Gastos com Pessoal'!$F$513:$F$522)*(IF('Gastos com Pessoal'!$S$513:$S$522&lt;=X$3,1,0))*OFFSET('Gastos com Pessoal'!$H$512,1,MATCH(3&amp;$B50,'Gastos com Pessoal'!$I$532:$AJ$532&amp;'Gastos com Pessoal'!$I$512:$AJ$512,0),10,1)),0)+_xlfn.IFNA(SUM((X$3&gt;='Gastos com Pessoal'!$E$513:$E$522)*(X$3&lt;='Gastos com Pessoal'!$F$513:$F$522)*(IF('Gastos com Pessoal'!$Y$513:$Y$522&lt;=X$3,1,0))*OFFSET('Gastos com Pessoal'!$H$512,1,MATCH(4&amp;$B50,'Gastos com Pessoal'!$I$532:$AJ$532&amp;'Gastos com Pessoal'!$I$512:$AJ$512,0),10,1)),0)+_xlfn.IFNA(SUM((X$3&gt;='Gastos com Pessoal'!$E$513:$E$522)*(X$3&lt;='Gastos com Pessoal'!$F$513:$F$522)*(IF('Gastos com Pessoal'!$AE$513:$AE$522&lt;=X$3,1,0))*OFFSET('Gastos com Pessoal'!$H$512,1,MATCH(5&amp;$B50,'Gastos com Pessoal'!$I$532:$AJ$532&amp;'Gastos com Pessoal'!$I$512:$AJ$512,0),10,1)),0)</f>
        <v>20150.540000000008</v>
      </c>
      <c r="Y50" s="188">
        <f t="array" aca="1" ref="Y50" ca="1">_xlfn.IFNA(SUM((Y$3&gt;='Gastos com Pessoal'!$E$7:$E$506)*(Y$3&lt;='Gastos com Pessoal'!$F$7:$F$506)*OFFSET('Encargos e Benefícios'!$D$5,1,MATCH($B50,'Encargos e Benefícios'!$E$5:$AB$5,0),500,1)),0)+_xlfn.IFNA(SUM((Y$3&gt;='Gastos com Pessoal'!$E$513:$E$522)*(Y$3&lt;='Gastos com Pessoal'!$F$513:$F$522)*OFFSET('Encargos e Benefícios'!$D$511,1,MATCH($B50,'Encargos e Benefícios'!$E$511:$AB$511,0),10,1)),0)+_xlfn.IFNA(SUM((Y$3&gt;='Gastos com Pessoal'!$E$7:$E$506)*(Y$3&lt;='Gastos com Pessoal'!$F$7:$F$506)*(IF('Gastos com Pessoal'!$G$7:$G$506&lt;=Y$3,1,0))*OFFSET('Gastos com Pessoal'!$H$6,1,MATCH(1&amp;$B50,'Gastos com Pessoal'!$I$532:$AJ$532&amp;'Gastos com Pessoal'!$I$6:$AJ$6,0),500,1)),0)+_xlfn.IFNA(SUM((Y$3&gt;='Gastos com Pessoal'!$E$7:$E$506)*(Y$3&lt;='Gastos com Pessoal'!$F$7:$F$506)*(IF('Gastos com Pessoal'!$M$7:$M$506&lt;=Y$3,1,0))*OFFSET('Gastos com Pessoal'!$H$6,1,MATCH(2&amp;$B50,'Gastos com Pessoal'!$I$532:$AJ$532&amp;'Gastos com Pessoal'!$I$6:$AJ$6,0),500,1)),0)+_xlfn.IFNA(SUM((Y$3&gt;='Gastos com Pessoal'!$E$7:$E$506)*(Y$3&lt;='Gastos com Pessoal'!$F$7:$F$506)*(IF('Gastos com Pessoal'!$S$7:$S$506&lt;=Y$3,1,0))*OFFSET('Gastos com Pessoal'!$H$6,1,MATCH(3&amp;$B50,'Gastos com Pessoal'!$I$532:$AJ$532&amp;'Gastos com Pessoal'!$I$6:$AJ$6,0),500,1)),0)+_xlfn.IFNA(SUM((Y$3&gt;='Gastos com Pessoal'!$E$7:$E$506)*(Y$3&lt;='Gastos com Pessoal'!$F$7:$F$506)*(IF('Gastos com Pessoal'!$Y$7:$Y$506&lt;=Y$3,1,0))*OFFSET('Gastos com Pessoal'!$H$6,1,MATCH(4&amp;$B50,'Gastos com Pessoal'!$I$532:$AJ$532&amp;'Gastos com Pessoal'!$I$6:$AJ$6,0),500,1)),0)+_xlfn.IFNA(SUM((Y$3&gt;='Gastos com Pessoal'!$E$7:$E$506)*(Y$3&lt;='Gastos com Pessoal'!$F$7:$F$506)*(IF('Gastos com Pessoal'!$AE$7:$AE$506&lt;=Y$3,1,0))*OFFSET('Gastos com Pessoal'!$H$6,1,MATCH(5&amp;$B50,'Gastos com Pessoal'!$I$532:$AJ$532&amp;'Gastos com Pessoal'!$I$6:$AJ$6,0),500,1)),0)+_xlfn.IFNA(SUM((Y$3&gt;='Gastos com Pessoal'!$E$513:$E$522)*(Y$3&lt;='Gastos com Pessoal'!$F$513:$F$522)*(IF('Gastos com Pessoal'!$G$513:$G$522&lt;=Y$3,1,0))*OFFSET('Gastos com Pessoal'!$H$512,1,MATCH(1&amp;$B50,'Gastos com Pessoal'!$I$532:$AJ$532&amp;'Gastos com Pessoal'!$I$512:$AJ$512,0),10,1)),0)+_xlfn.IFNA(SUM((Y$3&gt;='Gastos com Pessoal'!$E$513:$E$522)*(Y$3&lt;='Gastos com Pessoal'!$F$513:$F$522)*(IF('Gastos com Pessoal'!$M$513:$M$522&lt;=Y$3,1,0))*OFFSET('Gastos com Pessoal'!$H$512,1,MATCH(2&amp;$B50,'Gastos com Pessoal'!$I$532:$AJ$532&amp;'Gastos com Pessoal'!$I$512:$AJ$512,0),10,1)),0)+_xlfn.IFNA(SUM((Y$3&gt;='Gastos com Pessoal'!$E$513:$E$522)*(Y$3&lt;='Gastos com Pessoal'!$F$513:$F$522)*(IF('Gastos com Pessoal'!$S$513:$S$522&lt;=Y$3,1,0))*OFFSET('Gastos com Pessoal'!$H$512,1,MATCH(3&amp;$B50,'Gastos com Pessoal'!$I$532:$AJ$532&amp;'Gastos com Pessoal'!$I$512:$AJ$512,0),10,1)),0)+_xlfn.IFNA(SUM((Y$3&gt;='Gastos com Pessoal'!$E$513:$E$522)*(Y$3&lt;='Gastos com Pessoal'!$F$513:$F$522)*(IF('Gastos com Pessoal'!$Y$513:$Y$522&lt;=Y$3,1,0))*OFFSET('Gastos com Pessoal'!$H$512,1,MATCH(4&amp;$B50,'Gastos com Pessoal'!$I$532:$AJ$532&amp;'Gastos com Pessoal'!$I$512:$AJ$512,0),10,1)),0)+_xlfn.IFNA(SUM((Y$3&gt;='Gastos com Pessoal'!$E$513:$E$522)*(Y$3&lt;='Gastos com Pessoal'!$F$513:$F$522)*(IF('Gastos com Pessoal'!$AE$513:$AE$522&lt;=Y$3,1,0))*OFFSET('Gastos com Pessoal'!$H$512,1,MATCH(5&amp;$B50,'Gastos com Pessoal'!$I$532:$AJ$532&amp;'Gastos com Pessoal'!$I$512:$AJ$512,0),10,1)),0)</f>
        <v>20150.540000000008</v>
      </c>
      <c r="Z50" s="188">
        <f t="array" aca="1" ref="Z50" ca="1">_xlfn.IFNA(SUM((Z$3&gt;='Gastos com Pessoal'!$E$7:$E$506)*(Z$3&lt;='Gastos com Pessoal'!$F$7:$F$506)*OFFSET('Encargos e Benefícios'!$D$5,1,MATCH($B50,'Encargos e Benefícios'!$E$5:$AB$5,0),500,1)),0)+_xlfn.IFNA(SUM((Z$3&gt;='Gastos com Pessoal'!$E$513:$E$522)*(Z$3&lt;='Gastos com Pessoal'!$F$513:$F$522)*OFFSET('Encargos e Benefícios'!$D$511,1,MATCH($B50,'Encargos e Benefícios'!$E$511:$AB$511,0),10,1)),0)+_xlfn.IFNA(SUM((Z$3&gt;='Gastos com Pessoal'!$E$7:$E$506)*(Z$3&lt;='Gastos com Pessoal'!$F$7:$F$506)*(IF('Gastos com Pessoal'!$G$7:$G$506&lt;=Z$3,1,0))*OFFSET('Gastos com Pessoal'!$H$6,1,MATCH(1&amp;$B50,'Gastos com Pessoal'!$I$532:$AJ$532&amp;'Gastos com Pessoal'!$I$6:$AJ$6,0),500,1)),0)+_xlfn.IFNA(SUM((Z$3&gt;='Gastos com Pessoal'!$E$7:$E$506)*(Z$3&lt;='Gastos com Pessoal'!$F$7:$F$506)*(IF('Gastos com Pessoal'!$M$7:$M$506&lt;=Z$3,1,0))*OFFSET('Gastos com Pessoal'!$H$6,1,MATCH(2&amp;$B50,'Gastos com Pessoal'!$I$532:$AJ$532&amp;'Gastos com Pessoal'!$I$6:$AJ$6,0),500,1)),0)+_xlfn.IFNA(SUM((Z$3&gt;='Gastos com Pessoal'!$E$7:$E$506)*(Z$3&lt;='Gastos com Pessoal'!$F$7:$F$506)*(IF('Gastos com Pessoal'!$S$7:$S$506&lt;=Z$3,1,0))*OFFSET('Gastos com Pessoal'!$H$6,1,MATCH(3&amp;$B50,'Gastos com Pessoal'!$I$532:$AJ$532&amp;'Gastos com Pessoal'!$I$6:$AJ$6,0),500,1)),0)+_xlfn.IFNA(SUM((Z$3&gt;='Gastos com Pessoal'!$E$7:$E$506)*(Z$3&lt;='Gastos com Pessoal'!$F$7:$F$506)*(IF('Gastos com Pessoal'!$Y$7:$Y$506&lt;=Z$3,1,0))*OFFSET('Gastos com Pessoal'!$H$6,1,MATCH(4&amp;$B50,'Gastos com Pessoal'!$I$532:$AJ$532&amp;'Gastos com Pessoal'!$I$6:$AJ$6,0),500,1)),0)+_xlfn.IFNA(SUM((Z$3&gt;='Gastos com Pessoal'!$E$7:$E$506)*(Z$3&lt;='Gastos com Pessoal'!$F$7:$F$506)*(IF('Gastos com Pessoal'!$AE$7:$AE$506&lt;=Z$3,1,0))*OFFSET('Gastos com Pessoal'!$H$6,1,MATCH(5&amp;$B50,'Gastos com Pessoal'!$I$532:$AJ$532&amp;'Gastos com Pessoal'!$I$6:$AJ$6,0),500,1)),0)+_xlfn.IFNA(SUM((Z$3&gt;='Gastos com Pessoal'!$E$513:$E$522)*(Z$3&lt;='Gastos com Pessoal'!$F$513:$F$522)*(IF('Gastos com Pessoal'!$G$513:$G$522&lt;=Z$3,1,0))*OFFSET('Gastos com Pessoal'!$H$512,1,MATCH(1&amp;$B50,'Gastos com Pessoal'!$I$532:$AJ$532&amp;'Gastos com Pessoal'!$I$512:$AJ$512,0),10,1)),0)+_xlfn.IFNA(SUM((Z$3&gt;='Gastos com Pessoal'!$E$513:$E$522)*(Z$3&lt;='Gastos com Pessoal'!$F$513:$F$522)*(IF('Gastos com Pessoal'!$M$513:$M$522&lt;=Z$3,1,0))*OFFSET('Gastos com Pessoal'!$H$512,1,MATCH(2&amp;$B50,'Gastos com Pessoal'!$I$532:$AJ$532&amp;'Gastos com Pessoal'!$I$512:$AJ$512,0),10,1)),0)+_xlfn.IFNA(SUM((Z$3&gt;='Gastos com Pessoal'!$E$513:$E$522)*(Z$3&lt;='Gastos com Pessoal'!$F$513:$F$522)*(IF('Gastos com Pessoal'!$S$513:$S$522&lt;=Z$3,1,0))*OFFSET('Gastos com Pessoal'!$H$512,1,MATCH(3&amp;$B50,'Gastos com Pessoal'!$I$532:$AJ$532&amp;'Gastos com Pessoal'!$I$512:$AJ$512,0),10,1)),0)+_xlfn.IFNA(SUM((Z$3&gt;='Gastos com Pessoal'!$E$513:$E$522)*(Z$3&lt;='Gastos com Pessoal'!$F$513:$F$522)*(IF('Gastos com Pessoal'!$Y$513:$Y$522&lt;=Z$3,1,0))*OFFSET('Gastos com Pessoal'!$H$512,1,MATCH(4&amp;$B50,'Gastos com Pessoal'!$I$532:$AJ$532&amp;'Gastos com Pessoal'!$I$512:$AJ$512,0),10,1)),0)+_xlfn.IFNA(SUM((Z$3&gt;='Gastos com Pessoal'!$E$513:$E$522)*(Z$3&lt;='Gastos com Pessoal'!$F$513:$F$522)*(IF('Gastos com Pessoal'!$AE$513:$AE$522&lt;=Z$3,1,0))*OFFSET('Gastos com Pessoal'!$H$512,1,MATCH(5&amp;$B50,'Gastos com Pessoal'!$I$532:$AJ$532&amp;'Gastos com Pessoal'!$I$512:$AJ$512,0),10,1)),0)</f>
        <v>20150.540000000008</v>
      </c>
      <c r="AA50" s="188">
        <f t="array" aca="1" ref="AA50" ca="1">_xlfn.IFNA(SUM((AA$3&gt;='Gastos com Pessoal'!$E$7:$E$506)*(AA$3&lt;='Gastos com Pessoal'!$F$7:$F$506)*OFFSET('Encargos e Benefícios'!$D$5,1,MATCH($B50,'Encargos e Benefícios'!$E$5:$AB$5,0),500,1)),0)+_xlfn.IFNA(SUM((AA$3&gt;='Gastos com Pessoal'!$E$513:$E$522)*(AA$3&lt;='Gastos com Pessoal'!$F$513:$F$522)*OFFSET('Encargos e Benefícios'!$D$511,1,MATCH($B50,'Encargos e Benefícios'!$E$511:$AB$511,0),10,1)),0)+_xlfn.IFNA(SUM((AA$3&gt;='Gastos com Pessoal'!$E$7:$E$506)*(AA$3&lt;='Gastos com Pessoal'!$F$7:$F$506)*(IF('Gastos com Pessoal'!$G$7:$G$506&lt;=AA$3,1,0))*OFFSET('Gastos com Pessoal'!$H$6,1,MATCH(1&amp;$B50,'Gastos com Pessoal'!$I$532:$AJ$532&amp;'Gastos com Pessoal'!$I$6:$AJ$6,0),500,1)),0)+_xlfn.IFNA(SUM((AA$3&gt;='Gastos com Pessoal'!$E$7:$E$506)*(AA$3&lt;='Gastos com Pessoal'!$F$7:$F$506)*(IF('Gastos com Pessoal'!$M$7:$M$506&lt;=AA$3,1,0))*OFFSET('Gastos com Pessoal'!$H$6,1,MATCH(2&amp;$B50,'Gastos com Pessoal'!$I$532:$AJ$532&amp;'Gastos com Pessoal'!$I$6:$AJ$6,0),500,1)),0)+_xlfn.IFNA(SUM((AA$3&gt;='Gastos com Pessoal'!$E$7:$E$506)*(AA$3&lt;='Gastos com Pessoal'!$F$7:$F$506)*(IF('Gastos com Pessoal'!$S$7:$S$506&lt;=AA$3,1,0))*OFFSET('Gastos com Pessoal'!$H$6,1,MATCH(3&amp;$B50,'Gastos com Pessoal'!$I$532:$AJ$532&amp;'Gastos com Pessoal'!$I$6:$AJ$6,0),500,1)),0)+_xlfn.IFNA(SUM((AA$3&gt;='Gastos com Pessoal'!$E$7:$E$506)*(AA$3&lt;='Gastos com Pessoal'!$F$7:$F$506)*(IF('Gastos com Pessoal'!$Y$7:$Y$506&lt;=AA$3,1,0))*OFFSET('Gastos com Pessoal'!$H$6,1,MATCH(4&amp;$B50,'Gastos com Pessoal'!$I$532:$AJ$532&amp;'Gastos com Pessoal'!$I$6:$AJ$6,0),500,1)),0)+_xlfn.IFNA(SUM((AA$3&gt;='Gastos com Pessoal'!$E$7:$E$506)*(AA$3&lt;='Gastos com Pessoal'!$F$7:$F$506)*(IF('Gastos com Pessoal'!$AE$7:$AE$506&lt;=AA$3,1,0))*OFFSET('Gastos com Pessoal'!$H$6,1,MATCH(5&amp;$B50,'Gastos com Pessoal'!$I$532:$AJ$532&amp;'Gastos com Pessoal'!$I$6:$AJ$6,0),500,1)),0)+_xlfn.IFNA(SUM((AA$3&gt;='Gastos com Pessoal'!$E$513:$E$522)*(AA$3&lt;='Gastos com Pessoal'!$F$513:$F$522)*(IF('Gastos com Pessoal'!$G$513:$G$522&lt;=AA$3,1,0))*OFFSET('Gastos com Pessoal'!$H$512,1,MATCH(1&amp;$B50,'Gastos com Pessoal'!$I$532:$AJ$532&amp;'Gastos com Pessoal'!$I$512:$AJ$512,0),10,1)),0)+_xlfn.IFNA(SUM((AA$3&gt;='Gastos com Pessoal'!$E$513:$E$522)*(AA$3&lt;='Gastos com Pessoal'!$F$513:$F$522)*(IF('Gastos com Pessoal'!$M$513:$M$522&lt;=AA$3,1,0))*OFFSET('Gastos com Pessoal'!$H$512,1,MATCH(2&amp;$B50,'Gastos com Pessoal'!$I$532:$AJ$532&amp;'Gastos com Pessoal'!$I$512:$AJ$512,0),10,1)),0)+_xlfn.IFNA(SUM((AA$3&gt;='Gastos com Pessoal'!$E$513:$E$522)*(AA$3&lt;='Gastos com Pessoal'!$F$513:$F$522)*(IF('Gastos com Pessoal'!$S$513:$S$522&lt;=AA$3,1,0))*OFFSET('Gastos com Pessoal'!$H$512,1,MATCH(3&amp;$B50,'Gastos com Pessoal'!$I$532:$AJ$532&amp;'Gastos com Pessoal'!$I$512:$AJ$512,0),10,1)),0)+_xlfn.IFNA(SUM((AA$3&gt;='Gastos com Pessoal'!$E$513:$E$522)*(AA$3&lt;='Gastos com Pessoal'!$F$513:$F$522)*(IF('Gastos com Pessoal'!$Y$513:$Y$522&lt;=AA$3,1,0))*OFFSET('Gastos com Pessoal'!$H$512,1,MATCH(4&amp;$B50,'Gastos com Pessoal'!$I$532:$AJ$532&amp;'Gastos com Pessoal'!$I$512:$AJ$512,0),10,1)),0)+_xlfn.IFNA(SUM((AA$3&gt;='Gastos com Pessoal'!$E$513:$E$522)*(AA$3&lt;='Gastos com Pessoal'!$F$513:$F$522)*(IF('Gastos com Pessoal'!$AE$513:$AE$522&lt;=AA$3,1,0))*OFFSET('Gastos com Pessoal'!$H$512,1,MATCH(5&amp;$B50,'Gastos com Pessoal'!$I$532:$AJ$532&amp;'Gastos com Pessoal'!$I$512:$AJ$512,0),10,1)),0)</f>
        <v>20150.540000000008</v>
      </c>
      <c r="AB50" s="188">
        <f t="array" aca="1" ref="AB50" ca="1">_xlfn.IFNA(SUM((AB$3&gt;='Gastos com Pessoal'!$E$7:$E$506)*(AB$3&lt;='Gastos com Pessoal'!$F$7:$F$506)*OFFSET('Encargos e Benefícios'!$D$5,1,MATCH($B50,'Encargos e Benefícios'!$E$5:$AB$5,0),500,1)),0)+_xlfn.IFNA(SUM((AB$3&gt;='Gastos com Pessoal'!$E$513:$E$522)*(AB$3&lt;='Gastos com Pessoal'!$F$513:$F$522)*OFFSET('Encargos e Benefícios'!$D$511,1,MATCH($B50,'Encargos e Benefícios'!$E$511:$AB$511,0),10,1)),0)+_xlfn.IFNA(SUM((AB$3&gt;='Gastos com Pessoal'!$E$7:$E$506)*(AB$3&lt;='Gastos com Pessoal'!$F$7:$F$506)*(IF('Gastos com Pessoal'!$G$7:$G$506&lt;=AB$3,1,0))*OFFSET('Gastos com Pessoal'!$H$6,1,MATCH(1&amp;$B50,'Gastos com Pessoal'!$I$532:$AJ$532&amp;'Gastos com Pessoal'!$I$6:$AJ$6,0),500,1)),0)+_xlfn.IFNA(SUM((AB$3&gt;='Gastos com Pessoal'!$E$7:$E$506)*(AB$3&lt;='Gastos com Pessoal'!$F$7:$F$506)*(IF('Gastos com Pessoal'!$M$7:$M$506&lt;=AB$3,1,0))*OFFSET('Gastos com Pessoal'!$H$6,1,MATCH(2&amp;$B50,'Gastos com Pessoal'!$I$532:$AJ$532&amp;'Gastos com Pessoal'!$I$6:$AJ$6,0),500,1)),0)+_xlfn.IFNA(SUM((AB$3&gt;='Gastos com Pessoal'!$E$7:$E$506)*(AB$3&lt;='Gastos com Pessoal'!$F$7:$F$506)*(IF('Gastos com Pessoal'!$S$7:$S$506&lt;=AB$3,1,0))*OFFSET('Gastos com Pessoal'!$H$6,1,MATCH(3&amp;$B50,'Gastos com Pessoal'!$I$532:$AJ$532&amp;'Gastos com Pessoal'!$I$6:$AJ$6,0),500,1)),0)+_xlfn.IFNA(SUM((AB$3&gt;='Gastos com Pessoal'!$E$7:$E$506)*(AB$3&lt;='Gastos com Pessoal'!$F$7:$F$506)*(IF('Gastos com Pessoal'!$Y$7:$Y$506&lt;=AB$3,1,0))*OFFSET('Gastos com Pessoal'!$H$6,1,MATCH(4&amp;$B50,'Gastos com Pessoal'!$I$532:$AJ$532&amp;'Gastos com Pessoal'!$I$6:$AJ$6,0),500,1)),0)+_xlfn.IFNA(SUM((AB$3&gt;='Gastos com Pessoal'!$E$7:$E$506)*(AB$3&lt;='Gastos com Pessoal'!$F$7:$F$506)*(IF('Gastos com Pessoal'!$AE$7:$AE$506&lt;=AB$3,1,0))*OFFSET('Gastos com Pessoal'!$H$6,1,MATCH(5&amp;$B50,'Gastos com Pessoal'!$I$532:$AJ$532&amp;'Gastos com Pessoal'!$I$6:$AJ$6,0),500,1)),0)+_xlfn.IFNA(SUM((AB$3&gt;='Gastos com Pessoal'!$E$513:$E$522)*(AB$3&lt;='Gastos com Pessoal'!$F$513:$F$522)*(IF('Gastos com Pessoal'!$G$513:$G$522&lt;=AB$3,1,0))*OFFSET('Gastos com Pessoal'!$H$512,1,MATCH(1&amp;$B50,'Gastos com Pessoal'!$I$532:$AJ$532&amp;'Gastos com Pessoal'!$I$512:$AJ$512,0),10,1)),0)+_xlfn.IFNA(SUM((AB$3&gt;='Gastos com Pessoal'!$E$513:$E$522)*(AB$3&lt;='Gastos com Pessoal'!$F$513:$F$522)*(IF('Gastos com Pessoal'!$M$513:$M$522&lt;=AB$3,1,0))*OFFSET('Gastos com Pessoal'!$H$512,1,MATCH(2&amp;$B50,'Gastos com Pessoal'!$I$532:$AJ$532&amp;'Gastos com Pessoal'!$I$512:$AJ$512,0),10,1)),0)+_xlfn.IFNA(SUM((AB$3&gt;='Gastos com Pessoal'!$E$513:$E$522)*(AB$3&lt;='Gastos com Pessoal'!$F$513:$F$522)*(IF('Gastos com Pessoal'!$S$513:$S$522&lt;=AB$3,1,0))*OFFSET('Gastos com Pessoal'!$H$512,1,MATCH(3&amp;$B50,'Gastos com Pessoal'!$I$532:$AJ$532&amp;'Gastos com Pessoal'!$I$512:$AJ$512,0),10,1)),0)+_xlfn.IFNA(SUM((AB$3&gt;='Gastos com Pessoal'!$E$513:$E$522)*(AB$3&lt;='Gastos com Pessoal'!$F$513:$F$522)*(IF('Gastos com Pessoal'!$Y$513:$Y$522&lt;=AB$3,1,0))*OFFSET('Gastos com Pessoal'!$H$512,1,MATCH(4&amp;$B50,'Gastos com Pessoal'!$I$532:$AJ$532&amp;'Gastos com Pessoal'!$I$512:$AJ$512,0),10,1)),0)+_xlfn.IFNA(SUM((AB$3&gt;='Gastos com Pessoal'!$E$513:$E$522)*(AB$3&lt;='Gastos com Pessoal'!$F$513:$F$522)*(IF('Gastos com Pessoal'!$AE$513:$AE$522&lt;=AB$3,1,0))*OFFSET('Gastos com Pessoal'!$H$512,1,MATCH(5&amp;$B50,'Gastos com Pessoal'!$I$532:$AJ$532&amp;'Gastos com Pessoal'!$I$512:$AJ$512,0),10,1)),0)</f>
        <v>20150.540000000008</v>
      </c>
      <c r="AC50" s="188">
        <f t="array" aca="1" ref="AC50" ca="1">_xlfn.IFNA(SUM((AC$3&gt;='Gastos com Pessoal'!$E$7:$E$506)*(AC$3&lt;='Gastos com Pessoal'!$F$7:$F$506)*OFFSET('Encargos e Benefícios'!$D$5,1,MATCH($B50,'Encargos e Benefícios'!$E$5:$AB$5,0),500,1)),0)+_xlfn.IFNA(SUM((AC$3&gt;='Gastos com Pessoal'!$E$513:$E$522)*(AC$3&lt;='Gastos com Pessoal'!$F$513:$F$522)*OFFSET('Encargos e Benefícios'!$D$511,1,MATCH($B50,'Encargos e Benefícios'!$E$511:$AB$511,0),10,1)),0)+_xlfn.IFNA(SUM((AC$3&gt;='Gastos com Pessoal'!$E$7:$E$506)*(AC$3&lt;='Gastos com Pessoal'!$F$7:$F$506)*(IF('Gastos com Pessoal'!$G$7:$G$506&lt;=AC$3,1,0))*OFFSET('Gastos com Pessoal'!$H$6,1,MATCH(1&amp;$B50,'Gastos com Pessoal'!$I$532:$AJ$532&amp;'Gastos com Pessoal'!$I$6:$AJ$6,0),500,1)),0)+_xlfn.IFNA(SUM((AC$3&gt;='Gastos com Pessoal'!$E$7:$E$506)*(AC$3&lt;='Gastos com Pessoal'!$F$7:$F$506)*(IF('Gastos com Pessoal'!$M$7:$M$506&lt;=AC$3,1,0))*OFFSET('Gastos com Pessoal'!$H$6,1,MATCH(2&amp;$B50,'Gastos com Pessoal'!$I$532:$AJ$532&amp;'Gastos com Pessoal'!$I$6:$AJ$6,0),500,1)),0)+_xlfn.IFNA(SUM((AC$3&gt;='Gastos com Pessoal'!$E$7:$E$506)*(AC$3&lt;='Gastos com Pessoal'!$F$7:$F$506)*(IF('Gastos com Pessoal'!$S$7:$S$506&lt;=AC$3,1,0))*OFFSET('Gastos com Pessoal'!$H$6,1,MATCH(3&amp;$B50,'Gastos com Pessoal'!$I$532:$AJ$532&amp;'Gastos com Pessoal'!$I$6:$AJ$6,0),500,1)),0)+_xlfn.IFNA(SUM((AC$3&gt;='Gastos com Pessoal'!$E$7:$E$506)*(AC$3&lt;='Gastos com Pessoal'!$F$7:$F$506)*(IF('Gastos com Pessoal'!$Y$7:$Y$506&lt;=AC$3,1,0))*OFFSET('Gastos com Pessoal'!$H$6,1,MATCH(4&amp;$B50,'Gastos com Pessoal'!$I$532:$AJ$532&amp;'Gastos com Pessoal'!$I$6:$AJ$6,0),500,1)),0)+_xlfn.IFNA(SUM((AC$3&gt;='Gastos com Pessoal'!$E$7:$E$506)*(AC$3&lt;='Gastos com Pessoal'!$F$7:$F$506)*(IF('Gastos com Pessoal'!$AE$7:$AE$506&lt;=AC$3,1,0))*OFFSET('Gastos com Pessoal'!$H$6,1,MATCH(5&amp;$B50,'Gastos com Pessoal'!$I$532:$AJ$532&amp;'Gastos com Pessoal'!$I$6:$AJ$6,0),500,1)),0)+_xlfn.IFNA(SUM((AC$3&gt;='Gastos com Pessoal'!$E$513:$E$522)*(AC$3&lt;='Gastos com Pessoal'!$F$513:$F$522)*(IF('Gastos com Pessoal'!$G$513:$G$522&lt;=AC$3,1,0))*OFFSET('Gastos com Pessoal'!$H$512,1,MATCH(1&amp;$B50,'Gastos com Pessoal'!$I$532:$AJ$532&amp;'Gastos com Pessoal'!$I$512:$AJ$512,0),10,1)),0)+_xlfn.IFNA(SUM((AC$3&gt;='Gastos com Pessoal'!$E$513:$E$522)*(AC$3&lt;='Gastos com Pessoal'!$F$513:$F$522)*(IF('Gastos com Pessoal'!$M$513:$M$522&lt;=AC$3,1,0))*OFFSET('Gastos com Pessoal'!$H$512,1,MATCH(2&amp;$B50,'Gastos com Pessoal'!$I$532:$AJ$532&amp;'Gastos com Pessoal'!$I$512:$AJ$512,0),10,1)),0)+_xlfn.IFNA(SUM((AC$3&gt;='Gastos com Pessoal'!$E$513:$E$522)*(AC$3&lt;='Gastos com Pessoal'!$F$513:$F$522)*(IF('Gastos com Pessoal'!$S$513:$S$522&lt;=AC$3,1,0))*OFFSET('Gastos com Pessoal'!$H$512,1,MATCH(3&amp;$B50,'Gastos com Pessoal'!$I$532:$AJ$532&amp;'Gastos com Pessoal'!$I$512:$AJ$512,0),10,1)),0)+_xlfn.IFNA(SUM((AC$3&gt;='Gastos com Pessoal'!$E$513:$E$522)*(AC$3&lt;='Gastos com Pessoal'!$F$513:$F$522)*(IF('Gastos com Pessoal'!$Y$513:$Y$522&lt;=AC$3,1,0))*OFFSET('Gastos com Pessoal'!$H$512,1,MATCH(4&amp;$B50,'Gastos com Pessoal'!$I$532:$AJ$532&amp;'Gastos com Pessoal'!$I$512:$AJ$512,0),10,1)),0)+_xlfn.IFNA(SUM((AC$3&gt;='Gastos com Pessoal'!$E$513:$E$522)*(AC$3&lt;='Gastos com Pessoal'!$F$513:$F$522)*(IF('Gastos com Pessoal'!$AE$513:$AE$522&lt;=AC$3,1,0))*OFFSET('Gastos com Pessoal'!$H$512,1,MATCH(5&amp;$B50,'Gastos com Pessoal'!$I$532:$AJ$532&amp;'Gastos com Pessoal'!$I$512:$AJ$512,0),10,1)),0)</f>
        <v>20150.540000000008</v>
      </c>
      <c r="AD50" s="188">
        <f t="array" aca="1" ref="AD50" ca="1">_xlfn.IFNA(SUM((AD$3&gt;='Gastos com Pessoal'!$E$7:$E$506)*(AD$3&lt;='Gastos com Pessoal'!$F$7:$F$506)*OFFSET('Encargos e Benefícios'!$D$5,1,MATCH($B50,'Encargos e Benefícios'!$E$5:$AB$5,0),500,1)),0)+_xlfn.IFNA(SUM((AD$3&gt;='Gastos com Pessoal'!$E$513:$E$522)*(AD$3&lt;='Gastos com Pessoal'!$F$513:$F$522)*OFFSET('Encargos e Benefícios'!$D$511,1,MATCH($B50,'Encargos e Benefícios'!$E$511:$AB$511,0),10,1)),0)+_xlfn.IFNA(SUM((AD$3&gt;='Gastos com Pessoal'!$E$7:$E$506)*(AD$3&lt;='Gastos com Pessoal'!$F$7:$F$506)*(IF('Gastos com Pessoal'!$G$7:$G$506&lt;=AD$3,1,0))*OFFSET('Gastos com Pessoal'!$H$6,1,MATCH(1&amp;$B50,'Gastos com Pessoal'!$I$532:$AJ$532&amp;'Gastos com Pessoal'!$I$6:$AJ$6,0),500,1)),0)+_xlfn.IFNA(SUM((AD$3&gt;='Gastos com Pessoal'!$E$7:$E$506)*(AD$3&lt;='Gastos com Pessoal'!$F$7:$F$506)*(IF('Gastos com Pessoal'!$M$7:$M$506&lt;=AD$3,1,0))*OFFSET('Gastos com Pessoal'!$H$6,1,MATCH(2&amp;$B50,'Gastos com Pessoal'!$I$532:$AJ$532&amp;'Gastos com Pessoal'!$I$6:$AJ$6,0),500,1)),0)+_xlfn.IFNA(SUM((AD$3&gt;='Gastos com Pessoal'!$E$7:$E$506)*(AD$3&lt;='Gastos com Pessoal'!$F$7:$F$506)*(IF('Gastos com Pessoal'!$S$7:$S$506&lt;=AD$3,1,0))*OFFSET('Gastos com Pessoal'!$H$6,1,MATCH(3&amp;$B50,'Gastos com Pessoal'!$I$532:$AJ$532&amp;'Gastos com Pessoal'!$I$6:$AJ$6,0),500,1)),0)+_xlfn.IFNA(SUM((AD$3&gt;='Gastos com Pessoal'!$E$7:$E$506)*(AD$3&lt;='Gastos com Pessoal'!$F$7:$F$506)*(IF('Gastos com Pessoal'!$Y$7:$Y$506&lt;=AD$3,1,0))*OFFSET('Gastos com Pessoal'!$H$6,1,MATCH(4&amp;$B50,'Gastos com Pessoal'!$I$532:$AJ$532&amp;'Gastos com Pessoal'!$I$6:$AJ$6,0),500,1)),0)+_xlfn.IFNA(SUM((AD$3&gt;='Gastos com Pessoal'!$E$7:$E$506)*(AD$3&lt;='Gastos com Pessoal'!$F$7:$F$506)*(IF('Gastos com Pessoal'!$AE$7:$AE$506&lt;=AD$3,1,0))*OFFSET('Gastos com Pessoal'!$H$6,1,MATCH(5&amp;$B50,'Gastos com Pessoal'!$I$532:$AJ$532&amp;'Gastos com Pessoal'!$I$6:$AJ$6,0),500,1)),0)+_xlfn.IFNA(SUM((AD$3&gt;='Gastos com Pessoal'!$E$513:$E$522)*(AD$3&lt;='Gastos com Pessoal'!$F$513:$F$522)*(IF('Gastos com Pessoal'!$G$513:$G$522&lt;=AD$3,1,0))*OFFSET('Gastos com Pessoal'!$H$512,1,MATCH(1&amp;$B50,'Gastos com Pessoal'!$I$532:$AJ$532&amp;'Gastos com Pessoal'!$I$512:$AJ$512,0),10,1)),0)+_xlfn.IFNA(SUM((AD$3&gt;='Gastos com Pessoal'!$E$513:$E$522)*(AD$3&lt;='Gastos com Pessoal'!$F$513:$F$522)*(IF('Gastos com Pessoal'!$M$513:$M$522&lt;=AD$3,1,0))*OFFSET('Gastos com Pessoal'!$H$512,1,MATCH(2&amp;$B50,'Gastos com Pessoal'!$I$532:$AJ$532&amp;'Gastos com Pessoal'!$I$512:$AJ$512,0),10,1)),0)+_xlfn.IFNA(SUM((AD$3&gt;='Gastos com Pessoal'!$E$513:$E$522)*(AD$3&lt;='Gastos com Pessoal'!$F$513:$F$522)*(IF('Gastos com Pessoal'!$S$513:$S$522&lt;=AD$3,1,0))*OFFSET('Gastos com Pessoal'!$H$512,1,MATCH(3&amp;$B50,'Gastos com Pessoal'!$I$532:$AJ$532&amp;'Gastos com Pessoal'!$I$512:$AJ$512,0),10,1)),0)+_xlfn.IFNA(SUM((AD$3&gt;='Gastos com Pessoal'!$E$513:$E$522)*(AD$3&lt;='Gastos com Pessoal'!$F$513:$F$522)*(IF('Gastos com Pessoal'!$Y$513:$Y$522&lt;=AD$3,1,0))*OFFSET('Gastos com Pessoal'!$H$512,1,MATCH(4&amp;$B50,'Gastos com Pessoal'!$I$532:$AJ$532&amp;'Gastos com Pessoal'!$I$512:$AJ$512,0),10,1)),0)+_xlfn.IFNA(SUM((AD$3&gt;='Gastos com Pessoal'!$E$513:$E$522)*(AD$3&lt;='Gastos com Pessoal'!$F$513:$F$522)*(IF('Gastos com Pessoal'!$AE$513:$AE$522&lt;=AD$3,1,0))*OFFSET('Gastos com Pessoal'!$H$512,1,MATCH(5&amp;$B50,'Gastos com Pessoal'!$I$532:$AJ$532&amp;'Gastos com Pessoal'!$I$512:$AJ$512,0),10,1)),0)</f>
        <v>20150.540000000008</v>
      </c>
      <c r="AE50" s="188">
        <f t="array" aca="1" ref="AE50" ca="1">_xlfn.IFNA(SUM((AE$3&gt;='Gastos com Pessoal'!$E$7:$E$506)*(AE$3&lt;='Gastos com Pessoal'!$F$7:$F$506)*OFFSET('Encargos e Benefícios'!$D$5,1,MATCH($B50,'Encargos e Benefícios'!$E$5:$AB$5,0),500,1)),0)+_xlfn.IFNA(SUM((AE$3&gt;='Gastos com Pessoal'!$E$513:$E$522)*(AE$3&lt;='Gastos com Pessoal'!$F$513:$F$522)*OFFSET('Encargos e Benefícios'!$D$511,1,MATCH($B50,'Encargos e Benefícios'!$E$511:$AB$511,0),10,1)),0)+_xlfn.IFNA(SUM((AE$3&gt;='Gastos com Pessoal'!$E$7:$E$506)*(AE$3&lt;='Gastos com Pessoal'!$F$7:$F$506)*(IF('Gastos com Pessoal'!$G$7:$G$506&lt;=AE$3,1,0))*OFFSET('Gastos com Pessoal'!$H$6,1,MATCH(1&amp;$B50,'Gastos com Pessoal'!$I$532:$AJ$532&amp;'Gastos com Pessoal'!$I$6:$AJ$6,0),500,1)),0)+_xlfn.IFNA(SUM((AE$3&gt;='Gastos com Pessoal'!$E$7:$E$506)*(AE$3&lt;='Gastos com Pessoal'!$F$7:$F$506)*(IF('Gastos com Pessoal'!$M$7:$M$506&lt;=AE$3,1,0))*OFFSET('Gastos com Pessoal'!$H$6,1,MATCH(2&amp;$B50,'Gastos com Pessoal'!$I$532:$AJ$532&amp;'Gastos com Pessoal'!$I$6:$AJ$6,0),500,1)),0)+_xlfn.IFNA(SUM((AE$3&gt;='Gastos com Pessoal'!$E$7:$E$506)*(AE$3&lt;='Gastos com Pessoal'!$F$7:$F$506)*(IF('Gastos com Pessoal'!$S$7:$S$506&lt;=AE$3,1,0))*OFFSET('Gastos com Pessoal'!$H$6,1,MATCH(3&amp;$B50,'Gastos com Pessoal'!$I$532:$AJ$532&amp;'Gastos com Pessoal'!$I$6:$AJ$6,0),500,1)),0)+_xlfn.IFNA(SUM((AE$3&gt;='Gastos com Pessoal'!$E$7:$E$506)*(AE$3&lt;='Gastos com Pessoal'!$F$7:$F$506)*(IF('Gastos com Pessoal'!$Y$7:$Y$506&lt;=AE$3,1,0))*OFFSET('Gastos com Pessoal'!$H$6,1,MATCH(4&amp;$B50,'Gastos com Pessoal'!$I$532:$AJ$532&amp;'Gastos com Pessoal'!$I$6:$AJ$6,0),500,1)),0)+_xlfn.IFNA(SUM((AE$3&gt;='Gastos com Pessoal'!$E$7:$E$506)*(AE$3&lt;='Gastos com Pessoal'!$F$7:$F$506)*(IF('Gastos com Pessoal'!$AE$7:$AE$506&lt;=AE$3,1,0))*OFFSET('Gastos com Pessoal'!$H$6,1,MATCH(5&amp;$B50,'Gastos com Pessoal'!$I$532:$AJ$532&amp;'Gastos com Pessoal'!$I$6:$AJ$6,0),500,1)),0)+_xlfn.IFNA(SUM((AE$3&gt;='Gastos com Pessoal'!$E$513:$E$522)*(AE$3&lt;='Gastos com Pessoal'!$F$513:$F$522)*(IF('Gastos com Pessoal'!$G$513:$G$522&lt;=AE$3,1,0))*OFFSET('Gastos com Pessoal'!$H$512,1,MATCH(1&amp;$B50,'Gastos com Pessoal'!$I$532:$AJ$532&amp;'Gastos com Pessoal'!$I$512:$AJ$512,0),10,1)),0)+_xlfn.IFNA(SUM((AE$3&gt;='Gastos com Pessoal'!$E$513:$E$522)*(AE$3&lt;='Gastos com Pessoal'!$F$513:$F$522)*(IF('Gastos com Pessoal'!$M$513:$M$522&lt;=AE$3,1,0))*OFFSET('Gastos com Pessoal'!$H$512,1,MATCH(2&amp;$B50,'Gastos com Pessoal'!$I$532:$AJ$532&amp;'Gastos com Pessoal'!$I$512:$AJ$512,0),10,1)),0)+_xlfn.IFNA(SUM((AE$3&gt;='Gastos com Pessoal'!$E$513:$E$522)*(AE$3&lt;='Gastos com Pessoal'!$F$513:$F$522)*(IF('Gastos com Pessoal'!$S$513:$S$522&lt;=AE$3,1,0))*OFFSET('Gastos com Pessoal'!$H$512,1,MATCH(3&amp;$B50,'Gastos com Pessoal'!$I$532:$AJ$532&amp;'Gastos com Pessoal'!$I$512:$AJ$512,0),10,1)),0)+_xlfn.IFNA(SUM((AE$3&gt;='Gastos com Pessoal'!$E$513:$E$522)*(AE$3&lt;='Gastos com Pessoal'!$F$513:$F$522)*(IF('Gastos com Pessoal'!$Y$513:$Y$522&lt;=AE$3,1,0))*OFFSET('Gastos com Pessoal'!$H$512,1,MATCH(4&amp;$B50,'Gastos com Pessoal'!$I$532:$AJ$532&amp;'Gastos com Pessoal'!$I$512:$AJ$512,0),10,1)),0)+_xlfn.IFNA(SUM((AE$3&gt;='Gastos com Pessoal'!$E$513:$E$522)*(AE$3&lt;='Gastos com Pessoal'!$F$513:$F$522)*(IF('Gastos com Pessoal'!$AE$513:$AE$522&lt;=AE$3,1,0))*OFFSET('Gastos com Pessoal'!$H$512,1,MATCH(5&amp;$B50,'Gastos com Pessoal'!$I$532:$AJ$532&amp;'Gastos com Pessoal'!$I$512:$AJ$512,0),10,1)),0)</f>
        <v>20150.540000000008</v>
      </c>
      <c r="AF50" s="188">
        <f t="array" aca="1" ref="AF50" ca="1">_xlfn.IFNA(SUM((AF$3&gt;='Gastos com Pessoal'!$E$7:$E$506)*(AF$3&lt;='Gastos com Pessoal'!$F$7:$F$506)*OFFSET('Encargos e Benefícios'!$D$5,1,MATCH($B50,'Encargos e Benefícios'!$E$5:$AB$5,0),500,1)),0)+_xlfn.IFNA(SUM((AF$3&gt;='Gastos com Pessoal'!$E$513:$E$522)*(AF$3&lt;='Gastos com Pessoal'!$F$513:$F$522)*OFFSET('Encargos e Benefícios'!$D$511,1,MATCH($B50,'Encargos e Benefícios'!$E$511:$AB$511,0),10,1)),0)+_xlfn.IFNA(SUM((AF$3&gt;='Gastos com Pessoal'!$E$7:$E$506)*(AF$3&lt;='Gastos com Pessoal'!$F$7:$F$506)*(IF('Gastos com Pessoal'!$G$7:$G$506&lt;=AF$3,1,0))*OFFSET('Gastos com Pessoal'!$H$6,1,MATCH(1&amp;$B50,'Gastos com Pessoal'!$I$532:$AJ$532&amp;'Gastos com Pessoal'!$I$6:$AJ$6,0),500,1)),0)+_xlfn.IFNA(SUM((AF$3&gt;='Gastos com Pessoal'!$E$7:$E$506)*(AF$3&lt;='Gastos com Pessoal'!$F$7:$F$506)*(IF('Gastos com Pessoal'!$M$7:$M$506&lt;=AF$3,1,0))*OFFSET('Gastos com Pessoal'!$H$6,1,MATCH(2&amp;$B50,'Gastos com Pessoal'!$I$532:$AJ$532&amp;'Gastos com Pessoal'!$I$6:$AJ$6,0),500,1)),0)+_xlfn.IFNA(SUM((AF$3&gt;='Gastos com Pessoal'!$E$7:$E$506)*(AF$3&lt;='Gastos com Pessoal'!$F$7:$F$506)*(IF('Gastos com Pessoal'!$S$7:$S$506&lt;=AF$3,1,0))*OFFSET('Gastos com Pessoal'!$H$6,1,MATCH(3&amp;$B50,'Gastos com Pessoal'!$I$532:$AJ$532&amp;'Gastos com Pessoal'!$I$6:$AJ$6,0),500,1)),0)+_xlfn.IFNA(SUM((AF$3&gt;='Gastos com Pessoal'!$E$7:$E$506)*(AF$3&lt;='Gastos com Pessoal'!$F$7:$F$506)*(IF('Gastos com Pessoal'!$Y$7:$Y$506&lt;=AF$3,1,0))*OFFSET('Gastos com Pessoal'!$H$6,1,MATCH(4&amp;$B50,'Gastos com Pessoal'!$I$532:$AJ$532&amp;'Gastos com Pessoal'!$I$6:$AJ$6,0),500,1)),0)+_xlfn.IFNA(SUM((AF$3&gt;='Gastos com Pessoal'!$E$7:$E$506)*(AF$3&lt;='Gastos com Pessoal'!$F$7:$F$506)*(IF('Gastos com Pessoal'!$AE$7:$AE$506&lt;=AF$3,1,0))*OFFSET('Gastos com Pessoal'!$H$6,1,MATCH(5&amp;$B50,'Gastos com Pessoal'!$I$532:$AJ$532&amp;'Gastos com Pessoal'!$I$6:$AJ$6,0),500,1)),0)+_xlfn.IFNA(SUM((AF$3&gt;='Gastos com Pessoal'!$E$513:$E$522)*(AF$3&lt;='Gastos com Pessoal'!$F$513:$F$522)*(IF('Gastos com Pessoal'!$G$513:$G$522&lt;=AF$3,1,0))*OFFSET('Gastos com Pessoal'!$H$512,1,MATCH(1&amp;$B50,'Gastos com Pessoal'!$I$532:$AJ$532&amp;'Gastos com Pessoal'!$I$512:$AJ$512,0),10,1)),0)+_xlfn.IFNA(SUM((AF$3&gt;='Gastos com Pessoal'!$E$513:$E$522)*(AF$3&lt;='Gastos com Pessoal'!$F$513:$F$522)*(IF('Gastos com Pessoal'!$M$513:$M$522&lt;=AF$3,1,0))*OFFSET('Gastos com Pessoal'!$H$512,1,MATCH(2&amp;$B50,'Gastos com Pessoal'!$I$532:$AJ$532&amp;'Gastos com Pessoal'!$I$512:$AJ$512,0),10,1)),0)+_xlfn.IFNA(SUM((AF$3&gt;='Gastos com Pessoal'!$E$513:$E$522)*(AF$3&lt;='Gastos com Pessoal'!$F$513:$F$522)*(IF('Gastos com Pessoal'!$S$513:$S$522&lt;=AF$3,1,0))*OFFSET('Gastos com Pessoal'!$H$512,1,MATCH(3&amp;$B50,'Gastos com Pessoal'!$I$532:$AJ$532&amp;'Gastos com Pessoal'!$I$512:$AJ$512,0),10,1)),0)+_xlfn.IFNA(SUM((AF$3&gt;='Gastos com Pessoal'!$E$513:$E$522)*(AF$3&lt;='Gastos com Pessoal'!$F$513:$F$522)*(IF('Gastos com Pessoal'!$Y$513:$Y$522&lt;=AF$3,1,0))*OFFSET('Gastos com Pessoal'!$H$512,1,MATCH(4&amp;$B50,'Gastos com Pessoal'!$I$532:$AJ$532&amp;'Gastos com Pessoal'!$I$512:$AJ$512,0),10,1)),0)+_xlfn.IFNA(SUM((AF$3&gt;='Gastos com Pessoal'!$E$513:$E$522)*(AF$3&lt;='Gastos com Pessoal'!$F$513:$F$522)*(IF('Gastos com Pessoal'!$AE$513:$AE$522&lt;=AF$3,1,0))*OFFSET('Gastos com Pessoal'!$H$512,1,MATCH(5&amp;$B50,'Gastos com Pessoal'!$I$532:$AJ$532&amp;'Gastos com Pessoal'!$I$512:$AJ$512,0),10,1)),0)</f>
        <v>20150.540000000008</v>
      </c>
      <c r="AG50" s="188">
        <f t="array" aca="1" ref="AG50" ca="1">_xlfn.IFNA(SUM((AG$3&gt;='Gastos com Pessoal'!$E$7:$E$506)*(AG$3&lt;='Gastos com Pessoal'!$F$7:$F$506)*OFFSET('Encargos e Benefícios'!$D$5,1,MATCH($B50,'Encargos e Benefícios'!$E$5:$AB$5,0),500,1)),0)+_xlfn.IFNA(SUM((AG$3&gt;='Gastos com Pessoal'!$E$513:$E$522)*(AG$3&lt;='Gastos com Pessoal'!$F$513:$F$522)*OFFSET('Encargos e Benefícios'!$D$511,1,MATCH($B50,'Encargos e Benefícios'!$E$511:$AB$511,0),10,1)),0)+_xlfn.IFNA(SUM((AG$3&gt;='Gastos com Pessoal'!$E$7:$E$506)*(AG$3&lt;='Gastos com Pessoal'!$F$7:$F$506)*(IF('Gastos com Pessoal'!$G$7:$G$506&lt;=AG$3,1,0))*OFFSET('Gastos com Pessoal'!$H$6,1,MATCH(1&amp;$B50,'Gastos com Pessoal'!$I$532:$AJ$532&amp;'Gastos com Pessoal'!$I$6:$AJ$6,0),500,1)),0)+_xlfn.IFNA(SUM((AG$3&gt;='Gastos com Pessoal'!$E$7:$E$506)*(AG$3&lt;='Gastos com Pessoal'!$F$7:$F$506)*(IF('Gastos com Pessoal'!$M$7:$M$506&lt;=AG$3,1,0))*OFFSET('Gastos com Pessoal'!$H$6,1,MATCH(2&amp;$B50,'Gastos com Pessoal'!$I$532:$AJ$532&amp;'Gastos com Pessoal'!$I$6:$AJ$6,0),500,1)),0)+_xlfn.IFNA(SUM((AG$3&gt;='Gastos com Pessoal'!$E$7:$E$506)*(AG$3&lt;='Gastos com Pessoal'!$F$7:$F$506)*(IF('Gastos com Pessoal'!$S$7:$S$506&lt;=AG$3,1,0))*OFFSET('Gastos com Pessoal'!$H$6,1,MATCH(3&amp;$B50,'Gastos com Pessoal'!$I$532:$AJ$532&amp;'Gastos com Pessoal'!$I$6:$AJ$6,0),500,1)),0)+_xlfn.IFNA(SUM((AG$3&gt;='Gastos com Pessoal'!$E$7:$E$506)*(AG$3&lt;='Gastos com Pessoal'!$F$7:$F$506)*(IF('Gastos com Pessoal'!$Y$7:$Y$506&lt;=AG$3,1,0))*OFFSET('Gastos com Pessoal'!$H$6,1,MATCH(4&amp;$B50,'Gastos com Pessoal'!$I$532:$AJ$532&amp;'Gastos com Pessoal'!$I$6:$AJ$6,0),500,1)),0)+_xlfn.IFNA(SUM((AG$3&gt;='Gastos com Pessoal'!$E$7:$E$506)*(AG$3&lt;='Gastos com Pessoal'!$F$7:$F$506)*(IF('Gastos com Pessoal'!$AE$7:$AE$506&lt;=AG$3,1,0))*OFFSET('Gastos com Pessoal'!$H$6,1,MATCH(5&amp;$B50,'Gastos com Pessoal'!$I$532:$AJ$532&amp;'Gastos com Pessoal'!$I$6:$AJ$6,0),500,1)),0)+_xlfn.IFNA(SUM((AG$3&gt;='Gastos com Pessoal'!$E$513:$E$522)*(AG$3&lt;='Gastos com Pessoal'!$F$513:$F$522)*(IF('Gastos com Pessoal'!$G$513:$G$522&lt;=AG$3,1,0))*OFFSET('Gastos com Pessoal'!$H$512,1,MATCH(1&amp;$B50,'Gastos com Pessoal'!$I$532:$AJ$532&amp;'Gastos com Pessoal'!$I$512:$AJ$512,0),10,1)),0)+_xlfn.IFNA(SUM((AG$3&gt;='Gastos com Pessoal'!$E$513:$E$522)*(AG$3&lt;='Gastos com Pessoal'!$F$513:$F$522)*(IF('Gastos com Pessoal'!$M$513:$M$522&lt;=AG$3,1,0))*OFFSET('Gastos com Pessoal'!$H$512,1,MATCH(2&amp;$B50,'Gastos com Pessoal'!$I$532:$AJ$532&amp;'Gastos com Pessoal'!$I$512:$AJ$512,0),10,1)),0)+_xlfn.IFNA(SUM((AG$3&gt;='Gastos com Pessoal'!$E$513:$E$522)*(AG$3&lt;='Gastos com Pessoal'!$F$513:$F$522)*(IF('Gastos com Pessoal'!$S$513:$S$522&lt;=AG$3,1,0))*OFFSET('Gastos com Pessoal'!$H$512,1,MATCH(3&amp;$B50,'Gastos com Pessoal'!$I$532:$AJ$532&amp;'Gastos com Pessoal'!$I$512:$AJ$512,0),10,1)),0)+_xlfn.IFNA(SUM((AG$3&gt;='Gastos com Pessoal'!$E$513:$E$522)*(AG$3&lt;='Gastos com Pessoal'!$F$513:$F$522)*(IF('Gastos com Pessoal'!$Y$513:$Y$522&lt;=AG$3,1,0))*OFFSET('Gastos com Pessoal'!$H$512,1,MATCH(4&amp;$B50,'Gastos com Pessoal'!$I$532:$AJ$532&amp;'Gastos com Pessoal'!$I$512:$AJ$512,0),10,1)),0)+_xlfn.IFNA(SUM((AG$3&gt;='Gastos com Pessoal'!$E$513:$E$522)*(AG$3&lt;='Gastos com Pessoal'!$F$513:$F$522)*(IF('Gastos com Pessoal'!$AE$513:$AE$522&lt;=AG$3,1,0))*OFFSET('Gastos com Pessoal'!$H$512,1,MATCH(5&amp;$B50,'Gastos com Pessoal'!$I$532:$AJ$532&amp;'Gastos com Pessoal'!$I$512:$AJ$512,0),10,1)),0)</f>
        <v>20150.540000000008</v>
      </c>
      <c r="AH50" s="188">
        <f t="array" aca="1" ref="AH50" ca="1">_xlfn.IFNA(SUM((AH$3&gt;='Gastos com Pessoal'!$E$7:$E$506)*(AH$3&lt;='Gastos com Pessoal'!$F$7:$F$506)*OFFSET('Encargos e Benefícios'!$D$5,1,MATCH($B50,'Encargos e Benefícios'!$E$5:$AB$5,0),500,1)),0)+_xlfn.IFNA(SUM((AH$3&gt;='Gastos com Pessoal'!$E$513:$E$522)*(AH$3&lt;='Gastos com Pessoal'!$F$513:$F$522)*OFFSET('Encargos e Benefícios'!$D$511,1,MATCH($B50,'Encargos e Benefícios'!$E$511:$AB$511,0),10,1)),0)+_xlfn.IFNA(SUM((AH$3&gt;='Gastos com Pessoal'!$E$7:$E$506)*(AH$3&lt;='Gastos com Pessoal'!$F$7:$F$506)*(IF('Gastos com Pessoal'!$G$7:$G$506&lt;=AH$3,1,0))*OFFSET('Gastos com Pessoal'!$H$6,1,MATCH(1&amp;$B50,'Gastos com Pessoal'!$I$532:$AJ$532&amp;'Gastos com Pessoal'!$I$6:$AJ$6,0),500,1)),0)+_xlfn.IFNA(SUM((AH$3&gt;='Gastos com Pessoal'!$E$7:$E$506)*(AH$3&lt;='Gastos com Pessoal'!$F$7:$F$506)*(IF('Gastos com Pessoal'!$M$7:$M$506&lt;=AH$3,1,0))*OFFSET('Gastos com Pessoal'!$H$6,1,MATCH(2&amp;$B50,'Gastos com Pessoal'!$I$532:$AJ$532&amp;'Gastos com Pessoal'!$I$6:$AJ$6,0),500,1)),0)+_xlfn.IFNA(SUM((AH$3&gt;='Gastos com Pessoal'!$E$7:$E$506)*(AH$3&lt;='Gastos com Pessoal'!$F$7:$F$506)*(IF('Gastos com Pessoal'!$S$7:$S$506&lt;=AH$3,1,0))*OFFSET('Gastos com Pessoal'!$H$6,1,MATCH(3&amp;$B50,'Gastos com Pessoal'!$I$532:$AJ$532&amp;'Gastos com Pessoal'!$I$6:$AJ$6,0),500,1)),0)+_xlfn.IFNA(SUM((AH$3&gt;='Gastos com Pessoal'!$E$7:$E$506)*(AH$3&lt;='Gastos com Pessoal'!$F$7:$F$506)*(IF('Gastos com Pessoal'!$Y$7:$Y$506&lt;=AH$3,1,0))*OFFSET('Gastos com Pessoal'!$H$6,1,MATCH(4&amp;$B50,'Gastos com Pessoal'!$I$532:$AJ$532&amp;'Gastos com Pessoal'!$I$6:$AJ$6,0),500,1)),0)+_xlfn.IFNA(SUM((AH$3&gt;='Gastos com Pessoal'!$E$7:$E$506)*(AH$3&lt;='Gastos com Pessoal'!$F$7:$F$506)*(IF('Gastos com Pessoal'!$AE$7:$AE$506&lt;=AH$3,1,0))*OFFSET('Gastos com Pessoal'!$H$6,1,MATCH(5&amp;$B50,'Gastos com Pessoal'!$I$532:$AJ$532&amp;'Gastos com Pessoal'!$I$6:$AJ$6,0),500,1)),0)+_xlfn.IFNA(SUM((AH$3&gt;='Gastos com Pessoal'!$E$513:$E$522)*(AH$3&lt;='Gastos com Pessoal'!$F$513:$F$522)*(IF('Gastos com Pessoal'!$G$513:$G$522&lt;=AH$3,1,0))*OFFSET('Gastos com Pessoal'!$H$512,1,MATCH(1&amp;$B50,'Gastos com Pessoal'!$I$532:$AJ$532&amp;'Gastos com Pessoal'!$I$512:$AJ$512,0),10,1)),0)+_xlfn.IFNA(SUM((AH$3&gt;='Gastos com Pessoal'!$E$513:$E$522)*(AH$3&lt;='Gastos com Pessoal'!$F$513:$F$522)*(IF('Gastos com Pessoal'!$M$513:$M$522&lt;=AH$3,1,0))*OFFSET('Gastos com Pessoal'!$H$512,1,MATCH(2&amp;$B50,'Gastos com Pessoal'!$I$532:$AJ$532&amp;'Gastos com Pessoal'!$I$512:$AJ$512,0),10,1)),0)+_xlfn.IFNA(SUM((AH$3&gt;='Gastos com Pessoal'!$E$513:$E$522)*(AH$3&lt;='Gastos com Pessoal'!$F$513:$F$522)*(IF('Gastos com Pessoal'!$S$513:$S$522&lt;=AH$3,1,0))*OFFSET('Gastos com Pessoal'!$H$512,1,MATCH(3&amp;$B50,'Gastos com Pessoal'!$I$532:$AJ$532&amp;'Gastos com Pessoal'!$I$512:$AJ$512,0),10,1)),0)+_xlfn.IFNA(SUM((AH$3&gt;='Gastos com Pessoal'!$E$513:$E$522)*(AH$3&lt;='Gastos com Pessoal'!$F$513:$F$522)*(IF('Gastos com Pessoal'!$Y$513:$Y$522&lt;=AH$3,1,0))*OFFSET('Gastos com Pessoal'!$H$512,1,MATCH(4&amp;$B50,'Gastos com Pessoal'!$I$532:$AJ$532&amp;'Gastos com Pessoal'!$I$512:$AJ$512,0),10,1)),0)+_xlfn.IFNA(SUM((AH$3&gt;='Gastos com Pessoal'!$E$513:$E$522)*(AH$3&lt;='Gastos com Pessoal'!$F$513:$F$522)*(IF('Gastos com Pessoal'!$AE$513:$AE$522&lt;=AH$3,1,0))*OFFSET('Gastos com Pessoal'!$H$512,1,MATCH(5&amp;$B50,'Gastos com Pessoal'!$I$532:$AJ$532&amp;'Gastos com Pessoal'!$I$512:$AJ$512,0),10,1)),0)</f>
        <v>20150.540000000008</v>
      </c>
      <c r="AI50" s="188">
        <f t="array" aca="1" ref="AI50" ca="1">_xlfn.IFNA(SUM((AI$3&gt;='Gastos com Pessoal'!$E$7:$E$506)*(AI$3&lt;='Gastos com Pessoal'!$F$7:$F$506)*OFFSET('Encargos e Benefícios'!$D$5,1,MATCH($B50,'Encargos e Benefícios'!$E$5:$AB$5,0),500,1)),0)+_xlfn.IFNA(SUM((AI$3&gt;='Gastos com Pessoal'!$E$513:$E$522)*(AI$3&lt;='Gastos com Pessoal'!$F$513:$F$522)*OFFSET('Encargos e Benefícios'!$D$511,1,MATCH($B50,'Encargos e Benefícios'!$E$511:$AB$511,0),10,1)),0)+_xlfn.IFNA(SUM((AI$3&gt;='Gastos com Pessoal'!$E$7:$E$506)*(AI$3&lt;='Gastos com Pessoal'!$F$7:$F$506)*(IF('Gastos com Pessoal'!$G$7:$G$506&lt;=AI$3,1,0))*OFFSET('Gastos com Pessoal'!$H$6,1,MATCH(1&amp;$B50,'Gastos com Pessoal'!$I$532:$AJ$532&amp;'Gastos com Pessoal'!$I$6:$AJ$6,0),500,1)),0)+_xlfn.IFNA(SUM((AI$3&gt;='Gastos com Pessoal'!$E$7:$E$506)*(AI$3&lt;='Gastos com Pessoal'!$F$7:$F$506)*(IF('Gastos com Pessoal'!$M$7:$M$506&lt;=AI$3,1,0))*OFFSET('Gastos com Pessoal'!$H$6,1,MATCH(2&amp;$B50,'Gastos com Pessoal'!$I$532:$AJ$532&amp;'Gastos com Pessoal'!$I$6:$AJ$6,0),500,1)),0)+_xlfn.IFNA(SUM((AI$3&gt;='Gastos com Pessoal'!$E$7:$E$506)*(AI$3&lt;='Gastos com Pessoal'!$F$7:$F$506)*(IF('Gastos com Pessoal'!$S$7:$S$506&lt;=AI$3,1,0))*OFFSET('Gastos com Pessoal'!$H$6,1,MATCH(3&amp;$B50,'Gastos com Pessoal'!$I$532:$AJ$532&amp;'Gastos com Pessoal'!$I$6:$AJ$6,0),500,1)),0)+_xlfn.IFNA(SUM((AI$3&gt;='Gastos com Pessoal'!$E$7:$E$506)*(AI$3&lt;='Gastos com Pessoal'!$F$7:$F$506)*(IF('Gastos com Pessoal'!$Y$7:$Y$506&lt;=AI$3,1,0))*OFFSET('Gastos com Pessoal'!$H$6,1,MATCH(4&amp;$B50,'Gastos com Pessoal'!$I$532:$AJ$532&amp;'Gastos com Pessoal'!$I$6:$AJ$6,0),500,1)),0)+_xlfn.IFNA(SUM((AI$3&gt;='Gastos com Pessoal'!$E$7:$E$506)*(AI$3&lt;='Gastos com Pessoal'!$F$7:$F$506)*(IF('Gastos com Pessoal'!$AE$7:$AE$506&lt;=AI$3,1,0))*OFFSET('Gastos com Pessoal'!$H$6,1,MATCH(5&amp;$B50,'Gastos com Pessoal'!$I$532:$AJ$532&amp;'Gastos com Pessoal'!$I$6:$AJ$6,0),500,1)),0)+_xlfn.IFNA(SUM((AI$3&gt;='Gastos com Pessoal'!$E$513:$E$522)*(AI$3&lt;='Gastos com Pessoal'!$F$513:$F$522)*(IF('Gastos com Pessoal'!$G$513:$G$522&lt;=AI$3,1,0))*OFFSET('Gastos com Pessoal'!$H$512,1,MATCH(1&amp;$B50,'Gastos com Pessoal'!$I$532:$AJ$532&amp;'Gastos com Pessoal'!$I$512:$AJ$512,0),10,1)),0)+_xlfn.IFNA(SUM((AI$3&gt;='Gastos com Pessoal'!$E$513:$E$522)*(AI$3&lt;='Gastos com Pessoal'!$F$513:$F$522)*(IF('Gastos com Pessoal'!$M$513:$M$522&lt;=AI$3,1,0))*OFFSET('Gastos com Pessoal'!$H$512,1,MATCH(2&amp;$B50,'Gastos com Pessoal'!$I$532:$AJ$532&amp;'Gastos com Pessoal'!$I$512:$AJ$512,0),10,1)),0)+_xlfn.IFNA(SUM((AI$3&gt;='Gastos com Pessoal'!$E$513:$E$522)*(AI$3&lt;='Gastos com Pessoal'!$F$513:$F$522)*(IF('Gastos com Pessoal'!$S$513:$S$522&lt;=AI$3,1,0))*OFFSET('Gastos com Pessoal'!$H$512,1,MATCH(3&amp;$B50,'Gastos com Pessoal'!$I$532:$AJ$532&amp;'Gastos com Pessoal'!$I$512:$AJ$512,0),10,1)),0)+_xlfn.IFNA(SUM((AI$3&gt;='Gastos com Pessoal'!$E$513:$E$522)*(AI$3&lt;='Gastos com Pessoal'!$F$513:$F$522)*(IF('Gastos com Pessoal'!$Y$513:$Y$522&lt;=AI$3,1,0))*OFFSET('Gastos com Pessoal'!$H$512,1,MATCH(4&amp;$B50,'Gastos com Pessoal'!$I$532:$AJ$532&amp;'Gastos com Pessoal'!$I$512:$AJ$512,0),10,1)),0)+_xlfn.IFNA(SUM((AI$3&gt;='Gastos com Pessoal'!$E$513:$E$522)*(AI$3&lt;='Gastos com Pessoal'!$F$513:$F$522)*(IF('Gastos com Pessoal'!$AE$513:$AE$522&lt;=AI$3,1,0))*OFFSET('Gastos com Pessoal'!$H$512,1,MATCH(5&amp;$B50,'Gastos com Pessoal'!$I$532:$AJ$532&amp;'Gastos com Pessoal'!$I$512:$AJ$512,0),10,1)),0)</f>
        <v>20150.540000000008</v>
      </c>
      <c r="AJ50" s="188">
        <f t="array" aca="1" ref="AJ50" ca="1">_xlfn.IFNA(SUM((AJ$3&gt;='Gastos com Pessoal'!$E$7:$E$506)*(AJ$3&lt;='Gastos com Pessoal'!$F$7:$F$506)*OFFSET('Encargos e Benefícios'!$D$5,1,MATCH($B50,'Encargos e Benefícios'!$E$5:$AB$5,0),500,1)),0)+_xlfn.IFNA(SUM((AJ$3&gt;='Gastos com Pessoal'!$E$513:$E$522)*(AJ$3&lt;='Gastos com Pessoal'!$F$513:$F$522)*OFFSET('Encargos e Benefícios'!$D$511,1,MATCH($B50,'Encargos e Benefícios'!$E$511:$AB$511,0),10,1)),0)+_xlfn.IFNA(SUM((AJ$3&gt;='Gastos com Pessoal'!$E$7:$E$506)*(AJ$3&lt;='Gastos com Pessoal'!$F$7:$F$506)*(IF('Gastos com Pessoal'!$G$7:$G$506&lt;=AJ$3,1,0))*OFFSET('Gastos com Pessoal'!$H$6,1,MATCH(1&amp;$B50,'Gastos com Pessoal'!$I$532:$AJ$532&amp;'Gastos com Pessoal'!$I$6:$AJ$6,0),500,1)),0)+_xlfn.IFNA(SUM((AJ$3&gt;='Gastos com Pessoal'!$E$7:$E$506)*(AJ$3&lt;='Gastos com Pessoal'!$F$7:$F$506)*(IF('Gastos com Pessoal'!$M$7:$M$506&lt;=AJ$3,1,0))*OFFSET('Gastos com Pessoal'!$H$6,1,MATCH(2&amp;$B50,'Gastos com Pessoal'!$I$532:$AJ$532&amp;'Gastos com Pessoal'!$I$6:$AJ$6,0),500,1)),0)+_xlfn.IFNA(SUM((AJ$3&gt;='Gastos com Pessoal'!$E$7:$E$506)*(AJ$3&lt;='Gastos com Pessoal'!$F$7:$F$506)*(IF('Gastos com Pessoal'!$S$7:$S$506&lt;=AJ$3,1,0))*OFFSET('Gastos com Pessoal'!$H$6,1,MATCH(3&amp;$B50,'Gastos com Pessoal'!$I$532:$AJ$532&amp;'Gastos com Pessoal'!$I$6:$AJ$6,0),500,1)),0)+_xlfn.IFNA(SUM((AJ$3&gt;='Gastos com Pessoal'!$E$7:$E$506)*(AJ$3&lt;='Gastos com Pessoal'!$F$7:$F$506)*(IF('Gastos com Pessoal'!$Y$7:$Y$506&lt;=AJ$3,1,0))*OFFSET('Gastos com Pessoal'!$H$6,1,MATCH(4&amp;$B50,'Gastos com Pessoal'!$I$532:$AJ$532&amp;'Gastos com Pessoal'!$I$6:$AJ$6,0),500,1)),0)+_xlfn.IFNA(SUM((AJ$3&gt;='Gastos com Pessoal'!$E$7:$E$506)*(AJ$3&lt;='Gastos com Pessoal'!$F$7:$F$506)*(IF('Gastos com Pessoal'!$AE$7:$AE$506&lt;=AJ$3,1,0))*OFFSET('Gastos com Pessoal'!$H$6,1,MATCH(5&amp;$B50,'Gastos com Pessoal'!$I$532:$AJ$532&amp;'Gastos com Pessoal'!$I$6:$AJ$6,0),500,1)),0)+_xlfn.IFNA(SUM((AJ$3&gt;='Gastos com Pessoal'!$E$513:$E$522)*(AJ$3&lt;='Gastos com Pessoal'!$F$513:$F$522)*(IF('Gastos com Pessoal'!$G$513:$G$522&lt;=AJ$3,1,0))*OFFSET('Gastos com Pessoal'!$H$512,1,MATCH(1&amp;$B50,'Gastos com Pessoal'!$I$532:$AJ$532&amp;'Gastos com Pessoal'!$I$512:$AJ$512,0),10,1)),0)+_xlfn.IFNA(SUM((AJ$3&gt;='Gastos com Pessoal'!$E$513:$E$522)*(AJ$3&lt;='Gastos com Pessoal'!$F$513:$F$522)*(IF('Gastos com Pessoal'!$M$513:$M$522&lt;=AJ$3,1,0))*OFFSET('Gastos com Pessoal'!$H$512,1,MATCH(2&amp;$B50,'Gastos com Pessoal'!$I$532:$AJ$532&amp;'Gastos com Pessoal'!$I$512:$AJ$512,0),10,1)),0)+_xlfn.IFNA(SUM((AJ$3&gt;='Gastos com Pessoal'!$E$513:$E$522)*(AJ$3&lt;='Gastos com Pessoal'!$F$513:$F$522)*(IF('Gastos com Pessoal'!$S$513:$S$522&lt;=AJ$3,1,0))*OFFSET('Gastos com Pessoal'!$H$512,1,MATCH(3&amp;$B50,'Gastos com Pessoal'!$I$532:$AJ$532&amp;'Gastos com Pessoal'!$I$512:$AJ$512,0),10,1)),0)+_xlfn.IFNA(SUM((AJ$3&gt;='Gastos com Pessoal'!$E$513:$E$522)*(AJ$3&lt;='Gastos com Pessoal'!$F$513:$F$522)*(IF('Gastos com Pessoal'!$Y$513:$Y$522&lt;=AJ$3,1,0))*OFFSET('Gastos com Pessoal'!$H$512,1,MATCH(4&amp;$B50,'Gastos com Pessoal'!$I$532:$AJ$532&amp;'Gastos com Pessoal'!$I$512:$AJ$512,0),10,1)),0)+_xlfn.IFNA(SUM((AJ$3&gt;='Gastos com Pessoal'!$E$513:$E$522)*(AJ$3&lt;='Gastos com Pessoal'!$F$513:$F$522)*(IF('Gastos com Pessoal'!$AE$513:$AE$522&lt;=AJ$3,1,0))*OFFSET('Gastos com Pessoal'!$H$512,1,MATCH(5&amp;$B50,'Gastos com Pessoal'!$I$532:$AJ$532&amp;'Gastos com Pessoal'!$I$512:$AJ$512,0),10,1)),0)</f>
        <v>20150.540000000008</v>
      </c>
      <c r="AK50" s="188">
        <f t="array" aca="1" ref="AK50" ca="1">_xlfn.IFNA(SUM((AK$3&gt;='Gastos com Pessoal'!$E$7:$E$506)*(AK$3&lt;='Gastos com Pessoal'!$F$7:$F$506)*OFFSET('Encargos e Benefícios'!$D$5,1,MATCH($B50,'Encargos e Benefícios'!$E$5:$AB$5,0),500,1)),0)+_xlfn.IFNA(SUM((AK$3&gt;='Gastos com Pessoal'!$E$513:$E$522)*(AK$3&lt;='Gastos com Pessoal'!$F$513:$F$522)*OFFSET('Encargos e Benefícios'!$D$511,1,MATCH($B50,'Encargos e Benefícios'!$E$511:$AB$511,0),10,1)),0)+_xlfn.IFNA(SUM((AK$3&gt;='Gastos com Pessoal'!$E$7:$E$506)*(AK$3&lt;='Gastos com Pessoal'!$F$7:$F$506)*(IF('Gastos com Pessoal'!$G$7:$G$506&lt;=AK$3,1,0))*OFFSET('Gastos com Pessoal'!$H$6,1,MATCH(1&amp;$B50,'Gastos com Pessoal'!$I$532:$AJ$532&amp;'Gastos com Pessoal'!$I$6:$AJ$6,0),500,1)),0)+_xlfn.IFNA(SUM((AK$3&gt;='Gastos com Pessoal'!$E$7:$E$506)*(AK$3&lt;='Gastos com Pessoal'!$F$7:$F$506)*(IF('Gastos com Pessoal'!$M$7:$M$506&lt;=AK$3,1,0))*OFFSET('Gastos com Pessoal'!$H$6,1,MATCH(2&amp;$B50,'Gastos com Pessoal'!$I$532:$AJ$532&amp;'Gastos com Pessoal'!$I$6:$AJ$6,0),500,1)),0)+_xlfn.IFNA(SUM((AK$3&gt;='Gastos com Pessoal'!$E$7:$E$506)*(AK$3&lt;='Gastos com Pessoal'!$F$7:$F$506)*(IF('Gastos com Pessoal'!$S$7:$S$506&lt;=AK$3,1,0))*OFFSET('Gastos com Pessoal'!$H$6,1,MATCH(3&amp;$B50,'Gastos com Pessoal'!$I$532:$AJ$532&amp;'Gastos com Pessoal'!$I$6:$AJ$6,0),500,1)),0)+_xlfn.IFNA(SUM((AK$3&gt;='Gastos com Pessoal'!$E$7:$E$506)*(AK$3&lt;='Gastos com Pessoal'!$F$7:$F$506)*(IF('Gastos com Pessoal'!$Y$7:$Y$506&lt;=AK$3,1,0))*OFFSET('Gastos com Pessoal'!$H$6,1,MATCH(4&amp;$B50,'Gastos com Pessoal'!$I$532:$AJ$532&amp;'Gastos com Pessoal'!$I$6:$AJ$6,0),500,1)),0)+_xlfn.IFNA(SUM((AK$3&gt;='Gastos com Pessoal'!$E$7:$E$506)*(AK$3&lt;='Gastos com Pessoal'!$F$7:$F$506)*(IF('Gastos com Pessoal'!$AE$7:$AE$506&lt;=AK$3,1,0))*OFFSET('Gastos com Pessoal'!$H$6,1,MATCH(5&amp;$B50,'Gastos com Pessoal'!$I$532:$AJ$532&amp;'Gastos com Pessoal'!$I$6:$AJ$6,0),500,1)),0)+_xlfn.IFNA(SUM((AK$3&gt;='Gastos com Pessoal'!$E$513:$E$522)*(AK$3&lt;='Gastos com Pessoal'!$F$513:$F$522)*(IF('Gastos com Pessoal'!$G$513:$G$522&lt;=AK$3,1,0))*OFFSET('Gastos com Pessoal'!$H$512,1,MATCH(1&amp;$B50,'Gastos com Pessoal'!$I$532:$AJ$532&amp;'Gastos com Pessoal'!$I$512:$AJ$512,0),10,1)),0)+_xlfn.IFNA(SUM((AK$3&gt;='Gastos com Pessoal'!$E$513:$E$522)*(AK$3&lt;='Gastos com Pessoal'!$F$513:$F$522)*(IF('Gastos com Pessoal'!$M$513:$M$522&lt;=AK$3,1,0))*OFFSET('Gastos com Pessoal'!$H$512,1,MATCH(2&amp;$B50,'Gastos com Pessoal'!$I$532:$AJ$532&amp;'Gastos com Pessoal'!$I$512:$AJ$512,0),10,1)),0)+_xlfn.IFNA(SUM((AK$3&gt;='Gastos com Pessoal'!$E$513:$E$522)*(AK$3&lt;='Gastos com Pessoal'!$F$513:$F$522)*(IF('Gastos com Pessoal'!$S$513:$S$522&lt;=AK$3,1,0))*OFFSET('Gastos com Pessoal'!$H$512,1,MATCH(3&amp;$B50,'Gastos com Pessoal'!$I$532:$AJ$532&amp;'Gastos com Pessoal'!$I$512:$AJ$512,0),10,1)),0)+_xlfn.IFNA(SUM((AK$3&gt;='Gastos com Pessoal'!$E$513:$E$522)*(AK$3&lt;='Gastos com Pessoal'!$F$513:$F$522)*(IF('Gastos com Pessoal'!$Y$513:$Y$522&lt;=AK$3,1,0))*OFFSET('Gastos com Pessoal'!$H$512,1,MATCH(4&amp;$B50,'Gastos com Pessoal'!$I$532:$AJ$532&amp;'Gastos com Pessoal'!$I$512:$AJ$512,0),10,1)),0)+_xlfn.IFNA(SUM((AK$3&gt;='Gastos com Pessoal'!$E$513:$E$522)*(AK$3&lt;='Gastos com Pessoal'!$F$513:$F$522)*(IF('Gastos com Pessoal'!$AE$513:$AE$522&lt;=AK$3,1,0))*OFFSET('Gastos com Pessoal'!$H$512,1,MATCH(5&amp;$B50,'Gastos com Pessoal'!$I$532:$AJ$532&amp;'Gastos com Pessoal'!$I$512:$AJ$512,0),10,1)),0)</f>
        <v>20150.540000000008</v>
      </c>
      <c r="AL50" s="188">
        <f t="array" aca="1" ref="AL50" ca="1">_xlfn.IFNA(SUM((AL$3&gt;='Gastos com Pessoal'!$E$7:$E$506)*(AL$3&lt;='Gastos com Pessoal'!$F$7:$F$506)*OFFSET('Encargos e Benefícios'!$D$5,1,MATCH($B50,'Encargos e Benefícios'!$E$5:$AB$5,0),500,1)),0)+_xlfn.IFNA(SUM((AL$3&gt;='Gastos com Pessoal'!$E$513:$E$522)*(AL$3&lt;='Gastos com Pessoal'!$F$513:$F$522)*OFFSET('Encargos e Benefícios'!$D$511,1,MATCH($B50,'Encargos e Benefícios'!$E$511:$AB$511,0),10,1)),0)+_xlfn.IFNA(SUM((AL$3&gt;='Gastos com Pessoal'!$E$7:$E$506)*(AL$3&lt;='Gastos com Pessoal'!$F$7:$F$506)*(IF('Gastos com Pessoal'!$G$7:$G$506&lt;=AL$3,1,0))*OFFSET('Gastos com Pessoal'!$H$6,1,MATCH(1&amp;$B50,'Gastos com Pessoal'!$I$532:$AJ$532&amp;'Gastos com Pessoal'!$I$6:$AJ$6,0),500,1)),0)+_xlfn.IFNA(SUM((AL$3&gt;='Gastos com Pessoal'!$E$7:$E$506)*(AL$3&lt;='Gastos com Pessoal'!$F$7:$F$506)*(IF('Gastos com Pessoal'!$M$7:$M$506&lt;=AL$3,1,0))*OFFSET('Gastos com Pessoal'!$H$6,1,MATCH(2&amp;$B50,'Gastos com Pessoal'!$I$532:$AJ$532&amp;'Gastos com Pessoal'!$I$6:$AJ$6,0),500,1)),0)+_xlfn.IFNA(SUM((AL$3&gt;='Gastos com Pessoal'!$E$7:$E$506)*(AL$3&lt;='Gastos com Pessoal'!$F$7:$F$506)*(IF('Gastos com Pessoal'!$S$7:$S$506&lt;=AL$3,1,0))*OFFSET('Gastos com Pessoal'!$H$6,1,MATCH(3&amp;$B50,'Gastos com Pessoal'!$I$532:$AJ$532&amp;'Gastos com Pessoal'!$I$6:$AJ$6,0),500,1)),0)+_xlfn.IFNA(SUM((AL$3&gt;='Gastos com Pessoal'!$E$7:$E$506)*(AL$3&lt;='Gastos com Pessoal'!$F$7:$F$506)*(IF('Gastos com Pessoal'!$Y$7:$Y$506&lt;=AL$3,1,0))*OFFSET('Gastos com Pessoal'!$H$6,1,MATCH(4&amp;$B50,'Gastos com Pessoal'!$I$532:$AJ$532&amp;'Gastos com Pessoal'!$I$6:$AJ$6,0),500,1)),0)+_xlfn.IFNA(SUM((AL$3&gt;='Gastos com Pessoal'!$E$7:$E$506)*(AL$3&lt;='Gastos com Pessoal'!$F$7:$F$506)*(IF('Gastos com Pessoal'!$AE$7:$AE$506&lt;=AL$3,1,0))*OFFSET('Gastos com Pessoal'!$H$6,1,MATCH(5&amp;$B50,'Gastos com Pessoal'!$I$532:$AJ$532&amp;'Gastos com Pessoal'!$I$6:$AJ$6,0),500,1)),0)+_xlfn.IFNA(SUM((AL$3&gt;='Gastos com Pessoal'!$E$513:$E$522)*(AL$3&lt;='Gastos com Pessoal'!$F$513:$F$522)*(IF('Gastos com Pessoal'!$G$513:$G$522&lt;=AL$3,1,0))*OFFSET('Gastos com Pessoal'!$H$512,1,MATCH(1&amp;$B50,'Gastos com Pessoal'!$I$532:$AJ$532&amp;'Gastos com Pessoal'!$I$512:$AJ$512,0),10,1)),0)+_xlfn.IFNA(SUM((AL$3&gt;='Gastos com Pessoal'!$E$513:$E$522)*(AL$3&lt;='Gastos com Pessoal'!$F$513:$F$522)*(IF('Gastos com Pessoal'!$M$513:$M$522&lt;=AL$3,1,0))*OFFSET('Gastos com Pessoal'!$H$512,1,MATCH(2&amp;$B50,'Gastos com Pessoal'!$I$532:$AJ$532&amp;'Gastos com Pessoal'!$I$512:$AJ$512,0),10,1)),0)+_xlfn.IFNA(SUM((AL$3&gt;='Gastos com Pessoal'!$E$513:$E$522)*(AL$3&lt;='Gastos com Pessoal'!$F$513:$F$522)*(IF('Gastos com Pessoal'!$S$513:$S$522&lt;=AL$3,1,0))*OFFSET('Gastos com Pessoal'!$H$512,1,MATCH(3&amp;$B50,'Gastos com Pessoal'!$I$532:$AJ$532&amp;'Gastos com Pessoal'!$I$512:$AJ$512,0),10,1)),0)+_xlfn.IFNA(SUM((AL$3&gt;='Gastos com Pessoal'!$E$513:$E$522)*(AL$3&lt;='Gastos com Pessoal'!$F$513:$F$522)*(IF('Gastos com Pessoal'!$Y$513:$Y$522&lt;=AL$3,1,0))*OFFSET('Gastos com Pessoal'!$H$512,1,MATCH(4&amp;$B50,'Gastos com Pessoal'!$I$532:$AJ$532&amp;'Gastos com Pessoal'!$I$512:$AJ$512,0),10,1)),0)+_xlfn.IFNA(SUM((AL$3&gt;='Gastos com Pessoal'!$E$513:$E$522)*(AL$3&lt;='Gastos com Pessoal'!$F$513:$F$522)*(IF('Gastos com Pessoal'!$AE$513:$AE$522&lt;=AL$3,1,0))*OFFSET('Gastos com Pessoal'!$H$512,1,MATCH(5&amp;$B50,'Gastos com Pessoal'!$I$532:$AJ$532&amp;'Gastos com Pessoal'!$I$512:$AJ$512,0),10,1)),0)</f>
        <v>20150.540000000008</v>
      </c>
      <c r="AM50" s="188">
        <f t="array" aca="1" ref="AM50" ca="1">_xlfn.IFNA(SUM((AM$3&gt;='Gastos com Pessoal'!$E$7:$E$506)*(AM$3&lt;='Gastos com Pessoal'!$F$7:$F$506)*OFFSET('Encargos e Benefícios'!$D$5,1,MATCH($B50,'Encargos e Benefícios'!$E$5:$AB$5,0),500,1)),0)+_xlfn.IFNA(SUM((AM$3&gt;='Gastos com Pessoal'!$E$513:$E$522)*(AM$3&lt;='Gastos com Pessoal'!$F$513:$F$522)*OFFSET('Encargos e Benefícios'!$D$511,1,MATCH($B50,'Encargos e Benefícios'!$E$511:$AB$511,0),10,1)),0)+_xlfn.IFNA(SUM((AM$3&gt;='Gastos com Pessoal'!$E$7:$E$506)*(AM$3&lt;='Gastos com Pessoal'!$F$7:$F$506)*(IF('Gastos com Pessoal'!$G$7:$G$506&lt;=AM$3,1,0))*OFFSET('Gastos com Pessoal'!$H$6,1,MATCH(1&amp;$B50,'Gastos com Pessoal'!$I$532:$AJ$532&amp;'Gastos com Pessoal'!$I$6:$AJ$6,0),500,1)),0)+_xlfn.IFNA(SUM((AM$3&gt;='Gastos com Pessoal'!$E$7:$E$506)*(AM$3&lt;='Gastos com Pessoal'!$F$7:$F$506)*(IF('Gastos com Pessoal'!$M$7:$M$506&lt;=AM$3,1,0))*OFFSET('Gastos com Pessoal'!$H$6,1,MATCH(2&amp;$B50,'Gastos com Pessoal'!$I$532:$AJ$532&amp;'Gastos com Pessoal'!$I$6:$AJ$6,0),500,1)),0)+_xlfn.IFNA(SUM((AM$3&gt;='Gastos com Pessoal'!$E$7:$E$506)*(AM$3&lt;='Gastos com Pessoal'!$F$7:$F$506)*(IF('Gastos com Pessoal'!$S$7:$S$506&lt;=AM$3,1,0))*OFFSET('Gastos com Pessoal'!$H$6,1,MATCH(3&amp;$B50,'Gastos com Pessoal'!$I$532:$AJ$532&amp;'Gastos com Pessoal'!$I$6:$AJ$6,0),500,1)),0)+_xlfn.IFNA(SUM((AM$3&gt;='Gastos com Pessoal'!$E$7:$E$506)*(AM$3&lt;='Gastos com Pessoal'!$F$7:$F$506)*(IF('Gastos com Pessoal'!$Y$7:$Y$506&lt;=AM$3,1,0))*OFFSET('Gastos com Pessoal'!$H$6,1,MATCH(4&amp;$B50,'Gastos com Pessoal'!$I$532:$AJ$532&amp;'Gastos com Pessoal'!$I$6:$AJ$6,0),500,1)),0)+_xlfn.IFNA(SUM((AM$3&gt;='Gastos com Pessoal'!$E$7:$E$506)*(AM$3&lt;='Gastos com Pessoal'!$F$7:$F$506)*(IF('Gastos com Pessoal'!$AE$7:$AE$506&lt;=AM$3,1,0))*OFFSET('Gastos com Pessoal'!$H$6,1,MATCH(5&amp;$B50,'Gastos com Pessoal'!$I$532:$AJ$532&amp;'Gastos com Pessoal'!$I$6:$AJ$6,0),500,1)),0)+_xlfn.IFNA(SUM((AM$3&gt;='Gastos com Pessoal'!$E$513:$E$522)*(AM$3&lt;='Gastos com Pessoal'!$F$513:$F$522)*(IF('Gastos com Pessoal'!$G$513:$G$522&lt;=AM$3,1,0))*OFFSET('Gastos com Pessoal'!$H$512,1,MATCH(1&amp;$B50,'Gastos com Pessoal'!$I$532:$AJ$532&amp;'Gastos com Pessoal'!$I$512:$AJ$512,0),10,1)),0)+_xlfn.IFNA(SUM((AM$3&gt;='Gastos com Pessoal'!$E$513:$E$522)*(AM$3&lt;='Gastos com Pessoal'!$F$513:$F$522)*(IF('Gastos com Pessoal'!$M$513:$M$522&lt;=AM$3,1,0))*OFFSET('Gastos com Pessoal'!$H$512,1,MATCH(2&amp;$B50,'Gastos com Pessoal'!$I$532:$AJ$532&amp;'Gastos com Pessoal'!$I$512:$AJ$512,0),10,1)),0)+_xlfn.IFNA(SUM((AM$3&gt;='Gastos com Pessoal'!$E$513:$E$522)*(AM$3&lt;='Gastos com Pessoal'!$F$513:$F$522)*(IF('Gastos com Pessoal'!$S$513:$S$522&lt;=AM$3,1,0))*OFFSET('Gastos com Pessoal'!$H$512,1,MATCH(3&amp;$B50,'Gastos com Pessoal'!$I$532:$AJ$532&amp;'Gastos com Pessoal'!$I$512:$AJ$512,0),10,1)),0)+_xlfn.IFNA(SUM((AM$3&gt;='Gastos com Pessoal'!$E$513:$E$522)*(AM$3&lt;='Gastos com Pessoal'!$F$513:$F$522)*(IF('Gastos com Pessoal'!$Y$513:$Y$522&lt;=AM$3,1,0))*OFFSET('Gastos com Pessoal'!$H$512,1,MATCH(4&amp;$B50,'Gastos com Pessoal'!$I$532:$AJ$532&amp;'Gastos com Pessoal'!$I$512:$AJ$512,0),10,1)),0)+_xlfn.IFNA(SUM((AM$3&gt;='Gastos com Pessoal'!$E$513:$E$522)*(AM$3&lt;='Gastos com Pessoal'!$F$513:$F$522)*(IF('Gastos com Pessoal'!$AE$513:$AE$522&lt;=AM$3,1,0))*OFFSET('Gastos com Pessoal'!$H$512,1,MATCH(5&amp;$B50,'Gastos com Pessoal'!$I$532:$AJ$532&amp;'Gastos com Pessoal'!$I$512:$AJ$512,0),10,1)),0)</f>
        <v>20150.540000000008</v>
      </c>
      <c r="AN50" s="188">
        <f t="array" aca="1" ref="AN50" ca="1">_xlfn.IFNA(SUM((AN$3&gt;='Gastos com Pessoal'!$E$7:$E$506)*(AN$3&lt;='Gastos com Pessoal'!$F$7:$F$506)*OFFSET('Encargos e Benefícios'!$D$5,1,MATCH($B50,'Encargos e Benefícios'!$E$5:$AB$5,0),500,1)),0)+_xlfn.IFNA(SUM((AN$3&gt;='Gastos com Pessoal'!$E$513:$E$522)*(AN$3&lt;='Gastos com Pessoal'!$F$513:$F$522)*OFFSET('Encargos e Benefícios'!$D$511,1,MATCH($B50,'Encargos e Benefícios'!$E$511:$AB$511,0),10,1)),0)+_xlfn.IFNA(SUM((AN$3&gt;='Gastos com Pessoal'!$E$7:$E$506)*(AN$3&lt;='Gastos com Pessoal'!$F$7:$F$506)*(IF('Gastos com Pessoal'!$G$7:$G$506&lt;=AN$3,1,0))*OFFSET('Gastos com Pessoal'!$H$6,1,MATCH(1&amp;$B50,'Gastos com Pessoal'!$I$532:$AJ$532&amp;'Gastos com Pessoal'!$I$6:$AJ$6,0),500,1)),0)+_xlfn.IFNA(SUM((AN$3&gt;='Gastos com Pessoal'!$E$7:$E$506)*(AN$3&lt;='Gastos com Pessoal'!$F$7:$F$506)*(IF('Gastos com Pessoal'!$M$7:$M$506&lt;=AN$3,1,0))*OFFSET('Gastos com Pessoal'!$H$6,1,MATCH(2&amp;$B50,'Gastos com Pessoal'!$I$532:$AJ$532&amp;'Gastos com Pessoal'!$I$6:$AJ$6,0),500,1)),0)+_xlfn.IFNA(SUM((AN$3&gt;='Gastos com Pessoal'!$E$7:$E$506)*(AN$3&lt;='Gastos com Pessoal'!$F$7:$F$506)*(IF('Gastos com Pessoal'!$S$7:$S$506&lt;=AN$3,1,0))*OFFSET('Gastos com Pessoal'!$H$6,1,MATCH(3&amp;$B50,'Gastos com Pessoal'!$I$532:$AJ$532&amp;'Gastos com Pessoal'!$I$6:$AJ$6,0),500,1)),0)+_xlfn.IFNA(SUM((AN$3&gt;='Gastos com Pessoal'!$E$7:$E$506)*(AN$3&lt;='Gastos com Pessoal'!$F$7:$F$506)*(IF('Gastos com Pessoal'!$Y$7:$Y$506&lt;=AN$3,1,0))*OFFSET('Gastos com Pessoal'!$H$6,1,MATCH(4&amp;$B50,'Gastos com Pessoal'!$I$532:$AJ$532&amp;'Gastos com Pessoal'!$I$6:$AJ$6,0),500,1)),0)+_xlfn.IFNA(SUM((AN$3&gt;='Gastos com Pessoal'!$E$7:$E$506)*(AN$3&lt;='Gastos com Pessoal'!$F$7:$F$506)*(IF('Gastos com Pessoal'!$AE$7:$AE$506&lt;=AN$3,1,0))*OFFSET('Gastos com Pessoal'!$H$6,1,MATCH(5&amp;$B50,'Gastos com Pessoal'!$I$532:$AJ$532&amp;'Gastos com Pessoal'!$I$6:$AJ$6,0),500,1)),0)+_xlfn.IFNA(SUM((AN$3&gt;='Gastos com Pessoal'!$E$513:$E$522)*(AN$3&lt;='Gastos com Pessoal'!$F$513:$F$522)*(IF('Gastos com Pessoal'!$G$513:$G$522&lt;=AN$3,1,0))*OFFSET('Gastos com Pessoal'!$H$512,1,MATCH(1&amp;$B50,'Gastos com Pessoal'!$I$532:$AJ$532&amp;'Gastos com Pessoal'!$I$512:$AJ$512,0),10,1)),0)+_xlfn.IFNA(SUM((AN$3&gt;='Gastos com Pessoal'!$E$513:$E$522)*(AN$3&lt;='Gastos com Pessoal'!$F$513:$F$522)*(IF('Gastos com Pessoal'!$M$513:$M$522&lt;=AN$3,1,0))*OFFSET('Gastos com Pessoal'!$H$512,1,MATCH(2&amp;$B50,'Gastos com Pessoal'!$I$532:$AJ$532&amp;'Gastos com Pessoal'!$I$512:$AJ$512,0),10,1)),0)+_xlfn.IFNA(SUM((AN$3&gt;='Gastos com Pessoal'!$E$513:$E$522)*(AN$3&lt;='Gastos com Pessoal'!$F$513:$F$522)*(IF('Gastos com Pessoal'!$S$513:$S$522&lt;=AN$3,1,0))*OFFSET('Gastos com Pessoal'!$H$512,1,MATCH(3&amp;$B50,'Gastos com Pessoal'!$I$532:$AJ$532&amp;'Gastos com Pessoal'!$I$512:$AJ$512,0),10,1)),0)+_xlfn.IFNA(SUM((AN$3&gt;='Gastos com Pessoal'!$E$513:$E$522)*(AN$3&lt;='Gastos com Pessoal'!$F$513:$F$522)*(IF('Gastos com Pessoal'!$Y$513:$Y$522&lt;=AN$3,1,0))*OFFSET('Gastos com Pessoal'!$H$512,1,MATCH(4&amp;$B50,'Gastos com Pessoal'!$I$532:$AJ$532&amp;'Gastos com Pessoal'!$I$512:$AJ$512,0),10,1)),0)+_xlfn.IFNA(SUM((AN$3&gt;='Gastos com Pessoal'!$E$513:$E$522)*(AN$3&lt;='Gastos com Pessoal'!$F$513:$F$522)*(IF('Gastos com Pessoal'!$AE$513:$AE$522&lt;=AN$3,1,0))*OFFSET('Gastos com Pessoal'!$H$512,1,MATCH(5&amp;$B50,'Gastos com Pessoal'!$I$532:$AJ$532&amp;'Gastos com Pessoal'!$I$512:$AJ$512,0),10,1)),0)</f>
        <v>20150.540000000008</v>
      </c>
      <c r="AO50" s="188">
        <f t="array" aca="1" ref="AO50" ca="1">_xlfn.IFNA(SUM((AO$3&gt;='Gastos com Pessoal'!$E$7:$E$506)*(AO$3&lt;='Gastos com Pessoal'!$F$7:$F$506)*OFFSET('Encargos e Benefícios'!$D$5,1,MATCH($B50,'Encargos e Benefícios'!$E$5:$AB$5,0),500,1)),0)+_xlfn.IFNA(SUM((AO$3&gt;='Gastos com Pessoal'!$E$513:$E$522)*(AO$3&lt;='Gastos com Pessoal'!$F$513:$F$522)*OFFSET('Encargos e Benefícios'!$D$511,1,MATCH($B50,'Encargos e Benefícios'!$E$511:$AB$511,0),10,1)),0)+_xlfn.IFNA(SUM((AO$3&gt;='Gastos com Pessoal'!$E$7:$E$506)*(AO$3&lt;='Gastos com Pessoal'!$F$7:$F$506)*(IF('Gastos com Pessoal'!$G$7:$G$506&lt;=AO$3,1,0))*OFFSET('Gastos com Pessoal'!$H$6,1,MATCH(1&amp;$B50,'Gastos com Pessoal'!$I$532:$AJ$532&amp;'Gastos com Pessoal'!$I$6:$AJ$6,0),500,1)),0)+_xlfn.IFNA(SUM((AO$3&gt;='Gastos com Pessoal'!$E$7:$E$506)*(AO$3&lt;='Gastos com Pessoal'!$F$7:$F$506)*(IF('Gastos com Pessoal'!$M$7:$M$506&lt;=AO$3,1,0))*OFFSET('Gastos com Pessoal'!$H$6,1,MATCH(2&amp;$B50,'Gastos com Pessoal'!$I$532:$AJ$532&amp;'Gastos com Pessoal'!$I$6:$AJ$6,0),500,1)),0)+_xlfn.IFNA(SUM((AO$3&gt;='Gastos com Pessoal'!$E$7:$E$506)*(AO$3&lt;='Gastos com Pessoal'!$F$7:$F$506)*(IF('Gastos com Pessoal'!$S$7:$S$506&lt;=AO$3,1,0))*OFFSET('Gastos com Pessoal'!$H$6,1,MATCH(3&amp;$B50,'Gastos com Pessoal'!$I$532:$AJ$532&amp;'Gastos com Pessoal'!$I$6:$AJ$6,0),500,1)),0)+_xlfn.IFNA(SUM((AO$3&gt;='Gastos com Pessoal'!$E$7:$E$506)*(AO$3&lt;='Gastos com Pessoal'!$F$7:$F$506)*(IF('Gastos com Pessoal'!$Y$7:$Y$506&lt;=AO$3,1,0))*OFFSET('Gastos com Pessoal'!$H$6,1,MATCH(4&amp;$B50,'Gastos com Pessoal'!$I$532:$AJ$532&amp;'Gastos com Pessoal'!$I$6:$AJ$6,0),500,1)),0)+_xlfn.IFNA(SUM((AO$3&gt;='Gastos com Pessoal'!$E$7:$E$506)*(AO$3&lt;='Gastos com Pessoal'!$F$7:$F$506)*(IF('Gastos com Pessoal'!$AE$7:$AE$506&lt;=AO$3,1,0))*OFFSET('Gastos com Pessoal'!$H$6,1,MATCH(5&amp;$B50,'Gastos com Pessoal'!$I$532:$AJ$532&amp;'Gastos com Pessoal'!$I$6:$AJ$6,0),500,1)),0)+_xlfn.IFNA(SUM((AO$3&gt;='Gastos com Pessoal'!$E$513:$E$522)*(AO$3&lt;='Gastos com Pessoal'!$F$513:$F$522)*(IF('Gastos com Pessoal'!$G$513:$G$522&lt;=AO$3,1,0))*OFFSET('Gastos com Pessoal'!$H$512,1,MATCH(1&amp;$B50,'Gastos com Pessoal'!$I$532:$AJ$532&amp;'Gastos com Pessoal'!$I$512:$AJ$512,0),10,1)),0)+_xlfn.IFNA(SUM((AO$3&gt;='Gastos com Pessoal'!$E$513:$E$522)*(AO$3&lt;='Gastos com Pessoal'!$F$513:$F$522)*(IF('Gastos com Pessoal'!$M$513:$M$522&lt;=AO$3,1,0))*OFFSET('Gastos com Pessoal'!$H$512,1,MATCH(2&amp;$B50,'Gastos com Pessoal'!$I$532:$AJ$532&amp;'Gastos com Pessoal'!$I$512:$AJ$512,0),10,1)),0)+_xlfn.IFNA(SUM((AO$3&gt;='Gastos com Pessoal'!$E$513:$E$522)*(AO$3&lt;='Gastos com Pessoal'!$F$513:$F$522)*(IF('Gastos com Pessoal'!$S$513:$S$522&lt;=AO$3,1,0))*OFFSET('Gastos com Pessoal'!$H$512,1,MATCH(3&amp;$B50,'Gastos com Pessoal'!$I$532:$AJ$532&amp;'Gastos com Pessoal'!$I$512:$AJ$512,0),10,1)),0)+_xlfn.IFNA(SUM((AO$3&gt;='Gastos com Pessoal'!$E$513:$E$522)*(AO$3&lt;='Gastos com Pessoal'!$F$513:$F$522)*(IF('Gastos com Pessoal'!$Y$513:$Y$522&lt;=AO$3,1,0))*OFFSET('Gastos com Pessoal'!$H$512,1,MATCH(4&amp;$B50,'Gastos com Pessoal'!$I$532:$AJ$532&amp;'Gastos com Pessoal'!$I$512:$AJ$512,0),10,1)),0)+_xlfn.IFNA(SUM((AO$3&gt;='Gastos com Pessoal'!$E$513:$E$522)*(AO$3&lt;='Gastos com Pessoal'!$F$513:$F$522)*(IF('Gastos com Pessoal'!$AE$513:$AE$522&lt;=AO$3,1,0))*OFFSET('Gastos com Pessoal'!$H$512,1,MATCH(5&amp;$B50,'Gastos com Pessoal'!$I$532:$AJ$532&amp;'Gastos com Pessoal'!$I$512:$AJ$512,0),10,1)),0)</f>
        <v>20150.540000000008</v>
      </c>
      <c r="AP50" s="188">
        <f t="array" aca="1" ref="AP50" ca="1">_xlfn.IFNA(SUM((AP$3&gt;='Gastos com Pessoal'!$E$7:$E$506)*(AP$3&lt;='Gastos com Pessoal'!$F$7:$F$506)*OFFSET('Encargos e Benefícios'!$D$5,1,MATCH($B50,'Encargos e Benefícios'!$E$5:$AB$5,0),500,1)),0)+_xlfn.IFNA(SUM((AP$3&gt;='Gastos com Pessoal'!$E$513:$E$522)*(AP$3&lt;='Gastos com Pessoal'!$F$513:$F$522)*OFFSET('Encargos e Benefícios'!$D$511,1,MATCH($B50,'Encargos e Benefícios'!$E$511:$AB$511,0),10,1)),0)+_xlfn.IFNA(SUM((AP$3&gt;='Gastos com Pessoal'!$E$7:$E$506)*(AP$3&lt;='Gastos com Pessoal'!$F$7:$F$506)*(IF('Gastos com Pessoal'!$G$7:$G$506&lt;=AP$3,1,0))*OFFSET('Gastos com Pessoal'!$H$6,1,MATCH(1&amp;$B50,'Gastos com Pessoal'!$I$532:$AJ$532&amp;'Gastos com Pessoal'!$I$6:$AJ$6,0),500,1)),0)+_xlfn.IFNA(SUM((AP$3&gt;='Gastos com Pessoal'!$E$7:$E$506)*(AP$3&lt;='Gastos com Pessoal'!$F$7:$F$506)*(IF('Gastos com Pessoal'!$M$7:$M$506&lt;=AP$3,1,0))*OFFSET('Gastos com Pessoal'!$H$6,1,MATCH(2&amp;$B50,'Gastos com Pessoal'!$I$532:$AJ$532&amp;'Gastos com Pessoal'!$I$6:$AJ$6,0),500,1)),0)+_xlfn.IFNA(SUM((AP$3&gt;='Gastos com Pessoal'!$E$7:$E$506)*(AP$3&lt;='Gastos com Pessoal'!$F$7:$F$506)*(IF('Gastos com Pessoal'!$S$7:$S$506&lt;=AP$3,1,0))*OFFSET('Gastos com Pessoal'!$H$6,1,MATCH(3&amp;$B50,'Gastos com Pessoal'!$I$532:$AJ$532&amp;'Gastos com Pessoal'!$I$6:$AJ$6,0),500,1)),0)+_xlfn.IFNA(SUM((AP$3&gt;='Gastos com Pessoal'!$E$7:$E$506)*(AP$3&lt;='Gastos com Pessoal'!$F$7:$F$506)*(IF('Gastos com Pessoal'!$Y$7:$Y$506&lt;=AP$3,1,0))*OFFSET('Gastos com Pessoal'!$H$6,1,MATCH(4&amp;$B50,'Gastos com Pessoal'!$I$532:$AJ$532&amp;'Gastos com Pessoal'!$I$6:$AJ$6,0),500,1)),0)+_xlfn.IFNA(SUM((AP$3&gt;='Gastos com Pessoal'!$E$7:$E$506)*(AP$3&lt;='Gastos com Pessoal'!$F$7:$F$506)*(IF('Gastos com Pessoal'!$AE$7:$AE$506&lt;=AP$3,1,0))*OFFSET('Gastos com Pessoal'!$H$6,1,MATCH(5&amp;$B50,'Gastos com Pessoal'!$I$532:$AJ$532&amp;'Gastos com Pessoal'!$I$6:$AJ$6,0),500,1)),0)+_xlfn.IFNA(SUM((AP$3&gt;='Gastos com Pessoal'!$E$513:$E$522)*(AP$3&lt;='Gastos com Pessoal'!$F$513:$F$522)*(IF('Gastos com Pessoal'!$G$513:$G$522&lt;=AP$3,1,0))*OFFSET('Gastos com Pessoal'!$H$512,1,MATCH(1&amp;$B50,'Gastos com Pessoal'!$I$532:$AJ$532&amp;'Gastos com Pessoal'!$I$512:$AJ$512,0),10,1)),0)+_xlfn.IFNA(SUM((AP$3&gt;='Gastos com Pessoal'!$E$513:$E$522)*(AP$3&lt;='Gastos com Pessoal'!$F$513:$F$522)*(IF('Gastos com Pessoal'!$M$513:$M$522&lt;=AP$3,1,0))*OFFSET('Gastos com Pessoal'!$H$512,1,MATCH(2&amp;$B50,'Gastos com Pessoal'!$I$532:$AJ$532&amp;'Gastos com Pessoal'!$I$512:$AJ$512,0),10,1)),0)+_xlfn.IFNA(SUM((AP$3&gt;='Gastos com Pessoal'!$E$513:$E$522)*(AP$3&lt;='Gastos com Pessoal'!$F$513:$F$522)*(IF('Gastos com Pessoal'!$S$513:$S$522&lt;=AP$3,1,0))*OFFSET('Gastos com Pessoal'!$H$512,1,MATCH(3&amp;$B50,'Gastos com Pessoal'!$I$532:$AJ$532&amp;'Gastos com Pessoal'!$I$512:$AJ$512,0),10,1)),0)+_xlfn.IFNA(SUM((AP$3&gt;='Gastos com Pessoal'!$E$513:$E$522)*(AP$3&lt;='Gastos com Pessoal'!$F$513:$F$522)*(IF('Gastos com Pessoal'!$Y$513:$Y$522&lt;=AP$3,1,0))*OFFSET('Gastos com Pessoal'!$H$512,1,MATCH(4&amp;$B50,'Gastos com Pessoal'!$I$532:$AJ$532&amp;'Gastos com Pessoal'!$I$512:$AJ$512,0),10,1)),0)+_xlfn.IFNA(SUM((AP$3&gt;='Gastos com Pessoal'!$E$513:$E$522)*(AP$3&lt;='Gastos com Pessoal'!$F$513:$F$522)*(IF('Gastos com Pessoal'!$AE$513:$AE$522&lt;=AP$3,1,0))*OFFSET('Gastos com Pessoal'!$H$512,1,MATCH(5&amp;$B50,'Gastos com Pessoal'!$I$532:$AJ$532&amp;'Gastos com Pessoal'!$I$512:$AJ$512,0),10,1)),0)</f>
        <v>20150.540000000008</v>
      </c>
      <c r="AQ50" s="188">
        <f t="array" aca="1" ref="AQ50" ca="1">_xlfn.IFNA(SUM((AQ$3&gt;='Gastos com Pessoal'!$E$7:$E$506)*(AQ$3&lt;='Gastos com Pessoal'!$F$7:$F$506)*OFFSET('Encargos e Benefícios'!$D$5,1,MATCH($B50,'Encargos e Benefícios'!$E$5:$AB$5,0),500,1)),0)+_xlfn.IFNA(SUM((AQ$3&gt;='Gastos com Pessoal'!$E$513:$E$522)*(AQ$3&lt;='Gastos com Pessoal'!$F$513:$F$522)*OFFSET('Encargos e Benefícios'!$D$511,1,MATCH($B50,'Encargos e Benefícios'!$E$511:$AB$511,0),10,1)),0)+_xlfn.IFNA(SUM((AQ$3&gt;='Gastos com Pessoal'!$E$7:$E$506)*(AQ$3&lt;='Gastos com Pessoal'!$F$7:$F$506)*(IF('Gastos com Pessoal'!$G$7:$G$506&lt;=AQ$3,1,0))*OFFSET('Gastos com Pessoal'!$H$6,1,MATCH(1&amp;$B50,'Gastos com Pessoal'!$I$532:$AJ$532&amp;'Gastos com Pessoal'!$I$6:$AJ$6,0),500,1)),0)+_xlfn.IFNA(SUM((AQ$3&gt;='Gastos com Pessoal'!$E$7:$E$506)*(AQ$3&lt;='Gastos com Pessoal'!$F$7:$F$506)*(IF('Gastos com Pessoal'!$M$7:$M$506&lt;=AQ$3,1,0))*OFFSET('Gastos com Pessoal'!$H$6,1,MATCH(2&amp;$B50,'Gastos com Pessoal'!$I$532:$AJ$532&amp;'Gastos com Pessoal'!$I$6:$AJ$6,0),500,1)),0)+_xlfn.IFNA(SUM((AQ$3&gt;='Gastos com Pessoal'!$E$7:$E$506)*(AQ$3&lt;='Gastos com Pessoal'!$F$7:$F$506)*(IF('Gastos com Pessoal'!$S$7:$S$506&lt;=AQ$3,1,0))*OFFSET('Gastos com Pessoal'!$H$6,1,MATCH(3&amp;$B50,'Gastos com Pessoal'!$I$532:$AJ$532&amp;'Gastos com Pessoal'!$I$6:$AJ$6,0),500,1)),0)+_xlfn.IFNA(SUM((AQ$3&gt;='Gastos com Pessoal'!$E$7:$E$506)*(AQ$3&lt;='Gastos com Pessoal'!$F$7:$F$506)*(IF('Gastos com Pessoal'!$Y$7:$Y$506&lt;=AQ$3,1,0))*OFFSET('Gastos com Pessoal'!$H$6,1,MATCH(4&amp;$B50,'Gastos com Pessoal'!$I$532:$AJ$532&amp;'Gastos com Pessoal'!$I$6:$AJ$6,0),500,1)),0)+_xlfn.IFNA(SUM((AQ$3&gt;='Gastos com Pessoal'!$E$7:$E$506)*(AQ$3&lt;='Gastos com Pessoal'!$F$7:$F$506)*(IF('Gastos com Pessoal'!$AE$7:$AE$506&lt;=AQ$3,1,0))*OFFSET('Gastos com Pessoal'!$H$6,1,MATCH(5&amp;$B50,'Gastos com Pessoal'!$I$532:$AJ$532&amp;'Gastos com Pessoal'!$I$6:$AJ$6,0),500,1)),0)+_xlfn.IFNA(SUM((AQ$3&gt;='Gastos com Pessoal'!$E$513:$E$522)*(AQ$3&lt;='Gastos com Pessoal'!$F$513:$F$522)*(IF('Gastos com Pessoal'!$G$513:$G$522&lt;=AQ$3,1,0))*OFFSET('Gastos com Pessoal'!$H$512,1,MATCH(1&amp;$B50,'Gastos com Pessoal'!$I$532:$AJ$532&amp;'Gastos com Pessoal'!$I$512:$AJ$512,0),10,1)),0)+_xlfn.IFNA(SUM((AQ$3&gt;='Gastos com Pessoal'!$E$513:$E$522)*(AQ$3&lt;='Gastos com Pessoal'!$F$513:$F$522)*(IF('Gastos com Pessoal'!$M$513:$M$522&lt;=AQ$3,1,0))*OFFSET('Gastos com Pessoal'!$H$512,1,MATCH(2&amp;$B50,'Gastos com Pessoal'!$I$532:$AJ$532&amp;'Gastos com Pessoal'!$I$512:$AJ$512,0),10,1)),0)+_xlfn.IFNA(SUM((AQ$3&gt;='Gastos com Pessoal'!$E$513:$E$522)*(AQ$3&lt;='Gastos com Pessoal'!$F$513:$F$522)*(IF('Gastos com Pessoal'!$S$513:$S$522&lt;=AQ$3,1,0))*OFFSET('Gastos com Pessoal'!$H$512,1,MATCH(3&amp;$B50,'Gastos com Pessoal'!$I$532:$AJ$532&amp;'Gastos com Pessoal'!$I$512:$AJ$512,0),10,1)),0)+_xlfn.IFNA(SUM((AQ$3&gt;='Gastos com Pessoal'!$E$513:$E$522)*(AQ$3&lt;='Gastos com Pessoal'!$F$513:$F$522)*(IF('Gastos com Pessoal'!$Y$513:$Y$522&lt;=AQ$3,1,0))*OFFSET('Gastos com Pessoal'!$H$512,1,MATCH(4&amp;$B50,'Gastos com Pessoal'!$I$532:$AJ$532&amp;'Gastos com Pessoal'!$I$512:$AJ$512,0),10,1)),0)+_xlfn.IFNA(SUM((AQ$3&gt;='Gastos com Pessoal'!$E$513:$E$522)*(AQ$3&lt;='Gastos com Pessoal'!$F$513:$F$522)*(IF('Gastos com Pessoal'!$AE$513:$AE$522&lt;=AQ$3,1,0))*OFFSET('Gastos com Pessoal'!$H$512,1,MATCH(5&amp;$B50,'Gastos com Pessoal'!$I$532:$AJ$532&amp;'Gastos com Pessoal'!$I$512:$AJ$512,0),10,1)),0)</f>
        <v>20150.540000000008</v>
      </c>
      <c r="AR50" s="188">
        <f t="array" aca="1" ref="AR50" ca="1">_xlfn.IFNA(SUM((AR$3&gt;='Gastos com Pessoal'!$E$7:$E$506)*(AR$3&lt;='Gastos com Pessoal'!$F$7:$F$506)*OFFSET('Encargos e Benefícios'!$D$5,1,MATCH($B50,'Encargos e Benefícios'!$E$5:$AB$5,0),500,1)),0)+_xlfn.IFNA(SUM((AR$3&gt;='Gastos com Pessoal'!$E$513:$E$522)*(AR$3&lt;='Gastos com Pessoal'!$F$513:$F$522)*OFFSET('Encargos e Benefícios'!$D$511,1,MATCH($B50,'Encargos e Benefícios'!$E$511:$AB$511,0),10,1)),0)+_xlfn.IFNA(SUM((AR$3&gt;='Gastos com Pessoal'!$E$7:$E$506)*(AR$3&lt;='Gastos com Pessoal'!$F$7:$F$506)*(IF('Gastos com Pessoal'!$G$7:$G$506&lt;=AR$3,1,0))*OFFSET('Gastos com Pessoal'!$H$6,1,MATCH(1&amp;$B50,'Gastos com Pessoal'!$I$532:$AJ$532&amp;'Gastos com Pessoal'!$I$6:$AJ$6,0),500,1)),0)+_xlfn.IFNA(SUM((AR$3&gt;='Gastos com Pessoal'!$E$7:$E$506)*(AR$3&lt;='Gastos com Pessoal'!$F$7:$F$506)*(IF('Gastos com Pessoal'!$M$7:$M$506&lt;=AR$3,1,0))*OFFSET('Gastos com Pessoal'!$H$6,1,MATCH(2&amp;$B50,'Gastos com Pessoal'!$I$532:$AJ$532&amp;'Gastos com Pessoal'!$I$6:$AJ$6,0),500,1)),0)+_xlfn.IFNA(SUM((AR$3&gt;='Gastos com Pessoal'!$E$7:$E$506)*(AR$3&lt;='Gastos com Pessoal'!$F$7:$F$506)*(IF('Gastos com Pessoal'!$S$7:$S$506&lt;=AR$3,1,0))*OFFSET('Gastos com Pessoal'!$H$6,1,MATCH(3&amp;$B50,'Gastos com Pessoal'!$I$532:$AJ$532&amp;'Gastos com Pessoal'!$I$6:$AJ$6,0),500,1)),0)+_xlfn.IFNA(SUM((AR$3&gt;='Gastos com Pessoal'!$E$7:$E$506)*(AR$3&lt;='Gastos com Pessoal'!$F$7:$F$506)*(IF('Gastos com Pessoal'!$Y$7:$Y$506&lt;=AR$3,1,0))*OFFSET('Gastos com Pessoal'!$H$6,1,MATCH(4&amp;$B50,'Gastos com Pessoal'!$I$532:$AJ$532&amp;'Gastos com Pessoal'!$I$6:$AJ$6,0),500,1)),0)+_xlfn.IFNA(SUM((AR$3&gt;='Gastos com Pessoal'!$E$7:$E$506)*(AR$3&lt;='Gastos com Pessoal'!$F$7:$F$506)*(IF('Gastos com Pessoal'!$AE$7:$AE$506&lt;=AR$3,1,0))*OFFSET('Gastos com Pessoal'!$H$6,1,MATCH(5&amp;$B50,'Gastos com Pessoal'!$I$532:$AJ$532&amp;'Gastos com Pessoal'!$I$6:$AJ$6,0),500,1)),0)+_xlfn.IFNA(SUM((AR$3&gt;='Gastos com Pessoal'!$E$513:$E$522)*(AR$3&lt;='Gastos com Pessoal'!$F$513:$F$522)*(IF('Gastos com Pessoal'!$G$513:$G$522&lt;=AR$3,1,0))*OFFSET('Gastos com Pessoal'!$H$512,1,MATCH(1&amp;$B50,'Gastos com Pessoal'!$I$532:$AJ$532&amp;'Gastos com Pessoal'!$I$512:$AJ$512,0),10,1)),0)+_xlfn.IFNA(SUM((AR$3&gt;='Gastos com Pessoal'!$E$513:$E$522)*(AR$3&lt;='Gastos com Pessoal'!$F$513:$F$522)*(IF('Gastos com Pessoal'!$M$513:$M$522&lt;=AR$3,1,0))*OFFSET('Gastos com Pessoal'!$H$512,1,MATCH(2&amp;$B50,'Gastos com Pessoal'!$I$532:$AJ$532&amp;'Gastos com Pessoal'!$I$512:$AJ$512,0),10,1)),0)+_xlfn.IFNA(SUM((AR$3&gt;='Gastos com Pessoal'!$E$513:$E$522)*(AR$3&lt;='Gastos com Pessoal'!$F$513:$F$522)*(IF('Gastos com Pessoal'!$S$513:$S$522&lt;=AR$3,1,0))*OFFSET('Gastos com Pessoal'!$H$512,1,MATCH(3&amp;$B50,'Gastos com Pessoal'!$I$532:$AJ$532&amp;'Gastos com Pessoal'!$I$512:$AJ$512,0),10,1)),0)+_xlfn.IFNA(SUM((AR$3&gt;='Gastos com Pessoal'!$E$513:$E$522)*(AR$3&lt;='Gastos com Pessoal'!$F$513:$F$522)*(IF('Gastos com Pessoal'!$Y$513:$Y$522&lt;=AR$3,1,0))*OFFSET('Gastos com Pessoal'!$H$512,1,MATCH(4&amp;$B50,'Gastos com Pessoal'!$I$532:$AJ$532&amp;'Gastos com Pessoal'!$I$512:$AJ$512,0),10,1)),0)+_xlfn.IFNA(SUM((AR$3&gt;='Gastos com Pessoal'!$E$513:$E$522)*(AR$3&lt;='Gastos com Pessoal'!$F$513:$F$522)*(IF('Gastos com Pessoal'!$AE$513:$AE$522&lt;=AR$3,1,0))*OFFSET('Gastos com Pessoal'!$H$512,1,MATCH(5&amp;$B50,'Gastos com Pessoal'!$I$532:$AJ$532&amp;'Gastos com Pessoal'!$I$512:$AJ$512,0),10,1)),0)</f>
        <v>20150.540000000008</v>
      </c>
      <c r="AS50" s="188">
        <f t="array" aca="1" ref="AS50" ca="1">_xlfn.IFNA(SUM((AS$3&gt;='Gastos com Pessoal'!$E$7:$E$506)*(AS$3&lt;='Gastos com Pessoal'!$F$7:$F$506)*OFFSET('Encargos e Benefícios'!$D$5,1,MATCH($B50,'Encargos e Benefícios'!$E$5:$AB$5,0),500,1)),0)+_xlfn.IFNA(SUM((AS$3&gt;='Gastos com Pessoal'!$E$513:$E$522)*(AS$3&lt;='Gastos com Pessoal'!$F$513:$F$522)*OFFSET('Encargos e Benefícios'!$D$511,1,MATCH($B50,'Encargos e Benefícios'!$E$511:$AB$511,0),10,1)),0)+_xlfn.IFNA(SUM((AS$3&gt;='Gastos com Pessoal'!$E$7:$E$506)*(AS$3&lt;='Gastos com Pessoal'!$F$7:$F$506)*(IF('Gastos com Pessoal'!$G$7:$G$506&lt;=AS$3,1,0))*OFFSET('Gastos com Pessoal'!$H$6,1,MATCH(1&amp;$B50,'Gastos com Pessoal'!$I$532:$AJ$532&amp;'Gastos com Pessoal'!$I$6:$AJ$6,0),500,1)),0)+_xlfn.IFNA(SUM((AS$3&gt;='Gastos com Pessoal'!$E$7:$E$506)*(AS$3&lt;='Gastos com Pessoal'!$F$7:$F$506)*(IF('Gastos com Pessoal'!$M$7:$M$506&lt;=AS$3,1,0))*OFFSET('Gastos com Pessoal'!$H$6,1,MATCH(2&amp;$B50,'Gastos com Pessoal'!$I$532:$AJ$532&amp;'Gastos com Pessoal'!$I$6:$AJ$6,0),500,1)),0)+_xlfn.IFNA(SUM((AS$3&gt;='Gastos com Pessoal'!$E$7:$E$506)*(AS$3&lt;='Gastos com Pessoal'!$F$7:$F$506)*(IF('Gastos com Pessoal'!$S$7:$S$506&lt;=AS$3,1,0))*OFFSET('Gastos com Pessoal'!$H$6,1,MATCH(3&amp;$B50,'Gastos com Pessoal'!$I$532:$AJ$532&amp;'Gastos com Pessoal'!$I$6:$AJ$6,0),500,1)),0)+_xlfn.IFNA(SUM((AS$3&gt;='Gastos com Pessoal'!$E$7:$E$506)*(AS$3&lt;='Gastos com Pessoal'!$F$7:$F$506)*(IF('Gastos com Pessoal'!$Y$7:$Y$506&lt;=AS$3,1,0))*OFFSET('Gastos com Pessoal'!$H$6,1,MATCH(4&amp;$B50,'Gastos com Pessoal'!$I$532:$AJ$532&amp;'Gastos com Pessoal'!$I$6:$AJ$6,0),500,1)),0)+_xlfn.IFNA(SUM((AS$3&gt;='Gastos com Pessoal'!$E$7:$E$506)*(AS$3&lt;='Gastos com Pessoal'!$F$7:$F$506)*(IF('Gastos com Pessoal'!$AE$7:$AE$506&lt;=AS$3,1,0))*OFFSET('Gastos com Pessoal'!$H$6,1,MATCH(5&amp;$B50,'Gastos com Pessoal'!$I$532:$AJ$532&amp;'Gastos com Pessoal'!$I$6:$AJ$6,0),500,1)),0)+_xlfn.IFNA(SUM((AS$3&gt;='Gastos com Pessoal'!$E$513:$E$522)*(AS$3&lt;='Gastos com Pessoal'!$F$513:$F$522)*(IF('Gastos com Pessoal'!$G$513:$G$522&lt;=AS$3,1,0))*OFFSET('Gastos com Pessoal'!$H$512,1,MATCH(1&amp;$B50,'Gastos com Pessoal'!$I$532:$AJ$532&amp;'Gastos com Pessoal'!$I$512:$AJ$512,0),10,1)),0)+_xlfn.IFNA(SUM((AS$3&gt;='Gastos com Pessoal'!$E$513:$E$522)*(AS$3&lt;='Gastos com Pessoal'!$F$513:$F$522)*(IF('Gastos com Pessoal'!$M$513:$M$522&lt;=AS$3,1,0))*OFFSET('Gastos com Pessoal'!$H$512,1,MATCH(2&amp;$B50,'Gastos com Pessoal'!$I$532:$AJ$532&amp;'Gastos com Pessoal'!$I$512:$AJ$512,0),10,1)),0)+_xlfn.IFNA(SUM((AS$3&gt;='Gastos com Pessoal'!$E$513:$E$522)*(AS$3&lt;='Gastos com Pessoal'!$F$513:$F$522)*(IF('Gastos com Pessoal'!$S$513:$S$522&lt;=AS$3,1,0))*OFFSET('Gastos com Pessoal'!$H$512,1,MATCH(3&amp;$B50,'Gastos com Pessoal'!$I$532:$AJ$532&amp;'Gastos com Pessoal'!$I$512:$AJ$512,0),10,1)),0)+_xlfn.IFNA(SUM((AS$3&gt;='Gastos com Pessoal'!$E$513:$E$522)*(AS$3&lt;='Gastos com Pessoal'!$F$513:$F$522)*(IF('Gastos com Pessoal'!$Y$513:$Y$522&lt;=AS$3,1,0))*OFFSET('Gastos com Pessoal'!$H$512,1,MATCH(4&amp;$B50,'Gastos com Pessoal'!$I$532:$AJ$532&amp;'Gastos com Pessoal'!$I$512:$AJ$512,0),10,1)),0)+_xlfn.IFNA(SUM((AS$3&gt;='Gastos com Pessoal'!$E$513:$E$522)*(AS$3&lt;='Gastos com Pessoal'!$F$513:$F$522)*(IF('Gastos com Pessoal'!$AE$513:$AE$522&lt;=AS$3,1,0))*OFFSET('Gastos com Pessoal'!$H$512,1,MATCH(5&amp;$B50,'Gastos com Pessoal'!$I$532:$AJ$532&amp;'Gastos com Pessoal'!$I$512:$AJ$512,0),10,1)),0)</f>
        <v>20150.540000000008</v>
      </c>
      <c r="AT50" s="188">
        <f t="array" aca="1" ref="AT50" ca="1">_xlfn.IFNA(SUM((AT$3&gt;='Gastos com Pessoal'!$E$7:$E$506)*(AT$3&lt;='Gastos com Pessoal'!$F$7:$F$506)*OFFSET('Encargos e Benefícios'!$D$5,1,MATCH($B50,'Encargos e Benefícios'!$E$5:$AB$5,0),500,1)),0)+_xlfn.IFNA(SUM((AT$3&gt;='Gastos com Pessoal'!$E$513:$E$522)*(AT$3&lt;='Gastos com Pessoal'!$F$513:$F$522)*OFFSET('Encargos e Benefícios'!$D$511,1,MATCH($B50,'Encargos e Benefícios'!$E$511:$AB$511,0),10,1)),0)+_xlfn.IFNA(SUM((AT$3&gt;='Gastos com Pessoal'!$E$7:$E$506)*(AT$3&lt;='Gastos com Pessoal'!$F$7:$F$506)*(IF('Gastos com Pessoal'!$G$7:$G$506&lt;=AT$3,1,0))*OFFSET('Gastos com Pessoal'!$H$6,1,MATCH(1&amp;$B50,'Gastos com Pessoal'!$I$532:$AJ$532&amp;'Gastos com Pessoal'!$I$6:$AJ$6,0),500,1)),0)+_xlfn.IFNA(SUM((AT$3&gt;='Gastos com Pessoal'!$E$7:$E$506)*(AT$3&lt;='Gastos com Pessoal'!$F$7:$F$506)*(IF('Gastos com Pessoal'!$M$7:$M$506&lt;=AT$3,1,0))*OFFSET('Gastos com Pessoal'!$H$6,1,MATCH(2&amp;$B50,'Gastos com Pessoal'!$I$532:$AJ$532&amp;'Gastos com Pessoal'!$I$6:$AJ$6,0),500,1)),0)+_xlfn.IFNA(SUM((AT$3&gt;='Gastos com Pessoal'!$E$7:$E$506)*(AT$3&lt;='Gastos com Pessoal'!$F$7:$F$506)*(IF('Gastos com Pessoal'!$S$7:$S$506&lt;=AT$3,1,0))*OFFSET('Gastos com Pessoal'!$H$6,1,MATCH(3&amp;$B50,'Gastos com Pessoal'!$I$532:$AJ$532&amp;'Gastos com Pessoal'!$I$6:$AJ$6,0),500,1)),0)+_xlfn.IFNA(SUM((AT$3&gt;='Gastos com Pessoal'!$E$7:$E$506)*(AT$3&lt;='Gastos com Pessoal'!$F$7:$F$506)*(IF('Gastos com Pessoal'!$Y$7:$Y$506&lt;=AT$3,1,0))*OFFSET('Gastos com Pessoal'!$H$6,1,MATCH(4&amp;$B50,'Gastos com Pessoal'!$I$532:$AJ$532&amp;'Gastos com Pessoal'!$I$6:$AJ$6,0),500,1)),0)+_xlfn.IFNA(SUM((AT$3&gt;='Gastos com Pessoal'!$E$7:$E$506)*(AT$3&lt;='Gastos com Pessoal'!$F$7:$F$506)*(IF('Gastos com Pessoal'!$AE$7:$AE$506&lt;=AT$3,1,0))*OFFSET('Gastos com Pessoal'!$H$6,1,MATCH(5&amp;$B50,'Gastos com Pessoal'!$I$532:$AJ$532&amp;'Gastos com Pessoal'!$I$6:$AJ$6,0),500,1)),0)+_xlfn.IFNA(SUM((AT$3&gt;='Gastos com Pessoal'!$E$513:$E$522)*(AT$3&lt;='Gastos com Pessoal'!$F$513:$F$522)*(IF('Gastos com Pessoal'!$G$513:$G$522&lt;=AT$3,1,0))*OFFSET('Gastos com Pessoal'!$H$512,1,MATCH(1&amp;$B50,'Gastos com Pessoal'!$I$532:$AJ$532&amp;'Gastos com Pessoal'!$I$512:$AJ$512,0),10,1)),0)+_xlfn.IFNA(SUM((AT$3&gt;='Gastos com Pessoal'!$E$513:$E$522)*(AT$3&lt;='Gastos com Pessoal'!$F$513:$F$522)*(IF('Gastos com Pessoal'!$M$513:$M$522&lt;=AT$3,1,0))*OFFSET('Gastos com Pessoal'!$H$512,1,MATCH(2&amp;$B50,'Gastos com Pessoal'!$I$532:$AJ$532&amp;'Gastos com Pessoal'!$I$512:$AJ$512,0),10,1)),0)+_xlfn.IFNA(SUM((AT$3&gt;='Gastos com Pessoal'!$E$513:$E$522)*(AT$3&lt;='Gastos com Pessoal'!$F$513:$F$522)*(IF('Gastos com Pessoal'!$S$513:$S$522&lt;=AT$3,1,0))*OFFSET('Gastos com Pessoal'!$H$512,1,MATCH(3&amp;$B50,'Gastos com Pessoal'!$I$532:$AJ$532&amp;'Gastos com Pessoal'!$I$512:$AJ$512,0),10,1)),0)+_xlfn.IFNA(SUM((AT$3&gt;='Gastos com Pessoal'!$E$513:$E$522)*(AT$3&lt;='Gastos com Pessoal'!$F$513:$F$522)*(IF('Gastos com Pessoal'!$Y$513:$Y$522&lt;=AT$3,1,0))*OFFSET('Gastos com Pessoal'!$H$512,1,MATCH(4&amp;$B50,'Gastos com Pessoal'!$I$532:$AJ$532&amp;'Gastos com Pessoal'!$I$512:$AJ$512,0),10,1)),0)+_xlfn.IFNA(SUM((AT$3&gt;='Gastos com Pessoal'!$E$513:$E$522)*(AT$3&lt;='Gastos com Pessoal'!$F$513:$F$522)*(IF('Gastos com Pessoal'!$AE$513:$AE$522&lt;=AT$3,1,0))*OFFSET('Gastos com Pessoal'!$H$512,1,MATCH(5&amp;$B50,'Gastos com Pessoal'!$I$532:$AJ$532&amp;'Gastos com Pessoal'!$I$512:$AJ$512,0),10,1)),0)</f>
        <v>20150.540000000008</v>
      </c>
      <c r="AU50" s="188">
        <f t="array" aca="1" ref="AU50" ca="1">_xlfn.IFNA(SUM((AU$3&gt;='Gastos com Pessoal'!$E$7:$E$506)*(AU$3&lt;='Gastos com Pessoal'!$F$7:$F$506)*OFFSET('Encargos e Benefícios'!$D$5,1,MATCH($B50,'Encargos e Benefícios'!$E$5:$AB$5,0),500,1)),0)+_xlfn.IFNA(SUM((AU$3&gt;='Gastos com Pessoal'!$E$513:$E$522)*(AU$3&lt;='Gastos com Pessoal'!$F$513:$F$522)*OFFSET('Encargos e Benefícios'!$D$511,1,MATCH($B50,'Encargos e Benefícios'!$E$511:$AB$511,0),10,1)),0)+_xlfn.IFNA(SUM((AU$3&gt;='Gastos com Pessoal'!$E$7:$E$506)*(AU$3&lt;='Gastos com Pessoal'!$F$7:$F$506)*(IF('Gastos com Pessoal'!$G$7:$G$506&lt;=AU$3,1,0))*OFFSET('Gastos com Pessoal'!$H$6,1,MATCH(1&amp;$B50,'Gastos com Pessoal'!$I$532:$AJ$532&amp;'Gastos com Pessoal'!$I$6:$AJ$6,0),500,1)),0)+_xlfn.IFNA(SUM((AU$3&gt;='Gastos com Pessoal'!$E$7:$E$506)*(AU$3&lt;='Gastos com Pessoal'!$F$7:$F$506)*(IF('Gastos com Pessoal'!$M$7:$M$506&lt;=AU$3,1,0))*OFFSET('Gastos com Pessoal'!$H$6,1,MATCH(2&amp;$B50,'Gastos com Pessoal'!$I$532:$AJ$532&amp;'Gastos com Pessoal'!$I$6:$AJ$6,0),500,1)),0)+_xlfn.IFNA(SUM((AU$3&gt;='Gastos com Pessoal'!$E$7:$E$506)*(AU$3&lt;='Gastos com Pessoal'!$F$7:$F$506)*(IF('Gastos com Pessoal'!$S$7:$S$506&lt;=AU$3,1,0))*OFFSET('Gastos com Pessoal'!$H$6,1,MATCH(3&amp;$B50,'Gastos com Pessoal'!$I$532:$AJ$532&amp;'Gastos com Pessoal'!$I$6:$AJ$6,0),500,1)),0)+_xlfn.IFNA(SUM((AU$3&gt;='Gastos com Pessoal'!$E$7:$E$506)*(AU$3&lt;='Gastos com Pessoal'!$F$7:$F$506)*(IF('Gastos com Pessoal'!$Y$7:$Y$506&lt;=AU$3,1,0))*OFFSET('Gastos com Pessoal'!$H$6,1,MATCH(4&amp;$B50,'Gastos com Pessoal'!$I$532:$AJ$532&amp;'Gastos com Pessoal'!$I$6:$AJ$6,0),500,1)),0)+_xlfn.IFNA(SUM((AU$3&gt;='Gastos com Pessoal'!$E$7:$E$506)*(AU$3&lt;='Gastos com Pessoal'!$F$7:$F$506)*(IF('Gastos com Pessoal'!$AE$7:$AE$506&lt;=AU$3,1,0))*OFFSET('Gastos com Pessoal'!$H$6,1,MATCH(5&amp;$B50,'Gastos com Pessoal'!$I$532:$AJ$532&amp;'Gastos com Pessoal'!$I$6:$AJ$6,0),500,1)),0)+_xlfn.IFNA(SUM((AU$3&gt;='Gastos com Pessoal'!$E$513:$E$522)*(AU$3&lt;='Gastos com Pessoal'!$F$513:$F$522)*(IF('Gastos com Pessoal'!$G$513:$G$522&lt;=AU$3,1,0))*OFFSET('Gastos com Pessoal'!$H$512,1,MATCH(1&amp;$B50,'Gastos com Pessoal'!$I$532:$AJ$532&amp;'Gastos com Pessoal'!$I$512:$AJ$512,0),10,1)),0)+_xlfn.IFNA(SUM((AU$3&gt;='Gastos com Pessoal'!$E$513:$E$522)*(AU$3&lt;='Gastos com Pessoal'!$F$513:$F$522)*(IF('Gastos com Pessoal'!$M$513:$M$522&lt;=AU$3,1,0))*OFFSET('Gastos com Pessoal'!$H$512,1,MATCH(2&amp;$B50,'Gastos com Pessoal'!$I$532:$AJ$532&amp;'Gastos com Pessoal'!$I$512:$AJ$512,0),10,1)),0)+_xlfn.IFNA(SUM((AU$3&gt;='Gastos com Pessoal'!$E$513:$E$522)*(AU$3&lt;='Gastos com Pessoal'!$F$513:$F$522)*(IF('Gastos com Pessoal'!$S$513:$S$522&lt;=AU$3,1,0))*OFFSET('Gastos com Pessoal'!$H$512,1,MATCH(3&amp;$B50,'Gastos com Pessoal'!$I$532:$AJ$532&amp;'Gastos com Pessoal'!$I$512:$AJ$512,0),10,1)),0)+_xlfn.IFNA(SUM((AU$3&gt;='Gastos com Pessoal'!$E$513:$E$522)*(AU$3&lt;='Gastos com Pessoal'!$F$513:$F$522)*(IF('Gastos com Pessoal'!$Y$513:$Y$522&lt;=AU$3,1,0))*OFFSET('Gastos com Pessoal'!$H$512,1,MATCH(4&amp;$B50,'Gastos com Pessoal'!$I$532:$AJ$532&amp;'Gastos com Pessoal'!$I$512:$AJ$512,0),10,1)),0)+_xlfn.IFNA(SUM((AU$3&gt;='Gastos com Pessoal'!$E$513:$E$522)*(AU$3&lt;='Gastos com Pessoal'!$F$513:$F$522)*(IF('Gastos com Pessoal'!$AE$513:$AE$522&lt;=AU$3,1,0))*OFFSET('Gastos com Pessoal'!$H$512,1,MATCH(5&amp;$B50,'Gastos com Pessoal'!$I$532:$AJ$532&amp;'Gastos com Pessoal'!$I$512:$AJ$512,0),10,1)),0)</f>
        <v>20150.540000000008</v>
      </c>
      <c r="AV50" s="188">
        <f t="array" aca="1" ref="AV50" ca="1">_xlfn.IFNA(SUM((AV$3&gt;='Gastos com Pessoal'!$E$7:$E$506)*(AV$3&lt;='Gastos com Pessoal'!$F$7:$F$506)*OFFSET('Encargos e Benefícios'!$D$5,1,MATCH($B50,'Encargos e Benefícios'!$E$5:$AB$5,0),500,1)),0)+_xlfn.IFNA(SUM((AV$3&gt;='Gastos com Pessoal'!$E$513:$E$522)*(AV$3&lt;='Gastos com Pessoal'!$F$513:$F$522)*OFFSET('Encargos e Benefícios'!$D$511,1,MATCH($B50,'Encargos e Benefícios'!$E$511:$AB$511,0),10,1)),0)+_xlfn.IFNA(SUM((AV$3&gt;='Gastos com Pessoal'!$E$7:$E$506)*(AV$3&lt;='Gastos com Pessoal'!$F$7:$F$506)*(IF('Gastos com Pessoal'!$G$7:$G$506&lt;=AV$3,1,0))*OFFSET('Gastos com Pessoal'!$H$6,1,MATCH(1&amp;$B50,'Gastos com Pessoal'!$I$532:$AJ$532&amp;'Gastos com Pessoal'!$I$6:$AJ$6,0),500,1)),0)+_xlfn.IFNA(SUM((AV$3&gt;='Gastos com Pessoal'!$E$7:$E$506)*(AV$3&lt;='Gastos com Pessoal'!$F$7:$F$506)*(IF('Gastos com Pessoal'!$M$7:$M$506&lt;=AV$3,1,0))*OFFSET('Gastos com Pessoal'!$H$6,1,MATCH(2&amp;$B50,'Gastos com Pessoal'!$I$532:$AJ$532&amp;'Gastos com Pessoal'!$I$6:$AJ$6,0),500,1)),0)+_xlfn.IFNA(SUM((AV$3&gt;='Gastos com Pessoal'!$E$7:$E$506)*(AV$3&lt;='Gastos com Pessoal'!$F$7:$F$506)*(IF('Gastos com Pessoal'!$S$7:$S$506&lt;=AV$3,1,0))*OFFSET('Gastos com Pessoal'!$H$6,1,MATCH(3&amp;$B50,'Gastos com Pessoal'!$I$532:$AJ$532&amp;'Gastos com Pessoal'!$I$6:$AJ$6,0),500,1)),0)+_xlfn.IFNA(SUM((AV$3&gt;='Gastos com Pessoal'!$E$7:$E$506)*(AV$3&lt;='Gastos com Pessoal'!$F$7:$F$506)*(IF('Gastos com Pessoal'!$Y$7:$Y$506&lt;=AV$3,1,0))*OFFSET('Gastos com Pessoal'!$H$6,1,MATCH(4&amp;$B50,'Gastos com Pessoal'!$I$532:$AJ$532&amp;'Gastos com Pessoal'!$I$6:$AJ$6,0),500,1)),0)+_xlfn.IFNA(SUM((AV$3&gt;='Gastos com Pessoal'!$E$7:$E$506)*(AV$3&lt;='Gastos com Pessoal'!$F$7:$F$506)*(IF('Gastos com Pessoal'!$AE$7:$AE$506&lt;=AV$3,1,0))*OFFSET('Gastos com Pessoal'!$H$6,1,MATCH(5&amp;$B50,'Gastos com Pessoal'!$I$532:$AJ$532&amp;'Gastos com Pessoal'!$I$6:$AJ$6,0),500,1)),0)+_xlfn.IFNA(SUM((AV$3&gt;='Gastos com Pessoal'!$E$513:$E$522)*(AV$3&lt;='Gastos com Pessoal'!$F$513:$F$522)*(IF('Gastos com Pessoal'!$G$513:$G$522&lt;=AV$3,1,0))*OFFSET('Gastos com Pessoal'!$H$512,1,MATCH(1&amp;$B50,'Gastos com Pessoal'!$I$532:$AJ$532&amp;'Gastos com Pessoal'!$I$512:$AJ$512,0),10,1)),0)+_xlfn.IFNA(SUM((AV$3&gt;='Gastos com Pessoal'!$E$513:$E$522)*(AV$3&lt;='Gastos com Pessoal'!$F$513:$F$522)*(IF('Gastos com Pessoal'!$M$513:$M$522&lt;=AV$3,1,0))*OFFSET('Gastos com Pessoal'!$H$512,1,MATCH(2&amp;$B50,'Gastos com Pessoal'!$I$532:$AJ$532&amp;'Gastos com Pessoal'!$I$512:$AJ$512,0),10,1)),0)+_xlfn.IFNA(SUM((AV$3&gt;='Gastos com Pessoal'!$E$513:$E$522)*(AV$3&lt;='Gastos com Pessoal'!$F$513:$F$522)*(IF('Gastos com Pessoal'!$S$513:$S$522&lt;=AV$3,1,0))*OFFSET('Gastos com Pessoal'!$H$512,1,MATCH(3&amp;$B50,'Gastos com Pessoal'!$I$532:$AJ$532&amp;'Gastos com Pessoal'!$I$512:$AJ$512,0),10,1)),0)+_xlfn.IFNA(SUM((AV$3&gt;='Gastos com Pessoal'!$E$513:$E$522)*(AV$3&lt;='Gastos com Pessoal'!$F$513:$F$522)*(IF('Gastos com Pessoal'!$Y$513:$Y$522&lt;=AV$3,1,0))*OFFSET('Gastos com Pessoal'!$H$512,1,MATCH(4&amp;$B50,'Gastos com Pessoal'!$I$532:$AJ$532&amp;'Gastos com Pessoal'!$I$512:$AJ$512,0),10,1)),0)+_xlfn.IFNA(SUM((AV$3&gt;='Gastos com Pessoal'!$E$513:$E$522)*(AV$3&lt;='Gastos com Pessoal'!$F$513:$F$522)*(IF('Gastos com Pessoal'!$AE$513:$AE$522&lt;=AV$3,1,0))*OFFSET('Gastos com Pessoal'!$H$512,1,MATCH(5&amp;$B50,'Gastos com Pessoal'!$I$532:$AJ$532&amp;'Gastos com Pessoal'!$I$512:$AJ$512,0),10,1)),0)</f>
        <v>20150.540000000008</v>
      </c>
      <c r="AW50" s="188">
        <f t="array" aca="1" ref="AW50" ca="1">_xlfn.IFNA(SUM((AW$3&gt;='Gastos com Pessoal'!$E$7:$E$506)*(AW$3&lt;='Gastos com Pessoal'!$F$7:$F$506)*OFFSET('Encargos e Benefícios'!$D$5,1,MATCH($B50,'Encargos e Benefícios'!$E$5:$AB$5,0),500,1)),0)+_xlfn.IFNA(SUM((AW$3&gt;='Gastos com Pessoal'!$E$513:$E$522)*(AW$3&lt;='Gastos com Pessoal'!$F$513:$F$522)*OFFSET('Encargos e Benefícios'!$D$511,1,MATCH($B50,'Encargos e Benefícios'!$E$511:$AB$511,0),10,1)),0)+_xlfn.IFNA(SUM((AW$3&gt;='Gastos com Pessoal'!$E$7:$E$506)*(AW$3&lt;='Gastos com Pessoal'!$F$7:$F$506)*(IF('Gastos com Pessoal'!$G$7:$G$506&lt;=AW$3,1,0))*OFFSET('Gastos com Pessoal'!$H$6,1,MATCH(1&amp;$B50,'Gastos com Pessoal'!$I$532:$AJ$532&amp;'Gastos com Pessoal'!$I$6:$AJ$6,0),500,1)),0)+_xlfn.IFNA(SUM((AW$3&gt;='Gastos com Pessoal'!$E$7:$E$506)*(AW$3&lt;='Gastos com Pessoal'!$F$7:$F$506)*(IF('Gastos com Pessoal'!$M$7:$M$506&lt;=AW$3,1,0))*OFFSET('Gastos com Pessoal'!$H$6,1,MATCH(2&amp;$B50,'Gastos com Pessoal'!$I$532:$AJ$532&amp;'Gastos com Pessoal'!$I$6:$AJ$6,0),500,1)),0)+_xlfn.IFNA(SUM((AW$3&gt;='Gastos com Pessoal'!$E$7:$E$506)*(AW$3&lt;='Gastos com Pessoal'!$F$7:$F$506)*(IF('Gastos com Pessoal'!$S$7:$S$506&lt;=AW$3,1,0))*OFFSET('Gastos com Pessoal'!$H$6,1,MATCH(3&amp;$B50,'Gastos com Pessoal'!$I$532:$AJ$532&amp;'Gastos com Pessoal'!$I$6:$AJ$6,0),500,1)),0)+_xlfn.IFNA(SUM((AW$3&gt;='Gastos com Pessoal'!$E$7:$E$506)*(AW$3&lt;='Gastos com Pessoal'!$F$7:$F$506)*(IF('Gastos com Pessoal'!$Y$7:$Y$506&lt;=AW$3,1,0))*OFFSET('Gastos com Pessoal'!$H$6,1,MATCH(4&amp;$B50,'Gastos com Pessoal'!$I$532:$AJ$532&amp;'Gastos com Pessoal'!$I$6:$AJ$6,0),500,1)),0)+_xlfn.IFNA(SUM((AW$3&gt;='Gastos com Pessoal'!$E$7:$E$506)*(AW$3&lt;='Gastos com Pessoal'!$F$7:$F$506)*(IF('Gastos com Pessoal'!$AE$7:$AE$506&lt;=AW$3,1,0))*OFFSET('Gastos com Pessoal'!$H$6,1,MATCH(5&amp;$B50,'Gastos com Pessoal'!$I$532:$AJ$532&amp;'Gastos com Pessoal'!$I$6:$AJ$6,0),500,1)),0)+_xlfn.IFNA(SUM((AW$3&gt;='Gastos com Pessoal'!$E$513:$E$522)*(AW$3&lt;='Gastos com Pessoal'!$F$513:$F$522)*(IF('Gastos com Pessoal'!$G$513:$G$522&lt;=AW$3,1,0))*OFFSET('Gastos com Pessoal'!$H$512,1,MATCH(1&amp;$B50,'Gastos com Pessoal'!$I$532:$AJ$532&amp;'Gastos com Pessoal'!$I$512:$AJ$512,0),10,1)),0)+_xlfn.IFNA(SUM((AW$3&gt;='Gastos com Pessoal'!$E$513:$E$522)*(AW$3&lt;='Gastos com Pessoal'!$F$513:$F$522)*(IF('Gastos com Pessoal'!$M$513:$M$522&lt;=AW$3,1,0))*OFFSET('Gastos com Pessoal'!$H$512,1,MATCH(2&amp;$B50,'Gastos com Pessoal'!$I$532:$AJ$532&amp;'Gastos com Pessoal'!$I$512:$AJ$512,0),10,1)),0)+_xlfn.IFNA(SUM((AW$3&gt;='Gastos com Pessoal'!$E$513:$E$522)*(AW$3&lt;='Gastos com Pessoal'!$F$513:$F$522)*(IF('Gastos com Pessoal'!$S$513:$S$522&lt;=AW$3,1,0))*OFFSET('Gastos com Pessoal'!$H$512,1,MATCH(3&amp;$B50,'Gastos com Pessoal'!$I$532:$AJ$532&amp;'Gastos com Pessoal'!$I$512:$AJ$512,0),10,1)),0)+_xlfn.IFNA(SUM((AW$3&gt;='Gastos com Pessoal'!$E$513:$E$522)*(AW$3&lt;='Gastos com Pessoal'!$F$513:$F$522)*(IF('Gastos com Pessoal'!$Y$513:$Y$522&lt;=AW$3,1,0))*OFFSET('Gastos com Pessoal'!$H$512,1,MATCH(4&amp;$B50,'Gastos com Pessoal'!$I$532:$AJ$532&amp;'Gastos com Pessoal'!$I$512:$AJ$512,0),10,1)),0)+_xlfn.IFNA(SUM((AW$3&gt;='Gastos com Pessoal'!$E$513:$E$522)*(AW$3&lt;='Gastos com Pessoal'!$F$513:$F$522)*(IF('Gastos com Pessoal'!$AE$513:$AE$522&lt;=AW$3,1,0))*OFFSET('Gastos com Pessoal'!$H$512,1,MATCH(5&amp;$B50,'Gastos com Pessoal'!$I$532:$AJ$532&amp;'Gastos com Pessoal'!$I$512:$AJ$512,0),10,1)),0)</f>
        <v>20150.540000000008</v>
      </c>
      <c r="AX50" s="188">
        <f t="array" aca="1" ref="AX50" ca="1">_xlfn.IFNA(SUM((AX$3&gt;='Gastos com Pessoal'!$E$7:$E$506)*(AX$3&lt;='Gastos com Pessoal'!$F$7:$F$506)*OFFSET('Encargos e Benefícios'!$D$5,1,MATCH($B50,'Encargos e Benefícios'!$E$5:$AB$5,0),500,1)),0)+_xlfn.IFNA(SUM((AX$3&gt;='Gastos com Pessoal'!$E$513:$E$522)*(AX$3&lt;='Gastos com Pessoal'!$F$513:$F$522)*OFFSET('Encargos e Benefícios'!$D$511,1,MATCH($B50,'Encargos e Benefícios'!$E$511:$AB$511,0),10,1)),0)+_xlfn.IFNA(SUM((AX$3&gt;='Gastos com Pessoal'!$E$7:$E$506)*(AX$3&lt;='Gastos com Pessoal'!$F$7:$F$506)*(IF('Gastos com Pessoal'!$G$7:$G$506&lt;=AX$3,1,0))*OFFSET('Gastos com Pessoal'!$H$6,1,MATCH(1&amp;$B50,'Gastos com Pessoal'!$I$532:$AJ$532&amp;'Gastos com Pessoal'!$I$6:$AJ$6,0),500,1)),0)+_xlfn.IFNA(SUM((AX$3&gt;='Gastos com Pessoal'!$E$7:$E$506)*(AX$3&lt;='Gastos com Pessoal'!$F$7:$F$506)*(IF('Gastos com Pessoal'!$M$7:$M$506&lt;=AX$3,1,0))*OFFSET('Gastos com Pessoal'!$H$6,1,MATCH(2&amp;$B50,'Gastos com Pessoal'!$I$532:$AJ$532&amp;'Gastos com Pessoal'!$I$6:$AJ$6,0),500,1)),0)+_xlfn.IFNA(SUM((AX$3&gt;='Gastos com Pessoal'!$E$7:$E$506)*(AX$3&lt;='Gastos com Pessoal'!$F$7:$F$506)*(IF('Gastos com Pessoal'!$S$7:$S$506&lt;=AX$3,1,0))*OFFSET('Gastos com Pessoal'!$H$6,1,MATCH(3&amp;$B50,'Gastos com Pessoal'!$I$532:$AJ$532&amp;'Gastos com Pessoal'!$I$6:$AJ$6,0),500,1)),0)+_xlfn.IFNA(SUM((AX$3&gt;='Gastos com Pessoal'!$E$7:$E$506)*(AX$3&lt;='Gastos com Pessoal'!$F$7:$F$506)*(IF('Gastos com Pessoal'!$Y$7:$Y$506&lt;=AX$3,1,0))*OFFSET('Gastos com Pessoal'!$H$6,1,MATCH(4&amp;$B50,'Gastos com Pessoal'!$I$532:$AJ$532&amp;'Gastos com Pessoal'!$I$6:$AJ$6,0),500,1)),0)+_xlfn.IFNA(SUM((AX$3&gt;='Gastos com Pessoal'!$E$7:$E$506)*(AX$3&lt;='Gastos com Pessoal'!$F$7:$F$506)*(IF('Gastos com Pessoal'!$AE$7:$AE$506&lt;=AX$3,1,0))*OFFSET('Gastos com Pessoal'!$H$6,1,MATCH(5&amp;$B50,'Gastos com Pessoal'!$I$532:$AJ$532&amp;'Gastos com Pessoal'!$I$6:$AJ$6,0),500,1)),0)+_xlfn.IFNA(SUM((AX$3&gt;='Gastos com Pessoal'!$E$513:$E$522)*(AX$3&lt;='Gastos com Pessoal'!$F$513:$F$522)*(IF('Gastos com Pessoal'!$G$513:$G$522&lt;=AX$3,1,0))*OFFSET('Gastos com Pessoal'!$H$512,1,MATCH(1&amp;$B50,'Gastos com Pessoal'!$I$532:$AJ$532&amp;'Gastos com Pessoal'!$I$512:$AJ$512,0),10,1)),0)+_xlfn.IFNA(SUM((AX$3&gt;='Gastos com Pessoal'!$E$513:$E$522)*(AX$3&lt;='Gastos com Pessoal'!$F$513:$F$522)*(IF('Gastos com Pessoal'!$M$513:$M$522&lt;=AX$3,1,0))*OFFSET('Gastos com Pessoal'!$H$512,1,MATCH(2&amp;$B50,'Gastos com Pessoal'!$I$532:$AJ$532&amp;'Gastos com Pessoal'!$I$512:$AJ$512,0),10,1)),0)+_xlfn.IFNA(SUM((AX$3&gt;='Gastos com Pessoal'!$E$513:$E$522)*(AX$3&lt;='Gastos com Pessoal'!$F$513:$F$522)*(IF('Gastos com Pessoal'!$S$513:$S$522&lt;=AX$3,1,0))*OFFSET('Gastos com Pessoal'!$H$512,1,MATCH(3&amp;$B50,'Gastos com Pessoal'!$I$532:$AJ$532&amp;'Gastos com Pessoal'!$I$512:$AJ$512,0),10,1)),0)+_xlfn.IFNA(SUM((AX$3&gt;='Gastos com Pessoal'!$E$513:$E$522)*(AX$3&lt;='Gastos com Pessoal'!$F$513:$F$522)*(IF('Gastos com Pessoal'!$Y$513:$Y$522&lt;=AX$3,1,0))*OFFSET('Gastos com Pessoal'!$H$512,1,MATCH(4&amp;$B50,'Gastos com Pessoal'!$I$532:$AJ$532&amp;'Gastos com Pessoal'!$I$512:$AJ$512,0),10,1)),0)+_xlfn.IFNA(SUM((AX$3&gt;='Gastos com Pessoal'!$E$513:$E$522)*(AX$3&lt;='Gastos com Pessoal'!$F$513:$F$522)*(IF('Gastos com Pessoal'!$AE$513:$AE$522&lt;=AX$3,1,0))*OFFSET('Gastos com Pessoal'!$H$512,1,MATCH(5&amp;$B50,'Gastos com Pessoal'!$I$532:$AJ$532&amp;'Gastos com Pessoal'!$I$512:$AJ$512,0),10,1)),0)</f>
        <v>0</v>
      </c>
      <c r="AY50" s="188">
        <f t="array" aca="1" ref="AY50" ca="1">_xlfn.IFNA(SUM((AY$3&gt;='Gastos com Pessoal'!$E$7:$E$506)*(AY$3&lt;='Gastos com Pessoal'!$F$7:$F$506)*OFFSET('Encargos e Benefícios'!$D$5,1,MATCH($B50,'Encargos e Benefícios'!$E$5:$AB$5,0),500,1)),0)+_xlfn.IFNA(SUM((AY$3&gt;='Gastos com Pessoal'!$E$513:$E$522)*(AY$3&lt;='Gastos com Pessoal'!$F$513:$F$522)*OFFSET('Encargos e Benefícios'!$D$511,1,MATCH($B50,'Encargos e Benefícios'!$E$511:$AB$511,0),10,1)),0)+_xlfn.IFNA(SUM((AY$3&gt;='Gastos com Pessoal'!$E$7:$E$506)*(AY$3&lt;='Gastos com Pessoal'!$F$7:$F$506)*(IF('Gastos com Pessoal'!$G$7:$G$506&lt;=AY$3,1,0))*OFFSET('Gastos com Pessoal'!$H$6,1,MATCH(1&amp;$B50,'Gastos com Pessoal'!$I$532:$AJ$532&amp;'Gastos com Pessoal'!$I$6:$AJ$6,0),500,1)),0)+_xlfn.IFNA(SUM((AY$3&gt;='Gastos com Pessoal'!$E$7:$E$506)*(AY$3&lt;='Gastos com Pessoal'!$F$7:$F$506)*(IF('Gastos com Pessoal'!$M$7:$M$506&lt;=AY$3,1,0))*OFFSET('Gastos com Pessoal'!$H$6,1,MATCH(2&amp;$B50,'Gastos com Pessoal'!$I$532:$AJ$532&amp;'Gastos com Pessoal'!$I$6:$AJ$6,0),500,1)),0)+_xlfn.IFNA(SUM((AY$3&gt;='Gastos com Pessoal'!$E$7:$E$506)*(AY$3&lt;='Gastos com Pessoal'!$F$7:$F$506)*(IF('Gastos com Pessoal'!$S$7:$S$506&lt;=AY$3,1,0))*OFFSET('Gastos com Pessoal'!$H$6,1,MATCH(3&amp;$B50,'Gastos com Pessoal'!$I$532:$AJ$532&amp;'Gastos com Pessoal'!$I$6:$AJ$6,0),500,1)),0)+_xlfn.IFNA(SUM((AY$3&gt;='Gastos com Pessoal'!$E$7:$E$506)*(AY$3&lt;='Gastos com Pessoal'!$F$7:$F$506)*(IF('Gastos com Pessoal'!$Y$7:$Y$506&lt;=AY$3,1,0))*OFFSET('Gastos com Pessoal'!$H$6,1,MATCH(4&amp;$B50,'Gastos com Pessoal'!$I$532:$AJ$532&amp;'Gastos com Pessoal'!$I$6:$AJ$6,0),500,1)),0)+_xlfn.IFNA(SUM((AY$3&gt;='Gastos com Pessoal'!$E$7:$E$506)*(AY$3&lt;='Gastos com Pessoal'!$F$7:$F$506)*(IF('Gastos com Pessoal'!$AE$7:$AE$506&lt;=AY$3,1,0))*OFFSET('Gastos com Pessoal'!$H$6,1,MATCH(5&amp;$B50,'Gastos com Pessoal'!$I$532:$AJ$532&amp;'Gastos com Pessoal'!$I$6:$AJ$6,0),500,1)),0)+_xlfn.IFNA(SUM((AY$3&gt;='Gastos com Pessoal'!$E$513:$E$522)*(AY$3&lt;='Gastos com Pessoal'!$F$513:$F$522)*(IF('Gastos com Pessoal'!$G$513:$G$522&lt;=AY$3,1,0))*OFFSET('Gastos com Pessoal'!$H$512,1,MATCH(1&amp;$B50,'Gastos com Pessoal'!$I$532:$AJ$532&amp;'Gastos com Pessoal'!$I$512:$AJ$512,0),10,1)),0)+_xlfn.IFNA(SUM((AY$3&gt;='Gastos com Pessoal'!$E$513:$E$522)*(AY$3&lt;='Gastos com Pessoal'!$F$513:$F$522)*(IF('Gastos com Pessoal'!$M$513:$M$522&lt;=AY$3,1,0))*OFFSET('Gastos com Pessoal'!$H$512,1,MATCH(2&amp;$B50,'Gastos com Pessoal'!$I$532:$AJ$532&amp;'Gastos com Pessoal'!$I$512:$AJ$512,0),10,1)),0)+_xlfn.IFNA(SUM((AY$3&gt;='Gastos com Pessoal'!$E$513:$E$522)*(AY$3&lt;='Gastos com Pessoal'!$F$513:$F$522)*(IF('Gastos com Pessoal'!$S$513:$S$522&lt;=AY$3,1,0))*OFFSET('Gastos com Pessoal'!$H$512,1,MATCH(3&amp;$B50,'Gastos com Pessoal'!$I$532:$AJ$532&amp;'Gastos com Pessoal'!$I$512:$AJ$512,0),10,1)),0)+_xlfn.IFNA(SUM((AY$3&gt;='Gastos com Pessoal'!$E$513:$E$522)*(AY$3&lt;='Gastos com Pessoal'!$F$513:$F$522)*(IF('Gastos com Pessoal'!$Y$513:$Y$522&lt;=AY$3,1,0))*OFFSET('Gastos com Pessoal'!$H$512,1,MATCH(4&amp;$B50,'Gastos com Pessoal'!$I$532:$AJ$532&amp;'Gastos com Pessoal'!$I$512:$AJ$512,0),10,1)),0)+_xlfn.IFNA(SUM((AY$3&gt;='Gastos com Pessoal'!$E$513:$E$522)*(AY$3&lt;='Gastos com Pessoal'!$F$513:$F$522)*(IF('Gastos com Pessoal'!$AE$513:$AE$522&lt;=AY$3,1,0))*OFFSET('Gastos com Pessoal'!$H$512,1,MATCH(5&amp;$B50,'Gastos com Pessoal'!$I$532:$AJ$532&amp;'Gastos com Pessoal'!$I$512:$AJ$512,0),10,1)),0)</f>
        <v>0</v>
      </c>
      <c r="AZ50" s="188">
        <f t="array" aca="1" ref="AZ50" ca="1">_xlfn.IFNA(SUM((AZ$3&gt;='Gastos com Pessoal'!$E$7:$E$506)*(AZ$3&lt;='Gastos com Pessoal'!$F$7:$F$506)*OFFSET('Encargos e Benefícios'!$D$5,1,MATCH($B50,'Encargos e Benefícios'!$E$5:$AB$5,0),500,1)),0)+_xlfn.IFNA(SUM((AZ$3&gt;='Gastos com Pessoal'!$E$513:$E$522)*(AZ$3&lt;='Gastos com Pessoal'!$F$513:$F$522)*OFFSET('Encargos e Benefícios'!$D$511,1,MATCH($B50,'Encargos e Benefícios'!$E$511:$AB$511,0),10,1)),0)+_xlfn.IFNA(SUM((AZ$3&gt;='Gastos com Pessoal'!$E$7:$E$506)*(AZ$3&lt;='Gastos com Pessoal'!$F$7:$F$506)*(IF('Gastos com Pessoal'!$G$7:$G$506&lt;=AZ$3,1,0))*OFFSET('Gastos com Pessoal'!$H$6,1,MATCH(1&amp;$B50,'Gastos com Pessoal'!$I$532:$AJ$532&amp;'Gastos com Pessoal'!$I$6:$AJ$6,0),500,1)),0)+_xlfn.IFNA(SUM((AZ$3&gt;='Gastos com Pessoal'!$E$7:$E$506)*(AZ$3&lt;='Gastos com Pessoal'!$F$7:$F$506)*(IF('Gastos com Pessoal'!$M$7:$M$506&lt;=AZ$3,1,0))*OFFSET('Gastos com Pessoal'!$H$6,1,MATCH(2&amp;$B50,'Gastos com Pessoal'!$I$532:$AJ$532&amp;'Gastos com Pessoal'!$I$6:$AJ$6,0),500,1)),0)+_xlfn.IFNA(SUM((AZ$3&gt;='Gastos com Pessoal'!$E$7:$E$506)*(AZ$3&lt;='Gastos com Pessoal'!$F$7:$F$506)*(IF('Gastos com Pessoal'!$S$7:$S$506&lt;=AZ$3,1,0))*OFFSET('Gastos com Pessoal'!$H$6,1,MATCH(3&amp;$B50,'Gastos com Pessoal'!$I$532:$AJ$532&amp;'Gastos com Pessoal'!$I$6:$AJ$6,0),500,1)),0)+_xlfn.IFNA(SUM((AZ$3&gt;='Gastos com Pessoal'!$E$7:$E$506)*(AZ$3&lt;='Gastos com Pessoal'!$F$7:$F$506)*(IF('Gastos com Pessoal'!$Y$7:$Y$506&lt;=AZ$3,1,0))*OFFSET('Gastos com Pessoal'!$H$6,1,MATCH(4&amp;$B50,'Gastos com Pessoal'!$I$532:$AJ$532&amp;'Gastos com Pessoal'!$I$6:$AJ$6,0),500,1)),0)+_xlfn.IFNA(SUM((AZ$3&gt;='Gastos com Pessoal'!$E$7:$E$506)*(AZ$3&lt;='Gastos com Pessoal'!$F$7:$F$506)*(IF('Gastos com Pessoal'!$AE$7:$AE$506&lt;=AZ$3,1,0))*OFFSET('Gastos com Pessoal'!$H$6,1,MATCH(5&amp;$B50,'Gastos com Pessoal'!$I$532:$AJ$532&amp;'Gastos com Pessoal'!$I$6:$AJ$6,0),500,1)),0)+_xlfn.IFNA(SUM((AZ$3&gt;='Gastos com Pessoal'!$E$513:$E$522)*(AZ$3&lt;='Gastos com Pessoal'!$F$513:$F$522)*(IF('Gastos com Pessoal'!$G$513:$G$522&lt;=AZ$3,1,0))*OFFSET('Gastos com Pessoal'!$H$512,1,MATCH(1&amp;$B50,'Gastos com Pessoal'!$I$532:$AJ$532&amp;'Gastos com Pessoal'!$I$512:$AJ$512,0),10,1)),0)+_xlfn.IFNA(SUM((AZ$3&gt;='Gastos com Pessoal'!$E$513:$E$522)*(AZ$3&lt;='Gastos com Pessoal'!$F$513:$F$522)*(IF('Gastos com Pessoal'!$M$513:$M$522&lt;=AZ$3,1,0))*OFFSET('Gastos com Pessoal'!$H$512,1,MATCH(2&amp;$B50,'Gastos com Pessoal'!$I$532:$AJ$532&amp;'Gastos com Pessoal'!$I$512:$AJ$512,0),10,1)),0)+_xlfn.IFNA(SUM((AZ$3&gt;='Gastos com Pessoal'!$E$513:$E$522)*(AZ$3&lt;='Gastos com Pessoal'!$F$513:$F$522)*(IF('Gastos com Pessoal'!$S$513:$S$522&lt;=AZ$3,1,0))*OFFSET('Gastos com Pessoal'!$H$512,1,MATCH(3&amp;$B50,'Gastos com Pessoal'!$I$532:$AJ$532&amp;'Gastos com Pessoal'!$I$512:$AJ$512,0),10,1)),0)+_xlfn.IFNA(SUM((AZ$3&gt;='Gastos com Pessoal'!$E$513:$E$522)*(AZ$3&lt;='Gastos com Pessoal'!$F$513:$F$522)*(IF('Gastos com Pessoal'!$Y$513:$Y$522&lt;=AZ$3,1,0))*OFFSET('Gastos com Pessoal'!$H$512,1,MATCH(4&amp;$B50,'Gastos com Pessoal'!$I$532:$AJ$532&amp;'Gastos com Pessoal'!$I$512:$AJ$512,0),10,1)),0)+_xlfn.IFNA(SUM((AZ$3&gt;='Gastos com Pessoal'!$E$513:$E$522)*(AZ$3&lt;='Gastos com Pessoal'!$F$513:$F$522)*(IF('Gastos com Pessoal'!$AE$513:$AE$522&lt;=AZ$3,1,0))*OFFSET('Gastos com Pessoal'!$H$512,1,MATCH(5&amp;$B50,'Gastos com Pessoal'!$I$532:$AJ$532&amp;'Gastos com Pessoal'!$I$512:$AJ$512,0),10,1)),0)</f>
        <v>0</v>
      </c>
      <c r="BA50" s="188">
        <f t="array" aca="1" ref="BA50" ca="1">_xlfn.IFNA(SUM((BA$3&gt;='Gastos com Pessoal'!$E$7:$E$506)*(BA$3&lt;='Gastos com Pessoal'!$F$7:$F$506)*OFFSET('Encargos e Benefícios'!$D$5,1,MATCH($B50,'Encargos e Benefícios'!$E$5:$AB$5,0),500,1)),0)+_xlfn.IFNA(SUM((BA$3&gt;='Gastos com Pessoal'!$E$513:$E$522)*(BA$3&lt;='Gastos com Pessoal'!$F$513:$F$522)*OFFSET('Encargos e Benefícios'!$D$511,1,MATCH($B50,'Encargos e Benefícios'!$E$511:$AB$511,0),10,1)),0)+_xlfn.IFNA(SUM((BA$3&gt;='Gastos com Pessoal'!$E$7:$E$506)*(BA$3&lt;='Gastos com Pessoal'!$F$7:$F$506)*(IF('Gastos com Pessoal'!$G$7:$G$506&lt;=BA$3,1,0))*OFFSET('Gastos com Pessoal'!$H$6,1,MATCH(1&amp;$B50,'Gastos com Pessoal'!$I$532:$AJ$532&amp;'Gastos com Pessoal'!$I$6:$AJ$6,0),500,1)),0)+_xlfn.IFNA(SUM((BA$3&gt;='Gastos com Pessoal'!$E$7:$E$506)*(BA$3&lt;='Gastos com Pessoal'!$F$7:$F$506)*(IF('Gastos com Pessoal'!$M$7:$M$506&lt;=BA$3,1,0))*OFFSET('Gastos com Pessoal'!$H$6,1,MATCH(2&amp;$B50,'Gastos com Pessoal'!$I$532:$AJ$532&amp;'Gastos com Pessoal'!$I$6:$AJ$6,0),500,1)),0)+_xlfn.IFNA(SUM((BA$3&gt;='Gastos com Pessoal'!$E$7:$E$506)*(BA$3&lt;='Gastos com Pessoal'!$F$7:$F$506)*(IF('Gastos com Pessoal'!$S$7:$S$506&lt;=BA$3,1,0))*OFFSET('Gastos com Pessoal'!$H$6,1,MATCH(3&amp;$B50,'Gastos com Pessoal'!$I$532:$AJ$532&amp;'Gastos com Pessoal'!$I$6:$AJ$6,0),500,1)),0)+_xlfn.IFNA(SUM((BA$3&gt;='Gastos com Pessoal'!$E$7:$E$506)*(BA$3&lt;='Gastos com Pessoal'!$F$7:$F$506)*(IF('Gastos com Pessoal'!$Y$7:$Y$506&lt;=BA$3,1,0))*OFFSET('Gastos com Pessoal'!$H$6,1,MATCH(4&amp;$B50,'Gastos com Pessoal'!$I$532:$AJ$532&amp;'Gastos com Pessoal'!$I$6:$AJ$6,0),500,1)),0)+_xlfn.IFNA(SUM((BA$3&gt;='Gastos com Pessoal'!$E$7:$E$506)*(BA$3&lt;='Gastos com Pessoal'!$F$7:$F$506)*(IF('Gastos com Pessoal'!$AE$7:$AE$506&lt;=BA$3,1,0))*OFFSET('Gastos com Pessoal'!$H$6,1,MATCH(5&amp;$B50,'Gastos com Pessoal'!$I$532:$AJ$532&amp;'Gastos com Pessoal'!$I$6:$AJ$6,0),500,1)),0)+_xlfn.IFNA(SUM((BA$3&gt;='Gastos com Pessoal'!$E$513:$E$522)*(BA$3&lt;='Gastos com Pessoal'!$F$513:$F$522)*(IF('Gastos com Pessoal'!$G$513:$G$522&lt;=BA$3,1,0))*OFFSET('Gastos com Pessoal'!$H$512,1,MATCH(1&amp;$B50,'Gastos com Pessoal'!$I$532:$AJ$532&amp;'Gastos com Pessoal'!$I$512:$AJ$512,0),10,1)),0)+_xlfn.IFNA(SUM((BA$3&gt;='Gastos com Pessoal'!$E$513:$E$522)*(BA$3&lt;='Gastos com Pessoal'!$F$513:$F$522)*(IF('Gastos com Pessoal'!$M$513:$M$522&lt;=BA$3,1,0))*OFFSET('Gastos com Pessoal'!$H$512,1,MATCH(2&amp;$B50,'Gastos com Pessoal'!$I$532:$AJ$532&amp;'Gastos com Pessoal'!$I$512:$AJ$512,0),10,1)),0)+_xlfn.IFNA(SUM((BA$3&gt;='Gastos com Pessoal'!$E$513:$E$522)*(BA$3&lt;='Gastos com Pessoal'!$F$513:$F$522)*(IF('Gastos com Pessoal'!$S$513:$S$522&lt;=BA$3,1,0))*OFFSET('Gastos com Pessoal'!$H$512,1,MATCH(3&amp;$B50,'Gastos com Pessoal'!$I$532:$AJ$532&amp;'Gastos com Pessoal'!$I$512:$AJ$512,0),10,1)),0)+_xlfn.IFNA(SUM((BA$3&gt;='Gastos com Pessoal'!$E$513:$E$522)*(BA$3&lt;='Gastos com Pessoal'!$F$513:$F$522)*(IF('Gastos com Pessoal'!$Y$513:$Y$522&lt;=BA$3,1,0))*OFFSET('Gastos com Pessoal'!$H$512,1,MATCH(4&amp;$B50,'Gastos com Pessoal'!$I$532:$AJ$532&amp;'Gastos com Pessoal'!$I$512:$AJ$512,0),10,1)),0)+_xlfn.IFNA(SUM((BA$3&gt;='Gastos com Pessoal'!$E$513:$E$522)*(BA$3&lt;='Gastos com Pessoal'!$F$513:$F$522)*(IF('Gastos com Pessoal'!$AE$513:$AE$522&lt;=BA$3,1,0))*OFFSET('Gastos com Pessoal'!$H$512,1,MATCH(5&amp;$B50,'Gastos com Pessoal'!$I$532:$AJ$532&amp;'Gastos com Pessoal'!$I$512:$AJ$512,0),10,1)),0)</f>
        <v>0</v>
      </c>
      <c r="BB50" s="188">
        <f t="array" aca="1" ref="BB50" ca="1">_xlfn.IFNA(SUM((BB$3&gt;='Gastos com Pessoal'!$E$7:$E$506)*(BB$3&lt;='Gastos com Pessoal'!$F$7:$F$506)*OFFSET('Encargos e Benefícios'!$D$5,1,MATCH($B50,'Encargos e Benefícios'!$E$5:$AB$5,0),500,1)),0)+_xlfn.IFNA(SUM((BB$3&gt;='Gastos com Pessoal'!$E$513:$E$522)*(BB$3&lt;='Gastos com Pessoal'!$F$513:$F$522)*OFFSET('Encargos e Benefícios'!$D$511,1,MATCH($B50,'Encargos e Benefícios'!$E$511:$AB$511,0),10,1)),0)+_xlfn.IFNA(SUM((BB$3&gt;='Gastos com Pessoal'!$E$7:$E$506)*(BB$3&lt;='Gastos com Pessoal'!$F$7:$F$506)*(IF('Gastos com Pessoal'!$G$7:$G$506&lt;=BB$3,1,0))*OFFSET('Gastos com Pessoal'!$H$6,1,MATCH(1&amp;$B50,'Gastos com Pessoal'!$I$532:$AJ$532&amp;'Gastos com Pessoal'!$I$6:$AJ$6,0),500,1)),0)+_xlfn.IFNA(SUM((BB$3&gt;='Gastos com Pessoal'!$E$7:$E$506)*(BB$3&lt;='Gastos com Pessoal'!$F$7:$F$506)*(IF('Gastos com Pessoal'!$M$7:$M$506&lt;=BB$3,1,0))*OFFSET('Gastos com Pessoal'!$H$6,1,MATCH(2&amp;$B50,'Gastos com Pessoal'!$I$532:$AJ$532&amp;'Gastos com Pessoal'!$I$6:$AJ$6,0),500,1)),0)+_xlfn.IFNA(SUM((BB$3&gt;='Gastos com Pessoal'!$E$7:$E$506)*(BB$3&lt;='Gastos com Pessoal'!$F$7:$F$506)*(IF('Gastos com Pessoal'!$S$7:$S$506&lt;=BB$3,1,0))*OFFSET('Gastos com Pessoal'!$H$6,1,MATCH(3&amp;$B50,'Gastos com Pessoal'!$I$532:$AJ$532&amp;'Gastos com Pessoal'!$I$6:$AJ$6,0),500,1)),0)+_xlfn.IFNA(SUM((BB$3&gt;='Gastos com Pessoal'!$E$7:$E$506)*(BB$3&lt;='Gastos com Pessoal'!$F$7:$F$506)*(IF('Gastos com Pessoal'!$Y$7:$Y$506&lt;=BB$3,1,0))*OFFSET('Gastos com Pessoal'!$H$6,1,MATCH(4&amp;$B50,'Gastos com Pessoal'!$I$532:$AJ$532&amp;'Gastos com Pessoal'!$I$6:$AJ$6,0),500,1)),0)+_xlfn.IFNA(SUM((BB$3&gt;='Gastos com Pessoal'!$E$7:$E$506)*(BB$3&lt;='Gastos com Pessoal'!$F$7:$F$506)*(IF('Gastos com Pessoal'!$AE$7:$AE$506&lt;=BB$3,1,0))*OFFSET('Gastos com Pessoal'!$H$6,1,MATCH(5&amp;$B50,'Gastos com Pessoal'!$I$532:$AJ$532&amp;'Gastos com Pessoal'!$I$6:$AJ$6,0),500,1)),0)+_xlfn.IFNA(SUM((BB$3&gt;='Gastos com Pessoal'!$E$513:$E$522)*(BB$3&lt;='Gastos com Pessoal'!$F$513:$F$522)*(IF('Gastos com Pessoal'!$G$513:$G$522&lt;=BB$3,1,0))*OFFSET('Gastos com Pessoal'!$H$512,1,MATCH(1&amp;$B50,'Gastos com Pessoal'!$I$532:$AJ$532&amp;'Gastos com Pessoal'!$I$512:$AJ$512,0),10,1)),0)+_xlfn.IFNA(SUM((BB$3&gt;='Gastos com Pessoal'!$E$513:$E$522)*(BB$3&lt;='Gastos com Pessoal'!$F$513:$F$522)*(IF('Gastos com Pessoal'!$M$513:$M$522&lt;=BB$3,1,0))*OFFSET('Gastos com Pessoal'!$H$512,1,MATCH(2&amp;$B50,'Gastos com Pessoal'!$I$532:$AJ$532&amp;'Gastos com Pessoal'!$I$512:$AJ$512,0),10,1)),0)+_xlfn.IFNA(SUM((BB$3&gt;='Gastos com Pessoal'!$E$513:$E$522)*(BB$3&lt;='Gastos com Pessoal'!$F$513:$F$522)*(IF('Gastos com Pessoal'!$S$513:$S$522&lt;=BB$3,1,0))*OFFSET('Gastos com Pessoal'!$H$512,1,MATCH(3&amp;$B50,'Gastos com Pessoal'!$I$532:$AJ$532&amp;'Gastos com Pessoal'!$I$512:$AJ$512,0),10,1)),0)+_xlfn.IFNA(SUM((BB$3&gt;='Gastos com Pessoal'!$E$513:$E$522)*(BB$3&lt;='Gastos com Pessoal'!$F$513:$F$522)*(IF('Gastos com Pessoal'!$Y$513:$Y$522&lt;=BB$3,1,0))*OFFSET('Gastos com Pessoal'!$H$512,1,MATCH(4&amp;$B50,'Gastos com Pessoal'!$I$532:$AJ$532&amp;'Gastos com Pessoal'!$I$512:$AJ$512,0),10,1)),0)+_xlfn.IFNA(SUM((BB$3&gt;='Gastos com Pessoal'!$E$513:$E$522)*(BB$3&lt;='Gastos com Pessoal'!$F$513:$F$522)*(IF('Gastos com Pessoal'!$AE$513:$AE$522&lt;=BB$3,1,0))*OFFSET('Gastos com Pessoal'!$H$512,1,MATCH(5&amp;$B50,'Gastos com Pessoal'!$I$532:$AJ$532&amp;'Gastos com Pessoal'!$I$512:$AJ$512,0),10,1)),0)</f>
        <v>0</v>
      </c>
      <c r="BC50" s="188">
        <f t="array" aca="1" ref="BC50" ca="1">_xlfn.IFNA(SUM((BC$3&gt;='Gastos com Pessoal'!$E$7:$E$506)*(BC$3&lt;='Gastos com Pessoal'!$F$7:$F$506)*OFFSET('Encargos e Benefícios'!$D$5,1,MATCH($B50,'Encargos e Benefícios'!$E$5:$AB$5,0),500,1)),0)+_xlfn.IFNA(SUM((BC$3&gt;='Gastos com Pessoal'!$E$513:$E$522)*(BC$3&lt;='Gastos com Pessoal'!$F$513:$F$522)*OFFSET('Encargos e Benefícios'!$D$511,1,MATCH($B50,'Encargos e Benefícios'!$E$511:$AB$511,0),10,1)),0)+_xlfn.IFNA(SUM((BC$3&gt;='Gastos com Pessoal'!$E$7:$E$506)*(BC$3&lt;='Gastos com Pessoal'!$F$7:$F$506)*(IF('Gastos com Pessoal'!$G$7:$G$506&lt;=BC$3,1,0))*OFFSET('Gastos com Pessoal'!$H$6,1,MATCH(1&amp;$B50,'Gastos com Pessoal'!$I$532:$AJ$532&amp;'Gastos com Pessoal'!$I$6:$AJ$6,0),500,1)),0)+_xlfn.IFNA(SUM((BC$3&gt;='Gastos com Pessoal'!$E$7:$E$506)*(BC$3&lt;='Gastos com Pessoal'!$F$7:$F$506)*(IF('Gastos com Pessoal'!$M$7:$M$506&lt;=BC$3,1,0))*OFFSET('Gastos com Pessoal'!$H$6,1,MATCH(2&amp;$B50,'Gastos com Pessoal'!$I$532:$AJ$532&amp;'Gastos com Pessoal'!$I$6:$AJ$6,0),500,1)),0)+_xlfn.IFNA(SUM((BC$3&gt;='Gastos com Pessoal'!$E$7:$E$506)*(BC$3&lt;='Gastos com Pessoal'!$F$7:$F$506)*(IF('Gastos com Pessoal'!$S$7:$S$506&lt;=BC$3,1,0))*OFFSET('Gastos com Pessoal'!$H$6,1,MATCH(3&amp;$B50,'Gastos com Pessoal'!$I$532:$AJ$532&amp;'Gastos com Pessoal'!$I$6:$AJ$6,0),500,1)),0)+_xlfn.IFNA(SUM((BC$3&gt;='Gastos com Pessoal'!$E$7:$E$506)*(BC$3&lt;='Gastos com Pessoal'!$F$7:$F$506)*(IF('Gastos com Pessoal'!$Y$7:$Y$506&lt;=BC$3,1,0))*OFFSET('Gastos com Pessoal'!$H$6,1,MATCH(4&amp;$B50,'Gastos com Pessoal'!$I$532:$AJ$532&amp;'Gastos com Pessoal'!$I$6:$AJ$6,0),500,1)),0)+_xlfn.IFNA(SUM((BC$3&gt;='Gastos com Pessoal'!$E$7:$E$506)*(BC$3&lt;='Gastos com Pessoal'!$F$7:$F$506)*(IF('Gastos com Pessoal'!$AE$7:$AE$506&lt;=BC$3,1,0))*OFFSET('Gastos com Pessoal'!$H$6,1,MATCH(5&amp;$B50,'Gastos com Pessoal'!$I$532:$AJ$532&amp;'Gastos com Pessoal'!$I$6:$AJ$6,0),500,1)),0)+_xlfn.IFNA(SUM((BC$3&gt;='Gastos com Pessoal'!$E$513:$E$522)*(BC$3&lt;='Gastos com Pessoal'!$F$513:$F$522)*(IF('Gastos com Pessoal'!$G$513:$G$522&lt;=BC$3,1,0))*OFFSET('Gastos com Pessoal'!$H$512,1,MATCH(1&amp;$B50,'Gastos com Pessoal'!$I$532:$AJ$532&amp;'Gastos com Pessoal'!$I$512:$AJ$512,0),10,1)),0)+_xlfn.IFNA(SUM((BC$3&gt;='Gastos com Pessoal'!$E$513:$E$522)*(BC$3&lt;='Gastos com Pessoal'!$F$513:$F$522)*(IF('Gastos com Pessoal'!$M$513:$M$522&lt;=BC$3,1,0))*OFFSET('Gastos com Pessoal'!$H$512,1,MATCH(2&amp;$B50,'Gastos com Pessoal'!$I$532:$AJ$532&amp;'Gastos com Pessoal'!$I$512:$AJ$512,0),10,1)),0)+_xlfn.IFNA(SUM((BC$3&gt;='Gastos com Pessoal'!$E$513:$E$522)*(BC$3&lt;='Gastos com Pessoal'!$F$513:$F$522)*(IF('Gastos com Pessoal'!$S$513:$S$522&lt;=BC$3,1,0))*OFFSET('Gastos com Pessoal'!$H$512,1,MATCH(3&amp;$B50,'Gastos com Pessoal'!$I$532:$AJ$532&amp;'Gastos com Pessoal'!$I$512:$AJ$512,0),10,1)),0)+_xlfn.IFNA(SUM((BC$3&gt;='Gastos com Pessoal'!$E$513:$E$522)*(BC$3&lt;='Gastos com Pessoal'!$F$513:$F$522)*(IF('Gastos com Pessoal'!$Y$513:$Y$522&lt;=BC$3,1,0))*OFFSET('Gastos com Pessoal'!$H$512,1,MATCH(4&amp;$B50,'Gastos com Pessoal'!$I$532:$AJ$532&amp;'Gastos com Pessoal'!$I$512:$AJ$512,0),10,1)),0)+_xlfn.IFNA(SUM((BC$3&gt;='Gastos com Pessoal'!$E$513:$E$522)*(BC$3&lt;='Gastos com Pessoal'!$F$513:$F$522)*(IF('Gastos com Pessoal'!$AE$513:$AE$522&lt;=BC$3,1,0))*OFFSET('Gastos com Pessoal'!$H$512,1,MATCH(5&amp;$B50,'Gastos com Pessoal'!$I$532:$AJ$532&amp;'Gastos com Pessoal'!$I$512:$AJ$512,0),10,1)),0)</f>
        <v>0</v>
      </c>
      <c r="BD50" s="188">
        <f t="array" aca="1" ref="BD50" ca="1">_xlfn.IFNA(SUM((BD$3&gt;='Gastos com Pessoal'!$E$7:$E$506)*(BD$3&lt;='Gastos com Pessoal'!$F$7:$F$506)*OFFSET('Encargos e Benefícios'!$D$5,1,MATCH($B50,'Encargos e Benefícios'!$E$5:$AB$5,0),500,1)),0)+_xlfn.IFNA(SUM((BD$3&gt;='Gastos com Pessoal'!$E$513:$E$522)*(BD$3&lt;='Gastos com Pessoal'!$F$513:$F$522)*OFFSET('Encargos e Benefícios'!$D$511,1,MATCH($B50,'Encargos e Benefícios'!$E$511:$AB$511,0),10,1)),0)+_xlfn.IFNA(SUM((BD$3&gt;='Gastos com Pessoal'!$E$7:$E$506)*(BD$3&lt;='Gastos com Pessoal'!$F$7:$F$506)*(IF('Gastos com Pessoal'!$G$7:$G$506&lt;=BD$3,1,0))*OFFSET('Gastos com Pessoal'!$H$6,1,MATCH(1&amp;$B50,'Gastos com Pessoal'!$I$532:$AJ$532&amp;'Gastos com Pessoal'!$I$6:$AJ$6,0),500,1)),0)+_xlfn.IFNA(SUM((BD$3&gt;='Gastos com Pessoal'!$E$7:$E$506)*(BD$3&lt;='Gastos com Pessoal'!$F$7:$F$506)*(IF('Gastos com Pessoal'!$M$7:$M$506&lt;=BD$3,1,0))*OFFSET('Gastos com Pessoal'!$H$6,1,MATCH(2&amp;$B50,'Gastos com Pessoal'!$I$532:$AJ$532&amp;'Gastos com Pessoal'!$I$6:$AJ$6,0),500,1)),0)+_xlfn.IFNA(SUM((BD$3&gt;='Gastos com Pessoal'!$E$7:$E$506)*(BD$3&lt;='Gastos com Pessoal'!$F$7:$F$506)*(IF('Gastos com Pessoal'!$S$7:$S$506&lt;=BD$3,1,0))*OFFSET('Gastos com Pessoal'!$H$6,1,MATCH(3&amp;$B50,'Gastos com Pessoal'!$I$532:$AJ$532&amp;'Gastos com Pessoal'!$I$6:$AJ$6,0),500,1)),0)+_xlfn.IFNA(SUM((BD$3&gt;='Gastos com Pessoal'!$E$7:$E$506)*(BD$3&lt;='Gastos com Pessoal'!$F$7:$F$506)*(IF('Gastos com Pessoal'!$Y$7:$Y$506&lt;=BD$3,1,0))*OFFSET('Gastos com Pessoal'!$H$6,1,MATCH(4&amp;$B50,'Gastos com Pessoal'!$I$532:$AJ$532&amp;'Gastos com Pessoal'!$I$6:$AJ$6,0),500,1)),0)+_xlfn.IFNA(SUM((BD$3&gt;='Gastos com Pessoal'!$E$7:$E$506)*(BD$3&lt;='Gastos com Pessoal'!$F$7:$F$506)*(IF('Gastos com Pessoal'!$AE$7:$AE$506&lt;=BD$3,1,0))*OFFSET('Gastos com Pessoal'!$H$6,1,MATCH(5&amp;$B50,'Gastos com Pessoal'!$I$532:$AJ$532&amp;'Gastos com Pessoal'!$I$6:$AJ$6,0),500,1)),0)+_xlfn.IFNA(SUM((BD$3&gt;='Gastos com Pessoal'!$E$513:$E$522)*(BD$3&lt;='Gastos com Pessoal'!$F$513:$F$522)*(IF('Gastos com Pessoal'!$G$513:$G$522&lt;=BD$3,1,0))*OFFSET('Gastos com Pessoal'!$H$512,1,MATCH(1&amp;$B50,'Gastos com Pessoal'!$I$532:$AJ$532&amp;'Gastos com Pessoal'!$I$512:$AJ$512,0),10,1)),0)+_xlfn.IFNA(SUM((BD$3&gt;='Gastos com Pessoal'!$E$513:$E$522)*(BD$3&lt;='Gastos com Pessoal'!$F$513:$F$522)*(IF('Gastos com Pessoal'!$M$513:$M$522&lt;=BD$3,1,0))*OFFSET('Gastos com Pessoal'!$H$512,1,MATCH(2&amp;$B50,'Gastos com Pessoal'!$I$532:$AJ$532&amp;'Gastos com Pessoal'!$I$512:$AJ$512,0),10,1)),0)+_xlfn.IFNA(SUM((BD$3&gt;='Gastos com Pessoal'!$E$513:$E$522)*(BD$3&lt;='Gastos com Pessoal'!$F$513:$F$522)*(IF('Gastos com Pessoal'!$S$513:$S$522&lt;=BD$3,1,0))*OFFSET('Gastos com Pessoal'!$H$512,1,MATCH(3&amp;$B50,'Gastos com Pessoal'!$I$532:$AJ$532&amp;'Gastos com Pessoal'!$I$512:$AJ$512,0),10,1)),0)+_xlfn.IFNA(SUM((BD$3&gt;='Gastos com Pessoal'!$E$513:$E$522)*(BD$3&lt;='Gastos com Pessoal'!$F$513:$F$522)*(IF('Gastos com Pessoal'!$Y$513:$Y$522&lt;=BD$3,1,0))*OFFSET('Gastos com Pessoal'!$H$512,1,MATCH(4&amp;$B50,'Gastos com Pessoal'!$I$532:$AJ$532&amp;'Gastos com Pessoal'!$I$512:$AJ$512,0),10,1)),0)+_xlfn.IFNA(SUM((BD$3&gt;='Gastos com Pessoal'!$E$513:$E$522)*(BD$3&lt;='Gastos com Pessoal'!$F$513:$F$522)*(IF('Gastos com Pessoal'!$AE$513:$AE$522&lt;=BD$3,1,0))*OFFSET('Gastos com Pessoal'!$H$512,1,MATCH(5&amp;$B50,'Gastos com Pessoal'!$I$532:$AJ$532&amp;'Gastos com Pessoal'!$I$512:$AJ$512,0),10,1)),0)</f>
        <v>0</v>
      </c>
      <c r="BE50" s="188">
        <f t="array" aca="1" ref="BE50" ca="1">_xlfn.IFNA(SUM((BE$3&gt;='Gastos com Pessoal'!$E$7:$E$506)*(BE$3&lt;='Gastos com Pessoal'!$F$7:$F$506)*OFFSET('Encargos e Benefícios'!$D$5,1,MATCH($B50,'Encargos e Benefícios'!$E$5:$AB$5,0),500,1)),0)+_xlfn.IFNA(SUM((BE$3&gt;='Gastos com Pessoal'!$E$513:$E$522)*(BE$3&lt;='Gastos com Pessoal'!$F$513:$F$522)*OFFSET('Encargos e Benefícios'!$D$511,1,MATCH($B50,'Encargos e Benefícios'!$E$511:$AB$511,0),10,1)),0)+_xlfn.IFNA(SUM((BE$3&gt;='Gastos com Pessoal'!$E$7:$E$506)*(BE$3&lt;='Gastos com Pessoal'!$F$7:$F$506)*(IF('Gastos com Pessoal'!$G$7:$G$506&lt;=BE$3,1,0))*OFFSET('Gastos com Pessoal'!$H$6,1,MATCH(1&amp;$B50,'Gastos com Pessoal'!$I$532:$AJ$532&amp;'Gastos com Pessoal'!$I$6:$AJ$6,0),500,1)),0)+_xlfn.IFNA(SUM((BE$3&gt;='Gastos com Pessoal'!$E$7:$E$506)*(BE$3&lt;='Gastos com Pessoal'!$F$7:$F$506)*(IF('Gastos com Pessoal'!$M$7:$M$506&lt;=BE$3,1,0))*OFFSET('Gastos com Pessoal'!$H$6,1,MATCH(2&amp;$B50,'Gastos com Pessoal'!$I$532:$AJ$532&amp;'Gastos com Pessoal'!$I$6:$AJ$6,0),500,1)),0)+_xlfn.IFNA(SUM((BE$3&gt;='Gastos com Pessoal'!$E$7:$E$506)*(BE$3&lt;='Gastos com Pessoal'!$F$7:$F$506)*(IF('Gastos com Pessoal'!$S$7:$S$506&lt;=BE$3,1,0))*OFFSET('Gastos com Pessoal'!$H$6,1,MATCH(3&amp;$B50,'Gastos com Pessoal'!$I$532:$AJ$532&amp;'Gastos com Pessoal'!$I$6:$AJ$6,0),500,1)),0)+_xlfn.IFNA(SUM((BE$3&gt;='Gastos com Pessoal'!$E$7:$E$506)*(BE$3&lt;='Gastos com Pessoal'!$F$7:$F$506)*(IF('Gastos com Pessoal'!$Y$7:$Y$506&lt;=BE$3,1,0))*OFFSET('Gastos com Pessoal'!$H$6,1,MATCH(4&amp;$B50,'Gastos com Pessoal'!$I$532:$AJ$532&amp;'Gastos com Pessoal'!$I$6:$AJ$6,0),500,1)),0)+_xlfn.IFNA(SUM((BE$3&gt;='Gastos com Pessoal'!$E$7:$E$506)*(BE$3&lt;='Gastos com Pessoal'!$F$7:$F$506)*(IF('Gastos com Pessoal'!$AE$7:$AE$506&lt;=BE$3,1,0))*OFFSET('Gastos com Pessoal'!$H$6,1,MATCH(5&amp;$B50,'Gastos com Pessoal'!$I$532:$AJ$532&amp;'Gastos com Pessoal'!$I$6:$AJ$6,0),500,1)),0)+_xlfn.IFNA(SUM((BE$3&gt;='Gastos com Pessoal'!$E$513:$E$522)*(BE$3&lt;='Gastos com Pessoal'!$F$513:$F$522)*(IF('Gastos com Pessoal'!$G$513:$G$522&lt;=BE$3,1,0))*OFFSET('Gastos com Pessoal'!$H$512,1,MATCH(1&amp;$B50,'Gastos com Pessoal'!$I$532:$AJ$532&amp;'Gastos com Pessoal'!$I$512:$AJ$512,0),10,1)),0)+_xlfn.IFNA(SUM((BE$3&gt;='Gastos com Pessoal'!$E$513:$E$522)*(BE$3&lt;='Gastos com Pessoal'!$F$513:$F$522)*(IF('Gastos com Pessoal'!$M$513:$M$522&lt;=BE$3,1,0))*OFFSET('Gastos com Pessoal'!$H$512,1,MATCH(2&amp;$B50,'Gastos com Pessoal'!$I$532:$AJ$532&amp;'Gastos com Pessoal'!$I$512:$AJ$512,0),10,1)),0)+_xlfn.IFNA(SUM((BE$3&gt;='Gastos com Pessoal'!$E$513:$E$522)*(BE$3&lt;='Gastos com Pessoal'!$F$513:$F$522)*(IF('Gastos com Pessoal'!$S$513:$S$522&lt;=BE$3,1,0))*OFFSET('Gastos com Pessoal'!$H$512,1,MATCH(3&amp;$B50,'Gastos com Pessoal'!$I$532:$AJ$532&amp;'Gastos com Pessoal'!$I$512:$AJ$512,0),10,1)),0)+_xlfn.IFNA(SUM((BE$3&gt;='Gastos com Pessoal'!$E$513:$E$522)*(BE$3&lt;='Gastos com Pessoal'!$F$513:$F$522)*(IF('Gastos com Pessoal'!$Y$513:$Y$522&lt;=BE$3,1,0))*OFFSET('Gastos com Pessoal'!$H$512,1,MATCH(4&amp;$B50,'Gastos com Pessoal'!$I$532:$AJ$532&amp;'Gastos com Pessoal'!$I$512:$AJ$512,0),10,1)),0)+_xlfn.IFNA(SUM((BE$3&gt;='Gastos com Pessoal'!$E$513:$E$522)*(BE$3&lt;='Gastos com Pessoal'!$F$513:$F$522)*(IF('Gastos com Pessoal'!$AE$513:$AE$522&lt;=BE$3,1,0))*OFFSET('Gastos com Pessoal'!$H$512,1,MATCH(5&amp;$B50,'Gastos com Pessoal'!$I$532:$AJ$532&amp;'Gastos com Pessoal'!$I$512:$AJ$512,0),10,1)),0)</f>
        <v>0</v>
      </c>
      <c r="BF50" s="188">
        <f t="array" aca="1" ref="BF50" ca="1">_xlfn.IFNA(SUM((BF$3&gt;='Gastos com Pessoal'!$E$7:$E$506)*(BF$3&lt;='Gastos com Pessoal'!$F$7:$F$506)*OFFSET('Encargos e Benefícios'!$D$5,1,MATCH($B50,'Encargos e Benefícios'!$E$5:$AB$5,0),500,1)),0)+_xlfn.IFNA(SUM((BF$3&gt;='Gastos com Pessoal'!$E$513:$E$522)*(BF$3&lt;='Gastos com Pessoal'!$F$513:$F$522)*OFFSET('Encargos e Benefícios'!$D$511,1,MATCH($B50,'Encargos e Benefícios'!$E$511:$AB$511,0),10,1)),0)+_xlfn.IFNA(SUM((BF$3&gt;='Gastos com Pessoal'!$E$7:$E$506)*(BF$3&lt;='Gastos com Pessoal'!$F$7:$F$506)*(IF('Gastos com Pessoal'!$G$7:$G$506&lt;=BF$3,1,0))*OFFSET('Gastos com Pessoal'!$H$6,1,MATCH(1&amp;$B50,'Gastos com Pessoal'!$I$532:$AJ$532&amp;'Gastos com Pessoal'!$I$6:$AJ$6,0),500,1)),0)+_xlfn.IFNA(SUM((BF$3&gt;='Gastos com Pessoal'!$E$7:$E$506)*(BF$3&lt;='Gastos com Pessoal'!$F$7:$F$506)*(IF('Gastos com Pessoal'!$M$7:$M$506&lt;=BF$3,1,0))*OFFSET('Gastos com Pessoal'!$H$6,1,MATCH(2&amp;$B50,'Gastos com Pessoal'!$I$532:$AJ$532&amp;'Gastos com Pessoal'!$I$6:$AJ$6,0),500,1)),0)+_xlfn.IFNA(SUM((BF$3&gt;='Gastos com Pessoal'!$E$7:$E$506)*(BF$3&lt;='Gastos com Pessoal'!$F$7:$F$506)*(IF('Gastos com Pessoal'!$S$7:$S$506&lt;=BF$3,1,0))*OFFSET('Gastos com Pessoal'!$H$6,1,MATCH(3&amp;$B50,'Gastos com Pessoal'!$I$532:$AJ$532&amp;'Gastos com Pessoal'!$I$6:$AJ$6,0),500,1)),0)+_xlfn.IFNA(SUM((BF$3&gt;='Gastos com Pessoal'!$E$7:$E$506)*(BF$3&lt;='Gastos com Pessoal'!$F$7:$F$506)*(IF('Gastos com Pessoal'!$Y$7:$Y$506&lt;=BF$3,1,0))*OFFSET('Gastos com Pessoal'!$H$6,1,MATCH(4&amp;$B50,'Gastos com Pessoal'!$I$532:$AJ$532&amp;'Gastos com Pessoal'!$I$6:$AJ$6,0),500,1)),0)+_xlfn.IFNA(SUM((BF$3&gt;='Gastos com Pessoal'!$E$7:$E$506)*(BF$3&lt;='Gastos com Pessoal'!$F$7:$F$506)*(IF('Gastos com Pessoal'!$AE$7:$AE$506&lt;=BF$3,1,0))*OFFSET('Gastos com Pessoal'!$H$6,1,MATCH(5&amp;$B50,'Gastos com Pessoal'!$I$532:$AJ$532&amp;'Gastos com Pessoal'!$I$6:$AJ$6,0),500,1)),0)+_xlfn.IFNA(SUM((BF$3&gt;='Gastos com Pessoal'!$E$513:$E$522)*(BF$3&lt;='Gastos com Pessoal'!$F$513:$F$522)*(IF('Gastos com Pessoal'!$G$513:$G$522&lt;=BF$3,1,0))*OFFSET('Gastos com Pessoal'!$H$512,1,MATCH(1&amp;$B50,'Gastos com Pessoal'!$I$532:$AJ$532&amp;'Gastos com Pessoal'!$I$512:$AJ$512,0),10,1)),0)+_xlfn.IFNA(SUM((BF$3&gt;='Gastos com Pessoal'!$E$513:$E$522)*(BF$3&lt;='Gastos com Pessoal'!$F$513:$F$522)*(IF('Gastos com Pessoal'!$M$513:$M$522&lt;=BF$3,1,0))*OFFSET('Gastos com Pessoal'!$H$512,1,MATCH(2&amp;$B50,'Gastos com Pessoal'!$I$532:$AJ$532&amp;'Gastos com Pessoal'!$I$512:$AJ$512,0),10,1)),0)+_xlfn.IFNA(SUM((BF$3&gt;='Gastos com Pessoal'!$E$513:$E$522)*(BF$3&lt;='Gastos com Pessoal'!$F$513:$F$522)*(IF('Gastos com Pessoal'!$S$513:$S$522&lt;=BF$3,1,0))*OFFSET('Gastos com Pessoal'!$H$512,1,MATCH(3&amp;$B50,'Gastos com Pessoal'!$I$532:$AJ$532&amp;'Gastos com Pessoal'!$I$512:$AJ$512,0),10,1)),0)+_xlfn.IFNA(SUM((BF$3&gt;='Gastos com Pessoal'!$E$513:$E$522)*(BF$3&lt;='Gastos com Pessoal'!$F$513:$F$522)*(IF('Gastos com Pessoal'!$Y$513:$Y$522&lt;=BF$3,1,0))*OFFSET('Gastos com Pessoal'!$H$512,1,MATCH(4&amp;$B50,'Gastos com Pessoal'!$I$532:$AJ$532&amp;'Gastos com Pessoal'!$I$512:$AJ$512,0),10,1)),0)+_xlfn.IFNA(SUM((BF$3&gt;='Gastos com Pessoal'!$E$513:$E$522)*(BF$3&lt;='Gastos com Pessoal'!$F$513:$F$522)*(IF('Gastos com Pessoal'!$AE$513:$AE$522&lt;=BF$3,1,0))*OFFSET('Gastos com Pessoal'!$H$512,1,MATCH(5&amp;$B50,'Gastos com Pessoal'!$I$532:$AJ$532&amp;'Gastos com Pessoal'!$I$512:$AJ$512,0),10,1)),0)</f>
        <v>0</v>
      </c>
      <c r="BG50" s="188">
        <f t="array" aca="1" ref="BG50" ca="1">_xlfn.IFNA(SUM((BG$3&gt;='Gastos com Pessoal'!$E$7:$E$506)*(BG$3&lt;='Gastos com Pessoal'!$F$7:$F$506)*OFFSET('Encargos e Benefícios'!$D$5,1,MATCH($B50,'Encargos e Benefícios'!$E$5:$AB$5,0),500,1)),0)+_xlfn.IFNA(SUM((BG$3&gt;='Gastos com Pessoal'!$E$513:$E$522)*(BG$3&lt;='Gastos com Pessoal'!$F$513:$F$522)*OFFSET('Encargos e Benefícios'!$D$511,1,MATCH($B50,'Encargos e Benefícios'!$E$511:$AB$511,0),10,1)),0)+_xlfn.IFNA(SUM((BG$3&gt;='Gastos com Pessoal'!$E$7:$E$506)*(BG$3&lt;='Gastos com Pessoal'!$F$7:$F$506)*(IF('Gastos com Pessoal'!$G$7:$G$506&lt;=BG$3,1,0))*OFFSET('Gastos com Pessoal'!$H$6,1,MATCH(1&amp;$B50,'Gastos com Pessoal'!$I$532:$AJ$532&amp;'Gastos com Pessoal'!$I$6:$AJ$6,0),500,1)),0)+_xlfn.IFNA(SUM((BG$3&gt;='Gastos com Pessoal'!$E$7:$E$506)*(BG$3&lt;='Gastos com Pessoal'!$F$7:$F$506)*(IF('Gastos com Pessoal'!$M$7:$M$506&lt;=BG$3,1,0))*OFFSET('Gastos com Pessoal'!$H$6,1,MATCH(2&amp;$B50,'Gastos com Pessoal'!$I$532:$AJ$532&amp;'Gastos com Pessoal'!$I$6:$AJ$6,0),500,1)),0)+_xlfn.IFNA(SUM((BG$3&gt;='Gastos com Pessoal'!$E$7:$E$506)*(BG$3&lt;='Gastos com Pessoal'!$F$7:$F$506)*(IF('Gastos com Pessoal'!$S$7:$S$506&lt;=BG$3,1,0))*OFFSET('Gastos com Pessoal'!$H$6,1,MATCH(3&amp;$B50,'Gastos com Pessoal'!$I$532:$AJ$532&amp;'Gastos com Pessoal'!$I$6:$AJ$6,0),500,1)),0)+_xlfn.IFNA(SUM((BG$3&gt;='Gastos com Pessoal'!$E$7:$E$506)*(BG$3&lt;='Gastos com Pessoal'!$F$7:$F$506)*(IF('Gastos com Pessoal'!$Y$7:$Y$506&lt;=BG$3,1,0))*OFFSET('Gastos com Pessoal'!$H$6,1,MATCH(4&amp;$B50,'Gastos com Pessoal'!$I$532:$AJ$532&amp;'Gastos com Pessoal'!$I$6:$AJ$6,0),500,1)),0)+_xlfn.IFNA(SUM((BG$3&gt;='Gastos com Pessoal'!$E$7:$E$506)*(BG$3&lt;='Gastos com Pessoal'!$F$7:$F$506)*(IF('Gastos com Pessoal'!$AE$7:$AE$506&lt;=BG$3,1,0))*OFFSET('Gastos com Pessoal'!$H$6,1,MATCH(5&amp;$B50,'Gastos com Pessoal'!$I$532:$AJ$532&amp;'Gastos com Pessoal'!$I$6:$AJ$6,0),500,1)),0)+_xlfn.IFNA(SUM((BG$3&gt;='Gastos com Pessoal'!$E$513:$E$522)*(BG$3&lt;='Gastos com Pessoal'!$F$513:$F$522)*(IF('Gastos com Pessoal'!$G$513:$G$522&lt;=BG$3,1,0))*OFFSET('Gastos com Pessoal'!$H$512,1,MATCH(1&amp;$B50,'Gastos com Pessoal'!$I$532:$AJ$532&amp;'Gastos com Pessoal'!$I$512:$AJ$512,0),10,1)),0)+_xlfn.IFNA(SUM((BG$3&gt;='Gastos com Pessoal'!$E$513:$E$522)*(BG$3&lt;='Gastos com Pessoal'!$F$513:$F$522)*(IF('Gastos com Pessoal'!$M$513:$M$522&lt;=BG$3,1,0))*OFFSET('Gastos com Pessoal'!$H$512,1,MATCH(2&amp;$B50,'Gastos com Pessoal'!$I$532:$AJ$532&amp;'Gastos com Pessoal'!$I$512:$AJ$512,0),10,1)),0)+_xlfn.IFNA(SUM((BG$3&gt;='Gastos com Pessoal'!$E$513:$E$522)*(BG$3&lt;='Gastos com Pessoal'!$F$513:$F$522)*(IF('Gastos com Pessoal'!$S$513:$S$522&lt;=BG$3,1,0))*OFFSET('Gastos com Pessoal'!$H$512,1,MATCH(3&amp;$B50,'Gastos com Pessoal'!$I$532:$AJ$532&amp;'Gastos com Pessoal'!$I$512:$AJ$512,0),10,1)),0)+_xlfn.IFNA(SUM((BG$3&gt;='Gastos com Pessoal'!$E$513:$E$522)*(BG$3&lt;='Gastos com Pessoal'!$F$513:$F$522)*(IF('Gastos com Pessoal'!$Y$513:$Y$522&lt;=BG$3,1,0))*OFFSET('Gastos com Pessoal'!$H$512,1,MATCH(4&amp;$B50,'Gastos com Pessoal'!$I$532:$AJ$532&amp;'Gastos com Pessoal'!$I$512:$AJ$512,0),10,1)),0)+_xlfn.IFNA(SUM((BG$3&gt;='Gastos com Pessoal'!$E$513:$E$522)*(BG$3&lt;='Gastos com Pessoal'!$F$513:$F$522)*(IF('Gastos com Pessoal'!$AE$513:$AE$522&lt;=BG$3,1,0))*OFFSET('Gastos com Pessoal'!$H$512,1,MATCH(5&amp;$B50,'Gastos com Pessoal'!$I$532:$AJ$532&amp;'Gastos com Pessoal'!$I$512:$AJ$512,0),10,1)),0)</f>
        <v>0</v>
      </c>
      <c r="BH50" s="188">
        <f t="array" aca="1" ref="BH50" ca="1">_xlfn.IFNA(SUM((BH$3&gt;='Gastos com Pessoal'!$E$7:$E$506)*(BH$3&lt;='Gastos com Pessoal'!$F$7:$F$506)*OFFSET('Encargos e Benefícios'!$D$5,1,MATCH($B50,'Encargos e Benefícios'!$E$5:$AB$5,0),500,1)),0)+_xlfn.IFNA(SUM((BH$3&gt;='Gastos com Pessoal'!$E$513:$E$522)*(BH$3&lt;='Gastos com Pessoal'!$F$513:$F$522)*OFFSET('Encargos e Benefícios'!$D$511,1,MATCH($B50,'Encargos e Benefícios'!$E$511:$AB$511,0),10,1)),0)+_xlfn.IFNA(SUM((BH$3&gt;='Gastos com Pessoal'!$E$7:$E$506)*(BH$3&lt;='Gastos com Pessoal'!$F$7:$F$506)*(IF('Gastos com Pessoal'!$G$7:$G$506&lt;=BH$3,1,0))*OFFSET('Gastos com Pessoal'!$H$6,1,MATCH(1&amp;$B50,'Gastos com Pessoal'!$I$532:$AJ$532&amp;'Gastos com Pessoal'!$I$6:$AJ$6,0),500,1)),0)+_xlfn.IFNA(SUM((BH$3&gt;='Gastos com Pessoal'!$E$7:$E$506)*(BH$3&lt;='Gastos com Pessoal'!$F$7:$F$506)*(IF('Gastos com Pessoal'!$M$7:$M$506&lt;=BH$3,1,0))*OFFSET('Gastos com Pessoal'!$H$6,1,MATCH(2&amp;$B50,'Gastos com Pessoal'!$I$532:$AJ$532&amp;'Gastos com Pessoal'!$I$6:$AJ$6,0),500,1)),0)+_xlfn.IFNA(SUM((BH$3&gt;='Gastos com Pessoal'!$E$7:$E$506)*(BH$3&lt;='Gastos com Pessoal'!$F$7:$F$506)*(IF('Gastos com Pessoal'!$S$7:$S$506&lt;=BH$3,1,0))*OFFSET('Gastos com Pessoal'!$H$6,1,MATCH(3&amp;$B50,'Gastos com Pessoal'!$I$532:$AJ$532&amp;'Gastos com Pessoal'!$I$6:$AJ$6,0),500,1)),0)+_xlfn.IFNA(SUM((BH$3&gt;='Gastos com Pessoal'!$E$7:$E$506)*(BH$3&lt;='Gastos com Pessoal'!$F$7:$F$506)*(IF('Gastos com Pessoal'!$Y$7:$Y$506&lt;=BH$3,1,0))*OFFSET('Gastos com Pessoal'!$H$6,1,MATCH(4&amp;$B50,'Gastos com Pessoal'!$I$532:$AJ$532&amp;'Gastos com Pessoal'!$I$6:$AJ$6,0),500,1)),0)+_xlfn.IFNA(SUM((BH$3&gt;='Gastos com Pessoal'!$E$7:$E$506)*(BH$3&lt;='Gastos com Pessoal'!$F$7:$F$506)*(IF('Gastos com Pessoal'!$AE$7:$AE$506&lt;=BH$3,1,0))*OFFSET('Gastos com Pessoal'!$H$6,1,MATCH(5&amp;$B50,'Gastos com Pessoal'!$I$532:$AJ$532&amp;'Gastos com Pessoal'!$I$6:$AJ$6,0),500,1)),0)+_xlfn.IFNA(SUM((BH$3&gt;='Gastos com Pessoal'!$E$513:$E$522)*(BH$3&lt;='Gastos com Pessoal'!$F$513:$F$522)*(IF('Gastos com Pessoal'!$G$513:$G$522&lt;=BH$3,1,0))*OFFSET('Gastos com Pessoal'!$H$512,1,MATCH(1&amp;$B50,'Gastos com Pessoal'!$I$532:$AJ$532&amp;'Gastos com Pessoal'!$I$512:$AJ$512,0),10,1)),0)+_xlfn.IFNA(SUM((BH$3&gt;='Gastos com Pessoal'!$E$513:$E$522)*(BH$3&lt;='Gastos com Pessoal'!$F$513:$F$522)*(IF('Gastos com Pessoal'!$M$513:$M$522&lt;=BH$3,1,0))*OFFSET('Gastos com Pessoal'!$H$512,1,MATCH(2&amp;$B50,'Gastos com Pessoal'!$I$532:$AJ$532&amp;'Gastos com Pessoal'!$I$512:$AJ$512,0),10,1)),0)+_xlfn.IFNA(SUM((BH$3&gt;='Gastos com Pessoal'!$E$513:$E$522)*(BH$3&lt;='Gastos com Pessoal'!$F$513:$F$522)*(IF('Gastos com Pessoal'!$S$513:$S$522&lt;=BH$3,1,0))*OFFSET('Gastos com Pessoal'!$H$512,1,MATCH(3&amp;$B50,'Gastos com Pessoal'!$I$532:$AJ$532&amp;'Gastos com Pessoal'!$I$512:$AJ$512,0),10,1)),0)+_xlfn.IFNA(SUM((BH$3&gt;='Gastos com Pessoal'!$E$513:$E$522)*(BH$3&lt;='Gastos com Pessoal'!$F$513:$F$522)*(IF('Gastos com Pessoal'!$Y$513:$Y$522&lt;=BH$3,1,0))*OFFSET('Gastos com Pessoal'!$H$512,1,MATCH(4&amp;$B50,'Gastos com Pessoal'!$I$532:$AJ$532&amp;'Gastos com Pessoal'!$I$512:$AJ$512,0),10,1)),0)+_xlfn.IFNA(SUM((BH$3&gt;='Gastos com Pessoal'!$E$513:$E$522)*(BH$3&lt;='Gastos com Pessoal'!$F$513:$F$522)*(IF('Gastos com Pessoal'!$AE$513:$AE$522&lt;=BH$3,1,0))*OFFSET('Gastos com Pessoal'!$H$512,1,MATCH(5&amp;$B50,'Gastos com Pessoal'!$I$532:$AJ$532&amp;'Gastos com Pessoal'!$I$512:$AJ$512,0),10,1)),0)</f>
        <v>0</v>
      </c>
      <c r="BI50" s="188">
        <f t="array" aca="1" ref="BI50" ca="1">_xlfn.IFNA(SUM((BI$3&gt;='Gastos com Pessoal'!$E$7:$E$506)*(BI$3&lt;='Gastos com Pessoal'!$F$7:$F$506)*OFFSET('Encargos e Benefícios'!$D$5,1,MATCH($B50,'Encargos e Benefícios'!$E$5:$AB$5,0),500,1)),0)+_xlfn.IFNA(SUM((BI$3&gt;='Gastos com Pessoal'!$E$513:$E$522)*(BI$3&lt;='Gastos com Pessoal'!$F$513:$F$522)*OFFSET('Encargos e Benefícios'!$D$511,1,MATCH($B50,'Encargos e Benefícios'!$E$511:$AB$511,0),10,1)),0)+_xlfn.IFNA(SUM((BI$3&gt;='Gastos com Pessoal'!$E$7:$E$506)*(BI$3&lt;='Gastos com Pessoal'!$F$7:$F$506)*(IF('Gastos com Pessoal'!$G$7:$G$506&lt;=BI$3,1,0))*OFFSET('Gastos com Pessoal'!$H$6,1,MATCH(1&amp;$B50,'Gastos com Pessoal'!$I$532:$AJ$532&amp;'Gastos com Pessoal'!$I$6:$AJ$6,0),500,1)),0)+_xlfn.IFNA(SUM((BI$3&gt;='Gastos com Pessoal'!$E$7:$E$506)*(BI$3&lt;='Gastos com Pessoal'!$F$7:$F$506)*(IF('Gastos com Pessoal'!$M$7:$M$506&lt;=BI$3,1,0))*OFFSET('Gastos com Pessoal'!$H$6,1,MATCH(2&amp;$B50,'Gastos com Pessoal'!$I$532:$AJ$532&amp;'Gastos com Pessoal'!$I$6:$AJ$6,0),500,1)),0)+_xlfn.IFNA(SUM((BI$3&gt;='Gastos com Pessoal'!$E$7:$E$506)*(BI$3&lt;='Gastos com Pessoal'!$F$7:$F$506)*(IF('Gastos com Pessoal'!$S$7:$S$506&lt;=BI$3,1,0))*OFFSET('Gastos com Pessoal'!$H$6,1,MATCH(3&amp;$B50,'Gastos com Pessoal'!$I$532:$AJ$532&amp;'Gastos com Pessoal'!$I$6:$AJ$6,0),500,1)),0)+_xlfn.IFNA(SUM((BI$3&gt;='Gastos com Pessoal'!$E$7:$E$506)*(BI$3&lt;='Gastos com Pessoal'!$F$7:$F$506)*(IF('Gastos com Pessoal'!$Y$7:$Y$506&lt;=BI$3,1,0))*OFFSET('Gastos com Pessoal'!$H$6,1,MATCH(4&amp;$B50,'Gastos com Pessoal'!$I$532:$AJ$532&amp;'Gastos com Pessoal'!$I$6:$AJ$6,0),500,1)),0)+_xlfn.IFNA(SUM((BI$3&gt;='Gastos com Pessoal'!$E$7:$E$506)*(BI$3&lt;='Gastos com Pessoal'!$F$7:$F$506)*(IF('Gastos com Pessoal'!$AE$7:$AE$506&lt;=BI$3,1,0))*OFFSET('Gastos com Pessoal'!$H$6,1,MATCH(5&amp;$B50,'Gastos com Pessoal'!$I$532:$AJ$532&amp;'Gastos com Pessoal'!$I$6:$AJ$6,0),500,1)),0)+_xlfn.IFNA(SUM((BI$3&gt;='Gastos com Pessoal'!$E$513:$E$522)*(BI$3&lt;='Gastos com Pessoal'!$F$513:$F$522)*(IF('Gastos com Pessoal'!$G$513:$G$522&lt;=BI$3,1,0))*OFFSET('Gastos com Pessoal'!$H$512,1,MATCH(1&amp;$B50,'Gastos com Pessoal'!$I$532:$AJ$532&amp;'Gastos com Pessoal'!$I$512:$AJ$512,0),10,1)),0)+_xlfn.IFNA(SUM((BI$3&gt;='Gastos com Pessoal'!$E$513:$E$522)*(BI$3&lt;='Gastos com Pessoal'!$F$513:$F$522)*(IF('Gastos com Pessoal'!$M$513:$M$522&lt;=BI$3,1,0))*OFFSET('Gastos com Pessoal'!$H$512,1,MATCH(2&amp;$B50,'Gastos com Pessoal'!$I$532:$AJ$532&amp;'Gastos com Pessoal'!$I$512:$AJ$512,0),10,1)),0)+_xlfn.IFNA(SUM((BI$3&gt;='Gastos com Pessoal'!$E$513:$E$522)*(BI$3&lt;='Gastos com Pessoal'!$F$513:$F$522)*(IF('Gastos com Pessoal'!$S$513:$S$522&lt;=BI$3,1,0))*OFFSET('Gastos com Pessoal'!$H$512,1,MATCH(3&amp;$B50,'Gastos com Pessoal'!$I$532:$AJ$532&amp;'Gastos com Pessoal'!$I$512:$AJ$512,0),10,1)),0)+_xlfn.IFNA(SUM((BI$3&gt;='Gastos com Pessoal'!$E$513:$E$522)*(BI$3&lt;='Gastos com Pessoal'!$F$513:$F$522)*(IF('Gastos com Pessoal'!$Y$513:$Y$522&lt;=BI$3,1,0))*OFFSET('Gastos com Pessoal'!$H$512,1,MATCH(4&amp;$B50,'Gastos com Pessoal'!$I$532:$AJ$532&amp;'Gastos com Pessoal'!$I$512:$AJ$512,0),10,1)),0)+_xlfn.IFNA(SUM((BI$3&gt;='Gastos com Pessoal'!$E$513:$E$522)*(BI$3&lt;='Gastos com Pessoal'!$F$513:$F$522)*(IF('Gastos com Pessoal'!$AE$513:$AE$522&lt;=BI$3,1,0))*OFFSET('Gastos com Pessoal'!$H$512,1,MATCH(5&amp;$B50,'Gastos com Pessoal'!$I$532:$AJ$532&amp;'Gastos com Pessoal'!$I$512:$AJ$512,0),10,1)),0)</f>
        <v>0</v>
      </c>
      <c r="BJ50" s="188">
        <f t="array" aca="1" ref="BJ50" ca="1">_xlfn.IFNA(SUM((BJ$3&gt;='Gastos com Pessoal'!$E$7:$E$506)*(BJ$3&lt;='Gastos com Pessoal'!$F$7:$F$506)*OFFSET('Encargos e Benefícios'!$D$5,1,MATCH($B50,'Encargos e Benefícios'!$E$5:$AB$5,0),500,1)),0)+_xlfn.IFNA(SUM((BJ$3&gt;='Gastos com Pessoal'!$E$513:$E$522)*(BJ$3&lt;='Gastos com Pessoal'!$F$513:$F$522)*OFFSET('Encargos e Benefícios'!$D$511,1,MATCH($B50,'Encargos e Benefícios'!$E$511:$AB$511,0),10,1)),0)+_xlfn.IFNA(SUM((BJ$3&gt;='Gastos com Pessoal'!$E$7:$E$506)*(BJ$3&lt;='Gastos com Pessoal'!$F$7:$F$506)*(IF('Gastos com Pessoal'!$G$7:$G$506&lt;=BJ$3,1,0))*OFFSET('Gastos com Pessoal'!$H$6,1,MATCH(1&amp;$B50,'Gastos com Pessoal'!$I$532:$AJ$532&amp;'Gastos com Pessoal'!$I$6:$AJ$6,0),500,1)),0)+_xlfn.IFNA(SUM((BJ$3&gt;='Gastos com Pessoal'!$E$7:$E$506)*(BJ$3&lt;='Gastos com Pessoal'!$F$7:$F$506)*(IF('Gastos com Pessoal'!$M$7:$M$506&lt;=BJ$3,1,0))*OFFSET('Gastos com Pessoal'!$H$6,1,MATCH(2&amp;$B50,'Gastos com Pessoal'!$I$532:$AJ$532&amp;'Gastos com Pessoal'!$I$6:$AJ$6,0),500,1)),0)+_xlfn.IFNA(SUM((BJ$3&gt;='Gastos com Pessoal'!$E$7:$E$506)*(BJ$3&lt;='Gastos com Pessoal'!$F$7:$F$506)*(IF('Gastos com Pessoal'!$S$7:$S$506&lt;=BJ$3,1,0))*OFFSET('Gastos com Pessoal'!$H$6,1,MATCH(3&amp;$B50,'Gastos com Pessoal'!$I$532:$AJ$532&amp;'Gastos com Pessoal'!$I$6:$AJ$6,0),500,1)),0)+_xlfn.IFNA(SUM((BJ$3&gt;='Gastos com Pessoal'!$E$7:$E$506)*(BJ$3&lt;='Gastos com Pessoal'!$F$7:$F$506)*(IF('Gastos com Pessoal'!$Y$7:$Y$506&lt;=BJ$3,1,0))*OFFSET('Gastos com Pessoal'!$H$6,1,MATCH(4&amp;$B50,'Gastos com Pessoal'!$I$532:$AJ$532&amp;'Gastos com Pessoal'!$I$6:$AJ$6,0),500,1)),0)+_xlfn.IFNA(SUM((BJ$3&gt;='Gastos com Pessoal'!$E$7:$E$506)*(BJ$3&lt;='Gastos com Pessoal'!$F$7:$F$506)*(IF('Gastos com Pessoal'!$AE$7:$AE$506&lt;=BJ$3,1,0))*OFFSET('Gastos com Pessoal'!$H$6,1,MATCH(5&amp;$B50,'Gastos com Pessoal'!$I$532:$AJ$532&amp;'Gastos com Pessoal'!$I$6:$AJ$6,0),500,1)),0)+_xlfn.IFNA(SUM((BJ$3&gt;='Gastos com Pessoal'!$E$513:$E$522)*(BJ$3&lt;='Gastos com Pessoal'!$F$513:$F$522)*(IF('Gastos com Pessoal'!$G$513:$G$522&lt;=BJ$3,1,0))*OFFSET('Gastos com Pessoal'!$H$512,1,MATCH(1&amp;$B50,'Gastos com Pessoal'!$I$532:$AJ$532&amp;'Gastos com Pessoal'!$I$512:$AJ$512,0),10,1)),0)+_xlfn.IFNA(SUM((BJ$3&gt;='Gastos com Pessoal'!$E$513:$E$522)*(BJ$3&lt;='Gastos com Pessoal'!$F$513:$F$522)*(IF('Gastos com Pessoal'!$M$513:$M$522&lt;=BJ$3,1,0))*OFFSET('Gastos com Pessoal'!$H$512,1,MATCH(2&amp;$B50,'Gastos com Pessoal'!$I$532:$AJ$532&amp;'Gastos com Pessoal'!$I$512:$AJ$512,0),10,1)),0)+_xlfn.IFNA(SUM((BJ$3&gt;='Gastos com Pessoal'!$E$513:$E$522)*(BJ$3&lt;='Gastos com Pessoal'!$F$513:$F$522)*(IF('Gastos com Pessoal'!$S$513:$S$522&lt;=BJ$3,1,0))*OFFSET('Gastos com Pessoal'!$H$512,1,MATCH(3&amp;$B50,'Gastos com Pessoal'!$I$532:$AJ$532&amp;'Gastos com Pessoal'!$I$512:$AJ$512,0),10,1)),0)+_xlfn.IFNA(SUM((BJ$3&gt;='Gastos com Pessoal'!$E$513:$E$522)*(BJ$3&lt;='Gastos com Pessoal'!$F$513:$F$522)*(IF('Gastos com Pessoal'!$Y$513:$Y$522&lt;=BJ$3,1,0))*OFFSET('Gastos com Pessoal'!$H$512,1,MATCH(4&amp;$B50,'Gastos com Pessoal'!$I$532:$AJ$532&amp;'Gastos com Pessoal'!$I$512:$AJ$512,0),10,1)),0)+_xlfn.IFNA(SUM((BJ$3&gt;='Gastos com Pessoal'!$E$513:$E$522)*(BJ$3&lt;='Gastos com Pessoal'!$F$513:$F$522)*(IF('Gastos com Pessoal'!$AE$513:$AE$522&lt;=BJ$3,1,0))*OFFSET('Gastos com Pessoal'!$H$512,1,MATCH(5&amp;$B50,'Gastos com Pessoal'!$I$532:$AJ$532&amp;'Gastos com Pessoal'!$I$512:$AJ$512,0),10,1)),0)</f>
        <v>0</v>
      </c>
      <c r="BK50" s="189">
        <f t="shared" ca="1" si="18"/>
        <v>921553.27000000118</v>
      </c>
      <c r="BL50" s="136">
        <f t="shared" ca="1" si="19"/>
        <v>3.1729061662642147E-3</v>
      </c>
    </row>
    <row r="51" spans="1:64" s="160" customFormat="1" ht="23.25" customHeight="1">
      <c r="A51" s="80" t="s">
        <v>184</v>
      </c>
      <c r="B51" s="81" t="s">
        <v>185</v>
      </c>
      <c r="C51" s="188">
        <f t="array" aca="1" ref="C51" ca="1">_xlfn.IFNA(SUM((C$3&gt;='Gastos com Pessoal'!$E$7:$E$506)*(C$3&lt;='Gastos com Pessoal'!$F$7:$F$506)*OFFSET('Encargos e Benefícios'!$D$5,1,MATCH($B51,'Encargos e Benefícios'!$E$5:$AB$5,0),500,1)),0)+_xlfn.IFNA(SUM((C$3&gt;='Gastos com Pessoal'!$E$513:$E$522)*(C$3&lt;='Gastos com Pessoal'!$F$513:$F$522)*OFFSET('Encargos e Benefícios'!$D$511,1,MATCH($B51,'Encargos e Benefícios'!$E$511:$AB$511,0),10,1)),0)+_xlfn.IFNA(SUM((C$3&gt;='Gastos com Pessoal'!$E$7:$E$506)*(C$3&lt;='Gastos com Pessoal'!$F$7:$F$506)*(IF('Gastos com Pessoal'!$G$7:$G$506&lt;=C$3,1,0))*OFFSET('Gastos com Pessoal'!$H$6,1,MATCH(1&amp;$B51,'Gastos com Pessoal'!$I$532:$AJ$532&amp;'Gastos com Pessoal'!$I$6:$AJ$6,0),500,1)),0)+_xlfn.IFNA(SUM((C$3&gt;='Gastos com Pessoal'!$E$7:$E$506)*(C$3&lt;='Gastos com Pessoal'!$F$7:$F$506)*(IF('Gastos com Pessoal'!$M$7:$M$506&lt;=C$3,1,0))*OFFSET('Gastos com Pessoal'!$H$6,1,MATCH(2&amp;$B51,'Gastos com Pessoal'!$I$532:$AJ$532&amp;'Gastos com Pessoal'!$I$6:$AJ$6,0),500,1)),0)+_xlfn.IFNA(SUM((C$3&gt;='Gastos com Pessoal'!$E$7:$E$506)*(C$3&lt;='Gastos com Pessoal'!$F$7:$F$506)*(IF('Gastos com Pessoal'!$S$7:$S$506&lt;=C$3,1,0))*OFFSET('Gastos com Pessoal'!$H$6,1,MATCH(3&amp;$B51,'Gastos com Pessoal'!$I$532:$AJ$532&amp;'Gastos com Pessoal'!$I$6:$AJ$6,0),500,1)),0)+_xlfn.IFNA(SUM((C$3&gt;='Gastos com Pessoal'!$E$7:$E$506)*(C$3&lt;='Gastos com Pessoal'!$F$7:$F$506)*(IF('Gastos com Pessoal'!$Y$7:$Y$506&lt;=C$3,1,0))*OFFSET('Gastos com Pessoal'!$H$6,1,MATCH(4&amp;$B51,'Gastos com Pessoal'!$I$532:$AJ$532&amp;'Gastos com Pessoal'!$I$6:$AJ$6,0),500,1)),0)+_xlfn.IFNA(SUM((C$3&gt;='Gastos com Pessoal'!$E$7:$E$506)*(C$3&lt;='Gastos com Pessoal'!$F$7:$F$506)*(IF('Gastos com Pessoal'!$AE$7:$AE$506&lt;=C$3,1,0))*OFFSET('Gastos com Pessoal'!$H$6,1,MATCH(5&amp;$B51,'Gastos com Pessoal'!$I$532:$AJ$532&amp;'Gastos com Pessoal'!$I$6:$AJ$6,0),500,1)),0)+_xlfn.IFNA(SUM((C$3&gt;='Gastos com Pessoal'!$E$513:$E$522)*(C$3&lt;='Gastos com Pessoal'!$F$513:$F$522)*(IF('Gastos com Pessoal'!$G$513:$G$522&lt;=C$3,1,0))*OFFSET('Gastos com Pessoal'!$H$512,1,MATCH(1&amp;$B51,'Gastos com Pessoal'!$I$532:$AJ$532&amp;'Gastos com Pessoal'!$I$512:$AJ$512,0),10,1)),0)+_xlfn.IFNA(SUM((C$3&gt;='Gastos com Pessoal'!$E$513:$E$522)*(C$3&lt;='Gastos com Pessoal'!$F$513:$F$522)*(IF('Gastos com Pessoal'!$M$513:$M$522&lt;=C$3,1,0))*OFFSET('Gastos com Pessoal'!$H$512,1,MATCH(2&amp;$B51,'Gastos com Pessoal'!$I$532:$AJ$532&amp;'Gastos com Pessoal'!$I$512:$AJ$512,0),10,1)),0)+_xlfn.IFNA(SUM((C$3&gt;='Gastos com Pessoal'!$E$513:$E$522)*(C$3&lt;='Gastos com Pessoal'!$F$513:$F$522)*(IF('Gastos com Pessoal'!$S$513:$S$522&lt;=C$3,1,0))*OFFSET('Gastos com Pessoal'!$H$512,1,MATCH(3&amp;$B51,'Gastos com Pessoal'!$I$532:$AJ$532&amp;'Gastos com Pessoal'!$I$512:$AJ$512,0),10,1)),0)+_xlfn.IFNA(SUM((C$3&gt;='Gastos com Pessoal'!$E$513:$E$522)*(C$3&lt;='Gastos com Pessoal'!$F$513:$F$522)*(IF('Gastos com Pessoal'!$Y$513:$Y$522&lt;=C$3,1,0))*OFFSET('Gastos com Pessoal'!$H$512,1,MATCH(4&amp;$B51,'Gastos com Pessoal'!$I$532:$AJ$532&amp;'Gastos com Pessoal'!$I$512:$AJ$512,0),10,1)),0)+_xlfn.IFNA(SUM((C$3&gt;='Gastos com Pessoal'!$E$513:$E$522)*(C$3&lt;='Gastos com Pessoal'!$F$513:$F$522)*(IF('Gastos com Pessoal'!$AE$513:$AE$522&lt;=C$3,1,0))*OFFSET('Gastos com Pessoal'!$H$512,1,MATCH(5&amp;$B51,'Gastos com Pessoal'!$I$532:$AJ$532&amp;'Gastos com Pessoal'!$I$512:$AJ$512,0),10,1)),0)</f>
        <v>5657.0799999999772</v>
      </c>
      <c r="D51" s="188">
        <f t="array" aca="1" ref="D51" ca="1">_xlfn.IFNA(SUM((D$3&gt;='Gastos com Pessoal'!$E$7:$E$506)*(D$3&lt;='Gastos com Pessoal'!$F$7:$F$506)*OFFSET('Encargos e Benefícios'!$D$5,1,MATCH($B51,'Encargos e Benefícios'!$E$5:$AB$5,0),500,1)),0)+_xlfn.IFNA(SUM((D$3&gt;='Gastos com Pessoal'!$E$513:$E$522)*(D$3&lt;='Gastos com Pessoal'!$F$513:$F$522)*OFFSET('Encargos e Benefícios'!$D$511,1,MATCH($B51,'Encargos e Benefícios'!$E$511:$AB$511,0),10,1)),0)+_xlfn.IFNA(SUM((D$3&gt;='Gastos com Pessoal'!$E$7:$E$506)*(D$3&lt;='Gastos com Pessoal'!$F$7:$F$506)*(IF('Gastos com Pessoal'!$G$7:$G$506&lt;=D$3,1,0))*OFFSET('Gastos com Pessoal'!$H$6,1,MATCH(1&amp;$B51,'Gastos com Pessoal'!$I$532:$AJ$532&amp;'Gastos com Pessoal'!$I$6:$AJ$6,0),500,1)),0)+_xlfn.IFNA(SUM((D$3&gt;='Gastos com Pessoal'!$E$7:$E$506)*(D$3&lt;='Gastos com Pessoal'!$F$7:$F$506)*(IF('Gastos com Pessoal'!$M$7:$M$506&lt;=D$3,1,0))*OFFSET('Gastos com Pessoal'!$H$6,1,MATCH(2&amp;$B51,'Gastos com Pessoal'!$I$532:$AJ$532&amp;'Gastos com Pessoal'!$I$6:$AJ$6,0),500,1)),0)+_xlfn.IFNA(SUM((D$3&gt;='Gastos com Pessoal'!$E$7:$E$506)*(D$3&lt;='Gastos com Pessoal'!$F$7:$F$506)*(IF('Gastos com Pessoal'!$S$7:$S$506&lt;=D$3,1,0))*OFFSET('Gastos com Pessoal'!$H$6,1,MATCH(3&amp;$B51,'Gastos com Pessoal'!$I$532:$AJ$532&amp;'Gastos com Pessoal'!$I$6:$AJ$6,0),500,1)),0)+_xlfn.IFNA(SUM((D$3&gt;='Gastos com Pessoal'!$E$7:$E$506)*(D$3&lt;='Gastos com Pessoal'!$F$7:$F$506)*(IF('Gastos com Pessoal'!$Y$7:$Y$506&lt;=D$3,1,0))*OFFSET('Gastos com Pessoal'!$H$6,1,MATCH(4&amp;$B51,'Gastos com Pessoal'!$I$532:$AJ$532&amp;'Gastos com Pessoal'!$I$6:$AJ$6,0),500,1)),0)+_xlfn.IFNA(SUM((D$3&gt;='Gastos com Pessoal'!$E$7:$E$506)*(D$3&lt;='Gastos com Pessoal'!$F$7:$F$506)*(IF('Gastos com Pessoal'!$AE$7:$AE$506&lt;=D$3,1,0))*OFFSET('Gastos com Pessoal'!$H$6,1,MATCH(5&amp;$B51,'Gastos com Pessoal'!$I$532:$AJ$532&amp;'Gastos com Pessoal'!$I$6:$AJ$6,0),500,1)),0)+_xlfn.IFNA(SUM((D$3&gt;='Gastos com Pessoal'!$E$513:$E$522)*(D$3&lt;='Gastos com Pessoal'!$F$513:$F$522)*(IF('Gastos com Pessoal'!$G$513:$G$522&lt;=D$3,1,0))*OFFSET('Gastos com Pessoal'!$H$512,1,MATCH(1&amp;$B51,'Gastos com Pessoal'!$I$532:$AJ$532&amp;'Gastos com Pessoal'!$I$512:$AJ$512,0),10,1)),0)+_xlfn.IFNA(SUM((D$3&gt;='Gastos com Pessoal'!$E$513:$E$522)*(D$3&lt;='Gastos com Pessoal'!$F$513:$F$522)*(IF('Gastos com Pessoal'!$M$513:$M$522&lt;=D$3,1,0))*OFFSET('Gastos com Pessoal'!$H$512,1,MATCH(2&amp;$B51,'Gastos com Pessoal'!$I$532:$AJ$532&amp;'Gastos com Pessoal'!$I$512:$AJ$512,0),10,1)),0)+_xlfn.IFNA(SUM((D$3&gt;='Gastos com Pessoal'!$E$513:$E$522)*(D$3&lt;='Gastos com Pessoal'!$F$513:$F$522)*(IF('Gastos com Pessoal'!$S$513:$S$522&lt;=D$3,1,0))*OFFSET('Gastos com Pessoal'!$H$512,1,MATCH(3&amp;$B51,'Gastos com Pessoal'!$I$532:$AJ$532&amp;'Gastos com Pessoal'!$I$512:$AJ$512,0),10,1)),0)+_xlfn.IFNA(SUM((D$3&gt;='Gastos com Pessoal'!$E$513:$E$522)*(D$3&lt;='Gastos com Pessoal'!$F$513:$F$522)*(IF('Gastos com Pessoal'!$Y$513:$Y$522&lt;=D$3,1,0))*OFFSET('Gastos com Pessoal'!$H$512,1,MATCH(4&amp;$B51,'Gastos com Pessoal'!$I$532:$AJ$532&amp;'Gastos com Pessoal'!$I$512:$AJ$512,0),10,1)),0)+_xlfn.IFNA(SUM((D$3&gt;='Gastos com Pessoal'!$E$513:$E$522)*(D$3&lt;='Gastos com Pessoal'!$F$513:$F$522)*(IF('Gastos com Pessoal'!$AE$513:$AE$522&lt;=D$3,1,0))*OFFSET('Gastos com Pessoal'!$H$512,1,MATCH(5&amp;$B51,'Gastos com Pessoal'!$I$532:$AJ$532&amp;'Gastos com Pessoal'!$I$512:$AJ$512,0),10,1)),0)</f>
        <v>5677.319999999977</v>
      </c>
      <c r="E51" s="188">
        <f t="array" aca="1" ref="E51" ca="1">_xlfn.IFNA(SUM((E$3&gt;='Gastos com Pessoal'!$E$7:$E$506)*(E$3&lt;='Gastos com Pessoal'!$F$7:$F$506)*OFFSET('Encargos e Benefícios'!$D$5,1,MATCH($B51,'Encargos e Benefícios'!$E$5:$AB$5,0),500,1)),0)+_xlfn.IFNA(SUM((E$3&gt;='Gastos com Pessoal'!$E$513:$E$522)*(E$3&lt;='Gastos com Pessoal'!$F$513:$F$522)*OFFSET('Encargos e Benefícios'!$D$511,1,MATCH($B51,'Encargos e Benefícios'!$E$511:$AB$511,0),10,1)),0)+_xlfn.IFNA(SUM((E$3&gt;='Gastos com Pessoal'!$E$7:$E$506)*(E$3&lt;='Gastos com Pessoal'!$F$7:$F$506)*(IF('Gastos com Pessoal'!$G$7:$G$506&lt;=E$3,1,0))*OFFSET('Gastos com Pessoal'!$H$6,1,MATCH(1&amp;$B51,'Gastos com Pessoal'!$I$532:$AJ$532&amp;'Gastos com Pessoal'!$I$6:$AJ$6,0),500,1)),0)+_xlfn.IFNA(SUM((E$3&gt;='Gastos com Pessoal'!$E$7:$E$506)*(E$3&lt;='Gastos com Pessoal'!$F$7:$F$506)*(IF('Gastos com Pessoal'!$M$7:$M$506&lt;=E$3,1,0))*OFFSET('Gastos com Pessoal'!$H$6,1,MATCH(2&amp;$B51,'Gastos com Pessoal'!$I$532:$AJ$532&amp;'Gastos com Pessoal'!$I$6:$AJ$6,0),500,1)),0)+_xlfn.IFNA(SUM((E$3&gt;='Gastos com Pessoal'!$E$7:$E$506)*(E$3&lt;='Gastos com Pessoal'!$F$7:$F$506)*(IF('Gastos com Pessoal'!$S$7:$S$506&lt;=E$3,1,0))*OFFSET('Gastos com Pessoal'!$H$6,1,MATCH(3&amp;$B51,'Gastos com Pessoal'!$I$532:$AJ$532&amp;'Gastos com Pessoal'!$I$6:$AJ$6,0),500,1)),0)+_xlfn.IFNA(SUM((E$3&gt;='Gastos com Pessoal'!$E$7:$E$506)*(E$3&lt;='Gastos com Pessoal'!$F$7:$F$506)*(IF('Gastos com Pessoal'!$Y$7:$Y$506&lt;=E$3,1,0))*OFFSET('Gastos com Pessoal'!$H$6,1,MATCH(4&amp;$B51,'Gastos com Pessoal'!$I$532:$AJ$532&amp;'Gastos com Pessoal'!$I$6:$AJ$6,0),500,1)),0)+_xlfn.IFNA(SUM((E$3&gt;='Gastos com Pessoal'!$E$7:$E$506)*(E$3&lt;='Gastos com Pessoal'!$F$7:$F$506)*(IF('Gastos com Pessoal'!$AE$7:$AE$506&lt;=E$3,1,0))*OFFSET('Gastos com Pessoal'!$H$6,1,MATCH(5&amp;$B51,'Gastos com Pessoal'!$I$532:$AJ$532&amp;'Gastos com Pessoal'!$I$6:$AJ$6,0),500,1)),0)+_xlfn.IFNA(SUM((E$3&gt;='Gastos com Pessoal'!$E$513:$E$522)*(E$3&lt;='Gastos com Pessoal'!$F$513:$F$522)*(IF('Gastos com Pessoal'!$G$513:$G$522&lt;=E$3,1,0))*OFFSET('Gastos com Pessoal'!$H$512,1,MATCH(1&amp;$B51,'Gastos com Pessoal'!$I$532:$AJ$532&amp;'Gastos com Pessoal'!$I$512:$AJ$512,0),10,1)),0)+_xlfn.IFNA(SUM((E$3&gt;='Gastos com Pessoal'!$E$513:$E$522)*(E$3&lt;='Gastos com Pessoal'!$F$513:$F$522)*(IF('Gastos com Pessoal'!$M$513:$M$522&lt;=E$3,1,0))*OFFSET('Gastos com Pessoal'!$H$512,1,MATCH(2&amp;$B51,'Gastos com Pessoal'!$I$532:$AJ$532&amp;'Gastos com Pessoal'!$I$512:$AJ$512,0),10,1)),0)+_xlfn.IFNA(SUM((E$3&gt;='Gastos com Pessoal'!$E$513:$E$522)*(E$3&lt;='Gastos com Pessoal'!$F$513:$F$522)*(IF('Gastos com Pessoal'!$S$513:$S$522&lt;=E$3,1,0))*OFFSET('Gastos com Pessoal'!$H$512,1,MATCH(3&amp;$B51,'Gastos com Pessoal'!$I$532:$AJ$532&amp;'Gastos com Pessoal'!$I$512:$AJ$512,0),10,1)),0)+_xlfn.IFNA(SUM((E$3&gt;='Gastos com Pessoal'!$E$513:$E$522)*(E$3&lt;='Gastos com Pessoal'!$F$513:$F$522)*(IF('Gastos com Pessoal'!$Y$513:$Y$522&lt;=E$3,1,0))*OFFSET('Gastos com Pessoal'!$H$512,1,MATCH(4&amp;$B51,'Gastos com Pessoal'!$I$532:$AJ$532&amp;'Gastos com Pessoal'!$I$512:$AJ$512,0),10,1)),0)+_xlfn.IFNA(SUM((E$3&gt;='Gastos com Pessoal'!$E$513:$E$522)*(E$3&lt;='Gastos com Pessoal'!$F$513:$F$522)*(IF('Gastos com Pessoal'!$AE$513:$AE$522&lt;=E$3,1,0))*OFFSET('Gastos com Pessoal'!$H$512,1,MATCH(5&amp;$B51,'Gastos com Pessoal'!$I$532:$AJ$532&amp;'Gastos com Pessoal'!$I$512:$AJ$512,0),10,1)),0)</f>
        <v>5991.0399999999754</v>
      </c>
      <c r="F51" s="188">
        <f t="array" aca="1" ref="F51" ca="1">_xlfn.IFNA(SUM((F$3&gt;='Gastos com Pessoal'!$E$7:$E$506)*(F$3&lt;='Gastos com Pessoal'!$F$7:$F$506)*OFFSET('Encargos e Benefícios'!$D$5,1,MATCH($B51,'Encargos e Benefícios'!$E$5:$AB$5,0),500,1)),0)+_xlfn.IFNA(SUM((F$3&gt;='Gastos com Pessoal'!$E$513:$E$522)*(F$3&lt;='Gastos com Pessoal'!$F$513:$F$522)*OFFSET('Encargos e Benefícios'!$D$511,1,MATCH($B51,'Encargos e Benefícios'!$E$511:$AB$511,0),10,1)),0)+_xlfn.IFNA(SUM((F$3&gt;='Gastos com Pessoal'!$E$7:$E$506)*(F$3&lt;='Gastos com Pessoal'!$F$7:$F$506)*(IF('Gastos com Pessoal'!$G$7:$G$506&lt;=F$3,1,0))*OFFSET('Gastos com Pessoal'!$H$6,1,MATCH(1&amp;$B51,'Gastos com Pessoal'!$I$532:$AJ$532&amp;'Gastos com Pessoal'!$I$6:$AJ$6,0),500,1)),0)+_xlfn.IFNA(SUM((F$3&gt;='Gastos com Pessoal'!$E$7:$E$506)*(F$3&lt;='Gastos com Pessoal'!$F$7:$F$506)*(IF('Gastos com Pessoal'!$M$7:$M$506&lt;=F$3,1,0))*OFFSET('Gastos com Pessoal'!$H$6,1,MATCH(2&amp;$B51,'Gastos com Pessoal'!$I$532:$AJ$532&amp;'Gastos com Pessoal'!$I$6:$AJ$6,0),500,1)),0)+_xlfn.IFNA(SUM((F$3&gt;='Gastos com Pessoal'!$E$7:$E$506)*(F$3&lt;='Gastos com Pessoal'!$F$7:$F$506)*(IF('Gastos com Pessoal'!$S$7:$S$506&lt;=F$3,1,0))*OFFSET('Gastos com Pessoal'!$H$6,1,MATCH(3&amp;$B51,'Gastos com Pessoal'!$I$532:$AJ$532&amp;'Gastos com Pessoal'!$I$6:$AJ$6,0),500,1)),0)+_xlfn.IFNA(SUM((F$3&gt;='Gastos com Pessoal'!$E$7:$E$506)*(F$3&lt;='Gastos com Pessoal'!$F$7:$F$506)*(IF('Gastos com Pessoal'!$Y$7:$Y$506&lt;=F$3,1,0))*OFFSET('Gastos com Pessoal'!$H$6,1,MATCH(4&amp;$B51,'Gastos com Pessoal'!$I$532:$AJ$532&amp;'Gastos com Pessoal'!$I$6:$AJ$6,0),500,1)),0)+_xlfn.IFNA(SUM((F$3&gt;='Gastos com Pessoal'!$E$7:$E$506)*(F$3&lt;='Gastos com Pessoal'!$F$7:$F$506)*(IF('Gastos com Pessoal'!$AE$7:$AE$506&lt;=F$3,1,0))*OFFSET('Gastos com Pessoal'!$H$6,1,MATCH(5&amp;$B51,'Gastos com Pessoal'!$I$532:$AJ$532&amp;'Gastos com Pessoal'!$I$6:$AJ$6,0),500,1)),0)+_xlfn.IFNA(SUM((F$3&gt;='Gastos com Pessoal'!$E$513:$E$522)*(F$3&lt;='Gastos com Pessoal'!$F$513:$F$522)*(IF('Gastos com Pessoal'!$G$513:$G$522&lt;=F$3,1,0))*OFFSET('Gastos com Pessoal'!$H$512,1,MATCH(1&amp;$B51,'Gastos com Pessoal'!$I$532:$AJ$532&amp;'Gastos com Pessoal'!$I$512:$AJ$512,0),10,1)),0)+_xlfn.IFNA(SUM((F$3&gt;='Gastos com Pessoal'!$E$513:$E$522)*(F$3&lt;='Gastos com Pessoal'!$F$513:$F$522)*(IF('Gastos com Pessoal'!$M$513:$M$522&lt;=F$3,1,0))*OFFSET('Gastos com Pessoal'!$H$512,1,MATCH(2&amp;$B51,'Gastos com Pessoal'!$I$532:$AJ$532&amp;'Gastos com Pessoal'!$I$512:$AJ$512,0),10,1)),0)+_xlfn.IFNA(SUM((F$3&gt;='Gastos com Pessoal'!$E$513:$E$522)*(F$3&lt;='Gastos com Pessoal'!$F$513:$F$522)*(IF('Gastos com Pessoal'!$S$513:$S$522&lt;=F$3,1,0))*OFFSET('Gastos com Pessoal'!$H$512,1,MATCH(3&amp;$B51,'Gastos com Pessoal'!$I$532:$AJ$532&amp;'Gastos com Pessoal'!$I$512:$AJ$512,0),10,1)),0)+_xlfn.IFNA(SUM((F$3&gt;='Gastos com Pessoal'!$E$513:$E$522)*(F$3&lt;='Gastos com Pessoal'!$F$513:$F$522)*(IF('Gastos com Pessoal'!$Y$513:$Y$522&lt;=F$3,1,0))*OFFSET('Gastos com Pessoal'!$H$512,1,MATCH(4&amp;$B51,'Gastos com Pessoal'!$I$532:$AJ$532&amp;'Gastos com Pessoal'!$I$512:$AJ$512,0),10,1)),0)+_xlfn.IFNA(SUM((F$3&gt;='Gastos com Pessoal'!$E$513:$E$522)*(F$3&lt;='Gastos com Pessoal'!$F$513:$F$522)*(IF('Gastos com Pessoal'!$AE$513:$AE$522&lt;=F$3,1,0))*OFFSET('Gastos com Pessoal'!$H$512,1,MATCH(5&amp;$B51,'Gastos com Pessoal'!$I$532:$AJ$532&amp;'Gastos com Pessoal'!$I$512:$AJ$512,0),10,1)),0)</f>
        <v>6011.2799999999752</v>
      </c>
      <c r="G51" s="188">
        <f t="array" aca="1" ref="G51" ca="1">_xlfn.IFNA(SUM((G$3&gt;='Gastos com Pessoal'!$E$7:$E$506)*(G$3&lt;='Gastos com Pessoal'!$F$7:$F$506)*OFFSET('Encargos e Benefícios'!$D$5,1,MATCH($B51,'Encargos e Benefícios'!$E$5:$AB$5,0),500,1)),0)+_xlfn.IFNA(SUM((G$3&gt;='Gastos com Pessoal'!$E$513:$E$522)*(G$3&lt;='Gastos com Pessoal'!$F$513:$F$522)*OFFSET('Encargos e Benefícios'!$D$511,1,MATCH($B51,'Encargos e Benefícios'!$E$511:$AB$511,0),10,1)),0)+_xlfn.IFNA(SUM((G$3&gt;='Gastos com Pessoal'!$E$7:$E$506)*(G$3&lt;='Gastos com Pessoal'!$F$7:$F$506)*(IF('Gastos com Pessoal'!$G$7:$G$506&lt;=G$3,1,0))*OFFSET('Gastos com Pessoal'!$H$6,1,MATCH(1&amp;$B51,'Gastos com Pessoal'!$I$532:$AJ$532&amp;'Gastos com Pessoal'!$I$6:$AJ$6,0),500,1)),0)+_xlfn.IFNA(SUM((G$3&gt;='Gastos com Pessoal'!$E$7:$E$506)*(G$3&lt;='Gastos com Pessoal'!$F$7:$F$506)*(IF('Gastos com Pessoal'!$M$7:$M$506&lt;=G$3,1,0))*OFFSET('Gastos com Pessoal'!$H$6,1,MATCH(2&amp;$B51,'Gastos com Pessoal'!$I$532:$AJ$532&amp;'Gastos com Pessoal'!$I$6:$AJ$6,0),500,1)),0)+_xlfn.IFNA(SUM((G$3&gt;='Gastos com Pessoal'!$E$7:$E$506)*(G$3&lt;='Gastos com Pessoal'!$F$7:$F$506)*(IF('Gastos com Pessoal'!$S$7:$S$506&lt;=G$3,1,0))*OFFSET('Gastos com Pessoal'!$H$6,1,MATCH(3&amp;$B51,'Gastos com Pessoal'!$I$532:$AJ$532&amp;'Gastos com Pessoal'!$I$6:$AJ$6,0),500,1)),0)+_xlfn.IFNA(SUM((G$3&gt;='Gastos com Pessoal'!$E$7:$E$506)*(G$3&lt;='Gastos com Pessoal'!$F$7:$F$506)*(IF('Gastos com Pessoal'!$Y$7:$Y$506&lt;=G$3,1,0))*OFFSET('Gastos com Pessoal'!$H$6,1,MATCH(4&amp;$B51,'Gastos com Pessoal'!$I$532:$AJ$532&amp;'Gastos com Pessoal'!$I$6:$AJ$6,0),500,1)),0)+_xlfn.IFNA(SUM((G$3&gt;='Gastos com Pessoal'!$E$7:$E$506)*(G$3&lt;='Gastos com Pessoal'!$F$7:$F$506)*(IF('Gastos com Pessoal'!$AE$7:$AE$506&lt;=G$3,1,0))*OFFSET('Gastos com Pessoal'!$H$6,1,MATCH(5&amp;$B51,'Gastos com Pessoal'!$I$532:$AJ$532&amp;'Gastos com Pessoal'!$I$6:$AJ$6,0),500,1)),0)+_xlfn.IFNA(SUM((G$3&gt;='Gastos com Pessoal'!$E$513:$E$522)*(G$3&lt;='Gastos com Pessoal'!$F$513:$F$522)*(IF('Gastos com Pessoal'!$G$513:$G$522&lt;=G$3,1,0))*OFFSET('Gastos com Pessoal'!$H$512,1,MATCH(1&amp;$B51,'Gastos com Pessoal'!$I$532:$AJ$532&amp;'Gastos com Pessoal'!$I$512:$AJ$512,0),10,1)),0)+_xlfn.IFNA(SUM((G$3&gt;='Gastos com Pessoal'!$E$513:$E$522)*(G$3&lt;='Gastos com Pessoal'!$F$513:$F$522)*(IF('Gastos com Pessoal'!$M$513:$M$522&lt;=G$3,1,0))*OFFSET('Gastos com Pessoal'!$H$512,1,MATCH(2&amp;$B51,'Gastos com Pessoal'!$I$532:$AJ$532&amp;'Gastos com Pessoal'!$I$512:$AJ$512,0),10,1)),0)+_xlfn.IFNA(SUM((G$3&gt;='Gastos com Pessoal'!$E$513:$E$522)*(G$3&lt;='Gastos com Pessoal'!$F$513:$F$522)*(IF('Gastos com Pessoal'!$S$513:$S$522&lt;=G$3,1,0))*OFFSET('Gastos com Pessoal'!$H$512,1,MATCH(3&amp;$B51,'Gastos com Pessoal'!$I$532:$AJ$532&amp;'Gastos com Pessoal'!$I$512:$AJ$512,0),10,1)),0)+_xlfn.IFNA(SUM((G$3&gt;='Gastos com Pessoal'!$E$513:$E$522)*(G$3&lt;='Gastos com Pessoal'!$F$513:$F$522)*(IF('Gastos com Pessoal'!$Y$513:$Y$522&lt;=G$3,1,0))*OFFSET('Gastos com Pessoal'!$H$512,1,MATCH(4&amp;$B51,'Gastos com Pessoal'!$I$532:$AJ$532&amp;'Gastos com Pessoal'!$I$512:$AJ$512,0),10,1)),0)+_xlfn.IFNA(SUM((G$3&gt;='Gastos com Pessoal'!$E$513:$E$522)*(G$3&lt;='Gastos com Pessoal'!$F$513:$F$522)*(IF('Gastos com Pessoal'!$AE$513:$AE$522&lt;=G$3,1,0))*OFFSET('Gastos com Pessoal'!$H$512,1,MATCH(5&amp;$B51,'Gastos com Pessoal'!$I$532:$AJ$532&amp;'Gastos com Pessoal'!$I$512:$AJ$512,0),10,1)),0)</f>
        <v>6011.2799999999752</v>
      </c>
      <c r="H51" s="188">
        <f t="array" aca="1" ref="H51" ca="1">_xlfn.IFNA(SUM((H$3&gt;='Gastos com Pessoal'!$E$7:$E$506)*(H$3&lt;='Gastos com Pessoal'!$F$7:$F$506)*OFFSET('Encargos e Benefícios'!$D$5,1,MATCH($B51,'Encargos e Benefícios'!$E$5:$AB$5,0),500,1)),0)+_xlfn.IFNA(SUM((H$3&gt;='Gastos com Pessoal'!$E$513:$E$522)*(H$3&lt;='Gastos com Pessoal'!$F$513:$F$522)*OFFSET('Encargos e Benefícios'!$D$511,1,MATCH($B51,'Encargos e Benefícios'!$E$511:$AB$511,0),10,1)),0)+_xlfn.IFNA(SUM((H$3&gt;='Gastos com Pessoal'!$E$7:$E$506)*(H$3&lt;='Gastos com Pessoal'!$F$7:$F$506)*(IF('Gastos com Pessoal'!$G$7:$G$506&lt;=H$3,1,0))*OFFSET('Gastos com Pessoal'!$H$6,1,MATCH(1&amp;$B51,'Gastos com Pessoal'!$I$532:$AJ$532&amp;'Gastos com Pessoal'!$I$6:$AJ$6,0),500,1)),0)+_xlfn.IFNA(SUM((H$3&gt;='Gastos com Pessoal'!$E$7:$E$506)*(H$3&lt;='Gastos com Pessoal'!$F$7:$F$506)*(IF('Gastos com Pessoal'!$M$7:$M$506&lt;=H$3,1,0))*OFFSET('Gastos com Pessoal'!$H$6,1,MATCH(2&amp;$B51,'Gastos com Pessoal'!$I$532:$AJ$532&amp;'Gastos com Pessoal'!$I$6:$AJ$6,0),500,1)),0)+_xlfn.IFNA(SUM((H$3&gt;='Gastos com Pessoal'!$E$7:$E$506)*(H$3&lt;='Gastos com Pessoal'!$F$7:$F$506)*(IF('Gastos com Pessoal'!$S$7:$S$506&lt;=H$3,1,0))*OFFSET('Gastos com Pessoal'!$H$6,1,MATCH(3&amp;$B51,'Gastos com Pessoal'!$I$532:$AJ$532&amp;'Gastos com Pessoal'!$I$6:$AJ$6,0),500,1)),0)+_xlfn.IFNA(SUM((H$3&gt;='Gastos com Pessoal'!$E$7:$E$506)*(H$3&lt;='Gastos com Pessoal'!$F$7:$F$506)*(IF('Gastos com Pessoal'!$Y$7:$Y$506&lt;=H$3,1,0))*OFFSET('Gastos com Pessoal'!$H$6,1,MATCH(4&amp;$B51,'Gastos com Pessoal'!$I$532:$AJ$532&amp;'Gastos com Pessoal'!$I$6:$AJ$6,0),500,1)),0)+_xlfn.IFNA(SUM((H$3&gt;='Gastos com Pessoal'!$E$7:$E$506)*(H$3&lt;='Gastos com Pessoal'!$F$7:$F$506)*(IF('Gastos com Pessoal'!$AE$7:$AE$506&lt;=H$3,1,0))*OFFSET('Gastos com Pessoal'!$H$6,1,MATCH(5&amp;$B51,'Gastos com Pessoal'!$I$532:$AJ$532&amp;'Gastos com Pessoal'!$I$6:$AJ$6,0),500,1)),0)+_xlfn.IFNA(SUM((H$3&gt;='Gastos com Pessoal'!$E$513:$E$522)*(H$3&lt;='Gastos com Pessoal'!$F$513:$F$522)*(IF('Gastos com Pessoal'!$G$513:$G$522&lt;=H$3,1,0))*OFFSET('Gastos com Pessoal'!$H$512,1,MATCH(1&amp;$B51,'Gastos com Pessoal'!$I$532:$AJ$532&amp;'Gastos com Pessoal'!$I$512:$AJ$512,0),10,1)),0)+_xlfn.IFNA(SUM((H$3&gt;='Gastos com Pessoal'!$E$513:$E$522)*(H$3&lt;='Gastos com Pessoal'!$F$513:$F$522)*(IF('Gastos com Pessoal'!$M$513:$M$522&lt;=H$3,1,0))*OFFSET('Gastos com Pessoal'!$H$512,1,MATCH(2&amp;$B51,'Gastos com Pessoal'!$I$532:$AJ$532&amp;'Gastos com Pessoal'!$I$512:$AJ$512,0),10,1)),0)+_xlfn.IFNA(SUM((H$3&gt;='Gastos com Pessoal'!$E$513:$E$522)*(H$3&lt;='Gastos com Pessoal'!$F$513:$F$522)*(IF('Gastos com Pessoal'!$S$513:$S$522&lt;=H$3,1,0))*OFFSET('Gastos com Pessoal'!$H$512,1,MATCH(3&amp;$B51,'Gastos com Pessoal'!$I$532:$AJ$532&amp;'Gastos com Pessoal'!$I$512:$AJ$512,0),10,1)),0)+_xlfn.IFNA(SUM((H$3&gt;='Gastos com Pessoal'!$E$513:$E$522)*(H$3&lt;='Gastos com Pessoal'!$F$513:$F$522)*(IF('Gastos com Pessoal'!$Y$513:$Y$522&lt;=H$3,1,0))*OFFSET('Gastos com Pessoal'!$H$512,1,MATCH(4&amp;$B51,'Gastos com Pessoal'!$I$532:$AJ$532&amp;'Gastos com Pessoal'!$I$512:$AJ$512,0),10,1)),0)+_xlfn.IFNA(SUM((H$3&gt;='Gastos com Pessoal'!$E$513:$E$522)*(H$3&lt;='Gastos com Pessoal'!$F$513:$F$522)*(IF('Gastos com Pessoal'!$AE$513:$AE$522&lt;=H$3,1,0))*OFFSET('Gastos com Pessoal'!$H$512,1,MATCH(5&amp;$B51,'Gastos com Pessoal'!$I$532:$AJ$532&amp;'Gastos com Pessoal'!$I$512:$AJ$512,0),10,1)),0)</f>
        <v>6324.9999999999736</v>
      </c>
      <c r="I51" s="188">
        <f t="array" aca="1" ref="I51" ca="1">_xlfn.IFNA(SUM((I$3&gt;='Gastos com Pessoal'!$E$7:$E$506)*(I$3&lt;='Gastos com Pessoal'!$F$7:$F$506)*OFFSET('Encargos e Benefícios'!$D$5,1,MATCH($B51,'Encargos e Benefícios'!$E$5:$AB$5,0),500,1)),0)+_xlfn.IFNA(SUM((I$3&gt;='Gastos com Pessoal'!$E$513:$E$522)*(I$3&lt;='Gastos com Pessoal'!$F$513:$F$522)*OFFSET('Encargos e Benefícios'!$D$511,1,MATCH($B51,'Encargos e Benefícios'!$E$511:$AB$511,0),10,1)),0)+_xlfn.IFNA(SUM((I$3&gt;='Gastos com Pessoal'!$E$7:$E$506)*(I$3&lt;='Gastos com Pessoal'!$F$7:$F$506)*(IF('Gastos com Pessoal'!$G$7:$G$506&lt;=I$3,1,0))*OFFSET('Gastos com Pessoal'!$H$6,1,MATCH(1&amp;$B51,'Gastos com Pessoal'!$I$532:$AJ$532&amp;'Gastos com Pessoal'!$I$6:$AJ$6,0),500,1)),0)+_xlfn.IFNA(SUM((I$3&gt;='Gastos com Pessoal'!$E$7:$E$506)*(I$3&lt;='Gastos com Pessoal'!$F$7:$F$506)*(IF('Gastos com Pessoal'!$M$7:$M$506&lt;=I$3,1,0))*OFFSET('Gastos com Pessoal'!$H$6,1,MATCH(2&amp;$B51,'Gastos com Pessoal'!$I$532:$AJ$532&amp;'Gastos com Pessoal'!$I$6:$AJ$6,0),500,1)),0)+_xlfn.IFNA(SUM((I$3&gt;='Gastos com Pessoal'!$E$7:$E$506)*(I$3&lt;='Gastos com Pessoal'!$F$7:$F$506)*(IF('Gastos com Pessoal'!$S$7:$S$506&lt;=I$3,1,0))*OFFSET('Gastos com Pessoal'!$H$6,1,MATCH(3&amp;$B51,'Gastos com Pessoal'!$I$532:$AJ$532&amp;'Gastos com Pessoal'!$I$6:$AJ$6,0),500,1)),0)+_xlfn.IFNA(SUM((I$3&gt;='Gastos com Pessoal'!$E$7:$E$506)*(I$3&lt;='Gastos com Pessoal'!$F$7:$F$506)*(IF('Gastos com Pessoal'!$Y$7:$Y$506&lt;=I$3,1,0))*OFFSET('Gastos com Pessoal'!$H$6,1,MATCH(4&amp;$B51,'Gastos com Pessoal'!$I$532:$AJ$532&amp;'Gastos com Pessoal'!$I$6:$AJ$6,0),500,1)),0)+_xlfn.IFNA(SUM((I$3&gt;='Gastos com Pessoal'!$E$7:$E$506)*(I$3&lt;='Gastos com Pessoal'!$F$7:$F$506)*(IF('Gastos com Pessoal'!$AE$7:$AE$506&lt;=I$3,1,0))*OFFSET('Gastos com Pessoal'!$H$6,1,MATCH(5&amp;$B51,'Gastos com Pessoal'!$I$532:$AJ$532&amp;'Gastos com Pessoal'!$I$6:$AJ$6,0),500,1)),0)+_xlfn.IFNA(SUM((I$3&gt;='Gastos com Pessoal'!$E$513:$E$522)*(I$3&lt;='Gastos com Pessoal'!$F$513:$F$522)*(IF('Gastos com Pessoal'!$G$513:$G$522&lt;=I$3,1,0))*OFFSET('Gastos com Pessoal'!$H$512,1,MATCH(1&amp;$B51,'Gastos com Pessoal'!$I$532:$AJ$532&amp;'Gastos com Pessoal'!$I$512:$AJ$512,0),10,1)),0)+_xlfn.IFNA(SUM((I$3&gt;='Gastos com Pessoal'!$E$513:$E$522)*(I$3&lt;='Gastos com Pessoal'!$F$513:$F$522)*(IF('Gastos com Pessoal'!$M$513:$M$522&lt;=I$3,1,0))*OFFSET('Gastos com Pessoal'!$H$512,1,MATCH(2&amp;$B51,'Gastos com Pessoal'!$I$532:$AJ$532&amp;'Gastos com Pessoal'!$I$512:$AJ$512,0),10,1)),0)+_xlfn.IFNA(SUM((I$3&gt;='Gastos com Pessoal'!$E$513:$E$522)*(I$3&lt;='Gastos com Pessoal'!$F$513:$F$522)*(IF('Gastos com Pessoal'!$S$513:$S$522&lt;=I$3,1,0))*OFFSET('Gastos com Pessoal'!$H$512,1,MATCH(3&amp;$B51,'Gastos com Pessoal'!$I$532:$AJ$532&amp;'Gastos com Pessoal'!$I$512:$AJ$512,0),10,1)),0)+_xlfn.IFNA(SUM((I$3&gt;='Gastos com Pessoal'!$E$513:$E$522)*(I$3&lt;='Gastos com Pessoal'!$F$513:$F$522)*(IF('Gastos com Pessoal'!$Y$513:$Y$522&lt;=I$3,1,0))*OFFSET('Gastos com Pessoal'!$H$512,1,MATCH(4&amp;$B51,'Gastos com Pessoal'!$I$532:$AJ$532&amp;'Gastos com Pessoal'!$I$512:$AJ$512,0),10,1)),0)+_xlfn.IFNA(SUM((I$3&gt;='Gastos com Pessoal'!$E$513:$E$522)*(I$3&lt;='Gastos com Pessoal'!$F$513:$F$522)*(IF('Gastos com Pessoal'!$AE$513:$AE$522&lt;=I$3,1,0))*OFFSET('Gastos com Pessoal'!$H$512,1,MATCH(5&amp;$B51,'Gastos com Pessoal'!$I$532:$AJ$532&amp;'Gastos com Pessoal'!$I$512:$AJ$512,0),10,1)),0)</f>
        <v>6346.4199999999737</v>
      </c>
      <c r="J51" s="188">
        <f t="array" aca="1" ref="J51" ca="1">_xlfn.IFNA(SUM((J$3&gt;='Gastos com Pessoal'!$E$7:$E$506)*(J$3&lt;='Gastos com Pessoal'!$F$7:$F$506)*OFFSET('Encargos e Benefícios'!$D$5,1,MATCH($B51,'Encargos e Benefícios'!$E$5:$AB$5,0),500,1)),0)+_xlfn.IFNA(SUM((J$3&gt;='Gastos com Pessoal'!$E$513:$E$522)*(J$3&lt;='Gastos com Pessoal'!$F$513:$F$522)*OFFSET('Encargos e Benefícios'!$D$511,1,MATCH($B51,'Encargos e Benefícios'!$E$511:$AB$511,0),10,1)),0)+_xlfn.IFNA(SUM((J$3&gt;='Gastos com Pessoal'!$E$7:$E$506)*(J$3&lt;='Gastos com Pessoal'!$F$7:$F$506)*(IF('Gastos com Pessoal'!$G$7:$G$506&lt;=J$3,1,0))*OFFSET('Gastos com Pessoal'!$H$6,1,MATCH(1&amp;$B51,'Gastos com Pessoal'!$I$532:$AJ$532&amp;'Gastos com Pessoal'!$I$6:$AJ$6,0),500,1)),0)+_xlfn.IFNA(SUM((J$3&gt;='Gastos com Pessoal'!$E$7:$E$506)*(J$3&lt;='Gastos com Pessoal'!$F$7:$F$506)*(IF('Gastos com Pessoal'!$M$7:$M$506&lt;=J$3,1,0))*OFFSET('Gastos com Pessoal'!$H$6,1,MATCH(2&amp;$B51,'Gastos com Pessoal'!$I$532:$AJ$532&amp;'Gastos com Pessoal'!$I$6:$AJ$6,0),500,1)),0)+_xlfn.IFNA(SUM((J$3&gt;='Gastos com Pessoal'!$E$7:$E$506)*(J$3&lt;='Gastos com Pessoal'!$F$7:$F$506)*(IF('Gastos com Pessoal'!$S$7:$S$506&lt;=J$3,1,0))*OFFSET('Gastos com Pessoal'!$H$6,1,MATCH(3&amp;$B51,'Gastos com Pessoal'!$I$532:$AJ$532&amp;'Gastos com Pessoal'!$I$6:$AJ$6,0),500,1)),0)+_xlfn.IFNA(SUM((J$3&gt;='Gastos com Pessoal'!$E$7:$E$506)*(J$3&lt;='Gastos com Pessoal'!$F$7:$F$506)*(IF('Gastos com Pessoal'!$Y$7:$Y$506&lt;=J$3,1,0))*OFFSET('Gastos com Pessoal'!$H$6,1,MATCH(4&amp;$B51,'Gastos com Pessoal'!$I$532:$AJ$532&amp;'Gastos com Pessoal'!$I$6:$AJ$6,0),500,1)),0)+_xlfn.IFNA(SUM((J$3&gt;='Gastos com Pessoal'!$E$7:$E$506)*(J$3&lt;='Gastos com Pessoal'!$F$7:$F$506)*(IF('Gastos com Pessoal'!$AE$7:$AE$506&lt;=J$3,1,0))*OFFSET('Gastos com Pessoal'!$H$6,1,MATCH(5&amp;$B51,'Gastos com Pessoal'!$I$532:$AJ$532&amp;'Gastos com Pessoal'!$I$6:$AJ$6,0),500,1)),0)+_xlfn.IFNA(SUM((J$3&gt;='Gastos com Pessoal'!$E$513:$E$522)*(J$3&lt;='Gastos com Pessoal'!$F$513:$F$522)*(IF('Gastos com Pessoal'!$G$513:$G$522&lt;=J$3,1,0))*OFFSET('Gastos com Pessoal'!$H$512,1,MATCH(1&amp;$B51,'Gastos com Pessoal'!$I$532:$AJ$532&amp;'Gastos com Pessoal'!$I$512:$AJ$512,0),10,1)),0)+_xlfn.IFNA(SUM((J$3&gt;='Gastos com Pessoal'!$E$513:$E$522)*(J$3&lt;='Gastos com Pessoal'!$F$513:$F$522)*(IF('Gastos com Pessoal'!$M$513:$M$522&lt;=J$3,1,0))*OFFSET('Gastos com Pessoal'!$H$512,1,MATCH(2&amp;$B51,'Gastos com Pessoal'!$I$532:$AJ$532&amp;'Gastos com Pessoal'!$I$512:$AJ$512,0),10,1)),0)+_xlfn.IFNA(SUM((J$3&gt;='Gastos com Pessoal'!$E$513:$E$522)*(J$3&lt;='Gastos com Pessoal'!$F$513:$F$522)*(IF('Gastos com Pessoal'!$S$513:$S$522&lt;=J$3,1,0))*OFFSET('Gastos com Pessoal'!$H$512,1,MATCH(3&amp;$B51,'Gastos com Pessoal'!$I$532:$AJ$532&amp;'Gastos com Pessoal'!$I$512:$AJ$512,0),10,1)),0)+_xlfn.IFNA(SUM((J$3&gt;='Gastos com Pessoal'!$E$513:$E$522)*(J$3&lt;='Gastos com Pessoal'!$F$513:$F$522)*(IF('Gastos com Pessoal'!$Y$513:$Y$522&lt;=J$3,1,0))*OFFSET('Gastos com Pessoal'!$H$512,1,MATCH(4&amp;$B51,'Gastos com Pessoal'!$I$532:$AJ$532&amp;'Gastos com Pessoal'!$I$512:$AJ$512,0),10,1)),0)+_xlfn.IFNA(SUM((J$3&gt;='Gastos com Pessoal'!$E$513:$E$522)*(J$3&lt;='Gastos com Pessoal'!$F$513:$F$522)*(IF('Gastos com Pessoal'!$AE$513:$AE$522&lt;=J$3,1,0))*OFFSET('Gastos com Pessoal'!$H$512,1,MATCH(5&amp;$B51,'Gastos com Pessoal'!$I$532:$AJ$532&amp;'Gastos com Pessoal'!$I$512:$AJ$512,0),10,1)),0)</f>
        <v>6346.4199999999737</v>
      </c>
      <c r="K51" s="188">
        <f t="array" aca="1" ref="K51" ca="1">_xlfn.IFNA(SUM((K$3&gt;='Gastos com Pessoal'!$E$7:$E$506)*(K$3&lt;='Gastos com Pessoal'!$F$7:$F$506)*OFFSET('Encargos e Benefícios'!$D$5,1,MATCH($B51,'Encargos e Benefícios'!$E$5:$AB$5,0),500,1)),0)+_xlfn.IFNA(SUM((K$3&gt;='Gastos com Pessoal'!$E$513:$E$522)*(K$3&lt;='Gastos com Pessoal'!$F$513:$F$522)*OFFSET('Encargos e Benefícios'!$D$511,1,MATCH($B51,'Encargos e Benefícios'!$E$511:$AB$511,0),10,1)),0)+_xlfn.IFNA(SUM((K$3&gt;='Gastos com Pessoal'!$E$7:$E$506)*(K$3&lt;='Gastos com Pessoal'!$F$7:$F$506)*(IF('Gastos com Pessoal'!$G$7:$G$506&lt;=K$3,1,0))*OFFSET('Gastos com Pessoal'!$H$6,1,MATCH(1&amp;$B51,'Gastos com Pessoal'!$I$532:$AJ$532&amp;'Gastos com Pessoal'!$I$6:$AJ$6,0),500,1)),0)+_xlfn.IFNA(SUM((K$3&gt;='Gastos com Pessoal'!$E$7:$E$506)*(K$3&lt;='Gastos com Pessoal'!$F$7:$F$506)*(IF('Gastos com Pessoal'!$M$7:$M$506&lt;=K$3,1,0))*OFFSET('Gastos com Pessoal'!$H$6,1,MATCH(2&amp;$B51,'Gastos com Pessoal'!$I$532:$AJ$532&amp;'Gastos com Pessoal'!$I$6:$AJ$6,0),500,1)),0)+_xlfn.IFNA(SUM((K$3&gt;='Gastos com Pessoal'!$E$7:$E$506)*(K$3&lt;='Gastos com Pessoal'!$F$7:$F$506)*(IF('Gastos com Pessoal'!$S$7:$S$506&lt;=K$3,1,0))*OFFSET('Gastos com Pessoal'!$H$6,1,MATCH(3&amp;$B51,'Gastos com Pessoal'!$I$532:$AJ$532&amp;'Gastos com Pessoal'!$I$6:$AJ$6,0),500,1)),0)+_xlfn.IFNA(SUM((K$3&gt;='Gastos com Pessoal'!$E$7:$E$506)*(K$3&lt;='Gastos com Pessoal'!$F$7:$F$506)*(IF('Gastos com Pessoal'!$Y$7:$Y$506&lt;=K$3,1,0))*OFFSET('Gastos com Pessoal'!$H$6,1,MATCH(4&amp;$B51,'Gastos com Pessoal'!$I$532:$AJ$532&amp;'Gastos com Pessoal'!$I$6:$AJ$6,0),500,1)),0)+_xlfn.IFNA(SUM((K$3&gt;='Gastos com Pessoal'!$E$7:$E$506)*(K$3&lt;='Gastos com Pessoal'!$F$7:$F$506)*(IF('Gastos com Pessoal'!$AE$7:$AE$506&lt;=K$3,1,0))*OFFSET('Gastos com Pessoal'!$H$6,1,MATCH(5&amp;$B51,'Gastos com Pessoal'!$I$532:$AJ$532&amp;'Gastos com Pessoal'!$I$6:$AJ$6,0),500,1)),0)+_xlfn.IFNA(SUM((K$3&gt;='Gastos com Pessoal'!$E$513:$E$522)*(K$3&lt;='Gastos com Pessoal'!$F$513:$F$522)*(IF('Gastos com Pessoal'!$G$513:$G$522&lt;=K$3,1,0))*OFFSET('Gastos com Pessoal'!$H$512,1,MATCH(1&amp;$B51,'Gastos com Pessoal'!$I$532:$AJ$532&amp;'Gastos com Pessoal'!$I$512:$AJ$512,0),10,1)),0)+_xlfn.IFNA(SUM((K$3&gt;='Gastos com Pessoal'!$E$513:$E$522)*(K$3&lt;='Gastos com Pessoal'!$F$513:$F$522)*(IF('Gastos com Pessoal'!$M$513:$M$522&lt;=K$3,1,0))*OFFSET('Gastos com Pessoal'!$H$512,1,MATCH(2&amp;$B51,'Gastos com Pessoal'!$I$532:$AJ$532&amp;'Gastos com Pessoal'!$I$512:$AJ$512,0),10,1)),0)+_xlfn.IFNA(SUM((K$3&gt;='Gastos com Pessoal'!$E$513:$E$522)*(K$3&lt;='Gastos com Pessoal'!$F$513:$F$522)*(IF('Gastos com Pessoal'!$S$513:$S$522&lt;=K$3,1,0))*OFFSET('Gastos com Pessoal'!$H$512,1,MATCH(3&amp;$B51,'Gastos com Pessoal'!$I$532:$AJ$532&amp;'Gastos com Pessoal'!$I$512:$AJ$512,0),10,1)),0)+_xlfn.IFNA(SUM((K$3&gt;='Gastos com Pessoal'!$E$513:$E$522)*(K$3&lt;='Gastos com Pessoal'!$F$513:$F$522)*(IF('Gastos com Pessoal'!$Y$513:$Y$522&lt;=K$3,1,0))*OFFSET('Gastos com Pessoal'!$H$512,1,MATCH(4&amp;$B51,'Gastos com Pessoal'!$I$532:$AJ$532&amp;'Gastos com Pessoal'!$I$512:$AJ$512,0),10,1)),0)+_xlfn.IFNA(SUM((K$3&gt;='Gastos com Pessoal'!$E$513:$E$522)*(K$3&lt;='Gastos com Pessoal'!$F$513:$F$522)*(IF('Gastos com Pessoal'!$AE$513:$AE$522&lt;=K$3,1,0))*OFFSET('Gastos com Pessoal'!$H$512,1,MATCH(5&amp;$B51,'Gastos com Pessoal'!$I$532:$AJ$532&amp;'Gastos com Pessoal'!$I$512:$AJ$512,0),10,1)),0)</f>
        <v>6678.4299999999748</v>
      </c>
      <c r="L51" s="188">
        <f t="array" aca="1" ref="L51" ca="1">_xlfn.IFNA(SUM((L$3&gt;='Gastos com Pessoal'!$E$7:$E$506)*(L$3&lt;='Gastos com Pessoal'!$F$7:$F$506)*OFFSET('Encargos e Benefícios'!$D$5,1,MATCH($B51,'Encargos e Benefícios'!$E$5:$AB$5,0),500,1)),0)+_xlfn.IFNA(SUM((L$3&gt;='Gastos com Pessoal'!$E$513:$E$522)*(L$3&lt;='Gastos com Pessoal'!$F$513:$F$522)*OFFSET('Encargos e Benefícios'!$D$511,1,MATCH($B51,'Encargos e Benefícios'!$E$511:$AB$511,0),10,1)),0)+_xlfn.IFNA(SUM((L$3&gt;='Gastos com Pessoal'!$E$7:$E$506)*(L$3&lt;='Gastos com Pessoal'!$F$7:$F$506)*(IF('Gastos com Pessoal'!$G$7:$G$506&lt;=L$3,1,0))*OFFSET('Gastos com Pessoal'!$H$6,1,MATCH(1&amp;$B51,'Gastos com Pessoal'!$I$532:$AJ$532&amp;'Gastos com Pessoal'!$I$6:$AJ$6,0),500,1)),0)+_xlfn.IFNA(SUM((L$3&gt;='Gastos com Pessoal'!$E$7:$E$506)*(L$3&lt;='Gastos com Pessoal'!$F$7:$F$506)*(IF('Gastos com Pessoal'!$M$7:$M$506&lt;=L$3,1,0))*OFFSET('Gastos com Pessoal'!$H$6,1,MATCH(2&amp;$B51,'Gastos com Pessoal'!$I$532:$AJ$532&amp;'Gastos com Pessoal'!$I$6:$AJ$6,0),500,1)),0)+_xlfn.IFNA(SUM((L$3&gt;='Gastos com Pessoal'!$E$7:$E$506)*(L$3&lt;='Gastos com Pessoal'!$F$7:$F$506)*(IF('Gastos com Pessoal'!$S$7:$S$506&lt;=L$3,1,0))*OFFSET('Gastos com Pessoal'!$H$6,1,MATCH(3&amp;$B51,'Gastos com Pessoal'!$I$532:$AJ$532&amp;'Gastos com Pessoal'!$I$6:$AJ$6,0),500,1)),0)+_xlfn.IFNA(SUM((L$3&gt;='Gastos com Pessoal'!$E$7:$E$506)*(L$3&lt;='Gastos com Pessoal'!$F$7:$F$506)*(IF('Gastos com Pessoal'!$Y$7:$Y$506&lt;=L$3,1,0))*OFFSET('Gastos com Pessoal'!$H$6,1,MATCH(4&amp;$B51,'Gastos com Pessoal'!$I$532:$AJ$532&amp;'Gastos com Pessoal'!$I$6:$AJ$6,0),500,1)),0)+_xlfn.IFNA(SUM((L$3&gt;='Gastos com Pessoal'!$E$7:$E$506)*(L$3&lt;='Gastos com Pessoal'!$F$7:$F$506)*(IF('Gastos com Pessoal'!$AE$7:$AE$506&lt;=L$3,1,0))*OFFSET('Gastos com Pessoal'!$H$6,1,MATCH(5&amp;$B51,'Gastos com Pessoal'!$I$532:$AJ$532&amp;'Gastos com Pessoal'!$I$6:$AJ$6,0),500,1)),0)+_xlfn.IFNA(SUM((L$3&gt;='Gastos com Pessoal'!$E$513:$E$522)*(L$3&lt;='Gastos com Pessoal'!$F$513:$F$522)*(IF('Gastos com Pessoal'!$G$513:$G$522&lt;=L$3,1,0))*OFFSET('Gastos com Pessoal'!$H$512,1,MATCH(1&amp;$B51,'Gastos com Pessoal'!$I$532:$AJ$532&amp;'Gastos com Pessoal'!$I$512:$AJ$512,0),10,1)),0)+_xlfn.IFNA(SUM((L$3&gt;='Gastos com Pessoal'!$E$513:$E$522)*(L$3&lt;='Gastos com Pessoal'!$F$513:$F$522)*(IF('Gastos com Pessoal'!$M$513:$M$522&lt;=L$3,1,0))*OFFSET('Gastos com Pessoal'!$H$512,1,MATCH(2&amp;$B51,'Gastos com Pessoal'!$I$532:$AJ$532&amp;'Gastos com Pessoal'!$I$512:$AJ$512,0),10,1)),0)+_xlfn.IFNA(SUM((L$3&gt;='Gastos com Pessoal'!$E$513:$E$522)*(L$3&lt;='Gastos com Pessoal'!$F$513:$F$522)*(IF('Gastos com Pessoal'!$S$513:$S$522&lt;=L$3,1,0))*OFFSET('Gastos com Pessoal'!$H$512,1,MATCH(3&amp;$B51,'Gastos com Pessoal'!$I$532:$AJ$532&amp;'Gastos com Pessoal'!$I$512:$AJ$512,0),10,1)),0)+_xlfn.IFNA(SUM((L$3&gt;='Gastos com Pessoal'!$E$513:$E$522)*(L$3&lt;='Gastos com Pessoal'!$F$513:$F$522)*(IF('Gastos com Pessoal'!$Y$513:$Y$522&lt;=L$3,1,0))*OFFSET('Gastos com Pessoal'!$H$512,1,MATCH(4&amp;$B51,'Gastos com Pessoal'!$I$532:$AJ$532&amp;'Gastos com Pessoal'!$I$512:$AJ$512,0),10,1)),0)+_xlfn.IFNA(SUM((L$3&gt;='Gastos com Pessoal'!$E$513:$E$522)*(L$3&lt;='Gastos com Pessoal'!$F$513:$F$522)*(IF('Gastos com Pessoal'!$AE$513:$AE$522&lt;=L$3,1,0))*OFFSET('Gastos com Pessoal'!$H$512,1,MATCH(5&amp;$B51,'Gastos com Pessoal'!$I$532:$AJ$532&amp;'Gastos com Pessoal'!$I$512:$AJ$512,0),10,1)),0)</f>
        <v>6699.8499999999749</v>
      </c>
      <c r="M51" s="188">
        <f t="array" aca="1" ref="M51" ca="1">_xlfn.IFNA(SUM((M$3&gt;='Gastos com Pessoal'!$E$7:$E$506)*(M$3&lt;='Gastos com Pessoal'!$F$7:$F$506)*OFFSET('Encargos e Benefícios'!$D$5,1,MATCH($B51,'Encargos e Benefícios'!$E$5:$AB$5,0),500,1)),0)+_xlfn.IFNA(SUM((M$3&gt;='Gastos com Pessoal'!$E$513:$E$522)*(M$3&lt;='Gastos com Pessoal'!$F$513:$F$522)*OFFSET('Encargos e Benefícios'!$D$511,1,MATCH($B51,'Encargos e Benefícios'!$E$511:$AB$511,0),10,1)),0)+_xlfn.IFNA(SUM((M$3&gt;='Gastos com Pessoal'!$E$7:$E$506)*(M$3&lt;='Gastos com Pessoal'!$F$7:$F$506)*(IF('Gastos com Pessoal'!$G$7:$G$506&lt;=M$3,1,0))*OFFSET('Gastos com Pessoal'!$H$6,1,MATCH(1&amp;$B51,'Gastos com Pessoal'!$I$532:$AJ$532&amp;'Gastos com Pessoal'!$I$6:$AJ$6,0),500,1)),0)+_xlfn.IFNA(SUM((M$3&gt;='Gastos com Pessoal'!$E$7:$E$506)*(M$3&lt;='Gastos com Pessoal'!$F$7:$F$506)*(IF('Gastos com Pessoal'!$M$7:$M$506&lt;=M$3,1,0))*OFFSET('Gastos com Pessoal'!$H$6,1,MATCH(2&amp;$B51,'Gastos com Pessoal'!$I$532:$AJ$532&amp;'Gastos com Pessoal'!$I$6:$AJ$6,0),500,1)),0)+_xlfn.IFNA(SUM((M$3&gt;='Gastos com Pessoal'!$E$7:$E$506)*(M$3&lt;='Gastos com Pessoal'!$F$7:$F$506)*(IF('Gastos com Pessoal'!$S$7:$S$506&lt;=M$3,1,0))*OFFSET('Gastos com Pessoal'!$H$6,1,MATCH(3&amp;$B51,'Gastos com Pessoal'!$I$532:$AJ$532&amp;'Gastos com Pessoal'!$I$6:$AJ$6,0),500,1)),0)+_xlfn.IFNA(SUM((M$3&gt;='Gastos com Pessoal'!$E$7:$E$506)*(M$3&lt;='Gastos com Pessoal'!$F$7:$F$506)*(IF('Gastos com Pessoal'!$Y$7:$Y$506&lt;=M$3,1,0))*OFFSET('Gastos com Pessoal'!$H$6,1,MATCH(4&amp;$B51,'Gastos com Pessoal'!$I$532:$AJ$532&amp;'Gastos com Pessoal'!$I$6:$AJ$6,0),500,1)),0)+_xlfn.IFNA(SUM((M$3&gt;='Gastos com Pessoal'!$E$7:$E$506)*(M$3&lt;='Gastos com Pessoal'!$F$7:$F$506)*(IF('Gastos com Pessoal'!$AE$7:$AE$506&lt;=M$3,1,0))*OFFSET('Gastos com Pessoal'!$H$6,1,MATCH(5&amp;$B51,'Gastos com Pessoal'!$I$532:$AJ$532&amp;'Gastos com Pessoal'!$I$6:$AJ$6,0),500,1)),0)+_xlfn.IFNA(SUM((M$3&gt;='Gastos com Pessoal'!$E$513:$E$522)*(M$3&lt;='Gastos com Pessoal'!$F$513:$F$522)*(IF('Gastos com Pessoal'!$G$513:$G$522&lt;=M$3,1,0))*OFFSET('Gastos com Pessoal'!$H$512,1,MATCH(1&amp;$B51,'Gastos com Pessoal'!$I$532:$AJ$532&amp;'Gastos com Pessoal'!$I$512:$AJ$512,0),10,1)),0)+_xlfn.IFNA(SUM((M$3&gt;='Gastos com Pessoal'!$E$513:$E$522)*(M$3&lt;='Gastos com Pessoal'!$F$513:$F$522)*(IF('Gastos com Pessoal'!$M$513:$M$522&lt;=M$3,1,0))*OFFSET('Gastos com Pessoal'!$H$512,1,MATCH(2&amp;$B51,'Gastos com Pessoal'!$I$532:$AJ$532&amp;'Gastos com Pessoal'!$I$512:$AJ$512,0),10,1)),0)+_xlfn.IFNA(SUM((M$3&gt;='Gastos com Pessoal'!$E$513:$E$522)*(M$3&lt;='Gastos com Pessoal'!$F$513:$F$522)*(IF('Gastos com Pessoal'!$S$513:$S$522&lt;=M$3,1,0))*OFFSET('Gastos com Pessoal'!$H$512,1,MATCH(3&amp;$B51,'Gastos com Pessoal'!$I$532:$AJ$532&amp;'Gastos com Pessoal'!$I$512:$AJ$512,0),10,1)),0)+_xlfn.IFNA(SUM((M$3&gt;='Gastos com Pessoal'!$E$513:$E$522)*(M$3&lt;='Gastos com Pessoal'!$F$513:$F$522)*(IF('Gastos com Pessoal'!$Y$513:$Y$522&lt;=M$3,1,0))*OFFSET('Gastos com Pessoal'!$H$512,1,MATCH(4&amp;$B51,'Gastos com Pessoal'!$I$532:$AJ$532&amp;'Gastos com Pessoal'!$I$512:$AJ$512,0),10,1)),0)+_xlfn.IFNA(SUM((M$3&gt;='Gastos com Pessoal'!$E$513:$E$522)*(M$3&lt;='Gastos com Pessoal'!$F$513:$F$522)*(IF('Gastos com Pessoal'!$AE$513:$AE$522&lt;=M$3,1,0))*OFFSET('Gastos com Pessoal'!$H$512,1,MATCH(5&amp;$B51,'Gastos com Pessoal'!$I$532:$AJ$532&amp;'Gastos com Pessoal'!$I$512:$AJ$512,0),10,1)),0)</f>
        <v>6699.8499999999749</v>
      </c>
      <c r="N51" s="188">
        <f t="array" aca="1" ref="N51" ca="1">_xlfn.IFNA(SUM((N$3&gt;='Gastos com Pessoal'!$E$7:$E$506)*(N$3&lt;='Gastos com Pessoal'!$F$7:$F$506)*OFFSET('Encargos e Benefícios'!$D$5,1,MATCH($B51,'Encargos e Benefícios'!$E$5:$AB$5,0),500,1)),0)+_xlfn.IFNA(SUM((N$3&gt;='Gastos com Pessoal'!$E$513:$E$522)*(N$3&lt;='Gastos com Pessoal'!$F$513:$F$522)*OFFSET('Encargos e Benefícios'!$D$511,1,MATCH($B51,'Encargos e Benefícios'!$E$511:$AB$511,0),10,1)),0)+_xlfn.IFNA(SUM((N$3&gt;='Gastos com Pessoal'!$E$7:$E$506)*(N$3&lt;='Gastos com Pessoal'!$F$7:$F$506)*(IF('Gastos com Pessoal'!$G$7:$G$506&lt;=N$3,1,0))*OFFSET('Gastos com Pessoal'!$H$6,1,MATCH(1&amp;$B51,'Gastos com Pessoal'!$I$532:$AJ$532&amp;'Gastos com Pessoal'!$I$6:$AJ$6,0),500,1)),0)+_xlfn.IFNA(SUM((N$3&gt;='Gastos com Pessoal'!$E$7:$E$506)*(N$3&lt;='Gastos com Pessoal'!$F$7:$F$506)*(IF('Gastos com Pessoal'!$M$7:$M$506&lt;=N$3,1,0))*OFFSET('Gastos com Pessoal'!$H$6,1,MATCH(2&amp;$B51,'Gastos com Pessoal'!$I$532:$AJ$532&amp;'Gastos com Pessoal'!$I$6:$AJ$6,0),500,1)),0)+_xlfn.IFNA(SUM((N$3&gt;='Gastos com Pessoal'!$E$7:$E$506)*(N$3&lt;='Gastos com Pessoal'!$F$7:$F$506)*(IF('Gastos com Pessoal'!$S$7:$S$506&lt;=N$3,1,0))*OFFSET('Gastos com Pessoal'!$H$6,1,MATCH(3&amp;$B51,'Gastos com Pessoal'!$I$532:$AJ$532&amp;'Gastos com Pessoal'!$I$6:$AJ$6,0),500,1)),0)+_xlfn.IFNA(SUM((N$3&gt;='Gastos com Pessoal'!$E$7:$E$506)*(N$3&lt;='Gastos com Pessoal'!$F$7:$F$506)*(IF('Gastos com Pessoal'!$Y$7:$Y$506&lt;=N$3,1,0))*OFFSET('Gastos com Pessoal'!$H$6,1,MATCH(4&amp;$B51,'Gastos com Pessoal'!$I$532:$AJ$532&amp;'Gastos com Pessoal'!$I$6:$AJ$6,0),500,1)),0)+_xlfn.IFNA(SUM((N$3&gt;='Gastos com Pessoal'!$E$7:$E$506)*(N$3&lt;='Gastos com Pessoal'!$F$7:$F$506)*(IF('Gastos com Pessoal'!$AE$7:$AE$506&lt;=N$3,1,0))*OFFSET('Gastos com Pessoal'!$H$6,1,MATCH(5&amp;$B51,'Gastos com Pessoal'!$I$532:$AJ$532&amp;'Gastos com Pessoal'!$I$6:$AJ$6,0),500,1)),0)+_xlfn.IFNA(SUM((N$3&gt;='Gastos com Pessoal'!$E$513:$E$522)*(N$3&lt;='Gastos com Pessoal'!$F$513:$F$522)*(IF('Gastos com Pessoal'!$G$513:$G$522&lt;=N$3,1,0))*OFFSET('Gastos com Pessoal'!$H$512,1,MATCH(1&amp;$B51,'Gastos com Pessoal'!$I$532:$AJ$532&amp;'Gastos com Pessoal'!$I$512:$AJ$512,0),10,1)),0)+_xlfn.IFNA(SUM((N$3&gt;='Gastos com Pessoal'!$E$513:$E$522)*(N$3&lt;='Gastos com Pessoal'!$F$513:$F$522)*(IF('Gastos com Pessoal'!$M$513:$M$522&lt;=N$3,1,0))*OFFSET('Gastos com Pessoal'!$H$512,1,MATCH(2&amp;$B51,'Gastos com Pessoal'!$I$532:$AJ$532&amp;'Gastos com Pessoal'!$I$512:$AJ$512,0),10,1)),0)+_xlfn.IFNA(SUM((N$3&gt;='Gastos com Pessoal'!$E$513:$E$522)*(N$3&lt;='Gastos com Pessoal'!$F$513:$F$522)*(IF('Gastos com Pessoal'!$S$513:$S$522&lt;=N$3,1,0))*OFFSET('Gastos com Pessoal'!$H$512,1,MATCH(3&amp;$B51,'Gastos com Pessoal'!$I$532:$AJ$532&amp;'Gastos com Pessoal'!$I$512:$AJ$512,0),10,1)),0)+_xlfn.IFNA(SUM((N$3&gt;='Gastos com Pessoal'!$E$513:$E$522)*(N$3&lt;='Gastos com Pessoal'!$F$513:$F$522)*(IF('Gastos com Pessoal'!$Y$513:$Y$522&lt;=N$3,1,0))*OFFSET('Gastos com Pessoal'!$H$512,1,MATCH(4&amp;$B51,'Gastos com Pessoal'!$I$532:$AJ$532&amp;'Gastos com Pessoal'!$I$512:$AJ$512,0),10,1)),0)+_xlfn.IFNA(SUM((N$3&gt;='Gastos com Pessoal'!$E$513:$E$522)*(N$3&lt;='Gastos com Pessoal'!$F$513:$F$522)*(IF('Gastos com Pessoal'!$AE$513:$AE$522&lt;=N$3,1,0))*OFFSET('Gastos com Pessoal'!$H$512,1,MATCH(5&amp;$B51,'Gastos com Pessoal'!$I$532:$AJ$532&amp;'Gastos com Pessoal'!$I$512:$AJ$512,0),10,1)),0)</f>
        <v>7031.859999999976</v>
      </c>
      <c r="O51" s="188">
        <f t="array" aca="1" ref="O51" ca="1">_xlfn.IFNA(SUM((O$3&gt;='Gastos com Pessoal'!$E$7:$E$506)*(O$3&lt;='Gastos com Pessoal'!$F$7:$F$506)*OFFSET('Encargos e Benefícios'!$D$5,1,MATCH($B51,'Encargos e Benefícios'!$E$5:$AB$5,0),500,1)),0)+_xlfn.IFNA(SUM((O$3&gt;='Gastos com Pessoal'!$E$513:$E$522)*(O$3&lt;='Gastos com Pessoal'!$F$513:$F$522)*OFFSET('Encargos e Benefícios'!$D$511,1,MATCH($B51,'Encargos e Benefícios'!$E$511:$AB$511,0),10,1)),0)+_xlfn.IFNA(SUM((O$3&gt;='Gastos com Pessoal'!$E$7:$E$506)*(O$3&lt;='Gastos com Pessoal'!$F$7:$F$506)*(IF('Gastos com Pessoal'!$G$7:$G$506&lt;=O$3,1,0))*OFFSET('Gastos com Pessoal'!$H$6,1,MATCH(1&amp;$B51,'Gastos com Pessoal'!$I$532:$AJ$532&amp;'Gastos com Pessoal'!$I$6:$AJ$6,0),500,1)),0)+_xlfn.IFNA(SUM((O$3&gt;='Gastos com Pessoal'!$E$7:$E$506)*(O$3&lt;='Gastos com Pessoal'!$F$7:$F$506)*(IF('Gastos com Pessoal'!$M$7:$M$506&lt;=O$3,1,0))*OFFSET('Gastos com Pessoal'!$H$6,1,MATCH(2&amp;$B51,'Gastos com Pessoal'!$I$532:$AJ$532&amp;'Gastos com Pessoal'!$I$6:$AJ$6,0),500,1)),0)+_xlfn.IFNA(SUM((O$3&gt;='Gastos com Pessoal'!$E$7:$E$506)*(O$3&lt;='Gastos com Pessoal'!$F$7:$F$506)*(IF('Gastos com Pessoal'!$S$7:$S$506&lt;=O$3,1,0))*OFFSET('Gastos com Pessoal'!$H$6,1,MATCH(3&amp;$B51,'Gastos com Pessoal'!$I$532:$AJ$532&amp;'Gastos com Pessoal'!$I$6:$AJ$6,0),500,1)),0)+_xlfn.IFNA(SUM((O$3&gt;='Gastos com Pessoal'!$E$7:$E$506)*(O$3&lt;='Gastos com Pessoal'!$F$7:$F$506)*(IF('Gastos com Pessoal'!$Y$7:$Y$506&lt;=O$3,1,0))*OFFSET('Gastos com Pessoal'!$H$6,1,MATCH(4&amp;$B51,'Gastos com Pessoal'!$I$532:$AJ$532&amp;'Gastos com Pessoal'!$I$6:$AJ$6,0),500,1)),0)+_xlfn.IFNA(SUM((O$3&gt;='Gastos com Pessoal'!$E$7:$E$506)*(O$3&lt;='Gastos com Pessoal'!$F$7:$F$506)*(IF('Gastos com Pessoal'!$AE$7:$AE$506&lt;=O$3,1,0))*OFFSET('Gastos com Pessoal'!$H$6,1,MATCH(5&amp;$B51,'Gastos com Pessoal'!$I$532:$AJ$532&amp;'Gastos com Pessoal'!$I$6:$AJ$6,0),500,1)),0)+_xlfn.IFNA(SUM((O$3&gt;='Gastos com Pessoal'!$E$513:$E$522)*(O$3&lt;='Gastos com Pessoal'!$F$513:$F$522)*(IF('Gastos com Pessoal'!$G$513:$G$522&lt;=O$3,1,0))*OFFSET('Gastos com Pessoal'!$H$512,1,MATCH(1&amp;$B51,'Gastos com Pessoal'!$I$532:$AJ$532&amp;'Gastos com Pessoal'!$I$512:$AJ$512,0),10,1)),0)+_xlfn.IFNA(SUM((O$3&gt;='Gastos com Pessoal'!$E$513:$E$522)*(O$3&lt;='Gastos com Pessoal'!$F$513:$F$522)*(IF('Gastos com Pessoal'!$M$513:$M$522&lt;=O$3,1,0))*OFFSET('Gastos com Pessoal'!$H$512,1,MATCH(2&amp;$B51,'Gastos com Pessoal'!$I$532:$AJ$532&amp;'Gastos com Pessoal'!$I$512:$AJ$512,0),10,1)),0)+_xlfn.IFNA(SUM((O$3&gt;='Gastos com Pessoal'!$E$513:$E$522)*(O$3&lt;='Gastos com Pessoal'!$F$513:$F$522)*(IF('Gastos com Pessoal'!$S$513:$S$522&lt;=O$3,1,0))*OFFSET('Gastos com Pessoal'!$H$512,1,MATCH(3&amp;$B51,'Gastos com Pessoal'!$I$532:$AJ$532&amp;'Gastos com Pessoal'!$I$512:$AJ$512,0),10,1)),0)+_xlfn.IFNA(SUM((O$3&gt;='Gastos com Pessoal'!$E$513:$E$522)*(O$3&lt;='Gastos com Pessoal'!$F$513:$F$522)*(IF('Gastos com Pessoal'!$Y$513:$Y$522&lt;=O$3,1,0))*OFFSET('Gastos com Pessoal'!$H$512,1,MATCH(4&amp;$B51,'Gastos com Pessoal'!$I$532:$AJ$532&amp;'Gastos com Pessoal'!$I$512:$AJ$512,0),10,1)),0)+_xlfn.IFNA(SUM((O$3&gt;='Gastos com Pessoal'!$E$513:$E$522)*(O$3&lt;='Gastos com Pessoal'!$F$513:$F$522)*(IF('Gastos com Pessoal'!$AE$513:$AE$522&lt;=O$3,1,0))*OFFSET('Gastos com Pessoal'!$H$512,1,MATCH(5&amp;$B51,'Gastos com Pessoal'!$I$532:$AJ$532&amp;'Gastos com Pessoal'!$I$512:$AJ$512,0),10,1)),0)</f>
        <v>7031.859999999976</v>
      </c>
      <c r="P51" s="188">
        <f t="array" aca="1" ref="P51" ca="1">_xlfn.IFNA(SUM((P$3&gt;='Gastos com Pessoal'!$E$7:$E$506)*(P$3&lt;='Gastos com Pessoal'!$F$7:$F$506)*OFFSET('Encargos e Benefícios'!$D$5,1,MATCH($B51,'Encargos e Benefícios'!$E$5:$AB$5,0),500,1)),0)+_xlfn.IFNA(SUM((P$3&gt;='Gastos com Pessoal'!$E$513:$E$522)*(P$3&lt;='Gastos com Pessoal'!$F$513:$F$522)*OFFSET('Encargos e Benefícios'!$D$511,1,MATCH($B51,'Encargos e Benefícios'!$E$511:$AB$511,0),10,1)),0)+_xlfn.IFNA(SUM((P$3&gt;='Gastos com Pessoal'!$E$7:$E$506)*(P$3&lt;='Gastos com Pessoal'!$F$7:$F$506)*(IF('Gastos com Pessoal'!$G$7:$G$506&lt;=P$3,1,0))*OFFSET('Gastos com Pessoal'!$H$6,1,MATCH(1&amp;$B51,'Gastos com Pessoal'!$I$532:$AJ$532&amp;'Gastos com Pessoal'!$I$6:$AJ$6,0),500,1)),0)+_xlfn.IFNA(SUM((P$3&gt;='Gastos com Pessoal'!$E$7:$E$506)*(P$3&lt;='Gastos com Pessoal'!$F$7:$F$506)*(IF('Gastos com Pessoal'!$M$7:$M$506&lt;=P$3,1,0))*OFFSET('Gastos com Pessoal'!$H$6,1,MATCH(2&amp;$B51,'Gastos com Pessoal'!$I$532:$AJ$532&amp;'Gastos com Pessoal'!$I$6:$AJ$6,0),500,1)),0)+_xlfn.IFNA(SUM((P$3&gt;='Gastos com Pessoal'!$E$7:$E$506)*(P$3&lt;='Gastos com Pessoal'!$F$7:$F$506)*(IF('Gastos com Pessoal'!$S$7:$S$506&lt;=P$3,1,0))*OFFSET('Gastos com Pessoal'!$H$6,1,MATCH(3&amp;$B51,'Gastos com Pessoal'!$I$532:$AJ$532&amp;'Gastos com Pessoal'!$I$6:$AJ$6,0),500,1)),0)+_xlfn.IFNA(SUM((P$3&gt;='Gastos com Pessoal'!$E$7:$E$506)*(P$3&lt;='Gastos com Pessoal'!$F$7:$F$506)*(IF('Gastos com Pessoal'!$Y$7:$Y$506&lt;=P$3,1,0))*OFFSET('Gastos com Pessoal'!$H$6,1,MATCH(4&amp;$B51,'Gastos com Pessoal'!$I$532:$AJ$532&amp;'Gastos com Pessoal'!$I$6:$AJ$6,0),500,1)),0)+_xlfn.IFNA(SUM((P$3&gt;='Gastos com Pessoal'!$E$7:$E$506)*(P$3&lt;='Gastos com Pessoal'!$F$7:$F$506)*(IF('Gastos com Pessoal'!$AE$7:$AE$506&lt;=P$3,1,0))*OFFSET('Gastos com Pessoal'!$H$6,1,MATCH(5&amp;$B51,'Gastos com Pessoal'!$I$532:$AJ$532&amp;'Gastos com Pessoal'!$I$6:$AJ$6,0),500,1)),0)+_xlfn.IFNA(SUM((P$3&gt;='Gastos com Pessoal'!$E$513:$E$522)*(P$3&lt;='Gastos com Pessoal'!$F$513:$F$522)*(IF('Gastos com Pessoal'!$G$513:$G$522&lt;=P$3,1,0))*OFFSET('Gastos com Pessoal'!$H$512,1,MATCH(1&amp;$B51,'Gastos com Pessoal'!$I$532:$AJ$532&amp;'Gastos com Pessoal'!$I$512:$AJ$512,0),10,1)),0)+_xlfn.IFNA(SUM((P$3&gt;='Gastos com Pessoal'!$E$513:$E$522)*(P$3&lt;='Gastos com Pessoal'!$F$513:$F$522)*(IF('Gastos com Pessoal'!$M$513:$M$522&lt;=P$3,1,0))*OFFSET('Gastos com Pessoal'!$H$512,1,MATCH(2&amp;$B51,'Gastos com Pessoal'!$I$532:$AJ$532&amp;'Gastos com Pessoal'!$I$512:$AJ$512,0),10,1)),0)+_xlfn.IFNA(SUM((P$3&gt;='Gastos com Pessoal'!$E$513:$E$522)*(P$3&lt;='Gastos com Pessoal'!$F$513:$F$522)*(IF('Gastos com Pessoal'!$S$513:$S$522&lt;=P$3,1,0))*OFFSET('Gastos com Pessoal'!$H$512,1,MATCH(3&amp;$B51,'Gastos com Pessoal'!$I$532:$AJ$532&amp;'Gastos com Pessoal'!$I$512:$AJ$512,0),10,1)),0)+_xlfn.IFNA(SUM((P$3&gt;='Gastos com Pessoal'!$E$513:$E$522)*(P$3&lt;='Gastos com Pessoal'!$F$513:$F$522)*(IF('Gastos com Pessoal'!$Y$513:$Y$522&lt;=P$3,1,0))*OFFSET('Gastos com Pessoal'!$H$512,1,MATCH(4&amp;$B51,'Gastos com Pessoal'!$I$532:$AJ$532&amp;'Gastos com Pessoal'!$I$512:$AJ$512,0),10,1)),0)+_xlfn.IFNA(SUM((P$3&gt;='Gastos com Pessoal'!$E$513:$E$522)*(P$3&lt;='Gastos com Pessoal'!$F$513:$F$522)*(IF('Gastos com Pessoal'!$AE$513:$AE$522&lt;=P$3,1,0))*OFFSET('Gastos com Pessoal'!$H$512,1,MATCH(5&amp;$B51,'Gastos com Pessoal'!$I$532:$AJ$532&amp;'Gastos com Pessoal'!$I$512:$AJ$512,0),10,1)),0)</f>
        <v>7031.859999999976</v>
      </c>
      <c r="Q51" s="188">
        <f t="array" aca="1" ref="Q51" ca="1">_xlfn.IFNA(SUM((Q$3&gt;='Gastos com Pessoal'!$E$7:$E$506)*(Q$3&lt;='Gastos com Pessoal'!$F$7:$F$506)*OFFSET('Encargos e Benefícios'!$D$5,1,MATCH($B51,'Encargos e Benefícios'!$E$5:$AB$5,0),500,1)),0)+_xlfn.IFNA(SUM((Q$3&gt;='Gastos com Pessoal'!$E$513:$E$522)*(Q$3&lt;='Gastos com Pessoal'!$F$513:$F$522)*OFFSET('Encargos e Benefícios'!$D$511,1,MATCH($B51,'Encargos e Benefícios'!$E$511:$AB$511,0),10,1)),0)+_xlfn.IFNA(SUM((Q$3&gt;='Gastos com Pessoal'!$E$7:$E$506)*(Q$3&lt;='Gastos com Pessoal'!$F$7:$F$506)*(IF('Gastos com Pessoal'!$G$7:$G$506&lt;=Q$3,1,0))*OFFSET('Gastos com Pessoal'!$H$6,1,MATCH(1&amp;$B51,'Gastos com Pessoal'!$I$532:$AJ$532&amp;'Gastos com Pessoal'!$I$6:$AJ$6,0),500,1)),0)+_xlfn.IFNA(SUM((Q$3&gt;='Gastos com Pessoal'!$E$7:$E$506)*(Q$3&lt;='Gastos com Pessoal'!$F$7:$F$506)*(IF('Gastos com Pessoal'!$M$7:$M$506&lt;=Q$3,1,0))*OFFSET('Gastos com Pessoal'!$H$6,1,MATCH(2&amp;$B51,'Gastos com Pessoal'!$I$532:$AJ$532&amp;'Gastos com Pessoal'!$I$6:$AJ$6,0),500,1)),0)+_xlfn.IFNA(SUM((Q$3&gt;='Gastos com Pessoal'!$E$7:$E$506)*(Q$3&lt;='Gastos com Pessoal'!$F$7:$F$506)*(IF('Gastos com Pessoal'!$S$7:$S$506&lt;=Q$3,1,0))*OFFSET('Gastos com Pessoal'!$H$6,1,MATCH(3&amp;$B51,'Gastos com Pessoal'!$I$532:$AJ$532&amp;'Gastos com Pessoal'!$I$6:$AJ$6,0),500,1)),0)+_xlfn.IFNA(SUM((Q$3&gt;='Gastos com Pessoal'!$E$7:$E$506)*(Q$3&lt;='Gastos com Pessoal'!$F$7:$F$506)*(IF('Gastos com Pessoal'!$Y$7:$Y$506&lt;=Q$3,1,0))*OFFSET('Gastos com Pessoal'!$H$6,1,MATCH(4&amp;$B51,'Gastos com Pessoal'!$I$532:$AJ$532&amp;'Gastos com Pessoal'!$I$6:$AJ$6,0),500,1)),0)+_xlfn.IFNA(SUM((Q$3&gt;='Gastos com Pessoal'!$E$7:$E$506)*(Q$3&lt;='Gastos com Pessoal'!$F$7:$F$506)*(IF('Gastos com Pessoal'!$AE$7:$AE$506&lt;=Q$3,1,0))*OFFSET('Gastos com Pessoal'!$H$6,1,MATCH(5&amp;$B51,'Gastos com Pessoal'!$I$532:$AJ$532&amp;'Gastos com Pessoal'!$I$6:$AJ$6,0),500,1)),0)+_xlfn.IFNA(SUM((Q$3&gt;='Gastos com Pessoal'!$E$513:$E$522)*(Q$3&lt;='Gastos com Pessoal'!$F$513:$F$522)*(IF('Gastos com Pessoal'!$G$513:$G$522&lt;=Q$3,1,0))*OFFSET('Gastos com Pessoal'!$H$512,1,MATCH(1&amp;$B51,'Gastos com Pessoal'!$I$532:$AJ$532&amp;'Gastos com Pessoal'!$I$512:$AJ$512,0),10,1)),0)+_xlfn.IFNA(SUM((Q$3&gt;='Gastos com Pessoal'!$E$513:$E$522)*(Q$3&lt;='Gastos com Pessoal'!$F$513:$F$522)*(IF('Gastos com Pessoal'!$M$513:$M$522&lt;=Q$3,1,0))*OFFSET('Gastos com Pessoal'!$H$512,1,MATCH(2&amp;$B51,'Gastos com Pessoal'!$I$532:$AJ$532&amp;'Gastos com Pessoal'!$I$512:$AJ$512,0),10,1)),0)+_xlfn.IFNA(SUM((Q$3&gt;='Gastos com Pessoal'!$E$513:$E$522)*(Q$3&lt;='Gastos com Pessoal'!$F$513:$F$522)*(IF('Gastos com Pessoal'!$S$513:$S$522&lt;=Q$3,1,0))*OFFSET('Gastos com Pessoal'!$H$512,1,MATCH(3&amp;$B51,'Gastos com Pessoal'!$I$532:$AJ$532&amp;'Gastos com Pessoal'!$I$512:$AJ$512,0),10,1)),0)+_xlfn.IFNA(SUM((Q$3&gt;='Gastos com Pessoal'!$E$513:$E$522)*(Q$3&lt;='Gastos com Pessoal'!$F$513:$F$522)*(IF('Gastos com Pessoal'!$Y$513:$Y$522&lt;=Q$3,1,0))*OFFSET('Gastos com Pessoal'!$H$512,1,MATCH(4&amp;$B51,'Gastos com Pessoal'!$I$532:$AJ$532&amp;'Gastos com Pessoal'!$I$512:$AJ$512,0),10,1)),0)+_xlfn.IFNA(SUM((Q$3&gt;='Gastos com Pessoal'!$E$513:$E$522)*(Q$3&lt;='Gastos com Pessoal'!$F$513:$F$522)*(IF('Gastos com Pessoal'!$AE$513:$AE$522&lt;=Q$3,1,0))*OFFSET('Gastos com Pessoal'!$H$512,1,MATCH(5&amp;$B51,'Gastos com Pessoal'!$I$532:$AJ$532&amp;'Gastos com Pessoal'!$I$512:$AJ$512,0),10,1)),0)</f>
        <v>7031.859999999976</v>
      </c>
      <c r="R51" s="188">
        <f t="array" aca="1" ref="R51" ca="1">_xlfn.IFNA(SUM((R$3&gt;='Gastos com Pessoal'!$E$7:$E$506)*(R$3&lt;='Gastos com Pessoal'!$F$7:$F$506)*OFFSET('Encargos e Benefícios'!$D$5,1,MATCH($B51,'Encargos e Benefícios'!$E$5:$AB$5,0),500,1)),0)+_xlfn.IFNA(SUM((R$3&gt;='Gastos com Pessoal'!$E$513:$E$522)*(R$3&lt;='Gastos com Pessoal'!$F$513:$F$522)*OFFSET('Encargos e Benefícios'!$D$511,1,MATCH($B51,'Encargos e Benefícios'!$E$511:$AB$511,0),10,1)),0)+_xlfn.IFNA(SUM((R$3&gt;='Gastos com Pessoal'!$E$7:$E$506)*(R$3&lt;='Gastos com Pessoal'!$F$7:$F$506)*(IF('Gastos com Pessoal'!$G$7:$G$506&lt;=R$3,1,0))*OFFSET('Gastos com Pessoal'!$H$6,1,MATCH(1&amp;$B51,'Gastos com Pessoal'!$I$532:$AJ$532&amp;'Gastos com Pessoal'!$I$6:$AJ$6,0),500,1)),0)+_xlfn.IFNA(SUM((R$3&gt;='Gastos com Pessoal'!$E$7:$E$506)*(R$3&lt;='Gastos com Pessoal'!$F$7:$F$506)*(IF('Gastos com Pessoal'!$M$7:$M$506&lt;=R$3,1,0))*OFFSET('Gastos com Pessoal'!$H$6,1,MATCH(2&amp;$B51,'Gastos com Pessoal'!$I$532:$AJ$532&amp;'Gastos com Pessoal'!$I$6:$AJ$6,0),500,1)),0)+_xlfn.IFNA(SUM((R$3&gt;='Gastos com Pessoal'!$E$7:$E$506)*(R$3&lt;='Gastos com Pessoal'!$F$7:$F$506)*(IF('Gastos com Pessoal'!$S$7:$S$506&lt;=R$3,1,0))*OFFSET('Gastos com Pessoal'!$H$6,1,MATCH(3&amp;$B51,'Gastos com Pessoal'!$I$532:$AJ$532&amp;'Gastos com Pessoal'!$I$6:$AJ$6,0),500,1)),0)+_xlfn.IFNA(SUM((R$3&gt;='Gastos com Pessoal'!$E$7:$E$506)*(R$3&lt;='Gastos com Pessoal'!$F$7:$F$506)*(IF('Gastos com Pessoal'!$Y$7:$Y$506&lt;=R$3,1,0))*OFFSET('Gastos com Pessoal'!$H$6,1,MATCH(4&amp;$B51,'Gastos com Pessoal'!$I$532:$AJ$532&amp;'Gastos com Pessoal'!$I$6:$AJ$6,0),500,1)),0)+_xlfn.IFNA(SUM((R$3&gt;='Gastos com Pessoal'!$E$7:$E$506)*(R$3&lt;='Gastos com Pessoal'!$F$7:$F$506)*(IF('Gastos com Pessoal'!$AE$7:$AE$506&lt;=R$3,1,0))*OFFSET('Gastos com Pessoal'!$H$6,1,MATCH(5&amp;$B51,'Gastos com Pessoal'!$I$532:$AJ$532&amp;'Gastos com Pessoal'!$I$6:$AJ$6,0),500,1)),0)+_xlfn.IFNA(SUM((R$3&gt;='Gastos com Pessoal'!$E$513:$E$522)*(R$3&lt;='Gastos com Pessoal'!$F$513:$F$522)*(IF('Gastos com Pessoal'!$G$513:$G$522&lt;=R$3,1,0))*OFFSET('Gastos com Pessoal'!$H$512,1,MATCH(1&amp;$B51,'Gastos com Pessoal'!$I$532:$AJ$532&amp;'Gastos com Pessoal'!$I$512:$AJ$512,0),10,1)),0)+_xlfn.IFNA(SUM((R$3&gt;='Gastos com Pessoal'!$E$513:$E$522)*(R$3&lt;='Gastos com Pessoal'!$F$513:$F$522)*(IF('Gastos com Pessoal'!$M$513:$M$522&lt;=R$3,1,0))*OFFSET('Gastos com Pessoal'!$H$512,1,MATCH(2&amp;$B51,'Gastos com Pessoal'!$I$532:$AJ$532&amp;'Gastos com Pessoal'!$I$512:$AJ$512,0),10,1)),0)+_xlfn.IFNA(SUM((R$3&gt;='Gastos com Pessoal'!$E$513:$E$522)*(R$3&lt;='Gastos com Pessoal'!$F$513:$F$522)*(IF('Gastos com Pessoal'!$S$513:$S$522&lt;=R$3,1,0))*OFFSET('Gastos com Pessoal'!$H$512,1,MATCH(3&amp;$B51,'Gastos com Pessoal'!$I$532:$AJ$532&amp;'Gastos com Pessoal'!$I$512:$AJ$512,0),10,1)),0)+_xlfn.IFNA(SUM((R$3&gt;='Gastos com Pessoal'!$E$513:$E$522)*(R$3&lt;='Gastos com Pessoal'!$F$513:$F$522)*(IF('Gastos com Pessoal'!$Y$513:$Y$522&lt;=R$3,1,0))*OFFSET('Gastos com Pessoal'!$H$512,1,MATCH(4&amp;$B51,'Gastos com Pessoal'!$I$532:$AJ$532&amp;'Gastos com Pessoal'!$I$512:$AJ$512,0),10,1)),0)+_xlfn.IFNA(SUM((R$3&gt;='Gastos com Pessoal'!$E$513:$E$522)*(R$3&lt;='Gastos com Pessoal'!$F$513:$F$522)*(IF('Gastos com Pessoal'!$AE$513:$AE$522&lt;=R$3,1,0))*OFFSET('Gastos com Pessoal'!$H$512,1,MATCH(5&amp;$B51,'Gastos com Pessoal'!$I$532:$AJ$532&amp;'Gastos com Pessoal'!$I$512:$AJ$512,0),10,1)),0)</f>
        <v>7031.859999999976</v>
      </c>
      <c r="S51" s="188">
        <f t="array" aca="1" ref="S51" ca="1">_xlfn.IFNA(SUM((S$3&gt;='Gastos com Pessoal'!$E$7:$E$506)*(S$3&lt;='Gastos com Pessoal'!$F$7:$F$506)*OFFSET('Encargos e Benefícios'!$D$5,1,MATCH($B51,'Encargos e Benefícios'!$E$5:$AB$5,0),500,1)),0)+_xlfn.IFNA(SUM((S$3&gt;='Gastos com Pessoal'!$E$513:$E$522)*(S$3&lt;='Gastos com Pessoal'!$F$513:$F$522)*OFFSET('Encargos e Benefícios'!$D$511,1,MATCH($B51,'Encargos e Benefícios'!$E$511:$AB$511,0),10,1)),0)+_xlfn.IFNA(SUM((S$3&gt;='Gastos com Pessoal'!$E$7:$E$506)*(S$3&lt;='Gastos com Pessoal'!$F$7:$F$506)*(IF('Gastos com Pessoal'!$G$7:$G$506&lt;=S$3,1,0))*OFFSET('Gastos com Pessoal'!$H$6,1,MATCH(1&amp;$B51,'Gastos com Pessoal'!$I$532:$AJ$532&amp;'Gastos com Pessoal'!$I$6:$AJ$6,0),500,1)),0)+_xlfn.IFNA(SUM((S$3&gt;='Gastos com Pessoal'!$E$7:$E$506)*(S$3&lt;='Gastos com Pessoal'!$F$7:$F$506)*(IF('Gastos com Pessoal'!$M$7:$M$506&lt;=S$3,1,0))*OFFSET('Gastos com Pessoal'!$H$6,1,MATCH(2&amp;$B51,'Gastos com Pessoal'!$I$532:$AJ$532&amp;'Gastos com Pessoal'!$I$6:$AJ$6,0),500,1)),0)+_xlfn.IFNA(SUM((S$3&gt;='Gastos com Pessoal'!$E$7:$E$506)*(S$3&lt;='Gastos com Pessoal'!$F$7:$F$506)*(IF('Gastos com Pessoal'!$S$7:$S$506&lt;=S$3,1,0))*OFFSET('Gastos com Pessoal'!$H$6,1,MATCH(3&amp;$B51,'Gastos com Pessoal'!$I$532:$AJ$532&amp;'Gastos com Pessoal'!$I$6:$AJ$6,0),500,1)),0)+_xlfn.IFNA(SUM((S$3&gt;='Gastos com Pessoal'!$E$7:$E$506)*(S$3&lt;='Gastos com Pessoal'!$F$7:$F$506)*(IF('Gastos com Pessoal'!$Y$7:$Y$506&lt;=S$3,1,0))*OFFSET('Gastos com Pessoal'!$H$6,1,MATCH(4&amp;$B51,'Gastos com Pessoal'!$I$532:$AJ$532&amp;'Gastos com Pessoal'!$I$6:$AJ$6,0),500,1)),0)+_xlfn.IFNA(SUM((S$3&gt;='Gastos com Pessoal'!$E$7:$E$506)*(S$3&lt;='Gastos com Pessoal'!$F$7:$F$506)*(IF('Gastos com Pessoal'!$AE$7:$AE$506&lt;=S$3,1,0))*OFFSET('Gastos com Pessoal'!$H$6,1,MATCH(5&amp;$B51,'Gastos com Pessoal'!$I$532:$AJ$532&amp;'Gastos com Pessoal'!$I$6:$AJ$6,0),500,1)),0)+_xlfn.IFNA(SUM((S$3&gt;='Gastos com Pessoal'!$E$513:$E$522)*(S$3&lt;='Gastos com Pessoal'!$F$513:$F$522)*(IF('Gastos com Pessoal'!$G$513:$G$522&lt;=S$3,1,0))*OFFSET('Gastos com Pessoal'!$H$512,1,MATCH(1&amp;$B51,'Gastos com Pessoal'!$I$532:$AJ$532&amp;'Gastos com Pessoal'!$I$512:$AJ$512,0),10,1)),0)+_xlfn.IFNA(SUM((S$3&gt;='Gastos com Pessoal'!$E$513:$E$522)*(S$3&lt;='Gastos com Pessoal'!$F$513:$F$522)*(IF('Gastos com Pessoal'!$M$513:$M$522&lt;=S$3,1,0))*OFFSET('Gastos com Pessoal'!$H$512,1,MATCH(2&amp;$B51,'Gastos com Pessoal'!$I$532:$AJ$532&amp;'Gastos com Pessoal'!$I$512:$AJ$512,0),10,1)),0)+_xlfn.IFNA(SUM((S$3&gt;='Gastos com Pessoal'!$E$513:$E$522)*(S$3&lt;='Gastos com Pessoal'!$F$513:$F$522)*(IF('Gastos com Pessoal'!$S$513:$S$522&lt;=S$3,1,0))*OFFSET('Gastos com Pessoal'!$H$512,1,MATCH(3&amp;$B51,'Gastos com Pessoal'!$I$532:$AJ$532&amp;'Gastos com Pessoal'!$I$512:$AJ$512,0),10,1)),0)+_xlfn.IFNA(SUM((S$3&gt;='Gastos com Pessoal'!$E$513:$E$522)*(S$3&lt;='Gastos com Pessoal'!$F$513:$F$522)*(IF('Gastos com Pessoal'!$Y$513:$Y$522&lt;=S$3,1,0))*OFFSET('Gastos com Pessoal'!$H$512,1,MATCH(4&amp;$B51,'Gastos com Pessoal'!$I$532:$AJ$532&amp;'Gastos com Pessoal'!$I$512:$AJ$512,0),10,1)),0)+_xlfn.IFNA(SUM((S$3&gt;='Gastos com Pessoal'!$E$513:$E$522)*(S$3&lt;='Gastos com Pessoal'!$F$513:$F$522)*(IF('Gastos com Pessoal'!$AE$513:$AE$522&lt;=S$3,1,0))*OFFSET('Gastos com Pessoal'!$H$512,1,MATCH(5&amp;$B51,'Gastos com Pessoal'!$I$532:$AJ$532&amp;'Gastos com Pessoal'!$I$512:$AJ$512,0),10,1)),0)</f>
        <v>7031.859999999976</v>
      </c>
      <c r="T51" s="188">
        <f t="array" aca="1" ref="T51" ca="1">_xlfn.IFNA(SUM((T$3&gt;='Gastos com Pessoal'!$E$7:$E$506)*(T$3&lt;='Gastos com Pessoal'!$F$7:$F$506)*OFFSET('Encargos e Benefícios'!$D$5,1,MATCH($B51,'Encargos e Benefícios'!$E$5:$AB$5,0),500,1)),0)+_xlfn.IFNA(SUM((T$3&gt;='Gastos com Pessoal'!$E$513:$E$522)*(T$3&lt;='Gastos com Pessoal'!$F$513:$F$522)*OFFSET('Encargos e Benefícios'!$D$511,1,MATCH($B51,'Encargos e Benefícios'!$E$511:$AB$511,0),10,1)),0)+_xlfn.IFNA(SUM((T$3&gt;='Gastos com Pessoal'!$E$7:$E$506)*(T$3&lt;='Gastos com Pessoal'!$F$7:$F$506)*(IF('Gastos com Pessoal'!$G$7:$G$506&lt;=T$3,1,0))*OFFSET('Gastos com Pessoal'!$H$6,1,MATCH(1&amp;$B51,'Gastos com Pessoal'!$I$532:$AJ$532&amp;'Gastos com Pessoal'!$I$6:$AJ$6,0),500,1)),0)+_xlfn.IFNA(SUM((T$3&gt;='Gastos com Pessoal'!$E$7:$E$506)*(T$3&lt;='Gastos com Pessoal'!$F$7:$F$506)*(IF('Gastos com Pessoal'!$M$7:$M$506&lt;=T$3,1,0))*OFFSET('Gastos com Pessoal'!$H$6,1,MATCH(2&amp;$B51,'Gastos com Pessoal'!$I$532:$AJ$532&amp;'Gastos com Pessoal'!$I$6:$AJ$6,0),500,1)),0)+_xlfn.IFNA(SUM((T$3&gt;='Gastos com Pessoal'!$E$7:$E$506)*(T$3&lt;='Gastos com Pessoal'!$F$7:$F$506)*(IF('Gastos com Pessoal'!$S$7:$S$506&lt;=T$3,1,0))*OFFSET('Gastos com Pessoal'!$H$6,1,MATCH(3&amp;$B51,'Gastos com Pessoal'!$I$532:$AJ$532&amp;'Gastos com Pessoal'!$I$6:$AJ$6,0),500,1)),0)+_xlfn.IFNA(SUM((T$3&gt;='Gastos com Pessoal'!$E$7:$E$506)*(T$3&lt;='Gastos com Pessoal'!$F$7:$F$506)*(IF('Gastos com Pessoal'!$Y$7:$Y$506&lt;=T$3,1,0))*OFFSET('Gastos com Pessoal'!$H$6,1,MATCH(4&amp;$B51,'Gastos com Pessoal'!$I$532:$AJ$532&amp;'Gastos com Pessoal'!$I$6:$AJ$6,0),500,1)),0)+_xlfn.IFNA(SUM((T$3&gt;='Gastos com Pessoal'!$E$7:$E$506)*(T$3&lt;='Gastos com Pessoal'!$F$7:$F$506)*(IF('Gastos com Pessoal'!$AE$7:$AE$506&lt;=T$3,1,0))*OFFSET('Gastos com Pessoal'!$H$6,1,MATCH(5&amp;$B51,'Gastos com Pessoal'!$I$532:$AJ$532&amp;'Gastos com Pessoal'!$I$6:$AJ$6,0),500,1)),0)+_xlfn.IFNA(SUM((T$3&gt;='Gastos com Pessoal'!$E$513:$E$522)*(T$3&lt;='Gastos com Pessoal'!$F$513:$F$522)*(IF('Gastos com Pessoal'!$G$513:$G$522&lt;=T$3,1,0))*OFFSET('Gastos com Pessoal'!$H$512,1,MATCH(1&amp;$B51,'Gastos com Pessoal'!$I$532:$AJ$532&amp;'Gastos com Pessoal'!$I$512:$AJ$512,0),10,1)),0)+_xlfn.IFNA(SUM((T$3&gt;='Gastos com Pessoal'!$E$513:$E$522)*(T$3&lt;='Gastos com Pessoal'!$F$513:$F$522)*(IF('Gastos com Pessoal'!$M$513:$M$522&lt;=T$3,1,0))*OFFSET('Gastos com Pessoal'!$H$512,1,MATCH(2&amp;$B51,'Gastos com Pessoal'!$I$532:$AJ$532&amp;'Gastos com Pessoal'!$I$512:$AJ$512,0),10,1)),0)+_xlfn.IFNA(SUM((T$3&gt;='Gastos com Pessoal'!$E$513:$E$522)*(T$3&lt;='Gastos com Pessoal'!$F$513:$F$522)*(IF('Gastos com Pessoal'!$S$513:$S$522&lt;=T$3,1,0))*OFFSET('Gastos com Pessoal'!$H$512,1,MATCH(3&amp;$B51,'Gastos com Pessoal'!$I$532:$AJ$532&amp;'Gastos com Pessoal'!$I$512:$AJ$512,0),10,1)),0)+_xlfn.IFNA(SUM((T$3&gt;='Gastos com Pessoal'!$E$513:$E$522)*(T$3&lt;='Gastos com Pessoal'!$F$513:$F$522)*(IF('Gastos com Pessoal'!$Y$513:$Y$522&lt;=T$3,1,0))*OFFSET('Gastos com Pessoal'!$H$512,1,MATCH(4&amp;$B51,'Gastos com Pessoal'!$I$532:$AJ$532&amp;'Gastos com Pessoal'!$I$512:$AJ$512,0),10,1)),0)+_xlfn.IFNA(SUM((T$3&gt;='Gastos com Pessoal'!$E$513:$E$522)*(T$3&lt;='Gastos com Pessoal'!$F$513:$F$522)*(IF('Gastos com Pessoal'!$AE$513:$AE$522&lt;=T$3,1,0))*OFFSET('Gastos com Pessoal'!$H$512,1,MATCH(5&amp;$B51,'Gastos com Pessoal'!$I$532:$AJ$532&amp;'Gastos com Pessoal'!$I$512:$AJ$512,0),10,1)),0)</f>
        <v>7031.859999999976</v>
      </c>
      <c r="U51" s="188">
        <f t="array" aca="1" ref="U51" ca="1">_xlfn.IFNA(SUM((U$3&gt;='Gastos com Pessoal'!$E$7:$E$506)*(U$3&lt;='Gastos com Pessoal'!$F$7:$F$506)*OFFSET('Encargos e Benefícios'!$D$5,1,MATCH($B51,'Encargos e Benefícios'!$E$5:$AB$5,0),500,1)),0)+_xlfn.IFNA(SUM((U$3&gt;='Gastos com Pessoal'!$E$513:$E$522)*(U$3&lt;='Gastos com Pessoal'!$F$513:$F$522)*OFFSET('Encargos e Benefícios'!$D$511,1,MATCH($B51,'Encargos e Benefícios'!$E$511:$AB$511,0),10,1)),0)+_xlfn.IFNA(SUM((U$3&gt;='Gastos com Pessoal'!$E$7:$E$506)*(U$3&lt;='Gastos com Pessoal'!$F$7:$F$506)*(IF('Gastos com Pessoal'!$G$7:$G$506&lt;=U$3,1,0))*OFFSET('Gastos com Pessoal'!$H$6,1,MATCH(1&amp;$B51,'Gastos com Pessoal'!$I$532:$AJ$532&amp;'Gastos com Pessoal'!$I$6:$AJ$6,0),500,1)),0)+_xlfn.IFNA(SUM((U$3&gt;='Gastos com Pessoal'!$E$7:$E$506)*(U$3&lt;='Gastos com Pessoal'!$F$7:$F$506)*(IF('Gastos com Pessoal'!$M$7:$M$506&lt;=U$3,1,0))*OFFSET('Gastos com Pessoal'!$H$6,1,MATCH(2&amp;$B51,'Gastos com Pessoal'!$I$532:$AJ$532&amp;'Gastos com Pessoal'!$I$6:$AJ$6,0),500,1)),0)+_xlfn.IFNA(SUM((U$3&gt;='Gastos com Pessoal'!$E$7:$E$506)*(U$3&lt;='Gastos com Pessoal'!$F$7:$F$506)*(IF('Gastos com Pessoal'!$S$7:$S$506&lt;=U$3,1,0))*OFFSET('Gastos com Pessoal'!$H$6,1,MATCH(3&amp;$B51,'Gastos com Pessoal'!$I$532:$AJ$532&amp;'Gastos com Pessoal'!$I$6:$AJ$6,0),500,1)),0)+_xlfn.IFNA(SUM((U$3&gt;='Gastos com Pessoal'!$E$7:$E$506)*(U$3&lt;='Gastos com Pessoal'!$F$7:$F$506)*(IF('Gastos com Pessoal'!$Y$7:$Y$506&lt;=U$3,1,0))*OFFSET('Gastos com Pessoal'!$H$6,1,MATCH(4&amp;$B51,'Gastos com Pessoal'!$I$532:$AJ$532&amp;'Gastos com Pessoal'!$I$6:$AJ$6,0),500,1)),0)+_xlfn.IFNA(SUM((U$3&gt;='Gastos com Pessoal'!$E$7:$E$506)*(U$3&lt;='Gastos com Pessoal'!$F$7:$F$506)*(IF('Gastos com Pessoal'!$AE$7:$AE$506&lt;=U$3,1,0))*OFFSET('Gastos com Pessoal'!$H$6,1,MATCH(5&amp;$B51,'Gastos com Pessoal'!$I$532:$AJ$532&amp;'Gastos com Pessoal'!$I$6:$AJ$6,0),500,1)),0)+_xlfn.IFNA(SUM((U$3&gt;='Gastos com Pessoal'!$E$513:$E$522)*(U$3&lt;='Gastos com Pessoal'!$F$513:$F$522)*(IF('Gastos com Pessoal'!$G$513:$G$522&lt;=U$3,1,0))*OFFSET('Gastos com Pessoal'!$H$512,1,MATCH(1&amp;$B51,'Gastos com Pessoal'!$I$532:$AJ$532&amp;'Gastos com Pessoal'!$I$512:$AJ$512,0),10,1)),0)+_xlfn.IFNA(SUM((U$3&gt;='Gastos com Pessoal'!$E$513:$E$522)*(U$3&lt;='Gastos com Pessoal'!$F$513:$F$522)*(IF('Gastos com Pessoal'!$M$513:$M$522&lt;=U$3,1,0))*OFFSET('Gastos com Pessoal'!$H$512,1,MATCH(2&amp;$B51,'Gastos com Pessoal'!$I$532:$AJ$532&amp;'Gastos com Pessoal'!$I$512:$AJ$512,0),10,1)),0)+_xlfn.IFNA(SUM((U$3&gt;='Gastos com Pessoal'!$E$513:$E$522)*(U$3&lt;='Gastos com Pessoal'!$F$513:$F$522)*(IF('Gastos com Pessoal'!$S$513:$S$522&lt;=U$3,1,0))*OFFSET('Gastos com Pessoal'!$H$512,1,MATCH(3&amp;$B51,'Gastos com Pessoal'!$I$532:$AJ$532&amp;'Gastos com Pessoal'!$I$512:$AJ$512,0),10,1)),0)+_xlfn.IFNA(SUM((U$3&gt;='Gastos com Pessoal'!$E$513:$E$522)*(U$3&lt;='Gastos com Pessoal'!$F$513:$F$522)*(IF('Gastos com Pessoal'!$Y$513:$Y$522&lt;=U$3,1,0))*OFFSET('Gastos com Pessoal'!$H$512,1,MATCH(4&amp;$B51,'Gastos com Pessoal'!$I$532:$AJ$532&amp;'Gastos com Pessoal'!$I$512:$AJ$512,0),10,1)),0)+_xlfn.IFNA(SUM((U$3&gt;='Gastos com Pessoal'!$E$513:$E$522)*(U$3&lt;='Gastos com Pessoal'!$F$513:$F$522)*(IF('Gastos com Pessoal'!$AE$513:$AE$522&lt;=U$3,1,0))*OFFSET('Gastos com Pessoal'!$H$512,1,MATCH(5&amp;$B51,'Gastos com Pessoal'!$I$532:$AJ$532&amp;'Gastos com Pessoal'!$I$512:$AJ$512,0),10,1)),0)</f>
        <v>7031.859999999976</v>
      </c>
      <c r="V51" s="188">
        <f t="array" aca="1" ref="V51" ca="1">_xlfn.IFNA(SUM((V$3&gt;='Gastos com Pessoal'!$E$7:$E$506)*(V$3&lt;='Gastos com Pessoal'!$F$7:$F$506)*OFFSET('Encargos e Benefícios'!$D$5,1,MATCH($B51,'Encargos e Benefícios'!$E$5:$AB$5,0),500,1)),0)+_xlfn.IFNA(SUM((V$3&gt;='Gastos com Pessoal'!$E$513:$E$522)*(V$3&lt;='Gastos com Pessoal'!$F$513:$F$522)*OFFSET('Encargos e Benefícios'!$D$511,1,MATCH($B51,'Encargos e Benefícios'!$E$511:$AB$511,0),10,1)),0)+_xlfn.IFNA(SUM((V$3&gt;='Gastos com Pessoal'!$E$7:$E$506)*(V$3&lt;='Gastos com Pessoal'!$F$7:$F$506)*(IF('Gastos com Pessoal'!$G$7:$G$506&lt;=V$3,1,0))*OFFSET('Gastos com Pessoal'!$H$6,1,MATCH(1&amp;$B51,'Gastos com Pessoal'!$I$532:$AJ$532&amp;'Gastos com Pessoal'!$I$6:$AJ$6,0),500,1)),0)+_xlfn.IFNA(SUM((V$3&gt;='Gastos com Pessoal'!$E$7:$E$506)*(V$3&lt;='Gastos com Pessoal'!$F$7:$F$506)*(IF('Gastos com Pessoal'!$M$7:$M$506&lt;=V$3,1,0))*OFFSET('Gastos com Pessoal'!$H$6,1,MATCH(2&amp;$B51,'Gastos com Pessoal'!$I$532:$AJ$532&amp;'Gastos com Pessoal'!$I$6:$AJ$6,0),500,1)),0)+_xlfn.IFNA(SUM((V$3&gt;='Gastos com Pessoal'!$E$7:$E$506)*(V$3&lt;='Gastos com Pessoal'!$F$7:$F$506)*(IF('Gastos com Pessoal'!$S$7:$S$506&lt;=V$3,1,0))*OFFSET('Gastos com Pessoal'!$H$6,1,MATCH(3&amp;$B51,'Gastos com Pessoal'!$I$532:$AJ$532&amp;'Gastos com Pessoal'!$I$6:$AJ$6,0),500,1)),0)+_xlfn.IFNA(SUM((V$3&gt;='Gastos com Pessoal'!$E$7:$E$506)*(V$3&lt;='Gastos com Pessoal'!$F$7:$F$506)*(IF('Gastos com Pessoal'!$Y$7:$Y$506&lt;=V$3,1,0))*OFFSET('Gastos com Pessoal'!$H$6,1,MATCH(4&amp;$B51,'Gastos com Pessoal'!$I$532:$AJ$532&amp;'Gastos com Pessoal'!$I$6:$AJ$6,0),500,1)),0)+_xlfn.IFNA(SUM((V$3&gt;='Gastos com Pessoal'!$E$7:$E$506)*(V$3&lt;='Gastos com Pessoal'!$F$7:$F$506)*(IF('Gastos com Pessoal'!$AE$7:$AE$506&lt;=V$3,1,0))*OFFSET('Gastos com Pessoal'!$H$6,1,MATCH(5&amp;$B51,'Gastos com Pessoal'!$I$532:$AJ$532&amp;'Gastos com Pessoal'!$I$6:$AJ$6,0),500,1)),0)+_xlfn.IFNA(SUM((V$3&gt;='Gastos com Pessoal'!$E$513:$E$522)*(V$3&lt;='Gastos com Pessoal'!$F$513:$F$522)*(IF('Gastos com Pessoal'!$G$513:$G$522&lt;=V$3,1,0))*OFFSET('Gastos com Pessoal'!$H$512,1,MATCH(1&amp;$B51,'Gastos com Pessoal'!$I$532:$AJ$532&amp;'Gastos com Pessoal'!$I$512:$AJ$512,0),10,1)),0)+_xlfn.IFNA(SUM((V$3&gt;='Gastos com Pessoal'!$E$513:$E$522)*(V$3&lt;='Gastos com Pessoal'!$F$513:$F$522)*(IF('Gastos com Pessoal'!$M$513:$M$522&lt;=V$3,1,0))*OFFSET('Gastos com Pessoal'!$H$512,1,MATCH(2&amp;$B51,'Gastos com Pessoal'!$I$532:$AJ$532&amp;'Gastos com Pessoal'!$I$512:$AJ$512,0),10,1)),0)+_xlfn.IFNA(SUM((V$3&gt;='Gastos com Pessoal'!$E$513:$E$522)*(V$3&lt;='Gastos com Pessoal'!$F$513:$F$522)*(IF('Gastos com Pessoal'!$S$513:$S$522&lt;=V$3,1,0))*OFFSET('Gastos com Pessoal'!$H$512,1,MATCH(3&amp;$B51,'Gastos com Pessoal'!$I$532:$AJ$532&amp;'Gastos com Pessoal'!$I$512:$AJ$512,0),10,1)),0)+_xlfn.IFNA(SUM((V$3&gt;='Gastos com Pessoal'!$E$513:$E$522)*(V$3&lt;='Gastos com Pessoal'!$F$513:$F$522)*(IF('Gastos com Pessoal'!$Y$513:$Y$522&lt;=V$3,1,0))*OFFSET('Gastos com Pessoal'!$H$512,1,MATCH(4&amp;$B51,'Gastos com Pessoal'!$I$532:$AJ$532&amp;'Gastos com Pessoal'!$I$512:$AJ$512,0),10,1)),0)+_xlfn.IFNA(SUM((V$3&gt;='Gastos com Pessoal'!$E$513:$E$522)*(V$3&lt;='Gastos com Pessoal'!$F$513:$F$522)*(IF('Gastos com Pessoal'!$AE$513:$AE$522&lt;=V$3,1,0))*OFFSET('Gastos com Pessoal'!$H$512,1,MATCH(5&amp;$B51,'Gastos com Pessoal'!$I$532:$AJ$532&amp;'Gastos com Pessoal'!$I$512:$AJ$512,0),10,1)),0)</f>
        <v>7031.859999999976</v>
      </c>
      <c r="W51" s="188">
        <f t="array" aca="1" ref="W51" ca="1">_xlfn.IFNA(SUM((W$3&gt;='Gastos com Pessoal'!$E$7:$E$506)*(W$3&lt;='Gastos com Pessoal'!$F$7:$F$506)*OFFSET('Encargos e Benefícios'!$D$5,1,MATCH($B51,'Encargos e Benefícios'!$E$5:$AB$5,0),500,1)),0)+_xlfn.IFNA(SUM((W$3&gt;='Gastos com Pessoal'!$E$513:$E$522)*(W$3&lt;='Gastos com Pessoal'!$F$513:$F$522)*OFFSET('Encargos e Benefícios'!$D$511,1,MATCH($B51,'Encargos e Benefícios'!$E$511:$AB$511,0),10,1)),0)+_xlfn.IFNA(SUM((W$3&gt;='Gastos com Pessoal'!$E$7:$E$506)*(W$3&lt;='Gastos com Pessoal'!$F$7:$F$506)*(IF('Gastos com Pessoal'!$G$7:$G$506&lt;=W$3,1,0))*OFFSET('Gastos com Pessoal'!$H$6,1,MATCH(1&amp;$B51,'Gastos com Pessoal'!$I$532:$AJ$532&amp;'Gastos com Pessoal'!$I$6:$AJ$6,0),500,1)),0)+_xlfn.IFNA(SUM((W$3&gt;='Gastos com Pessoal'!$E$7:$E$506)*(W$3&lt;='Gastos com Pessoal'!$F$7:$F$506)*(IF('Gastos com Pessoal'!$M$7:$M$506&lt;=W$3,1,0))*OFFSET('Gastos com Pessoal'!$H$6,1,MATCH(2&amp;$B51,'Gastos com Pessoal'!$I$532:$AJ$532&amp;'Gastos com Pessoal'!$I$6:$AJ$6,0),500,1)),0)+_xlfn.IFNA(SUM((W$3&gt;='Gastos com Pessoal'!$E$7:$E$506)*(W$3&lt;='Gastos com Pessoal'!$F$7:$F$506)*(IF('Gastos com Pessoal'!$S$7:$S$506&lt;=W$3,1,0))*OFFSET('Gastos com Pessoal'!$H$6,1,MATCH(3&amp;$B51,'Gastos com Pessoal'!$I$532:$AJ$532&amp;'Gastos com Pessoal'!$I$6:$AJ$6,0),500,1)),0)+_xlfn.IFNA(SUM((W$3&gt;='Gastos com Pessoal'!$E$7:$E$506)*(W$3&lt;='Gastos com Pessoal'!$F$7:$F$506)*(IF('Gastos com Pessoal'!$Y$7:$Y$506&lt;=W$3,1,0))*OFFSET('Gastos com Pessoal'!$H$6,1,MATCH(4&amp;$B51,'Gastos com Pessoal'!$I$532:$AJ$532&amp;'Gastos com Pessoal'!$I$6:$AJ$6,0),500,1)),0)+_xlfn.IFNA(SUM((W$3&gt;='Gastos com Pessoal'!$E$7:$E$506)*(W$3&lt;='Gastos com Pessoal'!$F$7:$F$506)*(IF('Gastos com Pessoal'!$AE$7:$AE$506&lt;=W$3,1,0))*OFFSET('Gastos com Pessoal'!$H$6,1,MATCH(5&amp;$B51,'Gastos com Pessoal'!$I$532:$AJ$532&amp;'Gastos com Pessoal'!$I$6:$AJ$6,0),500,1)),0)+_xlfn.IFNA(SUM((W$3&gt;='Gastos com Pessoal'!$E$513:$E$522)*(W$3&lt;='Gastos com Pessoal'!$F$513:$F$522)*(IF('Gastos com Pessoal'!$G$513:$G$522&lt;=W$3,1,0))*OFFSET('Gastos com Pessoal'!$H$512,1,MATCH(1&amp;$B51,'Gastos com Pessoal'!$I$532:$AJ$532&amp;'Gastos com Pessoal'!$I$512:$AJ$512,0),10,1)),0)+_xlfn.IFNA(SUM((W$3&gt;='Gastos com Pessoal'!$E$513:$E$522)*(W$3&lt;='Gastos com Pessoal'!$F$513:$F$522)*(IF('Gastos com Pessoal'!$M$513:$M$522&lt;=W$3,1,0))*OFFSET('Gastos com Pessoal'!$H$512,1,MATCH(2&amp;$B51,'Gastos com Pessoal'!$I$532:$AJ$532&amp;'Gastos com Pessoal'!$I$512:$AJ$512,0),10,1)),0)+_xlfn.IFNA(SUM((W$3&gt;='Gastos com Pessoal'!$E$513:$E$522)*(W$3&lt;='Gastos com Pessoal'!$F$513:$F$522)*(IF('Gastos com Pessoal'!$S$513:$S$522&lt;=W$3,1,0))*OFFSET('Gastos com Pessoal'!$H$512,1,MATCH(3&amp;$B51,'Gastos com Pessoal'!$I$532:$AJ$532&amp;'Gastos com Pessoal'!$I$512:$AJ$512,0),10,1)),0)+_xlfn.IFNA(SUM((W$3&gt;='Gastos com Pessoal'!$E$513:$E$522)*(W$3&lt;='Gastos com Pessoal'!$F$513:$F$522)*(IF('Gastos com Pessoal'!$Y$513:$Y$522&lt;=W$3,1,0))*OFFSET('Gastos com Pessoal'!$H$512,1,MATCH(4&amp;$B51,'Gastos com Pessoal'!$I$532:$AJ$532&amp;'Gastos com Pessoal'!$I$512:$AJ$512,0),10,1)),0)+_xlfn.IFNA(SUM((W$3&gt;='Gastos com Pessoal'!$E$513:$E$522)*(W$3&lt;='Gastos com Pessoal'!$F$513:$F$522)*(IF('Gastos com Pessoal'!$AE$513:$AE$522&lt;=W$3,1,0))*OFFSET('Gastos com Pessoal'!$H$512,1,MATCH(5&amp;$B51,'Gastos com Pessoal'!$I$532:$AJ$532&amp;'Gastos com Pessoal'!$I$512:$AJ$512,0),10,1)),0)</f>
        <v>7031.859999999976</v>
      </c>
      <c r="X51" s="188">
        <f t="array" aca="1" ref="X51" ca="1">_xlfn.IFNA(SUM((X$3&gt;='Gastos com Pessoal'!$E$7:$E$506)*(X$3&lt;='Gastos com Pessoal'!$F$7:$F$506)*OFFSET('Encargos e Benefícios'!$D$5,1,MATCH($B51,'Encargos e Benefícios'!$E$5:$AB$5,0),500,1)),0)+_xlfn.IFNA(SUM((X$3&gt;='Gastos com Pessoal'!$E$513:$E$522)*(X$3&lt;='Gastos com Pessoal'!$F$513:$F$522)*OFFSET('Encargos e Benefícios'!$D$511,1,MATCH($B51,'Encargos e Benefícios'!$E$511:$AB$511,0),10,1)),0)+_xlfn.IFNA(SUM((X$3&gt;='Gastos com Pessoal'!$E$7:$E$506)*(X$3&lt;='Gastos com Pessoal'!$F$7:$F$506)*(IF('Gastos com Pessoal'!$G$7:$G$506&lt;=X$3,1,0))*OFFSET('Gastos com Pessoal'!$H$6,1,MATCH(1&amp;$B51,'Gastos com Pessoal'!$I$532:$AJ$532&amp;'Gastos com Pessoal'!$I$6:$AJ$6,0),500,1)),0)+_xlfn.IFNA(SUM((X$3&gt;='Gastos com Pessoal'!$E$7:$E$506)*(X$3&lt;='Gastos com Pessoal'!$F$7:$F$506)*(IF('Gastos com Pessoal'!$M$7:$M$506&lt;=X$3,1,0))*OFFSET('Gastos com Pessoal'!$H$6,1,MATCH(2&amp;$B51,'Gastos com Pessoal'!$I$532:$AJ$532&amp;'Gastos com Pessoal'!$I$6:$AJ$6,0),500,1)),0)+_xlfn.IFNA(SUM((X$3&gt;='Gastos com Pessoal'!$E$7:$E$506)*(X$3&lt;='Gastos com Pessoal'!$F$7:$F$506)*(IF('Gastos com Pessoal'!$S$7:$S$506&lt;=X$3,1,0))*OFFSET('Gastos com Pessoal'!$H$6,1,MATCH(3&amp;$B51,'Gastos com Pessoal'!$I$532:$AJ$532&amp;'Gastos com Pessoal'!$I$6:$AJ$6,0),500,1)),0)+_xlfn.IFNA(SUM((X$3&gt;='Gastos com Pessoal'!$E$7:$E$506)*(X$3&lt;='Gastos com Pessoal'!$F$7:$F$506)*(IF('Gastos com Pessoal'!$Y$7:$Y$506&lt;=X$3,1,0))*OFFSET('Gastos com Pessoal'!$H$6,1,MATCH(4&amp;$B51,'Gastos com Pessoal'!$I$532:$AJ$532&amp;'Gastos com Pessoal'!$I$6:$AJ$6,0),500,1)),0)+_xlfn.IFNA(SUM((X$3&gt;='Gastos com Pessoal'!$E$7:$E$506)*(X$3&lt;='Gastos com Pessoal'!$F$7:$F$506)*(IF('Gastos com Pessoal'!$AE$7:$AE$506&lt;=X$3,1,0))*OFFSET('Gastos com Pessoal'!$H$6,1,MATCH(5&amp;$B51,'Gastos com Pessoal'!$I$532:$AJ$532&amp;'Gastos com Pessoal'!$I$6:$AJ$6,0),500,1)),0)+_xlfn.IFNA(SUM((X$3&gt;='Gastos com Pessoal'!$E$513:$E$522)*(X$3&lt;='Gastos com Pessoal'!$F$513:$F$522)*(IF('Gastos com Pessoal'!$G$513:$G$522&lt;=X$3,1,0))*OFFSET('Gastos com Pessoal'!$H$512,1,MATCH(1&amp;$B51,'Gastos com Pessoal'!$I$532:$AJ$532&amp;'Gastos com Pessoal'!$I$512:$AJ$512,0),10,1)),0)+_xlfn.IFNA(SUM((X$3&gt;='Gastos com Pessoal'!$E$513:$E$522)*(X$3&lt;='Gastos com Pessoal'!$F$513:$F$522)*(IF('Gastos com Pessoal'!$M$513:$M$522&lt;=X$3,1,0))*OFFSET('Gastos com Pessoal'!$H$512,1,MATCH(2&amp;$B51,'Gastos com Pessoal'!$I$532:$AJ$532&amp;'Gastos com Pessoal'!$I$512:$AJ$512,0),10,1)),0)+_xlfn.IFNA(SUM((X$3&gt;='Gastos com Pessoal'!$E$513:$E$522)*(X$3&lt;='Gastos com Pessoal'!$F$513:$F$522)*(IF('Gastos com Pessoal'!$S$513:$S$522&lt;=X$3,1,0))*OFFSET('Gastos com Pessoal'!$H$512,1,MATCH(3&amp;$B51,'Gastos com Pessoal'!$I$532:$AJ$532&amp;'Gastos com Pessoal'!$I$512:$AJ$512,0),10,1)),0)+_xlfn.IFNA(SUM((X$3&gt;='Gastos com Pessoal'!$E$513:$E$522)*(X$3&lt;='Gastos com Pessoal'!$F$513:$F$522)*(IF('Gastos com Pessoal'!$Y$513:$Y$522&lt;=X$3,1,0))*OFFSET('Gastos com Pessoal'!$H$512,1,MATCH(4&amp;$B51,'Gastos com Pessoal'!$I$532:$AJ$532&amp;'Gastos com Pessoal'!$I$512:$AJ$512,0),10,1)),0)+_xlfn.IFNA(SUM((X$3&gt;='Gastos com Pessoal'!$E$513:$E$522)*(X$3&lt;='Gastos com Pessoal'!$F$513:$F$522)*(IF('Gastos com Pessoal'!$AE$513:$AE$522&lt;=X$3,1,0))*OFFSET('Gastos com Pessoal'!$H$512,1,MATCH(5&amp;$B51,'Gastos com Pessoal'!$I$532:$AJ$532&amp;'Gastos com Pessoal'!$I$512:$AJ$512,0),10,1)),0)</f>
        <v>7031.859999999976</v>
      </c>
      <c r="Y51" s="188">
        <f t="array" aca="1" ref="Y51" ca="1">_xlfn.IFNA(SUM((Y$3&gt;='Gastos com Pessoal'!$E$7:$E$506)*(Y$3&lt;='Gastos com Pessoal'!$F$7:$F$506)*OFFSET('Encargos e Benefícios'!$D$5,1,MATCH($B51,'Encargos e Benefícios'!$E$5:$AB$5,0),500,1)),0)+_xlfn.IFNA(SUM((Y$3&gt;='Gastos com Pessoal'!$E$513:$E$522)*(Y$3&lt;='Gastos com Pessoal'!$F$513:$F$522)*OFFSET('Encargos e Benefícios'!$D$511,1,MATCH($B51,'Encargos e Benefícios'!$E$511:$AB$511,0),10,1)),0)+_xlfn.IFNA(SUM((Y$3&gt;='Gastos com Pessoal'!$E$7:$E$506)*(Y$3&lt;='Gastos com Pessoal'!$F$7:$F$506)*(IF('Gastos com Pessoal'!$G$7:$G$506&lt;=Y$3,1,0))*OFFSET('Gastos com Pessoal'!$H$6,1,MATCH(1&amp;$B51,'Gastos com Pessoal'!$I$532:$AJ$532&amp;'Gastos com Pessoal'!$I$6:$AJ$6,0),500,1)),0)+_xlfn.IFNA(SUM((Y$3&gt;='Gastos com Pessoal'!$E$7:$E$506)*(Y$3&lt;='Gastos com Pessoal'!$F$7:$F$506)*(IF('Gastos com Pessoal'!$M$7:$M$506&lt;=Y$3,1,0))*OFFSET('Gastos com Pessoal'!$H$6,1,MATCH(2&amp;$B51,'Gastos com Pessoal'!$I$532:$AJ$532&amp;'Gastos com Pessoal'!$I$6:$AJ$6,0),500,1)),0)+_xlfn.IFNA(SUM((Y$3&gt;='Gastos com Pessoal'!$E$7:$E$506)*(Y$3&lt;='Gastos com Pessoal'!$F$7:$F$506)*(IF('Gastos com Pessoal'!$S$7:$S$506&lt;=Y$3,1,0))*OFFSET('Gastos com Pessoal'!$H$6,1,MATCH(3&amp;$B51,'Gastos com Pessoal'!$I$532:$AJ$532&amp;'Gastos com Pessoal'!$I$6:$AJ$6,0),500,1)),0)+_xlfn.IFNA(SUM((Y$3&gt;='Gastos com Pessoal'!$E$7:$E$506)*(Y$3&lt;='Gastos com Pessoal'!$F$7:$F$506)*(IF('Gastos com Pessoal'!$Y$7:$Y$506&lt;=Y$3,1,0))*OFFSET('Gastos com Pessoal'!$H$6,1,MATCH(4&amp;$B51,'Gastos com Pessoal'!$I$532:$AJ$532&amp;'Gastos com Pessoal'!$I$6:$AJ$6,0),500,1)),0)+_xlfn.IFNA(SUM((Y$3&gt;='Gastos com Pessoal'!$E$7:$E$506)*(Y$3&lt;='Gastos com Pessoal'!$F$7:$F$506)*(IF('Gastos com Pessoal'!$AE$7:$AE$506&lt;=Y$3,1,0))*OFFSET('Gastos com Pessoal'!$H$6,1,MATCH(5&amp;$B51,'Gastos com Pessoal'!$I$532:$AJ$532&amp;'Gastos com Pessoal'!$I$6:$AJ$6,0),500,1)),0)+_xlfn.IFNA(SUM((Y$3&gt;='Gastos com Pessoal'!$E$513:$E$522)*(Y$3&lt;='Gastos com Pessoal'!$F$513:$F$522)*(IF('Gastos com Pessoal'!$G$513:$G$522&lt;=Y$3,1,0))*OFFSET('Gastos com Pessoal'!$H$512,1,MATCH(1&amp;$B51,'Gastos com Pessoal'!$I$532:$AJ$532&amp;'Gastos com Pessoal'!$I$512:$AJ$512,0),10,1)),0)+_xlfn.IFNA(SUM((Y$3&gt;='Gastos com Pessoal'!$E$513:$E$522)*(Y$3&lt;='Gastos com Pessoal'!$F$513:$F$522)*(IF('Gastos com Pessoal'!$M$513:$M$522&lt;=Y$3,1,0))*OFFSET('Gastos com Pessoal'!$H$512,1,MATCH(2&amp;$B51,'Gastos com Pessoal'!$I$532:$AJ$532&amp;'Gastos com Pessoal'!$I$512:$AJ$512,0),10,1)),0)+_xlfn.IFNA(SUM((Y$3&gt;='Gastos com Pessoal'!$E$513:$E$522)*(Y$3&lt;='Gastos com Pessoal'!$F$513:$F$522)*(IF('Gastos com Pessoal'!$S$513:$S$522&lt;=Y$3,1,0))*OFFSET('Gastos com Pessoal'!$H$512,1,MATCH(3&amp;$B51,'Gastos com Pessoal'!$I$532:$AJ$532&amp;'Gastos com Pessoal'!$I$512:$AJ$512,0),10,1)),0)+_xlfn.IFNA(SUM((Y$3&gt;='Gastos com Pessoal'!$E$513:$E$522)*(Y$3&lt;='Gastos com Pessoal'!$F$513:$F$522)*(IF('Gastos com Pessoal'!$Y$513:$Y$522&lt;=Y$3,1,0))*OFFSET('Gastos com Pessoal'!$H$512,1,MATCH(4&amp;$B51,'Gastos com Pessoal'!$I$532:$AJ$532&amp;'Gastos com Pessoal'!$I$512:$AJ$512,0),10,1)),0)+_xlfn.IFNA(SUM((Y$3&gt;='Gastos com Pessoal'!$E$513:$E$522)*(Y$3&lt;='Gastos com Pessoal'!$F$513:$F$522)*(IF('Gastos com Pessoal'!$AE$513:$AE$522&lt;=Y$3,1,0))*OFFSET('Gastos com Pessoal'!$H$512,1,MATCH(5&amp;$B51,'Gastos com Pessoal'!$I$532:$AJ$532&amp;'Gastos com Pessoal'!$I$512:$AJ$512,0),10,1)),0)</f>
        <v>7031.859999999976</v>
      </c>
      <c r="Z51" s="188">
        <f t="array" aca="1" ref="Z51" ca="1">_xlfn.IFNA(SUM((Z$3&gt;='Gastos com Pessoal'!$E$7:$E$506)*(Z$3&lt;='Gastos com Pessoal'!$F$7:$F$506)*OFFSET('Encargos e Benefícios'!$D$5,1,MATCH($B51,'Encargos e Benefícios'!$E$5:$AB$5,0),500,1)),0)+_xlfn.IFNA(SUM((Z$3&gt;='Gastos com Pessoal'!$E$513:$E$522)*(Z$3&lt;='Gastos com Pessoal'!$F$513:$F$522)*OFFSET('Encargos e Benefícios'!$D$511,1,MATCH($B51,'Encargos e Benefícios'!$E$511:$AB$511,0),10,1)),0)+_xlfn.IFNA(SUM((Z$3&gt;='Gastos com Pessoal'!$E$7:$E$506)*(Z$3&lt;='Gastos com Pessoal'!$F$7:$F$506)*(IF('Gastos com Pessoal'!$G$7:$G$506&lt;=Z$3,1,0))*OFFSET('Gastos com Pessoal'!$H$6,1,MATCH(1&amp;$B51,'Gastos com Pessoal'!$I$532:$AJ$532&amp;'Gastos com Pessoal'!$I$6:$AJ$6,0),500,1)),0)+_xlfn.IFNA(SUM((Z$3&gt;='Gastos com Pessoal'!$E$7:$E$506)*(Z$3&lt;='Gastos com Pessoal'!$F$7:$F$506)*(IF('Gastos com Pessoal'!$M$7:$M$506&lt;=Z$3,1,0))*OFFSET('Gastos com Pessoal'!$H$6,1,MATCH(2&amp;$B51,'Gastos com Pessoal'!$I$532:$AJ$532&amp;'Gastos com Pessoal'!$I$6:$AJ$6,0),500,1)),0)+_xlfn.IFNA(SUM((Z$3&gt;='Gastos com Pessoal'!$E$7:$E$506)*(Z$3&lt;='Gastos com Pessoal'!$F$7:$F$506)*(IF('Gastos com Pessoal'!$S$7:$S$506&lt;=Z$3,1,0))*OFFSET('Gastos com Pessoal'!$H$6,1,MATCH(3&amp;$B51,'Gastos com Pessoal'!$I$532:$AJ$532&amp;'Gastos com Pessoal'!$I$6:$AJ$6,0),500,1)),0)+_xlfn.IFNA(SUM((Z$3&gt;='Gastos com Pessoal'!$E$7:$E$506)*(Z$3&lt;='Gastos com Pessoal'!$F$7:$F$506)*(IF('Gastos com Pessoal'!$Y$7:$Y$506&lt;=Z$3,1,0))*OFFSET('Gastos com Pessoal'!$H$6,1,MATCH(4&amp;$B51,'Gastos com Pessoal'!$I$532:$AJ$532&amp;'Gastos com Pessoal'!$I$6:$AJ$6,0),500,1)),0)+_xlfn.IFNA(SUM((Z$3&gt;='Gastos com Pessoal'!$E$7:$E$506)*(Z$3&lt;='Gastos com Pessoal'!$F$7:$F$506)*(IF('Gastos com Pessoal'!$AE$7:$AE$506&lt;=Z$3,1,0))*OFFSET('Gastos com Pessoal'!$H$6,1,MATCH(5&amp;$B51,'Gastos com Pessoal'!$I$532:$AJ$532&amp;'Gastos com Pessoal'!$I$6:$AJ$6,0),500,1)),0)+_xlfn.IFNA(SUM((Z$3&gt;='Gastos com Pessoal'!$E$513:$E$522)*(Z$3&lt;='Gastos com Pessoal'!$F$513:$F$522)*(IF('Gastos com Pessoal'!$G$513:$G$522&lt;=Z$3,1,0))*OFFSET('Gastos com Pessoal'!$H$512,1,MATCH(1&amp;$B51,'Gastos com Pessoal'!$I$532:$AJ$532&amp;'Gastos com Pessoal'!$I$512:$AJ$512,0),10,1)),0)+_xlfn.IFNA(SUM((Z$3&gt;='Gastos com Pessoal'!$E$513:$E$522)*(Z$3&lt;='Gastos com Pessoal'!$F$513:$F$522)*(IF('Gastos com Pessoal'!$M$513:$M$522&lt;=Z$3,1,0))*OFFSET('Gastos com Pessoal'!$H$512,1,MATCH(2&amp;$B51,'Gastos com Pessoal'!$I$532:$AJ$532&amp;'Gastos com Pessoal'!$I$512:$AJ$512,0),10,1)),0)+_xlfn.IFNA(SUM((Z$3&gt;='Gastos com Pessoal'!$E$513:$E$522)*(Z$3&lt;='Gastos com Pessoal'!$F$513:$F$522)*(IF('Gastos com Pessoal'!$S$513:$S$522&lt;=Z$3,1,0))*OFFSET('Gastos com Pessoal'!$H$512,1,MATCH(3&amp;$B51,'Gastos com Pessoal'!$I$532:$AJ$532&amp;'Gastos com Pessoal'!$I$512:$AJ$512,0),10,1)),0)+_xlfn.IFNA(SUM((Z$3&gt;='Gastos com Pessoal'!$E$513:$E$522)*(Z$3&lt;='Gastos com Pessoal'!$F$513:$F$522)*(IF('Gastos com Pessoal'!$Y$513:$Y$522&lt;=Z$3,1,0))*OFFSET('Gastos com Pessoal'!$H$512,1,MATCH(4&amp;$B51,'Gastos com Pessoal'!$I$532:$AJ$532&amp;'Gastos com Pessoal'!$I$512:$AJ$512,0),10,1)),0)+_xlfn.IFNA(SUM((Z$3&gt;='Gastos com Pessoal'!$E$513:$E$522)*(Z$3&lt;='Gastos com Pessoal'!$F$513:$F$522)*(IF('Gastos com Pessoal'!$AE$513:$AE$522&lt;=Z$3,1,0))*OFFSET('Gastos com Pessoal'!$H$512,1,MATCH(5&amp;$B51,'Gastos com Pessoal'!$I$532:$AJ$532&amp;'Gastos com Pessoal'!$I$512:$AJ$512,0),10,1)),0)</f>
        <v>7031.859999999976</v>
      </c>
      <c r="AA51" s="188">
        <f t="array" aca="1" ref="AA51" ca="1">_xlfn.IFNA(SUM((AA$3&gt;='Gastos com Pessoal'!$E$7:$E$506)*(AA$3&lt;='Gastos com Pessoal'!$F$7:$F$506)*OFFSET('Encargos e Benefícios'!$D$5,1,MATCH($B51,'Encargos e Benefícios'!$E$5:$AB$5,0),500,1)),0)+_xlfn.IFNA(SUM((AA$3&gt;='Gastos com Pessoal'!$E$513:$E$522)*(AA$3&lt;='Gastos com Pessoal'!$F$513:$F$522)*OFFSET('Encargos e Benefícios'!$D$511,1,MATCH($B51,'Encargos e Benefícios'!$E$511:$AB$511,0),10,1)),0)+_xlfn.IFNA(SUM((AA$3&gt;='Gastos com Pessoal'!$E$7:$E$506)*(AA$3&lt;='Gastos com Pessoal'!$F$7:$F$506)*(IF('Gastos com Pessoal'!$G$7:$G$506&lt;=AA$3,1,0))*OFFSET('Gastos com Pessoal'!$H$6,1,MATCH(1&amp;$B51,'Gastos com Pessoal'!$I$532:$AJ$532&amp;'Gastos com Pessoal'!$I$6:$AJ$6,0),500,1)),0)+_xlfn.IFNA(SUM((AA$3&gt;='Gastos com Pessoal'!$E$7:$E$506)*(AA$3&lt;='Gastos com Pessoal'!$F$7:$F$506)*(IF('Gastos com Pessoal'!$M$7:$M$506&lt;=AA$3,1,0))*OFFSET('Gastos com Pessoal'!$H$6,1,MATCH(2&amp;$B51,'Gastos com Pessoal'!$I$532:$AJ$532&amp;'Gastos com Pessoal'!$I$6:$AJ$6,0),500,1)),0)+_xlfn.IFNA(SUM((AA$3&gt;='Gastos com Pessoal'!$E$7:$E$506)*(AA$3&lt;='Gastos com Pessoal'!$F$7:$F$506)*(IF('Gastos com Pessoal'!$S$7:$S$506&lt;=AA$3,1,0))*OFFSET('Gastos com Pessoal'!$H$6,1,MATCH(3&amp;$B51,'Gastos com Pessoal'!$I$532:$AJ$532&amp;'Gastos com Pessoal'!$I$6:$AJ$6,0),500,1)),0)+_xlfn.IFNA(SUM((AA$3&gt;='Gastos com Pessoal'!$E$7:$E$506)*(AA$3&lt;='Gastos com Pessoal'!$F$7:$F$506)*(IF('Gastos com Pessoal'!$Y$7:$Y$506&lt;=AA$3,1,0))*OFFSET('Gastos com Pessoal'!$H$6,1,MATCH(4&amp;$B51,'Gastos com Pessoal'!$I$532:$AJ$532&amp;'Gastos com Pessoal'!$I$6:$AJ$6,0),500,1)),0)+_xlfn.IFNA(SUM((AA$3&gt;='Gastos com Pessoal'!$E$7:$E$506)*(AA$3&lt;='Gastos com Pessoal'!$F$7:$F$506)*(IF('Gastos com Pessoal'!$AE$7:$AE$506&lt;=AA$3,1,0))*OFFSET('Gastos com Pessoal'!$H$6,1,MATCH(5&amp;$B51,'Gastos com Pessoal'!$I$532:$AJ$532&amp;'Gastos com Pessoal'!$I$6:$AJ$6,0),500,1)),0)+_xlfn.IFNA(SUM((AA$3&gt;='Gastos com Pessoal'!$E$513:$E$522)*(AA$3&lt;='Gastos com Pessoal'!$F$513:$F$522)*(IF('Gastos com Pessoal'!$G$513:$G$522&lt;=AA$3,1,0))*OFFSET('Gastos com Pessoal'!$H$512,1,MATCH(1&amp;$B51,'Gastos com Pessoal'!$I$532:$AJ$532&amp;'Gastos com Pessoal'!$I$512:$AJ$512,0),10,1)),0)+_xlfn.IFNA(SUM((AA$3&gt;='Gastos com Pessoal'!$E$513:$E$522)*(AA$3&lt;='Gastos com Pessoal'!$F$513:$F$522)*(IF('Gastos com Pessoal'!$M$513:$M$522&lt;=AA$3,1,0))*OFFSET('Gastos com Pessoal'!$H$512,1,MATCH(2&amp;$B51,'Gastos com Pessoal'!$I$532:$AJ$532&amp;'Gastos com Pessoal'!$I$512:$AJ$512,0),10,1)),0)+_xlfn.IFNA(SUM((AA$3&gt;='Gastos com Pessoal'!$E$513:$E$522)*(AA$3&lt;='Gastos com Pessoal'!$F$513:$F$522)*(IF('Gastos com Pessoal'!$S$513:$S$522&lt;=AA$3,1,0))*OFFSET('Gastos com Pessoal'!$H$512,1,MATCH(3&amp;$B51,'Gastos com Pessoal'!$I$532:$AJ$532&amp;'Gastos com Pessoal'!$I$512:$AJ$512,0),10,1)),0)+_xlfn.IFNA(SUM((AA$3&gt;='Gastos com Pessoal'!$E$513:$E$522)*(AA$3&lt;='Gastos com Pessoal'!$F$513:$F$522)*(IF('Gastos com Pessoal'!$Y$513:$Y$522&lt;=AA$3,1,0))*OFFSET('Gastos com Pessoal'!$H$512,1,MATCH(4&amp;$B51,'Gastos com Pessoal'!$I$532:$AJ$532&amp;'Gastos com Pessoal'!$I$512:$AJ$512,0),10,1)),0)+_xlfn.IFNA(SUM((AA$3&gt;='Gastos com Pessoal'!$E$513:$E$522)*(AA$3&lt;='Gastos com Pessoal'!$F$513:$F$522)*(IF('Gastos com Pessoal'!$AE$513:$AE$522&lt;=AA$3,1,0))*OFFSET('Gastos com Pessoal'!$H$512,1,MATCH(5&amp;$B51,'Gastos com Pessoal'!$I$532:$AJ$532&amp;'Gastos com Pessoal'!$I$512:$AJ$512,0),10,1)),0)</f>
        <v>7031.859999999976</v>
      </c>
      <c r="AB51" s="188">
        <f t="array" aca="1" ref="AB51" ca="1">_xlfn.IFNA(SUM((AB$3&gt;='Gastos com Pessoal'!$E$7:$E$506)*(AB$3&lt;='Gastos com Pessoal'!$F$7:$F$506)*OFFSET('Encargos e Benefícios'!$D$5,1,MATCH($B51,'Encargos e Benefícios'!$E$5:$AB$5,0),500,1)),0)+_xlfn.IFNA(SUM((AB$3&gt;='Gastos com Pessoal'!$E$513:$E$522)*(AB$3&lt;='Gastos com Pessoal'!$F$513:$F$522)*OFFSET('Encargos e Benefícios'!$D$511,1,MATCH($B51,'Encargos e Benefícios'!$E$511:$AB$511,0),10,1)),0)+_xlfn.IFNA(SUM((AB$3&gt;='Gastos com Pessoal'!$E$7:$E$506)*(AB$3&lt;='Gastos com Pessoal'!$F$7:$F$506)*(IF('Gastos com Pessoal'!$G$7:$G$506&lt;=AB$3,1,0))*OFFSET('Gastos com Pessoal'!$H$6,1,MATCH(1&amp;$B51,'Gastos com Pessoal'!$I$532:$AJ$532&amp;'Gastos com Pessoal'!$I$6:$AJ$6,0),500,1)),0)+_xlfn.IFNA(SUM((AB$3&gt;='Gastos com Pessoal'!$E$7:$E$506)*(AB$3&lt;='Gastos com Pessoal'!$F$7:$F$506)*(IF('Gastos com Pessoal'!$M$7:$M$506&lt;=AB$3,1,0))*OFFSET('Gastos com Pessoal'!$H$6,1,MATCH(2&amp;$B51,'Gastos com Pessoal'!$I$532:$AJ$532&amp;'Gastos com Pessoal'!$I$6:$AJ$6,0),500,1)),0)+_xlfn.IFNA(SUM((AB$3&gt;='Gastos com Pessoal'!$E$7:$E$506)*(AB$3&lt;='Gastos com Pessoal'!$F$7:$F$506)*(IF('Gastos com Pessoal'!$S$7:$S$506&lt;=AB$3,1,0))*OFFSET('Gastos com Pessoal'!$H$6,1,MATCH(3&amp;$B51,'Gastos com Pessoal'!$I$532:$AJ$532&amp;'Gastos com Pessoal'!$I$6:$AJ$6,0),500,1)),0)+_xlfn.IFNA(SUM((AB$3&gt;='Gastos com Pessoal'!$E$7:$E$506)*(AB$3&lt;='Gastos com Pessoal'!$F$7:$F$506)*(IF('Gastos com Pessoal'!$Y$7:$Y$506&lt;=AB$3,1,0))*OFFSET('Gastos com Pessoal'!$H$6,1,MATCH(4&amp;$B51,'Gastos com Pessoal'!$I$532:$AJ$532&amp;'Gastos com Pessoal'!$I$6:$AJ$6,0),500,1)),0)+_xlfn.IFNA(SUM((AB$3&gt;='Gastos com Pessoal'!$E$7:$E$506)*(AB$3&lt;='Gastos com Pessoal'!$F$7:$F$506)*(IF('Gastos com Pessoal'!$AE$7:$AE$506&lt;=AB$3,1,0))*OFFSET('Gastos com Pessoal'!$H$6,1,MATCH(5&amp;$B51,'Gastos com Pessoal'!$I$532:$AJ$532&amp;'Gastos com Pessoal'!$I$6:$AJ$6,0),500,1)),0)+_xlfn.IFNA(SUM((AB$3&gt;='Gastos com Pessoal'!$E$513:$E$522)*(AB$3&lt;='Gastos com Pessoal'!$F$513:$F$522)*(IF('Gastos com Pessoal'!$G$513:$G$522&lt;=AB$3,1,0))*OFFSET('Gastos com Pessoal'!$H$512,1,MATCH(1&amp;$B51,'Gastos com Pessoal'!$I$532:$AJ$532&amp;'Gastos com Pessoal'!$I$512:$AJ$512,0),10,1)),0)+_xlfn.IFNA(SUM((AB$3&gt;='Gastos com Pessoal'!$E$513:$E$522)*(AB$3&lt;='Gastos com Pessoal'!$F$513:$F$522)*(IF('Gastos com Pessoal'!$M$513:$M$522&lt;=AB$3,1,0))*OFFSET('Gastos com Pessoal'!$H$512,1,MATCH(2&amp;$B51,'Gastos com Pessoal'!$I$532:$AJ$532&amp;'Gastos com Pessoal'!$I$512:$AJ$512,0),10,1)),0)+_xlfn.IFNA(SUM((AB$3&gt;='Gastos com Pessoal'!$E$513:$E$522)*(AB$3&lt;='Gastos com Pessoal'!$F$513:$F$522)*(IF('Gastos com Pessoal'!$S$513:$S$522&lt;=AB$3,1,0))*OFFSET('Gastos com Pessoal'!$H$512,1,MATCH(3&amp;$B51,'Gastos com Pessoal'!$I$532:$AJ$532&amp;'Gastos com Pessoal'!$I$512:$AJ$512,0),10,1)),0)+_xlfn.IFNA(SUM((AB$3&gt;='Gastos com Pessoal'!$E$513:$E$522)*(AB$3&lt;='Gastos com Pessoal'!$F$513:$F$522)*(IF('Gastos com Pessoal'!$Y$513:$Y$522&lt;=AB$3,1,0))*OFFSET('Gastos com Pessoal'!$H$512,1,MATCH(4&amp;$B51,'Gastos com Pessoal'!$I$532:$AJ$532&amp;'Gastos com Pessoal'!$I$512:$AJ$512,0),10,1)),0)+_xlfn.IFNA(SUM((AB$3&gt;='Gastos com Pessoal'!$E$513:$E$522)*(AB$3&lt;='Gastos com Pessoal'!$F$513:$F$522)*(IF('Gastos com Pessoal'!$AE$513:$AE$522&lt;=AB$3,1,0))*OFFSET('Gastos com Pessoal'!$H$512,1,MATCH(5&amp;$B51,'Gastos com Pessoal'!$I$532:$AJ$532&amp;'Gastos com Pessoal'!$I$512:$AJ$512,0),10,1)),0)</f>
        <v>7031.859999999976</v>
      </c>
      <c r="AC51" s="188">
        <f t="array" aca="1" ref="AC51" ca="1">_xlfn.IFNA(SUM((AC$3&gt;='Gastos com Pessoal'!$E$7:$E$506)*(AC$3&lt;='Gastos com Pessoal'!$F$7:$F$506)*OFFSET('Encargos e Benefícios'!$D$5,1,MATCH($B51,'Encargos e Benefícios'!$E$5:$AB$5,0),500,1)),0)+_xlfn.IFNA(SUM((AC$3&gt;='Gastos com Pessoal'!$E$513:$E$522)*(AC$3&lt;='Gastos com Pessoal'!$F$513:$F$522)*OFFSET('Encargos e Benefícios'!$D$511,1,MATCH($B51,'Encargos e Benefícios'!$E$511:$AB$511,0),10,1)),0)+_xlfn.IFNA(SUM((AC$3&gt;='Gastos com Pessoal'!$E$7:$E$506)*(AC$3&lt;='Gastos com Pessoal'!$F$7:$F$506)*(IF('Gastos com Pessoal'!$G$7:$G$506&lt;=AC$3,1,0))*OFFSET('Gastos com Pessoal'!$H$6,1,MATCH(1&amp;$B51,'Gastos com Pessoal'!$I$532:$AJ$532&amp;'Gastos com Pessoal'!$I$6:$AJ$6,0),500,1)),0)+_xlfn.IFNA(SUM((AC$3&gt;='Gastos com Pessoal'!$E$7:$E$506)*(AC$3&lt;='Gastos com Pessoal'!$F$7:$F$506)*(IF('Gastos com Pessoal'!$M$7:$M$506&lt;=AC$3,1,0))*OFFSET('Gastos com Pessoal'!$H$6,1,MATCH(2&amp;$B51,'Gastos com Pessoal'!$I$532:$AJ$532&amp;'Gastos com Pessoal'!$I$6:$AJ$6,0),500,1)),0)+_xlfn.IFNA(SUM((AC$3&gt;='Gastos com Pessoal'!$E$7:$E$506)*(AC$3&lt;='Gastos com Pessoal'!$F$7:$F$506)*(IF('Gastos com Pessoal'!$S$7:$S$506&lt;=AC$3,1,0))*OFFSET('Gastos com Pessoal'!$H$6,1,MATCH(3&amp;$B51,'Gastos com Pessoal'!$I$532:$AJ$532&amp;'Gastos com Pessoal'!$I$6:$AJ$6,0),500,1)),0)+_xlfn.IFNA(SUM((AC$3&gt;='Gastos com Pessoal'!$E$7:$E$506)*(AC$3&lt;='Gastos com Pessoal'!$F$7:$F$506)*(IF('Gastos com Pessoal'!$Y$7:$Y$506&lt;=AC$3,1,0))*OFFSET('Gastos com Pessoal'!$H$6,1,MATCH(4&amp;$B51,'Gastos com Pessoal'!$I$532:$AJ$532&amp;'Gastos com Pessoal'!$I$6:$AJ$6,0),500,1)),0)+_xlfn.IFNA(SUM((AC$3&gt;='Gastos com Pessoal'!$E$7:$E$506)*(AC$3&lt;='Gastos com Pessoal'!$F$7:$F$506)*(IF('Gastos com Pessoal'!$AE$7:$AE$506&lt;=AC$3,1,0))*OFFSET('Gastos com Pessoal'!$H$6,1,MATCH(5&amp;$B51,'Gastos com Pessoal'!$I$532:$AJ$532&amp;'Gastos com Pessoal'!$I$6:$AJ$6,0),500,1)),0)+_xlfn.IFNA(SUM((AC$3&gt;='Gastos com Pessoal'!$E$513:$E$522)*(AC$3&lt;='Gastos com Pessoal'!$F$513:$F$522)*(IF('Gastos com Pessoal'!$G$513:$G$522&lt;=AC$3,1,0))*OFFSET('Gastos com Pessoal'!$H$512,1,MATCH(1&amp;$B51,'Gastos com Pessoal'!$I$532:$AJ$532&amp;'Gastos com Pessoal'!$I$512:$AJ$512,0),10,1)),0)+_xlfn.IFNA(SUM((AC$3&gt;='Gastos com Pessoal'!$E$513:$E$522)*(AC$3&lt;='Gastos com Pessoal'!$F$513:$F$522)*(IF('Gastos com Pessoal'!$M$513:$M$522&lt;=AC$3,1,0))*OFFSET('Gastos com Pessoal'!$H$512,1,MATCH(2&amp;$B51,'Gastos com Pessoal'!$I$532:$AJ$532&amp;'Gastos com Pessoal'!$I$512:$AJ$512,0),10,1)),0)+_xlfn.IFNA(SUM((AC$3&gt;='Gastos com Pessoal'!$E$513:$E$522)*(AC$3&lt;='Gastos com Pessoal'!$F$513:$F$522)*(IF('Gastos com Pessoal'!$S$513:$S$522&lt;=AC$3,1,0))*OFFSET('Gastos com Pessoal'!$H$512,1,MATCH(3&amp;$B51,'Gastos com Pessoal'!$I$532:$AJ$532&amp;'Gastos com Pessoal'!$I$512:$AJ$512,0),10,1)),0)+_xlfn.IFNA(SUM((AC$3&gt;='Gastos com Pessoal'!$E$513:$E$522)*(AC$3&lt;='Gastos com Pessoal'!$F$513:$F$522)*(IF('Gastos com Pessoal'!$Y$513:$Y$522&lt;=AC$3,1,0))*OFFSET('Gastos com Pessoal'!$H$512,1,MATCH(4&amp;$B51,'Gastos com Pessoal'!$I$532:$AJ$532&amp;'Gastos com Pessoal'!$I$512:$AJ$512,0),10,1)),0)+_xlfn.IFNA(SUM((AC$3&gt;='Gastos com Pessoal'!$E$513:$E$522)*(AC$3&lt;='Gastos com Pessoal'!$F$513:$F$522)*(IF('Gastos com Pessoal'!$AE$513:$AE$522&lt;=AC$3,1,0))*OFFSET('Gastos com Pessoal'!$H$512,1,MATCH(5&amp;$B51,'Gastos com Pessoal'!$I$532:$AJ$532&amp;'Gastos com Pessoal'!$I$512:$AJ$512,0),10,1)),0)</f>
        <v>7031.859999999976</v>
      </c>
      <c r="AD51" s="188">
        <f t="array" aca="1" ref="AD51" ca="1">_xlfn.IFNA(SUM((AD$3&gt;='Gastos com Pessoal'!$E$7:$E$506)*(AD$3&lt;='Gastos com Pessoal'!$F$7:$F$506)*OFFSET('Encargos e Benefícios'!$D$5,1,MATCH($B51,'Encargos e Benefícios'!$E$5:$AB$5,0),500,1)),0)+_xlfn.IFNA(SUM((AD$3&gt;='Gastos com Pessoal'!$E$513:$E$522)*(AD$3&lt;='Gastos com Pessoal'!$F$513:$F$522)*OFFSET('Encargos e Benefícios'!$D$511,1,MATCH($B51,'Encargos e Benefícios'!$E$511:$AB$511,0),10,1)),0)+_xlfn.IFNA(SUM((AD$3&gt;='Gastos com Pessoal'!$E$7:$E$506)*(AD$3&lt;='Gastos com Pessoal'!$F$7:$F$506)*(IF('Gastos com Pessoal'!$G$7:$G$506&lt;=AD$3,1,0))*OFFSET('Gastos com Pessoal'!$H$6,1,MATCH(1&amp;$B51,'Gastos com Pessoal'!$I$532:$AJ$532&amp;'Gastos com Pessoal'!$I$6:$AJ$6,0),500,1)),0)+_xlfn.IFNA(SUM((AD$3&gt;='Gastos com Pessoal'!$E$7:$E$506)*(AD$3&lt;='Gastos com Pessoal'!$F$7:$F$506)*(IF('Gastos com Pessoal'!$M$7:$M$506&lt;=AD$3,1,0))*OFFSET('Gastos com Pessoal'!$H$6,1,MATCH(2&amp;$B51,'Gastos com Pessoal'!$I$532:$AJ$532&amp;'Gastos com Pessoal'!$I$6:$AJ$6,0),500,1)),0)+_xlfn.IFNA(SUM((AD$3&gt;='Gastos com Pessoal'!$E$7:$E$506)*(AD$3&lt;='Gastos com Pessoal'!$F$7:$F$506)*(IF('Gastos com Pessoal'!$S$7:$S$506&lt;=AD$3,1,0))*OFFSET('Gastos com Pessoal'!$H$6,1,MATCH(3&amp;$B51,'Gastos com Pessoal'!$I$532:$AJ$532&amp;'Gastos com Pessoal'!$I$6:$AJ$6,0),500,1)),0)+_xlfn.IFNA(SUM((AD$3&gt;='Gastos com Pessoal'!$E$7:$E$506)*(AD$3&lt;='Gastos com Pessoal'!$F$7:$F$506)*(IF('Gastos com Pessoal'!$Y$7:$Y$506&lt;=AD$3,1,0))*OFFSET('Gastos com Pessoal'!$H$6,1,MATCH(4&amp;$B51,'Gastos com Pessoal'!$I$532:$AJ$532&amp;'Gastos com Pessoal'!$I$6:$AJ$6,0),500,1)),0)+_xlfn.IFNA(SUM((AD$3&gt;='Gastos com Pessoal'!$E$7:$E$506)*(AD$3&lt;='Gastos com Pessoal'!$F$7:$F$506)*(IF('Gastos com Pessoal'!$AE$7:$AE$506&lt;=AD$3,1,0))*OFFSET('Gastos com Pessoal'!$H$6,1,MATCH(5&amp;$B51,'Gastos com Pessoal'!$I$532:$AJ$532&amp;'Gastos com Pessoal'!$I$6:$AJ$6,0),500,1)),0)+_xlfn.IFNA(SUM((AD$3&gt;='Gastos com Pessoal'!$E$513:$E$522)*(AD$3&lt;='Gastos com Pessoal'!$F$513:$F$522)*(IF('Gastos com Pessoal'!$G$513:$G$522&lt;=AD$3,1,0))*OFFSET('Gastos com Pessoal'!$H$512,1,MATCH(1&amp;$B51,'Gastos com Pessoal'!$I$532:$AJ$532&amp;'Gastos com Pessoal'!$I$512:$AJ$512,0),10,1)),0)+_xlfn.IFNA(SUM((AD$3&gt;='Gastos com Pessoal'!$E$513:$E$522)*(AD$3&lt;='Gastos com Pessoal'!$F$513:$F$522)*(IF('Gastos com Pessoal'!$M$513:$M$522&lt;=AD$3,1,0))*OFFSET('Gastos com Pessoal'!$H$512,1,MATCH(2&amp;$B51,'Gastos com Pessoal'!$I$532:$AJ$532&amp;'Gastos com Pessoal'!$I$512:$AJ$512,0),10,1)),0)+_xlfn.IFNA(SUM((AD$3&gt;='Gastos com Pessoal'!$E$513:$E$522)*(AD$3&lt;='Gastos com Pessoal'!$F$513:$F$522)*(IF('Gastos com Pessoal'!$S$513:$S$522&lt;=AD$3,1,0))*OFFSET('Gastos com Pessoal'!$H$512,1,MATCH(3&amp;$B51,'Gastos com Pessoal'!$I$532:$AJ$532&amp;'Gastos com Pessoal'!$I$512:$AJ$512,0),10,1)),0)+_xlfn.IFNA(SUM((AD$3&gt;='Gastos com Pessoal'!$E$513:$E$522)*(AD$3&lt;='Gastos com Pessoal'!$F$513:$F$522)*(IF('Gastos com Pessoal'!$Y$513:$Y$522&lt;=AD$3,1,0))*OFFSET('Gastos com Pessoal'!$H$512,1,MATCH(4&amp;$B51,'Gastos com Pessoal'!$I$532:$AJ$532&amp;'Gastos com Pessoal'!$I$512:$AJ$512,0),10,1)),0)+_xlfn.IFNA(SUM((AD$3&gt;='Gastos com Pessoal'!$E$513:$E$522)*(AD$3&lt;='Gastos com Pessoal'!$F$513:$F$522)*(IF('Gastos com Pessoal'!$AE$513:$AE$522&lt;=AD$3,1,0))*OFFSET('Gastos com Pessoal'!$H$512,1,MATCH(5&amp;$B51,'Gastos com Pessoal'!$I$532:$AJ$532&amp;'Gastos com Pessoal'!$I$512:$AJ$512,0),10,1)),0)</f>
        <v>7031.859999999976</v>
      </c>
      <c r="AE51" s="188">
        <f t="array" aca="1" ref="AE51" ca="1">_xlfn.IFNA(SUM((AE$3&gt;='Gastos com Pessoal'!$E$7:$E$506)*(AE$3&lt;='Gastos com Pessoal'!$F$7:$F$506)*OFFSET('Encargos e Benefícios'!$D$5,1,MATCH($B51,'Encargos e Benefícios'!$E$5:$AB$5,0),500,1)),0)+_xlfn.IFNA(SUM((AE$3&gt;='Gastos com Pessoal'!$E$513:$E$522)*(AE$3&lt;='Gastos com Pessoal'!$F$513:$F$522)*OFFSET('Encargos e Benefícios'!$D$511,1,MATCH($B51,'Encargos e Benefícios'!$E$511:$AB$511,0),10,1)),0)+_xlfn.IFNA(SUM((AE$3&gt;='Gastos com Pessoal'!$E$7:$E$506)*(AE$3&lt;='Gastos com Pessoal'!$F$7:$F$506)*(IF('Gastos com Pessoal'!$G$7:$G$506&lt;=AE$3,1,0))*OFFSET('Gastos com Pessoal'!$H$6,1,MATCH(1&amp;$B51,'Gastos com Pessoal'!$I$532:$AJ$532&amp;'Gastos com Pessoal'!$I$6:$AJ$6,0),500,1)),0)+_xlfn.IFNA(SUM((AE$3&gt;='Gastos com Pessoal'!$E$7:$E$506)*(AE$3&lt;='Gastos com Pessoal'!$F$7:$F$506)*(IF('Gastos com Pessoal'!$M$7:$M$506&lt;=AE$3,1,0))*OFFSET('Gastos com Pessoal'!$H$6,1,MATCH(2&amp;$B51,'Gastos com Pessoal'!$I$532:$AJ$532&amp;'Gastos com Pessoal'!$I$6:$AJ$6,0),500,1)),0)+_xlfn.IFNA(SUM((AE$3&gt;='Gastos com Pessoal'!$E$7:$E$506)*(AE$3&lt;='Gastos com Pessoal'!$F$7:$F$506)*(IF('Gastos com Pessoal'!$S$7:$S$506&lt;=AE$3,1,0))*OFFSET('Gastos com Pessoal'!$H$6,1,MATCH(3&amp;$B51,'Gastos com Pessoal'!$I$532:$AJ$532&amp;'Gastos com Pessoal'!$I$6:$AJ$6,0),500,1)),0)+_xlfn.IFNA(SUM((AE$3&gt;='Gastos com Pessoal'!$E$7:$E$506)*(AE$3&lt;='Gastos com Pessoal'!$F$7:$F$506)*(IF('Gastos com Pessoal'!$Y$7:$Y$506&lt;=AE$3,1,0))*OFFSET('Gastos com Pessoal'!$H$6,1,MATCH(4&amp;$B51,'Gastos com Pessoal'!$I$532:$AJ$532&amp;'Gastos com Pessoal'!$I$6:$AJ$6,0),500,1)),0)+_xlfn.IFNA(SUM((AE$3&gt;='Gastos com Pessoal'!$E$7:$E$506)*(AE$3&lt;='Gastos com Pessoal'!$F$7:$F$506)*(IF('Gastos com Pessoal'!$AE$7:$AE$506&lt;=AE$3,1,0))*OFFSET('Gastos com Pessoal'!$H$6,1,MATCH(5&amp;$B51,'Gastos com Pessoal'!$I$532:$AJ$532&amp;'Gastos com Pessoal'!$I$6:$AJ$6,0),500,1)),0)+_xlfn.IFNA(SUM((AE$3&gt;='Gastos com Pessoal'!$E$513:$E$522)*(AE$3&lt;='Gastos com Pessoal'!$F$513:$F$522)*(IF('Gastos com Pessoal'!$G$513:$G$522&lt;=AE$3,1,0))*OFFSET('Gastos com Pessoal'!$H$512,1,MATCH(1&amp;$B51,'Gastos com Pessoal'!$I$532:$AJ$532&amp;'Gastos com Pessoal'!$I$512:$AJ$512,0),10,1)),0)+_xlfn.IFNA(SUM((AE$3&gt;='Gastos com Pessoal'!$E$513:$E$522)*(AE$3&lt;='Gastos com Pessoal'!$F$513:$F$522)*(IF('Gastos com Pessoal'!$M$513:$M$522&lt;=AE$3,1,0))*OFFSET('Gastos com Pessoal'!$H$512,1,MATCH(2&amp;$B51,'Gastos com Pessoal'!$I$532:$AJ$532&amp;'Gastos com Pessoal'!$I$512:$AJ$512,0),10,1)),0)+_xlfn.IFNA(SUM((AE$3&gt;='Gastos com Pessoal'!$E$513:$E$522)*(AE$3&lt;='Gastos com Pessoal'!$F$513:$F$522)*(IF('Gastos com Pessoal'!$S$513:$S$522&lt;=AE$3,1,0))*OFFSET('Gastos com Pessoal'!$H$512,1,MATCH(3&amp;$B51,'Gastos com Pessoal'!$I$532:$AJ$532&amp;'Gastos com Pessoal'!$I$512:$AJ$512,0),10,1)),0)+_xlfn.IFNA(SUM((AE$3&gt;='Gastos com Pessoal'!$E$513:$E$522)*(AE$3&lt;='Gastos com Pessoal'!$F$513:$F$522)*(IF('Gastos com Pessoal'!$Y$513:$Y$522&lt;=AE$3,1,0))*OFFSET('Gastos com Pessoal'!$H$512,1,MATCH(4&amp;$B51,'Gastos com Pessoal'!$I$532:$AJ$532&amp;'Gastos com Pessoal'!$I$512:$AJ$512,0),10,1)),0)+_xlfn.IFNA(SUM((AE$3&gt;='Gastos com Pessoal'!$E$513:$E$522)*(AE$3&lt;='Gastos com Pessoal'!$F$513:$F$522)*(IF('Gastos com Pessoal'!$AE$513:$AE$522&lt;=AE$3,1,0))*OFFSET('Gastos com Pessoal'!$H$512,1,MATCH(5&amp;$B51,'Gastos com Pessoal'!$I$532:$AJ$532&amp;'Gastos com Pessoal'!$I$512:$AJ$512,0),10,1)),0)</f>
        <v>7031.859999999976</v>
      </c>
      <c r="AF51" s="188">
        <f t="array" aca="1" ref="AF51" ca="1">_xlfn.IFNA(SUM((AF$3&gt;='Gastos com Pessoal'!$E$7:$E$506)*(AF$3&lt;='Gastos com Pessoal'!$F$7:$F$506)*OFFSET('Encargos e Benefícios'!$D$5,1,MATCH($B51,'Encargos e Benefícios'!$E$5:$AB$5,0),500,1)),0)+_xlfn.IFNA(SUM((AF$3&gt;='Gastos com Pessoal'!$E$513:$E$522)*(AF$3&lt;='Gastos com Pessoal'!$F$513:$F$522)*OFFSET('Encargos e Benefícios'!$D$511,1,MATCH($B51,'Encargos e Benefícios'!$E$511:$AB$511,0),10,1)),0)+_xlfn.IFNA(SUM((AF$3&gt;='Gastos com Pessoal'!$E$7:$E$506)*(AF$3&lt;='Gastos com Pessoal'!$F$7:$F$506)*(IF('Gastos com Pessoal'!$G$7:$G$506&lt;=AF$3,1,0))*OFFSET('Gastos com Pessoal'!$H$6,1,MATCH(1&amp;$B51,'Gastos com Pessoal'!$I$532:$AJ$532&amp;'Gastos com Pessoal'!$I$6:$AJ$6,0),500,1)),0)+_xlfn.IFNA(SUM((AF$3&gt;='Gastos com Pessoal'!$E$7:$E$506)*(AF$3&lt;='Gastos com Pessoal'!$F$7:$F$506)*(IF('Gastos com Pessoal'!$M$7:$M$506&lt;=AF$3,1,0))*OFFSET('Gastos com Pessoal'!$H$6,1,MATCH(2&amp;$B51,'Gastos com Pessoal'!$I$532:$AJ$532&amp;'Gastos com Pessoal'!$I$6:$AJ$6,0),500,1)),0)+_xlfn.IFNA(SUM((AF$3&gt;='Gastos com Pessoal'!$E$7:$E$506)*(AF$3&lt;='Gastos com Pessoal'!$F$7:$F$506)*(IF('Gastos com Pessoal'!$S$7:$S$506&lt;=AF$3,1,0))*OFFSET('Gastos com Pessoal'!$H$6,1,MATCH(3&amp;$B51,'Gastos com Pessoal'!$I$532:$AJ$532&amp;'Gastos com Pessoal'!$I$6:$AJ$6,0),500,1)),0)+_xlfn.IFNA(SUM((AF$3&gt;='Gastos com Pessoal'!$E$7:$E$506)*(AF$3&lt;='Gastos com Pessoal'!$F$7:$F$506)*(IF('Gastos com Pessoal'!$Y$7:$Y$506&lt;=AF$3,1,0))*OFFSET('Gastos com Pessoal'!$H$6,1,MATCH(4&amp;$B51,'Gastos com Pessoal'!$I$532:$AJ$532&amp;'Gastos com Pessoal'!$I$6:$AJ$6,0),500,1)),0)+_xlfn.IFNA(SUM((AF$3&gt;='Gastos com Pessoal'!$E$7:$E$506)*(AF$3&lt;='Gastos com Pessoal'!$F$7:$F$506)*(IF('Gastos com Pessoal'!$AE$7:$AE$506&lt;=AF$3,1,0))*OFFSET('Gastos com Pessoal'!$H$6,1,MATCH(5&amp;$B51,'Gastos com Pessoal'!$I$532:$AJ$532&amp;'Gastos com Pessoal'!$I$6:$AJ$6,0),500,1)),0)+_xlfn.IFNA(SUM((AF$3&gt;='Gastos com Pessoal'!$E$513:$E$522)*(AF$3&lt;='Gastos com Pessoal'!$F$513:$F$522)*(IF('Gastos com Pessoal'!$G$513:$G$522&lt;=AF$3,1,0))*OFFSET('Gastos com Pessoal'!$H$512,1,MATCH(1&amp;$B51,'Gastos com Pessoal'!$I$532:$AJ$532&amp;'Gastos com Pessoal'!$I$512:$AJ$512,0),10,1)),0)+_xlfn.IFNA(SUM((AF$3&gt;='Gastos com Pessoal'!$E$513:$E$522)*(AF$3&lt;='Gastos com Pessoal'!$F$513:$F$522)*(IF('Gastos com Pessoal'!$M$513:$M$522&lt;=AF$3,1,0))*OFFSET('Gastos com Pessoal'!$H$512,1,MATCH(2&amp;$B51,'Gastos com Pessoal'!$I$532:$AJ$532&amp;'Gastos com Pessoal'!$I$512:$AJ$512,0),10,1)),0)+_xlfn.IFNA(SUM((AF$3&gt;='Gastos com Pessoal'!$E$513:$E$522)*(AF$3&lt;='Gastos com Pessoal'!$F$513:$F$522)*(IF('Gastos com Pessoal'!$S$513:$S$522&lt;=AF$3,1,0))*OFFSET('Gastos com Pessoal'!$H$512,1,MATCH(3&amp;$B51,'Gastos com Pessoal'!$I$532:$AJ$532&amp;'Gastos com Pessoal'!$I$512:$AJ$512,0),10,1)),0)+_xlfn.IFNA(SUM((AF$3&gt;='Gastos com Pessoal'!$E$513:$E$522)*(AF$3&lt;='Gastos com Pessoal'!$F$513:$F$522)*(IF('Gastos com Pessoal'!$Y$513:$Y$522&lt;=AF$3,1,0))*OFFSET('Gastos com Pessoal'!$H$512,1,MATCH(4&amp;$B51,'Gastos com Pessoal'!$I$532:$AJ$532&amp;'Gastos com Pessoal'!$I$512:$AJ$512,0),10,1)),0)+_xlfn.IFNA(SUM((AF$3&gt;='Gastos com Pessoal'!$E$513:$E$522)*(AF$3&lt;='Gastos com Pessoal'!$F$513:$F$522)*(IF('Gastos com Pessoal'!$AE$513:$AE$522&lt;=AF$3,1,0))*OFFSET('Gastos com Pessoal'!$H$512,1,MATCH(5&amp;$B51,'Gastos com Pessoal'!$I$532:$AJ$532&amp;'Gastos com Pessoal'!$I$512:$AJ$512,0),10,1)),0)</f>
        <v>7031.859999999976</v>
      </c>
      <c r="AG51" s="188">
        <f t="array" aca="1" ref="AG51" ca="1">_xlfn.IFNA(SUM((AG$3&gt;='Gastos com Pessoal'!$E$7:$E$506)*(AG$3&lt;='Gastos com Pessoal'!$F$7:$F$506)*OFFSET('Encargos e Benefícios'!$D$5,1,MATCH($B51,'Encargos e Benefícios'!$E$5:$AB$5,0),500,1)),0)+_xlfn.IFNA(SUM((AG$3&gt;='Gastos com Pessoal'!$E$513:$E$522)*(AG$3&lt;='Gastos com Pessoal'!$F$513:$F$522)*OFFSET('Encargos e Benefícios'!$D$511,1,MATCH($B51,'Encargos e Benefícios'!$E$511:$AB$511,0),10,1)),0)+_xlfn.IFNA(SUM((AG$3&gt;='Gastos com Pessoal'!$E$7:$E$506)*(AG$3&lt;='Gastos com Pessoal'!$F$7:$F$506)*(IF('Gastos com Pessoal'!$G$7:$G$506&lt;=AG$3,1,0))*OFFSET('Gastos com Pessoal'!$H$6,1,MATCH(1&amp;$B51,'Gastos com Pessoal'!$I$532:$AJ$532&amp;'Gastos com Pessoal'!$I$6:$AJ$6,0),500,1)),0)+_xlfn.IFNA(SUM((AG$3&gt;='Gastos com Pessoal'!$E$7:$E$506)*(AG$3&lt;='Gastos com Pessoal'!$F$7:$F$506)*(IF('Gastos com Pessoal'!$M$7:$M$506&lt;=AG$3,1,0))*OFFSET('Gastos com Pessoal'!$H$6,1,MATCH(2&amp;$B51,'Gastos com Pessoal'!$I$532:$AJ$532&amp;'Gastos com Pessoal'!$I$6:$AJ$6,0),500,1)),0)+_xlfn.IFNA(SUM((AG$3&gt;='Gastos com Pessoal'!$E$7:$E$506)*(AG$3&lt;='Gastos com Pessoal'!$F$7:$F$506)*(IF('Gastos com Pessoal'!$S$7:$S$506&lt;=AG$3,1,0))*OFFSET('Gastos com Pessoal'!$H$6,1,MATCH(3&amp;$B51,'Gastos com Pessoal'!$I$532:$AJ$532&amp;'Gastos com Pessoal'!$I$6:$AJ$6,0),500,1)),0)+_xlfn.IFNA(SUM((AG$3&gt;='Gastos com Pessoal'!$E$7:$E$506)*(AG$3&lt;='Gastos com Pessoal'!$F$7:$F$506)*(IF('Gastos com Pessoal'!$Y$7:$Y$506&lt;=AG$3,1,0))*OFFSET('Gastos com Pessoal'!$H$6,1,MATCH(4&amp;$B51,'Gastos com Pessoal'!$I$532:$AJ$532&amp;'Gastos com Pessoal'!$I$6:$AJ$6,0),500,1)),0)+_xlfn.IFNA(SUM((AG$3&gt;='Gastos com Pessoal'!$E$7:$E$506)*(AG$3&lt;='Gastos com Pessoal'!$F$7:$F$506)*(IF('Gastos com Pessoal'!$AE$7:$AE$506&lt;=AG$3,1,0))*OFFSET('Gastos com Pessoal'!$H$6,1,MATCH(5&amp;$B51,'Gastos com Pessoal'!$I$532:$AJ$532&amp;'Gastos com Pessoal'!$I$6:$AJ$6,0),500,1)),0)+_xlfn.IFNA(SUM((AG$3&gt;='Gastos com Pessoal'!$E$513:$E$522)*(AG$3&lt;='Gastos com Pessoal'!$F$513:$F$522)*(IF('Gastos com Pessoal'!$G$513:$G$522&lt;=AG$3,1,0))*OFFSET('Gastos com Pessoal'!$H$512,1,MATCH(1&amp;$B51,'Gastos com Pessoal'!$I$532:$AJ$532&amp;'Gastos com Pessoal'!$I$512:$AJ$512,0),10,1)),0)+_xlfn.IFNA(SUM((AG$3&gt;='Gastos com Pessoal'!$E$513:$E$522)*(AG$3&lt;='Gastos com Pessoal'!$F$513:$F$522)*(IF('Gastos com Pessoal'!$M$513:$M$522&lt;=AG$3,1,0))*OFFSET('Gastos com Pessoal'!$H$512,1,MATCH(2&amp;$B51,'Gastos com Pessoal'!$I$532:$AJ$532&amp;'Gastos com Pessoal'!$I$512:$AJ$512,0),10,1)),0)+_xlfn.IFNA(SUM((AG$3&gt;='Gastos com Pessoal'!$E$513:$E$522)*(AG$3&lt;='Gastos com Pessoal'!$F$513:$F$522)*(IF('Gastos com Pessoal'!$S$513:$S$522&lt;=AG$3,1,0))*OFFSET('Gastos com Pessoal'!$H$512,1,MATCH(3&amp;$B51,'Gastos com Pessoal'!$I$532:$AJ$532&amp;'Gastos com Pessoal'!$I$512:$AJ$512,0),10,1)),0)+_xlfn.IFNA(SUM((AG$3&gt;='Gastos com Pessoal'!$E$513:$E$522)*(AG$3&lt;='Gastos com Pessoal'!$F$513:$F$522)*(IF('Gastos com Pessoal'!$Y$513:$Y$522&lt;=AG$3,1,0))*OFFSET('Gastos com Pessoal'!$H$512,1,MATCH(4&amp;$B51,'Gastos com Pessoal'!$I$532:$AJ$532&amp;'Gastos com Pessoal'!$I$512:$AJ$512,0),10,1)),0)+_xlfn.IFNA(SUM((AG$3&gt;='Gastos com Pessoal'!$E$513:$E$522)*(AG$3&lt;='Gastos com Pessoal'!$F$513:$F$522)*(IF('Gastos com Pessoal'!$AE$513:$AE$522&lt;=AG$3,1,0))*OFFSET('Gastos com Pessoal'!$H$512,1,MATCH(5&amp;$B51,'Gastos com Pessoal'!$I$532:$AJ$532&amp;'Gastos com Pessoal'!$I$512:$AJ$512,0),10,1)),0)</f>
        <v>7031.859999999976</v>
      </c>
      <c r="AH51" s="188">
        <f t="array" aca="1" ref="AH51" ca="1">_xlfn.IFNA(SUM((AH$3&gt;='Gastos com Pessoal'!$E$7:$E$506)*(AH$3&lt;='Gastos com Pessoal'!$F$7:$F$506)*OFFSET('Encargos e Benefícios'!$D$5,1,MATCH($B51,'Encargos e Benefícios'!$E$5:$AB$5,0),500,1)),0)+_xlfn.IFNA(SUM((AH$3&gt;='Gastos com Pessoal'!$E$513:$E$522)*(AH$3&lt;='Gastos com Pessoal'!$F$513:$F$522)*OFFSET('Encargos e Benefícios'!$D$511,1,MATCH($B51,'Encargos e Benefícios'!$E$511:$AB$511,0),10,1)),0)+_xlfn.IFNA(SUM((AH$3&gt;='Gastos com Pessoal'!$E$7:$E$506)*(AH$3&lt;='Gastos com Pessoal'!$F$7:$F$506)*(IF('Gastos com Pessoal'!$G$7:$G$506&lt;=AH$3,1,0))*OFFSET('Gastos com Pessoal'!$H$6,1,MATCH(1&amp;$B51,'Gastos com Pessoal'!$I$532:$AJ$532&amp;'Gastos com Pessoal'!$I$6:$AJ$6,0),500,1)),0)+_xlfn.IFNA(SUM((AH$3&gt;='Gastos com Pessoal'!$E$7:$E$506)*(AH$3&lt;='Gastos com Pessoal'!$F$7:$F$506)*(IF('Gastos com Pessoal'!$M$7:$M$506&lt;=AH$3,1,0))*OFFSET('Gastos com Pessoal'!$H$6,1,MATCH(2&amp;$B51,'Gastos com Pessoal'!$I$532:$AJ$532&amp;'Gastos com Pessoal'!$I$6:$AJ$6,0),500,1)),0)+_xlfn.IFNA(SUM((AH$3&gt;='Gastos com Pessoal'!$E$7:$E$506)*(AH$3&lt;='Gastos com Pessoal'!$F$7:$F$506)*(IF('Gastos com Pessoal'!$S$7:$S$506&lt;=AH$3,1,0))*OFFSET('Gastos com Pessoal'!$H$6,1,MATCH(3&amp;$B51,'Gastos com Pessoal'!$I$532:$AJ$532&amp;'Gastos com Pessoal'!$I$6:$AJ$6,0),500,1)),0)+_xlfn.IFNA(SUM((AH$3&gt;='Gastos com Pessoal'!$E$7:$E$506)*(AH$3&lt;='Gastos com Pessoal'!$F$7:$F$506)*(IF('Gastos com Pessoal'!$Y$7:$Y$506&lt;=AH$3,1,0))*OFFSET('Gastos com Pessoal'!$H$6,1,MATCH(4&amp;$B51,'Gastos com Pessoal'!$I$532:$AJ$532&amp;'Gastos com Pessoal'!$I$6:$AJ$6,0),500,1)),0)+_xlfn.IFNA(SUM((AH$3&gt;='Gastos com Pessoal'!$E$7:$E$506)*(AH$3&lt;='Gastos com Pessoal'!$F$7:$F$506)*(IF('Gastos com Pessoal'!$AE$7:$AE$506&lt;=AH$3,1,0))*OFFSET('Gastos com Pessoal'!$H$6,1,MATCH(5&amp;$B51,'Gastos com Pessoal'!$I$532:$AJ$532&amp;'Gastos com Pessoal'!$I$6:$AJ$6,0),500,1)),0)+_xlfn.IFNA(SUM((AH$3&gt;='Gastos com Pessoal'!$E$513:$E$522)*(AH$3&lt;='Gastos com Pessoal'!$F$513:$F$522)*(IF('Gastos com Pessoal'!$G$513:$G$522&lt;=AH$3,1,0))*OFFSET('Gastos com Pessoal'!$H$512,1,MATCH(1&amp;$B51,'Gastos com Pessoal'!$I$532:$AJ$532&amp;'Gastos com Pessoal'!$I$512:$AJ$512,0),10,1)),0)+_xlfn.IFNA(SUM((AH$3&gt;='Gastos com Pessoal'!$E$513:$E$522)*(AH$3&lt;='Gastos com Pessoal'!$F$513:$F$522)*(IF('Gastos com Pessoal'!$M$513:$M$522&lt;=AH$3,1,0))*OFFSET('Gastos com Pessoal'!$H$512,1,MATCH(2&amp;$B51,'Gastos com Pessoal'!$I$532:$AJ$532&amp;'Gastos com Pessoal'!$I$512:$AJ$512,0),10,1)),0)+_xlfn.IFNA(SUM((AH$3&gt;='Gastos com Pessoal'!$E$513:$E$522)*(AH$3&lt;='Gastos com Pessoal'!$F$513:$F$522)*(IF('Gastos com Pessoal'!$S$513:$S$522&lt;=AH$3,1,0))*OFFSET('Gastos com Pessoal'!$H$512,1,MATCH(3&amp;$B51,'Gastos com Pessoal'!$I$532:$AJ$532&amp;'Gastos com Pessoal'!$I$512:$AJ$512,0),10,1)),0)+_xlfn.IFNA(SUM((AH$3&gt;='Gastos com Pessoal'!$E$513:$E$522)*(AH$3&lt;='Gastos com Pessoal'!$F$513:$F$522)*(IF('Gastos com Pessoal'!$Y$513:$Y$522&lt;=AH$3,1,0))*OFFSET('Gastos com Pessoal'!$H$512,1,MATCH(4&amp;$B51,'Gastos com Pessoal'!$I$532:$AJ$532&amp;'Gastos com Pessoal'!$I$512:$AJ$512,0),10,1)),0)+_xlfn.IFNA(SUM((AH$3&gt;='Gastos com Pessoal'!$E$513:$E$522)*(AH$3&lt;='Gastos com Pessoal'!$F$513:$F$522)*(IF('Gastos com Pessoal'!$AE$513:$AE$522&lt;=AH$3,1,0))*OFFSET('Gastos com Pessoal'!$H$512,1,MATCH(5&amp;$B51,'Gastos com Pessoal'!$I$532:$AJ$532&amp;'Gastos com Pessoal'!$I$512:$AJ$512,0),10,1)),0)</f>
        <v>7031.859999999976</v>
      </c>
      <c r="AI51" s="188">
        <f t="array" aca="1" ref="AI51" ca="1">_xlfn.IFNA(SUM((AI$3&gt;='Gastos com Pessoal'!$E$7:$E$506)*(AI$3&lt;='Gastos com Pessoal'!$F$7:$F$506)*OFFSET('Encargos e Benefícios'!$D$5,1,MATCH($B51,'Encargos e Benefícios'!$E$5:$AB$5,0),500,1)),0)+_xlfn.IFNA(SUM((AI$3&gt;='Gastos com Pessoal'!$E$513:$E$522)*(AI$3&lt;='Gastos com Pessoal'!$F$513:$F$522)*OFFSET('Encargos e Benefícios'!$D$511,1,MATCH($B51,'Encargos e Benefícios'!$E$511:$AB$511,0),10,1)),0)+_xlfn.IFNA(SUM((AI$3&gt;='Gastos com Pessoal'!$E$7:$E$506)*(AI$3&lt;='Gastos com Pessoal'!$F$7:$F$506)*(IF('Gastos com Pessoal'!$G$7:$G$506&lt;=AI$3,1,0))*OFFSET('Gastos com Pessoal'!$H$6,1,MATCH(1&amp;$B51,'Gastos com Pessoal'!$I$532:$AJ$532&amp;'Gastos com Pessoal'!$I$6:$AJ$6,0),500,1)),0)+_xlfn.IFNA(SUM((AI$3&gt;='Gastos com Pessoal'!$E$7:$E$506)*(AI$3&lt;='Gastos com Pessoal'!$F$7:$F$506)*(IF('Gastos com Pessoal'!$M$7:$M$506&lt;=AI$3,1,0))*OFFSET('Gastos com Pessoal'!$H$6,1,MATCH(2&amp;$B51,'Gastos com Pessoal'!$I$532:$AJ$532&amp;'Gastos com Pessoal'!$I$6:$AJ$6,0),500,1)),0)+_xlfn.IFNA(SUM((AI$3&gt;='Gastos com Pessoal'!$E$7:$E$506)*(AI$3&lt;='Gastos com Pessoal'!$F$7:$F$506)*(IF('Gastos com Pessoal'!$S$7:$S$506&lt;=AI$3,1,0))*OFFSET('Gastos com Pessoal'!$H$6,1,MATCH(3&amp;$B51,'Gastos com Pessoal'!$I$532:$AJ$532&amp;'Gastos com Pessoal'!$I$6:$AJ$6,0),500,1)),0)+_xlfn.IFNA(SUM((AI$3&gt;='Gastos com Pessoal'!$E$7:$E$506)*(AI$3&lt;='Gastos com Pessoal'!$F$7:$F$506)*(IF('Gastos com Pessoal'!$Y$7:$Y$506&lt;=AI$3,1,0))*OFFSET('Gastos com Pessoal'!$H$6,1,MATCH(4&amp;$B51,'Gastos com Pessoal'!$I$532:$AJ$532&amp;'Gastos com Pessoal'!$I$6:$AJ$6,0),500,1)),0)+_xlfn.IFNA(SUM((AI$3&gt;='Gastos com Pessoal'!$E$7:$E$506)*(AI$3&lt;='Gastos com Pessoal'!$F$7:$F$506)*(IF('Gastos com Pessoal'!$AE$7:$AE$506&lt;=AI$3,1,0))*OFFSET('Gastos com Pessoal'!$H$6,1,MATCH(5&amp;$B51,'Gastos com Pessoal'!$I$532:$AJ$532&amp;'Gastos com Pessoal'!$I$6:$AJ$6,0),500,1)),0)+_xlfn.IFNA(SUM((AI$3&gt;='Gastos com Pessoal'!$E$513:$E$522)*(AI$3&lt;='Gastos com Pessoal'!$F$513:$F$522)*(IF('Gastos com Pessoal'!$G$513:$G$522&lt;=AI$3,1,0))*OFFSET('Gastos com Pessoal'!$H$512,1,MATCH(1&amp;$B51,'Gastos com Pessoal'!$I$532:$AJ$532&amp;'Gastos com Pessoal'!$I$512:$AJ$512,0),10,1)),0)+_xlfn.IFNA(SUM((AI$3&gt;='Gastos com Pessoal'!$E$513:$E$522)*(AI$3&lt;='Gastos com Pessoal'!$F$513:$F$522)*(IF('Gastos com Pessoal'!$M$513:$M$522&lt;=AI$3,1,0))*OFFSET('Gastos com Pessoal'!$H$512,1,MATCH(2&amp;$B51,'Gastos com Pessoal'!$I$532:$AJ$532&amp;'Gastos com Pessoal'!$I$512:$AJ$512,0),10,1)),0)+_xlfn.IFNA(SUM((AI$3&gt;='Gastos com Pessoal'!$E$513:$E$522)*(AI$3&lt;='Gastos com Pessoal'!$F$513:$F$522)*(IF('Gastos com Pessoal'!$S$513:$S$522&lt;=AI$3,1,0))*OFFSET('Gastos com Pessoal'!$H$512,1,MATCH(3&amp;$B51,'Gastos com Pessoal'!$I$532:$AJ$532&amp;'Gastos com Pessoal'!$I$512:$AJ$512,0),10,1)),0)+_xlfn.IFNA(SUM((AI$3&gt;='Gastos com Pessoal'!$E$513:$E$522)*(AI$3&lt;='Gastos com Pessoal'!$F$513:$F$522)*(IF('Gastos com Pessoal'!$Y$513:$Y$522&lt;=AI$3,1,0))*OFFSET('Gastos com Pessoal'!$H$512,1,MATCH(4&amp;$B51,'Gastos com Pessoal'!$I$532:$AJ$532&amp;'Gastos com Pessoal'!$I$512:$AJ$512,0),10,1)),0)+_xlfn.IFNA(SUM((AI$3&gt;='Gastos com Pessoal'!$E$513:$E$522)*(AI$3&lt;='Gastos com Pessoal'!$F$513:$F$522)*(IF('Gastos com Pessoal'!$AE$513:$AE$522&lt;=AI$3,1,0))*OFFSET('Gastos com Pessoal'!$H$512,1,MATCH(5&amp;$B51,'Gastos com Pessoal'!$I$532:$AJ$532&amp;'Gastos com Pessoal'!$I$512:$AJ$512,0),10,1)),0)</f>
        <v>7031.859999999976</v>
      </c>
      <c r="AJ51" s="188">
        <f t="array" aca="1" ref="AJ51" ca="1">_xlfn.IFNA(SUM((AJ$3&gt;='Gastos com Pessoal'!$E$7:$E$506)*(AJ$3&lt;='Gastos com Pessoal'!$F$7:$F$506)*OFFSET('Encargos e Benefícios'!$D$5,1,MATCH($B51,'Encargos e Benefícios'!$E$5:$AB$5,0),500,1)),0)+_xlfn.IFNA(SUM((AJ$3&gt;='Gastos com Pessoal'!$E$513:$E$522)*(AJ$3&lt;='Gastos com Pessoal'!$F$513:$F$522)*OFFSET('Encargos e Benefícios'!$D$511,1,MATCH($B51,'Encargos e Benefícios'!$E$511:$AB$511,0),10,1)),0)+_xlfn.IFNA(SUM((AJ$3&gt;='Gastos com Pessoal'!$E$7:$E$506)*(AJ$3&lt;='Gastos com Pessoal'!$F$7:$F$506)*(IF('Gastos com Pessoal'!$G$7:$G$506&lt;=AJ$3,1,0))*OFFSET('Gastos com Pessoal'!$H$6,1,MATCH(1&amp;$B51,'Gastos com Pessoal'!$I$532:$AJ$532&amp;'Gastos com Pessoal'!$I$6:$AJ$6,0),500,1)),0)+_xlfn.IFNA(SUM((AJ$3&gt;='Gastos com Pessoal'!$E$7:$E$506)*(AJ$3&lt;='Gastos com Pessoal'!$F$7:$F$506)*(IF('Gastos com Pessoal'!$M$7:$M$506&lt;=AJ$3,1,0))*OFFSET('Gastos com Pessoal'!$H$6,1,MATCH(2&amp;$B51,'Gastos com Pessoal'!$I$532:$AJ$532&amp;'Gastos com Pessoal'!$I$6:$AJ$6,0),500,1)),0)+_xlfn.IFNA(SUM((AJ$3&gt;='Gastos com Pessoal'!$E$7:$E$506)*(AJ$3&lt;='Gastos com Pessoal'!$F$7:$F$506)*(IF('Gastos com Pessoal'!$S$7:$S$506&lt;=AJ$3,1,0))*OFFSET('Gastos com Pessoal'!$H$6,1,MATCH(3&amp;$B51,'Gastos com Pessoal'!$I$532:$AJ$532&amp;'Gastos com Pessoal'!$I$6:$AJ$6,0),500,1)),0)+_xlfn.IFNA(SUM((AJ$3&gt;='Gastos com Pessoal'!$E$7:$E$506)*(AJ$3&lt;='Gastos com Pessoal'!$F$7:$F$506)*(IF('Gastos com Pessoal'!$Y$7:$Y$506&lt;=AJ$3,1,0))*OFFSET('Gastos com Pessoal'!$H$6,1,MATCH(4&amp;$B51,'Gastos com Pessoal'!$I$532:$AJ$532&amp;'Gastos com Pessoal'!$I$6:$AJ$6,0),500,1)),0)+_xlfn.IFNA(SUM((AJ$3&gt;='Gastos com Pessoal'!$E$7:$E$506)*(AJ$3&lt;='Gastos com Pessoal'!$F$7:$F$506)*(IF('Gastos com Pessoal'!$AE$7:$AE$506&lt;=AJ$3,1,0))*OFFSET('Gastos com Pessoal'!$H$6,1,MATCH(5&amp;$B51,'Gastos com Pessoal'!$I$532:$AJ$532&amp;'Gastos com Pessoal'!$I$6:$AJ$6,0),500,1)),0)+_xlfn.IFNA(SUM((AJ$3&gt;='Gastos com Pessoal'!$E$513:$E$522)*(AJ$3&lt;='Gastos com Pessoal'!$F$513:$F$522)*(IF('Gastos com Pessoal'!$G$513:$G$522&lt;=AJ$3,1,0))*OFFSET('Gastos com Pessoal'!$H$512,1,MATCH(1&amp;$B51,'Gastos com Pessoal'!$I$532:$AJ$532&amp;'Gastos com Pessoal'!$I$512:$AJ$512,0),10,1)),0)+_xlfn.IFNA(SUM((AJ$3&gt;='Gastos com Pessoal'!$E$513:$E$522)*(AJ$3&lt;='Gastos com Pessoal'!$F$513:$F$522)*(IF('Gastos com Pessoal'!$M$513:$M$522&lt;=AJ$3,1,0))*OFFSET('Gastos com Pessoal'!$H$512,1,MATCH(2&amp;$B51,'Gastos com Pessoal'!$I$532:$AJ$532&amp;'Gastos com Pessoal'!$I$512:$AJ$512,0),10,1)),0)+_xlfn.IFNA(SUM((AJ$3&gt;='Gastos com Pessoal'!$E$513:$E$522)*(AJ$3&lt;='Gastos com Pessoal'!$F$513:$F$522)*(IF('Gastos com Pessoal'!$S$513:$S$522&lt;=AJ$3,1,0))*OFFSET('Gastos com Pessoal'!$H$512,1,MATCH(3&amp;$B51,'Gastos com Pessoal'!$I$532:$AJ$532&amp;'Gastos com Pessoal'!$I$512:$AJ$512,0),10,1)),0)+_xlfn.IFNA(SUM((AJ$3&gt;='Gastos com Pessoal'!$E$513:$E$522)*(AJ$3&lt;='Gastos com Pessoal'!$F$513:$F$522)*(IF('Gastos com Pessoal'!$Y$513:$Y$522&lt;=AJ$3,1,0))*OFFSET('Gastos com Pessoal'!$H$512,1,MATCH(4&amp;$B51,'Gastos com Pessoal'!$I$532:$AJ$532&amp;'Gastos com Pessoal'!$I$512:$AJ$512,0),10,1)),0)+_xlfn.IFNA(SUM((AJ$3&gt;='Gastos com Pessoal'!$E$513:$E$522)*(AJ$3&lt;='Gastos com Pessoal'!$F$513:$F$522)*(IF('Gastos com Pessoal'!$AE$513:$AE$522&lt;=AJ$3,1,0))*OFFSET('Gastos com Pessoal'!$H$512,1,MATCH(5&amp;$B51,'Gastos com Pessoal'!$I$532:$AJ$532&amp;'Gastos com Pessoal'!$I$512:$AJ$512,0),10,1)),0)</f>
        <v>7031.859999999976</v>
      </c>
      <c r="AK51" s="188">
        <f t="array" aca="1" ref="AK51" ca="1">_xlfn.IFNA(SUM((AK$3&gt;='Gastos com Pessoal'!$E$7:$E$506)*(AK$3&lt;='Gastos com Pessoal'!$F$7:$F$506)*OFFSET('Encargos e Benefícios'!$D$5,1,MATCH($B51,'Encargos e Benefícios'!$E$5:$AB$5,0),500,1)),0)+_xlfn.IFNA(SUM((AK$3&gt;='Gastos com Pessoal'!$E$513:$E$522)*(AK$3&lt;='Gastos com Pessoal'!$F$513:$F$522)*OFFSET('Encargos e Benefícios'!$D$511,1,MATCH($B51,'Encargos e Benefícios'!$E$511:$AB$511,0),10,1)),0)+_xlfn.IFNA(SUM((AK$3&gt;='Gastos com Pessoal'!$E$7:$E$506)*(AK$3&lt;='Gastos com Pessoal'!$F$7:$F$506)*(IF('Gastos com Pessoal'!$G$7:$G$506&lt;=AK$3,1,0))*OFFSET('Gastos com Pessoal'!$H$6,1,MATCH(1&amp;$B51,'Gastos com Pessoal'!$I$532:$AJ$532&amp;'Gastos com Pessoal'!$I$6:$AJ$6,0),500,1)),0)+_xlfn.IFNA(SUM((AK$3&gt;='Gastos com Pessoal'!$E$7:$E$506)*(AK$3&lt;='Gastos com Pessoal'!$F$7:$F$506)*(IF('Gastos com Pessoal'!$M$7:$M$506&lt;=AK$3,1,0))*OFFSET('Gastos com Pessoal'!$H$6,1,MATCH(2&amp;$B51,'Gastos com Pessoal'!$I$532:$AJ$532&amp;'Gastos com Pessoal'!$I$6:$AJ$6,0),500,1)),0)+_xlfn.IFNA(SUM((AK$3&gt;='Gastos com Pessoal'!$E$7:$E$506)*(AK$3&lt;='Gastos com Pessoal'!$F$7:$F$506)*(IF('Gastos com Pessoal'!$S$7:$S$506&lt;=AK$3,1,0))*OFFSET('Gastos com Pessoal'!$H$6,1,MATCH(3&amp;$B51,'Gastos com Pessoal'!$I$532:$AJ$532&amp;'Gastos com Pessoal'!$I$6:$AJ$6,0),500,1)),0)+_xlfn.IFNA(SUM((AK$3&gt;='Gastos com Pessoal'!$E$7:$E$506)*(AK$3&lt;='Gastos com Pessoal'!$F$7:$F$506)*(IF('Gastos com Pessoal'!$Y$7:$Y$506&lt;=AK$3,1,0))*OFFSET('Gastos com Pessoal'!$H$6,1,MATCH(4&amp;$B51,'Gastos com Pessoal'!$I$532:$AJ$532&amp;'Gastos com Pessoal'!$I$6:$AJ$6,0),500,1)),0)+_xlfn.IFNA(SUM((AK$3&gt;='Gastos com Pessoal'!$E$7:$E$506)*(AK$3&lt;='Gastos com Pessoal'!$F$7:$F$506)*(IF('Gastos com Pessoal'!$AE$7:$AE$506&lt;=AK$3,1,0))*OFFSET('Gastos com Pessoal'!$H$6,1,MATCH(5&amp;$B51,'Gastos com Pessoal'!$I$532:$AJ$532&amp;'Gastos com Pessoal'!$I$6:$AJ$6,0),500,1)),0)+_xlfn.IFNA(SUM((AK$3&gt;='Gastos com Pessoal'!$E$513:$E$522)*(AK$3&lt;='Gastos com Pessoal'!$F$513:$F$522)*(IF('Gastos com Pessoal'!$G$513:$G$522&lt;=AK$3,1,0))*OFFSET('Gastos com Pessoal'!$H$512,1,MATCH(1&amp;$B51,'Gastos com Pessoal'!$I$532:$AJ$532&amp;'Gastos com Pessoal'!$I$512:$AJ$512,0),10,1)),0)+_xlfn.IFNA(SUM((AK$3&gt;='Gastos com Pessoal'!$E$513:$E$522)*(AK$3&lt;='Gastos com Pessoal'!$F$513:$F$522)*(IF('Gastos com Pessoal'!$M$513:$M$522&lt;=AK$3,1,0))*OFFSET('Gastos com Pessoal'!$H$512,1,MATCH(2&amp;$B51,'Gastos com Pessoal'!$I$532:$AJ$532&amp;'Gastos com Pessoal'!$I$512:$AJ$512,0),10,1)),0)+_xlfn.IFNA(SUM((AK$3&gt;='Gastos com Pessoal'!$E$513:$E$522)*(AK$3&lt;='Gastos com Pessoal'!$F$513:$F$522)*(IF('Gastos com Pessoal'!$S$513:$S$522&lt;=AK$3,1,0))*OFFSET('Gastos com Pessoal'!$H$512,1,MATCH(3&amp;$B51,'Gastos com Pessoal'!$I$532:$AJ$532&amp;'Gastos com Pessoal'!$I$512:$AJ$512,0),10,1)),0)+_xlfn.IFNA(SUM((AK$3&gt;='Gastos com Pessoal'!$E$513:$E$522)*(AK$3&lt;='Gastos com Pessoal'!$F$513:$F$522)*(IF('Gastos com Pessoal'!$Y$513:$Y$522&lt;=AK$3,1,0))*OFFSET('Gastos com Pessoal'!$H$512,1,MATCH(4&amp;$B51,'Gastos com Pessoal'!$I$532:$AJ$532&amp;'Gastos com Pessoal'!$I$512:$AJ$512,0),10,1)),0)+_xlfn.IFNA(SUM((AK$3&gt;='Gastos com Pessoal'!$E$513:$E$522)*(AK$3&lt;='Gastos com Pessoal'!$F$513:$F$522)*(IF('Gastos com Pessoal'!$AE$513:$AE$522&lt;=AK$3,1,0))*OFFSET('Gastos com Pessoal'!$H$512,1,MATCH(5&amp;$B51,'Gastos com Pessoal'!$I$532:$AJ$532&amp;'Gastos com Pessoal'!$I$512:$AJ$512,0),10,1)),0)</f>
        <v>7031.859999999976</v>
      </c>
      <c r="AL51" s="188">
        <f t="array" aca="1" ref="AL51" ca="1">_xlfn.IFNA(SUM((AL$3&gt;='Gastos com Pessoal'!$E$7:$E$506)*(AL$3&lt;='Gastos com Pessoal'!$F$7:$F$506)*OFFSET('Encargos e Benefícios'!$D$5,1,MATCH($B51,'Encargos e Benefícios'!$E$5:$AB$5,0),500,1)),0)+_xlfn.IFNA(SUM((AL$3&gt;='Gastos com Pessoal'!$E$513:$E$522)*(AL$3&lt;='Gastos com Pessoal'!$F$513:$F$522)*OFFSET('Encargos e Benefícios'!$D$511,1,MATCH($B51,'Encargos e Benefícios'!$E$511:$AB$511,0),10,1)),0)+_xlfn.IFNA(SUM((AL$3&gt;='Gastos com Pessoal'!$E$7:$E$506)*(AL$3&lt;='Gastos com Pessoal'!$F$7:$F$506)*(IF('Gastos com Pessoal'!$G$7:$G$506&lt;=AL$3,1,0))*OFFSET('Gastos com Pessoal'!$H$6,1,MATCH(1&amp;$B51,'Gastos com Pessoal'!$I$532:$AJ$532&amp;'Gastos com Pessoal'!$I$6:$AJ$6,0),500,1)),0)+_xlfn.IFNA(SUM((AL$3&gt;='Gastos com Pessoal'!$E$7:$E$506)*(AL$3&lt;='Gastos com Pessoal'!$F$7:$F$506)*(IF('Gastos com Pessoal'!$M$7:$M$506&lt;=AL$3,1,0))*OFFSET('Gastos com Pessoal'!$H$6,1,MATCH(2&amp;$B51,'Gastos com Pessoal'!$I$532:$AJ$532&amp;'Gastos com Pessoal'!$I$6:$AJ$6,0),500,1)),0)+_xlfn.IFNA(SUM((AL$3&gt;='Gastos com Pessoal'!$E$7:$E$506)*(AL$3&lt;='Gastos com Pessoal'!$F$7:$F$506)*(IF('Gastos com Pessoal'!$S$7:$S$506&lt;=AL$3,1,0))*OFFSET('Gastos com Pessoal'!$H$6,1,MATCH(3&amp;$B51,'Gastos com Pessoal'!$I$532:$AJ$532&amp;'Gastos com Pessoal'!$I$6:$AJ$6,0),500,1)),0)+_xlfn.IFNA(SUM((AL$3&gt;='Gastos com Pessoal'!$E$7:$E$506)*(AL$3&lt;='Gastos com Pessoal'!$F$7:$F$506)*(IF('Gastos com Pessoal'!$Y$7:$Y$506&lt;=AL$3,1,0))*OFFSET('Gastos com Pessoal'!$H$6,1,MATCH(4&amp;$B51,'Gastos com Pessoal'!$I$532:$AJ$532&amp;'Gastos com Pessoal'!$I$6:$AJ$6,0),500,1)),0)+_xlfn.IFNA(SUM((AL$3&gt;='Gastos com Pessoal'!$E$7:$E$506)*(AL$3&lt;='Gastos com Pessoal'!$F$7:$F$506)*(IF('Gastos com Pessoal'!$AE$7:$AE$506&lt;=AL$3,1,0))*OFFSET('Gastos com Pessoal'!$H$6,1,MATCH(5&amp;$B51,'Gastos com Pessoal'!$I$532:$AJ$532&amp;'Gastos com Pessoal'!$I$6:$AJ$6,0),500,1)),0)+_xlfn.IFNA(SUM((AL$3&gt;='Gastos com Pessoal'!$E$513:$E$522)*(AL$3&lt;='Gastos com Pessoal'!$F$513:$F$522)*(IF('Gastos com Pessoal'!$G$513:$G$522&lt;=AL$3,1,0))*OFFSET('Gastos com Pessoal'!$H$512,1,MATCH(1&amp;$B51,'Gastos com Pessoal'!$I$532:$AJ$532&amp;'Gastos com Pessoal'!$I$512:$AJ$512,0),10,1)),0)+_xlfn.IFNA(SUM((AL$3&gt;='Gastos com Pessoal'!$E$513:$E$522)*(AL$3&lt;='Gastos com Pessoal'!$F$513:$F$522)*(IF('Gastos com Pessoal'!$M$513:$M$522&lt;=AL$3,1,0))*OFFSET('Gastos com Pessoal'!$H$512,1,MATCH(2&amp;$B51,'Gastos com Pessoal'!$I$532:$AJ$532&amp;'Gastos com Pessoal'!$I$512:$AJ$512,0),10,1)),0)+_xlfn.IFNA(SUM((AL$3&gt;='Gastos com Pessoal'!$E$513:$E$522)*(AL$3&lt;='Gastos com Pessoal'!$F$513:$F$522)*(IF('Gastos com Pessoal'!$S$513:$S$522&lt;=AL$3,1,0))*OFFSET('Gastos com Pessoal'!$H$512,1,MATCH(3&amp;$B51,'Gastos com Pessoal'!$I$532:$AJ$532&amp;'Gastos com Pessoal'!$I$512:$AJ$512,0),10,1)),0)+_xlfn.IFNA(SUM((AL$3&gt;='Gastos com Pessoal'!$E$513:$E$522)*(AL$3&lt;='Gastos com Pessoal'!$F$513:$F$522)*(IF('Gastos com Pessoal'!$Y$513:$Y$522&lt;=AL$3,1,0))*OFFSET('Gastos com Pessoal'!$H$512,1,MATCH(4&amp;$B51,'Gastos com Pessoal'!$I$532:$AJ$532&amp;'Gastos com Pessoal'!$I$512:$AJ$512,0),10,1)),0)+_xlfn.IFNA(SUM((AL$3&gt;='Gastos com Pessoal'!$E$513:$E$522)*(AL$3&lt;='Gastos com Pessoal'!$F$513:$F$522)*(IF('Gastos com Pessoal'!$AE$513:$AE$522&lt;=AL$3,1,0))*OFFSET('Gastos com Pessoal'!$H$512,1,MATCH(5&amp;$B51,'Gastos com Pessoal'!$I$532:$AJ$532&amp;'Gastos com Pessoal'!$I$512:$AJ$512,0),10,1)),0)</f>
        <v>7031.859999999976</v>
      </c>
      <c r="AM51" s="188">
        <f t="array" aca="1" ref="AM51" ca="1">_xlfn.IFNA(SUM((AM$3&gt;='Gastos com Pessoal'!$E$7:$E$506)*(AM$3&lt;='Gastos com Pessoal'!$F$7:$F$506)*OFFSET('Encargos e Benefícios'!$D$5,1,MATCH($B51,'Encargos e Benefícios'!$E$5:$AB$5,0),500,1)),0)+_xlfn.IFNA(SUM((AM$3&gt;='Gastos com Pessoal'!$E$513:$E$522)*(AM$3&lt;='Gastos com Pessoal'!$F$513:$F$522)*OFFSET('Encargos e Benefícios'!$D$511,1,MATCH($B51,'Encargos e Benefícios'!$E$511:$AB$511,0),10,1)),0)+_xlfn.IFNA(SUM((AM$3&gt;='Gastos com Pessoal'!$E$7:$E$506)*(AM$3&lt;='Gastos com Pessoal'!$F$7:$F$506)*(IF('Gastos com Pessoal'!$G$7:$G$506&lt;=AM$3,1,0))*OFFSET('Gastos com Pessoal'!$H$6,1,MATCH(1&amp;$B51,'Gastos com Pessoal'!$I$532:$AJ$532&amp;'Gastos com Pessoal'!$I$6:$AJ$6,0),500,1)),0)+_xlfn.IFNA(SUM((AM$3&gt;='Gastos com Pessoal'!$E$7:$E$506)*(AM$3&lt;='Gastos com Pessoal'!$F$7:$F$506)*(IF('Gastos com Pessoal'!$M$7:$M$506&lt;=AM$3,1,0))*OFFSET('Gastos com Pessoal'!$H$6,1,MATCH(2&amp;$B51,'Gastos com Pessoal'!$I$532:$AJ$532&amp;'Gastos com Pessoal'!$I$6:$AJ$6,0),500,1)),0)+_xlfn.IFNA(SUM((AM$3&gt;='Gastos com Pessoal'!$E$7:$E$506)*(AM$3&lt;='Gastos com Pessoal'!$F$7:$F$506)*(IF('Gastos com Pessoal'!$S$7:$S$506&lt;=AM$3,1,0))*OFFSET('Gastos com Pessoal'!$H$6,1,MATCH(3&amp;$B51,'Gastos com Pessoal'!$I$532:$AJ$532&amp;'Gastos com Pessoal'!$I$6:$AJ$6,0),500,1)),0)+_xlfn.IFNA(SUM((AM$3&gt;='Gastos com Pessoal'!$E$7:$E$506)*(AM$3&lt;='Gastos com Pessoal'!$F$7:$F$506)*(IF('Gastos com Pessoal'!$Y$7:$Y$506&lt;=AM$3,1,0))*OFFSET('Gastos com Pessoal'!$H$6,1,MATCH(4&amp;$B51,'Gastos com Pessoal'!$I$532:$AJ$532&amp;'Gastos com Pessoal'!$I$6:$AJ$6,0),500,1)),0)+_xlfn.IFNA(SUM((AM$3&gt;='Gastos com Pessoal'!$E$7:$E$506)*(AM$3&lt;='Gastos com Pessoal'!$F$7:$F$506)*(IF('Gastos com Pessoal'!$AE$7:$AE$506&lt;=AM$3,1,0))*OFFSET('Gastos com Pessoal'!$H$6,1,MATCH(5&amp;$B51,'Gastos com Pessoal'!$I$532:$AJ$532&amp;'Gastos com Pessoal'!$I$6:$AJ$6,0),500,1)),0)+_xlfn.IFNA(SUM((AM$3&gt;='Gastos com Pessoal'!$E$513:$E$522)*(AM$3&lt;='Gastos com Pessoal'!$F$513:$F$522)*(IF('Gastos com Pessoal'!$G$513:$G$522&lt;=AM$3,1,0))*OFFSET('Gastos com Pessoal'!$H$512,1,MATCH(1&amp;$B51,'Gastos com Pessoal'!$I$532:$AJ$532&amp;'Gastos com Pessoal'!$I$512:$AJ$512,0),10,1)),0)+_xlfn.IFNA(SUM((AM$3&gt;='Gastos com Pessoal'!$E$513:$E$522)*(AM$3&lt;='Gastos com Pessoal'!$F$513:$F$522)*(IF('Gastos com Pessoal'!$M$513:$M$522&lt;=AM$3,1,0))*OFFSET('Gastos com Pessoal'!$H$512,1,MATCH(2&amp;$B51,'Gastos com Pessoal'!$I$532:$AJ$532&amp;'Gastos com Pessoal'!$I$512:$AJ$512,0),10,1)),0)+_xlfn.IFNA(SUM((AM$3&gt;='Gastos com Pessoal'!$E$513:$E$522)*(AM$3&lt;='Gastos com Pessoal'!$F$513:$F$522)*(IF('Gastos com Pessoal'!$S$513:$S$522&lt;=AM$3,1,0))*OFFSET('Gastos com Pessoal'!$H$512,1,MATCH(3&amp;$B51,'Gastos com Pessoal'!$I$532:$AJ$532&amp;'Gastos com Pessoal'!$I$512:$AJ$512,0),10,1)),0)+_xlfn.IFNA(SUM((AM$3&gt;='Gastos com Pessoal'!$E$513:$E$522)*(AM$3&lt;='Gastos com Pessoal'!$F$513:$F$522)*(IF('Gastos com Pessoal'!$Y$513:$Y$522&lt;=AM$3,1,0))*OFFSET('Gastos com Pessoal'!$H$512,1,MATCH(4&amp;$B51,'Gastos com Pessoal'!$I$532:$AJ$532&amp;'Gastos com Pessoal'!$I$512:$AJ$512,0),10,1)),0)+_xlfn.IFNA(SUM((AM$3&gt;='Gastos com Pessoal'!$E$513:$E$522)*(AM$3&lt;='Gastos com Pessoal'!$F$513:$F$522)*(IF('Gastos com Pessoal'!$AE$513:$AE$522&lt;=AM$3,1,0))*OFFSET('Gastos com Pessoal'!$H$512,1,MATCH(5&amp;$B51,'Gastos com Pessoal'!$I$532:$AJ$532&amp;'Gastos com Pessoal'!$I$512:$AJ$512,0),10,1)),0)</f>
        <v>7031.859999999976</v>
      </c>
      <c r="AN51" s="188">
        <f t="array" aca="1" ref="AN51" ca="1">_xlfn.IFNA(SUM((AN$3&gt;='Gastos com Pessoal'!$E$7:$E$506)*(AN$3&lt;='Gastos com Pessoal'!$F$7:$F$506)*OFFSET('Encargos e Benefícios'!$D$5,1,MATCH($B51,'Encargos e Benefícios'!$E$5:$AB$5,0),500,1)),0)+_xlfn.IFNA(SUM((AN$3&gt;='Gastos com Pessoal'!$E$513:$E$522)*(AN$3&lt;='Gastos com Pessoal'!$F$513:$F$522)*OFFSET('Encargos e Benefícios'!$D$511,1,MATCH($B51,'Encargos e Benefícios'!$E$511:$AB$511,0),10,1)),0)+_xlfn.IFNA(SUM((AN$3&gt;='Gastos com Pessoal'!$E$7:$E$506)*(AN$3&lt;='Gastos com Pessoal'!$F$7:$F$506)*(IF('Gastos com Pessoal'!$G$7:$G$506&lt;=AN$3,1,0))*OFFSET('Gastos com Pessoal'!$H$6,1,MATCH(1&amp;$B51,'Gastos com Pessoal'!$I$532:$AJ$532&amp;'Gastos com Pessoal'!$I$6:$AJ$6,0),500,1)),0)+_xlfn.IFNA(SUM((AN$3&gt;='Gastos com Pessoal'!$E$7:$E$506)*(AN$3&lt;='Gastos com Pessoal'!$F$7:$F$506)*(IF('Gastos com Pessoal'!$M$7:$M$506&lt;=AN$3,1,0))*OFFSET('Gastos com Pessoal'!$H$6,1,MATCH(2&amp;$B51,'Gastos com Pessoal'!$I$532:$AJ$532&amp;'Gastos com Pessoal'!$I$6:$AJ$6,0),500,1)),0)+_xlfn.IFNA(SUM((AN$3&gt;='Gastos com Pessoal'!$E$7:$E$506)*(AN$3&lt;='Gastos com Pessoal'!$F$7:$F$506)*(IF('Gastos com Pessoal'!$S$7:$S$506&lt;=AN$3,1,0))*OFFSET('Gastos com Pessoal'!$H$6,1,MATCH(3&amp;$B51,'Gastos com Pessoal'!$I$532:$AJ$532&amp;'Gastos com Pessoal'!$I$6:$AJ$6,0),500,1)),0)+_xlfn.IFNA(SUM((AN$3&gt;='Gastos com Pessoal'!$E$7:$E$506)*(AN$3&lt;='Gastos com Pessoal'!$F$7:$F$506)*(IF('Gastos com Pessoal'!$Y$7:$Y$506&lt;=AN$3,1,0))*OFFSET('Gastos com Pessoal'!$H$6,1,MATCH(4&amp;$B51,'Gastos com Pessoal'!$I$532:$AJ$532&amp;'Gastos com Pessoal'!$I$6:$AJ$6,0),500,1)),0)+_xlfn.IFNA(SUM((AN$3&gt;='Gastos com Pessoal'!$E$7:$E$506)*(AN$3&lt;='Gastos com Pessoal'!$F$7:$F$506)*(IF('Gastos com Pessoal'!$AE$7:$AE$506&lt;=AN$3,1,0))*OFFSET('Gastos com Pessoal'!$H$6,1,MATCH(5&amp;$B51,'Gastos com Pessoal'!$I$532:$AJ$532&amp;'Gastos com Pessoal'!$I$6:$AJ$6,0),500,1)),0)+_xlfn.IFNA(SUM((AN$3&gt;='Gastos com Pessoal'!$E$513:$E$522)*(AN$3&lt;='Gastos com Pessoal'!$F$513:$F$522)*(IF('Gastos com Pessoal'!$G$513:$G$522&lt;=AN$3,1,0))*OFFSET('Gastos com Pessoal'!$H$512,1,MATCH(1&amp;$B51,'Gastos com Pessoal'!$I$532:$AJ$532&amp;'Gastos com Pessoal'!$I$512:$AJ$512,0),10,1)),0)+_xlfn.IFNA(SUM((AN$3&gt;='Gastos com Pessoal'!$E$513:$E$522)*(AN$3&lt;='Gastos com Pessoal'!$F$513:$F$522)*(IF('Gastos com Pessoal'!$M$513:$M$522&lt;=AN$3,1,0))*OFFSET('Gastos com Pessoal'!$H$512,1,MATCH(2&amp;$B51,'Gastos com Pessoal'!$I$532:$AJ$532&amp;'Gastos com Pessoal'!$I$512:$AJ$512,0),10,1)),0)+_xlfn.IFNA(SUM((AN$3&gt;='Gastos com Pessoal'!$E$513:$E$522)*(AN$3&lt;='Gastos com Pessoal'!$F$513:$F$522)*(IF('Gastos com Pessoal'!$S$513:$S$522&lt;=AN$3,1,0))*OFFSET('Gastos com Pessoal'!$H$512,1,MATCH(3&amp;$B51,'Gastos com Pessoal'!$I$532:$AJ$532&amp;'Gastos com Pessoal'!$I$512:$AJ$512,0),10,1)),0)+_xlfn.IFNA(SUM((AN$3&gt;='Gastos com Pessoal'!$E$513:$E$522)*(AN$3&lt;='Gastos com Pessoal'!$F$513:$F$522)*(IF('Gastos com Pessoal'!$Y$513:$Y$522&lt;=AN$3,1,0))*OFFSET('Gastos com Pessoal'!$H$512,1,MATCH(4&amp;$B51,'Gastos com Pessoal'!$I$532:$AJ$532&amp;'Gastos com Pessoal'!$I$512:$AJ$512,0),10,1)),0)+_xlfn.IFNA(SUM((AN$3&gt;='Gastos com Pessoal'!$E$513:$E$522)*(AN$3&lt;='Gastos com Pessoal'!$F$513:$F$522)*(IF('Gastos com Pessoal'!$AE$513:$AE$522&lt;=AN$3,1,0))*OFFSET('Gastos com Pessoal'!$H$512,1,MATCH(5&amp;$B51,'Gastos com Pessoal'!$I$532:$AJ$532&amp;'Gastos com Pessoal'!$I$512:$AJ$512,0),10,1)),0)</f>
        <v>7031.859999999976</v>
      </c>
      <c r="AO51" s="188">
        <f t="array" aca="1" ref="AO51" ca="1">_xlfn.IFNA(SUM((AO$3&gt;='Gastos com Pessoal'!$E$7:$E$506)*(AO$3&lt;='Gastos com Pessoal'!$F$7:$F$506)*OFFSET('Encargos e Benefícios'!$D$5,1,MATCH($B51,'Encargos e Benefícios'!$E$5:$AB$5,0),500,1)),0)+_xlfn.IFNA(SUM((AO$3&gt;='Gastos com Pessoal'!$E$513:$E$522)*(AO$3&lt;='Gastos com Pessoal'!$F$513:$F$522)*OFFSET('Encargos e Benefícios'!$D$511,1,MATCH($B51,'Encargos e Benefícios'!$E$511:$AB$511,0),10,1)),0)+_xlfn.IFNA(SUM((AO$3&gt;='Gastos com Pessoal'!$E$7:$E$506)*(AO$3&lt;='Gastos com Pessoal'!$F$7:$F$506)*(IF('Gastos com Pessoal'!$G$7:$G$506&lt;=AO$3,1,0))*OFFSET('Gastos com Pessoal'!$H$6,1,MATCH(1&amp;$B51,'Gastos com Pessoal'!$I$532:$AJ$532&amp;'Gastos com Pessoal'!$I$6:$AJ$6,0),500,1)),0)+_xlfn.IFNA(SUM((AO$3&gt;='Gastos com Pessoal'!$E$7:$E$506)*(AO$3&lt;='Gastos com Pessoal'!$F$7:$F$506)*(IF('Gastos com Pessoal'!$M$7:$M$506&lt;=AO$3,1,0))*OFFSET('Gastos com Pessoal'!$H$6,1,MATCH(2&amp;$B51,'Gastos com Pessoal'!$I$532:$AJ$532&amp;'Gastos com Pessoal'!$I$6:$AJ$6,0),500,1)),0)+_xlfn.IFNA(SUM((AO$3&gt;='Gastos com Pessoal'!$E$7:$E$506)*(AO$3&lt;='Gastos com Pessoal'!$F$7:$F$506)*(IF('Gastos com Pessoal'!$S$7:$S$506&lt;=AO$3,1,0))*OFFSET('Gastos com Pessoal'!$H$6,1,MATCH(3&amp;$B51,'Gastos com Pessoal'!$I$532:$AJ$532&amp;'Gastos com Pessoal'!$I$6:$AJ$6,0),500,1)),0)+_xlfn.IFNA(SUM((AO$3&gt;='Gastos com Pessoal'!$E$7:$E$506)*(AO$3&lt;='Gastos com Pessoal'!$F$7:$F$506)*(IF('Gastos com Pessoal'!$Y$7:$Y$506&lt;=AO$3,1,0))*OFFSET('Gastos com Pessoal'!$H$6,1,MATCH(4&amp;$B51,'Gastos com Pessoal'!$I$532:$AJ$532&amp;'Gastos com Pessoal'!$I$6:$AJ$6,0),500,1)),0)+_xlfn.IFNA(SUM((AO$3&gt;='Gastos com Pessoal'!$E$7:$E$506)*(AO$3&lt;='Gastos com Pessoal'!$F$7:$F$506)*(IF('Gastos com Pessoal'!$AE$7:$AE$506&lt;=AO$3,1,0))*OFFSET('Gastos com Pessoal'!$H$6,1,MATCH(5&amp;$B51,'Gastos com Pessoal'!$I$532:$AJ$532&amp;'Gastos com Pessoal'!$I$6:$AJ$6,0),500,1)),0)+_xlfn.IFNA(SUM((AO$3&gt;='Gastos com Pessoal'!$E$513:$E$522)*(AO$3&lt;='Gastos com Pessoal'!$F$513:$F$522)*(IF('Gastos com Pessoal'!$G$513:$G$522&lt;=AO$3,1,0))*OFFSET('Gastos com Pessoal'!$H$512,1,MATCH(1&amp;$B51,'Gastos com Pessoal'!$I$532:$AJ$532&amp;'Gastos com Pessoal'!$I$512:$AJ$512,0),10,1)),0)+_xlfn.IFNA(SUM((AO$3&gt;='Gastos com Pessoal'!$E$513:$E$522)*(AO$3&lt;='Gastos com Pessoal'!$F$513:$F$522)*(IF('Gastos com Pessoal'!$M$513:$M$522&lt;=AO$3,1,0))*OFFSET('Gastos com Pessoal'!$H$512,1,MATCH(2&amp;$B51,'Gastos com Pessoal'!$I$532:$AJ$532&amp;'Gastos com Pessoal'!$I$512:$AJ$512,0),10,1)),0)+_xlfn.IFNA(SUM((AO$3&gt;='Gastos com Pessoal'!$E$513:$E$522)*(AO$3&lt;='Gastos com Pessoal'!$F$513:$F$522)*(IF('Gastos com Pessoal'!$S$513:$S$522&lt;=AO$3,1,0))*OFFSET('Gastos com Pessoal'!$H$512,1,MATCH(3&amp;$B51,'Gastos com Pessoal'!$I$532:$AJ$532&amp;'Gastos com Pessoal'!$I$512:$AJ$512,0),10,1)),0)+_xlfn.IFNA(SUM((AO$3&gt;='Gastos com Pessoal'!$E$513:$E$522)*(AO$3&lt;='Gastos com Pessoal'!$F$513:$F$522)*(IF('Gastos com Pessoal'!$Y$513:$Y$522&lt;=AO$3,1,0))*OFFSET('Gastos com Pessoal'!$H$512,1,MATCH(4&amp;$B51,'Gastos com Pessoal'!$I$532:$AJ$532&amp;'Gastos com Pessoal'!$I$512:$AJ$512,0),10,1)),0)+_xlfn.IFNA(SUM((AO$3&gt;='Gastos com Pessoal'!$E$513:$E$522)*(AO$3&lt;='Gastos com Pessoal'!$F$513:$F$522)*(IF('Gastos com Pessoal'!$AE$513:$AE$522&lt;=AO$3,1,0))*OFFSET('Gastos com Pessoal'!$H$512,1,MATCH(5&amp;$B51,'Gastos com Pessoal'!$I$532:$AJ$532&amp;'Gastos com Pessoal'!$I$512:$AJ$512,0),10,1)),0)</f>
        <v>7031.859999999976</v>
      </c>
      <c r="AP51" s="188">
        <f t="array" aca="1" ref="AP51" ca="1">_xlfn.IFNA(SUM((AP$3&gt;='Gastos com Pessoal'!$E$7:$E$506)*(AP$3&lt;='Gastos com Pessoal'!$F$7:$F$506)*OFFSET('Encargos e Benefícios'!$D$5,1,MATCH($B51,'Encargos e Benefícios'!$E$5:$AB$5,0),500,1)),0)+_xlfn.IFNA(SUM((AP$3&gt;='Gastos com Pessoal'!$E$513:$E$522)*(AP$3&lt;='Gastos com Pessoal'!$F$513:$F$522)*OFFSET('Encargos e Benefícios'!$D$511,1,MATCH($B51,'Encargos e Benefícios'!$E$511:$AB$511,0),10,1)),0)+_xlfn.IFNA(SUM((AP$3&gt;='Gastos com Pessoal'!$E$7:$E$506)*(AP$3&lt;='Gastos com Pessoal'!$F$7:$F$506)*(IF('Gastos com Pessoal'!$G$7:$G$506&lt;=AP$3,1,0))*OFFSET('Gastos com Pessoal'!$H$6,1,MATCH(1&amp;$B51,'Gastos com Pessoal'!$I$532:$AJ$532&amp;'Gastos com Pessoal'!$I$6:$AJ$6,0),500,1)),0)+_xlfn.IFNA(SUM((AP$3&gt;='Gastos com Pessoal'!$E$7:$E$506)*(AP$3&lt;='Gastos com Pessoal'!$F$7:$F$506)*(IF('Gastos com Pessoal'!$M$7:$M$506&lt;=AP$3,1,0))*OFFSET('Gastos com Pessoal'!$H$6,1,MATCH(2&amp;$B51,'Gastos com Pessoal'!$I$532:$AJ$532&amp;'Gastos com Pessoal'!$I$6:$AJ$6,0),500,1)),0)+_xlfn.IFNA(SUM((AP$3&gt;='Gastos com Pessoal'!$E$7:$E$506)*(AP$3&lt;='Gastos com Pessoal'!$F$7:$F$506)*(IF('Gastos com Pessoal'!$S$7:$S$506&lt;=AP$3,1,0))*OFFSET('Gastos com Pessoal'!$H$6,1,MATCH(3&amp;$B51,'Gastos com Pessoal'!$I$532:$AJ$532&amp;'Gastos com Pessoal'!$I$6:$AJ$6,0),500,1)),0)+_xlfn.IFNA(SUM((AP$3&gt;='Gastos com Pessoal'!$E$7:$E$506)*(AP$3&lt;='Gastos com Pessoal'!$F$7:$F$506)*(IF('Gastos com Pessoal'!$Y$7:$Y$506&lt;=AP$3,1,0))*OFFSET('Gastos com Pessoal'!$H$6,1,MATCH(4&amp;$B51,'Gastos com Pessoal'!$I$532:$AJ$532&amp;'Gastos com Pessoal'!$I$6:$AJ$6,0),500,1)),0)+_xlfn.IFNA(SUM((AP$3&gt;='Gastos com Pessoal'!$E$7:$E$506)*(AP$3&lt;='Gastos com Pessoal'!$F$7:$F$506)*(IF('Gastos com Pessoal'!$AE$7:$AE$506&lt;=AP$3,1,0))*OFFSET('Gastos com Pessoal'!$H$6,1,MATCH(5&amp;$B51,'Gastos com Pessoal'!$I$532:$AJ$532&amp;'Gastos com Pessoal'!$I$6:$AJ$6,0),500,1)),0)+_xlfn.IFNA(SUM((AP$3&gt;='Gastos com Pessoal'!$E$513:$E$522)*(AP$3&lt;='Gastos com Pessoal'!$F$513:$F$522)*(IF('Gastos com Pessoal'!$G$513:$G$522&lt;=AP$3,1,0))*OFFSET('Gastos com Pessoal'!$H$512,1,MATCH(1&amp;$B51,'Gastos com Pessoal'!$I$532:$AJ$532&amp;'Gastos com Pessoal'!$I$512:$AJ$512,0),10,1)),0)+_xlfn.IFNA(SUM((AP$3&gt;='Gastos com Pessoal'!$E$513:$E$522)*(AP$3&lt;='Gastos com Pessoal'!$F$513:$F$522)*(IF('Gastos com Pessoal'!$M$513:$M$522&lt;=AP$3,1,0))*OFFSET('Gastos com Pessoal'!$H$512,1,MATCH(2&amp;$B51,'Gastos com Pessoal'!$I$532:$AJ$532&amp;'Gastos com Pessoal'!$I$512:$AJ$512,0),10,1)),0)+_xlfn.IFNA(SUM((AP$3&gt;='Gastos com Pessoal'!$E$513:$E$522)*(AP$3&lt;='Gastos com Pessoal'!$F$513:$F$522)*(IF('Gastos com Pessoal'!$S$513:$S$522&lt;=AP$3,1,0))*OFFSET('Gastos com Pessoal'!$H$512,1,MATCH(3&amp;$B51,'Gastos com Pessoal'!$I$532:$AJ$532&amp;'Gastos com Pessoal'!$I$512:$AJ$512,0),10,1)),0)+_xlfn.IFNA(SUM((AP$3&gt;='Gastos com Pessoal'!$E$513:$E$522)*(AP$3&lt;='Gastos com Pessoal'!$F$513:$F$522)*(IF('Gastos com Pessoal'!$Y$513:$Y$522&lt;=AP$3,1,0))*OFFSET('Gastos com Pessoal'!$H$512,1,MATCH(4&amp;$B51,'Gastos com Pessoal'!$I$532:$AJ$532&amp;'Gastos com Pessoal'!$I$512:$AJ$512,0),10,1)),0)+_xlfn.IFNA(SUM((AP$3&gt;='Gastos com Pessoal'!$E$513:$E$522)*(AP$3&lt;='Gastos com Pessoal'!$F$513:$F$522)*(IF('Gastos com Pessoal'!$AE$513:$AE$522&lt;=AP$3,1,0))*OFFSET('Gastos com Pessoal'!$H$512,1,MATCH(5&amp;$B51,'Gastos com Pessoal'!$I$532:$AJ$532&amp;'Gastos com Pessoal'!$I$512:$AJ$512,0),10,1)),0)</f>
        <v>7031.859999999976</v>
      </c>
      <c r="AQ51" s="188">
        <f t="array" aca="1" ref="AQ51" ca="1">_xlfn.IFNA(SUM((AQ$3&gt;='Gastos com Pessoal'!$E$7:$E$506)*(AQ$3&lt;='Gastos com Pessoal'!$F$7:$F$506)*OFFSET('Encargos e Benefícios'!$D$5,1,MATCH($B51,'Encargos e Benefícios'!$E$5:$AB$5,0),500,1)),0)+_xlfn.IFNA(SUM((AQ$3&gt;='Gastos com Pessoal'!$E$513:$E$522)*(AQ$3&lt;='Gastos com Pessoal'!$F$513:$F$522)*OFFSET('Encargos e Benefícios'!$D$511,1,MATCH($B51,'Encargos e Benefícios'!$E$511:$AB$511,0),10,1)),0)+_xlfn.IFNA(SUM((AQ$3&gt;='Gastos com Pessoal'!$E$7:$E$506)*(AQ$3&lt;='Gastos com Pessoal'!$F$7:$F$506)*(IF('Gastos com Pessoal'!$G$7:$G$506&lt;=AQ$3,1,0))*OFFSET('Gastos com Pessoal'!$H$6,1,MATCH(1&amp;$B51,'Gastos com Pessoal'!$I$532:$AJ$532&amp;'Gastos com Pessoal'!$I$6:$AJ$6,0),500,1)),0)+_xlfn.IFNA(SUM((AQ$3&gt;='Gastos com Pessoal'!$E$7:$E$506)*(AQ$3&lt;='Gastos com Pessoal'!$F$7:$F$506)*(IF('Gastos com Pessoal'!$M$7:$M$506&lt;=AQ$3,1,0))*OFFSET('Gastos com Pessoal'!$H$6,1,MATCH(2&amp;$B51,'Gastos com Pessoal'!$I$532:$AJ$532&amp;'Gastos com Pessoal'!$I$6:$AJ$6,0),500,1)),0)+_xlfn.IFNA(SUM((AQ$3&gt;='Gastos com Pessoal'!$E$7:$E$506)*(AQ$3&lt;='Gastos com Pessoal'!$F$7:$F$506)*(IF('Gastos com Pessoal'!$S$7:$S$506&lt;=AQ$3,1,0))*OFFSET('Gastos com Pessoal'!$H$6,1,MATCH(3&amp;$B51,'Gastos com Pessoal'!$I$532:$AJ$532&amp;'Gastos com Pessoal'!$I$6:$AJ$6,0),500,1)),0)+_xlfn.IFNA(SUM((AQ$3&gt;='Gastos com Pessoal'!$E$7:$E$506)*(AQ$3&lt;='Gastos com Pessoal'!$F$7:$F$506)*(IF('Gastos com Pessoal'!$Y$7:$Y$506&lt;=AQ$3,1,0))*OFFSET('Gastos com Pessoal'!$H$6,1,MATCH(4&amp;$B51,'Gastos com Pessoal'!$I$532:$AJ$532&amp;'Gastos com Pessoal'!$I$6:$AJ$6,0),500,1)),0)+_xlfn.IFNA(SUM((AQ$3&gt;='Gastos com Pessoal'!$E$7:$E$506)*(AQ$3&lt;='Gastos com Pessoal'!$F$7:$F$506)*(IF('Gastos com Pessoal'!$AE$7:$AE$506&lt;=AQ$3,1,0))*OFFSET('Gastos com Pessoal'!$H$6,1,MATCH(5&amp;$B51,'Gastos com Pessoal'!$I$532:$AJ$532&amp;'Gastos com Pessoal'!$I$6:$AJ$6,0),500,1)),0)+_xlfn.IFNA(SUM((AQ$3&gt;='Gastos com Pessoal'!$E$513:$E$522)*(AQ$3&lt;='Gastos com Pessoal'!$F$513:$F$522)*(IF('Gastos com Pessoal'!$G$513:$G$522&lt;=AQ$3,1,0))*OFFSET('Gastos com Pessoal'!$H$512,1,MATCH(1&amp;$B51,'Gastos com Pessoal'!$I$532:$AJ$532&amp;'Gastos com Pessoal'!$I$512:$AJ$512,0),10,1)),0)+_xlfn.IFNA(SUM((AQ$3&gt;='Gastos com Pessoal'!$E$513:$E$522)*(AQ$3&lt;='Gastos com Pessoal'!$F$513:$F$522)*(IF('Gastos com Pessoal'!$M$513:$M$522&lt;=AQ$3,1,0))*OFFSET('Gastos com Pessoal'!$H$512,1,MATCH(2&amp;$B51,'Gastos com Pessoal'!$I$532:$AJ$532&amp;'Gastos com Pessoal'!$I$512:$AJ$512,0),10,1)),0)+_xlfn.IFNA(SUM((AQ$3&gt;='Gastos com Pessoal'!$E$513:$E$522)*(AQ$3&lt;='Gastos com Pessoal'!$F$513:$F$522)*(IF('Gastos com Pessoal'!$S$513:$S$522&lt;=AQ$3,1,0))*OFFSET('Gastos com Pessoal'!$H$512,1,MATCH(3&amp;$B51,'Gastos com Pessoal'!$I$532:$AJ$532&amp;'Gastos com Pessoal'!$I$512:$AJ$512,0),10,1)),0)+_xlfn.IFNA(SUM((AQ$3&gt;='Gastos com Pessoal'!$E$513:$E$522)*(AQ$3&lt;='Gastos com Pessoal'!$F$513:$F$522)*(IF('Gastos com Pessoal'!$Y$513:$Y$522&lt;=AQ$3,1,0))*OFFSET('Gastos com Pessoal'!$H$512,1,MATCH(4&amp;$B51,'Gastos com Pessoal'!$I$532:$AJ$532&amp;'Gastos com Pessoal'!$I$512:$AJ$512,0),10,1)),0)+_xlfn.IFNA(SUM((AQ$3&gt;='Gastos com Pessoal'!$E$513:$E$522)*(AQ$3&lt;='Gastos com Pessoal'!$F$513:$F$522)*(IF('Gastos com Pessoal'!$AE$513:$AE$522&lt;=AQ$3,1,0))*OFFSET('Gastos com Pessoal'!$H$512,1,MATCH(5&amp;$B51,'Gastos com Pessoal'!$I$532:$AJ$532&amp;'Gastos com Pessoal'!$I$512:$AJ$512,0),10,1)),0)</f>
        <v>7031.859999999976</v>
      </c>
      <c r="AR51" s="188">
        <f t="array" aca="1" ref="AR51" ca="1">_xlfn.IFNA(SUM((AR$3&gt;='Gastos com Pessoal'!$E$7:$E$506)*(AR$3&lt;='Gastos com Pessoal'!$F$7:$F$506)*OFFSET('Encargos e Benefícios'!$D$5,1,MATCH($B51,'Encargos e Benefícios'!$E$5:$AB$5,0),500,1)),0)+_xlfn.IFNA(SUM((AR$3&gt;='Gastos com Pessoal'!$E$513:$E$522)*(AR$3&lt;='Gastos com Pessoal'!$F$513:$F$522)*OFFSET('Encargos e Benefícios'!$D$511,1,MATCH($B51,'Encargos e Benefícios'!$E$511:$AB$511,0),10,1)),0)+_xlfn.IFNA(SUM((AR$3&gt;='Gastos com Pessoal'!$E$7:$E$506)*(AR$3&lt;='Gastos com Pessoal'!$F$7:$F$506)*(IF('Gastos com Pessoal'!$G$7:$G$506&lt;=AR$3,1,0))*OFFSET('Gastos com Pessoal'!$H$6,1,MATCH(1&amp;$B51,'Gastos com Pessoal'!$I$532:$AJ$532&amp;'Gastos com Pessoal'!$I$6:$AJ$6,0),500,1)),0)+_xlfn.IFNA(SUM((AR$3&gt;='Gastos com Pessoal'!$E$7:$E$506)*(AR$3&lt;='Gastos com Pessoal'!$F$7:$F$506)*(IF('Gastos com Pessoal'!$M$7:$M$506&lt;=AR$3,1,0))*OFFSET('Gastos com Pessoal'!$H$6,1,MATCH(2&amp;$B51,'Gastos com Pessoal'!$I$532:$AJ$532&amp;'Gastos com Pessoal'!$I$6:$AJ$6,0),500,1)),0)+_xlfn.IFNA(SUM((AR$3&gt;='Gastos com Pessoal'!$E$7:$E$506)*(AR$3&lt;='Gastos com Pessoal'!$F$7:$F$506)*(IF('Gastos com Pessoal'!$S$7:$S$506&lt;=AR$3,1,0))*OFFSET('Gastos com Pessoal'!$H$6,1,MATCH(3&amp;$B51,'Gastos com Pessoal'!$I$532:$AJ$532&amp;'Gastos com Pessoal'!$I$6:$AJ$6,0),500,1)),0)+_xlfn.IFNA(SUM((AR$3&gt;='Gastos com Pessoal'!$E$7:$E$506)*(AR$3&lt;='Gastos com Pessoal'!$F$7:$F$506)*(IF('Gastos com Pessoal'!$Y$7:$Y$506&lt;=AR$3,1,0))*OFFSET('Gastos com Pessoal'!$H$6,1,MATCH(4&amp;$B51,'Gastos com Pessoal'!$I$532:$AJ$532&amp;'Gastos com Pessoal'!$I$6:$AJ$6,0),500,1)),0)+_xlfn.IFNA(SUM((AR$3&gt;='Gastos com Pessoal'!$E$7:$E$506)*(AR$3&lt;='Gastos com Pessoal'!$F$7:$F$506)*(IF('Gastos com Pessoal'!$AE$7:$AE$506&lt;=AR$3,1,0))*OFFSET('Gastos com Pessoal'!$H$6,1,MATCH(5&amp;$B51,'Gastos com Pessoal'!$I$532:$AJ$532&amp;'Gastos com Pessoal'!$I$6:$AJ$6,0),500,1)),0)+_xlfn.IFNA(SUM((AR$3&gt;='Gastos com Pessoal'!$E$513:$E$522)*(AR$3&lt;='Gastos com Pessoal'!$F$513:$F$522)*(IF('Gastos com Pessoal'!$G$513:$G$522&lt;=AR$3,1,0))*OFFSET('Gastos com Pessoal'!$H$512,1,MATCH(1&amp;$B51,'Gastos com Pessoal'!$I$532:$AJ$532&amp;'Gastos com Pessoal'!$I$512:$AJ$512,0),10,1)),0)+_xlfn.IFNA(SUM((AR$3&gt;='Gastos com Pessoal'!$E$513:$E$522)*(AR$3&lt;='Gastos com Pessoal'!$F$513:$F$522)*(IF('Gastos com Pessoal'!$M$513:$M$522&lt;=AR$3,1,0))*OFFSET('Gastos com Pessoal'!$H$512,1,MATCH(2&amp;$B51,'Gastos com Pessoal'!$I$532:$AJ$532&amp;'Gastos com Pessoal'!$I$512:$AJ$512,0),10,1)),0)+_xlfn.IFNA(SUM((AR$3&gt;='Gastos com Pessoal'!$E$513:$E$522)*(AR$3&lt;='Gastos com Pessoal'!$F$513:$F$522)*(IF('Gastos com Pessoal'!$S$513:$S$522&lt;=AR$3,1,0))*OFFSET('Gastos com Pessoal'!$H$512,1,MATCH(3&amp;$B51,'Gastos com Pessoal'!$I$532:$AJ$532&amp;'Gastos com Pessoal'!$I$512:$AJ$512,0),10,1)),0)+_xlfn.IFNA(SUM((AR$3&gt;='Gastos com Pessoal'!$E$513:$E$522)*(AR$3&lt;='Gastos com Pessoal'!$F$513:$F$522)*(IF('Gastos com Pessoal'!$Y$513:$Y$522&lt;=AR$3,1,0))*OFFSET('Gastos com Pessoal'!$H$512,1,MATCH(4&amp;$B51,'Gastos com Pessoal'!$I$532:$AJ$532&amp;'Gastos com Pessoal'!$I$512:$AJ$512,0),10,1)),0)+_xlfn.IFNA(SUM((AR$3&gt;='Gastos com Pessoal'!$E$513:$E$522)*(AR$3&lt;='Gastos com Pessoal'!$F$513:$F$522)*(IF('Gastos com Pessoal'!$AE$513:$AE$522&lt;=AR$3,1,0))*OFFSET('Gastos com Pessoal'!$H$512,1,MATCH(5&amp;$B51,'Gastos com Pessoal'!$I$532:$AJ$532&amp;'Gastos com Pessoal'!$I$512:$AJ$512,0),10,1)),0)</f>
        <v>7031.859999999976</v>
      </c>
      <c r="AS51" s="188">
        <f t="array" aca="1" ref="AS51" ca="1">_xlfn.IFNA(SUM((AS$3&gt;='Gastos com Pessoal'!$E$7:$E$506)*(AS$3&lt;='Gastos com Pessoal'!$F$7:$F$506)*OFFSET('Encargos e Benefícios'!$D$5,1,MATCH($B51,'Encargos e Benefícios'!$E$5:$AB$5,0),500,1)),0)+_xlfn.IFNA(SUM((AS$3&gt;='Gastos com Pessoal'!$E$513:$E$522)*(AS$3&lt;='Gastos com Pessoal'!$F$513:$F$522)*OFFSET('Encargos e Benefícios'!$D$511,1,MATCH($B51,'Encargos e Benefícios'!$E$511:$AB$511,0),10,1)),0)+_xlfn.IFNA(SUM((AS$3&gt;='Gastos com Pessoal'!$E$7:$E$506)*(AS$3&lt;='Gastos com Pessoal'!$F$7:$F$506)*(IF('Gastos com Pessoal'!$G$7:$G$506&lt;=AS$3,1,0))*OFFSET('Gastos com Pessoal'!$H$6,1,MATCH(1&amp;$B51,'Gastos com Pessoal'!$I$532:$AJ$532&amp;'Gastos com Pessoal'!$I$6:$AJ$6,0),500,1)),0)+_xlfn.IFNA(SUM((AS$3&gt;='Gastos com Pessoal'!$E$7:$E$506)*(AS$3&lt;='Gastos com Pessoal'!$F$7:$F$506)*(IF('Gastos com Pessoal'!$M$7:$M$506&lt;=AS$3,1,0))*OFFSET('Gastos com Pessoal'!$H$6,1,MATCH(2&amp;$B51,'Gastos com Pessoal'!$I$532:$AJ$532&amp;'Gastos com Pessoal'!$I$6:$AJ$6,0),500,1)),0)+_xlfn.IFNA(SUM((AS$3&gt;='Gastos com Pessoal'!$E$7:$E$506)*(AS$3&lt;='Gastos com Pessoal'!$F$7:$F$506)*(IF('Gastos com Pessoal'!$S$7:$S$506&lt;=AS$3,1,0))*OFFSET('Gastos com Pessoal'!$H$6,1,MATCH(3&amp;$B51,'Gastos com Pessoal'!$I$532:$AJ$532&amp;'Gastos com Pessoal'!$I$6:$AJ$6,0),500,1)),0)+_xlfn.IFNA(SUM((AS$3&gt;='Gastos com Pessoal'!$E$7:$E$506)*(AS$3&lt;='Gastos com Pessoal'!$F$7:$F$506)*(IF('Gastos com Pessoal'!$Y$7:$Y$506&lt;=AS$3,1,0))*OFFSET('Gastos com Pessoal'!$H$6,1,MATCH(4&amp;$B51,'Gastos com Pessoal'!$I$532:$AJ$532&amp;'Gastos com Pessoal'!$I$6:$AJ$6,0),500,1)),0)+_xlfn.IFNA(SUM((AS$3&gt;='Gastos com Pessoal'!$E$7:$E$506)*(AS$3&lt;='Gastos com Pessoal'!$F$7:$F$506)*(IF('Gastos com Pessoal'!$AE$7:$AE$506&lt;=AS$3,1,0))*OFFSET('Gastos com Pessoal'!$H$6,1,MATCH(5&amp;$B51,'Gastos com Pessoal'!$I$532:$AJ$532&amp;'Gastos com Pessoal'!$I$6:$AJ$6,0),500,1)),0)+_xlfn.IFNA(SUM((AS$3&gt;='Gastos com Pessoal'!$E$513:$E$522)*(AS$3&lt;='Gastos com Pessoal'!$F$513:$F$522)*(IF('Gastos com Pessoal'!$G$513:$G$522&lt;=AS$3,1,0))*OFFSET('Gastos com Pessoal'!$H$512,1,MATCH(1&amp;$B51,'Gastos com Pessoal'!$I$532:$AJ$532&amp;'Gastos com Pessoal'!$I$512:$AJ$512,0),10,1)),0)+_xlfn.IFNA(SUM((AS$3&gt;='Gastos com Pessoal'!$E$513:$E$522)*(AS$3&lt;='Gastos com Pessoal'!$F$513:$F$522)*(IF('Gastos com Pessoal'!$M$513:$M$522&lt;=AS$3,1,0))*OFFSET('Gastos com Pessoal'!$H$512,1,MATCH(2&amp;$B51,'Gastos com Pessoal'!$I$532:$AJ$532&amp;'Gastos com Pessoal'!$I$512:$AJ$512,0),10,1)),0)+_xlfn.IFNA(SUM((AS$3&gt;='Gastos com Pessoal'!$E$513:$E$522)*(AS$3&lt;='Gastos com Pessoal'!$F$513:$F$522)*(IF('Gastos com Pessoal'!$S$513:$S$522&lt;=AS$3,1,0))*OFFSET('Gastos com Pessoal'!$H$512,1,MATCH(3&amp;$B51,'Gastos com Pessoal'!$I$532:$AJ$532&amp;'Gastos com Pessoal'!$I$512:$AJ$512,0),10,1)),0)+_xlfn.IFNA(SUM((AS$3&gt;='Gastos com Pessoal'!$E$513:$E$522)*(AS$3&lt;='Gastos com Pessoal'!$F$513:$F$522)*(IF('Gastos com Pessoal'!$Y$513:$Y$522&lt;=AS$3,1,0))*OFFSET('Gastos com Pessoal'!$H$512,1,MATCH(4&amp;$B51,'Gastos com Pessoal'!$I$532:$AJ$532&amp;'Gastos com Pessoal'!$I$512:$AJ$512,0),10,1)),0)+_xlfn.IFNA(SUM((AS$3&gt;='Gastos com Pessoal'!$E$513:$E$522)*(AS$3&lt;='Gastos com Pessoal'!$F$513:$F$522)*(IF('Gastos com Pessoal'!$AE$513:$AE$522&lt;=AS$3,1,0))*OFFSET('Gastos com Pessoal'!$H$512,1,MATCH(5&amp;$B51,'Gastos com Pessoal'!$I$532:$AJ$532&amp;'Gastos com Pessoal'!$I$512:$AJ$512,0),10,1)),0)</f>
        <v>7031.859999999976</v>
      </c>
      <c r="AT51" s="188">
        <f t="array" aca="1" ref="AT51" ca="1">_xlfn.IFNA(SUM((AT$3&gt;='Gastos com Pessoal'!$E$7:$E$506)*(AT$3&lt;='Gastos com Pessoal'!$F$7:$F$506)*OFFSET('Encargos e Benefícios'!$D$5,1,MATCH($B51,'Encargos e Benefícios'!$E$5:$AB$5,0),500,1)),0)+_xlfn.IFNA(SUM((AT$3&gt;='Gastos com Pessoal'!$E$513:$E$522)*(AT$3&lt;='Gastos com Pessoal'!$F$513:$F$522)*OFFSET('Encargos e Benefícios'!$D$511,1,MATCH($B51,'Encargos e Benefícios'!$E$511:$AB$511,0),10,1)),0)+_xlfn.IFNA(SUM((AT$3&gt;='Gastos com Pessoal'!$E$7:$E$506)*(AT$3&lt;='Gastos com Pessoal'!$F$7:$F$506)*(IF('Gastos com Pessoal'!$G$7:$G$506&lt;=AT$3,1,0))*OFFSET('Gastos com Pessoal'!$H$6,1,MATCH(1&amp;$B51,'Gastos com Pessoal'!$I$532:$AJ$532&amp;'Gastos com Pessoal'!$I$6:$AJ$6,0),500,1)),0)+_xlfn.IFNA(SUM((AT$3&gt;='Gastos com Pessoal'!$E$7:$E$506)*(AT$3&lt;='Gastos com Pessoal'!$F$7:$F$506)*(IF('Gastos com Pessoal'!$M$7:$M$506&lt;=AT$3,1,0))*OFFSET('Gastos com Pessoal'!$H$6,1,MATCH(2&amp;$B51,'Gastos com Pessoal'!$I$532:$AJ$532&amp;'Gastos com Pessoal'!$I$6:$AJ$6,0),500,1)),0)+_xlfn.IFNA(SUM((AT$3&gt;='Gastos com Pessoal'!$E$7:$E$506)*(AT$3&lt;='Gastos com Pessoal'!$F$7:$F$506)*(IF('Gastos com Pessoal'!$S$7:$S$506&lt;=AT$3,1,0))*OFFSET('Gastos com Pessoal'!$H$6,1,MATCH(3&amp;$B51,'Gastos com Pessoal'!$I$532:$AJ$532&amp;'Gastos com Pessoal'!$I$6:$AJ$6,0),500,1)),0)+_xlfn.IFNA(SUM((AT$3&gt;='Gastos com Pessoal'!$E$7:$E$506)*(AT$3&lt;='Gastos com Pessoal'!$F$7:$F$506)*(IF('Gastos com Pessoal'!$Y$7:$Y$506&lt;=AT$3,1,0))*OFFSET('Gastos com Pessoal'!$H$6,1,MATCH(4&amp;$B51,'Gastos com Pessoal'!$I$532:$AJ$532&amp;'Gastos com Pessoal'!$I$6:$AJ$6,0),500,1)),0)+_xlfn.IFNA(SUM((AT$3&gt;='Gastos com Pessoal'!$E$7:$E$506)*(AT$3&lt;='Gastos com Pessoal'!$F$7:$F$506)*(IF('Gastos com Pessoal'!$AE$7:$AE$506&lt;=AT$3,1,0))*OFFSET('Gastos com Pessoal'!$H$6,1,MATCH(5&amp;$B51,'Gastos com Pessoal'!$I$532:$AJ$532&amp;'Gastos com Pessoal'!$I$6:$AJ$6,0),500,1)),0)+_xlfn.IFNA(SUM((AT$3&gt;='Gastos com Pessoal'!$E$513:$E$522)*(AT$3&lt;='Gastos com Pessoal'!$F$513:$F$522)*(IF('Gastos com Pessoal'!$G$513:$G$522&lt;=AT$3,1,0))*OFFSET('Gastos com Pessoal'!$H$512,1,MATCH(1&amp;$B51,'Gastos com Pessoal'!$I$532:$AJ$532&amp;'Gastos com Pessoal'!$I$512:$AJ$512,0),10,1)),0)+_xlfn.IFNA(SUM((AT$3&gt;='Gastos com Pessoal'!$E$513:$E$522)*(AT$3&lt;='Gastos com Pessoal'!$F$513:$F$522)*(IF('Gastos com Pessoal'!$M$513:$M$522&lt;=AT$3,1,0))*OFFSET('Gastos com Pessoal'!$H$512,1,MATCH(2&amp;$B51,'Gastos com Pessoal'!$I$532:$AJ$532&amp;'Gastos com Pessoal'!$I$512:$AJ$512,0),10,1)),0)+_xlfn.IFNA(SUM((AT$3&gt;='Gastos com Pessoal'!$E$513:$E$522)*(AT$3&lt;='Gastos com Pessoal'!$F$513:$F$522)*(IF('Gastos com Pessoal'!$S$513:$S$522&lt;=AT$3,1,0))*OFFSET('Gastos com Pessoal'!$H$512,1,MATCH(3&amp;$B51,'Gastos com Pessoal'!$I$532:$AJ$532&amp;'Gastos com Pessoal'!$I$512:$AJ$512,0),10,1)),0)+_xlfn.IFNA(SUM((AT$3&gt;='Gastos com Pessoal'!$E$513:$E$522)*(AT$3&lt;='Gastos com Pessoal'!$F$513:$F$522)*(IF('Gastos com Pessoal'!$Y$513:$Y$522&lt;=AT$3,1,0))*OFFSET('Gastos com Pessoal'!$H$512,1,MATCH(4&amp;$B51,'Gastos com Pessoal'!$I$532:$AJ$532&amp;'Gastos com Pessoal'!$I$512:$AJ$512,0),10,1)),0)+_xlfn.IFNA(SUM((AT$3&gt;='Gastos com Pessoal'!$E$513:$E$522)*(AT$3&lt;='Gastos com Pessoal'!$F$513:$F$522)*(IF('Gastos com Pessoal'!$AE$513:$AE$522&lt;=AT$3,1,0))*OFFSET('Gastos com Pessoal'!$H$512,1,MATCH(5&amp;$B51,'Gastos com Pessoal'!$I$532:$AJ$532&amp;'Gastos com Pessoal'!$I$512:$AJ$512,0),10,1)),0)</f>
        <v>7031.859999999976</v>
      </c>
      <c r="AU51" s="188">
        <f t="array" aca="1" ref="AU51" ca="1">_xlfn.IFNA(SUM((AU$3&gt;='Gastos com Pessoal'!$E$7:$E$506)*(AU$3&lt;='Gastos com Pessoal'!$F$7:$F$506)*OFFSET('Encargos e Benefícios'!$D$5,1,MATCH($B51,'Encargos e Benefícios'!$E$5:$AB$5,0),500,1)),0)+_xlfn.IFNA(SUM((AU$3&gt;='Gastos com Pessoal'!$E$513:$E$522)*(AU$3&lt;='Gastos com Pessoal'!$F$513:$F$522)*OFFSET('Encargos e Benefícios'!$D$511,1,MATCH($B51,'Encargos e Benefícios'!$E$511:$AB$511,0),10,1)),0)+_xlfn.IFNA(SUM((AU$3&gt;='Gastos com Pessoal'!$E$7:$E$506)*(AU$3&lt;='Gastos com Pessoal'!$F$7:$F$506)*(IF('Gastos com Pessoal'!$G$7:$G$506&lt;=AU$3,1,0))*OFFSET('Gastos com Pessoal'!$H$6,1,MATCH(1&amp;$B51,'Gastos com Pessoal'!$I$532:$AJ$532&amp;'Gastos com Pessoal'!$I$6:$AJ$6,0),500,1)),0)+_xlfn.IFNA(SUM((AU$3&gt;='Gastos com Pessoal'!$E$7:$E$506)*(AU$3&lt;='Gastos com Pessoal'!$F$7:$F$506)*(IF('Gastos com Pessoal'!$M$7:$M$506&lt;=AU$3,1,0))*OFFSET('Gastos com Pessoal'!$H$6,1,MATCH(2&amp;$B51,'Gastos com Pessoal'!$I$532:$AJ$532&amp;'Gastos com Pessoal'!$I$6:$AJ$6,0),500,1)),0)+_xlfn.IFNA(SUM((AU$3&gt;='Gastos com Pessoal'!$E$7:$E$506)*(AU$3&lt;='Gastos com Pessoal'!$F$7:$F$506)*(IF('Gastos com Pessoal'!$S$7:$S$506&lt;=AU$3,1,0))*OFFSET('Gastos com Pessoal'!$H$6,1,MATCH(3&amp;$B51,'Gastos com Pessoal'!$I$532:$AJ$532&amp;'Gastos com Pessoal'!$I$6:$AJ$6,0),500,1)),0)+_xlfn.IFNA(SUM((AU$3&gt;='Gastos com Pessoal'!$E$7:$E$506)*(AU$3&lt;='Gastos com Pessoal'!$F$7:$F$506)*(IF('Gastos com Pessoal'!$Y$7:$Y$506&lt;=AU$3,1,0))*OFFSET('Gastos com Pessoal'!$H$6,1,MATCH(4&amp;$B51,'Gastos com Pessoal'!$I$532:$AJ$532&amp;'Gastos com Pessoal'!$I$6:$AJ$6,0),500,1)),0)+_xlfn.IFNA(SUM((AU$3&gt;='Gastos com Pessoal'!$E$7:$E$506)*(AU$3&lt;='Gastos com Pessoal'!$F$7:$F$506)*(IF('Gastos com Pessoal'!$AE$7:$AE$506&lt;=AU$3,1,0))*OFFSET('Gastos com Pessoal'!$H$6,1,MATCH(5&amp;$B51,'Gastos com Pessoal'!$I$532:$AJ$532&amp;'Gastos com Pessoal'!$I$6:$AJ$6,0),500,1)),0)+_xlfn.IFNA(SUM((AU$3&gt;='Gastos com Pessoal'!$E$513:$E$522)*(AU$3&lt;='Gastos com Pessoal'!$F$513:$F$522)*(IF('Gastos com Pessoal'!$G$513:$G$522&lt;=AU$3,1,0))*OFFSET('Gastos com Pessoal'!$H$512,1,MATCH(1&amp;$B51,'Gastos com Pessoal'!$I$532:$AJ$532&amp;'Gastos com Pessoal'!$I$512:$AJ$512,0),10,1)),0)+_xlfn.IFNA(SUM((AU$3&gt;='Gastos com Pessoal'!$E$513:$E$522)*(AU$3&lt;='Gastos com Pessoal'!$F$513:$F$522)*(IF('Gastos com Pessoal'!$M$513:$M$522&lt;=AU$3,1,0))*OFFSET('Gastos com Pessoal'!$H$512,1,MATCH(2&amp;$B51,'Gastos com Pessoal'!$I$532:$AJ$532&amp;'Gastos com Pessoal'!$I$512:$AJ$512,0),10,1)),0)+_xlfn.IFNA(SUM((AU$3&gt;='Gastos com Pessoal'!$E$513:$E$522)*(AU$3&lt;='Gastos com Pessoal'!$F$513:$F$522)*(IF('Gastos com Pessoal'!$S$513:$S$522&lt;=AU$3,1,0))*OFFSET('Gastos com Pessoal'!$H$512,1,MATCH(3&amp;$B51,'Gastos com Pessoal'!$I$532:$AJ$532&amp;'Gastos com Pessoal'!$I$512:$AJ$512,0),10,1)),0)+_xlfn.IFNA(SUM((AU$3&gt;='Gastos com Pessoal'!$E$513:$E$522)*(AU$3&lt;='Gastos com Pessoal'!$F$513:$F$522)*(IF('Gastos com Pessoal'!$Y$513:$Y$522&lt;=AU$3,1,0))*OFFSET('Gastos com Pessoal'!$H$512,1,MATCH(4&amp;$B51,'Gastos com Pessoal'!$I$532:$AJ$532&amp;'Gastos com Pessoal'!$I$512:$AJ$512,0),10,1)),0)+_xlfn.IFNA(SUM((AU$3&gt;='Gastos com Pessoal'!$E$513:$E$522)*(AU$3&lt;='Gastos com Pessoal'!$F$513:$F$522)*(IF('Gastos com Pessoal'!$AE$513:$AE$522&lt;=AU$3,1,0))*OFFSET('Gastos com Pessoal'!$H$512,1,MATCH(5&amp;$B51,'Gastos com Pessoal'!$I$532:$AJ$532&amp;'Gastos com Pessoal'!$I$512:$AJ$512,0),10,1)),0)</f>
        <v>7031.859999999976</v>
      </c>
      <c r="AV51" s="188">
        <f t="array" aca="1" ref="AV51" ca="1">_xlfn.IFNA(SUM((AV$3&gt;='Gastos com Pessoal'!$E$7:$E$506)*(AV$3&lt;='Gastos com Pessoal'!$F$7:$F$506)*OFFSET('Encargos e Benefícios'!$D$5,1,MATCH($B51,'Encargos e Benefícios'!$E$5:$AB$5,0),500,1)),0)+_xlfn.IFNA(SUM((AV$3&gt;='Gastos com Pessoal'!$E$513:$E$522)*(AV$3&lt;='Gastos com Pessoal'!$F$513:$F$522)*OFFSET('Encargos e Benefícios'!$D$511,1,MATCH($B51,'Encargos e Benefícios'!$E$511:$AB$511,0),10,1)),0)+_xlfn.IFNA(SUM((AV$3&gt;='Gastos com Pessoal'!$E$7:$E$506)*(AV$3&lt;='Gastos com Pessoal'!$F$7:$F$506)*(IF('Gastos com Pessoal'!$G$7:$G$506&lt;=AV$3,1,0))*OFFSET('Gastos com Pessoal'!$H$6,1,MATCH(1&amp;$B51,'Gastos com Pessoal'!$I$532:$AJ$532&amp;'Gastos com Pessoal'!$I$6:$AJ$6,0),500,1)),0)+_xlfn.IFNA(SUM((AV$3&gt;='Gastos com Pessoal'!$E$7:$E$506)*(AV$3&lt;='Gastos com Pessoal'!$F$7:$F$506)*(IF('Gastos com Pessoal'!$M$7:$M$506&lt;=AV$3,1,0))*OFFSET('Gastos com Pessoal'!$H$6,1,MATCH(2&amp;$B51,'Gastos com Pessoal'!$I$532:$AJ$532&amp;'Gastos com Pessoal'!$I$6:$AJ$6,0),500,1)),0)+_xlfn.IFNA(SUM((AV$3&gt;='Gastos com Pessoal'!$E$7:$E$506)*(AV$3&lt;='Gastos com Pessoal'!$F$7:$F$506)*(IF('Gastos com Pessoal'!$S$7:$S$506&lt;=AV$3,1,0))*OFFSET('Gastos com Pessoal'!$H$6,1,MATCH(3&amp;$B51,'Gastos com Pessoal'!$I$532:$AJ$532&amp;'Gastos com Pessoal'!$I$6:$AJ$6,0),500,1)),0)+_xlfn.IFNA(SUM((AV$3&gt;='Gastos com Pessoal'!$E$7:$E$506)*(AV$3&lt;='Gastos com Pessoal'!$F$7:$F$506)*(IF('Gastos com Pessoal'!$Y$7:$Y$506&lt;=AV$3,1,0))*OFFSET('Gastos com Pessoal'!$H$6,1,MATCH(4&amp;$B51,'Gastos com Pessoal'!$I$532:$AJ$532&amp;'Gastos com Pessoal'!$I$6:$AJ$6,0),500,1)),0)+_xlfn.IFNA(SUM((AV$3&gt;='Gastos com Pessoal'!$E$7:$E$506)*(AV$3&lt;='Gastos com Pessoal'!$F$7:$F$506)*(IF('Gastos com Pessoal'!$AE$7:$AE$506&lt;=AV$3,1,0))*OFFSET('Gastos com Pessoal'!$H$6,1,MATCH(5&amp;$B51,'Gastos com Pessoal'!$I$532:$AJ$532&amp;'Gastos com Pessoal'!$I$6:$AJ$6,0),500,1)),0)+_xlfn.IFNA(SUM((AV$3&gt;='Gastos com Pessoal'!$E$513:$E$522)*(AV$3&lt;='Gastos com Pessoal'!$F$513:$F$522)*(IF('Gastos com Pessoal'!$G$513:$G$522&lt;=AV$3,1,0))*OFFSET('Gastos com Pessoal'!$H$512,1,MATCH(1&amp;$B51,'Gastos com Pessoal'!$I$532:$AJ$532&amp;'Gastos com Pessoal'!$I$512:$AJ$512,0),10,1)),0)+_xlfn.IFNA(SUM((AV$3&gt;='Gastos com Pessoal'!$E$513:$E$522)*(AV$3&lt;='Gastos com Pessoal'!$F$513:$F$522)*(IF('Gastos com Pessoal'!$M$513:$M$522&lt;=AV$3,1,0))*OFFSET('Gastos com Pessoal'!$H$512,1,MATCH(2&amp;$B51,'Gastos com Pessoal'!$I$532:$AJ$532&amp;'Gastos com Pessoal'!$I$512:$AJ$512,0),10,1)),0)+_xlfn.IFNA(SUM((AV$3&gt;='Gastos com Pessoal'!$E$513:$E$522)*(AV$3&lt;='Gastos com Pessoal'!$F$513:$F$522)*(IF('Gastos com Pessoal'!$S$513:$S$522&lt;=AV$3,1,0))*OFFSET('Gastos com Pessoal'!$H$512,1,MATCH(3&amp;$B51,'Gastos com Pessoal'!$I$532:$AJ$532&amp;'Gastos com Pessoal'!$I$512:$AJ$512,0),10,1)),0)+_xlfn.IFNA(SUM((AV$3&gt;='Gastos com Pessoal'!$E$513:$E$522)*(AV$3&lt;='Gastos com Pessoal'!$F$513:$F$522)*(IF('Gastos com Pessoal'!$Y$513:$Y$522&lt;=AV$3,1,0))*OFFSET('Gastos com Pessoal'!$H$512,1,MATCH(4&amp;$B51,'Gastos com Pessoal'!$I$532:$AJ$532&amp;'Gastos com Pessoal'!$I$512:$AJ$512,0),10,1)),0)+_xlfn.IFNA(SUM((AV$3&gt;='Gastos com Pessoal'!$E$513:$E$522)*(AV$3&lt;='Gastos com Pessoal'!$F$513:$F$522)*(IF('Gastos com Pessoal'!$AE$513:$AE$522&lt;=AV$3,1,0))*OFFSET('Gastos com Pessoal'!$H$512,1,MATCH(5&amp;$B51,'Gastos com Pessoal'!$I$532:$AJ$532&amp;'Gastos com Pessoal'!$I$512:$AJ$512,0),10,1)),0)</f>
        <v>7031.859999999976</v>
      </c>
      <c r="AW51" s="188">
        <f t="array" aca="1" ref="AW51" ca="1">_xlfn.IFNA(SUM((AW$3&gt;='Gastos com Pessoal'!$E$7:$E$506)*(AW$3&lt;='Gastos com Pessoal'!$F$7:$F$506)*OFFSET('Encargos e Benefícios'!$D$5,1,MATCH($B51,'Encargos e Benefícios'!$E$5:$AB$5,0),500,1)),0)+_xlfn.IFNA(SUM((AW$3&gt;='Gastos com Pessoal'!$E$513:$E$522)*(AW$3&lt;='Gastos com Pessoal'!$F$513:$F$522)*OFFSET('Encargos e Benefícios'!$D$511,1,MATCH($B51,'Encargos e Benefícios'!$E$511:$AB$511,0),10,1)),0)+_xlfn.IFNA(SUM((AW$3&gt;='Gastos com Pessoal'!$E$7:$E$506)*(AW$3&lt;='Gastos com Pessoal'!$F$7:$F$506)*(IF('Gastos com Pessoal'!$G$7:$G$506&lt;=AW$3,1,0))*OFFSET('Gastos com Pessoal'!$H$6,1,MATCH(1&amp;$B51,'Gastos com Pessoal'!$I$532:$AJ$532&amp;'Gastos com Pessoal'!$I$6:$AJ$6,0),500,1)),0)+_xlfn.IFNA(SUM((AW$3&gt;='Gastos com Pessoal'!$E$7:$E$506)*(AW$3&lt;='Gastos com Pessoal'!$F$7:$F$506)*(IF('Gastos com Pessoal'!$M$7:$M$506&lt;=AW$3,1,0))*OFFSET('Gastos com Pessoal'!$H$6,1,MATCH(2&amp;$B51,'Gastos com Pessoal'!$I$532:$AJ$532&amp;'Gastos com Pessoal'!$I$6:$AJ$6,0),500,1)),0)+_xlfn.IFNA(SUM((AW$3&gt;='Gastos com Pessoal'!$E$7:$E$506)*(AW$3&lt;='Gastos com Pessoal'!$F$7:$F$506)*(IF('Gastos com Pessoal'!$S$7:$S$506&lt;=AW$3,1,0))*OFFSET('Gastos com Pessoal'!$H$6,1,MATCH(3&amp;$B51,'Gastos com Pessoal'!$I$532:$AJ$532&amp;'Gastos com Pessoal'!$I$6:$AJ$6,0),500,1)),0)+_xlfn.IFNA(SUM((AW$3&gt;='Gastos com Pessoal'!$E$7:$E$506)*(AW$3&lt;='Gastos com Pessoal'!$F$7:$F$506)*(IF('Gastos com Pessoal'!$Y$7:$Y$506&lt;=AW$3,1,0))*OFFSET('Gastos com Pessoal'!$H$6,1,MATCH(4&amp;$B51,'Gastos com Pessoal'!$I$532:$AJ$532&amp;'Gastos com Pessoal'!$I$6:$AJ$6,0),500,1)),0)+_xlfn.IFNA(SUM((AW$3&gt;='Gastos com Pessoal'!$E$7:$E$506)*(AW$3&lt;='Gastos com Pessoal'!$F$7:$F$506)*(IF('Gastos com Pessoal'!$AE$7:$AE$506&lt;=AW$3,1,0))*OFFSET('Gastos com Pessoal'!$H$6,1,MATCH(5&amp;$B51,'Gastos com Pessoal'!$I$532:$AJ$532&amp;'Gastos com Pessoal'!$I$6:$AJ$6,0),500,1)),0)+_xlfn.IFNA(SUM((AW$3&gt;='Gastos com Pessoal'!$E$513:$E$522)*(AW$3&lt;='Gastos com Pessoal'!$F$513:$F$522)*(IF('Gastos com Pessoal'!$G$513:$G$522&lt;=AW$3,1,0))*OFFSET('Gastos com Pessoal'!$H$512,1,MATCH(1&amp;$B51,'Gastos com Pessoal'!$I$532:$AJ$532&amp;'Gastos com Pessoal'!$I$512:$AJ$512,0),10,1)),0)+_xlfn.IFNA(SUM((AW$3&gt;='Gastos com Pessoal'!$E$513:$E$522)*(AW$3&lt;='Gastos com Pessoal'!$F$513:$F$522)*(IF('Gastos com Pessoal'!$M$513:$M$522&lt;=AW$3,1,0))*OFFSET('Gastos com Pessoal'!$H$512,1,MATCH(2&amp;$B51,'Gastos com Pessoal'!$I$532:$AJ$532&amp;'Gastos com Pessoal'!$I$512:$AJ$512,0),10,1)),0)+_xlfn.IFNA(SUM((AW$3&gt;='Gastos com Pessoal'!$E$513:$E$522)*(AW$3&lt;='Gastos com Pessoal'!$F$513:$F$522)*(IF('Gastos com Pessoal'!$S$513:$S$522&lt;=AW$3,1,0))*OFFSET('Gastos com Pessoal'!$H$512,1,MATCH(3&amp;$B51,'Gastos com Pessoal'!$I$532:$AJ$532&amp;'Gastos com Pessoal'!$I$512:$AJ$512,0),10,1)),0)+_xlfn.IFNA(SUM((AW$3&gt;='Gastos com Pessoal'!$E$513:$E$522)*(AW$3&lt;='Gastos com Pessoal'!$F$513:$F$522)*(IF('Gastos com Pessoal'!$Y$513:$Y$522&lt;=AW$3,1,0))*OFFSET('Gastos com Pessoal'!$H$512,1,MATCH(4&amp;$B51,'Gastos com Pessoal'!$I$532:$AJ$532&amp;'Gastos com Pessoal'!$I$512:$AJ$512,0),10,1)),0)+_xlfn.IFNA(SUM((AW$3&gt;='Gastos com Pessoal'!$E$513:$E$522)*(AW$3&lt;='Gastos com Pessoal'!$F$513:$F$522)*(IF('Gastos com Pessoal'!$AE$513:$AE$522&lt;=AW$3,1,0))*OFFSET('Gastos com Pessoal'!$H$512,1,MATCH(5&amp;$B51,'Gastos com Pessoal'!$I$532:$AJ$532&amp;'Gastos com Pessoal'!$I$512:$AJ$512,0),10,1)),0)</f>
        <v>7031.859999999976</v>
      </c>
      <c r="AX51" s="188">
        <f t="array" aca="1" ref="AX51" ca="1">_xlfn.IFNA(SUM((AX$3&gt;='Gastos com Pessoal'!$E$7:$E$506)*(AX$3&lt;='Gastos com Pessoal'!$F$7:$F$506)*OFFSET('Encargos e Benefícios'!$D$5,1,MATCH($B51,'Encargos e Benefícios'!$E$5:$AB$5,0),500,1)),0)+_xlfn.IFNA(SUM((AX$3&gt;='Gastos com Pessoal'!$E$513:$E$522)*(AX$3&lt;='Gastos com Pessoal'!$F$513:$F$522)*OFFSET('Encargos e Benefícios'!$D$511,1,MATCH($B51,'Encargos e Benefícios'!$E$511:$AB$511,0),10,1)),0)+_xlfn.IFNA(SUM((AX$3&gt;='Gastos com Pessoal'!$E$7:$E$506)*(AX$3&lt;='Gastos com Pessoal'!$F$7:$F$506)*(IF('Gastos com Pessoal'!$G$7:$G$506&lt;=AX$3,1,0))*OFFSET('Gastos com Pessoal'!$H$6,1,MATCH(1&amp;$B51,'Gastos com Pessoal'!$I$532:$AJ$532&amp;'Gastos com Pessoal'!$I$6:$AJ$6,0),500,1)),0)+_xlfn.IFNA(SUM((AX$3&gt;='Gastos com Pessoal'!$E$7:$E$506)*(AX$3&lt;='Gastos com Pessoal'!$F$7:$F$506)*(IF('Gastos com Pessoal'!$M$7:$M$506&lt;=AX$3,1,0))*OFFSET('Gastos com Pessoal'!$H$6,1,MATCH(2&amp;$B51,'Gastos com Pessoal'!$I$532:$AJ$532&amp;'Gastos com Pessoal'!$I$6:$AJ$6,0),500,1)),0)+_xlfn.IFNA(SUM((AX$3&gt;='Gastos com Pessoal'!$E$7:$E$506)*(AX$3&lt;='Gastos com Pessoal'!$F$7:$F$506)*(IF('Gastos com Pessoal'!$S$7:$S$506&lt;=AX$3,1,0))*OFFSET('Gastos com Pessoal'!$H$6,1,MATCH(3&amp;$B51,'Gastos com Pessoal'!$I$532:$AJ$532&amp;'Gastos com Pessoal'!$I$6:$AJ$6,0),500,1)),0)+_xlfn.IFNA(SUM((AX$3&gt;='Gastos com Pessoal'!$E$7:$E$506)*(AX$3&lt;='Gastos com Pessoal'!$F$7:$F$506)*(IF('Gastos com Pessoal'!$Y$7:$Y$506&lt;=AX$3,1,0))*OFFSET('Gastos com Pessoal'!$H$6,1,MATCH(4&amp;$B51,'Gastos com Pessoal'!$I$532:$AJ$532&amp;'Gastos com Pessoal'!$I$6:$AJ$6,0),500,1)),0)+_xlfn.IFNA(SUM((AX$3&gt;='Gastos com Pessoal'!$E$7:$E$506)*(AX$3&lt;='Gastos com Pessoal'!$F$7:$F$506)*(IF('Gastos com Pessoal'!$AE$7:$AE$506&lt;=AX$3,1,0))*OFFSET('Gastos com Pessoal'!$H$6,1,MATCH(5&amp;$B51,'Gastos com Pessoal'!$I$532:$AJ$532&amp;'Gastos com Pessoal'!$I$6:$AJ$6,0),500,1)),0)+_xlfn.IFNA(SUM((AX$3&gt;='Gastos com Pessoal'!$E$513:$E$522)*(AX$3&lt;='Gastos com Pessoal'!$F$513:$F$522)*(IF('Gastos com Pessoal'!$G$513:$G$522&lt;=AX$3,1,0))*OFFSET('Gastos com Pessoal'!$H$512,1,MATCH(1&amp;$B51,'Gastos com Pessoal'!$I$532:$AJ$532&amp;'Gastos com Pessoal'!$I$512:$AJ$512,0),10,1)),0)+_xlfn.IFNA(SUM((AX$3&gt;='Gastos com Pessoal'!$E$513:$E$522)*(AX$3&lt;='Gastos com Pessoal'!$F$513:$F$522)*(IF('Gastos com Pessoal'!$M$513:$M$522&lt;=AX$3,1,0))*OFFSET('Gastos com Pessoal'!$H$512,1,MATCH(2&amp;$B51,'Gastos com Pessoal'!$I$532:$AJ$532&amp;'Gastos com Pessoal'!$I$512:$AJ$512,0),10,1)),0)+_xlfn.IFNA(SUM((AX$3&gt;='Gastos com Pessoal'!$E$513:$E$522)*(AX$3&lt;='Gastos com Pessoal'!$F$513:$F$522)*(IF('Gastos com Pessoal'!$S$513:$S$522&lt;=AX$3,1,0))*OFFSET('Gastos com Pessoal'!$H$512,1,MATCH(3&amp;$B51,'Gastos com Pessoal'!$I$532:$AJ$532&amp;'Gastos com Pessoal'!$I$512:$AJ$512,0),10,1)),0)+_xlfn.IFNA(SUM((AX$3&gt;='Gastos com Pessoal'!$E$513:$E$522)*(AX$3&lt;='Gastos com Pessoal'!$F$513:$F$522)*(IF('Gastos com Pessoal'!$Y$513:$Y$522&lt;=AX$3,1,0))*OFFSET('Gastos com Pessoal'!$H$512,1,MATCH(4&amp;$B51,'Gastos com Pessoal'!$I$532:$AJ$532&amp;'Gastos com Pessoal'!$I$512:$AJ$512,0),10,1)),0)+_xlfn.IFNA(SUM((AX$3&gt;='Gastos com Pessoal'!$E$513:$E$522)*(AX$3&lt;='Gastos com Pessoal'!$F$513:$F$522)*(IF('Gastos com Pessoal'!$AE$513:$AE$522&lt;=AX$3,1,0))*OFFSET('Gastos com Pessoal'!$H$512,1,MATCH(5&amp;$B51,'Gastos com Pessoal'!$I$532:$AJ$532&amp;'Gastos com Pessoal'!$I$512:$AJ$512,0),10,1)),0)</f>
        <v>0</v>
      </c>
      <c r="AY51" s="188">
        <f t="array" aca="1" ref="AY51" ca="1">_xlfn.IFNA(SUM((AY$3&gt;='Gastos com Pessoal'!$E$7:$E$506)*(AY$3&lt;='Gastos com Pessoal'!$F$7:$F$506)*OFFSET('Encargos e Benefícios'!$D$5,1,MATCH($B51,'Encargos e Benefícios'!$E$5:$AB$5,0),500,1)),0)+_xlfn.IFNA(SUM((AY$3&gt;='Gastos com Pessoal'!$E$513:$E$522)*(AY$3&lt;='Gastos com Pessoal'!$F$513:$F$522)*OFFSET('Encargos e Benefícios'!$D$511,1,MATCH($B51,'Encargos e Benefícios'!$E$511:$AB$511,0),10,1)),0)+_xlfn.IFNA(SUM((AY$3&gt;='Gastos com Pessoal'!$E$7:$E$506)*(AY$3&lt;='Gastos com Pessoal'!$F$7:$F$506)*(IF('Gastos com Pessoal'!$G$7:$G$506&lt;=AY$3,1,0))*OFFSET('Gastos com Pessoal'!$H$6,1,MATCH(1&amp;$B51,'Gastos com Pessoal'!$I$532:$AJ$532&amp;'Gastos com Pessoal'!$I$6:$AJ$6,0),500,1)),0)+_xlfn.IFNA(SUM((AY$3&gt;='Gastos com Pessoal'!$E$7:$E$506)*(AY$3&lt;='Gastos com Pessoal'!$F$7:$F$506)*(IF('Gastos com Pessoal'!$M$7:$M$506&lt;=AY$3,1,0))*OFFSET('Gastos com Pessoal'!$H$6,1,MATCH(2&amp;$B51,'Gastos com Pessoal'!$I$532:$AJ$532&amp;'Gastos com Pessoal'!$I$6:$AJ$6,0),500,1)),0)+_xlfn.IFNA(SUM((AY$3&gt;='Gastos com Pessoal'!$E$7:$E$506)*(AY$3&lt;='Gastos com Pessoal'!$F$7:$F$506)*(IF('Gastos com Pessoal'!$S$7:$S$506&lt;=AY$3,1,0))*OFFSET('Gastos com Pessoal'!$H$6,1,MATCH(3&amp;$B51,'Gastos com Pessoal'!$I$532:$AJ$532&amp;'Gastos com Pessoal'!$I$6:$AJ$6,0),500,1)),0)+_xlfn.IFNA(SUM((AY$3&gt;='Gastos com Pessoal'!$E$7:$E$506)*(AY$3&lt;='Gastos com Pessoal'!$F$7:$F$506)*(IF('Gastos com Pessoal'!$Y$7:$Y$506&lt;=AY$3,1,0))*OFFSET('Gastos com Pessoal'!$H$6,1,MATCH(4&amp;$B51,'Gastos com Pessoal'!$I$532:$AJ$532&amp;'Gastos com Pessoal'!$I$6:$AJ$6,0),500,1)),0)+_xlfn.IFNA(SUM((AY$3&gt;='Gastos com Pessoal'!$E$7:$E$506)*(AY$3&lt;='Gastos com Pessoal'!$F$7:$F$506)*(IF('Gastos com Pessoal'!$AE$7:$AE$506&lt;=AY$3,1,0))*OFFSET('Gastos com Pessoal'!$H$6,1,MATCH(5&amp;$B51,'Gastos com Pessoal'!$I$532:$AJ$532&amp;'Gastos com Pessoal'!$I$6:$AJ$6,0),500,1)),0)+_xlfn.IFNA(SUM((AY$3&gt;='Gastos com Pessoal'!$E$513:$E$522)*(AY$3&lt;='Gastos com Pessoal'!$F$513:$F$522)*(IF('Gastos com Pessoal'!$G$513:$G$522&lt;=AY$3,1,0))*OFFSET('Gastos com Pessoal'!$H$512,1,MATCH(1&amp;$B51,'Gastos com Pessoal'!$I$532:$AJ$532&amp;'Gastos com Pessoal'!$I$512:$AJ$512,0),10,1)),0)+_xlfn.IFNA(SUM((AY$3&gt;='Gastos com Pessoal'!$E$513:$E$522)*(AY$3&lt;='Gastos com Pessoal'!$F$513:$F$522)*(IF('Gastos com Pessoal'!$M$513:$M$522&lt;=AY$3,1,0))*OFFSET('Gastos com Pessoal'!$H$512,1,MATCH(2&amp;$B51,'Gastos com Pessoal'!$I$532:$AJ$532&amp;'Gastos com Pessoal'!$I$512:$AJ$512,0),10,1)),0)+_xlfn.IFNA(SUM((AY$3&gt;='Gastos com Pessoal'!$E$513:$E$522)*(AY$3&lt;='Gastos com Pessoal'!$F$513:$F$522)*(IF('Gastos com Pessoal'!$S$513:$S$522&lt;=AY$3,1,0))*OFFSET('Gastos com Pessoal'!$H$512,1,MATCH(3&amp;$B51,'Gastos com Pessoal'!$I$532:$AJ$532&amp;'Gastos com Pessoal'!$I$512:$AJ$512,0),10,1)),0)+_xlfn.IFNA(SUM((AY$3&gt;='Gastos com Pessoal'!$E$513:$E$522)*(AY$3&lt;='Gastos com Pessoal'!$F$513:$F$522)*(IF('Gastos com Pessoal'!$Y$513:$Y$522&lt;=AY$3,1,0))*OFFSET('Gastos com Pessoal'!$H$512,1,MATCH(4&amp;$B51,'Gastos com Pessoal'!$I$532:$AJ$532&amp;'Gastos com Pessoal'!$I$512:$AJ$512,0),10,1)),0)+_xlfn.IFNA(SUM((AY$3&gt;='Gastos com Pessoal'!$E$513:$E$522)*(AY$3&lt;='Gastos com Pessoal'!$F$513:$F$522)*(IF('Gastos com Pessoal'!$AE$513:$AE$522&lt;=AY$3,1,0))*OFFSET('Gastos com Pessoal'!$H$512,1,MATCH(5&amp;$B51,'Gastos com Pessoal'!$I$532:$AJ$532&amp;'Gastos com Pessoal'!$I$512:$AJ$512,0),10,1)),0)</f>
        <v>0</v>
      </c>
      <c r="AZ51" s="188">
        <f t="array" aca="1" ref="AZ51" ca="1">_xlfn.IFNA(SUM((AZ$3&gt;='Gastos com Pessoal'!$E$7:$E$506)*(AZ$3&lt;='Gastos com Pessoal'!$F$7:$F$506)*OFFSET('Encargos e Benefícios'!$D$5,1,MATCH($B51,'Encargos e Benefícios'!$E$5:$AB$5,0),500,1)),0)+_xlfn.IFNA(SUM((AZ$3&gt;='Gastos com Pessoal'!$E$513:$E$522)*(AZ$3&lt;='Gastos com Pessoal'!$F$513:$F$522)*OFFSET('Encargos e Benefícios'!$D$511,1,MATCH($B51,'Encargos e Benefícios'!$E$511:$AB$511,0),10,1)),0)+_xlfn.IFNA(SUM((AZ$3&gt;='Gastos com Pessoal'!$E$7:$E$506)*(AZ$3&lt;='Gastos com Pessoal'!$F$7:$F$506)*(IF('Gastos com Pessoal'!$G$7:$G$506&lt;=AZ$3,1,0))*OFFSET('Gastos com Pessoal'!$H$6,1,MATCH(1&amp;$B51,'Gastos com Pessoal'!$I$532:$AJ$532&amp;'Gastos com Pessoal'!$I$6:$AJ$6,0),500,1)),0)+_xlfn.IFNA(SUM((AZ$3&gt;='Gastos com Pessoal'!$E$7:$E$506)*(AZ$3&lt;='Gastos com Pessoal'!$F$7:$F$506)*(IF('Gastos com Pessoal'!$M$7:$M$506&lt;=AZ$3,1,0))*OFFSET('Gastos com Pessoal'!$H$6,1,MATCH(2&amp;$B51,'Gastos com Pessoal'!$I$532:$AJ$532&amp;'Gastos com Pessoal'!$I$6:$AJ$6,0),500,1)),0)+_xlfn.IFNA(SUM((AZ$3&gt;='Gastos com Pessoal'!$E$7:$E$506)*(AZ$3&lt;='Gastos com Pessoal'!$F$7:$F$506)*(IF('Gastos com Pessoal'!$S$7:$S$506&lt;=AZ$3,1,0))*OFFSET('Gastos com Pessoal'!$H$6,1,MATCH(3&amp;$B51,'Gastos com Pessoal'!$I$532:$AJ$532&amp;'Gastos com Pessoal'!$I$6:$AJ$6,0),500,1)),0)+_xlfn.IFNA(SUM((AZ$3&gt;='Gastos com Pessoal'!$E$7:$E$506)*(AZ$3&lt;='Gastos com Pessoal'!$F$7:$F$506)*(IF('Gastos com Pessoal'!$Y$7:$Y$506&lt;=AZ$3,1,0))*OFFSET('Gastos com Pessoal'!$H$6,1,MATCH(4&amp;$B51,'Gastos com Pessoal'!$I$532:$AJ$532&amp;'Gastos com Pessoal'!$I$6:$AJ$6,0),500,1)),0)+_xlfn.IFNA(SUM((AZ$3&gt;='Gastos com Pessoal'!$E$7:$E$506)*(AZ$3&lt;='Gastos com Pessoal'!$F$7:$F$506)*(IF('Gastos com Pessoal'!$AE$7:$AE$506&lt;=AZ$3,1,0))*OFFSET('Gastos com Pessoal'!$H$6,1,MATCH(5&amp;$B51,'Gastos com Pessoal'!$I$532:$AJ$532&amp;'Gastos com Pessoal'!$I$6:$AJ$6,0),500,1)),0)+_xlfn.IFNA(SUM((AZ$3&gt;='Gastos com Pessoal'!$E$513:$E$522)*(AZ$3&lt;='Gastos com Pessoal'!$F$513:$F$522)*(IF('Gastos com Pessoal'!$G$513:$G$522&lt;=AZ$3,1,0))*OFFSET('Gastos com Pessoal'!$H$512,1,MATCH(1&amp;$B51,'Gastos com Pessoal'!$I$532:$AJ$532&amp;'Gastos com Pessoal'!$I$512:$AJ$512,0),10,1)),0)+_xlfn.IFNA(SUM((AZ$3&gt;='Gastos com Pessoal'!$E$513:$E$522)*(AZ$3&lt;='Gastos com Pessoal'!$F$513:$F$522)*(IF('Gastos com Pessoal'!$M$513:$M$522&lt;=AZ$3,1,0))*OFFSET('Gastos com Pessoal'!$H$512,1,MATCH(2&amp;$B51,'Gastos com Pessoal'!$I$532:$AJ$532&amp;'Gastos com Pessoal'!$I$512:$AJ$512,0),10,1)),0)+_xlfn.IFNA(SUM((AZ$3&gt;='Gastos com Pessoal'!$E$513:$E$522)*(AZ$3&lt;='Gastos com Pessoal'!$F$513:$F$522)*(IF('Gastos com Pessoal'!$S$513:$S$522&lt;=AZ$3,1,0))*OFFSET('Gastos com Pessoal'!$H$512,1,MATCH(3&amp;$B51,'Gastos com Pessoal'!$I$532:$AJ$532&amp;'Gastos com Pessoal'!$I$512:$AJ$512,0),10,1)),0)+_xlfn.IFNA(SUM((AZ$3&gt;='Gastos com Pessoal'!$E$513:$E$522)*(AZ$3&lt;='Gastos com Pessoal'!$F$513:$F$522)*(IF('Gastos com Pessoal'!$Y$513:$Y$522&lt;=AZ$3,1,0))*OFFSET('Gastos com Pessoal'!$H$512,1,MATCH(4&amp;$B51,'Gastos com Pessoal'!$I$532:$AJ$532&amp;'Gastos com Pessoal'!$I$512:$AJ$512,0),10,1)),0)+_xlfn.IFNA(SUM((AZ$3&gt;='Gastos com Pessoal'!$E$513:$E$522)*(AZ$3&lt;='Gastos com Pessoal'!$F$513:$F$522)*(IF('Gastos com Pessoal'!$AE$513:$AE$522&lt;=AZ$3,1,0))*OFFSET('Gastos com Pessoal'!$H$512,1,MATCH(5&amp;$B51,'Gastos com Pessoal'!$I$532:$AJ$532&amp;'Gastos com Pessoal'!$I$512:$AJ$512,0),10,1)),0)</f>
        <v>0</v>
      </c>
      <c r="BA51" s="188">
        <f t="array" aca="1" ref="BA51" ca="1">_xlfn.IFNA(SUM((BA$3&gt;='Gastos com Pessoal'!$E$7:$E$506)*(BA$3&lt;='Gastos com Pessoal'!$F$7:$F$506)*OFFSET('Encargos e Benefícios'!$D$5,1,MATCH($B51,'Encargos e Benefícios'!$E$5:$AB$5,0),500,1)),0)+_xlfn.IFNA(SUM((BA$3&gt;='Gastos com Pessoal'!$E$513:$E$522)*(BA$3&lt;='Gastos com Pessoal'!$F$513:$F$522)*OFFSET('Encargos e Benefícios'!$D$511,1,MATCH($B51,'Encargos e Benefícios'!$E$511:$AB$511,0),10,1)),0)+_xlfn.IFNA(SUM((BA$3&gt;='Gastos com Pessoal'!$E$7:$E$506)*(BA$3&lt;='Gastos com Pessoal'!$F$7:$F$506)*(IF('Gastos com Pessoal'!$G$7:$G$506&lt;=BA$3,1,0))*OFFSET('Gastos com Pessoal'!$H$6,1,MATCH(1&amp;$B51,'Gastos com Pessoal'!$I$532:$AJ$532&amp;'Gastos com Pessoal'!$I$6:$AJ$6,0),500,1)),0)+_xlfn.IFNA(SUM((BA$3&gt;='Gastos com Pessoal'!$E$7:$E$506)*(BA$3&lt;='Gastos com Pessoal'!$F$7:$F$506)*(IF('Gastos com Pessoal'!$M$7:$M$506&lt;=BA$3,1,0))*OFFSET('Gastos com Pessoal'!$H$6,1,MATCH(2&amp;$B51,'Gastos com Pessoal'!$I$532:$AJ$532&amp;'Gastos com Pessoal'!$I$6:$AJ$6,0),500,1)),0)+_xlfn.IFNA(SUM((BA$3&gt;='Gastos com Pessoal'!$E$7:$E$506)*(BA$3&lt;='Gastos com Pessoal'!$F$7:$F$506)*(IF('Gastos com Pessoal'!$S$7:$S$506&lt;=BA$3,1,0))*OFFSET('Gastos com Pessoal'!$H$6,1,MATCH(3&amp;$B51,'Gastos com Pessoal'!$I$532:$AJ$532&amp;'Gastos com Pessoal'!$I$6:$AJ$6,0),500,1)),0)+_xlfn.IFNA(SUM((BA$3&gt;='Gastos com Pessoal'!$E$7:$E$506)*(BA$3&lt;='Gastos com Pessoal'!$F$7:$F$506)*(IF('Gastos com Pessoal'!$Y$7:$Y$506&lt;=BA$3,1,0))*OFFSET('Gastos com Pessoal'!$H$6,1,MATCH(4&amp;$B51,'Gastos com Pessoal'!$I$532:$AJ$532&amp;'Gastos com Pessoal'!$I$6:$AJ$6,0),500,1)),0)+_xlfn.IFNA(SUM((BA$3&gt;='Gastos com Pessoal'!$E$7:$E$506)*(BA$3&lt;='Gastos com Pessoal'!$F$7:$F$506)*(IF('Gastos com Pessoal'!$AE$7:$AE$506&lt;=BA$3,1,0))*OFFSET('Gastos com Pessoal'!$H$6,1,MATCH(5&amp;$B51,'Gastos com Pessoal'!$I$532:$AJ$532&amp;'Gastos com Pessoal'!$I$6:$AJ$6,0),500,1)),0)+_xlfn.IFNA(SUM((BA$3&gt;='Gastos com Pessoal'!$E$513:$E$522)*(BA$3&lt;='Gastos com Pessoal'!$F$513:$F$522)*(IF('Gastos com Pessoal'!$G$513:$G$522&lt;=BA$3,1,0))*OFFSET('Gastos com Pessoal'!$H$512,1,MATCH(1&amp;$B51,'Gastos com Pessoal'!$I$532:$AJ$532&amp;'Gastos com Pessoal'!$I$512:$AJ$512,0),10,1)),0)+_xlfn.IFNA(SUM((BA$3&gt;='Gastos com Pessoal'!$E$513:$E$522)*(BA$3&lt;='Gastos com Pessoal'!$F$513:$F$522)*(IF('Gastos com Pessoal'!$M$513:$M$522&lt;=BA$3,1,0))*OFFSET('Gastos com Pessoal'!$H$512,1,MATCH(2&amp;$B51,'Gastos com Pessoal'!$I$532:$AJ$532&amp;'Gastos com Pessoal'!$I$512:$AJ$512,0),10,1)),0)+_xlfn.IFNA(SUM((BA$3&gt;='Gastos com Pessoal'!$E$513:$E$522)*(BA$3&lt;='Gastos com Pessoal'!$F$513:$F$522)*(IF('Gastos com Pessoal'!$S$513:$S$522&lt;=BA$3,1,0))*OFFSET('Gastos com Pessoal'!$H$512,1,MATCH(3&amp;$B51,'Gastos com Pessoal'!$I$532:$AJ$532&amp;'Gastos com Pessoal'!$I$512:$AJ$512,0),10,1)),0)+_xlfn.IFNA(SUM((BA$3&gt;='Gastos com Pessoal'!$E$513:$E$522)*(BA$3&lt;='Gastos com Pessoal'!$F$513:$F$522)*(IF('Gastos com Pessoal'!$Y$513:$Y$522&lt;=BA$3,1,0))*OFFSET('Gastos com Pessoal'!$H$512,1,MATCH(4&amp;$B51,'Gastos com Pessoal'!$I$532:$AJ$532&amp;'Gastos com Pessoal'!$I$512:$AJ$512,0),10,1)),0)+_xlfn.IFNA(SUM((BA$3&gt;='Gastos com Pessoal'!$E$513:$E$522)*(BA$3&lt;='Gastos com Pessoal'!$F$513:$F$522)*(IF('Gastos com Pessoal'!$AE$513:$AE$522&lt;=BA$3,1,0))*OFFSET('Gastos com Pessoal'!$H$512,1,MATCH(5&amp;$B51,'Gastos com Pessoal'!$I$532:$AJ$532&amp;'Gastos com Pessoal'!$I$512:$AJ$512,0),10,1)),0)</f>
        <v>0</v>
      </c>
      <c r="BB51" s="188">
        <f t="array" aca="1" ref="BB51" ca="1">_xlfn.IFNA(SUM((BB$3&gt;='Gastos com Pessoal'!$E$7:$E$506)*(BB$3&lt;='Gastos com Pessoal'!$F$7:$F$506)*OFFSET('Encargos e Benefícios'!$D$5,1,MATCH($B51,'Encargos e Benefícios'!$E$5:$AB$5,0),500,1)),0)+_xlfn.IFNA(SUM((BB$3&gt;='Gastos com Pessoal'!$E$513:$E$522)*(BB$3&lt;='Gastos com Pessoal'!$F$513:$F$522)*OFFSET('Encargos e Benefícios'!$D$511,1,MATCH($B51,'Encargos e Benefícios'!$E$511:$AB$511,0),10,1)),0)+_xlfn.IFNA(SUM((BB$3&gt;='Gastos com Pessoal'!$E$7:$E$506)*(BB$3&lt;='Gastos com Pessoal'!$F$7:$F$506)*(IF('Gastos com Pessoal'!$G$7:$G$506&lt;=BB$3,1,0))*OFFSET('Gastos com Pessoal'!$H$6,1,MATCH(1&amp;$B51,'Gastos com Pessoal'!$I$532:$AJ$532&amp;'Gastos com Pessoal'!$I$6:$AJ$6,0),500,1)),0)+_xlfn.IFNA(SUM((BB$3&gt;='Gastos com Pessoal'!$E$7:$E$506)*(BB$3&lt;='Gastos com Pessoal'!$F$7:$F$506)*(IF('Gastos com Pessoal'!$M$7:$M$506&lt;=BB$3,1,0))*OFFSET('Gastos com Pessoal'!$H$6,1,MATCH(2&amp;$B51,'Gastos com Pessoal'!$I$532:$AJ$532&amp;'Gastos com Pessoal'!$I$6:$AJ$6,0),500,1)),0)+_xlfn.IFNA(SUM((BB$3&gt;='Gastos com Pessoal'!$E$7:$E$506)*(BB$3&lt;='Gastos com Pessoal'!$F$7:$F$506)*(IF('Gastos com Pessoal'!$S$7:$S$506&lt;=BB$3,1,0))*OFFSET('Gastos com Pessoal'!$H$6,1,MATCH(3&amp;$B51,'Gastos com Pessoal'!$I$532:$AJ$532&amp;'Gastos com Pessoal'!$I$6:$AJ$6,0),500,1)),0)+_xlfn.IFNA(SUM((BB$3&gt;='Gastos com Pessoal'!$E$7:$E$506)*(BB$3&lt;='Gastos com Pessoal'!$F$7:$F$506)*(IF('Gastos com Pessoal'!$Y$7:$Y$506&lt;=BB$3,1,0))*OFFSET('Gastos com Pessoal'!$H$6,1,MATCH(4&amp;$B51,'Gastos com Pessoal'!$I$532:$AJ$532&amp;'Gastos com Pessoal'!$I$6:$AJ$6,0),500,1)),0)+_xlfn.IFNA(SUM((BB$3&gt;='Gastos com Pessoal'!$E$7:$E$506)*(BB$3&lt;='Gastos com Pessoal'!$F$7:$F$506)*(IF('Gastos com Pessoal'!$AE$7:$AE$506&lt;=BB$3,1,0))*OFFSET('Gastos com Pessoal'!$H$6,1,MATCH(5&amp;$B51,'Gastos com Pessoal'!$I$532:$AJ$532&amp;'Gastos com Pessoal'!$I$6:$AJ$6,0),500,1)),0)+_xlfn.IFNA(SUM((BB$3&gt;='Gastos com Pessoal'!$E$513:$E$522)*(BB$3&lt;='Gastos com Pessoal'!$F$513:$F$522)*(IF('Gastos com Pessoal'!$G$513:$G$522&lt;=BB$3,1,0))*OFFSET('Gastos com Pessoal'!$H$512,1,MATCH(1&amp;$B51,'Gastos com Pessoal'!$I$532:$AJ$532&amp;'Gastos com Pessoal'!$I$512:$AJ$512,0),10,1)),0)+_xlfn.IFNA(SUM((BB$3&gt;='Gastos com Pessoal'!$E$513:$E$522)*(BB$3&lt;='Gastos com Pessoal'!$F$513:$F$522)*(IF('Gastos com Pessoal'!$M$513:$M$522&lt;=BB$3,1,0))*OFFSET('Gastos com Pessoal'!$H$512,1,MATCH(2&amp;$B51,'Gastos com Pessoal'!$I$532:$AJ$532&amp;'Gastos com Pessoal'!$I$512:$AJ$512,0),10,1)),0)+_xlfn.IFNA(SUM((BB$3&gt;='Gastos com Pessoal'!$E$513:$E$522)*(BB$3&lt;='Gastos com Pessoal'!$F$513:$F$522)*(IF('Gastos com Pessoal'!$S$513:$S$522&lt;=BB$3,1,0))*OFFSET('Gastos com Pessoal'!$H$512,1,MATCH(3&amp;$B51,'Gastos com Pessoal'!$I$532:$AJ$532&amp;'Gastos com Pessoal'!$I$512:$AJ$512,0),10,1)),0)+_xlfn.IFNA(SUM((BB$3&gt;='Gastos com Pessoal'!$E$513:$E$522)*(BB$3&lt;='Gastos com Pessoal'!$F$513:$F$522)*(IF('Gastos com Pessoal'!$Y$513:$Y$522&lt;=BB$3,1,0))*OFFSET('Gastos com Pessoal'!$H$512,1,MATCH(4&amp;$B51,'Gastos com Pessoal'!$I$532:$AJ$532&amp;'Gastos com Pessoal'!$I$512:$AJ$512,0),10,1)),0)+_xlfn.IFNA(SUM((BB$3&gt;='Gastos com Pessoal'!$E$513:$E$522)*(BB$3&lt;='Gastos com Pessoal'!$F$513:$F$522)*(IF('Gastos com Pessoal'!$AE$513:$AE$522&lt;=BB$3,1,0))*OFFSET('Gastos com Pessoal'!$H$512,1,MATCH(5&amp;$B51,'Gastos com Pessoal'!$I$532:$AJ$532&amp;'Gastos com Pessoal'!$I$512:$AJ$512,0),10,1)),0)</f>
        <v>0</v>
      </c>
      <c r="BC51" s="188">
        <f t="array" aca="1" ref="BC51" ca="1">_xlfn.IFNA(SUM((BC$3&gt;='Gastos com Pessoal'!$E$7:$E$506)*(BC$3&lt;='Gastos com Pessoal'!$F$7:$F$506)*OFFSET('Encargos e Benefícios'!$D$5,1,MATCH($B51,'Encargos e Benefícios'!$E$5:$AB$5,0),500,1)),0)+_xlfn.IFNA(SUM((BC$3&gt;='Gastos com Pessoal'!$E$513:$E$522)*(BC$3&lt;='Gastos com Pessoal'!$F$513:$F$522)*OFFSET('Encargos e Benefícios'!$D$511,1,MATCH($B51,'Encargos e Benefícios'!$E$511:$AB$511,0),10,1)),0)+_xlfn.IFNA(SUM((BC$3&gt;='Gastos com Pessoal'!$E$7:$E$506)*(BC$3&lt;='Gastos com Pessoal'!$F$7:$F$506)*(IF('Gastos com Pessoal'!$G$7:$G$506&lt;=BC$3,1,0))*OFFSET('Gastos com Pessoal'!$H$6,1,MATCH(1&amp;$B51,'Gastos com Pessoal'!$I$532:$AJ$532&amp;'Gastos com Pessoal'!$I$6:$AJ$6,0),500,1)),0)+_xlfn.IFNA(SUM((BC$3&gt;='Gastos com Pessoal'!$E$7:$E$506)*(BC$3&lt;='Gastos com Pessoal'!$F$7:$F$506)*(IF('Gastos com Pessoal'!$M$7:$M$506&lt;=BC$3,1,0))*OFFSET('Gastos com Pessoal'!$H$6,1,MATCH(2&amp;$B51,'Gastos com Pessoal'!$I$532:$AJ$532&amp;'Gastos com Pessoal'!$I$6:$AJ$6,0),500,1)),0)+_xlfn.IFNA(SUM((BC$3&gt;='Gastos com Pessoal'!$E$7:$E$506)*(BC$3&lt;='Gastos com Pessoal'!$F$7:$F$506)*(IF('Gastos com Pessoal'!$S$7:$S$506&lt;=BC$3,1,0))*OFFSET('Gastos com Pessoal'!$H$6,1,MATCH(3&amp;$B51,'Gastos com Pessoal'!$I$532:$AJ$532&amp;'Gastos com Pessoal'!$I$6:$AJ$6,0),500,1)),0)+_xlfn.IFNA(SUM((BC$3&gt;='Gastos com Pessoal'!$E$7:$E$506)*(BC$3&lt;='Gastos com Pessoal'!$F$7:$F$506)*(IF('Gastos com Pessoal'!$Y$7:$Y$506&lt;=BC$3,1,0))*OFFSET('Gastos com Pessoal'!$H$6,1,MATCH(4&amp;$B51,'Gastos com Pessoal'!$I$532:$AJ$532&amp;'Gastos com Pessoal'!$I$6:$AJ$6,0),500,1)),0)+_xlfn.IFNA(SUM((BC$3&gt;='Gastos com Pessoal'!$E$7:$E$506)*(BC$3&lt;='Gastos com Pessoal'!$F$7:$F$506)*(IF('Gastos com Pessoal'!$AE$7:$AE$506&lt;=BC$3,1,0))*OFFSET('Gastos com Pessoal'!$H$6,1,MATCH(5&amp;$B51,'Gastos com Pessoal'!$I$532:$AJ$532&amp;'Gastos com Pessoal'!$I$6:$AJ$6,0),500,1)),0)+_xlfn.IFNA(SUM((BC$3&gt;='Gastos com Pessoal'!$E$513:$E$522)*(BC$3&lt;='Gastos com Pessoal'!$F$513:$F$522)*(IF('Gastos com Pessoal'!$G$513:$G$522&lt;=BC$3,1,0))*OFFSET('Gastos com Pessoal'!$H$512,1,MATCH(1&amp;$B51,'Gastos com Pessoal'!$I$532:$AJ$532&amp;'Gastos com Pessoal'!$I$512:$AJ$512,0),10,1)),0)+_xlfn.IFNA(SUM((BC$3&gt;='Gastos com Pessoal'!$E$513:$E$522)*(BC$3&lt;='Gastos com Pessoal'!$F$513:$F$522)*(IF('Gastos com Pessoal'!$M$513:$M$522&lt;=BC$3,1,0))*OFFSET('Gastos com Pessoal'!$H$512,1,MATCH(2&amp;$B51,'Gastos com Pessoal'!$I$532:$AJ$532&amp;'Gastos com Pessoal'!$I$512:$AJ$512,0),10,1)),0)+_xlfn.IFNA(SUM((BC$3&gt;='Gastos com Pessoal'!$E$513:$E$522)*(BC$3&lt;='Gastos com Pessoal'!$F$513:$F$522)*(IF('Gastos com Pessoal'!$S$513:$S$522&lt;=BC$3,1,0))*OFFSET('Gastos com Pessoal'!$H$512,1,MATCH(3&amp;$B51,'Gastos com Pessoal'!$I$532:$AJ$532&amp;'Gastos com Pessoal'!$I$512:$AJ$512,0),10,1)),0)+_xlfn.IFNA(SUM((BC$3&gt;='Gastos com Pessoal'!$E$513:$E$522)*(BC$3&lt;='Gastos com Pessoal'!$F$513:$F$522)*(IF('Gastos com Pessoal'!$Y$513:$Y$522&lt;=BC$3,1,0))*OFFSET('Gastos com Pessoal'!$H$512,1,MATCH(4&amp;$B51,'Gastos com Pessoal'!$I$532:$AJ$532&amp;'Gastos com Pessoal'!$I$512:$AJ$512,0),10,1)),0)+_xlfn.IFNA(SUM((BC$3&gt;='Gastos com Pessoal'!$E$513:$E$522)*(BC$3&lt;='Gastos com Pessoal'!$F$513:$F$522)*(IF('Gastos com Pessoal'!$AE$513:$AE$522&lt;=BC$3,1,0))*OFFSET('Gastos com Pessoal'!$H$512,1,MATCH(5&amp;$B51,'Gastos com Pessoal'!$I$532:$AJ$532&amp;'Gastos com Pessoal'!$I$512:$AJ$512,0),10,1)),0)</f>
        <v>0</v>
      </c>
      <c r="BD51" s="188">
        <f t="array" aca="1" ref="BD51" ca="1">_xlfn.IFNA(SUM((BD$3&gt;='Gastos com Pessoal'!$E$7:$E$506)*(BD$3&lt;='Gastos com Pessoal'!$F$7:$F$506)*OFFSET('Encargos e Benefícios'!$D$5,1,MATCH($B51,'Encargos e Benefícios'!$E$5:$AB$5,0),500,1)),0)+_xlfn.IFNA(SUM((BD$3&gt;='Gastos com Pessoal'!$E$513:$E$522)*(BD$3&lt;='Gastos com Pessoal'!$F$513:$F$522)*OFFSET('Encargos e Benefícios'!$D$511,1,MATCH($B51,'Encargos e Benefícios'!$E$511:$AB$511,0),10,1)),0)+_xlfn.IFNA(SUM((BD$3&gt;='Gastos com Pessoal'!$E$7:$E$506)*(BD$3&lt;='Gastos com Pessoal'!$F$7:$F$506)*(IF('Gastos com Pessoal'!$G$7:$G$506&lt;=BD$3,1,0))*OFFSET('Gastos com Pessoal'!$H$6,1,MATCH(1&amp;$B51,'Gastos com Pessoal'!$I$532:$AJ$532&amp;'Gastos com Pessoal'!$I$6:$AJ$6,0),500,1)),0)+_xlfn.IFNA(SUM((BD$3&gt;='Gastos com Pessoal'!$E$7:$E$506)*(BD$3&lt;='Gastos com Pessoal'!$F$7:$F$506)*(IF('Gastos com Pessoal'!$M$7:$M$506&lt;=BD$3,1,0))*OFFSET('Gastos com Pessoal'!$H$6,1,MATCH(2&amp;$B51,'Gastos com Pessoal'!$I$532:$AJ$532&amp;'Gastos com Pessoal'!$I$6:$AJ$6,0),500,1)),0)+_xlfn.IFNA(SUM((BD$3&gt;='Gastos com Pessoal'!$E$7:$E$506)*(BD$3&lt;='Gastos com Pessoal'!$F$7:$F$506)*(IF('Gastos com Pessoal'!$S$7:$S$506&lt;=BD$3,1,0))*OFFSET('Gastos com Pessoal'!$H$6,1,MATCH(3&amp;$B51,'Gastos com Pessoal'!$I$532:$AJ$532&amp;'Gastos com Pessoal'!$I$6:$AJ$6,0),500,1)),0)+_xlfn.IFNA(SUM((BD$3&gt;='Gastos com Pessoal'!$E$7:$E$506)*(BD$3&lt;='Gastos com Pessoal'!$F$7:$F$506)*(IF('Gastos com Pessoal'!$Y$7:$Y$506&lt;=BD$3,1,0))*OFFSET('Gastos com Pessoal'!$H$6,1,MATCH(4&amp;$B51,'Gastos com Pessoal'!$I$532:$AJ$532&amp;'Gastos com Pessoal'!$I$6:$AJ$6,0),500,1)),0)+_xlfn.IFNA(SUM((BD$3&gt;='Gastos com Pessoal'!$E$7:$E$506)*(BD$3&lt;='Gastos com Pessoal'!$F$7:$F$506)*(IF('Gastos com Pessoal'!$AE$7:$AE$506&lt;=BD$3,1,0))*OFFSET('Gastos com Pessoal'!$H$6,1,MATCH(5&amp;$B51,'Gastos com Pessoal'!$I$532:$AJ$532&amp;'Gastos com Pessoal'!$I$6:$AJ$6,0),500,1)),0)+_xlfn.IFNA(SUM((BD$3&gt;='Gastos com Pessoal'!$E$513:$E$522)*(BD$3&lt;='Gastos com Pessoal'!$F$513:$F$522)*(IF('Gastos com Pessoal'!$G$513:$G$522&lt;=BD$3,1,0))*OFFSET('Gastos com Pessoal'!$H$512,1,MATCH(1&amp;$B51,'Gastos com Pessoal'!$I$532:$AJ$532&amp;'Gastos com Pessoal'!$I$512:$AJ$512,0),10,1)),0)+_xlfn.IFNA(SUM((BD$3&gt;='Gastos com Pessoal'!$E$513:$E$522)*(BD$3&lt;='Gastos com Pessoal'!$F$513:$F$522)*(IF('Gastos com Pessoal'!$M$513:$M$522&lt;=BD$3,1,0))*OFFSET('Gastos com Pessoal'!$H$512,1,MATCH(2&amp;$B51,'Gastos com Pessoal'!$I$532:$AJ$532&amp;'Gastos com Pessoal'!$I$512:$AJ$512,0),10,1)),0)+_xlfn.IFNA(SUM((BD$3&gt;='Gastos com Pessoal'!$E$513:$E$522)*(BD$3&lt;='Gastos com Pessoal'!$F$513:$F$522)*(IF('Gastos com Pessoal'!$S$513:$S$522&lt;=BD$3,1,0))*OFFSET('Gastos com Pessoal'!$H$512,1,MATCH(3&amp;$B51,'Gastos com Pessoal'!$I$532:$AJ$532&amp;'Gastos com Pessoal'!$I$512:$AJ$512,0),10,1)),0)+_xlfn.IFNA(SUM((BD$3&gt;='Gastos com Pessoal'!$E$513:$E$522)*(BD$3&lt;='Gastos com Pessoal'!$F$513:$F$522)*(IF('Gastos com Pessoal'!$Y$513:$Y$522&lt;=BD$3,1,0))*OFFSET('Gastos com Pessoal'!$H$512,1,MATCH(4&amp;$B51,'Gastos com Pessoal'!$I$532:$AJ$532&amp;'Gastos com Pessoal'!$I$512:$AJ$512,0),10,1)),0)+_xlfn.IFNA(SUM((BD$3&gt;='Gastos com Pessoal'!$E$513:$E$522)*(BD$3&lt;='Gastos com Pessoal'!$F$513:$F$522)*(IF('Gastos com Pessoal'!$AE$513:$AE$522&lt;=BD$3,1,0))*OFFSET('Gastos com Pessoal'!$H$512,1,MATCH(5&amp;$B51,'Gastos com Pessoal'!$I$532:$AJ$532&amp;'Gastos com Pessoal'!$I$512:$AJ$512,0),10,1)),0)</f>
        <v>0</v>
      </c>
      <c r="BE51" s="188">
        <f t="array" aca="1" ref="BE51" ca="1">_xlfn.IFNA(SUM((BE$3&gt;='Gastos com Pessoal'!$E$7:$E$506)*(BE$3&lt;='Gastos com Pessoal'!$F$7:$F$506)*OFFSET('Encargos e Benefícios'!$D$5,1,MATCH($B51,'Encargos e Benefícios'!$E$5:$AB$5,0),500,1)),0)+_xlfn.IFNA(SUM((BE$3&gt;='Gastos com Pessoal'!$E$513:$E$522)*(BE$3&lt;='Gastos com Pessoal'!$F$513:$F$522)*OFFSET('Encargos e Benefícios'!$D$511,1,MATCH($B51,'Encargos e Benefícios'!$E$511:$AB$511,0),10,1)),0)+_xlfn.IFNA(SUM((BE$3&gt;='Gastos com Pessoal'!$E$7:$E$506)*(BE$3&lt;='Gastos com Pessoal'!$F$7:$F$506)*(IF('Gastos com Pessoal'!$G$7:$G$506&lt;=BE$3,1,0))*OFFSET('Gastos com Pessoal'!$H$6,1,MATCH(1&amp;$B51,'Gastos com Pessoal'!$I$532:$AJ$532&amp;'Gastos com Pessoal'!$I$6:$AJ$6,0),500,1)),0)+_xlfn.IFNA(SUM((BE$3&gt;='Gastos com Pessoal'!$E$7:$E$506)*(BE$3&lt;='Gastos com Pessoal'!$F$7:$F$506)*(IF('Gastos com Pessoal'!$M$7:$M$506&lt;=BE$3,1,0))*OFFSET('Gastos com Pessoal'!$H$6,1,MATCH(2&amp;$B51,'Gastos com Pessoal'!$I$532:$AJ$532&amp;'Gastos com Pessoal'!$I$6:$AJ$6,0),500,1)),0)+_xlfn.IFNA(SUM((BE$3&gt;='Gastos com Pessoal'!$E$7:$E$506)*(BE$3&lt;='Gastos com Pessoal'!$F$7:$F$506)*(IF('Gastos com Pessoal'!$S$7:$S$506&lt;=BE$3,1,0))*OFFSET('Gastos com Pessoal'!$H$6,1,MATCH(3&amp;$B51,'Gastos com Pessoal'!$I$532:$AJ$532&amp;'Gastos com Pessoal'!$I$6:$AJ$6,0),500,1)),0)+_xlfn.IFNA(SUM((BE$3&gt;='Gastos com Pessoal'!$E$7:$E$506)*(BE$3&lt;='Gastos com Pessoal'!$F$7:$F$506)*(IF('Gastos com Pessoal'!$Y$7:$Y$506&lt;=BE$3,1,0))*OFFSET('Gastos com Pessoal'!$H$6,1,MATCH(4&amp;$B51,'Gastos com Pessoal'!$I$532:$AJ$532&amp;'Gastos com Pessoal'!$I$6:$AJ$6,0),500,1)),0)+_xlfn.IFNA(SUM((BE$3&gt;='Gastos com Pessoal'!$E$7:$E$506)*(BE$3&lt;='Gastos com Pessoal'!$F$7:$F$506)*(IF('Gastos com Pessoal'!$AE$7:$AE$506&lt;=BE$3,1,0))*OFFSET('Gastos com Pessoal'!$H$6,1,MATCH(5&amp;$B51,'Gastos com Pessoal'!$I$532:$AJ$532&amp;'Gastos com Pessoal'!$I$6:$AJ$6,0),500,1)),0)+_xlfn.IFNA(SUM((BE$3&gt;='Gastos com Pessoal'!$E$513:$E$522)*(BE$3&lt;='Gastos com Pessoal'!$F$513:$F$522)*(IF('Gastos com Pessoal'!$G$513:$G$522&lt;=BE$3,1,0))*OFFSET('Gastos com Pessoal'!$H$512,1,MATCH(1&amp;$B51,'Gastos com Pessoal'!$I$532:$AJ$532&amp;'Gastos com Pessoal'!$I$512:$AJ$512,0),10,1)),0)+_xlfn.IFNA(SUM((BE$3&gt;='Gastos com Pessoal'!$E$513:$E$522)*(BE$3&lt;='Gastos com Pessoal'!$F$513:$F$522)*(IF('Gastos com Pessoal'!$M$513:$M$522&lt;=BE$3,1,0))*OFFSET('Gastos com Pessoal'!$H$512,1,MATCH(2&amp;$B51,'Gastos com Pessoal'!$I$532:$AJ$532&amp;'Gastos com Pessoal'!$I$512:$AJ$512,0),10,1)),0)+_xlfn.IFNA(SUM((BE$3&gt;='Gastos com Pessoal'!$E$513:$E$522)*(BE$3&lt;='Gastos com Pessoal'!$F$513:$F$522)*(IF('Gastos com Pessoal'!$S$513:$S$522&lt;=BE$3,1,0))*OFFSET('Gastos com Pessoal'!$H$512,1,MATCH(3&amp;$B51,'Gastos com Pessoal'!$I$532:$AJ$532&amp;'Gastos com Pessoal'!$I$512:$AJ$512,0),10,1)),0)+_xlfn.IFNA(SUM((BE$3&gt;='Gastos com Pessoal'!$E$513:$E$522)*(BE$3&lt;='Gastos com Pessoal'!$F$513:$F$522)*(IF('Gastos com Pessoal'!$Y$513:$Y$522&lt;=BE$3,1,0))*OFFSET('Gastos com Pessoal'!$H$512,1,MATCH(4&amp;$B51,'Gastos com Pessoal'!$I$532:$AJ$532&amp;'Gastos com Pessoal'!$I$512:$AJ$512,0),10,1)),0)+_xlfn.IFNA(SUM((BE$3&gt;='Gastos com Pessoal'!$E$513:$E$522)*(BE$3&lt;='Gastos com Pessoal'!$F$513:$F$522)*(IF('Gastos com Pessoal'!$AE$513:$AE$522&lt;=BE$3,1,0))*OFFSET('Gastos com Pessoal'!$H$512,1,MATCH(5&amp;$B51,'Gastos com Pessoal'!$I$532:$AJ$532&amp;'Gastos com Pessoal'!$I$512:$AJ$512,0),10,1)),0)</f>
        <v>0</v>
      </c>
      <c r="BF51" s="188">
        <f t="array" aca="1" ref="BF51" ca="1">_xlfn.IFNA(SUM((BF$3&gt;='Gastos com Pessoal'!$E$7:$E$506)*(BF$3&lt;='Gastos com Pessoal'!$F$7:$F$506)*OFFSET('Encargos e Benefícios'!$D$5,1,MATCH($B51,'Encargos e Benefícios'!$E$5:$AB$5,0),500,1)),0)+_xlfn.IFNA(SUM((BF$3&gt;='Gastos com Pessoal'!$E$513:$E$522)*(BF$3&lt;='Gastos com Pessoal'!$F$513:$F$522)*OFFSET('Encargos e Benefícios'!$D$511,1,MATCH($B51,'Encargos e Benefícios'!$E$511:$AB$511,0),10,1)),0)+_xlfn.IFNA(SUM((BF$3&gt;='Gastos com Pessoal'!$E$7:$E$506)*(BF$3&lt;='Gastos com Pessoal'!$F$7:$F$506)*(IF('Gastos com Pessoal'!$G$7:$G$506&lt;=BF$3,1,0))*OFFSET('Gastos com Pessoal'!$H$6,1,MATCH(1&amp;$B51,'Gastos com Pessoal'!$I$532:$AJ$532&amp;'Gastos com Pessoal'!$I$6:$AJ$6,0),500,1)),0)+_xlfn.IFNA(SUM((BF$3&gt;='Gastos com Pessoal'!$E$7:$E$506)*(BF$3&lt;='Gastos com Pessoal'!$F$7:$F$506)*(IF('Gastos com Pessoal'!$M$7:$M$506&lt;=BF$3,1,0))*OFFSET('Gastos com Pessoal'!$H$6,1,MATCH(2&amp;$B51,'Gastos com Pessoal'!$I$532:$AJ$532&amp;'Gastos com Pessoal'!$I$6:$AJ$6,0),500,1)),0)+_xlfn.IFNA(SUM((BF$3&gt;='Gastos com Pessoal'!$E$7:$E$506)*(BF$3&lt;='Gastos com Pessoal'!$F$7:$F$506)*(IF('Gastos com Pessoal'!$S$7:$S$506&lt;=BF$3,1,0))*OFFSET('Gastos com Pessoal'!$H$6,1,MATCH(3&amp;$B51,'Gastos com Pessoal'!$I$532:$AJ$532&amp;'Gastos com Pessoal'!$I$6:$AJ$6,0),500,1)),0)+_xlfn.IFNA(SUM((BF$3&gt;='Gastos com Pessoal'!$E$7:$E$506)*(BF$3&lt;='Gastos com Pessoal'!$F$7:$F$506)*(IF('Gastos com Pessoal'!$Y$7:$Y$506&lt;=BF$3,1,0))*OFFSET('Gastos com Pessoal'!$H$6,1,MATCH(4&amp;$B51,'Gastos com Pessoal'!$I$532:$AJ$532&amp;'Gastos com Pessoal'!$I$6:$AJ$6,0),500,1)),0)+_xlfn.IFNA(SUM((BF$3&gt;='Gastos com Pessoal'!$E$7:$E$506)*(BF$3&lt;='Gastos com Pessoal'!$F$7:$F$506)*(IF('Gastos com Pessoal'!$AE$7:$AE$506&lt;=BF$3,1,0))*OFFSET('Gastos com Pessoal'!$H$6,1,MATCH(5&amp;$B51,'Gastos com Pessoal'!$I$532:$AJ$532&amp;'Gastos com Pessoal'!$I$6:$AJ$6,0),500,1)),0)+_xlfn.IFNA(SUM((BF$3&gt;='Gastos com Pessoal'!$E$513:$E$522)*(BF$3&lt;='Gastos com Pessoal'!$F$513:$F$522)*(IF('Gastos com Pessoal'!$G$513:$G$522&lt;=BF$3,1,0))*OFFSET('Gastos com Pessoal'!$H$512,1,MATCH(1&amp;$B51,'Gastos com Pessoal'!$I$532:$AJ$532&amp;'Gastos com Pessoal'!$I$512:$AJ$512,0),10,1)),0)+_xlfn.IFNA(SUM((BF$3&gt;='Gastos com Pessoal'!$E$513:$E$522)*(BF$3&lt;='Gastos com Pessoal'!$F$513:$F$522)*(IF('Gastos com Pessoal'!$M$513:$M$522&lt;=BF$3,1,0))*OFFSET('Gastos com Pessoal'!$H$512,1,MATCH(2&amp;$B51,'Gastos com Pessoal'!$I$532:$AJ$532&amp;'Gastos com Pessoal'!$I$512:$AJ$512,0),10,1)),0)+_xlfn.IFNA(SUM((BF$3&gt;='Gastos com Pessoal'!$E$513:$E$522)*(BF$3&lt;='Gastos com Pessoal'!$F$513:$F$522)*(IF('Gastos com Pessoal'!$S$513:$S$522&lt;=BF$3,1,0))*OFFSET('Gastos com Pessoal'!$H$512,1,MATCH(3&amp;$B51,'Gastos com Pessoal'!$I$532:$AJ$532&amp;'Gastos com Pessoal'!$I$512:$AJ$512,0),10,1)),0)+_xlfn.IFNA(SUM((BF$3&gt;='Gastos com Pessoal'!$E$513:$E$522)*(BF$3&lt;='Gastos com Pessoal'!$F$513:$F$522)*(IF('Gastos com Pessoal'!$Y$513:$Y$522&lt;=BF$3,1,0))*OFFSET('Gastos com Pessoal'!$H$512,1,MATCH(4&amp;$B51,'Gastos com Pessoal'!$I$532:$AJ$532&amp;'Gastos com Pessoal'!$I$512:$AJ$512,0),10,1)),0)+_xlfn.IFNA(SUM((BF$3&gt;='Gastos com Pessoal'!$E$513:$E$522)*(BF$3&lt;='Gastos com Pessoal'!$F$513:$F$522)*(IF('Gastos com Pessoal'!$AE$513:$AE$522&lt;=BF$3,1,0))*OFFSET('Gastos com Pessoal'!$H$512,1,MATCH(5&amp;$B51,'Gastos com Pessoal'!$I$532:$AJ$532&amp;'Gastos com Pessoal'!$I$512:$AJ$512,0),10,1)),0)</f>
        <v>0</v>
      </c>
      <c r="BG51" s="188">
        <f t="array" aca="1" ref="BG51" ca="1">_xlfn.IFNA(SUM((BG$3&gt;='Gastos com Pessoal'!$E$7:$E$506)*(BG$3&lt;='Gastos com Pessoal'!$F$7:$F$506)*OFFSET('Encargos e Benefícios'!$D$5,1,MATCH($B51,'Encargos e Benefícios'!$E$5:$AB$5,0),500,1)),0)+_xlfn.IFNA(SUM((BG$3&gt;='Gastos com Pessoal'!$E$513:$E$522)*(BG$3&lt;='Gastos com Pessoal'!$F$513:$F$522)*OFFSET('Encargos e Benefícios'!$D$511,1,MATCH($B51,'Encargos e Benefícios'!$E$511:$AB$511,0),10,1)),0)+_xlfn.IFNA(SUM((BG$3&gt;='Gastos com Pessoal'!$E$7:$E$506)*(BG$3&lt;='Gastos com Pessoal'!$F$7:$F$506)*(IF('Gastos com Pessoal'!$G$7:$G$506&lt;=BG$3,1,0))*OFFSET('Gastos com Pessoal'!$H$6,1,MATCH(1&amp;$B51,'Gastos com Pessoal'!$I$532:$AJ$532&amp;'Gastos com Pessoal'!$I$6:$AJ$6,0),500,1)),0)+_xlfn.IFNA(SUM((BG$3&gt;='Gastos com Pessoal'!$E$7:$E$506)*(BG$3&lt;='Gastos com Pessoal'!$F$7:$F$506)*(IF('Gastos com Pessoal'!$M$7:$M$506&lt;=BG$3,1,0))*OFFSET('Gastos com Pessoal'!$H$6,1,MATCH(2&amp;$B51,'Gastos com Pessoal'!$I$532:$AJ$532&amp;'Gastos com Pessoal'!$I$6:$AJ$6,0),500,1)),0)+_xlfn.IFNA(SUM((BG$3&gt;='Gastos com Pessoal'!$E$7:$E$506)*(BG$3&lt;='Gastos com Pessoal'!$F$7:$F$506)*(IF('Gastos com Pessoal'!$S$7:$S$506&lt;=BG$3,1,0))*OFFSET('Gastos com Pessoal'!$H$6,1,MATCH(3&amp;$B51,'Gastos com Pessoal'!$I$532:$AJ$532&amp;'Gastos com Pessoal'!$I$6:$AJ$6,0),500,1)),0)+_xlfn.IFNA(SUM((BG$3&gt;='Gastos com Pessoal'!$E$7:$E$506)*(BG$3&lt;='Gastos com Pessoal'!$F$7:$F$506)*(IF('Gastos com Pessoal'!$Y$7:$Y$506&lt;=BG$3,1,0))*OFFSET('Gastos com Pessoal'!$H$6,1,MATCH(4&amp;$B51,'Gastos com Pessoal'!$I$532:$AJ$532&amp;'Gastos com Pessoal'!$I$6:$AJ$6,0),500,1)),0)+_xlfn.IFNA(SUM((BG$3&gt;='Gastos com Pessoal'!$E$7:$E$506)*(BG$3&lt;='Gastos com Pessoal'!$F$7:$F$506)*(IF('Gastos com Pessoal'!$AE$7:$AE$506&lt;=BG$3,1,0))*OFFSET('Gastos com Pessoal'!$H$6,1,MATCH(5&amp;$B51,'Gastos com Pessoal'!$I$532:$AJ$532&amp;'Gastos com Pessoal'!$I$6:$AJ$6,0),500,1)),0)+_xlfn.IFNA(SUM((BG$3&gt;='Gastos com Pessoal'!$E$513:$E$522)*(BG$3&lt;='Gastos com Pessoal'!$F$513:$F$522)*(IF('Gastos com Pessoal'!$G$513:$G$522&lt;=BG$3,1,0))*OFFSET('Gastos com Pessoal'!$H$512,1,MATCH(1&amp;$B51,'Gastos com Pessoal'!$I$532:$AJ$532&amp;'Gastos com Pessoal'!$I$512:$AJ$512,0),10,1)),0)+_xlfn.IFNA(SUM((BG$3&gt;='Gastos com Pessoal'!$E$513:$E$522)*(BG$3&lt;='Gastos com Pessoal'!$F$513:$F$522)*(IF('Gastos com Pessoal'!$M$513:$M$522&lt;=BG$3,1,0))*OFFSET('Gastos com Pessoal'!$H$512,1,MATCH(2&amp;$B51,'Gastos com Pessoal'!$I$532:$AJ$532&amp;'Gastos com Pessoal'!$I$512:$AJ$512,0),10,1)),0)+_xlfn.IFNA(SUM((BG$3&gt;='Gastos com Pessoal'!$E$513:$E$522)*(BG$3&lt;='Gastos com Pessoal'!$F$513:$F$522)*(IF('Gastos com Pessoal'!$S$513:$S$522&lt;=BG$3,1,0))*OFFSET('Gastos com Pessoal'!$H$512,1,MATCH(3&amp;$B51,'Gastos com Pessoal'!$I$532:$AJ$532&amp;'Gastos com Pessoal'!$I$512:$AJ$512,0),10,1)),0)+_xlfn.IFNA(SUM((BG$3&gt;='Gastos com Pessoal'!$E$513:$E$522)*(BG$3&lt;='Gastos com Pessoal'!$F$513:$F$522)*(IF('Gastos com Pessoal'!$Y$513:$Y$522&lt;=BG$3,1,0))*OFFSET('Gastos com Pessoal'!$H$512,1,MATCH(4&amp;$B51,'Gastos com Pessoal'!$I$532:$AJ$532&amp;'Gastos com Pessoal'!$I$512:$AJ$512,0),10,1)),0)+_xlfn.IFNA(SUM((BG$3&gt;='Gastos com Pessoal'!$E$513:$E$522)*(BG$3&lt;='Gastos com Pessoal'!$F$513:$F$522)*(IF('Gastos com Pessoal'!$AE$513:$AE$522&lt;=BG$3,1,0))*OFFSET('Gastos com Pessoal'!$H$512,1,MATCH(5&amp;$B51,'Gastos com Pessoal'!$I$532:$AJ$532&amp;'Gastos com Pessoal'!$I$512:$AJ$512,0),10,1)),0)</f>
        <v>0</v>
      </c>
      <c r="BH51" s="188">
        <f t="array" aca="1" ref="BH51" ca="1">_xlfn.IFNA(SUM((BH$3&gt;='Gastos com Pessoal'!$E$7:$E$506)*(BH$3&lt;='Gastos com Pessoal'!$F$7:$F$506)*OFFSET('Encargos e Benefícios'!$D$5,1,MATCH($B51,'Encargos e Benefícios'!$E$5:$AB$5,0),500,1)),0)+_xlfn.IFNA(SUM((BH$3&gt;='Gastos com Pessoal'!$E$513:$E$522)*(BH$3&lt;='Gastos com Pessoal'!$F$513:$F$522)*OFFSET('Encargos e Benefícios'!$D$511,1,MATCH($B51,'Encargos e Benefícios'!$E$511:$AB$511,0),10,1)),0)+_xlfn.IFNA(SUM((BH$3&gt;='Gastos com Pessoal'!$E$7:$E$506)*(BH$3&lt;='Gastos com Pessoal'!$F$7:$F$506)*(IF('Gastos com Pessoal'!$G$7:$G$506&lt;=BH$3,1,0))*OFFSET('Gastos com Pessoal'!$H$6,1,MATCH(1&amp;$B51,'Gastos com Pessoal'!$I$532:$AJ$532&amp;'Gastos com Pessoal'!$I$6:$AJ$6,0),500,1)),0)+_xlfn.IFNA(SUM((BH$3&gt;='Gastos com Pessoal'!$E$7:$E$506)*(BH$3&lt;='Gastos com Pessoal'!$F$7:$F$506)*(IF('Gastos com Pessoal'!$M$7:$M$506&lt;=BH$3,1,0))*OFFSET('Gastos com Pessoal'!$H$6,1,MATCH(2&amp;$B51,'Gastos com Pessoal'!$I$532:$AJ$532&amp;'Gastos com Pessoal'!$I$6:$AJ$6,0),500,1)),0)+_xlfn.IFNA(SUM((BH$3&gt;='Gastos com Pessoal'!$E$7:$E$506)*(BH$3&lt;='Gastos com Pessoal'!$F$7:$F$506)*(IF('Gastos com Pessoal'!$S$7:$S$506&lt;=BH$3,1,0))*OFFSET('Gastos com Pessoal'!$H$6,1,MATCH(3&amp;$B51,'Gastos com Pessoal'!$I$532:$AJ$532&amp;'Gastos com Pessoal'!$I$6:$AJ$6,0),500,1)),0)+_xlfn.IFNA(SUM((BH$3&gt;='Gastos com Pessoal'!$E$7:$E$506)*(BH$3&lt;='Gastos com Pessoal'!$F$7:$F$506)*(IF('Gastos com Pessoal'!$Y$7:$Y$506&lt;=BH$3,1,0))*OFFSET('Gastos com Pessoal'!$H$6,1,MATCH(4&amp;$B51,'Gastos com Pessoal'!$I$532:$AJ$532&amp;'Gastos com Pessoal'!$I$6:$AJ$6,0),500,1)),0)+_xlfn.IFNA(SUM((BH$3&gt;='Gastos com Pessoal'!$E$7:$E$506)*(BH$3&lt;='Gastos com Pessoal'!$F$7:$F$506)*(IF('Gastos com Pessoal'!$AE$7:$AE$506&lt;=BH$3,1,0))*OFFSET('Gastos com Pessoal'!$H$6,1,MATCH(5&amp;$B51,'Gastos com Pessoal'!$I$532:$AJ$532&amp;'Gastos com Pessoal'!$I$6:$AJ$6,0),500,1)),0)+_xlfn.IFNA(SUM((BH$3&gt;='Gastos com Pessoal'!$E$513:$E$522)*(BH$3&lt;='Gastos com Pessoal'!$F$513:$F$522)*(IF('Gastos com Pessoal'!$G$513:$G$522&lt;=BH$3,1,0))*OFFSET('Gastos com Pessoal'!$H$512,1,MATCH(1&amp;$B51,'Gastos com Pessoal'!$I$532:$AJ$532&amp;'Gastos com Pessoal'!$I$512:$AJ$512,0),10,1)),0)+_xlfn.IFNA(SUM((BH$3&gt;='Gastos com Pessoal'!$E$513:$E$522)*(BH$3&lt;='Gastos com Pessoal'!$F$513:$F$522)*(IF('Gastos com Pessoal'!$M$513:$M$522&lt;=BH$3,1,0))*OFFSET('Gastos com Pessoal'!$H$512,1,MATCH(2&amp;$B51,'Gastos com Pessoal'!$I$532:$AJ$532&amp;'Gastos com Pessoal'!$I$512:$AJ$512,0),10,1)),0)+_xlfn.IFNA(SUM((BH$3&gt;='Gastos com Pessoal'!$E$513:$E$522)*(BH$3&lt;='Gastos com Pessoal'!$F$513:$F$522)*(IF('Gastos com Pessoal'!$S$513:$S$522&lt;=BH$3,1,0))*OFFSET('Gastos com Pessoal'!$H$512,1,MATCH(3&amp;$B51,'Gastos com Pessoal'!$I$532:$AJ$532&amp;'Gastos com Pessoal'!$I$512:$AJ$512,0),10,1)),0)+_xlfn.IFNA(SUM((BH$3&gt;='Gastos com Pessoal'!$E$513:$E$522)*(BH$3&lt;='Gastos com Pessoal'!$F$513:$F$522)*(IF('Gastos com Pessoal'!$Y$513:$Y$522&lt;=BH$3,1,0))*OFFSET('Gastos com Pessoal'!$H$512,1,MATCH(4&amp;$B51,'Gastos com Pessoal'!$I$532:$AJ$532&amp;'Gastos com Pessoal'!$I$512:$AJ$512,0),10,1)),0)+_xlfn.IFNA(SUM((BH$3&gt;='Gastos com Pessoal'!$E$513:$E$522)*(BH$3&lt;='Gastos com Pessoal'!$F$513:$F$522)*(IF('Gastos com Pessoal'!$AE$513:$AE$522&lt;=BH$3,1,0))*OFFSET('Gastos com Pessoal'!$H$512,1,MATCH(5&amp;$B51,'Gastos com Pessoal'!$I$532:$AJ$532&amp;'Gastos com Pessoal'!$I$512:$AJ$512,0),10,1)),0)</f>
        <v>0</v>
      </c>
      <c r="BI51" s="188">
        <f t="array" aca="1" ref="BI51" ca="1">_xlfn.IFNA(SUM((BI$3&gt;='Gastos com Pessoal'!$E$7:$E$506)*(BI$3&lt;='Gastos com Pessoal'!$F$7:$F$506)*OFFSET('Encargos e Benefícios'!$D$5,1,MATCH($B51,'Encargos e Benefícios'!$E$5:$AB$5,0),500,1)),0)+_xlfn.IFNA(SUM((BI$3&gt;='Gastos com Pessoal'!$E$513:$E$522)*(BI$3&lt;='Gastos com Pessoal'!$F$513:$F$522)*OFFSET('Encargos e Benefícios'!$D$511,1,MATCH($B51,'Encargos e Benefícios'!$E$511:$AB$511,0),10,1)),0)+_xlfn.IFNA(SUM((BI$3&gt;='Gastos com Pessoal'!$E$7:$E$506)*(BI$3&lt;='Gastos com Pessoal'!$F$7:$F$506)*(IF('Gastos com Pessoal'!$G$7:$G$506&lt;=BI$3,1,0))*OFFSET('Gastos com Pessoal'!$H$6,1,MATCH(1&amp;$B51,'Gastos com Pessoal'!$I$532:$AJ$532&amp;'Gastos com Pessoal'!$I$6:$AJ$6,0),500,1)),0)+_xlfn.IFNA(SUM((BI$3&gt;='Gastos com Pessoal'!$E$7:$E$506)*(BI$3&lt;='Gastos com Pessoal'!$F$7:$F$506)*(IF('Gastos com Pessoal'!$M$7:$M$506&lt;=BI$3,1,0))*OFFSET('Gastos com Pessoal'!$H$6,1,MATCH(2&amp;$B51,'Gastos com Pessoal'!$I$532:$AJ$532&amp;'Gastos com Pessoal'!$I$6:$AJ$6,0),500,1)),0)+_xlfn.IFNA(SUM((BI$3&gt;='Gastos com Pessoal'!$E$7:$E$506)*(BI$3&lt;='Gastos com Pessoal'!$F$7:$F$506)*(IF('Gastos com Pessoal'!$S$7:$S$506&lt;=BI$3,1,0))*OFFSET('Gastos com Pessoal'!$H$6,1,MATCH(3&amp;$B51,'Gastos com Pessoal'!$I$532:$AJ$532&amp;'Gastos com Pessoal'!$I$6:$AJ$6,0),500,1)),0)+_xlfn.IFNA(SUM((BI$3&gt;='Gastos com Pessoal'!$E$7:$E$506)*(BI$3&lt;='Gastos com Pessoal'!$F$7:$F$506)*(IF('Gastos com Pessoal'!$Y$7:$Y$506&lt;=BI$3,1,0))*OFFSET('Gastos com Pessoal'!$H$6,1,MATCH(4&amp;$B51,'Gastos com Pessoal'!$I$532:$AJ$532&amp;'Gastos com Pessoal'!$I$6:$AJ$6,0),500,1)),0)+_xlfn.IFNA(SUM((BI$3&gt;='Gastos com Pessoal'!$E$7:$E$506)*(BI$3&lt;='Gastos com Pessoal'!$F$7:$F$506)*(IF('Gastos com Pessoal'!$AE$7:$AE$506&lt;=BI$3,1,0))*OFFSET('Gastos com Pessoal'!$H$6,1,MATCH(5&amp;$B51,'Gastos com Pessoal'!$I$532:$AJ$532&amp;'Gastos com Pessoal'!$I$6:$AJ$6,0),500,1)),0)+_xlfn.IFNA(SUM((BI$3&gt;='Gastos com Pessoal'!$E$513:$E$522)*(BI$3&lt;='Gastos com Pessoal'!$F$513:$F$522)*(IF('Gastos com Pessoal'!$G$513:$G$522&lt;=BI$3,1,0))*OFFSET('Gastos com Pessoal'!$H$512,1,MATCH(1&amp;$B51,'Gastos com Pessoal'!$I$532:$AJ$532&amp;'Gastos com Pessoal'!$I$512:$AJ$512,0),10,1)),0)+_xlfn.IFNA(SUM((BI$3&gt;='Gastos com Pessoal'!$E$513:$E$522)*(BI$3&lt;='Gastos com Pessoal'!$F$513:$F$522)*(IF('Gastos com Pessoal'!$M$513:$M$522&lt;=BI$3,1,0))*OFFSET('Gastos com Pessoal'!$H$512,1,MATCH(2&amp;$B51,'Gastos com Pessoal'!$I$532:$AJ$532&amp;'Gastos com Pessoal'!$I$512:$AJ$512,0),10,1)),0)+_xlfn.IFNA(SUM((BI$3&gt;='Gastos com Pessoal'!$E$513:$E$522)*(BI$3&lt;='Gastos com Pessoal'!$F$513:$F$522)*(IF('Gastos com Pessoal'!$S$513:$S$522&lt;=BI$3,1,0))*OFFSET('Gastos com Pessoal'!$H$512,1,MATCH(3&amp;$B51,'Gastos com Pessoal'!$I$532:$AJ$532&amp;'Gastos com Pessoal'!$I$512:$AJ$512,0),10,1)),0)+_xlfn.IFNA(SUM((BI$3&gt;='Gastos com Pessoal'!$E$513:$E$522)*(BI$3&lt;='Gastos com Pessoal'!$F$513:$F$522)*(IF('Gastos com Pessoal'!$Y$513:$Y$522&lt;=BI$3,1,0))*OFFSET('Gastos com Pessoal'!$H$512,1,MATCH(4&amp;$B51,'Gastos com Pessoal'!$I$532:$AJ$532&amp;'Gastos com Pessoal'!$I$512:$AJ$512,0),10,1)),0)+_xlfn.IFNA(SUM((BI$3&gt;='Gastos com Pessoal'!$E$513:$E$522)*(BI$3&lt;='Gastos com Pessoal'!$F$513:$F$522)*(IF('Gastos com Pessoal'!$AE$513:$AE$522&lt;=BI$3,1,0))*OFFSET('Gastos com Pessoal'!$H$512,1,MATCH(5&amp;$B51,'Gastos com Pessoal'!$I$532:$AJ$532&amp;'Gastos com Pessoal'!$I$512:$AJ$512,0),10,1)),0)</f>
        <v>0</v>
      </c>
      <c r="BJ51" s="188">
        <f t="array" aca="1" ref="BJ51" ca="1">_xlfn.IFNA(SUM((BJ$3&gt;='Gastos com Pessoal'!$E$7:$E$506)*(BJ$3&lt;='Gastos com Pessoal'!$F$7:$F$506)*OFFSET('Encargos e Benefícios'!$D$5,1,MATCH($B51,'Encargos e Benefícios'!$E$5:$AB$5,0),500,1)),0)+_xlfn.IFNA(SUM((BJ$3&gt;='Gastos com Pessoal'!$E$513:$E$522)*(BJ$3&lt;='Gastos com Pessoal'!$F$513:$F$522)*OFFSET('Encargos e Benefícios'!$D$511,1,MATCH($B51,'Encargos e Benefícios'!$E$511:$AB$511,0),10,1)),0)+_xlfn.IFNA(SUM((BJ$3&gt;='Gastos com Pessoal'!$E$7:$E$506)*(BJ$3&lt;='Gastos com Pessoal'!$F$7:$F$506)*(IF('Gastos com Pessoal'!$G$7:$G$506&lt;=BJ$3,1,0))*OFFSET('Gastos com Pessoal'!$H$6,1,MATCH(1&amp;$B51,'Gastos com Pessoal'!$I$532:$AJ$532&amp;'Gastos com Pessoal'!$I$6:$AJ$6,0),500,1)),0)+_xlfn.IFNA(SUM((BJ$3&gt;='Gastos com Pessoal'!$E$7:$E$506)*(BJ$3&lt;='Gastos com Pessoal'!$F$7:$F$506)*(IF('Gastos com Pessoal'!$M$7:$M$506&lt;=BJ$3,1,0))*OFFSET('Gastos com Pessoal'!$H$6,1,MATCH(2&amp;$B51,'Gastos com Pessoal'!$I$532:$AJ$532&amp;'Gastos com Pessoal'!$I$6:$AJ$6,0),500,1)),0)+_xlfn.IFNA(SUM((BJ$3&gt;='Gastos com Pessoal'!$E$7:$E$506)*(BJ$3&lt;='Gastos com Pessoal'!$F$7:$F$506)*(IF('Gastos com Pessoal'!$S$7:$S$506&lt;=BJ$3,1,0))*OFFSET('Gastos com Pessoal'!$H$6,1,MATCH(3&amp;$B51,'Gastos com Pessoal'!$I$532:$AJ$532&amp;'Gastos com Pessoal'!$I$6:$AJ$6,0),500,1)),0)+_xlfn.IFNA(SUM((BJ$3&gt;='Gastos com Pessoal'!$E$7:$E$506)*(BJ$3&lt;='Gastos com Pessoal'!$F$7:$F$506)*(IF('Gastos com Pessoal'!$Y$7:$Y$506&lt;=BJ$3,1,0))*OFFSET('Gastos com Pessoal'!$H$6,1,MATCH(4&amp;$B51,'Gastos com Pessoal'!$I$532:$AJ$532&amp;'Gastos com Pessoal'!$I$6:$AJ$6,0),500,1)),0)+_xlfn.IFNA(SUM((BJ$3&gt;='Gastos com Pessoal'!$E$7:$E$506)*(BJ$3&lt;='Gastos com Pessoal'!$F$7:$F$506)*(IF('Gastos com Pessoal'!$AE$7:$AE$506&lt;=BJ$3,1,0))*OFFSET('Gastos com Pessoal'!$H$6,1,MATCH(5&amp;$B51,'Gastos com Pessoal'!$I$532:$AJ$532&amp;'Gastos com Pessoal'!$I$6:$AJ$6,0),500,1)),0)+_xlfn.IFNA(SUM((BJ$3&gt;='Gastos com Pessoal'!$E$513:$E$522)*(BJ$3&lt;='Gastos com Pessoal'!$F$513:$F$522)*(IF('Gastos com Pessoal'!$G$513:$G$522&lt;=BJ$3,1,0))*OFFSET('Gastos com Pessoal'!$H$512,1,MATCH(1&amp;$B51,'Gastos com Pessoal'!$I$532:$AJ$532&amp;'Gastos com Pessoal'!$I$512:$AJ$512,0),10,1)),0)+_xlfn.IFNA(SUM((BJ$3&gt;='Gastos com Pessoal'!$E$513:$E$522)*(BJ$3&lt;='Gastos com Pessoal'!$F$513:$F$522)*(IF('Gastos com Pessoal'!$M$513:$M$522&lt;=BJ$3,1,0))*OFFSET('Gastos com Pessoal'!$H$512,1,MATCH(2&amp;$B51,'Gastos com Pessoal'!$I$532:$AJ$532&amp;'Gastos com Pessoal'!$I$512:$AJ$512,0),10,1)),0)+_xlfn.IFNA(SUM((BJ$3&gt;='Gastos com Pessoal'!$E$513:$E$522)*(BJ$3&lt;='Gastos com Pessoal'!$F$513:$F$522)*(IF('Gastos com Pessoal'!$S$513:$S$522&lt;=BJ$3,1,0))*OFFSET('Gastos com Pessoal'!$H$512,1,MATCH(3&amp;$B51,'Gastos com Pessoal'!$I$532:$AJ$532&amp;'Gastos com Pessoal'!$I$512:$AJ$512,0),10,1)),0)+_xlfn.IFNA(SUM((BJ$3&gt;='Gastos com Pessoal'!$E$513:$E$522)*(BJ$3&lt;='Gastos com Pessoal'!$F$513:$F$522)*(IF('Gastos com Pessoal'!$Y$513:$Y$522&lt;=BJ$3,1,0))*OFFSET('Gastos com Pessoal'!$H$512,1,MATCH(4&amp;$B51,'Gastos com Pessoal'!$I$532:$AJ$532&amp;'Gastos com Pessoal'!$I$512:$AJ$512,0),10,1)),0)+_xlfn.IFNA(SUM((BJ$3&gt;='Gastos com Pessoal'!$E$513:$E$522)*(BJ$3&lt;='Gastos com Pessoal'!$F$513:$F$522)*(IF('Gastos com Pessoal'!$AE$513:$AE$522&lt;=BJ$3,1,0))*OFFSET('Gastos com Pessoal'!$H$512,1,MATCH(5&amp;$B51,'Gastos com Pessoal'!$I$532:$AJ$532&amp;'Gastos com Pessoal'!$I$512:$AJ$512,0),10,1)),0)</f>
        <v>0</v>
      </c>
      <c r="BK51" s="189">
        <f t="shared" ca="1" si="18"/>
        <v>321590.92999999912</v>
      </c>
      <c r="BL51" s="136">
        <f t="shared" ca="1" si="19"/>
        <v>1.1072369639702317E-3</v>
      </c>
    </row>
    <row r="52" spans="1:64" s="160" customFormat="1" ht="23.25" customHeight="1">
      <c r="A52" s="80" t="s">
        <v>186</v>
      </c>
      <c r="B52" s="81" t="s">
        <v>187</v>
      </c>
      <c r="C52" s="188">
        <f t="array" aca="1" ref="C52" ca="1">_xlfn.IFNA(SUM((C$3&gt;='Gastos com Pessoal'!$E$7:$E$506)*(C$3&lt;='Gastos com Pessoal'!$F$7:$F$506)*OFFSET('Encargos e Benefícios'!$D$5,1,MATCH($B52,'Encargos e Benefícios'!$E$5:$AB$5,0),500,1)),0)+_xlfn.IFNA(SUM((C$3&gt;='Gastos com Pessoal'!$E$513:$E$522)*(C$3&lt;='Gastos com Pessoal'!$F$513:$F$522)*OFFSET('Encargos e Benefícios'!$D$511,1,MATCH($B52,'Encargos e Benefícios'!$E$511:$AB$511,0),10,1)),0)+_xlfn.IFNA(SUM((C$3&gt;='Gastos com Pessoal'!$E$7:$E$506)*(C$3&lt;='Gastos com Pessoal'!$F$7:$F$506)*(IF('Gastos com Pessoal'!$G$7:$G$506&lt;=C$3,1,0))*OFFSET('Gastos com Pessoal'!$H$6,1,MATCH(1&amp;$B52,'Gastos com Pessoal'!$I$532:$AJ$532&amp;'Gastos com Pessoal'!$I$6:$AJ$6,0),500,1)),0)+_xlfn.IFNA(SUM((C$3&gt;='Gastos com Pessoal'!$E$7:$E$506)*(C$3&lt;='Gastos com Pessoal'!$F$7:$F$506)*(IF('Gastos com Pessoal'!$M$7:$M$506&lt;=C$3,1,0))*OFFSET('Gastos com Pessoal'!$H$6,1,MATCH(2&amp;$B52,'Gastos com Pessoal'!$I$532:$AJ$532&amp;'Gastos com Pessoal'!$I$6:$AJ$6,0),500,1)),0)+_xlfn.IFNA(SUM((C$3&gt;='Gastos com Pessoal'!$E$7:$E$506)*(C$3&lt;='Gastos com Pessoal'!$F$7:$F$506)*(IF('Gastos com Pessoal'!$S$7:$S$506&lt;=C$3,1,0))*OFFSET('Gastos com Pessoal'!$H$6,1,MATCH(3&amp;$B52,'Gastos com Pessoal'!$I$532:$AJ$532&amp;'Gastos com Pessoal'!$I$6:$AJ$6,0),500,1)),0)+_xlfn.IFNA(SUM((C$3&gt;='Gastos com Pessoal'!$E$7:$E$506)*(C$3&lt;='Gastos com Pessoal'!$F$7:$F$506)*(IF('Gastos com Pessoal'!$Y$7:$Y$506&lt;=C$3,1,0))*OFFSET('Gastos com Pessoal'!$H$6,1,MATCH(4&amp;$B52,'Gastos com Pessoal'!$I$532:$AJ$532&amp;'Gastos com Pessoal'!$I$6:$AJ$6,0),500,1)),0)+_xlfn.IFNA(SUM((C$3&gt;='Gastos com Pessoal'!$E$7:$E$506)*(C$3&lt;='Gastos com Pessoal'!$F$7:$F$506)*(IF('Gastos com Pessoal'!$AE$7:$AE$506&lt;=C$3,1,0))*OFFSET('Gastos com Pessoal'!$H$6,1,MATCH(5&amp;$B52,'Gastos com Pessoal'!$I$532:$AJ$532&amp;'Gastos com Pessoal'!$I$6:$AJ$6,0),500,1)),0)+_xlfn.IFNA(SUM((C$3&gt;='Gastos com Pessoal'!$E$513:$E$522)*(C$3&lt;='Gastos com Pessoal'!$F$513:$F$522)*(IF('Gastos com Pessoal'!$G$513:$G$522&lt;=C$3,1,0))*OFFSET('Gastos com Pessoal'!$H$512,1,MATCH(1&amp;$B52,'Gastos com Pessoal'!$I$532:$AJ$532&amp;'Gastos com Pessoal'!$I$512:$AJ$512,0),10,1)),0)+_xlfn.IFNA(SUM((C$3&gt;='Gastos com Pessoal'!$E$513:$E$522)*(C$3&lt;='Gastos com Pessoal'!$F$513:$F$522)*(IF('Gastos com Pessoal'!$M$513:$M$522&lt;=C$3,1,0))*OFFSET('Gastos com Pessoal'!$H$512,1,MATCH(2&amp;$B52,'Gastos com Pessoal'!$I$532:$AJ$532&amp;'Gastos com Pessoal'!$I$512:$AJ$512,0),10,1)),0)+_xlfn.IFNA(SUM((C$3&gt;='Gastos com Pessoal'!$E$513:$E$522)*(C$3&lt;='Gastos com Pessoal'!$F$513:$F$522)*(IF('Gastos com Pessoal'!$S$513:$S$522&lt;=C$3,1,0))*OFFSET('Gastos com Pessoal'!$H$512,1,MATCH(3&amp;$B52,'Gastos com Pessoal'!$I$532:$AJ$532&amp;'Gastos com Pessoal'!$I$512:$AJ$512,0),10,1)),0)+_xlfn.IFNA(SUM((C$3&gt;='Gastos com Pessoal'!$E$513:$E$522)*(C$3&lt;='Gastos com Pessoal'!$F$513:$F$522)*(IF('Gastos com Pessoal'!$Y$513:$Y$522&lt;=C$3,1,0))*OFFSET('Gastos com Pessoal'!$H$512,1,MATCH(4&amp;$B52,'Gastos com Pessoal'!$I$532:$AJ$532&amp;'Gastos com Pessoal'!$I$512:$AJ$512,0),10,1)),0)+_xlfn.IFNA(SUM((C$3&gt;='Gastos com Pessoal'!$E$513:$E$522)*(C$3&lt;='Gastos com Pessoal'!$F$513:$F$522)*(IF('Gastos com Pessoal'!$AE$513:$AE$522&lt;=C$3,1,0))*OFFSET('Gastos com Pessoal'!$H$512,1,MATCH(5&amp;$B52,'Gastos com Pessoal'!$I$532:$AJ$532&amp;'Gastos com Pessoal'!$I$512:$AJ$512,0),10,1)),0)</f>
        <v>9782.5</v>
      </c>
      <c r="D52" s="188">
        <f t="array" aca="1" ref="D52" ca="1">_xlfn.IFNA(SUM((D$3&gt;='Gastos com Pessoal'!$E$7:$E$506)*(D$3&lt;='Gastos com Pessoal'!$F$7:$F$506)*OFFSET('Encargos e Benefícios'!$D$5,1,MATCH($B52,'Encargos e Benefícios'!$E$5:$AB$5,0),500,1)),0)+_xlfn.IFNA(SUM((D$3&gt;='Gastos com Pessoal'!$E$513:$E$522)*(D$3&lt;='Gastos com Pessoal'!$F$513:$F$522)*OFFSET('Encargos e Benefícios'!$D$511,1,MATCH($B52,'Encargos e Benefícios'!$E$511:$AB$511,0),10,1)),0)+_xlfn.IFNA(SUM((D$3&gt;='Gastos com Pessoal'!$E$7:$E$506)*(D$3&lt;='Gastos com Pessoal'!$F$7:$F$506)*(IF('Gastos com Pessoal'!$G$7:$G$506&lt;=D$3,1,0))*OFFSET('Gastos com Pessoal'!$H$6,1,MATCH(1&amp;$B52,'Gastos com Pessoal'!$I$532:$AJ$532&amp;'Gastos com Pessoal'!$I$6:$AJ$6,0),500,1)),0)+_xlfn.IFNA(SUM((D$3&gt;='Gastos com Pessoal'!$E$7:$E$506)*(D$3&lt;='Gastos com Pessoal'!$F$7:$F$506)*(IF('Gastos com Pessoal'!$M$7:$M$506&lt;=D$3,1,0))*OFFSET('Gastos com Pessoal'!$H$6,1,MATCH(2&amp;$B52,'Gastos com Pessoal'!$I$532:$AJ$532&amp;'Gastos com Pessoal'!$I$6:$AJ$6,0),500,1)),0)+_xlfn.IFNA(SUM((D$3&gt;='Gastos com Pessoal'!$E$7:$E$506)*(D$3&lt;='Gastos com Pessoal'!$F$7:$F$506)*(IF('Gastos com Pessoal'!$S$7:$S$506&lt;=D$3,1,0))*OFFSET('Gastos com Pessoal'!$H$6,1,MATCH(3&amp;$B52,'Gastos com Pessoal'!$I$532:$AJ$532&amp;'Gastos com Pessoal'!$I$6:$AJ$6,0),500,1)),0)+_xlfn.IFNA(SUM((D$3&gt;='Gastos com Pessoal'!$E$7:$E$506)*(D$3&lt;='Gastos com Pessoal'!$F$7:$F$506)*(IF('Gastos com Pessoal'!$Y$7:$Y$506&lt;=D$3,1,0))*OFFSET('Gastos com Pessoal'!$H$6,1,MATCH(4&amp;$B52,'Gastos com Pessoal'!$I$532:$AJ$532&amp;'Gastos com Pessoal'!$I$6:$AJ$6,0),500,1)),0)+_xlfn.IFNA(SUM((D$3&gt;='Gastos com Pessoal'!$E$7:$E$506)*(D$3&lt;='Gastos com Pessoal'!$F$7:$F$506)*(IF('Gastos com Pessoal'!$AE$7:$AE$506&lt;=D$3,1,0))*OFFSET('Gastos com Pessoal'!$H$6,1,MATCH(5&amp;$B52,'Gastos com Pessoal'!$I$532:$AJ$532&amp;'Gastos com Pessoal'!$I$6:$AJ$6,0),500,1)),0)+_xlfn.IFNA(SUM((D$3&gt;='Gastos com Pessoal'!$E$513:$E$522)*(D$3&lt;='Gastos com Pessoal'!$F$513:$F$522)*(IF('Gastos com Pessoal'!$G$513:$G$522&lt;=D$3,1,0))*OFFSET('Gastos com Pessoal'!$H$512,1,MATCH(1&amp;$B52,'Gastos com Pessoal'!$I$532:$AJ$532&amp;'Gastos com Pessoal'!$I$512:$AJ$512,0),10,1)),0)+_xlfn.IFNA(SUM((D$3&gt;='Gastos com Pessoal'!$E$513:$E$522)*(D$3&lt;='Gastos com Pessoal'!$F$513:$F$522)*(IF('Gastos com Pessoal'!$M$513:$M$522&lt;=D$3,1,0))*OFFSET('Gastos com Pessoal'!$H$512,1,MATCH(2&amp;$B52,'Gastos com Pessoal'!$I$532:$AJ$532&amp;'Gastos com Pessoal'!$I$512:$AJ$512,0),10,1)),0)+_xlfn.IFNA(SUM((D$3&gt;='Gastos com Pessoal'!$E$513:$E$522)*(D$3&lt;='Gastos com Pessoal'!$F$513:$F$522)*(IF('Gastos com Pessoal'!$S$513:$S$522&lt;=D$3,1,0))*OFFSET('Gastos com Pessoal'!$H$512,1,MATCH(3&amp;$B52,'Gastos com Pessoal'!$I$532:$AJ$532&amp;'Gastos com Pessoal'!$I$512:$AJ$512,0),10,1)),0)+_xlfn.IFNA(SUM((D$3&gt;='Gastos com Pessoal'!$E$513:$E$522)*(D$3&lt;='Gastos com Pessoal'!$F$513:$F$522)*(IF('Gastos com Pessoal'!$Y$513:$Y$522&lt;=D$3,1,0))*OFFSET('Gastos com Pessoal'!$H$512,1,MATCH(4&amp;$B52,'Gastos com Pessoal'!$I$532:$AJ$532&amp;'Gastos com Pessoal'!$I$512:$AJ$512,0),10,1)),0)+_xlfn.IFNA(SUM((D$3&gt;='Gastos com Pessoal'!$E$513:$E$522)*(D$3&lt;='Gastos com Pessoal'!$F$513:$F$522)*(IF('Gastos com Pessoal'!$AE$513:$AE$522&lt;=D$3,1,0))*OFFSET('Gastos com Pessoal'!$H$512,1,MATCH(5&amp;$B52,'Gastos com Pessoal'!$I$532:$AJ$532&amp;'Gastos com Pessoal'!$I$512:$AJ$512,0),10,1)),0)</f>
        <v>9817.5</v>
      </c>
      <c r="E52" s="188">
        <f t="array" aca="1" ref="E52" ca="1">_xlfn.IFNA(SUM((E$3&gt;='Gastos com Pessoal'!$E$7:$E$506)*(E$3&lt;='Gastos com Pessoal'!$F$7:$F$506)*OFFSET('Encargos e Benefícios'!$D$5,1,MATCH($B52,'Encargos e Benefícios'!$E$5:$AB$5,0),500,1)),0)+_xlfn.IFNA(SUM((E$3&gt;='Gastos com Pessoal'!$E$513:$E$522)*(E$3&lt;='Gastos com Pessoal'!$F$513:$F$522)*OFFSET('Encargos e Benefícios'!$D$511,1,MATCH($B52,'Encargos e Benefícios'!$E$511:$AB$511,0),10,1)),0)+_xlfn.IFNA(SUM((E$3&gt;='Gastos com Pessoal'!$E$7:$E$506)*(E$3&lt;='Gastos com Pessoal'!$F$7:$F$506)*(IF('Gastos com Pessoal'!$G$7:$G$506&lt;=E$3,1,0))*OFFSET('Gastos com Pessoal'!$H$6,1,MATCH(1&amp;$B52,'Gastos com Pessoal'!$I$532:$AJ$532&amp;'Gastos com Pessoal'!$I$6:$AJ$6,0),500,1)),0)+_xlfn.IFNA(SUM((E$3&gt;='Gastos com Pessoal'!$E$7:$E$506)*(E$3&lt;='Gastos com Pessoal'!$F$7:$F$506)*(IF('Gastos com Pessoal'!$M$7:$M$506&lt;=E$3,1,0))*OFFSET('Gastos com Pessoal'!$H$6,1,MATCH(2&amp;$B52,'Gastos com Pessoal'!$I$532:$AJ$532&amp;'Gastos com Pessoal'!$I$6:$AJ$6,0),500,1)),0)+_xlfn.IFNA(SUM((E$3&gt;='Gastos com Pessoal'!$E$7:$E$506)*(E$3&lt;='Gastos com Pessoal'!$F$7:$F$506)*(IF('Gastos com Pessoal'!$S$7:$S$506&lt;=E$3,1,0))*OFFSET('Gastos com Pessoal'!$H$6,1,MATCH(3&amp;$B52,'Gastos com Pessoal'!$I$532:$AJ$532&amp;'Gastos com Pessoal'!$I$6:$AJ$6,0),500,1)),0)+_xlfn.IFNA(SUM((E$3&gt;='Gastos com Pessoal'!$E$7:$E$506)*(E$3&lt;='Gastos com Pessoal'!$F$7:$F$506)*(IF('Gastos com Pessoal'!$Y$7:$Y$506&lt;=E$3,1,0))*OFFSET('Gastos com Pessoal'!$H$6,1,MATCH(4&amp;$B52,'Gastos com Pessoal'!$I$532:$AJ$532&amp;'Gastos com Pessoal'!$I$6:$AJ$6,0),500,1)),0)+_xlfn.IFNA(SUM((E$3&gt;='Gastos com Pessoal'!$E$7:$E$506)*(E$3&lt;='Gastos com Pessoal'!$F$7:$F$506)*(IF('Gastos com Pessoal'!$AE$7:$AE$506&lt;=E$3,1,0))*OFFSET('Gastos com Pessoal'!$H$6,1,MATCH(5&amp;$B52,'Gastos com Pessoal'!$I$532:$AJ$532&amp;'Gastos com Pessoal'!$I$6:$AJ$6,0),500,1)),0)+_xlfn.IFNA(SUM((E$3&gt;='Gastos com Pessoal'!$E$513:$E$522)*(E$3&lt;='Gastos com Pessoal'!$F$513:$F$522)*(IF('Gastos com Pessoal'!$G$513:$G$522&lt;=E$3,1,0))*OFFSET('Gastos com Pessoal'!$H$512,1,MATCH(1&amp;$B52,'Gastos com Pessoal'!$I$532:$AJ$532&amp;'Gastos com Pessoal'!$I$512:$AJ$512,0),10,1)),0)+_xlfn.IFNA(SUM((E$3&gt;='Gastos com Pessoal'!$E$513:$E$522)*(E$3&lt;='Gastos com Pessoal'!$F$513:$F$522)*(IF('Gastos com Pessoal'!$M$513:$M$522&lt;=E$3,1,0))*OFFSET('Gastos com Pessoal'!$H$512,1,MATCH(2&amp;$B52,'Gastos com Pessoal'!$I$532:$AJ$532&amp;'Gastos com Pessoal'!$I$512:$AJ$512,0),10,1)),0)+_xlfn.IFNA(SUM((E$3&gt;='Gastos com Pessoal'!$E$513:$E$522)*(E$3&lt;='Gastos com Pessoal'!$F$513:$F$522)*(IF('Gastos com Pessoal'!$S$513:$S$522&lt;=E$3,1,0))*OFFSET('Gastos com Pessoal'!$H$512,1,MATCH(3&amp;$B52,'Gastos com Pessoal'!$I$532:$AJ$532&amp;'Gastos com Pessoal'!$I$512:$AJ$512,0),10,1)),0)+_xlfn.IFNA(SUM((E$3&gt;='Gastos com Pessoal'!$E$513:$E$522)*(E$3&lt;='Gastos com Pessoal'!$F$513:$F$522)*(IF('Gastos com Pessoal'!$Y$513:$Y$522&lt;=E$3,1,0))*OFFSET('Gastos com Pessoal'!$H$512,1,MATCH(4&amp;$B52,'Gastos com Pessoal'!$I$532:$AJ$532&amp;'Gastos com Pessoal'!$I$512:$AJ$512,0),10,1)),0)+_xlfn.IFNA(SUM((E$3&gt;='Gastos com Pessoal'!$E$513:$E$522)*(E$3&lt;='Gastos com Pessoal'!$F$513:$F$522)*(IF('Gastos com Pessoal'!$AE$513:$AE$522&lt;=E$3,1,0))*OFFSET('Gastos com Pessoal'!$H$512,1,MATCH(5&amp;$B52,'Gastos com Pessoal'!$I$532:$AJ$532&amp;'Gastos com Pessoal'!$I$512:$AJ$512,0),10,1)),0)</f>
        <v>10360</v>
      </c>
      <c r="F52" s="188">
        <f t="array" aca="1" ref="F52" ca="1">_xlfn.IFNA(SUM((F$3&gt;='Gastos com Pessoal'!$E$7:$E$506)*(F$3&lt;='Gastos com Pessoal'!$F$7:$F$506)*OFFSET('Encargos e Benefícios'!$D$5,1,MATCH($B52,'Encargos e Benefícios'!$E$5:$AB$5,0),500,1)),0)+_xlfn.IFNA(SUM((F$3&gt;='Gastos com Pessoal'!$E$513:$E$522)*(F$3&lt;='Gastos com Pessoal'!$F$513:$F$522)*OFFSET('Encargos e Benefícios'!$D$511,1,MATCH($B52,'Encargos e Benefícios'!$E$511:$AB$511,0),10,1)),0)+_xlfn.IFNA(SUM((F$3&gt;='Gastos com Pessoal'!$E$7:$E$506)*(F$3&lt;='Gastos com Pessoal'!$F$7:$F$506)*(IF('Gastos com Pessoal'!$G$7:$G$506&lt;=F$3,1,0))*OFFSET('Gastos com Pessoal'!$H$6,1,MATCH(1&amp;$B52,'Gastos com Pessoal'!$I$532:$AJ$532&amp;'Gastos com Pessoal'!$I$6:$AJ$6,0),500,1)),0)+_xlfn.IFNA(SUM((F$3&gt;='Gastos com Pessoal'!$E$7:$E$506)*(F$3&lt;='Gastos com Pessoal'!$F$7:$F$506)*(IF('Gastos com Pessoal'!$M$7:$M$506&lt;=F$3,1,0))*OFFSET('Gastos com Pessoal'!$H$6,1,MATCH(2&amp;$B52,'Gastos com Pessoal'!$I$532:$AJ$532&amp;'Gastos com Pessoal'!$I$6:$AJ$6,0),500,1)),0)+_xlfn.IFNA(SUM((F$3&gt;='Gastos com Pessoal'!$E$7:$E$506)*(F$3&lt;='Gastos com Pessoal'!$F$7:$F$506)*(IF('Gastos com Pessoal'!$S$7:$S$506&lt;=F$3,1,0))*OFFSET('Gastos com Pessoal'!$H$6,1,MATCH(3&amp;$B52,'Gastos com Pessoal'!$I$532:$AJ$532&amp;'Gastos com Pessoal'!$I$6:$AJ$6,0),500,1)),0)+_xlfn.IFNA(SUM((F$3&gt;='Gastos com Pessoal'!$E$7:$E$506)*(F$3&lt;='Gastos com Pessoal'!$F$7:$F$506)*(IF('Gastos com Pessoal'!$Y$7:$Y$506&lt;=F$3,1,0))*OFFSET('Gastos com Pessoal'!$H$6,1,MATCH(4&amp;$B52,'Gastos com Pessoal'!$I$532:$AJ$532&amp;'Gastos com Pessoal'!$I$6:$AJ$6,0),500,1)),0)+_xlfn.IFNA(SUM((F$3&gt;='Gastos com Pessoal'!$E$7:$E$506)*(F$3&lt;='Gastos com Pessoal'!$F$7:$F$506)*(IF('Gastos com Pessoal'!$AE$7:$AE$506&lt;=F$3,1,0))*OFFSET('Gastos com Pessoal'!$H$6,1,MATCH(5&amp;$B52,'Gastos com Pessoal'!$I$532:$AJ$532&amp;'Gastos com Pessoal'!$I$6:$AJ$6,0),500,1)),0)+_xlfn.IFNA(SUM((F$3&gt;='Gastos com Pessoal'!$E$513:$E$522)*(F$3&lt;='Gastos com Pessoal'!$F$513:$F$522)*(IF('Gastos com Pessoal'!$G$513:$G$522&lt;=F$3,1,0))*OFFSET('Gastos com Pessoal'!$H$512,1,MATCH(1&amp;$B52,'Gastos com Pessoal'!$I$532:$AJ$532&amp;'Gastos com Pessoal'!$I$512:$AJ$512,0),10,1)),0)+_xlfn.IFNA(SUM((F$3&gt;='Gastos com Pessoal'!$E$513:$E$522)*(F$3&lt;='Gastos com Pessoal'!$F$513:$F$522)*(IF('Gastos com Pessoal'!$M$513:$M$522&lt;=F$3,1,0))*OFFSET('Gastos com Pessoal'!$H$512,1,MATCH(2&amp;$B52,'Gastos com Pessoal'!$I$532:$AJ$532&amp;'Gastos com Pessoal'!$I$512:$AJ$512,0),10,1)),0)+_xlfn.IFNA(SUM((F$3&gt;='Gastos com Pessoal'!$E$513:$E$522)*(F$3&lt;='Gastos com Pessoal'!$F$513:$F$522)*(IF('Gastos com Pessoal'!$S$513:$S$522&lt;=F$3,1,0))*OFFSET('Gastos com Pessoal'!$H$512,1,MATCH(3&amp;$B52,'Gastos com Pessoal'!$I$532:$AJ$532&amp;'Gastos com Pessoal'!$I$512:$AJ$512,0),10,1)),0)+_xlfn.IFNA(SUM((F$3&gt;='Gastos com Pessoal'!$E$513:$E$522)*(F$3&lt;='Gastos com Pessoal'!$F$513:$F$522)*(IF('Gastos com Pessoal'!$Y$513:$Y$522&lt;=F$3,1,0))*OFFSET('Gastos com Pessoal'!$H$512,1,MATCH(4&amp;$B52,'Gastos com Pessoal'!$I$532:$AJ$532&amp;'Gastos com Pessoal'!$I$512:$AJ$512,0),10,1)),0)+_xlfn.IFNA(SUM((F$3&gt;='Gastos com Pessoal'!$E$513:$E$522)*(F$3&lt;='Gastos com Pessoal'!$F$513:$F$522)*(IF('Gastos com Pessoal'!$AE$513:$AE$522&lt;=F$3,1,0))*OFFSET('Gastos com Pessoal'!$H$512,1,MATCH(5&amp;$B52,'Gastos com Pessoal'!$I$532:$AJ$532&amp;'Gastos com Pessoal'!$I$512:$AJ$512,0),10,1)),0)</f>
        <v>10395</v>
      </c>
      <c r="G52" s="188">
        <f t="array" aca="1" ref="G52" ca="1">_xlfn.IFNA(SUM((G$3&gt;='Gastos com Pessoal'!$E$7:$E$506)*(G$3&lt;='Gastos com Pessoal'!$F$7:$F$506)*OFFSET('Encargos e Benefícios'!$D$5,1,MATCH($B52,'Encargos e Benefícios'!$E$5:$AB$5,0),500,1)),0)+_xlfn.IFNA(SUM((G$3&gt;='Gastos com Pessoal'!$E$513:$E$522)*(G$3&lt;='Gastos com Pessoal'!$F$513:$F$522)*OFFSET('Encargos e Benefícios'!$D$511,1,MATCH($B52,'Encargos e Benefícios'!$E$511:$AB$511,0),10,1)),0)+_xlfn.IFNA(SUM((G$3&gt;='Gastos com Pessoal'!$E$7:$E$506)*(G$3&lt;='Gastos com Pessoal'!$F$7:$F$506)*(IF('Gastos com Pessoal'!$G$7:$G$506&lt;=G$3,1,0))*OFFSET('Gastos com Pessoal'!$H$6,1,MATCH(1&amp;$B52,'Gastos com Pessoal'!$I$532:$AJ$532&amp;'Gastos com Pessoal'!$I$6:$AJ$6,0),500,1)),0)+_xlfn.IFNA(SUM((G$3&gt;='Gastos com Pessoal'!$E$7:$E$506)*(G$3&lt;='Gastos com Pessoal'!$F$7:$F$506)*(IF('Gastos com Pessoal'!$M$7:$M$506&lt;=G$3,1,0))*OFFSET('Gastos com Pessoal'!$H$6,1,MATCH(2&amp;$B52,'Gastos com Pessoal'!$I$532:$AJ$532&amp;'Gastos com Pessoal'!$I$6:$AJ$6,0),500,1)),0)+_xlfn.IFNA(SUM((G$3&gt;='Gastos com Pessoal'!$E$7:$E$506)*(G$3&lt;='Gastos com Pessoal'!$F$7:$F$506)*(IF('Gastos com Pessoal'!$S$7:$S$506&lt;=G$3,1,0))*OFFSET('Gastos com Pessoal'!$H$6,1,MATCH(3&amp;$B52,'Gastos com Pessoal'!$I$532:$AJ$532&amp;'Gastos com Pessoal'!$I$6:$AJ$6,0),500,1)),0)+_xlfn.IFNA(SUM((G$3&gt;='Gastos com Pessoal'!$E$7:$E$506)*(G$3&lt;='Gastos com Pessoal'!$F$7:$F$506)*(IF('Gastos com Pessoal'!$Y$7:$Y$506&lt;=G$3,1,0))*OFFSET('Gastos com Pessoal'!$H$6,1,MATCH(4&amp;$B52,'Gastos com Pessoal'!$I$532:$AJ$532&amp;'Gastos com Pessoal'!$I$6:$AJ$6,0),500,1)),0)+_xlfn.IFNA(SUM((G$3&gt;='Gastos com Pessoal'!$E$7:$E$506)*(G$3&lt;='Gastos com Pessoal'!$F$7:$F$506)*(IF('Gastos com Pessoal'!$AE$7:$AE$506&lt;=G$3,1,0))*OFFSET('Gastos com Pessoal'!$H$6,1,MATCH(5&amp;$B52,'Gastos com Pessoal'!$I$532:$AJ$532&amp;'Gastos com Pessoal'!$I$6:$AJ$6,0),500,1)),0)+_xlfn.IFNA(SUM((G$3&gt;='Gastos com Pessoal'!$E$513:$E$522)*(G$3&lt;='Gastos com Pessoal'!$F$513:$F$522)*(IF('Gastos com Pessoal'!$G$513:$G$522&lt;=G$3,1,0))*OFFSET('Gastos com Pessoal'!$H$512,1,MATCH(1&amp;$B52,'Gastos com Pessoal'!$I$532:$AJ$532&amp;'Gastos com Pessoal'!$I$512:$AJ$512,0),10,1)),0)+_xlfn.IFNA(SUM((G$3&gt;='Gastos com Pessoal'!$E$513:$E$522)*(G$3&lt;='Gastos com Pessoal'!$F$513:$F$522)*(IF('Gastos com Pessoal'!$M$513:$M$522&lt;=G$3,1,0))*OFFSET('Gastos com Pessoal'!$H$512,1,MATCH(2&amp;$B52,'Gastos com Pessoal'!$I$532:$AJ$532&amp;'Gastos com Pessoal'!$I$512:$AJ$512,0),10,1)),0)+_xlfn.IFNA(SUM((G$3&gt;='Gastos com Pessoal'!$E$513:$E$522)*(G$3&lt;='Gastos com Pessoal'!$F$513:$F$522)*(IF('Gastos com Pessoal'!$S$513:$S$522&lt;=G$3,1,0))*OFFSET('Gastos com Pessoal'!$H$512,1,MATCH(3&amp;$B52,'Gastos com Pessoal'!$I$532:$AJ$532&amp;'Gastos com Pessoal'!$I$512:$AJ$512,0),10,1)),0)+_xlfn.IFNA(SUM((G$3&gt;='Gastos com Pessoal'!$E$513:$E$522)*(G$3&lt;='Gastos com Pessoal'!$F$513:$F$522)*(IF('Gastos com Pessoal'!$Y$513:$Y$522&lt;=G$3,1,0))*OFFSET('Gastos com Pessoal'!$H$512,1,MATCH(4&amp;$B52,'Gastos com Pessoal'!$I$532:$AJ$532&amp;'Gastos com Pessoal'!$I$512:$AJ$512,0),10,1)),0)+_xlfn.IFNA(SUM((G$3&gt;='Gastos com Pessoal'!$E$513:$E$522)*(G$3&lt;='Gastos com Pessoal'!$F$513:$F$522)*(IF('Gastos com Pessoal'!$AE$513:$AE$522&lt;=G$3,1,0))*OFFSET('Gastos com Pessoal'!$H$512,1,MATCH(5&amp;$B52,'Gastos com Pessoal'!$I$532:$AJ$532&amp;'Gastos com Pessoal'!$I$512:$AJ$512,0),10,1)),0)</f>
        <v>10395</v>
      </c>
      <c r="H52" s="188">
        <f t="array" aca="1" ref="H52" ca="1">_xlfn.IFNA(SUM((H$3&gt;='Gastos com Pessoal'!$E$7:$E$506)*(H$3&lt;='Gastos com Pessoal'!$F$7:$F$506)*OFFSET('Encargos e Benefícios'!$D$5,1,MATCH($B52,'Encargos e Benefícios'!$E$5:$AB$5,0),500,1)),0)+_xlfn.IFNA(SUM((H$3&gt;='Gastos com Pessoal'!$E$513:$E$522)*(H$3&lt;='Gastos com Pessoal'!$F$513:$F$522)*OFFSET('Encargos e Benefícios'!$D$511,1,MATCH($B52,'Encargos e Benefícios'!$E$511:$AB$511,0),10,1)),0)+_xlfn.IFNA(SUM((H$3&gt;='Gastos com Pessoal'!$E$7:$E$506)*(H$3&lt;='Gastos com Pessoal'!$F$7:$F$506)*(IF('Gastos com Pessoal'!$G$7:$G$506&lt;=H$3,1,0))*OFFSET('Gastos com Pessoal'!$H$6,1,MATCH(1&amp;$B52,'Gastos com Pessoal'!$I$532:$AJ$532&amp;'Gastos com Pessoal'!$I$6:$AJ$6,0),500,1)),0)+_xlfn.IFNA(SUM((H$3&gt;='Gastos com Pessoal'!$E$7:$E$506)*(H$3&lt;='Gastos com Pessoal'!$F$7:$F$506)*(IF('Gastos com Pessoal'!$M$7:$M$506&lt;=H$3,1,0))*OFFSET('Gastos com Pessoal'!$H$6,1,MATCH(2&amp;$B52,'Gastos com Pessoal'!$I$532:$AJ$532&amp;'Gastos com Pessoal'!$I$6:$AJ$6,0),500,1)),0)+_xlfn.IFNA(SUM((H$3&gt;='Gastos com Pessoal'!$E$7:$E$506)*(H$3&lt;='Gastos com Pessoal'!$F$7:$F$506)*(IF('Gastos com Pessoal'!$S$7:$S$506&lt;=H$3,1,0))*OFFSET('Gastos com Pessoal'!$H$6,1,MATCH(3&amp;$B52,'Gastos com Pessoal'!$I$532:$AJ$532&amp;'Gastos com Pessoal'!$I$6:$AJ$6,0),500,1)),0)+_xlfn.IFNA(SUM((H$3&gt;='Gastos com Pessoal'!$E$7:$E$506)*(H$3&lt;='Gastos com Pessoal'!$F$7:$F$506)*(IF('Gastos com Pessoal'!$Y$7:$Y$506&lt;=H$3,1,0))*OFFSET('Gastos com Pessoal'!$H$6,1,MATCH(4&amp;$B52,'Gastos com Pessoal'!$I$532:$AJ$532&amp;'Gastos com Pessoal'!$I$6:$AJ$6,0),500,1)),0)+_xlfn.IFNA(SUM((H$3&gt;='Gastos com Pessoal'!$E$7:$E$506)*(H$3&lt;='Gastos com Pessoal'!$F$7:$F$506)*(IF('Gastos com Pessoal'!$AE$7:$AE$506&lt;=H$3,1,0))*OFFSET('Gastos com Pessoal'!$H$6,1,MATCH(5&amp;$B52,'Gastos com Pessoal'!$I$532:$AJ$532&amp;'Gastos com Pessoal'!$I$6:$AJ$6,0),500,1)),0)+_xlfn.IFNA(SUM((H$3&gt;='Gastos com Pessoal'!$E$513:$E$522)*(H$3&lt;='Gastos com Pessoal'!$F$513:$F$522)*(IF('Gastos com Pessoal'!$G$513:$G$522&lt;=H$3,1,0))*OFFSET('Gastos com Pessoal'!$H$512,1,MATCH(1&amp;$B52,'Gastos com Pessoal'!$I$532:$AJ$532&amp;'Gastos com Pessoal'!$I$512:$AJ$512,0),10,1)),0)+_xlfn.IFNA(SUM((H$3&gt;='Gastos com Pessoal'!$E$513:$E$522)*(H$3&lt;='Gastos com Pessoal'!$F$513:$F$522)*(IF('Gastos com Pessoal'!$M$513:$M$522&lt;=H$3,1,0))*OFFSET('Gastos com Pessoal'!$H$512,1,MATCH(2&amp;$B52,'Gastos com Pessoal'!$I$532:$AJ$532&amp;'Gastos com Pessoal'!$I$512:$AJ$512,0),10,1)),0)+_xlfn.IFNA(SUM((H$3&gt;='Gastos com Pessoal'!$E$513:$E$522)*(H$3&lt;='Gastos com Pessoal'!$F$513:$F$522)*(IF('Gastos com Pessoal'!$S$513:$S$522&lt;=H$3,1,0))*OFFSET('Gastos com Pessoal'!$H$512,1,MATCH(3&amp;$B52,'Gastos com Pessoal'!$I$532:$AJ$532&amp;'Gastos com Pessoal'!$I$512:$AJ$512,0),10,1)),0)+_xlfn.IFNA(SUM((H$3&gt;='Gastos com Pessoal'!$E$513:$E$522)*(H$3&lt;='Gastos com Pessoal'!$F$513:$F$522)*(IF('Gastos com Pessoal'!$Y$513:$Y$522&lt;=H$3,1,0))*OFFSET('Gastos com Pessoal'!$H$512,1,MATCH(4&amp;$B52,'Gastos com Pessoal'!$I$532:$AJ$532&amp;'Gastos com Pessoal'!$I$512:$AJ$512,0),10,1)),0)+_xlfn.IFNA(SUM((H$3&gt;='Gastos com Pessoal'!$E$513:$E$522)*(H$3&lt;='Gastos com Pessoal'!$F$513:$F$522)*(IF('Gastos com Pessoal'!$AE$513:$AE$522&lt;=H$3,1,0))*OFFSET('Gastos com Pessoal'!$H$512,1,MATCH(5&amp;$B52,'Gastos com Pessoal'!$I$532:$AJ$532&amp;'Gastos com Pessoal'!$I$512:$AJ$512,0),10,1)),0)</f>
        <v>10937.5</v>
      </c>
      <c r="I52" s="188">
        <f t="array" aca="1" ref="I52" ca="1">_xlfn.IFNA(SUM((I$3&gt;='Gastos com Pessoal'!$E$7:$E$506)*(I$3&lt;='Gastos com Pessoal'!$F$7:$F$506)*OFFSET('Encargos e Benefícios'!$D$5,1,MATCH($B52,'Encargos e Benefícios'!$E$5:$AB$5,0),500,1)),0)+_xlfn.IFNA(SUM((I$3&gt;='Gastos com Pessoal'!$E$513:$E$522)*(I$3&lt;='Gastos com Pessoal'!$F$513:$F$522)*OFFSET('Encargos e Benefícios'!$D$511,1,MATCH($B52,'Encargos e Benefícios'!$E$511:$AB$511,0),10,1)),0)+_xlfn.IFNA(SUM((I$3&gt;='Gastos com Pessoal'!$E$7:$E$506)*(I$3&lt;='Gastos com Pessoal'!$F$7:$F$506)*(IF('Gastos com Pessoal'!$G$7:$G$506&lt;=I$3,1,0))*OFFSET('Gastos com Pessoal'!$H$6,1,MATCH(1&amp;$B52,'Gastos com Pessoal'!$I$532:$AJ$532&amp;'Gastos com Pessoal'!$I$6:$AJ$6,0),500,1)),0)+_xlfn.IFNA(SUM((I$3&gt;='Gastos com Pessoal'!$E$7:$E$506)*(I$3&lt;='Gastos com Pessoal'!$F$7:$F$506)*(IF('Gastos com Pessoal'!$M$7:$M$506&lt;=I$3,1,0))*OFFSET('Gastos com Pessoal'!$H$6,1,MATCH(2&amp;$B52,'Gastos com Pessoal'!$I$532:$AJ$532&amp;'Gastos com Pessoal'!$I$6:$AJ$6,0),500,1)),0)+_xlfn.IFNA(SUM((I$3&gt;='Gastos com Pessoal'!$E$7:$E$506)*(I$3&lt;='Gastos com Pessoal'!$F$7:$F$506)*(IF('Gastos com Pessoal'!$S$7:$S$506&lt;=I$3,1,0))*OFFSET('Gastos com Pessoal'!$H$6,1,MATCH(3&amp;$B52,'Gastos com Pessoal'!$I$532:$AJ$532&amp;'Gastos com Pessoal'!$I$6:$AJ$6,0),500,1)),0)+_xlfn.IFNA(SUM((I$3&gt;='Gastos com Pessoal'!$E$7:$E$506)*(I$3&lt;='Gastos com Pessoal'!$F$7:$F$506)*(IF('Gastos com Pessoal'!$Y$7:$Y$506&lt;=I$3,1,0))*OFFSET('Gastos com Pessoal'!$H$6,1,MATCH(4&amp;$B52,'Gastos com Pessoal'!$I$532:$AJ$532&amp;'Gastos com Pessoal'!$I$6:$AJ$6,0),500,1)),0)+_xlfn.IFNA(SUM((I$3&gt;='Gastos com Pessoal'!$E$7:$E$506)*(I$3&lt;='Gastos com Pessoal'!$F$7:$F$506)*(IF('Gastos com Pessoal'!$AE$7:$AE$506&lt;=I$3,1,0))*OFFSET('Gastos com Pessoal'!$H$6,1,MATCH(5&amp;$B52,'Gastos com Pessoal'!$I$532:$AJ$532&amp;'Gastos com Pessoal'!$I$6:$AJ$6,0),500,1)),0)+_xlfn.IFNA(SUM((I$3&gt;='Gastos com Pessoal'!$E$513:$E$522)*(I$3&lt;='Gastos com Pessoal'!$F$513:$F$522)*(IF('Gastos com Pessoal'!$G$513:$G$522&lt;=I$3,1,0))*OFFSET('Gastos com Pessoal'!$H$512,1,MATCH(1&amp;$B52,'Gastos com Pessoal'!$I$532:$AJ$532&amp;'Gastos com Pessoal'!$I$512:$AJ$512,0),10,1)),0)+_xlfn.IFNA(SUM((I$3&gt;='Gastos com Pessoal'!$E$513:$E$522)*(I$3&lt;='Gastos com Pessoal'!$F$513:$F$522)*(IF('Gastos com Pessoal'!$M$513:$M$522&lt;=I$3,1,0))*OFFSET('Gastos com Pessoal'!$H$512,1,MATCH(2&amp;$B52,'Gastos com Pessoal'!$I$532:$AJ$532&amp;'Gastos com Pessoal'!$I$512:$AJ$512,0),10,1)),0)+_xlfn.IFNA(SUM((I$3&gt;='Gastos com Pessoal'!$E$513:$E$522)*(I$3&lt;='Gastos com Pessoal'!$F$513:$F$522)*(IF('Gastos com Pessoal'!$S$513:$S$522&lt;=I$3,1,0))*OFFSET('Gastos com Pessoal'!$H$512,1,MATCH(3&amp;$B52,'Gastos com Pessoal'!$I$532:$AJ$532&amp;'Gastos com Pessoal'!$I$512:$AJ$512,0),10,1)),0)+_xlfn.IFNA(SUM((I$3&gt;='Gastos com Pessoal'!$E$513:$E$522)*(I$3&lt;='Gastos com Pessoal'!$F$513:$F$522)*(IF('Gastos com Pessoal'!$Y$513:$Y$522&lt;=I$3,1,0))*OFFSET('Gastos com Pessoal'!$H$512,1,MATCH(4&amp;$B52,'Gastos com Pessoal'!$I$532:$AJ$532&amp;'Gastos com Pessoal'!$I$512:$AJ$512,0),10,1)),0)+_xlfn.IFNA(SUM((I$3&gt;='Gastos com Pessoal'!$E$513:$E$522)*(I$3&lt;='Gastos com Pessoal'!$F$513:$F$522)*(IF('Gastos com Pessoal'!$AE$513:$AE$522&lt;=I$3,1,0))*OFFSET('Gastos com Pessoal'!$H$512,1,MATCH(5&amp;$B52,'Gastos com Pessoal'!$I$532:$AJ$532&amp;'Gastos com Pessoal'!$I$512:$AJ$512,0),10,1)),0)</f>
        <v>10974.54</v>
      </c>
      <c r="J52" s="188">
        <f t="array" aca="1" ref="J52" ca="1">_xlfn.IFNA(SUM((J$3&gt;='Gastos com Pessoal'!$E$7:$E$506)*(J$3&lt;='Gastos com Pessoal'!$F$7:$F$506)*OFFSET('Encargos e Benefícios'!$D$5,1,MATCH($B52,'Encargos e Benefícios'!$E$5:$AB$5,0),500,1)),0)+_xlfn.IFNA(SUM((J$3&gt;='Gastos com Pessoal'!$E$513:$E$522)*(J$3&lt;='Gastos com Pessoal'!$F$513:$F$522)*OFFSET('Encargos e Benefícios'!$D$511,1,MATCH($B52,'Encargos e Benefícios'!$E$511:$AB$511,0),10,1)),0)+_xlfn.IFNA(SUM((J$3&gt;='Gastos com Pessoal'!$E$7:$E$506)*(J$3&lt;='Gastos com Pessoal'!$F$7:$F$506)*(IF('Gastos com Pessoal'!$G$7:$G$506&lt;=J$3,1,0))*OFFSET('Gastos com Pessoal'!$H$6,1,MATCH(1&amp;$B52,'Gastos com Pessoal'!$I$532:$AJ$532&amp;'Gastos com Pessoal'!$I$6:$AJ$6,0),500,1)),0)+_xlfn.IFNA(SUM((J$3&gt;='Gastos com Pessoal'!$E$7:$E$506)*(J$3&lt;='Gastos com Pessoal'!$F$7:$F$506)*(IF('Gastos com Pessoal'!$M$7:$M$506&lt;=J$3,1,0))*OFFSET('Gastos com Pessoal'!$H$6,1,MATCH(2&amp;$B52,'Gastos com Pessoal'!$I$532:$AJ$532&amp;'Gastos com Pessoal'!$I$6:$AJ$6,0),500,1)),0)+_xlfn.IFNA(SUM((J$3&gt;='Gastos com Pessoal'!$E$7:$E$506)*(J$3&lt;='Gastos com Pessoal'!$F$7:$F$506)*(IF('Gastos com Pessoal'!$S$7:$S$506&lt;=J$3,1,0))*OFFSET('Gastos com Pessoal'!$H$6,1,MATCH(3&amp;$B52,'Gastos com Pessoal'!$I$532:$AJ$532&amp;'Gastos com Pessoal'!$I$6:$AJ$6,0),500,1)),0)+_xlfn.IFNA(SUM((J$3&gt;='Gastos com Pessoal'!$E$7:$E$506)*(J$3&lt;='Gastos com Pessoal'!$F$7:$F$506)*(IF('Gastos com Pessoal'!$Y$7:$Y$506&lt;=J$3,1,0))*OFFSET('Gastos com Pessoal'!$H$6,1,MATCH(4&amp;$B52,'Gastos com Pessoal'!$I$532:$AJ$532&amp;'Gastos com Pessoal'!$I$6:$AJ$6,0),500,1)),0)+_xlfn.IFNA(SUM((J$3&gt;='Gastos com Pessoal'!$E$7:$E$506)*(J$3&lt;='Gastos com Pessoal'!$F$7:$F$506)*(IF('Gastos com Pessoal'!$AE$7:$AE$506&lt;=J$3,1,0))*OFFSET('Gastos com Pessoal'!$H$6,1,MATCH(5&amp;$B52,'Gastos com Pessoal'!$I$532:$AJ$532&amp;'Gastos com Pessoal'!$I$6:$AJ$6,0),500,1)),0)+_xlfn.IFNA(SUM((J$3&gt;='Gastos com Pessoal'!$E$513:$E$522)*(J$3&lt;='Gastos com Pessoal'!$F$513:$F$522)*(IF('Gastos com Pessoal'!$G$513:$G$522&lt;=J$3,1,0))*OFFSET('Gastos com Pessoal'!$H$512,1,MATCH(1&amp;$B52,'Gastos com Pessoal'!$I$532:$AJ$532&amp;'Gastos com Pessoal'!$I$512:$AJ$512,0),10,1)),0)+_xlfn.IFNA(SUM((J$3&gt;='Gastos com Pessoal'!$E$513:$E$522)*(J$3&lt;='Gastos com Pessoal'!$F$513:$F$522)*(IF('Gastos com Pessoal'!$M$513:$M$522&lt;=J$3,1,0))*OFFSET('Gastos com Pessoal'!$H$512,1,MATCH(2&amp;$B52,'Gastos com Pessoal'!$I$532:$AJ$532&amp;'Gastos com Pessoal'!$I$512:$AJ$512,0),10,1)),0)+_xlfn.IFNA(SUM((J$3&gt;='Gastos com Pessoal'!$E$513:$E$522)*(J$3&lt;='Gastos com Pessoal'!$F$513:$F$522)*(IF('Gastos com Pessoal'!$S$513:$S$522&lt;=J$3,1,0))*OFFSET('Gastos com Pessoal'!$H$512,1,MATCH(3&amp;$B52,'Gastos com Pessoal'!$I$532:$AJ$532&amp;'Gastos com Pessoal'!$I$512:$AJ$512,0),10,1)),0)+_xlfn.IFNA(SUM((J$3&gt;='Gastos com Pessoal'!$E$513:$E$522)*(J$3&lt;='Gastos com Pessoal'!$F$513:$F$522)*(IF('Gastos com Pessoal'!$Y$513:$Y$522&lt;=J$3,1,0))*OFFSET('Gastos com Pessoal'!$H$512,1,MATCH(4&amp;$B52,'Gastos com Pessoal'!$I$532:$AJ$532&amp;'Gastos com Pessoal'!$I$512:$AJ$512,0),10,1)),0)+_xlfn.IFNA(SUM((J$3&gt;='Gastos com Pessoal'!$E$513:$E$522)*(J$3&lt;='Gastos com Pessoal'!$F$513:$F$522)*(IF('Gastos com Pessoal'!$AE$513:$AE$522&lt;=J$3,1,0))*OFFSET('Gastos com Pessoal'!$H$512,1,MATCH(5&amp;$B52,'Gastos com Pessoal'!$I$532:$AJ$532&amp;'Gastos com Pessoal'!$I$512:$AJ$512,0),10,1)),0)</f>
        <v>10974.54</v>
      </c>
      <c r="K52" s="188">
        <f t="array" aca="1" ref="K52" ca="1">_xlfn.IFNA(SUM((K$3&gt;='Gastos com Pessoal'!$E$7:$E$506)*(K$3&lt;='Gastos com Pessoal'!$F$7:$F$506)*OFFSET('Encargos e Benefícios'!$D$5,1,MATCH($B52,'Encargos e Benefícios'!$E$5:$AB$5,0),500,1)),0)+_xlfn.IFNA(SUM((K$3&gt;='Gastos com Pessoal'!$E$513:$E$522)*(K$3&lt;='Gastos com Pessoal'!$F$513:$F$522)*OFFSET('Encargos e Benefícios'!$D$511,1,MATCH($B52,'Encargos e Benefícios'!$E$511:$AB$511,0),10,1)),0)+_xlfn.IFNA(SUM((K$3&gt;='Gastos com Pessoal'!$E$7:$E$506)*(K$3&lt;='Gastos com Pessoal'!$F$7:$F$506)*(IF('Gastos com Pessoal'!$G$7:$G$506&lt;=K$3,1,0))*OFFSET('Gastos com Pessoal'!$H$6,1,MATCH(1&amp;$B52,'Gastos com Pessoal'!$I$532:$AJ$532&amp;'Gastos com Pessoal'!$I$6:$AJ$6,0),500,1)),0)+_xlfn.IFNA(SUM((K$3&gt;='Gastos com Pessoal'!$E$7:$E$506)*(K$3&lt;='Gastos com Pessoal'!$F$7:$F$506)*(IF('Gastos com Pessoal'!$M$7:$M$506&lt;=K$3,1,0))*OFFSET('Gastos com Pessoal'!$H$6,1,MATCH(2&amp;$B52,'Gastos com Pessoal'!$I$532:$AJ$532&amp;'Gastos com Pessoal'!$I$6:$AJ$6,0),500,1)),0)+_xlfn.IFNA(SUM((K$3&gt;='Gastos com Pessoal'!$E$7:$E$506)*(K$3&lt;='Gastos com Pessoal'!$F$7:$F$506)*(IF('Gastos com Pessoal'!$S$7:$S$506&lt;=K$3,1,0))*OFFSET('Gastos com Pessoal'!$H$6,1,MATCH(3&amp;$B52,'Gastos com Pessoal'!$I$532:$AJ$532&amp;'Gastos com Pessoal'!$I$6:$AJ$6,0),500,1)),0)+_xlfn.IFNA(SUM((K$3&gt;='Gastos com Pessoal'!$E$7:$E$506)*(K$3&lt;='Gastos com Pessoal'!$F$7:$F$506)*(IF('Gastos com Pessoal'!$Y$7:$Y$506&lt;=K$3,1,0))*OFFSET('Gastos com Pessoal'!$H$6,1,MATCH(4&amp;$B52,'Gastos com Pessoal'!$I$532:$AJ$532&amp;'Gastos com Pessoal'!$I$6:$AJ$6,0),500,1)),0)+_xlfn.IFNA(SUM((K$3&gt;='Gastos com Pessoal'!$E$7:$E$506)*(K$3&lt;='Gastos com Pessoal'!$F$7:$F$506)*(IF('Gastos com Pessoal'!$AE$7:$AE$506&lt;=K$3,1,0))*OFFSET('Gastos com Pessoal'!$H$6,1,MATCH(5&amp;$B52,'Gastos com Pessoal'!$I$532:$AJ$532&amp;'Gastos com Pessoal'!$I$6:$AJ$6,0),500,1)),0)+_xlfn.IFNA(SUM((K$3&gt;='Gastos com Pessoal'!$E$513:$E$522)*(K$3&lt;='Gastos com Pessoal'!$F$513:$F$522)*(IF('Gastos com Pessoal'!$G$513:$G$522&lt;=K$3,1,0))*OFFSET('Gastos com Pessoal'!$H$512,1,MATCH(1&amp;$B52,'Gastos com Pessoal'!$I$532:$AJ$532&amp;'Gastos com Pessoal'!$I$512:$AJ$512,0),10,1)),0)+_xlfn.IFNA(SUM((K$3&gt;='Gastos com Pessoal'!$E$513:$E$522)*(K$3&lt;='Gastos com Pessoal'!$F$513:$F$522)*(IF('Gastos com Pessoal'!$M$513:$M$522&lt;=K$3,1,0))*OFFSET('Gastos com Pessoal'!$H$512,1,MATCH(2&amp;$B52,'Gastos com Pessoal'!$I$532:$AJ$532&amp;'Gastos com Pessoal'!$I$512:$AJ$512,0),10,1)),0)+_xlfn.IFNA(SUM((K$3&gt;='Gastos com Pessoal'!$E$513:$E$522)*(K$3&lt;='Gastos com Pessoal'!$F$513:$F$522)*(IF('Gastos com Pessoal'!$S$513:$S$522&lt;=K$3,1,0))*OFFSET('Gastos com Pessoal'!$H$512,1,MATCH(3&amp;$B52,'Gastos com Pessoal'!$I$532:$AJ$532&amp;'Gastos com Pessoal'!$I$512:$AJ$512,0),10,1)),0)+_xlfn.IFNA(SUM((K$3&gt;='Gastos com Pessoal'!$E$513:$E$522)*(K$3&lt;='Gastos com Pessoal'!$F$513:$F$522)*(IF('Gastos com Pessoal'!$Y$513:$Y$522&lt;=K$3,1,0))*OFFSET('Gastos com Pessoal'!$H$512,1,MATCH(4&amp;$B52,'Gastos com Pessoal'!$I$532:$AJ$532&amp;'Gastos com Pessoal'!$I$512:$AJ$512,0),10,1)),0)+_xlfn.IFNA(SUM((K$3&gt;='Gastos com Pessoal'!$E$513:$E$522)*(K$3&lt;='Gastos com Pessoal'!$F$513:$F$522)*(IF('Gastos com Pessoal'!$AE$513:$AE$522&lt;=K$3,1,0))*OFFSET('Gastos com Pessoal'!$H$512,1,MATCH(5&amp;$B52,'Gastos com Pessoal'!$I$532:$AJ$532&amp;'Gastos com Pessoal'!$I$512:$AJ$512,0),10,1)),0)</f>
        <v>11548.660000000003</v>
      </c>
      <c r="L52" s="188">
        <f t="array" aca="1" ref="L52" ca="1">_xlfn.IFNA(SUM((L$3&gt;='Gastos com Pessoal'!$E$7:$E$506)*(L$3&lt;='Gastos com Pessoal'!$F$7:$F$506)*OFFSET('Encargos e Benefícios'!$D$5,1,MATCH($B52,'Encargos e Benefícios'!$E$5:$AB$5,0),500,1)),0)+_xlfn.IFNA(SUM((L$3&gt;='Gastos com Pessoal'!$E$513:$E$522)*(L$3&lt;='Gastos com Pessoal'!$F$513:$F$522)*OFFSET('Encargos e Benefícios'!$D$511,1,MATCH($B52,'Encargos e Benefícios'!$E$511:$AB$511,0),10,1)),0)+_xlfn.IFNA(SUM((L$3&gt;='Gastos com Pessoal'!$E$7:$E$506)*(L$3&lt;='Gastos com Pessoal'!$F$7:$F$506)*(IF('Gastos com Pessoal'!$G$7:$G$506&lt;=L$3,1,0))*OFFSET('Gastos com Pessoal'!$H$6,1,MATCH(1&amp;$B52,'Gastos com Pessoal'!$I$532:$AJ$532&amp;'Gastos com Pessoal'!$I$6:$AJ$6,0),500,1)),0)+_xlfn.IFNA(SUM((L$3&gt;='Gastos com Pessoal'!$E$7:$E$506)*(L$3&lt;='Gastos com Pessoal'!$F$7:$F$506)*(IF('Gastos com Pessoal'!$M$7:$M$506&lt;=L$3,1,0))*OFFSET('Gastos com Pessoal'!$H$6,1,MATCH(2&amp;$B52,'Gastos com Pessoal'!$I$532:$AJ$532&amp;'Gastos com Pessoal'!$I$6:$AJ$6,0),500,1)),0)+_xlfn.IFNA(SUM((L$3&gt;='Gastos com Pessoal'!$E$7:$E$506)*(L$3&lt;='Gastos com Pessoal'!$F$7:$F$506)*(IF('Gastos com Pessoal'!$S$7:$S$506&lt;=L$3,1,0))*OFFSET('Gastos com Pessoal'!$H$6,1,MATCH(3&amp;$B52,'Gastos com Pessoal'!$I$532:$AJ$532&amp;'Gastos com Pessoal'!$I$6:$AJ$6,0),500,1)),0)+_xlfn.IFNA(SUM((L$3&gt;='Gastos com Pessoal'!$E$7:$E$506)*(L$3&lt;='Gastos com Pessoal'!$F$7:$F$506)*(IF('Gastos com Pessoal'!$Y$7:$Y$506&lt;=L$3,1,0))*OFFSET('Gastos com Pessoal'!$H$6,1,MATCH(4&amp;$B52,'Gastos com Pessoal'!$I$532:$AJ$532&amp;'Gastos com Pessoal'!$I$6:$AJ$6,0),500,1)),0)+_xlfn.IFNA(SUM((L$3&gt;='Gastos com Pessoal'!$E$7:$E$506)*(L$3&lt;='Gastos com Pessoal'!$F$7:$F$506)*(IF('Gastos com Pessoal'!$AE$7:$AE$506&lt;=L$3,1,0))*OFFSET('Gastos com Pessoal'!$H$6,1,MATCH(5&amp;$B52,'Gastos com Pessoal'!$I$532:$AJ$532&amp;'Gastos com Pessoal'!$I$6:$AJ$6,0),500,1)),0)+_xlfn.IFNA(SUM((L$3&gt;='Gastos com Pessoal'!$E$513:$E$522)*(L$3&lt;='Gastos com Pessoal'!$F$513:$F$522)*(IF('Gastos com Pessoal'!$G$513:$G$522&lt;=L$3,1,0))*OFFSET('Gastos com Pessoal'!$H$512,1,MATCH(1&amp;$B52,'Gastos com Pessoal'!$I$532:$AJ$532&amp;'Gastos com Pessoal'!$I$512:$AJ$512,0),10,1)),0)+_xlfn.IFNA(SUM((L$3&gt;='Gastos com Pessoal'!$E$513:$E$522)*(L$3&lt;='Gastos com Pessoal'!$F$513:$F$522)*(IF('Gastos com Pessoal'!$M$513:$M$522&lt;=L$3,1,0))*OFFSET('Gastos com Pessoal'!$H$512,1,MATCH(2&amp;$B52,'Gastos com Pessoal'!$I$532:$AJ$532&amp;'Gastos com Pessoal'!$I$512:$AJ$512,0),10,1)),0)+_xlfn.IFNA(SUM((L$3&gt;='Gastos com Pessoal'!$E$513:$E$522)*(L$3&lt;='Gastos com Pessoal'!$F$513:$F$522)*(IF('Gastos com Pessoal'!$S$513:$S$522&lt;=L$3,1,0))*OFFSET('Gastos com Pessoal'!$H$512,1,MATCH(3&amp;$B52,'Gastos com Pessoal'!$I$532:$AJ$532&amp;'Gastos com Pessoal'!$I$512:$AJ$512,0),10,1)),0)+_xlfn.IFNA(SUM((L$3&gt;='Gastos com Pessoal'!$E$513:$E$522)*(L$3&lt;='Gastos com Pessoal'!$F$513:$F$522)*(IF('Gastos com Pessoal'!$Y$513:$Y$522&lt;=L$3,1,0))*OFFSET('Gastos com Pessoal'!$H$512,1,MATCH(4&amp;$B52,'Gastos com Pessoal'!$I$532:$AJ$532&amp;'Gastos com Pessoal'!$I$512:$AJ$512,0),10,1)),0)+_xlfn.IFNA(SUM((L$3&gt;='Gastos com Pessoal'!$E$513:$E$522)*(L$3&lt;='Gastos com Pessoal'!$F$513:$F$522)*(IF('Gastos com Pessoal'!$AE$513:$AE$522&lt;=L$3,1,0))*OFFSET('Gastos com Pessoal'!$H$512,1,MATCH(5&amp;$B52,'Gastos com Pessoal'!$I$532:$AJ$532&amp;'Gastos com Pessoal'!$I$512:$AJ$512,0),10,1)),0)</f>
        <v>11585.700000000004</v>
      </c>
      <c r="M52" s="188">
        <f t="array" aca="1" ref="M52" ca="1">_xlfn.IFNA(SUM((M$3&gt;='Gastos com Pessoal'!$E$7:$E$506)*(M$3&lt;='Gastos com Pessoal'!$F$7:$F$506)*OFFSET('Encargos e Benefícios'!$D$5,1,MATCH($B52,'Encargos e Benefícios'!$E$5:$AB$5,0),500,1)),0)+_xlfn.IFNA(SUM((M$3&gt;='Gastos com Pessoal'!$E$513:$E$522)*(M$3&lt;='Gastos com Pessoal'!$F$513:$F$522)*OFFSET('Encargos e Benefícios'!$D$511,1,MATCH($B52,'Encargos e Benefícios'!$E$511:$AB$511,0),10,1)),0)+_xlfn.IFNA(SUM((M$3&gt;='Gastos com Pessoal'!$E$7:$E$506)*(M$3&lt;='Gastos com Pessoal'!$F$7:$F$506)*(IF('Gastos com Pessoal'!$G$7:$G$506&lt;=M$3,1,0))*OFFSET('Gastos com Pessoal'!$H$6,1,MATCH(1&amp;$B52,'Gastos com Pessoal'!$I$532:$AJ$532&amp;'Gastos com Pessoal'!$I$6:$AJ$6,0),500,1)),0)+_xlfn.IFNA(SUM((M$3&gt;='Gastos com Pessoal'!$E$7:$E$506)*(M$3&lt;='Gastos com Pessoal'!$F$7:$F$506)*(IF('Gastos com Pessoal'!$M$7:$M$506&lt;=M$3,1,0))*OFFSET('Gastos com Pessoal'!$H$6,1,MATCH(2&amp;$B52,'Gastos com Pessoal'!$I$532:$AJ$532&amp;'Gastos com Pessoal'!$I$6:$AJ$6,0),500,1)),0)+_xlfn.IFNA(SUM((M$3&gt;='Gastos com Pessoal'!$E$7:$E$506)*(M$3&lt;='Gastos com Pessoal'!$F$7:$F$506)*(IF('Gastos com Pessoal'!$S$7:$S$506&lt;=M$3,1,0))*OFFSET('Gastos com Pessoal'!$H$6,1,MATCH(3&amp;$B52,'Gastos com Pessoal'!$I$532:$AJ$532&amp;'Gastos com Pessoal'!$I$6:$AJ$6,0),500,1)),0)+_xlfn.IFNA(SUM((M$3&gt;='Gastos com Pessoal'!$E$7:$E$506)*(M$3&lt;='Gastos com Pessoal'!$F$7:$F$506)*(IF('Gastos com Pessoal'!$Y$7:$Y$506&lt;=M$3,1,0))*OFFSET('Gastos com Pessoal'!$H$6,1,MATCH(4&amp;$B52,'Gastos com Pessoal'!$I$532:$AJ$532&amp;'Gastos com Pessoal'!$I$6:$AJ$6,0),500,1)),0)+_xlfn.IFNA(SUM((M$3&gt;='Gastos com Pessoal'!$E$7:$E$506)*(M$3&lt;='Gastos com Pessoal'!$F$7:$F$506)*(IF('Gastos com Pessoal'!$AE$7:$AE$506&lt;=M$3,1,0))*OFFSET('Gastos com Pessoal'!$H$6,1,MATCH(5&amp;$B52,'Gastos com Pessoal'!$I$532:$AJ$532&amp;'Gastos com Pessoal'!$I$6:$AJ$6,0),500,1)),0)+_xlfn.IFNA(SUM((M$3&gt;='Gastos com Pessoal'!$E$513:$E$522)*(M$3&lt;='Gastos com Pessoal'!$F$513:$F$522)*(IF('Gastos com Pessoal'!$G$513:$G$522&lt;=M$3,1,0))*OFFSET('Gastos com Pessoal'!$H$512,1,MATCH(1&amp;$B52,'Gastos com Pessoal'!$I$532:$AJ$532&amp;'Gastos com Pessoal'!$I$512:$AJ$512,0),10,1)),0)+_xlfn.IFNA(SUM((M$3&gt;='Gastos com Pessoal'!$E$513:$E$522)*(M$3&lt;='Gastos com Pessoal'!$F$513:$F$522)*(IF('Gastos com Pessoal'!$M$513:$M$522&lt;=M$3,1,0))*OFFSET('Gastos com Pessoal'!$H$512,1,MATCH(2&amp;$B52,'Gastos com Pessoal'!$I$532:$AJ$532&amp;'Gastos com Pessoal'!$I$512:$AJ$512,0),10,1)),0)+_xlfn.IFNA(SUM((M$3&gt;='Gastos com Pessoal'!$E$513:$E$522)*(M$3&lt;='Gastos com Pessoal'!$F$513:$F$522)*(IF('Gastos com Pessoal'!$S$513:$S$522&lt;=M$3,1,0))*OFFSET('Gastos com Pessoal'!$H$512,1,MATCH(3&amp;$B52,'Gastos com Pessoal'!$I$532:$AJ$532&amp;'Gastos com Pessoal'!$I$512:$AJ$512,0),10,1)),0)+_xlfn.IFNA(SUM((M$3&gt;='Gastos com Pessoal'!$E$513:$E$522)*(M$3&lt;='Gastos com Pessoal'!$F$513:$F$522)*(IF('Gastos com Pessoal'!$Y$513:$Y$522&lt;=M$3,1,0))*OFFSET('Gastos com Pessoal'!$H$512,1,MATCH(4&amp;$B52,'Gastos com Pessoal'!$I$532:$AJ$532&amp;'Gastos com Pessoal'!$I$512:$AJ$512,0),10,1)),0)+_xlfn.IFNA(SUM((M$3&gt;='Gastos com Pessoal'!$E$513:$E$522)*(M$3&lt;='Gastos com Pessoal'!$F$513:$F$522)*(IF('Gastos com Pessoal'!$AE$513:$AE$522&lt;=M$3,1,0))*OFFSET('Gastos com Pessoal'!$H$512,1,MATCH(5&amp;$B52,'Gastos com Pessoal'!$I$532:$AJ$532&amp;'Gastos com Pessoal'!$I$512:$AJ$512,0),10,1)),0)</f>
        <v>11585.700000000004</v>
      </c>
      <c r="N52" s="188">
        <f t="array" aca="1" ref="N52" ca="1">_xlfn.IFNA(SUM((N$3&gt;='Gastos com Pessoal'!$E$7:$E$506)*(N$3&lt;='Gastos com Pessoal'!$F$7:$F$506)*OFFSET('Encargos e Benefícios'!$D$5,1,MATCH($B52,'Encargos e Benefícios'!$E$5:$AB$5,0),500,1)),0)+_xlfn.IFNA(SUM((N$3&gt;='Gastos com Pessoal'!$E$513:$E$522)*(N$3&lt;='Gastos com Pessoal'!$F$513:$F$522)*OFFSET('Encargos e Benefícios'!$D$511,1,MATCH($B52,'Encargos e Benefícios'!$E$511:$AB$511,0),10,1)),0)+_xlfn.IFNA(SUM((N$3&gt;='Gastos com Pessoal'!$E$7:$E$506)*(N$3&lt;='Gastos com Pessoal'!$F$7:$F$506)*(IF('Gastos com Pessoal'!$G$7:$G$506&lt;=N$3,1,0))*OFFSET('Gastos com Pessoal'!$H$6,1,MATCH(1&amp;$B52,'Gastos com Pessoal'!$I$532:$AJ$532&amp;'Gastos com Pessoal'!$I$6:$AJ$6,0),500,1)),0)+_xlfn.IFNA(SUM((N$3&gt;='Gastos com Pessoal'!$E$7:$E$506)*(N$3&lt;='Gastos com Pessoal'!$F$7:$F$506)*(IF('Gastos com Pessoal'!$M$7:$M$506&lt;=N$3,1,0))*OFFSET('Gastos com Pessoal'!$H$6,1,MATCH(2&amp;$B52,'Gastos com Pessoal'!$I$532:$AJ$532&amp;'Gastos com Pessoal'!$I$6:$AJ$6,0),500,1)),0)+_xlfn.IFNA(SUM((N$3&gt;='Gastos com Pessoal'!$E$7:$E$506)*(N$3&lt;='Gastos com Pessoal'!$F$7:$F$506)*(IF('Gastos com Pessoal'!$S$7:$S$506&lt;=N$3,1,0))*OFFSET('Gastos com Pessoal'!$H$6,1,MATCH(3&amp;$B52,'Gastos com Pessoal'!$I$532:$AJ$532&amp;'Gastos com Pessoal'!$I$6:$AJ$6,0),500,1)),0)+_xlfn.IFNA(SUM((N$3&gt;='Gastos com Pessoal'!$E$7:$E$506)*(N$3&lt;='Gastos com Pessoal'!$F$7:$F$506)*(IF('Gastos com Pessoal'!$Y$7:$Y$506&lt;=N$3,1,0))*OFFSET('Gastos com Pessoal'!$H$6,1,MATCH(4&amp;$B52,'Gastos com Pessoal'!$I$532:$AJ$532&amp;'Gastos com Pessoal'!$I$6:$AJ$6,0),500,1)),0)+_xlfn.IFNA(SUM((N$3&gt;='Gastos com Pessoal'!$E$7:$E$506)*(N$3&lt;='Gastos com Pessoal'!$F$7:$F$506)*(IF('Gastos com Pessoal'!$AE$7:$AE$506&lt;=N$3,1,0))*OFFSET('Gastos com Pessoal'!$H$6,1,MATCH(5&amp;$B52,'Gastos com Pessoal'!$I$532:$AJ$532&amp;'Gastos com Pessoal'!$I$6:$AJ$6,0),500,1)),0)+_xlfn.IFNA(SUM((N$3&gt;='Gastos com Pessoal'!$E$513:$E$522)*(N$3&lt;='Gastos com Pessoal'!$F$513:$F$522)*(IF('Gastos com Pessoal'!$G$513:$G$522&lt;=N$3,1,0))*OFFSET('Gastos com Pessoal'!$H$512,1,MATCH(1&amp;$B52,'Gastos com Pessoal'!$I$532:$AJ$532&amp;'Gastos com Pessoal'!$I$512:$AJ$512,0),10,1)),0)+_xlfn.IFNA(SUM((N$3&gt;='Gastos com Pessoal'!$E$513:$E$522)*(N$3&lt;='Gastos com Pessoal'!$F$513:$F$522)*(IF('Gastos com Pessoal'!$M$513:$M$522&lt;=N$3,1,0))*OFFSET('Gastos com Pessoal'!$H$512,1,MATCH(2&amp;$B52,'Gastos com Pessoal'!$I$532:$AJ$532&amp;'Gastos com Pessoal'!$I$512:$AJ$512,0),10,1)),0)+_xlfn.IFNA(SUM((N$3&gt;='Gastos com Pessoal'!$E$513:$E$522)*(N$3&lt;='Gastos com Pessoal'!$F$513:$F$522)*(IF('Gastos com Pessoal'!$S$513:$S$522&lt;=N$3,1,0))*OFFSET('Gastos com Pessoal'!$H$512,1,MATCH(3&amp;$B52,'Gastos com Pessoal'!$I$532:$AJ$532&amp;'Gastos com Pessoal'!$I$512:$AJ$512,0),10,1)),0)+_xlfn.IFNA(SUM((N$3&gt;='Gastos com Pessoal'!$E$513:$E$522)*(N$3&lt;='Gastos com Pessoal'!$F$513:$F$522)*(IF('Gastos com Pessoal'!$Y$513:$Y$522&lt;=N$3,1,0))*OFFSET('Gastos com Pessoal'!$H$512,1,MATCH(4&amp;$B52,'Gastos com Pessoal'!$I$532:$AJ$532&amp;'Gastos com Pessoal'!$I$512:$AJ$512,0),10,1)),0)+_xlfn.IFNA(SUM((N$3&gt;='Gastos com Pessoal'!$E$513:$E$522)*(N$3&lt;='Gastos com Pessoal'!$F$513:$F$522)*(IF('Gastos com Pessoal'!$AE$513:$AE$522&lt;=N$3,1,0))*OFFSET('Gastos com Pessoal'!$H$512,1,MATCH(5&amp;$B52,'Gastos com Pessoal'!$I$532:$AJ$532&amp;'Gastos com Pessoal'!$I$512:$AJ$512,0),10,1)),0)</f>
        <v>12159.820000000009</v>
      </c>
      <c r="O52" s="188">
        <f t="array" aca="1" ref="O52" ca="1">_xlfn.IFNA(SUM((O$3&gt;='Gastos com Pessoal'!$E$7:$E$506)*(O$3&lt;='Gastos com Pessoal'!$F$7:$F$506)*OFFSET('Encargos e Benefícios'!$D$5,1,MATCH($B52,'Encargos e Benefícios'!$E$5:$AB$5,0),500,1)),0)+_xlfn.IFNA(SUM((O$3&gt;='Gastos com Pessoal'!$E$513:$E$522)*(O$3&lt;='Gastos com Pessoal'!$F$513:$F$522)*OFFSET('Encargos e Benefícios'!$D$511,1,MATCH($B52,'Encargos e Benefícios'!$E$511:$AB$511,0),10,1)),0)+_xlfn.IFNA(SUM((O$3&gt;='Gastos com Pessoal'!$E$7:$E$506)*(O$3&lt;='Gastos com Pessoal'!$F$7:$F$506)*(IF('Gastos com Pessoal'!$G$7:$G$506&lt;=O$3,1,0))*OFFSET('Gastos com Pessoal'!$H$6,1,MATCH(1&amp;$B52,'Gastos com Pessoal'!$I$532:$AJ$532&amp;'Gastos com Pessoal'!$I$6:$AJ$6,0),500,1)),0)+_xlfn.IFNA(SUM((O$3&gt;='Gastos com Pessoal'!$E$7:$E$506)*(O$3&lt;='Gastos com Pessoal'!$F$7:$F$506)*(IF('Gastos com Pessoal'!$M$7:$M$506&lt;=O$3,1,0))*OFFSET('Gastos com Pessoal'!$H$6,1,MATCH(2&amp;$B52,'Gastos com Pessoal'!$I$532:$AJ$532&amp;'Gastos com Pessoal'!$I$6:$AJ$6,0),500,1)),0)+_xlfn.IFNA(SUM((O$3&gt;='Gastos com Pessoal'!$E$7:$E$506)*(O$3&lt;='Gastos com Pessoal'!$F$7:$F$506)*(IF('Gastos com Pessoal'!$S$7:$S$506&lt;=O$3,1,0))*OFFSET('Gastos com Pessoal'!$H$6,1,MATCH(3&amp;$B52,'Gastos com Pessoal'!$I$532:$AJ$532&amp;'Gastos com Pessoal'!$I$6:$AJ$6,0),500,1)),0)+_xlfn.IFNA(SUM((O$3&gt;='Gastos com Pessoal'!$E$7:$E$506)*(O$3&lt;='Gastos com Pessoal'!$F$7:$F$506)*(IF('Gastos com Pessoal'!$Y$7:$Y$506&lt;=O$3,1,0))*OFFSET('Gastos com Pessoal'!$H$6,1,MATCH(4&amp;$B52,'Gastos com Pessoal'!$I$532:$AJ$532&amp;'Gastos com Pessoal'!$I$6:$AJ$6,0),500,1)),0)+_xlfn.IFNA(SUM((O$3&gt;='Gastos com Pessoal'!$E$7:$E$506)*(O$3&lt;='Gastos com Pessoal'!$F$7:$F$506)*(IF('Gastos com Pessoal'!$AE$7:$AE$506&lt;=O$3,1,0))*OFFSET('Gastos com Pessoal'!$H$6,1,MATCH(5&amp;$B52,'Gastos com Pessoal'!$I$532:$AJ$532&amp;'Gastos com Pessoal'!$I$6:$AJ$6,0),500,1)),0)+_xlfn.IFNA(SUM((O$3&gt;='Gastos com Pessoal'!$E$513:$E$522)*(O$3&lt;='Gastos com Pessoal'!$F$513:$F$522)*(IF('Gastos com Pessoal'!$G$513:$G$522&lt;=O$3,1,0))*OFFSET('Gastos com Pessoal'!$H$512,1,MATCH(1&amp;$B52,'Gastos com Pessoal'!$I$532:$AJ$532&amp;'Gastos com Pessoal'!$I$512:$AJ$512,0),10,1)),0)+_xlfn.IFNA(SUM((O$3&gt;='Gastos com Pessoal'!$E$513:$E$522)*(O$3&lt;='Gastos com Pessoal'!$F$513:$F$522)*(IF('Gastos com Pessoal'!$M$513:$M$522&lt;=O$3,1,0))*OFFSET('Gastos com Pessoal'!$H$512,1,MATCH(2&amp;$B52,'Gastos com Pessoal'!$I$532:$AJ$532&amp;'Gastos com Pessoal'!$I$512:$AJ$512,0),10,1)),0)+_xlfn.IFNA(SUM((O$3&gt;='Gastos com Pessoal'!$E$513:$E$522)*(O$3&lt;='Gastos com Pessoal'!$F$513:$F$522)*(IF('Gastos com Pessoal'!$S$513:$S$522&lt;=O$3,1,0))*OFFSET('Gastos com Pessoal'!$H$512,1,MATCH(3&amp;$B52,'Gastos com Pessoal'!$I$532:$AJ$532&amp;'Gastos com Pessoal'!$I$512:$AJ$512,0),10,1)),0)+_xlfn.IFNA(SUM((O$3&gt;='Gastos com Pessoal'!$E$513:$E$522)*(O$3&lt;='Gastos com Pessoal'!$F$513:$F$522)*(IF('Gastos com Pessoal'!$Y$513:$Y$522&lt;=O$3,1,0))*OFFSET('Gastos com Pessoal'!$H$512,1,MATCH(4&amp;$B52,'Gastos com Pessoal'!$I$532:$AJ$532&amp;'Gastos com Pessoal'!$I$512:$AJ$512,0),10,1)),0)+_xlfn.IFNA(SUM((O$3&gt;='Gastos com Pessoal'!$E$513:$E$522)*(O$3&lt;='Gastos com Pessoal'!$F$513:$F$522)*(IF('Gastos com Pessoal'!$AE$513:$AE$522&lt;=O$3,1,0))*OFFSET('Gastos com Pessoal'!$H$512,1,MATCH(5&amp;$B52,'Gastos com Pessoal'!$I$532:$AJ$532&amp;'Gastos com Pessoal'!$I$512:$AJ$512,0),10,1)),0)</f>
        <v>12159.820000000009</v>
      </c>
      <c r="P52" s="188">
        <f t="array" aca="1" ref="P52" ca="1">_xlfn.IFNA(SUM((P$3&gt;='Gastos com Pessoal'!$E$7:$E$506)*(P$3&lt;='Gastos com Pessoal'!$F$7:$F$506)*OFFSET('Encargos e Benefícios'!$D$5,1,MATCH($B52,'Encargos e Benefícios'!$E$5:$AB$5,0),500,1)),0)+_xlfn.IFNA(SUM((P$3&gt;='Gastos com Pessoal'!$E$513:$E$522)*(P$3&lt;='Gastos com Pessoal'!$F$513:$F$522)*OFFSET('Encargos e Benefícios'!$D$511,1,MATCH($B52,'Encargos e Benefícios'!$E$511:$AB$511,0),10,1)),0)+_xlfn.IFNA(SUM((P$3&gt;='Gastos com Pessoal'!$E$7:$E$506)*(P$3&lt;='Gastos com Pessoal'!$F$7:$F$506)*(IF('Gastos com Pessoal'!$G$7:$G$506&lt;=P$3,1,0))*OFFSET('Gastos com Pessoal'!$H$6,1,MATCH(1&amp;$B52,'Gastos com Pessoal'!$I$532:$AJ$532&amp;'Gastos com Pessoal'!$I$6:$AJ$6,0),500,1)),0)+_xlfn.IFNA(SUM((P$3&gt;='Gastos com Pessoal'!$E$7:$E$506)*(P$3&lt;='Gastos com Pessoal'!$F$7:$F$506)*(IF('Gastos com Pessoal'!$M$7:$M$506&lt;=P$3,1,0))*OFFSET('Gastos com Pessoal'!$H$6,1,MATCH(2&amp;$B52,'Gastos com Pessoal'!$I$532:$AJ$532&amp;'Gastos com Pessoal'!$I$6:$AJ$6,0),500,1)),0)+_xlfn.IFNA(SUM((P$3&gt;='Gastos com Pessoal'!$E$7:$E$506)*(P$3&lt;='Gastos com Pessoal'!$F$7:$F$506)*(IF('Gastos com Pessoal'!$S$7:$S$506&lt;=P$3,1,0))*OFFSET('Gastos com Pessoal'!$H$6,1,MATCH(3&amp;$B52,'Gastos com Pessoal'!$I$532:$AJ$532&amp;'Gastos com Pessoal'!$I$6:$AJ$6,0),500,1)),0)+_xlfn.IFNA(SUM((P$3&gt;='Gastos com Pessoal'!$E$7:$E$506)*(P$3&lt;='Gastos com Pessoal'!$F$7:$F$506)*(IF('Gastos com Pessoal'!$Y$7:$Y$506&lt;=P$3,1,0))*OFFSET('Gastos com Pessoal'!$H$6,1,MATCH(4&amp;$B52,'Gastos com Pessoal'!$I$532:$AJ$532&amp;'Gastos com Pessoal'!$I$6:$AJ$6,0),500,1)),0)+_xlfn.IFNA(SUM((P$3&gt;='Gastos com Pessoal'!$E$7:$E$506)*(P$3&lt;='Gastos com Pessoal'!$F$7:$F$506)*(IF('Gastos com Pessoal'!$AE$7:$AE$506&lt;=P$3,1,0))*OFFSET('Gastos com Pessoal'!$H$6,1,MATCH(5&amp;$B52,'Gastos com Pessoal'!$I$532:$AJ$532&amp;'Gastos com Pessoal'!$I$6:$AJ$6,0),500,1)),0)+_xlfn.IFNA(SUM((P$3&gt;='Gastos com Pessoal'!$E$513:$E$522)*(P$3&lt;='Gastos com Pessoal'!$F$513:$F$522)*(IF('Gastos com Pessoal'!$G$513:$G$522&lt;=P$3,1,0))*OFFSET('Gastos com Pessoal'!$H$512,1,MATCH(1&amp;$B52,'Gastos com Pessoal'!$I$532:$AJ$532&amp;'Gastos com Pessoal'!$I$512:$AJ$512,0),10,1)),0)+_xlfn.IFNA(SUM((P$3&gt;='Gastos com Pessoal'!$E$513:$E$522)*(P$3&lt;='Gastos com Pessoal'!$F$513:$F$522)*(IF('Gastos com Pessoal'!$M$513:$M$522&lt;=P$3,1,0))*OFFSET('Gastos com Pessoal'!$H$512,1,MATCH(2&amp;$B52,'Gastos com Pessoal'!$I$532:$AJ$532&amp;'Gastos com Pessoal'!$I$512:$AJ$512,0),10,1)),0)+_xlfn.IFNA(SUM((P$3&gt;='Gastos com Pessoal'!$E$513:$E$522)*(P$3&lt;='Gastos com Pessoal'!$F$513:$F$522)*(IF('Gastos com Pessoal'!$S$513:$S$522&lt;=P$3,1,0))*OFFSET('Gastos com Pessoal'!$H$512,1,MATCH(3&amp;$B52,'Gastos com Pessoal'!$I$532:$AJ$532&amp;'Gastos com Pessoal'!$I$512:$AJ$512,0),10,1)),0)+_xlfn.IFNA(SUM((P$3&gt;='Gastos com Pessoal'!$E$513:$E$522)*(P$3&lt;='Gastos com Pessoal'!$F$513:$F$522)*(IF('Gastos com Pessoal'!$Y$513:$Y$522&lt;=P$3,1,0))*OFFSET('Gastos com Pessoal'!$H$512,1,MATCH(4&amp;$B52,'Gastos com Pessoal'!$I$532:$AJ$532&amp;'Gastos com Pessoal'!$I$512:$AJ$512,0),10,1)),0)+_xlfn.IFNA(SUM((P$3&gt;='Gastos com Pessoal'!$E$513:$E$522)*(P$3&lt;='Gastos com Pessoal'!$F$513:$F$522)*(IF('Gastos com Pessoal'!$AE$513:$AE$522&lt;=P$3,1,0))*OFFSET('Gastos com Pessoal'!$H$512,1,MATCH(5&amp;$B52,'Gastos com Pessoal'!$I$532:$AJ$532&amp;'Gastos com Pessoal'!$I$512:$AJ$512,0),10,1)),0)</f>
        <v>12159.820000000009</v>
      </c>
      <c r="Q52" s="188">
        <f t="array" aca="1" ref="Q52" ca="1">_xlfn.IFNA(SUM((Q$3&gt;='Gastos com Pessoal'!$E$7:$E$506)*(Q$3&lt;='Gastos com Pessoal'!$F$7:$F$506)*OFFSET('Encargos e Benefícios'!$D$5,1,MATCH($B52,'Encargos e Benefícios'!$E$5:$AB$5,0),500,1)),0)+_xlfn.IFNA(SUM((Q$3&gt;='Gastos com Pessoal'!$E$513:$E$522)*(Q$3&lt;='Gastos com Pessoal'!$F$513:$F$522)*OFFSET('Encargos e Benefícios'!$D$511,1,MATCH($B52,'Encargos e Benefícios'!$E$511:$AB$511,0),10,1)),0)+_xlfn.IFNA(SUM((Q$3&gt;='Gastos com Pessoal'!$E$7:$E$506)*(Q$3&lt;='Gastos com Pessoal'!$F$7:$F$506)*(IF('Gastos com Pessoal'!$G$7:$G$506&lt;=Q$3,1,0))*OFFSET('Gastos com Pessoal'!$H$6,1,MATCH(1&amp;$B52,'Gastos com Pessoal'!$I$532:$AJ$532&amp;'Gastos com Pessoal'!$I$6:$AJ$6,0),500,1)),0)+_xlfn.IFNA(SUM((Q$3&gt;='Gastos com Pessoal'!$E$7:$E$506)*(Q$3&lt;='Gastos com Pessoal'!$F$7:$F$506)*(IF('Gastos com Pessoal'!$M$7:$M$506&lt;=Q$3,1,0))*OFFSET('Gastos com Pessoal'!$H$6,1,MATCH(2&amp;$B52,'Gastos com Pessoal'!$I$532:$AJ$532&amp;'Gastos com Pessoal'!$I$6:$AJ$6,0),500,1)),0)+_xlfn.IFNA(SUM((Q$3&gt;='Gastos com Pessoal'!$E$7:$E$506)*(Q$3&lt;='Gastos com Pessoal'!$F$7:$F$506)*(IF('Gastos com Pessoal'!$S$7:$S$506&lt;=Q$3,1,0))*OFFSET('Gastos com Pessoal'!$H$6,1,MATCH(3&amp;$B52,'Gastos com Pessoal'!$I$532:$AJ$532&amp;'Gastos com Pessoal'!$I$6:$AJ$6,0),500,1)),0)+_xlfn.IFNA(SUM((Q$3&gt;='Gastos com Pessoal'!$E$7:$E$506)*(Q$3&lt;='Gastos com Pessoal'!$F$7:$F$506)*(IF('Gastos com Pessoal'!$Y$7:$Y$506&lt;=Q$3,1,0))*OFFSET('Gastos com Pessoal'!$H$6,1,MATCH(4&amp;$B52,'Gastos com Pessoal'!$I$532:$AJ$532&amp;'Gastos com Pessoal'!$I$6:$AJ$6,0),500,1)),0)+_xlfn.IFNA(SUM((Q$3&gt;='Gastos com Pessoal'!$E$7:$E$506)*(Q$3&lt;='Gastos com Pessoal'!$F$7:$F$506)*(IF('Gastos com Pessoal'!$AE$7:$AE$506&lt;=Q$3,1,0))*OFFSET('Gastos com Pessoal'!$H$6,1,MATCH(5&amp;$B52,'Gastos com Pessoal'!$I$532:$AJ$532&amp;'Gastos com Pessoal'!$I$6:$AJ$6,0),500,1)),0)+_xlfn.IFNA(SUM((Q$3&gt;='Gastos com Pessoal'!$E$513:$E$522)*(Q$3&lt;='Gastos com Pessoal'!$F$513:$F$522)*(IF('Gastos com Pessoal'!$G$513:$G$522&lt;=Q$3,1,0))*OFFSET('Gastos com Pessoal'!$H$512,1,MATCH(1&amp;$B52,'Gastos com Pessoal'!$I$532:$AJ$532&amp;'Gastos com Pessoal'!$I$512:$AJ$512,0),10,1)),0)+_xlfn.IFNA(SUM((Q$3&gt;='Gastos com Pessoal'!$E$513:$E$522)*(Q$3&lt;='Gastos com Pessoal'!$F$513:$F$522)*(IF('Gastos com Pessoal'!$M$513:$M$522&lt;=Q$3,1,0))*OFFSET('Gastos com Pessoal'!$H$512,1,MATCH(2&amp;$B52,'Gastos com Pessoal'!$I$532:$AJ$532&amp;'Gastos com Pessoal'!$I$512:$AJ$512,0),10,1)),0)+_xlfn.IFNA(SUM((Q$3&gt;='Gastos com Pessoal'!$E$513:$E$522)*(Q$3&lt;='Gastos com Pessoal'!$F$513:$F$522)*(IF('Gastos com Pessoal'!$S$513:$S$522&lt;=Q$3,1,0))*OFFSET('Gastos com Pessoal'!$H$512,1,MATCH(3&amp;$B52,'Gastos com Pessoal'!$I$532:$AJ$532&amp;'Gastos com Pessoal'!$I$512:$AJ$512,0),10,1)),0)+_xlfn.IFNA(SUM((Q$3&gt;='Gastos com Pessoal'!$E$513:$E$522)*(Q$3&lt;='Gastos com Pessoal'!$F$513:$F$522)*(IF('Gastos com Pessoal'!$Y$513:$Y$522&lt;=Q$3,1,0))*OFFSET('Gastos com Pessoal'!$H$512,1,MATCH(4&amp;$B52,'Gastos com Pessoal'!$I$532:$AJ$532&amp;'Gastos com Pessoal'!$I$512:$AJ$512,0),10,1)),0)+_xlfn.IFNA(SUM((Q$3&gt;='Gastos com Pessoal'!$E$513:$E$522)*(Q$3&lt;='Gastos com Pessoal'!$F$513:$F$522)*(IF('Gastos com Pessoal'!$AE$513:$AE$522&lt;=Q$3,1,0))*OFFSET('Gastos com Pessoal'!$H$512,1,MATCH(5&amp;$B52,'Gastos com Pessoal'!$I$532:$AJ$532&amp;'Gastos com Pessoal'!$I$512:$AJ$512,0),10,1)),0)</f>
        <v>12159.820000000009</v>
      </c>
      <c r="R52" s="188">
        <f t="array" aca="1" ref="R52" ca="1">_xlfn.IFNA(SUM((R$3&gt;='Gastos com Pessoal'!$E$7:$E$506)*(R$3&lt;='Gastos com Pessoal'!$F$7:$F$506)*OFFSET('Encargos e Benefícios'!$D$5,1,MATCH($B52,'Encargos e Benefícios'!$E$5:$AB$5,0),500,1)),0)+_xlfn.IFNA(SUM((R$3&gt;='Gastos com Pessoal'!$E$513:$E$522)*(R$3&lt;='Gastos com Pessoal'!$F$513:$F$522)*OFFSET('Encargos e Benefícios'!$D$511,1,MATCH($B52,'Encargos e Benefícios'!$E$511:$AB$511,0),10,1)),0)+_xlfn.IFNA(SUM((R$3&gt;='Gastos com Pessoal'!$E$7:$E$506)*(R$3&lt;='Gastos com Pessoal'!$F$7:$F$506)*(IF('Gastos com Pessoal'!$G$7:$G$506&lt;=R$3,1,0))*OFFSET('Gastos com Pessoal'!$H$6,1,MATCH(1&amp;$B52,'Gastos com Pessoal'!$I$532:$AJ$532&amp;'Gastos com Pessoal'!$I$6:$AJ$6,0),500,1)),0)+_xlfn.IFNA(SUM((R$3&gt;='Gastos com Pessoal'!$E$7:$E$506)*(R$3&lt;='Gastos com Pessoal'!$F$7:$F$506)*(IF('Gastos com Pessoal'!$M$7:$M$506&lt;=R$3,1,0))*OFFSET('Gastos com Pessoal'!$H$6,1,MATCH(2&amp;$B52,'Gastos com Pessoal'!$I$532:$AJ$532&amp;'Gastos com Pessoal'!$I$6:$AJ$6,0),500,1)),0)+_xlfn.IFNA(SUM((R$3&gt;='Gastos com Pessoal'!$E$7:$E$506)*(R$3&lt;='Gastos com Pessoal'!$F$7:$F$506)*(IF('Gastos com Pessoal'!$S$7:$S$506&lt;=R$3,1,0))*OFFSET('Gastos com Pessoal'!$H$6,1,MATCH(3&amp;$B52,'Gastos com Pessoal'!$I$532:$AJ$532&amp;'Gastos com Pessoal'!$I$6:$AJ$6,0),500,1)),0)+_xlfn.IFNA(SUM((R$3&gt;='Gastos com Pessoal'!$E$7:$E$506)*(R$3&lt;='Gastos com Pessoal'!$F$7:$F$506)*(IF('Gastos com Pessoal'!$Y$7:$Y$506&lt;=R$3,1,0))*OFFSET('Gastos com Pessoal'!$H$6,1,MATCH(4&amp;$B52,'Gastos com Pessoal'!$I$532:$AJ$532&amp;'Gastos com Pessoal'!$I$6:$AJ$6,0),500,1)),0)+_xlfn.IFNA(SUM((R$3&gt;='Gastos com Pessoal'!$E$7:$E$506)*(R$3&lt;='Gastos com Pessoal'!$F$7:$F$506)*(IF('Gastos com Pessoal'!$AE$7:$AE$506&lt;=R$3,1,0))*OFFSET('Gastos com Pessoal'!$H$6,1,MATCH(5&amp;$B52,'Gastos com Pessoal'!$I$532:$AJ$532&amp;'Gastos com Pessoal'!$I$6:$AJ$6,0),500,1)),0)+_xlfn.IFNA(SUM((R$3&gt;='Gastos com Pessoal'!$E$513:$E$522)*(R$3&lt;='Gastos com Pessoal'!$F$513:$F$522)*(IF('Gastos com Pessoal'!$G$513:$G$522&lt;=R$3,1,0))*OFFSET('Gastos com Pessoal'!$H$512,1,MATCH(1&amp;$B52,'Gastos com Pessoal'!$I$532:$AJ$532&amp;'Gastos com Pessoal'!$I$512:$AJ$512,0),10,1)),0)+_xlfn.IFNA(SUM((R$3&gt;='Gastos com Pessoal'!$E$513:$E$522)*(R$3&lt;='Gastos com Pessoal'!$F$513:$F$522)*(IF('Gastos com Pessoal'!$M$513:$M$522&lt;=R$3,1,0))*OFFSET('Gastos com Pessoal'!$H$512,1,MATCH(2&amp;$B52,'Gastos com Pessoal'!$I$532:$AJ$532&amp;'Gastos com Pessoal'!$I$512:$AJ$512,0),10,1)),0)+_xlfn.IFNA(SUM((R$3&gt;='Gastos com Pessoal'!$E$513:$E$522)*(R$3&lt;='Gastos com Pessoal'!$F$513:$F$522)*(IF('Gastos com Pessoal'!$S$513:$S$522&lt;=R$3,1,0))*OFFSET('Gastos com Pessoal'!$H$512,1,MATCH(3&amp;$B52,'Gastos com Pessoal'!$I$532:$AJ$532&amp;'Gastos com Pessoal'!$I$512:$AJ$512,0),10,1)),0)+_xlfn.IFNA(SUM((R$3&gt;='Gastos com Pessoal'!$E$513:$E$522)*(R$3&lt;='Gastos com Pessoal'!$F$513:$F$522)*(IF('Gastos com Pessoal'!$Y$513:$Y$522&lt;=R$3,1,0))*OFFSET('Gastos com Pessoal'!$H$512,1,MATCH(4&amp;$B52,'Gastos com Pessoal'!$I$532:$AJ$532&amp;'Gastos com Pessoal'!$I$512:$AJ$512,0),10,1)),0)+_xlfn.IFNA(SUM((R$3&gt;='Gastos com Pessoal'!$E$513:$E$522)*(R$3&lt;='Gastos com Pessoal'!$F$513:$F$522)*(IF('Gastos com Pessoal'!$AE$513:$AE$522&lt;=R$3,1,0))*OFFSET('Gastos com Pessoal'!$H$512,1,MATCH(5&amp;$B52,'Gastos com Pessoal'!$I$532:$AJ$532&amp;'Gastos com Pessoal'!$I$512:$AJ$512,0),10,1)),0)</f>
        <v>12159.820000000009</v>
      </c>
      <c r="S52" s="188">
        <f t="array" aca="1" ref="S52" ca="1">_xlfn.IFNA(SUM((S$3&gt;='Gastos com Pessoal'!$E$7:$E$506)*(S$3&lt;='Gastos com Pessoal'!$F$7:$F$506)*OFFSET('Encargos e Benefícios'!$D$5,1,MATCH($B52,'Encargos e Benefícios'!$E$5:$AB$5,0),500,1)),0)+_xlfn.IFNA(SUM((S$3&gt;='Gastos com Pessoal'!$E$513:$E$522)*(S$3&lt;='Gastos com Pessoal'!$F$513:$F$522)*OFFSET('Encargos e Benefícios'!$D$511,1,MATCH($B52,'Encargos e Benefícios'!$E$511:$AB$511,0),10,1)),0)+_xlfn.IFNA(SUM((S$3&gt;='Gastos com Pessoal'!$E$7:$E$506)*(S$3&lt;='Gastos com Pessoal'!$F$7:$F$506)*(IF('Gastos com Pessoal'!$G$7:$G$506&lt;=S$3,1,0))*OFFSET('Gastos com Pessoal'!$H$6,1,MATCH(1&amp;$B52,'Gastos com Pessoal'!$I$532:$AJ$532&amp;'Gastos com Pessoal'!$I$6:$AJ$6,0),500,1)),0)+_xlfn.IFNA(SUM((S$3&gt;='Gastos com Pessoal'!$E$7:$E$506)*(S$3&lt;='Gastos com Pessoal'!$F$7:$F$506)*(IF('Gastos com Pessoal'!$M$7:$M$506&lt;=S$3,1,0))*OFFSET('Gastos com Pessoal'!$H$6,1,MATCH(2&amp;$B52,'Gastos com Pessoal'!$I$532:$AJ$532&amp;'Gastos com Pessoal'!$I$6:$AJ$6,0),500,1)),0)+_xlfn.IFNA(SUM((S$3&gt;='Gastos com Pessoal'!$E$7:$E$506)*(S$3&lt;='Gastos com Pessoal'!$F$7:$F$506)*(IF('Gastos com Pessoal'!$S$7:$S$506&lt;=S$3,1,0))*OFFSET('Gastos com Pessoal'!$H$6,1,MATCH(3&amp;$B52,'Gastos com Pessoal'!$I$532:$AJ$532&amp;'Gastos com Pessoal'!$I$6:$AJ$6,0),500,1)),0)+_xlfn.IFNA(SUM((S$3&gt;='Gastos com Pessoal'!$E$7:$E$506)*(S$3&lt;='Gastos com Pessoal'!$F$7:$F$506)*(IF('Gastos com Pessoal'!$Y$7:$Y$506&lt;=S$3,1,0))*OFFSET('Gastos com Pessoal'!$H$6,1,MATCH(4&amp;$B52,'Gastos com Pessoal'!$I$532:$AJ$532&amp;'Gastos com Pessoal'!$I$6:$AJ$6,0),500,1)),0)+_xlfn.IFNA(SUM((S$3&gt;='Gastos com Pessoal'!$E$7:$E$506)*(S$3&lt;='Gastos com Pessoal'!$F$7:$F$506)*(IF('Gastos com Pessoal'!$AE$7:$AE$506&lt;=S$3,1,0))*OFFSET('Gastos com Pessoal'!$H$6,1,MATCH(5&amp;$B52,'Gastos com Pessoal'!$I$532:$AJ$532&amp;'Gastos com Pessoal'!$I$6:$AJ$6,0),500,1)),0)+_xlfn.IFNA(SUM((S$3&gt;='Gastos com Pessoal'!$E$513:$E$522)*(S$3&lt;='Gastos com Pessoal'!$F$513:$F$522)*(IF('Gastos com Pessoal'!$G$513:$G$522&lt;=S$3,1,0))*OFFSET('Gastos com Pessoal'!$H$512,1,MATCH(1&amp;$B52,'Gastos com Pessoal'!$I$532:$AJ$532&amp;'Gastos com Pessoal'!$I$512:$AJ$512,0),10,1)),0)+_xlfn.IFNA(SUM((S$3&gt;='Gastos com Pessoal'!$E$513:$E$522)*(S$3&lt;='Gastos com Pessoal'!$F$513:$F$522)*(IF('Gastos com Pessoal'!$M$513:$M$522&lt;=S$3,1,0))*OFFSET('Gastos com Pessoal'!$H$512,1,MATCH(2&amp;$B52,'Gastos com Pessoal'!$I$532:$AJ$532&amp;'Gastos com Pessoal'!$I$512:$AJ$512,0),10,1)),0)+_xlfn.IFNA(SUM((S$3&gt;='Gastos com Pessoal'!$E$513:$E$522)*(S$3&lt;='Gastos com Pessoal'!$F$513:$F$522)*(IF('Gastos com Pessoal'!$S$513:$S$522&lt;=S$3,1,0))*OFFSET('Gastos com Pessoal'!$H$512,1,MATCH(3&amp;$B52,'Gastos com Pessoal'!$I$532:$AJ$532&amp;'Gastos com Pessoal'!$I$512:$AJ$512,0),10,1)),0)+_xlfn.IFNA(SUM((S$3&gt;='Gastos com Pessoal'!$E$513:$E$522)*(S$3&lt;='Gastos com Pessoal'!$F$513:$F$522)*(IF('Gastos com Pessoal'!$Y$513:$Y$522&lt;=S$3,1,0))*OFFSET('Gastos com Pessoal'!$H$512,1,MATCH(4&amp;$B52,'Gastos com Pessoal'!$I$532:$AJ$532&amp;'Gastos com Pessoal'!$I$512:$AJ$512,0),10,1)),0)+_xlfn.IFNA(SUM((S$3&gt;='Gastos com Pessoal'!$E$513:$E$522)*(S$3&lt;='Gastos com Pessoal'!$F$513:$F$522)*(IF('Gastos com Pessoal'!$AE$513:$AE$522&lt;=S$3,1,0))*OFFSET('Gastos com Pessoal'!$H$512,1,MATCH(5&amp;$B52,'Gastos com Pessoal'!$I$532:$AJ$532&amp;'Gastos com Pessoal'!$I$512:$AJ$512,0),10,1)),0)</f>
        <v>12159.820000000009</v>
      </c>
      <c r="T52" s="188">
        <f t="array" aca="1" ref="T52" ca="1">_xlfn.IFNA(SUM((T$3&gt;='Gastos com Pessoal'!$E$7:$E$506)*(T$3&lt;='Gastos com Pessoal'!$F$7:$F$506)*OFFSET('Encargos e Benefícios'!$D$5,1,MATCH($B52,'Encargos e Benefícios'!$E$5:$AB$5,0),500,1)),0)+_xlfn.IFNA(SUM((T$3&gt;='Gastos com Pessoal'!$E$513:$E$522)*(T$3&lt;='Gastos com Pessoal'!$F$513:$F$522)*OFFSET('Encargos e Benefícios'!$D$511,1,MATCH($B52,'Encargos e Benefícios'!$E$511:$AB$511,0),10,1)),0)+_xlfn.IFNA(SUM((T$3&gt;='Gastos com Pessoal'!$E$7:$E$506)*(T$3&lt;='Gastos com Pessoal'!$F$7:$F$506)*(IF('Gastos com Pessoal'!$G$7:$G$506&lt;=T$3,1,0))*OFFSET('Gastos com Pessoal'!$H$6,1,MATCH(1&amp;$B52,'Gastos com Pessoal'!$I$532:$AJ$532&amp;'Gastos com Pessoal'!$I$6:$AJ$6,0),500,1)),0)+_xlfn.IFNA(SUM((T$3&gt;='Gastos com Pessoal'!$E$7:$E$506)*(T$3&lt;='Gastos com Pessoal'!$F$7:$F$506)*(IF('Gastos com Pessoal'!$M$7:$M$506&lt;=T$3,1,0))*OFFSET('Gastos com Pessoal'!$H$6,1,MATCH(2&amp;$B52,'Gastos com Pessoal'!$I$532:$AJ$532&amp;'Gastos com Pessoal'!$I$6:$AJ$6,0),500,1)),0)+_xlfn.IFNA(SUM((T$3&gt;='Gastos com Pessoal'!$E$7:$E$506)*(T$3&lt;='Gastos com Pessoal'!$F$7:$F$506)*(IF('Gastos com Pessoal'!$S$7:$S$506&lt;=T$3,1,0))*OFFSET('Gastos com Pessoal'!$H$6,1,MATCH(3&amp;$B52,'Gastos com Pessoal'!$I$532:$AJ$532&amp;'Gastos com Pessoal'!$I$6:$AJ$6,0),500,1)),0)+_xlfn.IFNA(SUM((T$3&gt;='Gastos com Pessoal'!$E$7:$E$506)*(T$3&lt;='Gastos com Pessoal'!$F$7:$F$506)*(IF('Gastos com Pessoal'!$Y$7:$Y$506&lt;=T$3,1,0))*OFFSET('Gastos com Pessoal'!$H$6,1,MATCH(4&amp;$B52,'Gastos com Pessoal'!$I$532:$AJ$532&amp;'Gastos com Pessoal'!$I$6:$AJ$6,0),500,1)),0)+_xlfn.IFNA(SUM((T$3&gt;='Gastos com Pessoal'!$E$7:$E$506)*(T$3&lt;='Gastos com Pessoal'!$F$7:$F$506)*(IF('Gastos com Pessoal'!$AE$7:$AE$506&lt;=T$3,1,0))*OFFSET('Gastos com Pessoal'!$H$6,1,MATCH(5&amp;$B52,'Gastos com Pessoal'!$I$532:$AJ$532&amp;'Gastos com Pessoal'!$I$6:$AJ$6,0),500,1)),0)+_xlfn.IFNA(SUM((T$3&gt;='Gastos com Pessoal'!$E$513:$E$522)*(T$3&lt;='Gastos com Pessoal'!$F$513:$F$522)*(IF('Gastos com Pessoal'!$G$513:$G$522&lt;=T$3,1,0))*OFFSET('Gastos com Pessoal'!$H$512,1,MATCH(1&amp;$B52,'Gastos com Pessoal'!$I$532:$AJ$532&amp;'Gastos com Pessoal'!$I$512:$AJ$512,0),10,1)),0)+_xlfn.IFNA(SUM((T$3&gt;='Gastos com Pessoal'!$E$513:$E$522)*(T$3&lt;='Gastos com Pessoal'!$F$513:$F$522)*(IF('Gastos com Pessoal'!$M$513:$M$522&lt;=T$3,1,0))*OFFSET('Gastos com Pessoal'!$H$512,1,MATCH(2&amp;$B52,'Gastos com Pessoal'!$I$532:$AJ$532&amp;'Gastos com Pessoal'!$I$512:$AJ$512,0),10,1)),0)+_xlfn.IFNA(SUM((T$3&gt;='Gastos com Pessoal'!$E$513:$E$522)*(T$3&lt;='Gastos com Pessoal'!$F$513:$F$522)*(IF('Gastos com Pessoal'!$S$513:$S$522&lt;=T$3,1,0))*OFFSET('Gastos com Pessoal'!$H$512,1,MATCH(3&amp;$B52,'Gastos com Pessoal'!$I$532:$AJ$532&amp;'Gastos com Pessoal'!$I$512:$AJ$512,0),10,1)),0)+_xlfn.IFNA(SUM((T$3&gt;='Gastos com Pessoal'!$E$513:$E$522)*(T$3&lt;='Gastos com Pessoal'!$F$513:$F$522)*(IF('Gastos com Pessoal'!$Y$513:$Y$522&lt;=T$3,1,0))*OFFSET('Gastos com Pessoal'!$H$512,1,MATCH(4&amp;$B52,'Gastos com Pessoal'!$I$532:$AJ$532&amp;'Gastos com Pessoal'!$I$512:$AJ$512,0),10,1)),0)+_xlfn.IFNA(SUM((T$3&gt;='Gastos com Pessoal'!$E$513:$E$522)*(T$3&lt;='Gastos com Pessoal'!$F$513:$F$522)*(IF('Gastos com Pessoal'!$AE$513:$AE$522&lt;=T$3,1,0))*OFFSET('Gastos com Pessoal'!$H$512,1,MATCH(5&amp;$B52,'Gastos com Pessoal'!$I$532:$AJ$532&amp;'Gastos com Pessoal'!$I$512:$AJ$512,0),10,1)),0)</f>
        <v>12159.820000000009</v>
      </c>
      <c r="U52" s="188">
        <f t="array" aca="1" ref="U52" ca="1">_xlfn.IFNA(SUM((U$3&gt;='Gastos com Pessoal'!$E$7:$E$506)*(U$3&lt;='Gastos com Pessoal'!$F$7:$F$506)*OFFSET('Encargos e Benefícios'!$D$5,1,MATCH($B52,'Encargos e Benefícios'!$E$5:$AB$5,0),500,1)),0)+_xlfn.IFNA(SUM((U$3&gt;='Gastos com Pessoal'!$E$513:$E$522)*(U$3&lt;='Gastos com Pessoal'!$F$513:$F$522)*OFFSET('Encargos e Benefícios'!$D$511,1,MATCH($B52,'Encargos e Benefícios'!$E$511:$AB$511,0),10,1)),0)+_xlfn.IFNA(SUM((U$3&gt;='Gastos com Pessoal'!$E$7:$E$506)*(U$3&lt;='Gastos com Pessoal'!$F$7:$F$506)*(IF('Gastos com Pessoal'!$G$7:$G$506&lt;=U$3,1,0))*OFFSET('Gastos com Pessoal'!$H$6,1,MATCH(1&amp;$B52,'Gastos com Pessoal'!$I$532:$AJ$532&amp;'Gastos com Pessoal'!$I$6:$AJ$6,0),500,1)),0)+_xlfn.IFNA(SUM((U$3&gt;='Gastos com Pessoal'!$E$7:$E$506)*(U$3&lt;='Gastos com Pessoal'!$F$7:$F$506)*(IF('Gastos com Pessoal'!$M$7:$M$506&lt;=U$3,1,0))*OFFSET('Gastos com Pessoal'!$H$6,1,MATCH(2&amp;$B52,'Gastos com Pessoal'!$I$532:$AJ$532&amp;'Gastos com Pessoal'!$I$6:$AJ$6,0),500,1)),0)+_xlfn.IFNA(SUM((U$3&gt;='Gastos com Pessoal'!$E$7:$E$506)*(U$3&lt;='Gastos com Pessoal'!$F$7:$F$506)*(IF('Gastos com Pessoal'!$S$7:$S$506&lt;=U$3,1,0))*OFFSET('Gastos com Pessoal'!$H$6,1,MATCH(3&amp;$B52,'Gastos com Pessoal'!$I$532:$AJ$532&amp;'Gastos com Pessoal'!$I$6:$AJ$6,0),500,1)),0)+_xlfn.IFNA(SUM((U$3&gt;='Gastos com Pessoal'!$E$7:$E$506)*(U$3&lt;='Gastos com Pessoal'!$F$7:$F$506)*(IF('Gastos com Pessoal'!$Y$7:$Y$506&lt;=U$3,1,0))*OFFSET('Gastos com Pessoal'!$H$6,1,MATCH(4&amp;$B52,'Gastos com Pessoal'!$I$532:$AJ$532&amp;'Gastos com Pessoal'!$I$6:$AJ$6,0),500,1)),0)+_xlfn.IFNA(SUM((U$3&gt;='Gastos com Pessoal'!$E$7:$E$506)*(U$3&lt;='Gastos com Pessoal'!$F$7:$F$506)*(IF('Gastos com Pessoal'!$AE$7:$AE$506&lt;=U$3,1,0))*OFFSET('Gastos com Pessoal'!$H$6,1,MATCH(5&amp;$B52,'Gastos com Pessoal'!$I$532:$AJ$532&amp;'Gastos com Pessoal'!$I$6:$AJ$6,0),500,1)),0)+_xlfn.IFNA(SUM((U$3&gt;='Gastos com Pessoal'!$E$513:$E$522)*(U$3&lt;='Gastos com Pessoal'!$F$513:$F$522)*(IF('Gastos com Pessoal'!$G$513:$G$522&lt;=U$3,1,0))*OFFSET('Gastos com Pessoal'!$H$512,1,MATCH(1&amp;$B52,'Gastos com Pessoal'!$I$532:$AJ$532&amp;'Gastos com Pessoal'!$I$512:$AJ$512,0),10,1)),0)+_xlfn.IFNA(SUM((U$3&gt;='Gastos com Pessoal'!$E$513:$E$522)*(U$3&lt;='Gastos com Pessoal'!$F$513:$F$522)*(IF('Gastos com Pessoal'!$M$513:$M$522&lt;=U$3,1,0))*OFFSET('Gastos com Pessoal'!$H$512,1,MATCH(2&amp;$B52,'Gastos com Pessoal'!$I$532:$AJ$532&amp;'Gastos com Pessoal'!$I$512:$AJ$512,0),10,1)),0)+_xlfn.IFNA(SUM((U$3&gt;='Gastos com Pessoal'!$E$513:$E$522)*(U$3&lt;='Gastos com Pessoal'!$F$513:$F$522)*(IF('Gastos com Pessoal'!$S$513:$S$522&lt;=U$3,1,0))*OFFSET('Gastos com Pessoal'!$H$512,1,MATCH(3&amp;$B52,'Gastos com Pessoal'!$I$532:$AJ$532&amp;'Gastos com Pessoal'!$I$512:$AJ$512,0),10,1)),0)+_xlfn.IFNA(SUM((U$3&gt;='Gastos com Pessoal'!$E$513:$E$522)*(U$3&lt;='Gastos com Pessoal'!$F$513:$F$522)*(IF('Gastos com Pessoal'!$Y$513:$Y$522&lt;=U$3,1,0))*OFFSET('Gastos com Pessoal'!$H$512,1,MATCH(4&amp;$B52,'Gastos com Pessoal'!$I$532:$AJ$532&amp;'Gastos com Pessoal'!$I$512:$AJ$512,0),10,1)),0)+_xlfn.IFNA(SUM((U$3&gt;='Gastos com Pessoal'!$E$513:$E$522)*(U$3&lt;='Gastos com Pessoal'!$F$513:$F$522)*(IF('Gastos com Pessoal'!$AE$513:$AE$522&lt;=U$3,1,0))*OFFSET('Gastos com Pessoal'!$H$512,1,MATCH(5&amp;$B52,'Gastos com Pessoal'!$I$532:$AJ$532&amp;'Gastos com Pessoal'!$I$512:$AJ$512,0),10,1)),0)</f>
        <v>12159.820000000009</v>
      </c>
      <c r="V52" s="188">
        <f t="array" aca="1" ref="V52" ca="1">_xlfn.IFNA(SUM((V$3&gt;='Gastos com Pessoal'!$E$7:$E$506)*(V$3&lt;='Gastos com Pessoal'!$F$7:$F$506)*OFFSET('Encargos e Benefícios'!$D$5,1,MATCH($B52,'Encargos e Benefícios'!$E$5:$AB$5,0),500,1)),0)+_xlfn.IFNA(SUM((V$3&gt;='Gastos com Pessoal'!$E$513:$E$522)*(V$3&lt;='Gastos com Pessoal'!$F$513:$F$522)*OFFSET('Encargos e Benefícios'!$D$511,1,MATCH($B52,'Encargos e Benefícios'!$E$511:$AB$511,0),10,1)),0)+_xlfn.IFNA(SUM((V$3&gt;='Gastos com Pessoal'!$E$7:$E$506)*(V$3&lt;='Gastos com Pessoal'!$F$7:$F$506)*(IF('Gastos com Pessoal'!$G$7:$G$506&lt;=V$3,1,0))*OFFSET('Gastos com Pessoal'!$H$6,1,MATCH(1&amp;$B52,'Gastos com Pessoal'!$I$532:$AJ$532&amp;'Gastos com Pessoal'!$I$6:$AJ$6,0),500,1)),0)+_xlfn.IFNA(SUM((V$3&gt;='Gastos com Pessoal'!$E$7:$E$506)*(V$3&lt;='Gastos com Pessoal'!$F$7:$F$506)*(IF('Gastos com Pessoal'!$M$7:$M$506&lt;=V$3,1,0))*OFFSET('Gastos com Pessoal'!$H$6,1,MATCH(2&amp;$B52,'Gastos com Pessoal'!$I$532:$AJ$532&amp;'Gastos com Pessoal'!$I$6:$AJ$6,0),500,1)),0)+_xlfn.IFNA(SUM((V$3&gt;='Gastos com Pessoal'!$E$7:$E$506)*(V$3&lt;='Gastos com Pessoal'!$F$7:$F$506)*(IF('Gastos com Pessoal'!$S$7:$S$506&lt;=V$3,1,0))*OFFSET('Gastos com Pessoal'!$H$6,1,MATCH(3&amp;$B52,'Gastos com Pessoal'!$I$532:$AJ$532&amp;'Gastos com Pessoal'!$I$6:$AJ$6,0),500,1)),0)+_xlfn.IFNA(SUM((V$3&gt;='Gastos com Pessoal'!$E$7:$E$506)*(V$3&lt;='Gastos com Pessoal'!$F$7:$F$506)*(IF('Gastos com Pessoal'!$Y$7:$Y$506&lt;=V$3,1,0))*OFFSET('Gastos com Pessoal'!$H$6,1,MATCH(4&amp;$B52,'Gastos com Pessoal'!$I$532:$AJ$532&amp;'Gastos com Pessoal'!$I$6:$AJ$6,0),500,1)),0)+_xlfn.IFNA(SUM((V$3&gt;='Gastos com Pessoal'!$E$7:$E$506)*(V$3&lt;='Gastos com Pessoal'!$F$7:$F$506)*(IF('Gastos com Pessoal'!$AE$7:$AE$506&lt;=V$3,1,0))*OFFSET('Gastos com Pessoal'!$H$6,1,MATCH(5&amp;$B52,'Gastos com Pessoal'!$I$532:$AJ$532&amp;'Gastos com Pessoal'!$I$6:$AJ$6,0),500,1)),0)+_xlfn.IFNA(SUM((V$3&gt;='Gastos com Pessoal'!$E$513:$E$522)*(V$3&lt;='Gastos com Pessoal'!$F$513:$F$522)*(IF('Gastos com Pessoal'!$G$513:$G$522&lt;=V$3,1,0))*OFFSET('Gastos com Pessoal'!$H$512,1,MATCH(1&amp;$B52,'Gastos com Pessoal'!$I$532:$AJ$532&amp;'Gastos com Pessoal'!$I$512:$AJ$512,0),10,1)),0)+_xlfn.IFNA(SUM((V$3&gt;='Gastos com Pessoal'!$E$513:$E$522)*(V$3&lt;='Gastos com Pessoal'!$F$513:$F$522)*(IF('Gastos com Pessoal'!$M$513:$M$522&lt;=V$3,1,0))*OFFSET('Gastos com Pessoal'!$H$512,1,MATCH(2&amp;$B52,'Gastos com Pessoal'!$I$532:$AJ$532&amp;'Gastos com Pessoal'!$I$512:$AJ$512,0),10,1)),0)+_xlfn.IFNA(SUM((V$3&gt;='Gastos com Pessoal'!$E$513:$E$522)*(V$3&lt;='Gastos com Pessoal'!$F$513:$F$522)*(IF('Gastos com Pessoal'!$S$513:$S$522&lt;=V$3,1,0))*OFFSET('Gastos com Pessoal'!$H$512,1,MATCH(3&amp;$B52,'Gastos com Pessoal'!$I$532:$AJ$532&amp;'Gastos com Pessoal'!$I$512:$AJ$512,0),10,1)),0)+_xlfn.IFNA(SUM((V$3&gt;='Gastos com Pessoal'!$E$513:$E$522)*(V$3&lt;='Gastos com Pessoal'!$F$513:$F$522)*(IF('Gastos com Pessoal'!$Y$513:$Y$522&lt;=V$3,1,0))*OFFSET('Gastos com Pessoal'!$H$512,1,MATCH(4&amp;$B52,'Gastos com Pessoal'!$I$532:$AJ$532&amp;'Gastos com Pessoal'!$I$512:$AJ$512,0),10,1)),0)+_xlfn.IFNA(SUM((V$3&gt;='Gastos com Pessoal'!$E$513:$E$522)*(V$3&lt;='Gastos com Pessoal'!$F$513:$F$522)*(IF('Gastos com Pessoal'!$AE$513:$AE$522&lt;=V$3,1,0))*OFFSET('Gastos com Pessoal'!$H$512,1,MATCH(5&amp;$B52,'Gastos com Pessoal'!$I$532:$AJ$532&amp;'Gastos com Pessoal'!$I$512:$AJ$512,0),10,1)),0)</f>
        <v>12159.820000000009</v>
      </c>
      <c r="W52" s="188">
        <f t="array" aca="1" ref="W52" ca="1">_xlfn.IFNA(SUM((W$3&gt;='Gastos com Pessoal'!$E$7:$E$506)*(W$3&lt;='Gastos com Pessoal'!$F$7:$F$506)*OFFSET('Encargos e Benefícios'!$D$5,1,MATCH($B52,'Encargos e Benefícios'!$E$5:$AB$5,0),500,1)),0)+_xlfn.IFNA(SUM((W$3&gt;='Gastos com Pessoal'!$E$513:$E$522)*(W$3&lt;='Gastos com Pessoal'!$F$513:$F$522)*OFFSET('Encargos e Benefícios'!$D$511,1,MATCH($B52,'Encargos e Benefícios'!$E$511:$AB$511,0),10,1)),0)+_xlfn.IFNA(SUM((W$3&gt;='Gastos com Pessoal'!$E$7:$E$506)*(W$3&lt;='Gastos com Pessoal'!$F$7:$F$506)*(IF('Gastos com Pessoal'!$G$7:$G$506&lt;=W$3,1,0))*OFFSET('Gastos com Pessoal'!$H$6,1,MATCH(1&amp;$B52,'Gastos com Pessoal'!$I$532:$AJ$532&amp;'Gastos com Pessoal'!$I$6:$AJ$6,0),500,1)),0)+_xlfn.IFNA(SUM((W$3&gt;='Gastos com Pessoal'!$E$7:$E$506)*(W$3&lt;='Gastos com Pessoal'!$F$7:$F$506)*(IF('Gastos com Pessoal'!$M$7:$M$506&lt;=W$3,1,0))*OFFSET('Gastos com Pessoal'!$H$6,1,MATCH(2&amp;$B52,'Gastos com Pessoal'!$I$532:$AJ$532&amp;'Gastos com Pessoal'!$I$6:$AJ$6,0),500,1)),0)+_xlfn.IFNA(SUM((W$3&gt;='Gastos com Pessoal'!$E$7:$E$506)*(W$3&lt;='Gastos com Pessoal'!$F$7:$F$506)*(IF('Gastos com Pessoal'!$S$7:$S$506&lt;=W$3,1,0))*OFFSET('Gastos com Pessoal'!$H$6,1,MATCH(3&amp;$B52,'Gastos com Pessoal'!$I$532:$AJ$532&amp;'Gastos com Pessoal'!$I$6:$AJ$6,0),500,1)),0)+_xlfn.IFNA(SUM((W$3&gt;='Gastos com Pessoal'!$E$7:$E$506)*(W$3&lt;='Gastos com Pessoal'!$F$7:$F$506)*(IF('Gastos com Pessoal'!$Y$7:$Y$506&lt;=W$3,1,0))*OFFSET('Gastos com Pessoal'!$H$6,1,MATCH(4&amp;$B52,'Gastos com Pessoal'!$I$532:$AJ$532&amp;'Gastos com Pessoal'!$I$6:$AJ$6,0),500,1)),0)+_xlfn.IFNA(SUM((W$3&gt;='Gastos com Pessoal'!$E$7:$E$506)*(W$3&lt;='Gastos com Pessoal'!$F$7:$F$506)*(IF('Gastos com Pessoal'!$AE$7:$AE$506&lt;=W$3,1,0))*OFFSET('Gastos com Pessoal'!$H$6,1,MATCH(5&amp;$B52,'Gastos com Pessoal'!$I$532:$AJ$532&amp;'Gastos com Pessoal'!$I$6:$AJ$6,0),500,1)),0)+_xlfn.IFNA(SUM((W$3&gt;='Gastos com Pessoal'!$E$513:$E$522)*(W$3&lt;='Gastos com Pessoal'!$F$513:$F$522)*(IF('Gastos com Pessoal'!$G$513:$G$522&lt;=W$3,1,0))*OFFSET('Gastos com Pessoal'!$H$512,1,MATCH(1&amp;$B52,'Gastos com Pessoal'!$I$532:$AJ$532&amp;'Gastos com Pessoal'!$I$512:$AJ$512,0),10,1)),0)+_xlfn.IFNA(SUM((W$3&gt;='Gastos com Pessoal'!$E$513:$E$522)*(W$3&lt;='Gastos com Pessoal'!$F$513:$F$522)*(IF('Gastos com Pessoal'!$M$513:$M$522&lt;=W$3,1,0))*OFFSET('Gastos com Pessoal'!$H$512,1,MATCH(2&amp;$B52,'Gastos com Pessoal'!$I$532:$AJ$532&amp;'Gastos com Pessoal'!$I$512:$AJ$512,0),10,1)),0)+_xlfn.IFNA(SUM((W$3&gt;='Gastos com Pessoal'!$E$513:$E$522)*(W$3&lt;='Gastos com Pessoal'!$F$513:$F$522)*(IF('Gastos com Pessoal'!$S$513:$S$522&lt;=W$3,1,0))*OFFSET('Gastos com Pessoal'!$H$512,1,MATCH(3&amp;$B52,'Gastos com Pessoal'!$I$532:$AJ$532&amp;'Gastos com Pessoal'!$I$512:$AJ$512,0),10,1)),0)+_xlfn.IFNA(SUM((W$3&gt;='Gastos com Pessoal'!$E$513:$E$522)*(W$3&lt;='Gastos com Pessoal'!$F$513:$F$522)*(IF('Gastos com Pessoal'!$Y$513:$Y$522&lt;=W$3,1,0))*OFFSET('Gastos com Pessoal'!$H$512,1,MATCH(4&amp;$B52,'Gastos com Pessoal'!$I$532:$AJ$532&amp;'Gastos com Pessoal'!$I$512:$AJ$512,0),10,1)),0)+_xlfn.IFNA(SUM((W$3&gt;='Gastos com Pessoal'!$E$513:$E$522)*(W$3&lt;='Gastos com Pessoal'!$F$513:$F$522)*(IF('Gastos com Pessoal'!$AE$513:$AE$522&lt;=W$3,1,0))*OFFSET('Gastos com Pessoal'!$H$512,1,MATCH(5&amp;$B52,'Gastos com Pessoal'!$I$532:$AJ$532&amp;'Gastos com Pessoal'!$I$512:$AJ$512,0),10,1)),0)</f>
        <v>12159.820000000009</v>
      </c>
      <c r="X52" s="188">
        <f t="array" aca="1" ref="X52" ca="1">_xlfn.IFNA(SUM((X$3&gt;='Gastos com Pessoal'!$E$7:$E$506)*(X$3&lt;='Gastos com Pessoal'!$F$7:$F$506)*OFFSET('Encargos e Benefícios'!$D$5,1,MATCH($B52,'Encargos e Benefícios'!$E$5:$AB$5,0),500,1)),0)+_xlfn.IFNA(SUM((X$3&gt;='Gastos com Pessoal'!$E$513:$E$522)*(X$3&lt;='Gastos com Pessoal'!$F$513:$F$522)*OFFSET('Encargos e Benefícios'!$D$511,1,MATCH($B52,'Encargos e Benefícios'!$E$511:$AB$511,0),10,1)),0)+_xlfn.IFNA(SUM((X$3&gt;='Gastos com Pessoal'!$E$7:$E$506)*(X$3&lt;='Gastos com Pessoal'!$F$7:$F$506)*(IF('Gastos com Pessoal'!$G$7:$G$506&lt;=X$3,1,0))*OFFSET('Gastos com Pessoal'!$H$6,1,MATCH(1&amp;$B52,'Gastos com Pessoal'!$I$532:$AJ$532&amp;'Gastos com Pessoal'!$I$6:$AJ$6,0),500,1)),0)+_xlfn.IFNA(SUM((X$3&gt;='Gastos com Pessoal'!$E$7:$E$506)*(X$3&lt;='Gastos com Pessoal'!$F$7:$F$506)*(IF('Gastos com Pessoal'!$M$7:$M$506&lt;=X$3,1,0))*OFFSET('Gastos com Pessoal'!$H$6,1,MATCH(2&amp;$B52,'Gastos com Pessoal'!$I$532:$AJ$532&amp;'Gastos com Pessoal'!$I$6:$AJ$6,0),500,1)),0)+_xlfn.IFNA(SUM((X$3&gt;='Gastos com Pessoal'!$E$7:$E$506)*(X$3&lt;='Gastos com Pessoal'!$F$7:$F$506)*(IF('Gastos com Pessoal'!$S$7:$S$506&lt;=X$3,1,0))*OFFSET('Gastos com Pessoal'!$H$6,1,MATCH(3&amp;$B52,'Gastos com Pessoal'!$I$532:$AJ$532&amp;'Gastos com Pessoal'!$I$6:$AJ$6,0),500,1)),0)+_xlfn.IFNA(SUM((X$3&gt;='Gastos com Pessoal'!$E$7:$E$506)*(X$3&lt;='Gastos com Pessoal'!$F$7:$F$506)*(IF('Gastos com Pessoal'!$Y$7:$Y$506&lt;=X$3,1,0))*OFFSET('Gastos com Pessoal'!$H$6,1,MATCH(4&amp;$B52,'Gastos com Pessoal'!$I$532:$AJ$532&amp;'Gastos com Pessoal'!$I$6:$AJ$6,0),500,1)),0)+_xlfn.IFNA(SUM((X$3&gt;='Gastos com Pessoal'!$E$7:$E$506)*(X$3&lt;='Gastos com Pessoal'!$F$7:$F$506)*(IF('Gastos com Pessoal'!$AE$7:$AE$506&lt;=X$3,1,0))*OFFSET('Gastos com Pessoal'!$H$6,1,MATCH(5&amp;$B52,'Gastos com Pessoal'!$I$532:$AJ$532&amp;'Gastos com Pessoal'!$I$6:$AJ$6,0),500,1)),0)+_xlfn.IFNA(SUM((X$3&gt;='Gastos com Pessoal'!$E$513:$E$522)*(X$3&lt;='Gastos com Pessoal'!$F$513:$F$522)*(IF('Gastos com Pessoal'!$G$513:$G$522&lt;=X$3,1,0))*OFFSET('Gastos com Pessoal'!$H$512,1,MATCH(1&amp;$B52,'Gastos com Pessoal'!$I$532:$AJ$532&amp;'Gastos com Pessoal'!$I$512:$AJ$512,0),10,1)),0)+_xlfn.IFNA(SUM((X$3&gt;='Gastos com Pessoal'!$E$513:$E$522)*(X$3&lt;='Gastos com Pessoal'!$F$513:$F$522)*(IF('Gastos com Pessoal'!$M$513:$M$522&lt;=X$3,1,0))*OFFSET('Gastos com Pessoal'!$H$512,1,MATCH(2&amp;$B52,'Gastos com Pessoal'!$I$532:$AJ$532&amp;'Gastos com Pessoal'!$I$512:$AJ$512,0),10,1)),0)+_xlfn.IFNA(SUM((X$3&gt;='Gastos com Pessoal'!$E$513:$E$522)*(X$3&lt;='Gastos com Pessoal'!$F$513:$F$522)*(IF('Gastos com Pessoal'!$S$513:$S$522&lt;=X$3,1,0))*OFFSET('Gastos com Pessoal'!$H$512,1,MATCH(3&amp;$B52,'Gastos com Pessoal'!$I$532:$AJ$532&amp;'Gastos com Pessoal'!$I$512:$AJ$512,0),10,1)),0)+_xlfn.IFNA(SUM((X$3&gt;='Gastos com Pessoal'!$E$513:$E$522)*(X$3&lt;='Gastos com Pessoal'!$F$513:$F$522)*(IF('Gastos com Pessoal'!$Y$513:$Y$522&lt;=X$3,1,0))*OFFSET('Gastos com Pessoal'!$H$512,1,MATCH(4&amp;$B52,'Gastos com Pessoal'!$I$532:$AJ$532&amp;'Gastos com Pessoal'!$I$512:$AJ$512,0),10,1)),0)+_xlfn.IFNA(SUM((X$3&gt;='Gastos com Pessoal'!$E$513:$E$522)*(X$3&lt;='Gastos com Pessoal'!$F$513:$F$522)*(IF('Gastos com Pessoal'!$AE$513:$AE$522&lt;=X$3,1,0))*OFFSET('Gastos com Pessoal'!$H$512,1,MATCH(5&amp;$B52,'Gastos com Pessoal'!$I$532:$AJ$532&amp;'Gastos com Pessoal'!$I$512:$AJ$512,0),10,1)),0)</f>
        <v>12159.820000000009</v>
      </c>
      <c r="Y52" s="188">
        <f t="array" aca="1" ref="Y52" ca="1">_xlfn.IFNA(SUM((Y$3&gt;='Gastos com Pessoal'!$E$7:$E$506)*(Y$3&lt;='Gastos com Pessoal'!$F$7:$F$506)*OFFSET('Encargos e Benefícios'!$D$5,1,MATCH($B52,'Encargos e Benefícios'!$E$5:$AB$5,0),500,1)),0)+_xlfn.IFNA(SUM((Y$3&gt;='Gastos com Pessoal'!$E$513:$E$522)*(Y$3&lt;='Gastos com Pessoal'!$F$513:$F$522)*OFFSET('Encargos e Benefícios'!$D$511,1,MATCH($B52,'Encargos e Benefícios'!$E$511:$AB$511,0),10,1)),0)+_xlfn.IFNA(SUM((Y$3&gt;='Gastos com Pessoal'!$E$7:$E$506)*(Y$3&lt;='Gastos com Pessoal'!$F$7:$F$506)*(IF('Gastos com Pessoal'!$G$7:$G$506&lt;=Y$3,1,0))*OFFSET('Gastos com Pessoal'!$H$6,1,MATCH(1&amp;$B52,'Gastos com Pessoal'!$I$532:$AJ$532&amp;'Gastos com Pessoal'!$I$6:$AJ$6,0),500,1)),0)+_xlfn.IFNA(SUM((Y$3&gt;='Gastos com Pessoal'!$E$7:$E$506)*(Y$3&lt;='Gastos com Pessoal'!$F$7:$F$506)*(IF('Gastos com Pessoal'!$M$7:$M$506&lt;=Y$3,1,0))*OFFSET('Gastos com Pessoal'!$H$6,1,MATCH(2&amp;$B52,'Gastos com Pessoal'!$I$532:$AJ$532&amp;'Gastos com Pessoal'!$I$6:$AJ$6,0),500,1)),0)+_xlfn.IFNA(SUM((Y$3&gt;='Gastos com Pessoal'!$E$7:$E$506)*(Y$3&lt;='Gastos com Pessoal'!$F$7:$F$506)*(IF('Gastos com Pessoal'!$S$7:$S$506&lt;=Y$3,1,0))*OFFSET('Gastos com Pessoal'!$H$6,1,MATCH(3&amp;$B52,'Gastos com Pessoal'!$I$532:$AJ$532&amp;'Gastos com Pessoal'!$I$6:$AJ$6,0),500,1)),0)+_xlfn.IFNA(SUM((Y$3&gt;='Gastos com Pessoal'!$E$7:$E$506)*(Y$3&lt;='Gastos com Pessoal'!$F$7:$F$506)*(IF('Gastos com Pessoal'!$Y$7:$Y$506&lt;=Y$3,1,0))*OFFSET('Gastos com Pessoal'!$H$6,1,MATCH(4&amp;$B52,'Gastos com Pessoal'!$I$532:$AJ$532&amp;'Gastos com Pessoal'!$I$6:$AJ$6,0),500,1)),0)+_xlfn.IFNA(SUM((Y$3&gt;='Gastos com Pessoal'!$E$7:$E$506)*(Y$3&lt;='Gastos com Pessoal'!$F$7:$F$506)*(IF('Gastos com Pessoal'!$AE$7:$AE$506&lt;=Y$3,1,0))*OFFSET('Gastos com Pessoal'!$H$6,1,MATCH(5&amp;$B52,'Gastos com Pessoal'!$I$532:$AJ$532&amp;'Gastos com Pessoal'!$I$6:$AJ$6,0),500,1)),0)+_xlfn.IFNA(SUM((Y$3&gt;='Gastos com Pessoal'!$E$513:$E$522)*(Y$3&lt;='Gastos com Pessoal'!$F$513:$F$522)*(IF('Gastos com Pessoal'!$G$513:$G$522&lt;=Y$3,1,0))*OFFSET('Gastos com Pessoal'!$H$512,1,MATCH(1&amp;$B52,'Gastos com Pessoal'!$I$532:$AJ$532&amp;'Gastos com Pessoal'!$I$512:$AJ$512,0),10,1)),0)+_xlfn.IFNA(SUM((Y$3&gt;='Gastos com Pessoal'!$E$513:$E$522)*(Y$3&lt;='Gastos com Pessoal'!$F$513:$F$522)*(IF('Gastos com Pessoal'!$M$513:$M$522&lt;=Y$3,1,0))*OFFSET('Gastos com Pessoal'!$H$512,1,MATCH(2&amp;$B52,'Gastos com Pessoal'!$I$532:$AJ$532&amp;'Gastos com Pessoal'!$I$512:$AJ$512,0),10,1)),0)+_xlfn.IFNA(SUM((Y$3&gt;='Gastos com Pessoal'!$E$513:$E$522)*(Y$3&lt;='Gastos com Pessoal'!$F$513:$F$522)*(IF('Gastos com Pessoal'!$S$513:$S$522&lt;=Y$3,1,0))*OFFSET('Gastos com Pessoal'!$H$512,1,MATCH(3&amp;$B52,'Gastos com Pessoal'!$I$532:$AJ$532&amp;'Gastos com Pessoal'!$I$512:$AJ$512,0),10,1)),0)+_xlfn.IFNA(SUM((Y$3&gt;='Gastos com Pessoal'!$E$513:$E$522)*(Y$3&lt;='Gastos com Pessoal'!$F$513:$F$522)*(IF('Gastos com Pessoal'!$Y$513:$Y$522&lt;=Y$3,1,0))*OFFSET('Gastos com Pessoal'!$H$512,1,MATCH(4&amp;$B52,'Gastos com Pessoal'!$I$532:$AJ$532&amp;'Gastos com Pessoal'!$I$512:$AJ$512,0),10,1)),0)+_xlfn.IFNA(SUM((Y$3&gt;='Gastos com Pessoal'!$E$513:$E$522)*(Y$3&lt;='Gastos com Pessoal'!$F$513:$F$522)*(IF('Gastos com Pessoal'!$AE$513:$AE$522&lt;=Y$3,1,0))*OFFSET('Gastos com Pessoal'!$H$512,1,MATCH(5&amp;$B52,'Gastos com Pessoal'!$I$532:$AJ$532&amp;'Gastos com Pessoal'!$I$512:$AJ$512,0),10,1)),0)</f>
        <v>12159.820000000009</v>
      </c>
      <c r="Z52" s="188">
        <f t="array" aca="1" ref="Z52" ca="1">_xlfn.IFNA(SUM((Z$3&gt;='Gastos com Pessoal'!$E$7:$E$506)*(Z$3&lt;='Gastos com Pessoal'!$F$7:$F$506)*OFFSET('Encargos e Benefícios'!$D$5,1,MATCH($B52,'Encargos e Benefícios'!$E$5:$AB$5,0),500,1)),0)+_xlfn.IFNA(SUM((Z$3&gt;='Gastos com Pessoal'!$E$513:$E$522)*(Z$3&lt;='Gastos com Pessoal'!$F$513:$F$522)*OFFSET('Encargos e Benefícios'!$D$511,1,MATCH($B52,'Encargos e Benefícios'!$E$511:$AB$511,0),10,1)),0)+_xlfn.IFNA(SUM((Z$3&gt;='Gastos com Pessoal'!$E$7:$E$506)*(Z$3&lt;='Gastos com Pessoal'!$F$7:$F$506)*(IF('Gastos com Pessoal'!$G$7:$G$506&lt;=Z$3,1,0))*OFFSET('Gastos com Pessoal'!$H$6,1,MATCH(1&amp;$B52,'Gastos com Pessoal'!$I$532:$AJ$532&amp;'Gastos com Pessoal'!$I$6:$AJ$6,0),500,1)),0)+_xlfn.IFNA(SUM((Z$3&gt;='Gastos com Pessoal'!$E$7:$E$506)*(Z$3&lt;='Gastos com Pessoal'!$F$7:$F$506)*(IF('Gastos com Pessoal'!$M$7:$M$506&lt;=Z$3,1,0))*OFFSET('Gastos com Pessoal'!$H$6,1,MATCH(2&amp;$B52,'Gastos com Pessoal'!$I$532:$AJ$532&amp;'Gastos com Pessoal'!$I$6:$AJ$6,0),500,1)),0)+_xlfn.IFNA(SUM((Z$3&gt;='Gastos com Pessoal'!$E$7:$E$506)*(Z$3&lt;='Gastos com Pessoal'!$F$7:$F$506)*(IF('Gastos com Pessoal'!$S$7:$S$506&lt;=Z$3,1,0))*OFFSET('Gastos com Pessoal'!$H$6,1,MATCH(3&amp;$B52,'Gastos com Pessoal'!$I$532:$AJ$532&amp;'Gastos com Pessoal'!$I$6:$AJ$6,0),500,1)),0)+_xlfn.IFNA(SUM((Z$3&gt;='Gastos com Pessoal'!$E$7:$E$506)*(Z$3&lt;='Gastos com Pessoal'!$F$7:$F$506)*(IF('Gastos com Pessoal'!$Y$7:$Y$506&lt;=Z$3,1,0))*OFFSET('Gastos com Pessoal'!$H$6,1,MATCH(4&amp;$B52,'Gastos com Pessoal'!$I$532:$AJ$532&amp;'Gastos com Pessoal'!$I$6:$AJ$6,0),500,1)),0)+_xlfn.IFNA(SUM((Z$3&gt;='Gastos com Pessoal'!$E$7:$E$506)*(Z$3&lt;='Gastos com Pessoal'!$F$7:$F$506)*(IF('Gastos com Pessoal'!$AE$7:$AE$506&lt;=Z$3,1,0))*OFFSET('Gastos com Pessoal'!$H$6,1,MATCH(5&amp;$B52,'Gastos com Pessoal'!$I$532:$AJ$532&amp;'Gastos com Pessoal'!$I$6:$AJ$6,0),500,1)),0)+_xlfn.IFNA(SUM((Z$3&gt;='Gastos com Pessoal'!$E$513:$E$522)*(Z$3&lt;='Gastos com Pessoal'!$F$513:$F$522)*(IF('Gastos com Pessoal'!$G$513:$G$522&lt;=Z$3,1,0))*OFFSET('Gastos com Pessoal'!$H$512,1,MATCH(1&amp;$B52,'Gastos com Pessoal'!$I$532:$AJ$532&amp;'Gastos com Pessoal'!$I$512:$AJ$512,0),10,1)),0)+_xlfn.IFNA(SUM((Z$3&gt;='Gastos com Pessoal'!$E$513:$E$522)*(Z$3&lt;='Gastos com Pessoal'!$F$513:$F$522)*(IF('Gastos com Pessoal'!$M$513:$M$522&lt;=Z$3,1,0))*OFFSET('Gastos com Pessoal'!$H$512,1,MATCH(2&amp;$B52,'Gastos com Pessoal'!$I$532:$AJ$532&amp;'Gastos com Pessoal'!$I$512:$AJ$512,0),10,1)),0)+_xlfn.IFNA(SUM((Z$3&gt;='Gastos com Pessoal'!$E$513:$E$522)*(Z$3&lt;='Gastos com Pessoal'!$F$513:$F$522)*(IF('Gastos com Pessoal'!$S$513:$S$522&lt;=Z$3,1,0))*OFFSET('Gastos com Pessoal'!$H$512,1,MATCH(3&amp;$B52,'Gastos com Pessoal'!$I$532:$AJ$532&amp;'Gastos com Pessoal'!$I$512:$AJ$512,0),10,1)),0)+_xlfn.IFNA(SUM((Z$3&gt;='Gastos com Pessoal'!$E$513:$E$522)*(Z$3&lt;='Gastos com Pessoal'!$F$513:$F$522)*(IF('Gastos com Pessoal'!$Y$513:$Y$522&lt;=Z$3,1,0))*OFFSET('Gastos com Pessoal'!$H$512,1,MATCH(4&amp;$B52,'Gastos com Pessoal'!$I$532:$AJ$532&amp;'Gastos com Pessoal'!$I$512:$AJ$512,0),10,1)),0)+_xlfn.IFNA(SUM((Z$3&gt;='Gastos com Pessoal'!$E$513:$E$522)*(Z$3&lt;='Gastos com Pessoal'!$F$513:$F$522)*(IF('Gastos com Pessoal'!$AE$513:$AE$522&lt;=Z$3,1,0))*OFFSET('Gastos com Pessoal'!$H$512,1,MATCH(5&amp;$B52,'Gastos com Pessoal'!$I$532:$AJ$532&amp;'Gastos com Pessoal'!$I$512:$AJ$512,0),10,1)),0)</f>
        <v>12159.820000000009</v>
      </c>
      <c r="AA52" s="188">
        <f t="array" aca="1" ref="AA52" ca="1">_xlfn.IFNA(SUM((AA$3&gt;='Gastos com Pessoal'!$E$7:$E$506)*(AA$3&lt;='Gastos com Pessoal'!$F$7:$F$506)*OFFSET('Encargos e Benefícios'!$D$5,1,MATCH($B52,'Encargos e Benefícios'!$E$5:$AB$5,0),500,1)),0)+_xlfn.IFNA(SUM((AA$3&gt;='Gastos com Pessoal'!$E$513:$E$522)*(AA$3&lt;='Gastos com Pessoal'!$F$513:$F$522)*OFFSET('Encargos e Benefícios'!$D$511,1,MATCH($B52,'Encargos e Benefícios'!$E$511:$AB$511,0),10,1)),0)+_xlfn.IFNA(SUM((AA$3&gt;='Gastos com Pessoal'!$E$7:$E$506)*(AA$3&lt;='Gastos com Pessoal'!$F$7:$F$506)*(IF('Gastos com Pessoal'!$G$7:$G$506&lt;=AA$3,1,0))*OFFSET('Gastos com Pessoal'!$H$6,1,MATCH(1&amp;$B52,'Gastos com Pessoal'!$I$532:$AJ$532&amp;'Gastos com Pessoal'!$I$6:$AJ$6,0),500,1)),0)+_xlfn.IFNA(SUM((AA$3&gt;='Gastos com Pessoal'!$E$7:$E$506)*(AA$3&lt;='Gastos com Pessoal'!$F$7:$F$506)*(IF('Gastos com Pessoal'!$M$7:$M$506&lt;=AA$3,1,0))*OFFSET('Gastos com Pessoal'!$H$6,1,MATCH(2&amp;$B52,'Gastos com Pessoal'!$I$532:$AJ$532&amp;'Gastos com Pessoal'!$I$6:$AJ$6,0),500,1)),0)+_xlfn.IFNA(SUM((AA$3&gt;='Gastos com Pessoal'!$E$7:$E$506)*(AA$3&lt;='Gastos com Pessoal'!$F$7:$F$506)*(IF('Gastos com Pessoal'!$S$7:$S$506&lt;=AA$3,1,0))*OFFSET('Gastos com Pessoal'!$H$6,1,MATCH(3&amp;$B52,'Gastos com Pessoal'!$I$532:$AJ$532&amp;'Gastos com Pessoal'!$I$6:$AJ$6,0),500,1)),0)+_xlfn.IFNA(SUM((AA$3&gt;='Gastos com Pessoal'!$E$7:$E$506)*(AA$3&lt;='Gastos com Pessoal'!$F$7:$F$506)*(IF('Gastos com Pessoal'!$Y$7:$Y$506&lt;=AA$3,1,0))*OFFSET('Gastos com Pessoal'!$H$6,1,MATCH(4&amp;$B52,'Gastos com Pessoal'!$I$532:$AJ$532&amp;'Gastos com Pessoal'!$I$6:$AJ$6,0),500,1)),0)+_xlfn.IFNA(SUM((AA$3&gt;='Gastos com Pessoal'!$E$7:$E$506)*(AA$3&lt;='Gastos com Pessoal'!$F$7:$F$506)*(IF('Gastos com Pessoal'!$AE$7:$AE$506&lt;=AA$3,1,0))*OFFSET('Gastos com Pessoal'!$H$6,1,MATCH(5&amp;$B52,'Gastos com Pessoal'!$I$532:$AJ$532&amp;'Gastos com Pessoal'!$I$6:$AJ$6,0),500,1)),0)+_xlfn.IFNA(SUM((AA$3&gt;='Gastos com Pessoal'!$E$513:$E$522)*(AA$3&lt;='Gastos com Pessoal'!$F$513:$F$522)*(IF('Gastos com Pessoal'!$G$513:$G$522&lt;=AA$3,1,0))*OFFSET('Gastos com Pessoal'!$H$512,1,MATCH(1&amp;$B52,'Gastos com Pessoal'!$I$532:$AJ$532&amp;'Gastos com Pessoal'!$I$512:$AJ$512,0),10,1)),0)+_xlfn.IFNA(SUM((AA$3&gt;='Gastos com Pessoal'!$E$513:$E$522)*(AA$3&lt;='Gastos com Pessoal'!$F$513:$F$522)*(IF('Gastos com Pessoal'!$M$513:$M$522&lt;=AA$3,1,0))*OFFSET('Gastos com Pessoal'!$H$512,1,MATCH(2&amp;$B52,'Gastos com Pessoal'!$I$532:$AJ$532&amp;'Gastos com Pessoal'!$I$512:$AJ$512,0),10,1)),0)+_xlfn.IFNA(SUM((AA$3&gt;='Gastos com Pessoal'!$E$513:$E$522)*(AA$3&lt;='Gastos com Pessoal'!$F$513:$F$522)*(IF('Gastos com Pessoal'!$S$513:$S$522&lt;=AA$3,1,0))*OFFSET('Gastos com Pessoal'!$H$512,1,MATCH(3&amp;$B52,'Gastos com Pessoal'!$I$532:$AJ$532&amp;'Gastos com Pessoal'!$I$512:$AJ$512,0),10,1)),0)+_xlfn.IFNA(SUM((AA$3&gt;='Gastos com Pessoal'!$E$513:$E$522)*(AA$3&lt;='Gastos com Pessoal'!$F$513:$F$522)*(IF('Gastos com Pessoal'!$Y$513:$Y$522&lt;=AA$3,1,0))*OFFSET('Gastos com Pessoal'!$H$512,1,MATCH(4&amp;$B52,'Gastos com Pessoal'!$I$532:$AJ$532&amp;'Gastos com Pessoal'!$I$512:$AJ$512,0),10,1)),0)+_xlfn.IFNA(SUM((AA$3&gt;='Gastos com Pessoal'!$E$513:$E$522)*(AA$3&lt;='Gastos com Pessoal'!$F$513:$F$522)*(IF('Gastos com Pessoal'!$AE$513:$AE$522&lt;=AA$3,1,0))*OFFSET('Gastos com Pessoal'!$H$512,1,MATCH(5&amp;$B52,'Gastos com Pessoal'!$I$532:$AJ$532&amp;'Gastos com Pessoal'!$I$512:$AJ$512,0),10,1)),0)</f>
        <v>12159.820000000009</v>
      </c>
      <c r="AB52" s="188">
        <f t="array" aca="1" ref="AB52" ca="1">_xlfn.IFNA(SUM((AB$3&gt;='Gastos com Pessoal'!$E$7:$E$506)*(AB$3&lt;='Gastos com Pessoal'!$F$7:$F$506)*OFFSET('Encargos e Benefícios'!$D$5,1,MATCH($B52,'Encargos e Benefícios'!$E$5:$AB$5,0),500,1)),0)+_xlfn.IFNA(SUM((AB$3&gt;='Gastos com Pessoal'!$E$513:$E$522)*(AB$3&lt;='Gastos com Pessoal'!$F$513:$F$522)*OFFSET('Encargos e Benefícios'!$D$511,1,MATCH($B52,'Encargos e Benefícios'!$E$511:$AB$511,0),10,1)),0)+_xlfn.IFNA(SUM((AB$3&gt;='Gastos com Pessoal'!$E$7:$E$506)*(AB$3&lt;='Gastos com Pessoal'!$F$7:$F$506)*(IF('Gastos com Pessoal'!$G$7:$G$506&lt;=AB$3,1,0))*OFFSET('Gastos com Pessoal'!$H$6,1,MATCH(1&amp;$B52,'Gastos com Pessoal'!$I$532:$AJ$532&amp;'Gastos com Pessoal'!$I$6:$AJ$6,0),500,1)),0)+_xlfn.IFNA(SUM((AB$3&gt;='Gastos com Pessoal'!$E$7:$E$506)*(AB$3&lt;='Gastos com Pessoal'!$F$7:$F$506)*(IF('Gastos com Pessoal'!$M$7:$M$506&lt;=AB$3,1,0))*OFFSET('Gastos com Pessoal'!$H$6,1,MATCH(2&amp;$B52,'Gastos com Pessoal'!$I$532:$AJ$532&amp;'Gastos com Pessoal'!$I$6:$AJ$6,0),500,1)),0)+_xlfn.IFNA(SUM((AB$3&gt;='Gastos com Pessoal'!$E$7:$E$506)*(AB$3&lt;='Gastos com Pessoal'!$F$7:$F$506)*(IF('Gastos com Pessoal'!$S$7:$S$506&lt;=AB$3,1,0))*OFFSET('Gastos com Pessoal'!$H$6,1,MATCH(3&amp;$B52,'Gastos com Pessoal'!$I$532:$AJ$532&amp;'Gastos com Pessoal'!$I$6:$AJ$6,0),500,1)),0)+_xlfn.IFNA(SUM((AB$3&gt;='Gastos com Pessoal'!$E$7:$E$506)*(AB$3&lt;='Gastos com Pessoal'!$F$7:$F$506)*(IF('Gastos com Pessoal'!$Y$7:$Y$506&lt;=AB$3,1,0))*OFFSET('Gastos com Pessoal'!$H$6,1,MATCH(4&amp;$B52,'Gastos com Pessoal'!$I$532:$AJ$532&amp;'Gastos com Pessoal'!$I$6:$AJ$6,0),500,1)),0)+_xlfn.IFNA(SUM((AB$3&gt;='Gastos com Pessoal'!$E$7:$E$506)*(AB$3&lt;='Gastos com Pessoal'!$F$7:$F$506)*(IF('Gastos com Pessoal'!$AE$7:$AE$506&lt;=AB$3,1,0))*OFFSET('Gastos com Pessoal'!$H$6,1,MATCH(5&amp;$B52,'Gastos com Pessoal'!$I$532:$AJ$532&amp;'Gastos com Pessoal'!$I$6:$AJ$6,0),500,1)),0)+_xlfn.IFNA(SUM((AB$3&gt;='Gastos com Pessoal'!$E$513:$E$522)*(AB$3&lt;='Gastos com Pessoal'!$F$513:$F$522)*(IF('Gastos com Pessoal'!$G$513:$G$522&lt;=AB$3,1,0))*OFFSET('Gastos com Pessoal'!$H$512,1,MATCH(1&amp;$B52,'Gastos com Pessoal'!$I$532:$AJ$532&amp;'Gastos com Pessoal'!$I$512:$AJ$512,0),10,1)),0)+_xlfn.IFNA(SUM((AB$3&gt;='Gastos com Pessoal'!$E$513:$E$522)*(AB$3&lt;='Gastos com Pessoal'!$F$513:$F$522)*(IF('Gastos com Pessoal'!$M$513:$M$522&lt;=AB$3,1,0))*OFFSET('Gastos com Pessoal'!$H$512,1,MATCH(2&amp;$B52,'Gastos com Pessoal'!$I$532:$AJ$532&amp;'Gastos com Pessoal'!$I$512:$AJ$512,0),10,1)),0)+_xlfn.IFNA(SUM((AB$3&gt;='Gastos com Pessoal'!$E$513:$E$522)*(AB$3&lt;='Gastos com Pessoal'!$F$513:$F$522)*(IF('Gastos com Pessoal'!$S$513:$S$522&lt;=AB$3,1,0))*OFFSET('Gastos com Pessoal'!$H$512,1,MATCH(3&amp;$B52,'Gastos com Pessoal'!$I$532:$AJ$532&amp;'Gastos com Pessoal'!$I$512:$AJ$512,0),10,1)),0)+_xlfn.IFNA(SUM((AB$3&gt;='Gastos com Pessoal'!$E$513:$E$522)*(AB$3&lt;='Gastos com Pessoal'!$F$513:$F$522)*(IF('Gastos com Pessoal'!$Y$513:$Y$522&lt;=AB$3,1,0))*OFFSET('Gastos com Pessoal'!$H$512,1,MATCH(4&amp;$B52,'Gastos com Pessoal'!$I$532:$AJ$532&amp;'Gastos com Pessoal'!$I$512:$AJ$512,0),10,1)),0)+_xlfn.IFNA(SUM((AB$3&gt;='Gastos com Pessoal'!$E$513:$E$522)*(AB$3&lt;='Gastos com Pessoal'!$F$513:$F$522)*(IF('Gastos com Pessoal'!$AE$513:$AE$522&lt;=AB$3,1,0))*OFFSET('Gastos com Pessoal'!$H$512,1,MATCH(5&amp;$B52,'Gastos com Pessoal'!$I$532:$AJ$532&amp;'Gastos com Pessoal'!$I$512:$AJ$512,0),10,1)),0)</f>
        <v>12159.820000000009</v>
      </c>
      <c r="AC52" s="188">
        <f t="array" aca="1" ref="AC52" ca="1">_xlfn.IFNA(SUM((AC$3&gt;='Gastos com Pessoal'!$E$7:$E$506)*(AC$3&lt;='Gastos com Pessoal'!$F$7:$F$506)*OFFSET('Encargos e Benefícios'!$D$5,1,MATCH($B52,'Encargos e Benefícios'!$E$5:$AB$5,0),500,1)),0)+_xlfn.IFNA(SUM((AC$3&gt;='Gastos com Pessoal'!$E$513:$E$522)*(AC$3&lt;='Gastos com Pessoal'!$F$513:$F$522)*OFFSET('Encargos e Benefícios'!$D$511,1,MATCH($B52,'Encargos e Benefícios'!$E$511:$AB$511,0),10,1)),0)+_xlfn.IFNA(SUM((AC$3&gt;='Gastos com Pessoal'!$E$7:$E$506)*(AC$3&lt;='Gastos com Pessoal'!$F$7:$F$506)*(IF('Gastos com Pessoal'!$G$7:$G$506&lt;=AC$3,1,0))*OFFSET('Gastos com Pessoal'!$H$6,1,MATCH(1&amp;$B52,'Gastos com Pessoal'!$I$532:$AJ$532&amp;'Gastos com Pessoal'!$I$6:$AJ$6,0),500,1)),0)+_xlfn.IFNA(SUM((AC$3&gt;='Gastos com Pessoal'!$E$7:$E$506)*(AC$3&lt;='Gastos com Pessoal'!$F$7:$F$506)*(IF('Gastos com Pessoal'!$M$7:$M$506&lt;=AC$3,1,0))*OFFSET('Gastos com Pessoal'!$H$6,1,MATCH(2&amp;$B52,'Gastos com Pessoal'!$I$532:$AJ$532&amp;'Gastos com Pessoal'!$I$6:$AJ$6,0),500,1)),0)+_xlfn.IFNA(SUM((AC$3&gt;='Gastos com Pessoal'!$E$7:$E$506)*(AC$3&lt;='Gastos com Pessoal'!$F$7:$F$506)*(IF('Gastos com Pessoal'!$S$7:$S$506&lt;=AC$3,1,0))*OFFSET('Gastos com Pessoal'!$H$6,1,MATCH(3&amp;$B52,'Gastos com Pessoal'!$I$532:$AJ$532&amp;'Gastos com Pessoal'!$I$6:$AJ$6,0),500,1)),0)+_xlfn.IFNA(SUM((AC$3&gt;='Gastos com Pessoal'!$E$7:$E$506)*(AC$3&lt;='Gastos com Pessoal'!$F$7:$F$506)*(IF('Gastos com Pessoal'!$Y$7:$Y$506&lt;=AC$3,1,0))*OFFSET('Gastos com Pessoal'!$H$6,1,MATCH(4&amp;$B52,'Gastos com Pessoal'!$I$532:$AJ$532&amp;'Gastos com Pessoal'!$I$6:$AJ$6,0),500,1)),0)+_xlfn.IFNA(SUM((AC$3&gt;='Gastos com Pessoal'!$E$7:$E$506)*(AC$3&lt;='Gastos com Pessoal'!$F$7:$F$506)*(IF('Gastos com Pessoal'!$AE$7:$AE$506&lt;=AC$3,1,0))*OFFSET('Gastos com Pessoal'!$H$6,1,MATCH(5&amp;$B52,'Gastos com Pessoal'!$I$532:$AJ$532&amp;'Gastos com Pessoal'!$I$6:$AJ$6,0),500,1)),0)+_xlfn.IFNA(SUM((AC$3&gt;='Gastos com Pessoal'!$E$513:$E$522)*(AC$3&lt;='Gastos com Pessoal'!$F$513:$F$522)*(IF('Gastos com Pessoal'!$G$513:$G$522&lt;=AC$3,1,0))*OFFSET('Gastos com Pessoal'!$H$512,1,MATCH(1&amp;$B52,'Gastos com Pessoal'!$I$532:$AJ$532&amp;'Gastos com Pessoal'!$I$512:$AJ$512,0),10,1)),0)+_xlfn.IFNA(SUM((AC$3&gt;='Gastos com Pessoal'!$E$513:$E$522)*(AC$3&lt;='Gastos com Pessoal'!$F$513:$F$522)*(IF('Gastos com Pessoal'!$M$513:$M$522&lt;=AC$3,1,0))*OFFSET('Gastos com Pessoal'!$H$512,1,MATCH(2&amp;$B52,'Gastos com Pessoal'!$I$532:$AJ$532&amp;'Gastos com Pessoal'!$I$512:$AJ$512,0),10,1)),0)+_xlfn.IFNA(SUM((AC$3&gt;='Gastos com Pessoal'!$E$513:$E$522)*(AC$3&lt;='Gastos com Pessoal'!$F$513:$F$522)*(IF('Gastos com Pessoal'!$S$513:$S$522&lt;=AC$3,1,0))*OFFSET('Gastos com Pessoal'!$H$512,1,MATCH(3&amp;$B52,'Gastos com Pessoal'!$I$532:$AJ$532&amp;'Gastos com Pessoal'!$I$512:$AJ$512,0),10,1)),0)+_xlfn.IFNA(SUM((AC$3&gt;='Gastos com Pessoal'!$E$513:$E$522)*(AC$3&lt;='Gastos com Pessoal'!$F$513:$F$522)*(IF('Gastos com Pessoal'!$Y$513:$Y$522&lt;=AC$3,1,0))*OFFSET('Gastos com Pessoal'!$H$512,1,MATCH(4&amp;$B52,'Gastos com Pessoal'!$I$532:$AJ$532&amp;'Gastos com Pessoal'!$I$512:$AJ$512,0),10,1)),0)+_xlfn.IFNA(SUM((AC$3&gt;='Gastos com Pessoal'!$E$513:$E$522)*(AC$3&lt;='Gastos com Pessoal'!$F$513:$F$522)*(IF('Gastos com Pessoal'!$AE$513:$AE$522&lt;=AC$3,1,0))*OFFSET('Gastos com Pessoal'!$H$512,1,MATCH(5&amp;$B52,'Gastos com Pessoal'!$I$532:$AJ$532&amp;'Gastos com Pessoal'!$I$512:$AJ$512,0),10,1)),0)</f>
        <v>12159.820000000009</v>
      </c>
      <c r="AD52" s="188">
        <f t="array" aca="1" ref="AD52" ca="1">_xlfn.IFNA(SUM((AD$3&gt;='Gastos com Pessoal'!$E$7:$E$506)*(AD$3&lt;='Gastos com Pessoal'!$F$7:$F$506)*OFFSET('Encargos e Benefícios'!$D$5,1,MATCH($B52,'Encargos e Benefícios'!$E$5:$AB$5,0),500,1)),0)+_xlfn.IFNA(SUM((AD$3&gt;='Gastos com Pessoal'!$E$513:$E$522)*(AD$3&lt;='Gastos com Pessoal'!$F$513:$F$522)*OFFSET('Encargos e Benefícios'!$D$511,1,MATCH($B52,'Encargos e Benefícios'!$E$511:$AB$511,0),10,1)),0)+_xlfn.IFNA(SUM((AD$3&gt;='Gastos com Pessoal'!$E$7:$E$506)*(AD$3&lt;='Gastos com Pessoal'!$F$7:$F$506)*(IF('Gastos com Pessoal'!$G$7:$G$506&lt;=AD$3,1,0))*OFFSET('Gastos com Pessoal'!$H$6,1,MATCH(1&amp;$B52,'Gastos com Pessoal'!$I$532:$AJ$532&amp;'Gastos com Pessoal'!$I$6:$AJ$6,0),500,1)),0)+_xlfn.IFNA(SUM((AD$3&gt;='Gastos com Pessoal'!$E$7:$E$506)*(AD$3&lt;='Gastos com Pessoal'!$F$7:$F$506)*(IF('Gastos com Pessoal'!$M$7:$M$506&lt;=AD$3,1,0))*OFFSET('Gastos com Pessoal'!$H$6,1,MATCH(2&amp;$B52,'Gastos com Pessoal'!$I$532:$AJ$532&amp;'Gastos com Pessoal'!$I$6:$AJ$6,0),500,1)),0)+_xlfn.IFNA(SUM((AD$3&gt;='Gastos com Pessoal'!$E$7:$E$506)*(AD$3&lt;='Gastos com Pessoal'!$F$7:$F$506)*(IF('Gastos com Pessoal'!$S$7:$S$506&lt;=AD$3,1,0))*OFFSET('Gastos com Pessoal'!$H$6,1,MATCH(3&amp;$B52,'Gastos com Pessoal'!$I$532:$AJ$532&amp;'Gastos com Pessoal'!$I$6:$AJ$6,0),500,1)),0)+_xlfn.IFNA(SUM((AD$3&gt;='Gastos com Pessoal'!$E$7:$E$506)*(AD$3&lt;='Gastos com Pessoal'!$F$7:$F$506)*(IF('Gastos com Pessoal'!$Y$7:$Y$506&lt;=AD$3,1,0))*OFFSET('Gastos com Pessoal'!$H$6,1,MATCH(4&amp;$B52,'Gastos com Pessoal'!$I$532:$AJ$532&amp;'Gastos com Pessoal'!$I$6:$AJ$6,0),500,1)),0)+_xlfn.IFNA(SUM((AD$3&gt;='Gastos com Pessoal'!$E$7:$E$506)*(AD$3&lt;='Gastos com Pessoal'!$F$7:$F$506)*(IF('Gastos com Pessoal'!$AE$7:$AE$506&lt;=AD$3,1,0))*OFFSET('Gastos com Pessoal'!$H$6,1,MATCH(5&amp;$B52,'Gastos com Pessoal'!$I$532:$AJ$532&amp;'Gastos com Pessoal'!$I$6:$AJ$6,0),500,1)),0)+_xlfn.IFNA(SUM((AD$3&gt;='Gastos com Pessoal'!$E$513:$E$522)*(AD$3&lt;='Gastos com Pessoal'!$F$513:$F$522)*(IF('Gastos com Pessoal'!$G$513:$G$522&lt;=AD$3,1,0))*OFFSET('Gastos com Pessoal'!$H$512,1,MATCH(1&amp;$B52,'Gastos com Pessoal'!$I$532:$AJ$532&amp;'Gastos com Pessoal'!$I$512:$AJ$512,0),10,1)),0)+_xlfn.IFNA(SUM((AD$3&gt;='Gastos com Pessoal'!$E$513:$E$522)*(AD$3&lt;='Gastos com Pessoal'!$F$513:$F$522)*(IF('Gastos com Pessoal'!$M$513:$M$522&lt;=AD$3,1,0))*OFFSET('Gastos com Pessoal'!$H$512,1,MATCH(2&amp;$B52,'Gastos com Pessoal'!$I$532:$AJ$532&amp;'Gastos com Pessoal'!$I$512:$AJ$512,0),10,1)),0)+_xlfn.IFNA(SUM((AD$3&gt;='Gastos com Pessoal'!$E$513:$E$522)*(AD$3&lt;='Gastos com Pessoal'!$F$513:$F$522)*(IF('Gastos com Pessoal'!$S$513:$S$522&lt;=AD$3,1,0))*OFFSET('Gastos com Pessoal'!$H$512,1,MATCH(3&amp;$B52,'Gastos com Pessoal'!$I$532:$AJ$532&amp;'Gastos com Pessoal'!$I$512:$AJ$512,0),10,1)),0)+_xlfn.IFNA(SUM((AD$3&gt;='Gastos com Pessoal'!$E$513:$E$522)*(AD$3&lt;='Gastos com Pessoal'!$F$513:$F$522)*(IF('Gastos com Pessoal'!$Y$513:$Y$522&lt;=AD$3,1,0))*OFFSET('Gastos com Pessoal'!$H$512,1,MATCH(4&amp;$B52,'Gastos com Pessoal'!$I$532:$AJ$532&amp;'Gastos com Pessoal'!$I$512:$AJ$512,0),10,1)),0)+_xlfn.IFNA(SUM((AD$3&gt;='Gastos com Pessoal'!$E$513:$E$522)*(AD$3&lt;='Gastos com Pessoal'!$F$513:$F$522)*(IF('Gastos com Pessoal'!$AE$513:$AE$522&lt;=AD$3,1,0))*OFFSET('Gastos com Pessoal'!$H$512,1,MATCH(5&amp;$B52,'Gastos com Pessoal'!$I$532:$AJ$532&amp;'Gastos com Pessoal'!$I$512:$AJ$512,0),10,1)),0)</f>
        <v>12159.820000000009</v>
      </c>
      <c r="AE52" s="188">
        <f t="array" aca="1" ref="AE52" ca="1">_xlfn.IFNA(SUM((AE$3&gt;='Gastos com Pessoal'!$E$7:$E$506)*(AE$3&lt;='Gastos com Pessoal'!$F$7:$F$506)*OFFSET('Encargos e Benefícios'!$D$5,1,MATCH($B52,'Encargos e Benefícios'!$E$5:$AB$5,0),500,1)),0)+_xlfn.IFNA(SUM((AE$3&gt;='Gastos com Pessoal'!$E$513:$E$522)*(AE$3&lt;='Gastos com Pessoal'!$F$513:$F$522)*OFFSET('Encargos e Benefícios'!$D$511,1,MATCH($B52,'Encargos e Benefícios'!$E$511:$AB$511,0),10,1)),0)+_xlfn.IFNA(SUM((AE$3&gt;='Gastos com Pessoal'!$E$7:$E$506)*(AE$3&lt;='Gastos com Pessoal'!$F$7:$F$506)*(IF('Gastos com Pessoal'!$G$7:$G$506&lt;=AE$3,1,0))*OFFSET('Gastos com Pessoal'!$H$6,1,MATCH(1&amp;$B52,'Gastos com Pessoal'!$I$532:$AJ$532&amp;'Gastos com Pessoal'!$I$6:$AJ$6,0),500,1)),0)+_xlfn.IFNA(SUM((AE$3&gt;='Gastos com Pessoal'!$E$7:$E$506)*(AE$3&lt;='Gastos com Pessoal'!$F$7:$F$506)*(IF('Gastos com Pessoal'!$M$7:$M$506&lt;=AE$3,1,0))*OFFSET('Gastos com Pessoal'!$H$6,1,MATCH(2&amp;$B52,'Gastos com Pessoal'!$I$532:$AJ$532&amp;'Gastos com Pessoal'!$I$6:$AJ$6,0),500,1)),0)+_xlfn.IFNA(SUM((AE$3&gt;='Gastos com Pessoal'!$E$7:$E$506)*(AE$3&lt;='Gastos com Pessoal'!$F$7:$F$506)*(IF('Gastos com Pessoal'!$S$7:$S$506&lt;=AE$3,1,0))*OFFSET('Gastos com Pessoal'!$H$6,1,MATCH(3&amp;$B52,'Gastos com Pessoal'!$I$532:$AJ$532&amp;'Gastos com Pessoal'!$I$6:$AJ$6,0),500,1)),0)+_xlfn.IFNA(SUM((AE$3&gt;='Gastos com Pessoal'!$E$7:$E$506)*(AE$3&lt;='Gastos com Pessoal'!$F$7:$F$506)*(IF('Gastos com Pessoal'!$Y$7:$Y$506&lt;=AE$3,1,0))*OFFSET('Gastos com Pessoal'!$H$6,1,MATCH(4&amp;$B52,'Gastos com Pessoal'!$I$532:$AJ$532&amp;'Gastos com Pessoal'!$I$6:$AJ$6,0),500,1)),0)+_xlfn.IFNA(SUM((AE$3&gt;='Gastos com Pessoal'!$E$7:$E$506)*(AE$3&lt;='Gastos com Pessoal'!$F$7:$F$506)*(IF('Gastos com Pessoal'!$AE$7:$AE$506&lt;=AE$3,1,0))*OFFSET('Gastos com Pessoal'!$H$6,1,MATCH(5&amp;$B52,'Gastos com Pessoal'!$I$532:$AJ$532&amp;'Gastos com Pessoal'!$I$6:$AJ$6,0),500,1)),0)+_xlfn.IFNA(SUM((AE$3&gt;='Gastos com Pessoal'!$E$513:$E$522)*(AE$3&lt;='Gastos com Pessoal'!$F$513:$F$522)*(IF('Gastos com Pessoal'!$G$513:$G$522&lt;=AE$3,1,0))*OFFSET('Gastos com Pessoal'!$H$512,1,MATCH(1&amp;$B52,'Gastos com Pessoal'!$I$532:$AJ$532&amp;'Gastos com Pessoal'!$I$512:$AJ$512,0),10,1)),0)+_xlfn.IFNA(SUM((AE$3&gt;='Gastos com Pessoal'!$E$513:$E$522)*(AE$3&lt;='Gastos com Pessoal'!$F$513:$F$522)*(IF('Gastos com Pessoal'!$M$513:$M$522&lt;=AE$3,1,0))*OFFSET('Gastos com Pessoal'!$H$512,1,MATCH(2&amp;$B52,'Gastos com Pessoal'!$I$532:$AJ$532&amp;'Gastos com Pessoal'!$I$512:$AJ$512,0),10,1)),0)+_xlfn.IFNA(SUM((AE$3&gt;='Gastos com Pessoal'!$E$513:$E$522)*(AE$3&lt;='Gastos com Pessoal'!$F$513:$F$522)*(IF('Gastos com Pessoal'!$S$513:$S$522&lt;=AE$3,1,0))*OFFSET('Gastos com Pessoal'!$H$512,1,MATCH(3&amp;$B52,'Gastos com Pessoal'!$I$532:$AJ$532&amp;'Gastos com Pessoal'!$I$512:$AJ$512,0),10,1)),0)+_xlfn.IFNA(SUM((AE$3&gt;='Gastos com Pessoal'!$E$513:$E$522)*(AE$3&lt;='Gastos com Pessoal'!$F$513:$F$522)*(IF('Gastos com Pessoal'!$Y$513:$Y$522&lt;=AE$3,1,0))*OFFSET('Gastos com Pessoal'!$H$512,1,MATCH(4&amp;$B52,'Gastos com Pessoal'!$I$532:$AJ$532&amp;'Gastos com Pessoal'!$I$512:$AJ$512,0),10,1)),0)+_xlfn.IFNA(SUM((AE$3&gt;='Gastos com Pessoal'!$E$513:$E$522)*(AE$3&lt;='Gastos com Pessoal'!$F$513:$F$522)*(IF('Gastos com Pessoal'!$AE$513:$AE$522&lt;=AE$3,1,0))*OFFSET('Gastos com Pessoal'!$H$512,1,MATCH(5&amp;$B52,'Gastos com Pessoal'!$I$532:$AJ$532&amp;'Gastos com Pessoal'!$I$512:$AJ$512,0),10,1)),0)</f>
        <v>12159.820000000009</v>
      </c>
      <c r="AF52" s="188">
        <f t="array" aca="1" ref="AF52" ca="1">_xlfn.IFNA(SUM((AF$3&gt;='Gastos com Pessoal'!$E$7:$E$506)*(AF$3&lt;='Gastos com Pessoal'!$F$7:$F$506)*OFFSET('Encargos e Benefícios'!$D$5,1,MATCH($B52,'Encargos e Benefícios'!$E$5:$AB$5,0),500,1)),0)+_xlfn.IFNA(SUM((AF$3&gt;='Gastos com Pessoal'!$E$513:$E$522)*(AF$3&lt;='Gastos com Pessoal'!$F$513:$F$522)*OFFSET('Encargos e Benefícios'!$D$511,1,MATCH($B52,'Encargos e Benefícios'!$E$511:$AB$511,0),10,1)),0)+_xlfn.IFNA(SUM((AF$3&gt;='Gastos com Pessoal'!$E$7:$E$506)*(AF$3&lt;='Gastos com Pessoal'!$F$7:$F$506)*(IF('Gastos com Pessoal'!$G$7:$G$506&lt;=AF$3,1,0))*OFFSET('Gastos com Pessoal'!$H$6,1,MATCH(1&amp;$B52,'Gastos com Pessoal'!$I$532:$AJ$532&amp;'Gastos com Pessoal'!$I$6:$AJ$6,0),500,1)),0)+_xlfn.IFNA(SUM((AF$3&gt;='Gastos com Pessoal'!$E$7:$E$506)*(AF$3&lt;='Gastos com Pessoal'!$F$7:$F$506)*(IF('Gastos com Pessoal'!$M$7:$M$506&lt;=AF$3,1,0))*OFFSET('Gastos com Pessoal'!$H$6,1,MATCH(2&amp;$B52,'Gastos com Pessoal'!$I$532:$AJ$532&amp;'Gastos com Pessoal'!$I$6:$AJ$6,0),500,1)),0)+_xlfn.IFNA(SUM((AF$3&gt;='Gastos com Pessoal'!$E$7:$E$506)*(AF$3&lt;='Gastos com Pessoal'!$F$7:$F$506)*(IF('Gastos com Pessoal'!$S$7:$S$506&lt;=AF$3,1,0))*OFFSET('Gastos com Pessoal'!$H$6,1,MATCH(3&amp;$B52,'Gastos com Pessoal'!$I$532:$AJ$532&amp;'Gastos com Pessoal'!$I$6:$AJ$6,0),500,1)),0)+_xlfn.IFNA(SUM((AF$3&gt;='Gastos com Pessoal'!$E$7:$E$506)*(AF$3&lt;='Gastos com Pessoal'!$F$7:$F$506)*(IF('Gastos com Pessoal'!$Y$7:$Y$506&lt;=AF$3,1,0))*OFFSET('Gastos com Pessoal'!$H$6,1,MATCH(4&amp;$B52,'Gastos com Pessoal'!$I$532:$AJ$532&amp;'Gastos com Pessoal'!$I$6:$AJ$6,0),500,1)),0)+_xlfn.IFNA(SUM((AF$3&gt;='Gastos com Pessoal'!$E$7:$E$506)*(AF$3&lt;='Gastos com Pessoal'!$F$7:$F$506)*(IF('Gastos com Pessoal'!$AE$7:$AE$506&lt;=AF$3,1,0))*OFFSET('Gastos com Pessoal'!$H$6,1,MATCH(5&amp;$B52,'Gastos com Pessoal'!$I$532:$AJ$532&amp;'Gastos com Pessoal'!$I$6:$AJ$6,0),500,1)),0)+_xlfn.IFNA(SUM((AF$3&gt;='Gastos com Pessoal'!$E$513:$E$522)*(AF$3&lt;='Gastos com Pessoal'!$F$513:$F$522)*(IF('Gastos com Pessoal'!$G$513:$G$522&lt;=AF$3,1,0))*OFFSET('Gastos com Pessoal'!$H$512,1,MATCH(1&amp;$B52,'Gastos com Pessoal'!$I$532:$AJ$532&amp;'Gastos com Pessoal'!$I$512:$AJ$512,0),10,1)),0)+_xlfn.IFNA(SUM((AF$3&gt;='Gastos com Pessoal'!$E$513:$E$522)*(AF$3&lt;='Gastos com Pessoal'!$F$513:$F$522)*(IF('Gastos com Pessoal'!$M$513:$M$522&lt;=AF$3,1,0))*OFFSET('Gastos com Pessoal'!$H$512,1,MATCH(2&amp;$B52,'Gastos com Pessoal'!$I$532:$AJ$532&amp;'Gastos com Pessoal'!$I$512:$AJ$512,0),10,1)),0)+_xlfn.IFNA(SUM((AF$3&gt;='Gastos com Pessoal'!$E$513:$E$522)*(AF$3&lt;='Gastos com Pessoal'!$F$513:$F$522)*(IF('Gastos com Pessoal'!$S$513:$S$522&lt;=AF$3,1,0))*OFFSET('Gastos com Pessoal'!$H$512,1,MATCH(3&amp;$B52,'Gastos com Pessoal'!$I$532:$AJ$532&amp;'Gastos com Pessoal'!$I$512:$AJ$512,0),10,1)),0)+_xlfn.IFNA(SUM((AF$3&gt;='Gastos com Pessoal'!$E$513:$E$522)*(AF$3&lt;='Gastos com Pessoal'!$F$513:$F$522)*(IF('Gastos com Pessoal'!$Y$513:$Y$522&lt;=AF$3,1,0))*OFFSET('Gastos com Pessoal'!$H$512,1,MATCH(4&amp;$B52,'Gastos com Pessoal'!$I$532:$AJ$532&amp;'Gastos com Pessoal'!$I$512:$AJ$512,0),10,1)),0)+_xlfn.IFNA(SUM((AF$3&gt;='Gastos com Pessoal'!$E$513:$E$522)*(AF$3&lt;='Gastos com Pessoal'!$F$513:$F$522)*(IF('Gastos com Pessoal'!$AE$513:$AE$522&lt;=AF$3,1,0))*OFFSET('Gastos com Pessoal'!$H$512,1,MATCH(5&amp;$B52,'Gastos com Pessoal'!$I$532:$AJ$532&amp;'Gastos com Pessoal'!$I$512:$AJ$512,0),10,1)),0)</f>
        <v>12159.820000000009</v>
      </c>
      <c r="AG52" s="188">
        <f t="array" aca="1" ref="AG52" ca="1">_xlfn.IFNA(SUM((AG$3&gt;='Gastos com Pessoal'!$E$7:$E$506)*(AG$3&lt;='Gastos com Pessoal'!$F$7:$F$506)*OFFSET('Encargos e Benefícios'!$D$5,1,MATCH($B52,'Encargos e Benefícios'!$E$5:$AB$5,0),500,1)),0)+_xlfn.IFNA(SUM((AG$3&gt;='Gastos com Pessoal'!$E$513:$E$522)*(AG$3&lt;='Gastos com Pessoal'!$F$513:$F$522)*OFFSET('Encargos e Benefícios'!$D$511,1,MATCH($B52,'Encargos e Benefícios'!$E$511:$AB$511,0),10,1)),0)+_xlfn.IFNA(SUM((AG$3&gt;='Gastos com Pessoal'!$E$7:$E$506)*(AG$3&lt;='Gastos com Pessoal'!$F$7:$F$506)*(IF('Gastos com Pessoal'!$G$7:$G$506&lt;=AG$3,1,0))*OFFSET('Gastos com Pessoal'!$H$6,1,MATCH(1&amp;$B52,'Gastos com Pessoal'!$I$532:$AJ$532&amp;'Gastos com Pessoal'!$I$6:$AJ$6,0),500,1)),0)+_xlfn.IFNA(SUM((AG$3&gt;='Gastos com Pessoal'!$E$7:$E$506)*(AG$3&lt;='Gastos com Pessoal'!$F$7:$F$506)*(IF('Gastos com Pessoal'!$M$7:$M$506&lt;=AG$3,1,0))*OFFSET('Gastos com Pessoal'!$H$6,1,MATCH(2&amp;$B52,'Gastos com Pessoal'!$I$532:$AJ$532&amp;'Gastos com Pessoal'!$I$6:$AJ$6,0),500,1)),0)+_xlfn.IFNA(SUM((AG$3&gt;='Gastos com Pessoal'!$E$7:$E$506)*(AG$3&lt;='Gastos com Pessoal'!$F$7:$F$506)*(IF('Gastos com Pessoal'!$S$7:$S$506&lt;=AG$3,1,0))*OFFSET('Gastos com Pessoal'!$H$6,1,MATCH(3&amp;$B52,'Gastos com Pessoal'!$I$532:$AJ$532&amp;'Gastos com Pessoal'!$I$6:$AJ$6,0),500,1)),0)+_xlfn.IFNA(SUM((AG$3&gt;='Gastos com Pessoal'!$E$7:$E$506)*(AG$3&lt;='Gastos com Pessoal'!$F$7:$F$506)*(IF('Gastos com Pessoal'!$Y$7:$Y$506&lt;=AG$3,1,0))*OFFSET('Gastos com Pessoal'!$H$6,1,MATCH(4&amp;$B52,'Gastos com Pessoal'!$I$532:$AJ$532&amp;'Gastos com Pessoal'!$I$6:$AJ$6,0),500,1)),0)+_xlfn.IFNA(SUM((AG$3&gt;='Gastos com Pessoal'!$E$7:$E$506)*(AG$3&lt;='Gastos com Pessoal'!$F$7:$F$506)*(IF('Gastos com Pessoal'!$AE$7:$AE$506&lt;=AG$3,1,0))*OFFSET('Gastos com Pessoal'!$H$6,1,MATCH(5&amp;$B52,'Gastos com Pessoal'!$I$532:$AJ$532&amp;'Gastos com Pessoal'!$I$6:$AJ$6,0),500,1)),0)+_xlfn.IFNA(SUM((AG$3&gt;='Gastos com Pessoal'!$E$513:$E$522)*(AG$3&lt;='Gastos com Pessoal'!$F$513:$F$522)*(IF('Gastos com Pessoal'!$G$513:$G$522&lt;=AG$3,1,0))*OFFSET('Gastos com Pessoal'!$H$512,1,MATCH(1&amp;$B52,'Gastos com Pessoal'!$I$532:$AJ$532&amp;'Gastos com Pessoal'!$I$512:$AJ$512,0),10,1)),0)+_xlfn.IFNA(SUM((AG$3&gt;='Gastos com Pessoal'!$E$513:$E$522)*(AG$3&lt;='Gastos com Pessoal'!$F$513:$F$522)*(IF('Gastos com Pessoal'!$M$513:$M$522&lt;=AG$3,1,0))*OFFSET('Gastos com Pessoal'!$H$512,1,MATCH(2&amp;$B52,'Gastos com Pessoal'!$I$532:$AJ$532&amp;'Gastos com Pessoal'!$I$512:$AJ$512,0),10,1)),0)+_xlfn.IFNA(SUM((AG$3&gt;='Gastos com Pessoal'!$E$513:$E$522)*(AG$3&lt;='Gastos com Pessoal'!$F$513:$F$522)*(IF('Gastos com Pessoal'!$S$513:$S$522&lt;=AG$3,1,0))*OFFSET('Gastos com Pessoal'!$H$512,1,MATCH(3&amp;$B52,'Gastos com Pessoal'!$I$532:$AJ$532&amp;'Gastos com Pessoal'!$I$512:$AJ$512,0),10,1)),0)+_xlfn.IFNA(SUM((AG$3&gt;='Gastos com Pessoal'!$E$513:$E$522)*(AG$3&lt;='Gastos com Pessoal'!$F$513:$F$522)*(IF('Gastos com Pessoal'!$Y$513:$Y$522&lt;=AG$3,1,0))*OFFSET('Gastos com Pessoal'!$H$512,1,MATCH(4&amp;$B52,'Gastos com Pessoal'!$I$532:$AJ$532&amp;'Gastos com Pessoal'!$I$512:$AJ$512,0),10,1)),0)+_xlfn.IFNA(SUM((AG$3&gt;='Gastos com Pessoal'!$E$513:$E$522)*(AG$3&lt;='Gastos com Pessoal'!$F$513:$F$522)*(IF('Gastos com Pessoal'!$AE$513:$AE$522&lt;=AG$3,1,0))*OFFSET('Gastos com Pessoal'!$H$512,1,MATCH(5&amp;$B52,'Gastos com Pessoal'!$I$532:$AJ$532&amp;'Gastos com Pessoal'!$I$512:$AJ$512,0),10,1)),0)</f>
        <v>12159.820000000009</v>
      </c>
      <c r="AH52" s="188">
        <f t="array" aca="1" ref="AH52" ca="1">_xlfn.IFNA(SUM((AH$3&gt;='Gastos com Pessoal'!$E$7:$E$506)*(AH$3&lt;='Gastos com Pessoal'!$F$7:$F$506)*OFFSET('Encargos e Benefícios'!$D$5,1,MATCH($B52,'Encargos e Benefícios'!$E$5:$AB$5,0),500,1)),0)+_xlfn.IFNA(SUM((AH$3&gt;='Gastos com Pessoal'!$E$513:$E$522)*(AH$3&lt;='Gastos com Pessoal'!$F$513:$F$522)*OFFSET('Encargos e Benefícios'!$D$511,1,MATCH($B52,'Encargos e Benefícios'!$E$511:$AB$511,0),10,1)),0)+_xlfn.IFNA(SUM((AH$3&gt;='Gastos com Pessoal'!$E$7:$E$506)*(AH$3&lt;='Gastos com Pessoal'!$F$7:$F$506)*(IF('Gastos com Pessoal'!$G$7:$G$506&lt;=AH$3,1,0))*OFFSET('Gastos com Pessoal'!$H$6,1,MATCH(1&amp;$B52,'Gastos com Pessoal'!$I$532:$AJ$532&amp;'Gastos com Pessoal'!$I$6:$AJ$6,0),500,1)),0)+_xlfn.IFNA(SUM((AH$3&gt;='Gastos com Pessoal'!$E$7:$E$506)*(AH$3&lt;='Gastos com Pessoal'!$F$7:$F$506)*(IF('Gastos com Pessoal'!$M$7:$M$506&lt;=AH$3,1,0))*OFFSET('Gastos com Pessoal'!$H$6,1,MATCH(2&amp;$B52,'Gastos com Pessoal'!$I$532:$AJ$532&amp;'Gastos com Pessoal'!$I$6:$AJ$6,0),500,1)),0)+_xlfn.IFNA(SUM((AH$3&gt;='Gastos com Pessoal'!$E$7:$E$506)*(AH$3&lt;='Gastos com Pessoal'!$F$7:$F$506)*(IF('Gastos com Pessoal'!$S$7:$S$506&lt;=AH$3,1,0))*OFFSET('Gastos com Pessoal'!$H$6,1,MATCH(3&amp;$B52,'Gastos com Pessoal'!$I$532:$AJ$532&amp;'Gastos com Pessoal'!$I$6:$AJ$6,0),500,1)),0)+_xlfn.IFNA(SUM((AH$3&gt;='Gastos com Pessoal'!$E$7:$E$506)*(AH$3&lt;='Gastos com Pessoal'!$F$7:$F$506)*(IF('Gastos com Pessoal'!$Y$7:$Y$506&lt;=AH$3,1,0))*OFFSET('Gastos com Pessoal'!$H$6,1,MATCH(4&amp;$B52,'Gastos com Pessoal'!$I$532:$AJ$532&amp;'Gastos com Pessoal'!$I$6:$AJ$6,0),500,1)),0)+_xlfn.IFNA(SUM((AH$3&gt;='Gastos com Pessoal'!$E$7:$E$506)*(AH$3&lt;='Gastos com Pessoal'!$F$7:$F$506)*(IF('Gastos com Pessoal'!$AE$7:$AE$506&lt;=AH$3,1,0))*OFFSET('Gastos com Pessoal'!$H$6,1,MATCH(5&amp;$B52,'Gastos com Pessoal'!$I$532:$AJ$532&amp;'Gastos com Pessoal'!$I$6:$AJ$6,0),500,1)),0)+_xlfn.IFNA(SUM((AH$3&gt;='Gastos com Pessoal'!$E$513:$E$522)*(AH$3&lt;='Gastos com Pessoal'!$F$513:$F$522)*(IF('Gastos com Pessoal'!$G$513:$G$522&lt;=AH$3,1,0))*OFFSET('Gastos com Pessoal'!$H$512,1,MATCH(1&amp;$B52,'Gastos com Pessoal'!$I$532:$AJ$532&amp;'Gastos com Pessoal'!$I$512:$AJ$512,0),10,1)),0)+_xlfn.IFNA(SUM((AH$3&gt;='Gastos com Pessoal'!$E$513:$E$522)*(AH$3&lt;='Gastos com Pessoal'!$F$513:$F$522)*(IF('Gastos com Pessoal'!$M$513:$M$522&lt;=AH$3,1,0))*OFFSET('Gastos com Pessoal'!$H$512,1,MATCH(2&amp;$B52,'Gastos com Pessoal'!$I$532:$AJ$532&amp;'Gastos com Pessoal'!$I$512:$AJ$512,0),10,1)),0)+_xlfn.IFNA(SUM((AH$3&gt;='Gastos com Pessoal'!$E$513:$E$522)*(AH$3&lt;='Gastos com Pessoal'!$F$513:$F$522)*(IF('Gastos com Pessoal'!$S$513:$S$522&lt;=AH$3,1,0))*OFFSET('Gastos com Pessoal'!$H$512,1,MATCH(3&amp;$B52,'Gastos com Pessoal'!$I$532:$AJ$532&amp;'Gastos com Pessoal'!$I$512:$AJ$512,0),10,1)),0)+_xlfn.IFNA(SUM((AH$3&gt;='Gastos com Pessoal'!$E$513:$E$522)*(AH$3&lt;='Gastos com Pessoal'!$F$513:$F$522)*(IF('Gastos com Pessoal'!$Y$513:$Y$522&lt;=AH$3,1,0))*OFFSET('Gastos com Pessoal'!$H$512,1,MATCH(4&amp;$B52,'Gastos com Pessoal'!$I$532:$AJ$532&amp;'Gastos com Pessoal'!$I$512:$AJ$512,0),10,1)),0)+_xlfn.IFNA(SUM((AH$3&gt;='Gastos com Pessoal'!$E$513:$E$522)*(AH$3&lt;='Gastos com Pessoal'!$F$513:$F$522)*(IF('Gastos com Pessoal'!$AE$513:$AE$522&lt;=AH$3,1,0))*OFFSET('Gastos com Pessoal'!$H$512,1,MATCH(5&amp;$B52,'Gastos com Pessoal'!$I$532:$AJ$532&amp;'Gastos com Pessoal'!$I$512:$AJ$512,0),10,1)),0)</f>
        <v>12159.820000000009</v>
      </c>
      <c r="AI52" s="188">
        <f t="array" aca="1" ref="AI52" ca="1">_xlfn.IFNA(SUM((AI$3&gt;='Gastos com Pessoal'!$E$7:$E$506)*(AI$3&lt;='Gastos com Pessoal'!$F$7:$F$506)*OFFSET('Encargos e Benefícios'!$D$5,1,MATCH($B52,'Encargos e Benefícios'!$E$5:$AB$5,0),500,1)),0)+_xlfn.IFNA(SUM((AI$3&gt;='Gastos com Pessoal'!$E$513:$E$522)*(AI$3&lt;='Gastos com Pessoal'!$F$513:$F$522)*OFFSET('Encargos e Benefícios'!$D$511,1,MATCH($B52,'Encargos e Benefícios'!$E$511:$AB$511,0),10,1)),0)+_xlfn.IFNA(SUM((AI$3&gt;='Gastos com Pessoal'!$E$7:$E$506)*(AI$3&lt;='Gastos com Pessoal'!$F$7:$F$506)*(IF('Gastos com Pessoal'!$G$7:$G$506&lt;=AI$3,1,0))*OFFSET('Gastos com Pessoal'!$H$6,1,MATCH(1&amp;$B52,'Gastos com Pessoal'!$I$532:$AJ$532&amp;'Gastos com Pessoal'!$I$6:$AJ$6,0),500,1)),0)+_xlfn.IFNA(SUM((AI$3&gt;='Gastos com Pessoal'!$E$7:$E$506)*(AI$3&lt;='Gastos com Pessoal'!$F$7:$F$506)*(IF('Gastos com Pessoal'!$M$7:$M$506&lt;=AI$3,1,0))*OFFSET('Gastos com Pessoal'!$H$6,1,MATCH(2&amp;$B52,'Gastos com Pessoal'!$I$532:$AJ$532&amp;'Gastos com Pessoal'!$I$6:$AJ$6,0),500,1)),0)+_xlfn.IFNA(SUM((AI$3&gt;='Gastos com Pessoal'!$E$7:$E$506)*(AI$3&lt;='Gastos com Pessoal'!$F$7:$F$506)*(IF('Gastos com Pessoal'!$S$7:$S$506&lt;=AI$3,1,0))*OFFSET('Gastos com Pessoal'!$H$6,1,MATCH(3&amp;$B52,'Gastos com Pessoal'!$I$532:$AJ$532&amp;'Gastos com Pessoal'!$I$6:$AJ$6,0),500,1)),0)+_xlfn.IFNA(SUM((AI$3&gt;='Gastos com Pessoal'!$E$7:$E$506)*(AI$3&lt;='Gastos com Pessoal'!$F$7:$F$506)*(IF('Gastos com Pessoal'!$Y$7:$Y$506&lt;=AI$3,1,0))*OFFSET('Gastos com Pessoal'!$H$6,1,MATCH(4&amp;$B52,'Gastos com Pessoal'!$I$532:$AJ$532&amp;'Gastos com Pessoal'!$I$6:$AJ$6,0),500,1)),0)+_xlfn.IFNA(SUM((AI$3&gt;='Gastos com Pessoal'!$E$7:$E$506)*(AI$3&lt;='Gastos com Pessoal'!$F$7:$F$506)*(IF('Gastos com Pessoal'!$AE$7:$AE$506&lt;=AI$3,1,0))*OFFSET('Gastos com Pessoal'!$H$6,1,MATCH(5&amp;$B52,'Gastos com Pessoal'!$I$532:$AJ$532&amp;'Gastos com Pessoal'!$I$6:$AJ$6,0),500,1)),0)+_xlfn.IFNA(SUM((AI$3&gt;='Gastos com Pessoal'!$E$513:$E$522)*(AI$3&lt;='Gastos com Pessoal'!$F$513:$F$522)*(IF('Gastos com Pessoal'!$G$513:$G$522&lt;=AI$3,1,0))*OFFSET('Gastos com Pessoal'!$H$512,1,MATCH(1&amp;$B52,'Gastos com Pessoal'!$I$532:$AJ$532&amp;'Gastos com Pessoal'!$I$512:$AJ$512,0),10,1)),0)+_xlfn.IFNA(SUM((AI$3&gt;='Gastos com Pessoal'!$E$513:$E$522)*(AI$3&lt;='Gastos com Pessoal'!$F$513:$F$522)*(IF('Gastos com Pessoal'!$M$513:$M$522&lt;=AI$3,1,0))*OFFSET('Gastos com Pessoal'!$H$512,1,MATCH(2&amp;$B52,'Gastos com Pessoal'!$I$532:$AJ$532&amp;'Gastos com Pessoal'!$I$512:$AJ$512,0),10,1)),0)+_xlfn.IFNA(SUM((AI$3&gt;='Gastos com Pessoal'!$E$513:$E$522)*(AI$3&lt;='Gastos com Pessoal'!$F$513:$F$522)*(IF('Gastos com Pessoal'!$S$513:$S$522&lt;=AI$3,1,0))*OFFSET('Gastos com Pessoal'!$H$512,1,MATCH(3&amp;$B52,'Gastos com Pessoal'!$I$532:$AJ$532&amp;'Gastos com Pessoal'!$I$512:$AJ$512,0),10,1)),0)+_xlfn.IFNA(SUM((AI$3&gt;='Gastos com Pessoal'!$E$513:$E$522)*(AI$3&lt;='Gastos com Pessoal'!$F$513:$F$522)*(IF('Gastos com Pessoal'!$Y$513:$Y$522&lt;=AI$3,1,0))*OFFSET('Gastos com Pessoal'!$H$512,1,MATCH(4&amp;$B52,'Gastos com Pessoal'!$I$532:$AJ$532&amp;'Gastos com Pessoal'!$I$512:$AJ$512,0),10,1)),0)+_xlfn.IFNA(SUM((AI$3&gt;='Gastos com Pessoal'!$E$513:$E$522)*(AI$3&lt;='Gastos com Pessoal'!$F$513:$F$522)*(IF('Gastos com Pessoal'!$AE$513:$AE$522&lt;=AI$3,1,0))*OFFSET('Gastos com Pessoal'!$H$512,1,MATCH(5&amp;$B52,'Gastos com Pessoal'!$I$532:$AJ$532&amp;'Gastos com Pessoal'!$I$512:$AJ$512,0),10,1)),0)</f>
        <v>12159.820000000009</v>
      </c>
      <c r="AJ52" s="188">
        <f t="array" aca="1" ref="AJ52" ca="1">_xlfn.IFNA(SUM((AJ$3&gt;='Gastos com Pessoal'!$E$7:$E$506)*(AJ$3&lt;='Gastos com Pessoal'!$F$7:$F$506)*OFFSET('Encargos e Benefícios'!$D$5,1,MATCH($B52,'Encargos e Benefícios'!$E$5:$AB$5,0),500,1)),0)+_xlfn.IFNA(SUM((AJ$3&gt;='Gastos com Pessoal'!$E$513:$E$522)*(AJ$3&lt;='Gastos com Pessoal'!$F$513:$F$522)*OFFSET('Encargos e Benefícios'!$D$511,1,MATCH($B52,'Encargos e Benefícios'!$E$511:$AB$511,0),10,1)),0)+_xlfn.IFNA(SUM((AJ$3&gt;='Gastos com Pessoal'!$E$7:$E$506)*(AJ$3&lt;='Gastos com Pessoal'!$F$7:$F$506)*(IF('Gastos com Pessoal'!$G$7:$G$506&lt;=AJ$3,1,0))*OFFSET('Gastos com Pessoal'!$H$6,1,MATCH(1&amp;$B52,'Gastos com Pessoal'!$I$532:$AJ$532&amp;'Gastos com Pessoal'!$I$6:$AJ$6,0),500,1)),0)+_xlfn.IFNA(SUM((AJ$3&gt;='Gastos com Pessoal'!$E$7:$E$506)*(AJ$3&lt;='Gastos com Pessoal'!$F$7:$F$506)*(IF('Gastos com Pessoal'!$M$7:$M$506&lt;=AJ$3,1,0))*OFFSET('Gastos com Pessoal'!$H$6,1,MATCH(2&amp;$B52,'Gastos com Pessoal'!$I$532:$AJ$532&amp;'Gastos com Pessoal'!$I$6:$AJ$6,0),500,1)),0)+_xlfn.IFNA(SUM((AJ$3&gt;='Gastos com Pessoal'!$E$7:$E$506)*(AJ$3&lt;='Gastos com Pessoal'!$F$7:$F$506)*(IF('Gastos com Pessoal'!$S$7:$S$506&lt;=AJ$3,1,0))*OFFSET('Gastos com Pessoal'!$H$6,1,MATCH(3&amp;$B52,'Gastos com Pessoal'!$I$532:$AJ$532&amp;'Gastos com Pessoal'!$I$6:$AJ$6,0),500,1)),0)+_xlfn.IFNA(SUM((AJ$3&gt;='Gastos com Pessoal'!$E$7:$E$506)*(AJ$3&lt;='Gastos com Pessoal'!$F$7:$F$506)*(IF('Gastos com Pessoal'!$Y$7:$Y$506&lt;=AJ$3,1,0))*OFFSET('Gastos com Pessoal'!$H$6,1,MATCH(4&amp;$B52,'Gastos com Pessoal'!$I$532:$AJ$532&amp;'Gastos com Pessoal'!$I$6:$AJ$6,0),500,1)),0)+_xlfn.IFNA(SUM((AJ$3&gt;='Gastos com Pessoal'!$E$7:$E$506)*(AJ$3&lt;='Gastos com Pessoal'!$F$7:$F$506)*(IF('Gastos com Pessoal'!$AE$7:$AE$506&lt;=AJ$3,1,0))*OFFSET('Gastos com Pessoal'!$H$6,1,MATCH(5&amp;$B52,'Gastos com Pessoal'!$I$532:$AJ$532&amp;'Gastos com Pessoal'!$I$6:$AJ$6,0),500,1)),0)+_xlfn.IFNA(SUM((AJ$3&gt;='Gastos com Pessoal'!$E$513:$E$522)*(AJ$3&lt;='Gastos com Pessoal'!$F$513:$F$522)*(IF('Gastos com Pessoal'!$G$513:$G$522&lt;=AJ$3,1,0))*OFFSET('Gastos com Pessoal'!$H$512,1,MATCH(1&amp;$B52,'Gastos com Pessoal'!$I$532:$AJ$532&amp;'Gastos com Pessoal'!$I$512:$AJ$512,0),10,1)),0)+_xlfn.IFNA(SUM((AJ$3&gt;='Gastos com Pessoal'!$E$513:$E$522)*(AJ$3&lt;='Gastos com Pessoal'!$F$513:$F$522)*(IF('Gastos com Pessoal'!$M$513:$M$522&lt;=AJ$3,1,0))*OFFSET('Gastos com Pessoal'!$H$512,1,MATCH(2&amp;$B52,'Gastos com Pessoal'!$I$532:$AJ$532&amp;'Gastos com Pessoal'!$I$512:$AJ$512,0),10,1)),0)+_xlfn.IFNA(SUM((AJ$3&gt;='Gastos com Pessoal'!$E$513:$E$522)*(AJ$3&lt;='Gastos com Pessoal'!$F$513:$F$522)*(IF('Gastos com Pessoal'!$S$513:$S$522&lt;=AJ$3,1,0))*OFFSET('Gastos com Pessoal'!$H$512,1,MATCH(3&amp;$B52,'Gastos com Pessoal'!$I$532:$AJ$532&amp;'Gastos com Pessoal'!$I$512:$AJ$512,0),10,1)),0)+_xlfn.IFNA(SUM((AJ$3&gt;='Gastos com Pessoal'!$E$513:$E$522)*(AJ$3&lt;='Gastos com Pessoal'!$F$513:$F$522)*(IF('Gastos com Pessoal'!$Y$513:$Y$522&lt;=AJ$3,1,0))*OFFSET('Gastos com Pessoal'!$H$512,1,MATCH(4&amp;$B52,'Gastos com Pessoal'!$I$532:$AJ$532&amp;'Gastos com Pessoal'!$I$512:$AJ$512,0),10,1)),0)+_xlfn.IFNA(SUM((AJ$3&gt;='Gastos com Pessoal'!$E$513:$E$522)*(AJ$3&lt;='Gastos com Pessoal'!$F$513:$F$522)*(IF('Gastos com Pessoal'!$AE$513:$AE$522&lt;=AJ$3,1,0))*OFFSET('Gastos com Pessoal'!$H$512,1,MATCH(5&amp;$B52,'Gastos com Pessoal'!$I$532:$AJ$532&amp;'Gastos com Pessoal'!$I$512:$AJ$512,0),10,1)),0)</f>
        <v>12159.820000000009</v>
      </c>
      <c r="AK52" s="188">
        <f t="array" aca="1" ref="AK52" ca="1">_xlfn.IFNA(SUM((AK$3&gt;='Gastos com Pessoal'!$E$7:$E$506)*(AK$3&lt;='Gastos com Pessoal'!$F$7:$F$506)*OFFSET('Encargos e Benefícios'!$D$5,1,MATCH($B52,'Encargos e Benefícios'!$E$5:$AB$5,0),500,1)),0)+_xlfn.IFNA(SUM((AK$3&gt;='Gastos com Pessoal'!$E$513:$E$522)*(AK$3&lt;='Gastos com Pessoal'!$F$513:$F$522)*OFFSET('Encargos e Benefícios'!$D$511,1,MATCH($B52,'Encargos e Benefícios'!$E$511:$AB$511,0),10,1)),0)+_xlfn.IFNA(SUM((AK$3&gt;='Gastos com Pessoal'!$E$7:$E$506)*(AK$3&lt;='Gastos com Pessoal'!$F$7:$F$506)*(IF('Gastos com Pessoal'!$G$7:$G$506&lt;=AK$3,1,0))*OFFSET('Gastos com Pessoal'!$H$6,1,MATCH(1&amp;$B52,'Gastos com Pessoal'!$I$532:$AJ$532&amp;'Gastos com Pessoal'!$I$6:$AJ$6,0),500,1)),0)+_xlfn.IFNA(SUM((AK$3&gt;='Gastos com Pessoal'!$E$7:$E$506)*(AK$3&lt;='Gastos com Pessoal'!$F$7:$F$506)*(IF('Gastos com Pessoal'!$M$7:$M$506&lt;=AK$3,1,0))*OFFSET('Gastos com Pessoal'!$H$6,1,MATCH(2&amp;$B52,'Gastos com Pessoal'!$I$532:$AJ$532&amp;'Gastos com Pessoal'!$I$6:$AJ$6,0),500,1)),0)+_xlfn.IFNA(SUM((AK$3&gt;='Gastos com Pessoal'!$E$7:$E$506)*(AK$3&lt;='Gastos com Pessoal'!$F$7:$F$506)*(IF('Gastos com Pessoal'!$S$7:$S$506&lt;=AK$3,1,0))*OFFSET('Gastos com Pessoal'!$H$6,1,MATCH(3&amp;$B52,'Gastos com Pessoal'!$I$532:$AJ$532&amp;'Gastos com Pessoal'!$I$6:$AJ$6,0),500,1)),0)+_xlfn.IFNA(SUM((AK$3&gt;='Gastos com Pessoal'!$E$7:$E$506)*(AK$3&lt;='Gastos com Pessoal'!$F$7:$F$506)*(IF('Gastos com Pessoal'!$Y$7:$Y$506&lt;=AK$3,1,0))*OFFSET('Gastos com Pessoal'!$H$6,1,MATCH(4&amp;$B52,'Gastos com Pessoal'!$I$532:$AJ$532&amp;'Gastos com Pessoal'!$I$6:$AJ$6,0),500,1)),0)+_xlfn.IFNA(SUM((AK$3&gt;='Gastos com Pessoal'!$E$7:$E$506)*(AK$3&lt;='Gastos com Pessoal'!$F$7:$F$506)*(IF('Gastos com Pessoal'!$AE$7:$AE$506&lt;=AK$3,1,0))*OFFSET('Gastos com Pessoal'!$H$6,1,MATCH(5&amp;$B52,'Gastos com Pessoal'!$I$532:$AJ$532&amp;'Gastos com Pessoal'!$I$6:$AJ$6,0),500,1)),0)+_xlfn.IFNA(SUM((AK$3&gt;='Gastos com Pessoal'!$E$513:$E$522)*(AK$3&lt;='Gastos com Pessoal'!$F$513:$F$522)*(IF('Gastos com Pessoal'!$G$513:$G$522&lt;=AK$3,1,0))*OFFSET('Gastos com Pessoal'!$H$512,1,MATCH(1&amp;$B52,'Gastos com Pessoal'!$I$532:$AJ$532&amp;'Gastos com Pessoal'!$I$512:$AJ$512,0),10,1)),0)+_xlfn.IFNA(SUM((AK$3&gt;='Gastos com Pessoal'!$E$513:$E$522)*(AK$3&lt;='Gastos com Pessoal'!$F$513:$F$522)*(IF('Gastos com Pessoal'!$M$513:$M$522&lt;=AK$3,1,0))*OFFSET('Gastos com Pessoal'!$H$512,1,MATCH(2&amp;$B52,'Gastos com Pessoal'!$I$532:$AJ$532&amp;'Gastos com Pessoal'!$I$512:$AJ$512,0),10,1)),0)+_xlfn.IFNA(SUM((AK$3&gt;='Gastos com Pessoal'!$E$513:$E$522)*(AK$3&lt;='Gastos com Pessoal'!$F$513:$F$522)*(IF('Gastos com Pessoal'!$S$513:$S$522&lt;=AK$3,1,0))*OFFSET('Gastos com Pessoal'!$H$512,1,MATCH(3&amp;$B52,'Gastos com Pessoal'!$I$532:$AJ$532&amp;'Gastos com Pessoal'!$I$512:$AJ$512,0),10,1)),0)+_xlfn.IFNA(SUM((AK$3&gt;='Gastos com Pessoal'!$E$513:$E$522)*(AK$3&lt;='Gastos com Pessoal'!$F$513:$F$522)*(IF('Gastos com Pessoal'!$Y$513:$Y$522&lt;=AK$3,1,0))*OFFSET('Gastos com Pessoal'!$H$512,1,MATCH(4&amp;$B52,'Gastos com Pessoal'!$I$532:$AJ$532&amp;'Gastos com Pessoal'!$I$512:$AJ$512,0),10,1)),0)+_xlfn.IFNA(SUM((AK$3&gt;='Gastos com Pessoal'!$E$513:$E$522)*(AK$3&lt;='Gastos com Pessoal'!$F$513:$F$522)*(IF('Gastos com Pessoal'!$AE$513:$AE$522&lt;=AK$3,1,0))*OFFSET('Gastos com Pessoal'!$H$512,1,MATCH(5&amp;$B52,'Gastos com Pessoal'!$I$532:$AJ$532&amp;'Gastos com Pessoal'!$I$512:$AJ$512,0),10,1)),0)</f>
        <v>12159.820000000009</v>
      </c>
      <c r="AL52" s="188">
        <f t="array" aca="1" ref="AL52" ca="1">_xlfn.IFNA(SUM((AL$3&gt;='Gastos com Pessoal'!$E$7:$E$506)*(AL$3&lt;='Gastos com Pessoal'!$F$7:$F$506)*OFFSET('Encargos e Benefícios'!$D$5,1,MATCH($B52,'Encargos e Benefícios'!$E$5:$AB$5,0),500,1)),0)+_xlfn.IFNA(SUM((AL$3&gt;='Gastos com Pessoal'!$E$513:$E$522)*(AL$3&lt;='Gastos com Pessoal'!$F$513:$F$522)*OFFSET('Encargos e Benefícios'!$D$511,1,MATCH($B52,'Encargos e Benefícios'!$E$511:$AB$511,0),10,1)),0)+_xlfn.IFNA(SUM((AL$3&gt;='Gastos com Pessoal'!$E$7:$E$506)*(AL$3&lt;='Gastos com Pessoal'!$F$7:$F$506)*(IF('Gastos com Pessoal'!$G$7:$G$506&lt;=AL$3,1,0))*OFFSET('Gastos com Pessoal'!$H$6,1,MATCH(1&amp;$B52,'Gastos com Pessoal'!$I$532:$AJ$532&amp;'Gastos com Pessoal'!$I$6:$AJ$6,0),500,1)),0)+_xlfn.IFNA(SUM((AL$3&gt;='Gastos com Pessoal'!$E$7:$E$506)*(AL$3&lt;='Gastos com Pessoal'!$F$7:$F$506)*(IF('Gastos com Pessoal'!$M$7:$M$506&lt;=AL$3,1,0))*OFFSET('Gastos com Pessoal'!$H$6,1,MATCH(2&amp;$B52,'Gastos com Pessoal'!$I$532:$AJ$532&amp;'Gastos com Pessoal'!$I$6:$AJ$6,0),500,1)),0)+_xlfn.IFNA(SUM((AL$3&gt;='Gastos com Pessoal'!$E$7:$E$506)*(AL$3&lt;='Gastos com Pessoal'!$F$7:$F$506)*(IF('Gastos com Pessoal'!$S$7:$S$506&lt;=AL$3,1,0))*OFFSET('Gastos com Pessoal'!$H$6,1,MATCH(3&amp;$B52,'Gastos com Pessoal'!$I$532:$AJ$532&amp;'Gastos com Pessoal'!$I$6:$AJ$6,0),500,1)),0)+_xlfn.IFNA(SUM((AL$3&gt;='Gastos com Pessoal'!$E$7:$E$506)*(AL$3&lt;='Gastos com Pessoal'!$F$7:$F$506)*(IF('Gastos com Pessoal'!$Y$7:$Y$506&lt;=AL$3,1,0))*OFFSET('Gastos com Pessoal'!$H$6,1,MATCH(4&amp;$B52,'Gastos com Pessoal'!$I$532:$AJ$532&amp;'Gastos com Pessoal'!$I$6:$AJ$6,0),500,1)),0)+_xlfn.IFNA(SUM((AL$3&gt;='Gastos com Pessoal'!$E$7:$E$506)*(AL$3&lt;='Gastos com Pessoal'!$F$7:$F$506)*(IF('Gastos com Pessoal'!$AE$7:$AE$506&lt;=AL$3,1,0))*OFFSET('Gastos com Pessoal'!$H$6,1,MATCH(5&amp;$B52,'Gastos com Pessoal'!$I$532:$AJ$532&amp;'Gastos com Pessoal'!$I$6:$AJ$6,0),500,1)),0)+_xlfn.IFNA(SUM((AL$3&gt;='Gastos com Pessoal'!$E$513:$E$522)*(AL$3&lt;='Gastos com Pessoal'!$F$513:$F$522)*(IF('Gastos com Pessoal'!$G$513:$G$522&lt;=AL$3,1,0))*OFFSET('Gastos com Pessoal'!$H$512,1,MATCH(1&amp;$B52,'Gastos com Pessoal'!$I$532:$AJ$532&amp;'Gastos com Pessoal'!$I$512:$AJ$512,0),10,1)),0)+_xlfn.IFNA(SUM((AL$3&gt;='Gastos com Pessoal'!$E$513:$E$522)*(AL$3&lt;='Gastos com Pessoal'!$F$513:$F$522)*(IF('Gastos com Pessoal'!$M$513:$M$522&lt;=AL$3,1,0))*OFFSET('Gastos com Pessoal'!$H$512,1,MATCH(2&amp;$B52,'Gastos com Pessoal'!$I$532:$AJ$532&amp;'Gastos com Pessoal'!$I$512:$AJ$512,0),10,1)),0)+_xlfn.IFNA(SUM((AL$3&gt;='Gastos com Pessoal'!$E$513:$E$522)*(AL$3&lt;='Gastos com Pessoal'!$F$513:$F$522)*(IF('Gastos com Pessoal'!$S$513:$S$522&lt;=AL$3,1,0))*OFFSET('Gastos com Pessoal'!$H$512,1,MATCH(3&amp;$B52,'Gastos com Pessoal'!$I$532:$AJ$532&amp;'Gastos com Pessoal'!$I$512:$AJ$512,0),10,1)),0)+_xlfn.IFNA(SUM((AL$3&gt;='Gastos com Pessoal'!$E$513:$E$522)*(AL$3&lt;='Gastos com Pessoal'!$F$513:$F$522)*(IF('Gastos com Pessoal'!$Y$513:$Y$522&lt;=AL$3,1,0))*OFFSET('Gastos com Pessoal'!$H$512,1,MATCH(4&amp;$B52,'Gastos com Pessoal'!$I$532:$AJ$532&amp;'Gastos com Pessoal'!$I$512:$AJ$512,0),10,1)),0)+_xlfn.IFNA(SUM((AL$3&gt;='Gastos com Pessoal'!$E$513:$E$522)*(AL$3&lt;='Gastos com Pessoal'!$F$513:$F$522)*(IF('Gastos com Pessoal'!$AE$513:$AE$522&lt;=AL$3,1,0))*OFFSET('Gastos com Pessoal'!$H$512,1,MATCH(5&amp;$B52,'Gastos com Pessoal'!$I$532:$AJ$532&amp;'Gastos com Pessoal'!$I$512:$AJ$512,0),10,1)),0)</f>
        <v>12159.820000000009</v>
      </c>
      <c r="AM52" s="188">
        <f t="array" aca="1" ref="AM52" ca="1">_xlfn.IFNA(SUM((AM$3&gt;='Gastos com Pessoal'!$E$7:$E$506)*(AM$3&lt;='Gastos com Pessoal'!$F$7:$F$506)*OFFSET('Encargos e Benefícios'!$D$5,1,MATCH($B52,'Encargos e Benefícios'!$E$5:$AB$5,0),500,1)),0)+_xlfn.IFNA(SUM((AM$3&gt;='Gastos com Pessoal'!$E$513:$E$522)*(AM$3&lt;='Gastos com Pessoal'!$F$513:$F$522)*OFFSET('Encargos e Benefícios'!$D$511,1,MATCH($B52,'Encargos e Benefícios'!$E$511:$AB$511,0),10,1)),0)+_xlfn.IFNA(SUM((AM$3&gt;='Gastos com Pessoal'!$E$7:$E$506)*(AM$3&lt;='Gastos com Pessoal'!$F$7:$F$506)*(IF('Gastos com Pessoal'!$G$7:$G$506&lt;=AM$3,1,0))*OFFSET('Gastos com Pessoal'!$H$6,1,MATCH(1&amp;$B52,'Gastos com Pessoal'!$I$532:$AJ$532&amp;'Gastos com Pessoal'!$I$6:$AJ$6,0),500,1)),0)+_xlfn.IFNA(SUM((AM$3&gt;='Gastos com Pessoal'!$E$7:$E$506)*(AM$3&lt;='Gastos com Pessoal'!$F$7:$F$506)*(IF('Gastos com Pessoal'!$M$7:$M$506&lt;=AM$3,1,0))*OFFSET('Gastos com Pessoal'!$H$6,1,MATCH(2&amp;$B52,'Gastos com Pessoal'!$I$532:$AJ$532&amp;'Gastos com Pessoal'!$I$6:$AJ$6,0),500,1)),0)+_xlfn.IFNA(SUM((AM$3&gt;='Gastos com Pessoal'!$E$7:$E$506)*(AM$3&lt;='Gastos com Pessoal'!$F$7:$F$506)*(IF('Gastos com Pessoal'!$S$7:$S$506&lt;=AM$3,1,0))*OFFSET('Gastos com Pessoal'!$H$6,1,MATCH(3&amp;$B52,'Gastos com Pessoal'!$I$532:$AJ$532&amp;'Gastos com Pessoal'!$I$6:$AJ$6,0),500,1)),0)+_xlfn.IFNA(SUM((AM$3&gt;='Gastos com Pessoal'!$E$7:$E$506)*(AM$3&lt;='Gastos com Pessoal'!$F$7:$F$506)*(IF('Gastos com Pessoal'!$Y$7:$Y$506&lt;=AM$3,1,0))*OFFSET('Gastos com Pessoal'!$H$6,1,MATCH(4&amp;$B52,'Gastos com Pessoal'!$I$532:$AJ$532&amp;'Gastos com Pessoal'!$I$6:$AJ$6,0),500,1)),0)+_xlfn.IFNA(SUM((AM$3&gt;='Gastos com Pessoal'!$E$7:$E$506)*(AM$3&lt;='Gastos com Pessoal'!$F$7:$F$506)*(IF('Gastos com Pessoal'!$AE$7:$AE$506&lt;=AM$3,1,0))*OFFSET('Gastos com Pessoal'!$H$6,1,MATCH(5&amp;$B52,'Gastos com Pessoal'!$I$532:$AJ$532&amp;'Gastos com Pessoal'!$I$6:$AJ$6,0),500,1)),0)+_xlfn.IFNA(SUM((AM$3&gt;='Gastos com Pessoal'!$E$513:$E$522)*(AM$3&lt;='Gastos com Pessoal'!$F$513:$F$522)*(IF('Gastos com Pessoal'!$G$513:$G$522&lt;=AM$3,1,0))*OFFSET('Gastos com Pessoal'!$H$512,1,MATCH(1&amp;$B52,'Gastos com Pessoal'!$I$532:$AJ$532&amp;'Gastos com Pessoal'!$I$512:$AJ$512,0),10,1)),0)+_xlfn.IFNA(SUM((AM$3&gt;='Gastos com Pessoal'!$E$513:$E$522)*(AM$3&lt;='Gastos com Pessoal'!$F$513:$F$522)*(IF('Gastos com Pessoal'!$M$513:$M$522&lt;=AM$3,1,0))*OFFSET('Gastos com Pessoal'!$H$512,1,MATCH(2&amp;$B52,'Gastos com Pessoal'!$I$532:$AJ$532&amp;'Gastos com Pessoal'!$I$512:$AJ$512,0),10,1)),0)+_xlfn.IFNA(SUM((AM$3&gt;='Gastos com Pessoal'!$E$513:$E$522)*(AM$3&lt;='Gastos com Pessoal'!$F$513:$F$522)*(IF('Gastos com Pessoal'!$S$513:$S$522&lt;=AM$3,1,0))*OFFSET('Gastos com Pessoal'!$H$512,1,MATCH(3&amp;$B52,'Gastos com Pessoal'!$I$532:$AJ$532&amp;'Gastos com Pessoal'!$I$512:$AJ$512,0),10,1)),0)+_xlfn.IFNA(SUM((AM$3&gt;='Gastos com Pessoal'!$E$513:$E$522)*(AM$3&lt;='Gastos com Pessoal'!$F$513:$F$522)*(IF('Gastos com Pessoal'!$Y$513:$Y$522&lt;=AM$3,1,0))*OFFSET('Gastos com Pessoal'!$H$512,1,MATCH(4&amp;$B52,'Gastos com Pessoal'!$I$532:$AJ$532&amp;'Gastos com Pessoal'!$I$512:$AJ$512,0),10,1)),0)+_xlfn.IFNA(SUM((AM$3&gt;='Gastos com Pessoal'!$E$513:$E$522)*(AM$3&lt;='Gastos com Pessoal'!$F$513:$F$522)*(IF('Gastos com Pessoal'!$AE$513:$AE$522&lt;=AM$3,1,0))*OFFSET('Gastos com Pessoal'!$H$512,1,MATCH(5&amp;$B52,'Gastos com Pessoal'!$I$532:$AJ$532&amp;'Gastos com Pessoal'!$I$512:$AJ$512,0),10,1)),0)</f>
        <v>12159.820000000009</v>
      </c>
      <c r="AN52" s="188">
        <f t="array" aca="1" ref="AN52" ca="1">_xlfn.IFNA(SUM((AN$3&gt;='Gastos com Pessoal'!$E$7:$E$506)*(AN$3&lt;='Gastos com Pessoal'!$F$7:$F$506)*OFFSET('Encargos e Benefícios'!$D$5,1,MATCH($B52,'Encargos e Benefícios'!$E$5:$AB$5,0),500,1)),0)+_xlfn.IFNA(SUM((AN$3&gt;='Gastos com Pessoal'!$E$513:$E$522)*(AN$3&lt;='Gastos com Pessoal'!$F$513:$F$522)*OFFSET('Encargos e Benefícios'!$D$511,1,MATCH($B52,'Encargos e Benefícios'!$E$511:$AB$511,0),10,1)),0)+_xlfn.IFNA(SUM((AN$3&gt;='Gastos com Pessoal'!$E$7:$E$506)*(AN$3&lt;='Gastos com Pessoal'!$F$7:$F$506)*(IF('Gastos com Pessoal'!$G$7:$G$506&lt;=AN$3,1,0))*OFFSET('Gastos com Pessoal'!$H$6,1,MATCH(1&amp;$B52,'Gastos com Pessoal'!$I$532:$AJ$532&amp;'Gastos com Pessoal'!$I$6:$AJ$6,0),500,1)),0)+_xlfn.IFNA(SUM((AN$3&gt;='Gastos com Pessoal'!$E$7:$E$506)*(AN$3&lt;='Gastos com Pessoal'!$F$7:$F$506)*(IF('Gastos com Pessoal'!$M$7:$M$506&lt;=AN$3,1,0))*OFFSET('Gastos com Pessoal'!$H$6,1,MATCH(2&amp;$B52,'Gastos com Pessoal'!$I$532:$AJ$532&amp;'Gastos com Pessoal'!$I$6:$AJ$6,0),500,1)),0)+_xlfn.IFNA(SUM((AN$3&gt;='Gastos com Pessoal'!$E$7:$E$506)*(AN$3&lt;='Gastos com Pessoal'!$F$7:$F$506)*(IF('Gastos com Pessoal'!$S$7:$S$506&lt;=AN$3,1,0))*OFFSET('Gastos com Pessoal'!$H$6,1,MATCH(3&amp;$B52,'Gastos com Pessoal'!$I$532:$AJ$532&amp;'Gastos com Pessoal'!$I$6:$AJ$6,0),500,1)),0)+_xlfn.IFNA(SUM((AN$3&gt;='Gastos com Pessoal'!$E$7:$E$506)*(AN$3&lt;='Gastos com Pessoal'!$F$7:$F$506)*(IF('Gastos com Pessoal'!$Y$7:$Y$506&lt;=AN$3,1,0))*OFFSET('Gastos com Pessoal'!$H$6,1,MATCH(4&amp;$B52,'Gastos com Pessoal'!$I$532:$AJ$532&amp;'Gastos com Pessoal'!$I$6:$AJ$6,0),500,1)),0)+_xlfn.IFNA(SUM((AN$3&gt;='Gastos com Pessoal'!$E$7:$E$506)*(AN$3&lt;='Gastos com Pessoal'!$F$7:$F$506)*(IF('Gastos com Pessoal'!$AE$7:$AE$506&lt;=AN$3,1,0))*OFFSET('Gastos com Pessoal'!$H$6,1,MATCH(5&amp;$B52,'Gastos com Pessoal'!$I$532:$AJ$532&amp;'Gastos com Pessoal'!$I$6:$AJ$6,0),500,1)),0)+_xlfn.IFNA(SUM((AN$3&gt;='Gastos com Pessoal'!$E$513:$E$522)*(AN$3&lt;='Gastos com Pessoal'!$F$513:$F$522)*(IF('Gastos com Pessoal'!$G$513:$G$522&lt;=AN$3,1,0))*OFFSET('Gastos com Pessoal'!$H$512,1,MATCH(1&amp;$B52,'Gastos com Pessoal'!$I$532:$AJ$532&amp;'Gastos com Pessoal'!$I$512:$AJ$512,0),10,1)),0)+_xlfn.IFNA(SUM((AN$3&gt;='Gastos com Pessoal'!$E$513:$E$522)*(AN$3&lt;='Gastos com Pessoal'!$F$513:$F$522)*(IF('Gastos com Pessoal'!$M$513:$M$522&lt;=AN$3,1,0))*OFFSET('Gastos com Pessoal'!$H$512,1,MATCH(2&amp;$B52,'Gastos com Pessoal'!$I$532:$AJ$532&amp;'Gastos com Pessoal'!$I$512:$AJ$512,0),10,1)),0)+_xlfn.IFNA(SUM((AN$3&gt;='Gastos com Pessoal'!$E$513:$E$522)*(AN$3&lt;='Gastos com Pessoal'!$F$513:$F$522)*(IF('Gastos com Pessoal'!$S$513:$S$522&lt;=AN$3,1,0))*OFFSET('Gastos com Pessoal'!$H$512,1,MATCH(3&amp;$B52,'Gastos com Pessoal'!$I$532:$AJ$532&amp;'Gastos com Pessoal'!$I$512:$AJ$512,0),10,1)),0)+_xlfn.IFNA(SUM((AN$3&gt;='Gastos com Pessoal'!$E$513:$E$522)*(AN$3&lt;='Gastos com Pessoal'!$F$513:$F$522)*(IF('Gastos com Pessoal'!$Y$513:$Y$522&lt;=AN$3,1,0))*OFFSET('Gastos com Pessoal'!$H$512,1,MATCH(4&amp;$B52,'Gastos com Pessoal'!$I$532:$AJ$532&amp;'Gastos com Pessoal'!$I$512:$AJ$512,0),10,1)),0)+_xlfn.IFNA(SUM((AN$3&gt;='Gastos com Pessoal'!$E$513:$E$522)*(AN$3&lt;='Gastos com Pessoal'!$F$513:$F$522)*(IF('Gastos com Pessoal'!$AE$513:$AE$522&lt;=AN$3,1,0))*OFFSET('Gastos com Pessoal'!$H$512,1,MATCH(5&amp;$B52,'Gastos com Pessoal'!$I$532:$AJ$532&amp;'Gastos com Pessoal'!$I$512:$AJ$512,0),10,1)),0)</f>
        <v>12159.820000000009</v>
      </c>
      <c r="AO52" s="188">
        <f t="array" aca="1" ref="AO52" ca="1">_xlfn.IFNA(SUM((AO$3&gt;='Gastos com Pessoal'!$E$7:$E$506)*(AO$3&lt;='Gastos com Pessoal'!$F$7:$F$506)*OFFSET('Encargos e Benefícios'!$D$5,1,MATCH($B52,'Encargos e Benefícios'!$E$5:$AB$5,0),500,1)),0)+_xlfn.IFNA(SUM((AO$3&gt;='Gastos com Pessoal'!$E$513:$E$522)*(AO$3&lt;='Gastos com Pessoal'!$F$513:$F$522)*OFFSET('Encargos e Benefícios'!$D$511,1,MATCH($B52,'Encargos e Benefícios'!$E$511:$AB$511,0),10,1)),0)+_xlfn.IFNA(SUM((AO$3&gt;='Gastos com Pessoal'!$E$7:$E$506)*(AO$3&lt;='Gastos com Pessoal'!$F$7:$F$506)*(IF('Gastos com Pessoal'!$G$7:$G$506&lt;=AO$3,1,0))*OFFSET('Gastos com Pessoal'!$H$6,1,MATCH(1&amp;$B52,'Gastos com Pessoal'!$I$532:$AJ$532&amp;'Gastos com Pessoal'!$I$6:$AJ$6,0),500,1)),0)+_xlfn.IFNA(SUM((AO$3&gt;='Gastos com Pessoal'!$E$7:$E$506)*(AO$3&lt;='Gastos com Pessoal'!$F$7:$F$506)*(IF('Gastos com Pessoal'!$M$7:$M$506&lt;=AO$3,1,0))*OFFSET('Gastos com Pessoal'!$H$6,1,MATCH(2&amp;$B52,'Gastos com Pessoal'!$I$532:$AJ$532&amp;'Gastos com Pessoal'!$I$6:$AJ$6,0),500,1)),0)+_xlfn.IFNA(SUM((AO$3&gt;='Gastos com Pessoal'!$E$7:$E$506)*(AO$3&lt;='Gastos com Pessoal'!$F$7:$F$506)*(IF('Gastos com Pessoal'!$S$7:$S$506&lt;=AO$3,1,0))*OFFSET('Gastos com Pessoal'!$H$6,1,MATCH(3&amp;$B52,'Gastos com Pessoal'!$I$532:$AJ$532&amp;'Gastos com Pessoal'!$I$6:$AJ$6,0),500,1)),0)+_xlfn.IFNA(SUM((AO$3&gt;='Gastos com Pessoal'!$E$7:$E$506)*(AO$3&lt;='Gastos com Pessoal'!$F$7:$F$506)*(IF('Gastos com Pessoal'!$Y$7:$Y$506&lt;=AO$3,1,0))*OFFSET('Gastos com Pessoal'!$H$6,1,MATCH(4&amp;$B52,'Gastos com Pessoal'!$I$532:$AJ$532&amp;'Gastos com Pessoal'!$I$6:$AJ$6,0),500,1)),0)+_xlfn.IFNA(SUM((AO$3&gt;='Gastos com Pessoal'!$E$7:$E$506)*(AO$3&lt;='Gastos com Pessoal'!$F$7:$F$506)*(IF('Gastos com Pessoal'!$AE$7:$AE$506&lt;=AO$3,1,0))*OFFSET('Gastos com Pessoal'!$H$6,1,MATCH(5&amp;$B52,'Gastos com Pessoal'!$I$532:$AJ$532&amp;'Gastos com Pessoal'!$I$6:$AJ$6,0),500,1)),0)+_xlfn.IFNA(SUM((AO$3&gt;='Gastos com Pessoal'!$E$513:$E$522)*(AO$3&lt;='Gastos com Pessoal'!$F$513:$F$522)*(IF('Gastos com Pessoal'!$G$513:$G$522&lt;=AO$3,1,0))*OFFSET('Gastos com Pessoal'!$H$512,1,MATCH(1&amp;$B52,'Gastos com Pessoal'!$I$532:$AJ$532&amp;'Gastos com Pessoal'!$I$512:$AJ$512,0),10,1)),0)+_xlfn.IFNA(SUM((AO$3&gt;='Gastos com Pessoal'!$E$513:$E$522)*(AO$3&lt;='Gastos com Pessoal'!$F$513:$F$522)*(IF('Gastos com Pessoal'!$M$513:$M$522&lt;=AO$3,1,0))*OFFSET('Gastos com Pessoal'!$H$512,1,MATCH(2&amp;$B52,'Gastos com Pessoal'!$I$532:$AJ$532&amp;'Gastos com Pessoal'!$I$512:$AJ$512,0),10,1)),0)+_xlfn.IFNA(SUM((AO$3&gt;='Gastos com Pessoal'!$E$513:$E$522)*(AO$3&lt;='Gastos com Pessoal'!$F$513:$F$522)*(IF('Gastos com Pessoal'!$S$513:$S$522&lt;=AO$3,1,0))*OFFSET('Gastos com Pessoal'!$H$512,1,MATCH(3&amp;$B52,'Gastos com Pessoal'!$I$532:$AJ$532&amp;'Gastos com Pessoal'!$I$512:$AJ$512,0),10,1)),0)+_xlfn.IFNA(SUM((AO$3&gt;='Gastos com Pessoal'!$E$513:$E$522)*(AO$3&lt;='Gastos com Pessoal'!$F$513:$F$522)*(IF('Gastos com Pessoal'!$Y$513:$Y$522&lt;=AO$3,1,0))*OFFSET('Gastos com Pessoal'!$H$512,1,MATCH(4&amp;$B52,'Gastos com Pessoal'!$I$532:$AJ$532&amp;'Gastos com Pessoal'!$I$512:$AJ$512,0),10,1)),0)+_xlfn.IFNA(SUM((AO$3&gt;='Gastos com Pessoal'!$E$513:$E$522)*(AO$3&lt;='Gastos com Pessoal'!$F$513:$F$522)*(IF('Gastos com Pessoal'!$AE$513:$AE$522&lt;=AO$3,1,0))*OFFSET('Gastos com Pessoal'!$H$512,1,MATCH(5&amp;$B52,'Gastos com Pessoal'!$I$532:$AJ$532&amp;'Gastos com Pessoal'!$I$512:$AJ$512,0),10,1)),0)</f>
        <v>12159.820000000009</v>
      </c>
      <c r="AP52" s="188">
        <f t="array" aca="1" ref="AP52" ca="1">_xlfn.IFNA(SUM((AP$3&gt;='Gastos com Pessoal'!$E$7:$E$506)*(AP$3&lt;='Gastos com Pessoal'!$F$7:$F$506)*OFFSET('Encargos e Benefícios'!$D$5,1,MATCH($B52,'Encargos e Benefícios'!$E$5:$AB$5,0),500,1)),0)+_xlfn.IFNA(SUM((AP$3&gt;='Gastos com Pessoal'!$E$513:$E$522)*(AP$3&lt;='Gastos com Pessoal'!$F$513:$F$522)*OFFSET('Encargos e Benefícios'!$D$511,1,MATCH($B52,'Encargos e Benefícios'!$E$511:$AB$511,0),10,1)),0)+_xlfn.IFNA(SUM((AP$3&gt;='Gastos com Pessoal'!$E$7:$E$506)*(AP$3&lt;='Gastos com Pessoal'!$F$7:$F$506)*(IF('Gastos com Pessoal'!$G$7:$G$506&lt;=AP$3,1,0))*OFFSET('Gastos com Pessoal'!$H$6,1,MATCH(1&amp;$B52,'Gastos com Pessoal'!$I$532:$AJ$532&amp;'Gastos com Pessoal'!$I$6:$AJ$6,0),500,1)),0)+_xlfn.IFNA(SUM((AP$3&gt;='Gastos com Pessoal'!$E$7:$E$506)*(AP$3&lt;='Gastos com Pessoal'!$F$7:$F$506)*(IF('Gastos com Pessoal'!$M$7:$M$506&lt;=AP$3,1,0))*OFFSET('Gastos com Pessoal'!$H$6,1,MATCH(2&amp;$B52,'Gastos com Pessoal'!$I$532:$AJ$532&amp;'Gastos com Pessoal'!$I$6:$AJ$6,0),500,1)),0)+_xlfn.IFNA(SUM((AP$3&gt;='Gastos com Pessoal'!$E$7:$E$506)*(AP$3&lt;='Gastos com Pessoal'!$F$7:$F$506)*(IF('Gastos com Pessoal'!$S$7:$S$506&lt;=AP$3,1,0))*OFFSET('Gastos com Pessoal'!$H$6,1,MATCH(3&amp;$B52,'Gastos com Pessoal'!$I$532:$AJ$532&amp;'Gastos com Pessoal'!$I$6:$AJ$6,0),500,1)),0)+_xlfn.IFNA(SUM((AP$3&gt;='Gastos com Pessoal'!$E$7:$E$506)*(AP$3&lt;='Gastos com Pessoal'!$F$7:$F$506)*(IF('Gastos com Pessoal'!$Y$7:$Y$506&lt;=AP$3,1,0))*OFFSET('Gastos com Pessoal'!$H$6,1,MATCH(4&amp;$B52,'Gastos com Pessoal'!$I$532:$AJ$532&amp;'Gastos com Pessoal'!$I$6:$AJ$6,0),500,1)),0)+_xlfn.IFNA(SUM((AP$3&gt;='Gastos com Pessoal'!$E$7:$E$506)*(AP$3&lt;='Gastos com Pessoal'!$F$7:$F$506)*(IF('Gastos com Pessoal'!$AE$7:$AE$506&lt;=AP$3,1,0))*OFFSET('Gastos com Pessoal'!$H$6,1,MATCH(5&amp;$B52,'Gastos com Pessoal'!$I$532:$AJ$532&amp;'Gastos com Pessoal'!$I$6:$AJ$6,0),500,1)),0)+_xlfn.IFNA(SUM((AP$3&gt;='Gastos com Pessoal'!$E$513:$E$522)*(AP$3&lt;='Gastos com Pessoal'!$F$513:$F$522)*(IF('Gastos com Pessoal'!$G$513:$G$522&lt;=AP$3,1,0))*OFFSET('Gastos com Pessoal'!$H$512,1,MATCH(1&amp;$B52,'Gastos com Pessoal'!$I$532:$AJ$532&amp;'Gastos com Pessoal'!$I$512:$AJ$512,0),10,1)),0)+_xlfn.IFNA(SUM((AP$3&gt;='Gastos com Pessoal'!$E$513:$E$522)*(AP$3&lt;='Gastos com Pessoal'!$F$513:$F$522)*(IF('Gastos com Pessoal'!$M$513:$M$522&lt;=AP$3,1,0))*OFFSET('Gastos com Pessoal'!$H$512,1,MATCH(2&amp;$B52,'Gastos com Pessoal'!$I$532:$AJ$532&amp;'Gastos com Pessoal'!$I$512:$AJ$512,0),10,1)),0)+_xlfn.IFNA(SUM((AP$3&gt;='Gastos com Pessoal'!$E$513:$E$522)*(AP$3&lt;='Gastos com Pessoal'!$F$513:$F$522)*(IF('Gastos com Pessoal'!$S$513:$S$522&lt;=AP$3,1,0))*OFFSET('Gastos com Pessoal'!$H$512,1,MATCH(3&amp;$B52,'Gastos com Pessoal'!$I$532:$AJ$532&amp;'Gastos com Pessoal'!$I$512:$AJ$512,0),10,1)),0)+_xlfn.IFNA(SUM((AP$3&gt;='Gastos com Pessoal'!$E$513:$E$522)*(AP$3&lt;='Gastos com Pessoal'!$F$513:$F$522)*(IF('Gastos com Pessoal'!$Y$513:$Y$522&lt;=AP$3,1,0))*OFFSET('Gastos com Pessoal'!$H$512,1,MATCH(4&amp;$B52,'Gastos com Pessoal'!$I$532:$AJ$532&amp;'Gastos com Pessoal'!$I$512:$AJ$512,0),10,1)),0)+_xlfn.IFNA(SUM((AP$3&gt;='Gastos com Pessoal'!$E$513:$E$522)*(AP$3&lt;='Gastos com Pessoal'!$F$513:$F$522)*(IF('Gastos com Pessoal'!$AE$513:$AE$522&lt;=AP$3,1,0))*OFFSET('Gastos com Pessoal'!$H$512,1,MATCH(5&amp;$B52,'Gastos com Pessoal'!$I$532:$AJ$532&amp;'Gastos com Pessoal'!$I$512:$AJ$512,0),10,1)),0)</f>
        <v>12159.820000000009</v>
      </c>
      <c r="AQ52" s="188">
        <f t="array" aca="1" ref="AQ52" ca="1">_xlfn.IFNA(SUM((AQ$3&gt;='Gastos com Pessoal'!$E$7:$E$506)*(AQ$3&lt;='Gastos com Pessoal'!$F$7:$F$506)*OFFSET('Encargos e Benefícios'!$D$5,1,MATCH($B52,'Encargos e Benefícios'!$E$5:$AB$5,0),500,1)),0)+_xlfn.IFNA(SUM((AQ$3&gt;='Gastos com Pessoal'!$E$513:$E$522)*(AQ$3&lt;='Gastos com Pessoal'!$F$513:$F$522)*OFFSET('Encargos e Benefícios'!$D$511,1,MATCH($B52,'Encargos e Benefícios'!$E$511:$AB$511,0),10,1)),0)+_xlfn.IFNA(SUM((AQ$3&gt;='Gastos com Pessoal'!$E$7:$E$506)*(AQ$3&lt;='Gastos com Pessoal'!$F$7:$F$506)*(IF('Gastos com Pessoal'!$G$7:$G$506&lt;=AQ$3,1,0))*OFFSET('Gastos com Pessoal'!$H$6,1,MATCH(1&amp;$B52,'Gastos com Pessoal'!$I$532:$AJ$532&amp;'Gastos com Pessoal'!$I$6:$AJ$6,0),500,1)),0)+_xlfn.IFNA(SUM((AQ$3&gt;='Gastos com Pessoal'!$E$7:$E$506)*(AQ$3&lt;='Gastos com Pessoal'!$F$7:$F$506)*(IF('Gastos com Pessoal'!$M$7:$M$506&lt;=AQ$3,1,0))*OFFSET('Gastos com Pessoal'!$H$6,1,MATCH(2&amp;$B52,'Gastos com Pessoal'!$I$532:$AJ$532&amp;'Gastos com Pessoal'!$I$6:$AJ$6,0),500,1)),0)+_xlfn.IFNA(SUM((AQ$3&gt;='Gastos com Pessoal'!$E$7:$E$506)*(AQ$3&lt;='Gastos com Pessoal'!$F$7:$F$506)*(IF('Gastos com Pessoal'!$S$7:$S$506&lt;=AQ$3,1,0))*OFFSET('Gastos com Pessoal'!$H$6,1,MATCH(3&amp;$B52,'Gastos com Pessoal'!$I$532:$AJ$532&amp;'Gastos com Pessoal'!$I$6:$AJ$6,0),500,1)),0)+_xlfn.IFNA(SUM((AQ$3&gt;='Gastos com Pessoal'!$E$7:$E$506)*(AQ$3&lt;='Gastos com Pessoal'!$F$7:$F$506)*(IF('Gastos com Pessoal'!$Y$7:$Y$506&lt;=AQ$3,1,0))*OFFSET('Gastos com Pessoal'!$H$6,1,MATCH(4&amp;$B52,'Gastos com Pessoal'!$I$532:$AJ$532&amp;'Gastos com Pessoal'!$I$6:$AJ$6,0),500,1)),0)+_xlfn.IFNA(SUM((AQ$3&gt;='Gastos com Pessoal'!$E$7:$E$506)*(AQ$3&lt;='Gastos com Pessoal'!$F$7:$F$506)*(IF('Gastos com Pessoal'!$AE$7:$AE$506&lt;=AQ$3,1,0))*OFFSET('Gastos com Pessoal'!$H$6,1,MATCH(5&amp;$B52,'Gastos com Pessoal'!$I$532:$AJ$532&amp;'Gastos com Pessoal'!$I$6:$AJ$6,0),500,1)),0)+_xlfn.IFNA(SUM((AQ$3&gt;='Gastos com Pessoal'!$E$513:$E$522)*(AQ$3&lt;='Gastos com Pessoal'!$F$513:$F$522)*(IF('Gastos com Pessoal'!$G$513:$G$522&lt;=AQ$3,1,0))*OFFSET('Gastos com Pessoal'!$H$512,1,MATCH(1&amp;$B52,'Gastos com Pessoal'!$I$532:$AJ$532&amp;'Gastos com Pessoal'!$I$512:$AJ$512,0),10,1)),0)+_xlfn.IFNA(SUM((AQ$3&gt;='Gastos com Pessoal'!$E$513:$E$522)*(AQ$3&lt;='Gastos com Pessoal'!$F$513:$F$522)*(IF('Gastos com Pessoal'!$M$513:$M$522&lt;=AQ$3,1,0))*OFFSET('Gastos com Pessoal'!$H$512,1,MATCH(2&amp;$B52,'Gastos com Pessoal'!$I$532:$AJ$532&amp;'Gastos com Pessoal'!$I$512:$AJ$512,0),10,1)),0)+_xlfn.IFNA(SUM((AQ$3&gt;='Gastos com Pessoal'!$E$513:$E$522)*(AQ$3&lt;='Gastos com Pessoal'!$F$513:$F$522)*(IF('Gastos com Pessoal'!$S$513:$S$522&lt;=AQ$3,1,0))*OFFSET('Gastos com Pessoal'!$H$512,1,MATCH(3&amp;$B52,'Gastos com Pessoal'!$I$532:$AJ$532&amp;'Gastos com Pessoal'!$I$512:$AJ$512,0),10,1)),0)+_xlfn.IFNA(SUM((AQ$3&gt;='Gastos com Pessoal'!$E$513:$E$522)*(AQ$3&lt;='Gastos com Pessoal'!$F$513:$F$522)*(IF('Gastos com Pessoal'!$Y$513:$Y$522&lt;=AQ$3,1,0))*OFFSET('Gastos com Pessoal'!$H$512,1,MATCH(4&amp;$B52,'Gastos com Pessoal'!$I$532:$AJ$532&amp;'Gastos com Pessoal'!$I$512:$AJ$512,0),10,1)),0)+_xlfn.IFNA(SUM((AQ$3&gt;='Gastos com Pessoal'!$E$513:$E$522)*(AQ$3&lt;='Gastos com Pessoal'!$F$513:$F$522)*(IF('Gastos com Pessoal'!$AE$513:$AE$522&lt;=AQ$3,1,0))*OFFSET('Gastos com Pessoal'!$H$512,1,MATCH(5&amp;$B52,'Gastos com Pessoal'!$I$532:$AJ$532&amp;'Gastos com Pessoal'!$I$512:$AJ$512,0),10,1)),0)</f>
        <v>12159.820000000009</v>
      </c>
      <c r="AR52" s="188">
        <f t="array" aca="1" ref="AR52" ca="1">_xlfn.IFNA(SUM((AR$3&gt;='Gastos com Pessoal'!$E$7:$E$506)*(AR$3&lt;='Gastos com Pessoal'!$F$7:$F$506)*OFFSET('Encargos e Benefícios'!$D$5,1,MATCH($B52,'Encargos e Benefícios'!$E$5:$AB$5,0),500,1)),0)+_xlfn.IFNA(SUM((AR$3&gt;='Gastos com Pessoal'!$E$513:$E$522)*(AR$3&lt;='Gastos com Pessoal'!$F$513:$F$522)*OFFSET('Encargos e Benefícios'!$D$511,1,MATCH($B52,'Encargos e Benefícios'!$E$511:$AB$511,0),10,1)),0)+_xlfn.IFNA(SUM((AR$3&gt;='Gastos com Pessoal'!$E$7:$E$506)*(AR$3&lt;='Gastos com Pessoal'!$F$7:$F$506)*(IF('Gastos com Pessoal'!$G$7:$G$506&lt;=AR$3,1,0))*OFFSET('Gastos com Pessoal'!$H$6,1,MATCH(1&amp;$B52,'Gastos com Pessoal'!$I$532:$AJ$532&amp;'Gastos com Pessoal'!$I$6:$AJ$6,0),500,1)),0)+_xlfn.IFNA(SUM((AR$3&gt;='Gastos com Pessoal'!$E$7:$E$506)*(AR$3&lt;='Gastos com Pessoal'!$F$7:$F$506)*(IF('Gastos com Pessoal'!$M$7:$M$506&lt;=AR$3,1,0))*OFFSET('Gastos com Pessoal'!$H$6,1,MATCH(2&amp;$B52,'Gastos com Pessoal'!$I$532:$AJ$532&amp;'Gastos com Pessoal'!$I$6:$AJ$6,0),500,1)),0)+_xlfn.IFNA(SUM((AR$3&gt;='Gastos com Pessoal'!$E$7:$E$506)*(AR$3&lt;='Gastos com Pessoal'!$F$7:$F$506)*(IF('Gastos com Pessoal'!$S$7:$S$506&lt;=AR$3,1,0))*OFFSET('Gastos com Pessoal'!$H$6,1,MATCH(3&amp;$B52,'Gastos com Pessoal'!$I$532:$AJ$532&amp;'Gastos com Pessoal'!$I$6:$AJ$6,0),500,1)),0)+_xlfn.IFNA(SUM((AR$3&gt;='Gastos com Pessoal'!$E$7:$E$506)*(AR$3&lt;='Gastos com Pessoal'!$F$7:$F$506)*(IF('Gastos com Pessoal'!$Y$7:$Y$506&lt;=AR$3,1,0))*OFFSET('Gastos com Pessoal'!$H$6,1,MATCH(4&amp;$B52,'Gastos com Pessoal'!$I$532:$AJ$532&amp;'Gastos com Pessoal'!$I$6:$AJ$6,0),500,1)),0)+_xlfn.IFNA(SUM((AR$3&gt;='Gastos com Pessoal'!$E$7:$E$506)*(AR$3&lt;='Gastos com Pessoal'!$F$7:$F$506)*(IF('Gastos com Pessoal'!$AE$7:$AE$506&lt;=AR$3,1,0))*OFFSET('Gastos com Pessoal'!$H$6,1,MATCH(5&amp;$B52,'Gastos com Pessoal'!$I$532:$AJ$532&amp;'Gastos com Pessoal'!$I$6:$AJ$6,0),500,1)),0)+_xlfn.IFNA(SUM((AR$3&gt;='Gastos com Pessoal'!$E$513:$E$522)*(AR$3&lt;='Gastos com Pessoal'!$F$513:$F$522)*(IF('Gastos com Pessoal'!$G$513:$G$522&lt;=AR$3,1,0))*OFFSET('Gastos com Pessoal'!$H$512,1,MATCH(1&amp;$B52,'Gastos com Pessoal'!$I$532:$AJ$532&amp;'Gastos com Pessoal'!$I$512:$AJ$512,0),10,1)),0)+_xlfn.IFNA(SUM((AR$3&gt;='Gastos com Pessoal'!$E$513:$E$522)*(AR$3&lt;='Gastos com Pessoal'!$F$513:$F$522)*(IF('Gastos com Pessoal'!$M$513:$M$522&lt;=AR$3,1,0))*OFFSET('Gastos com Pessoal'!$H$512,1,MATCH(2&amp;$B52,'Gastos com Pessoal'!$I$532:$AJ$532&amp;'Gastos com Pessoal'!$I$512:$AJ$512,0),10,1)),0)+_xlfn.IFNA(SUM((AR$3&gt;='Gastos com Pessoal'!$E$513:$E$522)*(AR$3&lt;='Gastos com Pessoal'!$F$513:$F$522)*(IF('Gastos com Pessoal'!$S$513:$S$522&lt;=AR$3,1,0))*OFFSET('Gastos com Pessoal'!$H$512,1,MATCH(3&amp;$B52,'Gastos com Pessoal'!$I$532:$AJ$532&amp;'Gastos com Pessoal'!$I$512:$AJ$512,0),10,1)),0)+_xlfn.IFNA(SUM((AR$3&gt;='Gastos com Pessoal'!$E$513:$E$522)*(AR$3&lt;='Gastos com Pessoal'!$F$513:$F$522)*(IF('Gastos com Pessoal'!$Y$513:$Y$522&lt;=AR$3,1,0))*OFFSET('Gastos com Pessoal'!$H$512,1,MATCH(4&amp;$B52,'Gastos com Pessoal'!$I$532:$AJ$532&amp;'Gastos com Pessoal'!$I$512:$AJ$512,0),10,1)),0)+_xlfn.IFNA(SUM((AR$3&gt;='Gastos com Pessoal'!$E$513:$E$522)*(AR$3&lt;='Gastos com Pessoal'!$F$513:$F$522)*(IF('Gastos com Pessoal'!$AE$513:$AE$522&lt;=AR$3,1,0))*OFFSET('Gastos com Pessoal'!$H$512,1,MATCH(5&amp;$B52,'Gastos com Pessoal'!$I$532:$AJ$532&amp;'Gastos com Pessoal'!$I$512:$AJ$512,0),10,1)),0)</f>
        <v>12159.820000000009</v>
      </c>
      <c r="AS52" s="188">
        <f t="array" aca="1" ref="AS52" ca="1">_xlfn.IFNA(SUM((AS$3&gt;='Gastos com Pessoal'!$E$7:$E$506)*(AS$3&lt;='Gastos com Pessoal'!$F$7:$F$506)*OFFSET('Encargos e Benefícios'!$D$5,1,MATCH($B52,'Encargos e Benefícios'!$E$5:$AB$5,0),500,1)),0)+_xlfn.IFNA(SUM((AS$3&gt;='Gastos com Pessoal'!$E$513:$E$522)*(AS$3&lt;='Gastos com Pessoal'!$F$513:$F$522)*OFFSET('Encargos e Benefícios'!$D$511,1,MATCH($B52,'Encargos e Benefícios'!$E$511:$AB$511,0),10,1)),0)+_xlfn.IFNA(SUM((AS$3&gt;='Gastos com Pessoal'!$E$7:$E$506)*(AS$3&lt;='Gastos com Pessoal'!$F$7:$F$506)*(IF('Gastos com Pessoal'!$G$7:$G$506&lt;=AS$3,1,0))*OFFSET('Gastos com Pessoal'!$H$6,1,MATCH(1&amp;$B52,'Gastos com Pessoal'!$I$532:$AJ$532&amp;'Gastos com Pessoal'!$I$6:$AJ$6,0),500,1)),0)+_xlfn.IFNA(SUM((AS$3&gt;='Gastos com Pessoal'!$E$7:$E$506)*(AS$3&lt;='Gastos com Pessoal'!$F$7:$F$506)*(IF('Gastos com Pessoal'!$M$7:$M$506&lt;=AS$3,1,0))*OFFSET('Gastos com Pessoal'!$H$6,1,MATCH(2&amp;$B52,'Gastos com Pessoal'!$I$532:$AJ$532&amp;'Gastos com Pessoal'!$I$6:$AJ$6,0),500,1)),0)+_xlfn.IFNA(SUM((AS$3&gt;='Gastos com Pessoal'!$E$7:$E$506)*(AS$3&lt;='Gastos com Pessoal'!$F$7:$F$506)*(IF('Gastos com Pessoal'!$S$7:$S$506&lt;=AS$3,1,0))*OFFSET('Gastos com Pessoal'!$H$6,1,MATCH(3&amp;$B52,'Gastos com Pessoal'!$I$532:$AJ$532&amp;'Gastos com Pessoal'!$I$6:$AJ$6,0),500,1)),0)+_xlfn.IFNA(SUM((AS$3&gt;='Gastos com Pessoal'!$E$7:$E$506)*(AS$3&lt;='Gastos com Pessoal'!$F$7:$F$506)*(IF('Gastos com Pessoal'!$Y$7:$Y$506&lt;=AS$3,1,0))*OFFSET('Gastos com Pessoal'!$H$6,1,MATCH(4&amp;$B52,'Gastos com Pessoal'!$I$532:$AJ$532&amp;'Gastos com Pessoal'!$I$6:$AJ$6,0),500,1)),0)+_xlfn.IFNA(SUM((AS$3&gt;='Gastos com Pessoal'!$E$7:$E$506)*(AS$3&lt;='Gastos com Pessoal'!$F$7:$F$506)*(IF('Gastos com Pessoal'!$AE$7:$AE$506&lt;=AS$3,1,0))*OFFSET('Gastos com Pessoal'!$H$6,1,MATCH(5&amp;$B52,'Gastos com Pessoal'!$I$532:$AJ$532&amp;'Gastos com Pessoal'!$I$6:$AJ$6,0),500,1)),0)+_xlfn.IFNA(SUM((AS$3&gt;='Gastos com Pessoal'!$E$513:$E$522)*(AS$3&lt;='Gastos com Pessoal'!$F$513:$F$522)*(IF('Gastos com Pessoal'!$G$513:$G$522&lt;=AS$3,1,0))*OFFSET('Gastos com Pessoal'!$H$512,1,MATCH(1&amp;$B52,'Gastos com Pessoal'!$I$532:$AJ$532&amp;'Gastos com Pessoal'!$I$512:$AJ$512,0),10,1)),0)+_xlfn.IFNA(SUM((AS$3&gt;='Gastos com Pessoal'!$E$513:$E$522)*(AS$3&lt;='Gastos com Pessoal'!$F$513:$F$522)*(IF('Gastos com Pessoal'!$M$513:$M$522&lt;=AS$3,1,0))*OFFSET('Gastos com Pessoal'!$H$512,1,MATCH(2&amp;$B52,'Gastos com Pessoal'!$I$532:$AJ$532&amp;'Gastos com Pessoal'!$I$512:$AJ$512,0),10,1)),0)+_xlfn.IFNA(SUM((AS$3&gt;='Gastos com Pessoal'!$E$513:$E$522)*(AS$3&lt;='Gastos com Pessoal'!$F$513:$F$522)*(IF('Gastos com Pessoal'!$S$513:$S$522&lt;=AS$3,1,0))*OFFSET('Gastos com Pessoal'!$H$512,1,MATCH(3&amp;$B52,'Gastos com Pessoal'!$I$532:$AJ$532&amp;'Gastos com Pessoal'!$I$512:$AJ$512,0),10,1)),0)+_xlfn.IFNA(SUM((AS$3&gt;='Gastos com Pessoal'!$E$513:$E$522)*(AS$3&lt;='Gastos com Pessoal'!$F$513:$F$522)*(IF('Gastos com Pessoal'!$Y$513:$Y$522&lt;=AS$3,1,0))*OFFSET('Gastos com Pessoal'!$H$512,1,MATCH(4&amp;$B52,'Gastos com Pessoal'!$I$532:$AJ$532&amp;'Gastos com Pessoal'!$I$512:$AJ$512,0),10,1)),0)+_xlfn.IFNA(SUM((AS$3&gt;='Gastos com Pessoal'!$E$513:$E$522)*(AS$3&lt;='Gastos com Pessoal'!$F$513:$F$522)*(IF('Gastos com Pessoal'!$AE$513:$AE$522&lt;=AS$3,1,0))*OFFSET('Gastos com Pessoal'!$H$512,1,MATCH(5&amp;$B52,'Gastos com Pessoal'!$I$532:$AJ$532&amp;'Gastos com Pessoal'!$I$512:$AJ$512,0),10,1)),0)</f>
        <v>12159.820000000009</v>
      </c>
      <c r="AT52" s="188">
        <f t="array" aca="1" ref="AT52" ca="1">_xlfn.IFNA(SUM((AT$3&gt;='Gastos com Pessoal'!$E$7:$E$506)*(AT$3&lt;='Gastos com Pessoal'!$F$7:$F$506)*OFFSET('Encargos e Benefícios'!$D$5,1,MATCH($B52,'Encargos e Benefícios'!$E$5:$AB$5,0),500,1)),0)+_xlfn.IFNA(SUM((AT$3&gt;='Gastos com Pessoal'!$E$513:$E$522)*(AT$3&lt;='Gastos com Pessoal'!$F$513:$F$522)*OFFSET('Encargos e Benefícios'!$D$511,1,MATCH($B52,'Encargos e Benefícios'!$E$511:$AB$511,0),10,1)),0)+_xlfn.IFNA(SUM((AT$3&gt;='Gastos com Pessoal'!$E$7:$E$506)*(AT$3&lt;='Gastos com Pessoal'!$F$7:$F$506)*(IF('Gastos com Pessoal'!$G$7:$G$506&lt;=AT$3,1,0))*OFFSET('Gastos com Pessoal'!$H$6,1,MATCH(1&amp;$B52,'Gastos com Pessoal'!$I$532:$AJ$532&amp;'Gastos com Pessoal'!$I$6:$AJ$6,0),500,1)),0)+_xlfn.IFNA(SUM((AT$3&gt;='Gastos com Pessoal'!$E$7:$E$506)*(AT$3&lt;='Gastos com Pessoal'!$F$7:$F$506)*(IF('Gastos com Pessoal'!$M$7:$M$506&lt;=AT$3,1,0))*OFFSET('Gastos com Pessoal'!$H$6,1,MATCH(2&amp;$B52,'Gastos com Pessoal'!$I$532:$AJ$532&amp;'Gastos com Pessoal'!$I$6:$AJ$6,0),500,1)),0)+_xlfn.IFNA(SUM((AT$3&gt;='Gastos com Pessoal'!$E$7:$E$506)*(AT$3&lt;='Gastos com Pessoal'!$F$7:$F$506)*(IF('Gastos com Pessoal'!$S$7:$S$506&lt;=AT$3,1,0))*OFFSET('Gastos com Pessoal'!$H$6,1,MATCH(3&amp;$B52,'Gastos com Pessoal'!$I$532:$AJ$532&amp;'Gastos com Pessoal'!$I$6:$AJ$6,0),500,1)),0)+_xlfn.IFNA(SUM((AT$3&gt;='Gastos com Pessoal'!$E$7:$E$506)*(AT$3&lt;='Gastos com Pessoal'!$F$7:$F$506)*(IF('Gastos com Pessoal'!$Y$7:$Y$506&lt;=AT$3,1,0))*OFFSET('Gastos com Pessoal'!$H$6,1,MATCH(4&amp;$B52,'Gastos com Pessoal'!$I$532:$AJ$532&amp;'Gastos com Pessoal'!$I$6:$AJ$6,0),500,1)),0)+_xlfn.IFNA(SUM((AT$3&gt;='Gastos com Pessoal'!$E$7:$E$506)*(AT$3&lt;='Gastos com Pessoal'!$F$7:$F$506)*(IF('Gastos com Pessoal'!$AE$7:$AE$506&lt;=AT$3,1,0))*OFFSET('Gastos com Pessoal'!$H$6,1,MATCH(5&amp;$B52,'Gastos com Pessoal'!$I$532:$AJ$532&amp;'Gastos com Pessoal'!$I$6:$AJ$6,0),500,1)),0)+_xlfn.IFNA(SUM((AT$3&gt;='Gastos com Pessoal'!$E$513:$E$522)*(AT$3&lt;='Gastos com Pessoal'!$F$513:$F$522)*(IF('Gastos com Pessoal'!$G$513:$G$522&lt;=AT$3,1,0))*OFFSET('Gastos com Pessoal'!$H$512,1,MATCH(1&amp;$B52,'Gastos com Pessoal'!$I$532:$AJ$532&amp;'Gastos com Pessoal'!$I$512:$AJ$512,0),10,1)),0)+_xlfn.IFNA(SUM((AT$3&gt;='Gastos com Pessoal'!$E$513:$E$522)*(AT$3&lt;='Gastos com Pessoal'!$F$513:$F$522)*(IF('Gastos com Pessoal'!$M$513:$M$522&lt;=AT$3,1,0))*OFFSET('Gastos com Pessoal'!$H$512,1,MATCH(2&amp;$B52,'Gastos com Pessoal'!$I$532:$AJ$532&amp;'Gastos com Pessoal'!$I$512:$AJ$512,0),10,1)),0)+_xlfn.IFNA(SUM((AT$3&gt;='Gastos com Pessoal'!$E$513:$E$522)*(AT$3&lt;='Gastos com Pessoal'!$F$513:$F$522)*(IF('Gastos com Pessoal'!$S$513:$S$522&lt;=AT$3,1,0))*OFFSET('Gastos com Pessoal'!$H$512,1,MATCH(3&amp;$B52,'Gastos com Pessoal'!$I$532:$AJ$532&amp;'Gastos com Pessoal'!$I$512:$AJ$512,0),10,1)),0)+_xlfn.IFNA(SUM((AT$3&gt;='Gastos com Pessoal'!$E$513:$E$522)*(AT$3&lt;='Gastos com Pessoal'!$F$513:$F$522)*(IF('Gastos com Pessoal'!$Y$513:$Y$522&lt;=AT$3,1,0))*OFFSET('Gastos com Pessoal'!$H$512,1,MATCH(4&amp;$B52,'Gastos com Pessoal'!$I$532:$AJ$532&amp;'Gastos com Pessoal'!$I$512:$AJ$512,0),10,1)),0)+_xlfn.IFNA(SUM((AT$3&gt;='Gastos com Pessoal'!$E$513:$E$522)*(AT$3&lt;='Gastos com Pessoal'!$F$513:$F$522)*(IF('Gastos com Pessoal'!$AE$513:$AE$522&lt;=AT$3,1,0))*OFFSET('Gastos com Pessoal'!$H$512,1,MATCH(5&amp;$B52,'Gastos com Pessoal'!$I$532:$AJ$532&amp;'Gastos com Pessoal'!$I$512:$AJ$512,0),10,1)),0)</f>
        <v>12159.820000000009</v>
      </c>
      <c r="AU52" s="188">
        <f t="array" aca="1" ref="AU52" ca="1">_xlfn.IFNA(SUM((AU$3&gt;='Gastos com Pessoal'!$E$7:$E$506)*(AU$3&lt;='Gastos com Pessoal'!$F$7:$F$506)*OFFSET('Encargos e Benefícios'!$D$5,1,MATCH($B52,'Encargos e Benefícios'!$E$5:$AB$5,0),500,1)),0)+_xlfn.IFNA(SUM((AU$3&gt;='Gastos com Pessoal'!$E$513:$E$522)*(AU$3&lt;='Gastos com Pessoal'!$F$513:$F$522)*OFFSET('Encargos e Benefícios'!$D$511,1,MATCH($B52,'Encargos e Benefícios'!$E$511:$AB$511,0),10,1)),0)+_xlfn.IFNA(SUM((AU$3&gt;='Gastos com Pessoal'!$E$7:$E$506)*(AU$3&lt;='Gastos com Pessoal'!$F$7:$F$506)*(IF('Gastos com Pessoal'!$G$7:$G$506&lt;=AU$3,1,0))*OFFSET('Gastos com Pessoal'!$H$6,1,MATCH(1&amp;$B52,'Gastos com Pessoal'!$I$532:$AJ$532&amp;'Gastos com Pessoal'!$I$6:$AJ$6,0),500,1)),0)+_xlfn.IFNA(SUM((AU$3&gt;='Gastos com Pessoal'!$E$7:$E$506)*(AU$3&lt;='Gastos com Pessoal'!$F$7:$F$506)*(IF('Gastos com Pessoal'!$M$7:$M$506&lt;=AU$3,1,0))*OFFSET('Gastos com Pessoal'!$H$6,1,MATCH(2&amp;$B52,'Gastos com Pessoal'!$I$532:$AJ$532&amp;'Gastos com Pessoal'!$I$6:$AJ$6,0),500,1)),0)+_xlfn.IFNA(SUM((AU$3&gt;='Gastos com Pessoal'!$E$7:$E$506)*(AU$3&lt;='Gastos com Pessoal'!$F$7:$F$506)*(IF('Gastos com Pessoal'!$S$7:$S$506&lt;=AU$3,1,0))*OFFSET('Gastos com Pessoal'!$H$6,1,MATCH(3&amp;$B52,'Gastos com Pessoal'!$I$532:$AJ$532&amp;'Gastos com Pessoal'!$I$6:$AJ$6,0),500,1)),0)+_xlfn.IFNA(SUM((AU$3&gt;='Gastos com Pessoal'!$E$7:$E$506)*(AU$3&lt;='Gastos com Pessoal'!$F$7:$F$506)*(IF('Gastos com Pessoal'!$Y$7:$Y$506&lt;=AU$3,1,0))*OFFSET('Gastos com Pessoal'!$H$6,1,MATCH(4&amp;$B52,'Gastos com Pessoal'!$I$532:$AJ$532&amp;'Gastos com Pessoal'!$I$6:$AJ$6,0),500,1)),0)+_xlfn.IFNA(SUM((AU$3&gt;='Gastos com Pessoal'!$E$7:$E$506)*(AU$3&lt;='Gastos com Pessoal'!$F$7:$F$506)*(IF('Gastos com Pessoal'!$AE$7:$AE$506&lt;=AU$3,1,0))*OFFSET('Gastos com Pessoal'!$H$6,1,MATCH(5&amp;$B52,'Gastos com Pessoal'!$I$532:$AJ$532&amp;'Gastos com Pessoal'!$I$6:$AJ$6,0),500,1)),0)+_xlfn.IFNA(SUM((AU$3&gt;='Gastos com Pessoal'!$E$513:$E$522)*(AU$3&lt;='Gastos com Pessoal'!$F$513:$F$522)*(IF('Gastos com Pessoal'!$G$513:$G$522&lt;=AU$3,1,0))*OFFSET('Gastos com Pessoal'!$H$512,1,MATCH(1&amp;$B52,'Gastos com Pessoal'!$I$532:$AJ$532&amp;'Gastos com Pessoal'!$I$512:$AJ$512,0),10,1)),0)+_xlfn.IFNA(SUM((AU$3&gt;='Gastos com Pessoal'!$E$513:$E$522)*(AU$3&lt;='Gastos com Pessoal'!$F$513:$F$522)*(IF('Gastos com Pessoal'!$M$513:$M$522&lt;=AU$3,1,0))*OFFSET('Gastos com Pessoal'!$H$512,1,MATCH(2&amp;$B52,'Gastos com Pessoal'!$I$532:$AJ$532&amp;'Gastos com Pessoal'!$I$512:$AJ$512,0),10,1)),0)+_xlfn.IFNA(SUM((AU$3&gt;='Gastos com Pessoal'!$E$513:$E$522)*(AU$3&lt;='Gastos com Pessoal'!$F$513:$F$522)*(IF('Gastos com Pessoal'!$S$513:$S$522&lt;=AU$3,1,0))*OFFSET('Gastos com Pessoal'!$H$512,1,MATCH(3&amp;$B52,'Gastos com Pessoal'!$I$532:$AJ$532&amp;'Gastos com Pessoal'!$I$512:$AJ$512,0),10,1)),0)+_xlfn.IFNA(SUM((AU$3&gt;='Gastos com Pessoal'!$E$513:$E$522)*(AU$3&lt;='Gastos com Pessoal'!$F$513:$F$522)*(IF('Gastos com Pessoal'!$Y$513:$Y$522&lt;=AU$3,1,0))*OFFSET('Gastos com Pessoal'!$H$512,1,MATCH(4&amp;$B52,'Gastos com Pessoal'!$I$532:$AJ$532&amp;'Gastos com Pessoal'!$I$512:$AJ$512,0),10,1)),0)+_xlfn.IFNA(SUM((AU$3&gt;='Gastos com Pessoal'!$E$513:$E$522)*(AU$3&lt;='Gastos com Pessoal'!$F$513:$F$522)*(IF('Gastos com Pessoal'!$AE$513:$AE$522&lt;=AU$3,1,0))*OFFSET('Gastos com Pessoal'!$H$512,1,MATCH(5&amp;$B52,'Gastos com Pessoal'!$I$532:$AJ$532&amp;'Gastos com Pessoal'!$I$512:$AJ$512,0),10,1)),0)</f>
        <v>12159.820000000009</v>
      </c>
      <c r="AV52" s="188">
        <f t="array" aca="1" ref="AV52" ca="1">_xlfn.IFNA(SUM((AV$3&gt;='Gastos com Pessoal'!$E$7:$E$506)*(AV$3&lt;='Gastos com Pessoal'!$F$7:$F$506)*OFFSET('Encargos e Benefícios'!$D$5,1,MATCH($B52,'Encargos e Benefícios'!$E$5:$AB$5,0),500,1)),0)+_xlfn.IFNA(SUM((AV$3&gt;='Gastos com Pessoal'!$E$513:$E$522)*(AV$3&lt;='Gastos com Pessoal'!$F$513:$F$522)*OFFSET('Encargos e Benefícios'!$D$511,1,MATCH($B52,'Encargos e Benefícios'!$E$511:$AB$511,0),10,1)),0)+_xlfn.IFNA(SUM((AV$3&gt;='Gastos com Pessoal'!$E$7:$E$506)*(AV$3&lt;='Gastos com Pessoal'!$F$7:$F$506)*(IF('Gastos com Pessoal'!$G$7:$G$506&lt;=AV$3,1,0))*OFFSET('Gastos com Pessoal'!$H$6,1,MATCH(1&amp;$B52,'Gastos com Pessoal'!$I$532:$AJ$532&amp;'Gastos com Pessoal'!$I$6:$AJ$6,0),500,1)),0)+_xlfn.IFNA(SUM((AV$3&gt;='Gastos com Pessoal'!$E$7:$E$506)*(AV$3&lt;='Gastos com Pessoal'!$F$7:$F$506)*(IF('Gastos com Pessoal'!$M$7:$M$506&lt;=AV$3,1,0))*OFFSET('Gastos com Pessoal'!$H$6,1,MATCH(2&amp;$B52,'Gastos com Pessoal'!$I$532:$AJ$532&amp;'Gastos com Pessoal'!$I$6:$AJ$6,0),500,1)),0)+_xlfn.IFNA(SUM((AV$3&gt;='Gastos com Pessoal'!$E$7:$E$506)*(AV$3&lt;='Gastos com Pessoal'!$F$7:$F$506)*(IF('Gastos com Pessoal'!$S$7:$S$506&lt;=AV$3,1,0))*OFFSET('Gastos com Pessoal'!$H$6,1,MATCH(3&amp;$B52,'Gastos com Pessoal'!$I$532:$AJ$532&amp;'Gastos com Pessoal'!$I$6:$AJ$6,0),500,1)),0)+_xlfn.IFNA(SUM((AV$3&gt;='Gastos com Pessoal'!$E$7:$E$506)*(AV$3&lt;='Gastos com Pessoal'!$F$7:$F$506)*(IF('Gastos com Pessoal'!$Y$7:$Y$506&lt;=AV$3,1,0))*OFFSET('Gastos com Pessoal'!$H$6,1,MATCH(4&amp;$B52,'Gastos com Pessoal'!$I$532:$AJ$532&amp;'Gastos com Pessoal'!$I$6:$AJ$6,0),500,1)),0)+_xlfn.IFNA(SUM((AV$3&gt;='Gastos com Pessoal'!$E$7:$E$506)*(AV$3&lt;='Gastos com Pessoal'!$F$7:$F$506)*(IF('Gastos com Pessoal'!$AE$7:$AE$506&lt;=AV$3,1,0))*OFFSET('Gastos com Pessoal'!$H$6,1,MATCH(5&amp;$B52,'Gastos com Pessoal'!$I$532:$AJ$532&amp;'Gastos com Pessoal'!$I$6:$AJ$6,0),500,1)),0)+_xlfn.IFNA(SUM((AV$3&gt;='Gastos com Pessoal'!$E$513:$E$522)*(AV$3&lt;='Gastos com Pessoal'!$F$513:$F$522)*(IF('Gastos com Pessoal'!$G$513:$G$522&lt;=AV$3,1,0))*OFFSET('Gastos com Pessoal'!$H$512,1,MATCH(1&amp;$B52,'Gastos com Pessoal'!$I$532:$AJ$532&amp;'Gastos com Pessoal'!$I$512:$AJ$512,0),10,1)),0)+_xlfn.IFNA(SUM((AV$3&gt;='Gastos com Pessoal'!$E$513:$E$522)*(AV$3&lt;='Gastos com Pessoal'!$F$513:$F$522)*(IF('Gastos com Pessoal'!$M$513:$M$522&lt;=AV$3,1,0))*OFFSET('Gastos com Pessoal'!$H$512,1,MATCH(2&amp;$B52,'Gastos com Pessoal'!$I$532:$AJ$532&amp;'Gastos com Pessoal'!$I$512:$AJ$512,0),10,1)),0)+_xlfn.IFNA(SUM((AV$3&gt;='Gastos com Pessoal'!$E$513:$E$522)*(AV$3&lt;='Gastos com Pessoal'!$F$513:$F$522)*(IF('Gastos com Pessoal'!$S$513:$S$522&lt;=AV$3,1,0))*OFFSET('Gastos com Pessoal'!$H$512,1,MATCH(3&amp;$B52,'Gastos com Pessoal'!$I$532:$AJ$532&amp;'Gastos com Pessoal'!$I$512:$AJ$512,0),10,1)),0)+_xlfn.IFNA(SUM((AV$3&gt;='Gastos com Pessoal'!$E$513:$E$522)*(AV$3&lt;='Gastos com Pessoal'!$F$513:$F$522)*(IF('Gastos com Pessoal'!$Y$513:$Y$522&lt;=AV$3,1,0))*OFFSET('Gastos com Pessoal'!$H$512,1,MATCH(4&amp;$B52,'Gastos com Pessoal'!$I$532:$AJ$532&amp;'Gastos com Pessoal'!$I$512:$AJ$512,0),10,1)),0)+_xlfn.IFNA(SUM((AV$3&gt;='Gastos com Pessoal'!$E$513:$E$522)*(AV$3&lt;='Gastos com Pessoal'!$F$513:$F$522)*(IF('Gastos com Pessoal'!$AE$513:$AE$522&lt;=AV$3,1,0))*OFFSET('Gastos com Pessoal'!$H$512,1,MATCH(5&amp;$B52,'Gastos com Pessoal'!$I$532:$AJ$532&amp;'Gastos com Pessoal'!$I$512:$AJ$512,0),10,1)),0)</f>
        <v>12159.820000000009</v>
      </c>
      <c r="AW52" s="188">
        <f t="array" aca="1" ref="AW52" ca="1">_xlfn.IFNA(SUM((AW$3&gt;='Gastos com Pessoal'!$E$7:$E$506)*(AW$3&lt;='Gastos com Pessoal'!$F$7:$F$506)*OFFSET('Encargos e Benefícios'!$D$5,1,MATCH($B52,'Encargos e Benefícios'!$E$5:$AB$5,0),500,1)),0)+_xlfn.IFNA(SUM((AW$3&gt;='Gastos com Pessoal'!$E$513:$E$522)*(AW$3&lt;='Gastos com Pessoal'!$F$513:$F$522)*OFFSET('Encargos e Benefícios'!$D$511,1,MATCH($B52,'Encargos e Benefícios'!$E$511:$AB$511,0),10,1)),0)+_xlfn.IFNA(SUM((AW$3&gt;='Gastos com Pessoal'!$E$7:$E$506)*(AW$3&lt;='Gastos com Pessoal'!$F$7:$F$506)*(IF('Gastos com Pessoal'!$G$7:$G$506&lt;=AW$3,1,0))*OFFSET('Gastos com Pessoal'!$H$6,1,MATCH(1&amp;$B52,'Gastos com Pessoal'!$I$532:$AJ$532&amp;'Gastos com Pessoal'!$I$6:$AJ$6,0),500,1)),0)+_xlfn.IFNA(SUM((AW$3&gt;='Gastos com Pessoal'!$E$7:$E$506)*(AW$3&lt;='Gastos com Pessoal'!$F$7:$F$506)*(IF('Gastos com Pessoal'!$M$7:$M$506&lt;=AW$3,1,0))*OFFSET('Gastos com Pessoal'!$H$6,1,MATCH(2&amp;$B52,'Gastos com Pessoal'!$I$532:$AJ$532&amp;'Gastos com Pessoal'!$I$6:$AJ$6,0),500,1)),0)+_xlfn.IFNA(SUM((AW$3&gt;='Gastos com Pessoal'!$E$7:$E$506)*(AW$3&lt;='Gastos com Pessoal'!$F$7:$F$506)*(IF('Gastos com Pessoal'!$S$7:$S$506&lt;=AW$3,1,0))*OFFSET('Gastos com Pessoal'!$H$6,1,MATCH(3&amp;$B52,'Gastos com Pessoal'!$I$532:$AJ$532&amp;'Gastos com Pessoal'!$I$6:$AJ$6,0),500,1)),0)+_xlfn.IFNA(SUM((AW$3&gt;='Gastos com Pessoal'!$E$7:$E$506)*(AW$3&lt;='Gastos com Pessoal'!$F$7:$F$506)*(IF('Gastos com Pessoal'!$Y$7:$Y$506&lt;=AW$3,1,0))*OFFSET('Gastos com Pessoal'!$H$6,1,MATCH(4&amp;$B52,'Gastos com Pessoal'!$I$532:$AJ$532&amp;'Gastos com Pessoal'!$I$6:$AJ$6,0),500,1)),0)+_xlfn.IFNA(SUM((AW$3&gt;='Gastos com Pessoal'!$E$7:$E$506)*(AW$3&lt;='Gastos com Pessoal'!$F$7:$F$506)*(IF('Gastos com Pessoal'!$AE$7:$AE$506&lt;=AW$3,1,0))*OFFSET('Gastos com Pessoal'!$H$6,1,MATCH(5&amp;$B52,'Gastos com Pessoal'!$I$532:$AJ$532&amp;'Gastos com Pessoal'!$I$6:$AJ$6,0),500,1)),0)+_xlfn.IFNA(SUM((AW$3&gt;='Gastos com Pessoal'!$E$513:$E$522)*(AW$3&lt;='Gastos com Pessoal'!$F$513:$F$522)*(IF('Gastos com Pessoal'!$G$513:$G$522&lt;=AW$3,1,0))*OFFSET('Gastos com Pessoal'!$H$512,1,MATCH(1&amp;$B52,'Gastos com Pessoal'!$I$532:$AJ$532&amp;'Gastos com Pessoal'!$I$512:$AJ$512,0),10,1)),0)+_xlfn.IFNA(SUM((AW$3&gt;='Gastos com Pessoal'!$E$513:$E$522)*(AW$3&lt;='Gastos com Pessoal'!$F$513:$F$522)*(IF('Gastos com Pessoal'!$M$513:$M$522&lt;=AW$3,1,0))*OFFSET('Gastos com Pessoal'!$H$512,1,MATCH(2&amp;$B52,'Gastos com Pessoal'!$I$532:$AJ$532&amp;'Gastos com Pessoal'!$I$512:$AJ$512,0),10,1)),0)+_xlfn.IFNA(SUM((AW$3&gt;='Gastos com Pessoal'!$E$513:$E$522)*(AW$3&lt;='Gastos com Pessoal'!$F$513:$F$522)*(IF('Gastos com Pessoal'!$S$513:$S$522&lt;=AW$3,1,0))*OFFSET('Gastos com Pessoal'!$H$512,1,MATCH(3&amp;$B52,'Gastos com Pessoal'!$I$532:$AJ$532&amp;'Gastos com Pessoal'!$I$512:$AJ$512,0),10,1)),0)+_xlfn.IFNA(SUM((AW$3&gt;='Gastos com Pessoal'!$E$513:$E$522)*(AW$3&lt;='Gastos com Pessoal'!$F$513:$F$522)*(IF('Gastos com Pessoal'!$Y$513:$Y$522&lt;=AW$3,1,0))*OFFSET('Gastos com Pessoal'!$H$512,1,MATCH(4&amp;$B52,'Gastos com Pessoal'!$I$532:$AJ$532&amp;'Gastos com Pessoal'!$I$512:$AJ$512,0),10,1)),0)+_xlfn.IFNA(SUM((AW$3&gt;='Gastos com Pessoal'!$E$513:$E$522)*(AW$3&lt;='Gastos com Pessoal'!$F$513:$F$522)*(IF('Gastos com Pessoal'!$AE$513:$AE$522&lt;=AW$3,1,0))*OFFSET('Gastos com Pessoal'!$H$512,1,MATCH(5&amp;$B52,'Gastos com Pessoal'!$I$532:$AJ$532&amp;'Gastos com Pessoal'!$I$512:$AJ$512,0),10,1)),0)</f>
        <v>12159.820000000009</v>
      </c>
      <c r="AX52" s="188">
        <f t="array" aca="1" ref="AX52" ca="1">_xlfn.IFNA(SUM((AX$3&gt;='Gastos com Pessoal'!$E$7:$E$506)*(AX$3&lt;='Gastos com Pessoal'!$F$7:$F$506)*OFFSET('Encargos e Benefícios'!$D$5,1,MATCH($B52,'Encargos e Benefícios'!$E$5:$AB$5,0),500,1)),0)+_xlfn.IFNA(SUM((AX$3&gt;='Gastos com Pessoal'!$E$513:$E$522)*(AX$3&lt;='Gastos com Pessoal'!$F$513:$F$522)*OFFSET('Encargos e Benefícios'!$D$511,1,MATCH($B52,'Encargos e Benefícios'!$E$511:$AB$511,0),10,1)),0)+_xlfn.IFNA(SUM((AX$3&gt;='Gastos com Pessoal'!$E$7:$E$506)*(AX$3&lt;='Gastos com Pessoal'!$F$7:$F$506)*(IF('Gastos com Pessoal'!$G$7:$G$506&lt;=AX$3,1,0))*OFFSET('Gastos com Pessoal'!$H$6,1,MATCH(1&amp;$B52,'Gastos com Pessoal'!$I$532:$AJ$532&amp;'Gastos com Pessoal'!$I$6:$AJ$6,0),500,1)),0)+_xlfn.IFNA(SUM((AX$3&gt;='Gastos com Pessoal'!$E$7:$E$506)*(AX$3&lt;='Gastos com Pessoal'!$F$7:$F$506)*(IF('Gastos com Pessoal'!$M$7:$M$506&lt;=AX$3,1,0))*OFFSET('Gastos com Pessoal'!$H$6,1,MATCH(2&amp;$B52,'Gastos com Pessoal'!$I$532:$AJ$532&amp;'Gastos com Pessoal'!$I$6:$AJ$6,0),500,1)),0)+_xlfn.IFNA(SUM((AX$3&gt;='Gastos com Pessoal'!$E$7:$E$506)*(AX$3&lt;='Gastos com Pessoal'!$F$7:$F$506)*(IF('Gastos com Pessoal'!$S$7:$S$506&lt;=AX$3,1,0))*OFFSET('Gastos com Pessoal'!$H$6,1,MATCH(3&amp;$B52,'Gastos com Pessoal'!$I$532:$AJ$532&amp;'Gastos com Pessoal'!$I$6:$AJ$6,0),500,1)),0)+_xlfn.IFNA(SUM((AX$3&gt;='Gastos com Pessoal'!$E$7:$E$506)*(AX$3&lt;='Gastos com Pessoal'!$F$7:$F$506)*(IF('Gastos com Pessoal'!$Y$7:$Y$506&lt;=AX$3,1,0))*OFFSET('Gastos com Pessoal'!$H$6,1,MATCH(4&amp;$B52,'Gastos com Pessoal'!$I$532:$AJ$532&amp;'Gastos com Pessoal'!$I$6:$AJ$6,0),500,1)),0)+_xlfn.IFNA(SUM((AX$3&gt;='Gastos com Pessoal'!$E$7:$E$506)*(AX$3&lt;='Gastos com Pessoal'!$F$7:$F$506)*(IF('Gastos com Pessoal'!$AE$7:$AE$506&lt;=AX$3,1,0))*OFFSET('Gastos com Pessoal'!$H$6,1,MATCH(5&amp;$B52,'Gastos com Pessoal'!$I$532:$AJ$532&amp;'Gastos com Pessoal'!$I$6:$AJ$6,0),500,1)),0)+_xlfn.IFNA(SUM((AX$3&gt;='Gastos com Pessoal'!$E$513:$E$522)*(AX$3&lt;='Gastos com Pessoal'!$F$513:$F$522)*(IF('Gastos com Pessoal'!$G$513:$G$522&lt;=AX$3,1,0))*OFFSET('Gastos com Pessoal'!$H$512,1,MATCH(1&amp;$B52,'Gastos com Pessoal'!$I$532:$AJ$532&amp;'Gastos com Pessoal'!$I$512:$AJ$512,0),10,1)),0)+_xlfn.IFNA(SUM((AX$3&gt;='Gastos com Pessoal'!$E$513:$E$522)*(AX$3&lt;='Gastos com Pessoal'!$F$513:$F$522)*(IF('Gastos com Pessoal'!$M$513:$M$522&lt;=AX$3,1,0))*OFFSET('Gastos com Pessoal'!$H$512,1,MATCH(2&amp;$B52,'Gastos com Pessoal'!$I$532:$AJ$532&amp;'Gastos com Pessoal'!$I$512:$AJ$512,0),10,1)),0)+_xlfn.IFNA(SUM((AX$3&gt;='Gastos com Pessoal'!$E$513:$E$522)*(AX$3&lt;='Gastos com Pessoal'!$F$513:$F$522)*(IF('Gastos com Pessoal'!$S$513:$S$522&lt;=AX$3,1,0))*OFFSET('Gastos com Pessoal'!$H$512,1,MATCH(3&amp;$B52,'Gastos com Pessoal'!$I$532:$AJ$532&amp;'Gastos com Pessoal'!$I$512:$AJ$512,0),10,1)),0)+_xlfn.IFNA(SUM((AX$3&gt;='Gastos com Pessoal'!$E$513:$E$522)*(AX$3&lt;='Gastos com Pessoal'!$F$513:$F$522)*(IF('Gastos com Pessoal'!$Y$513:$Y$522&lt;=AX$3,1,0))*OFFSET('Gastos com Pessoal'!$H$512,1,MATCH(4&amp;$B52,'Gastos com Pessoal'!$I$532:$AJ$532&amp;'Gastos com Pessoal'!$I$512:$AJ$512,0),10,1)),0)+_xlfn.IFNA(SUM((AX$3&gt;='Gastos com Pessoal'!$E$513:$E$522)*(AX$3&lt;='Gastos com Pessoal'!$F$513:$F$522)*(IF('Gastos com Pessoal'!$AE$513:$AE$522&lt;=AX$3,1,0))*OFFSET('Gastos com Pessoal'!$H$512,1,MATCH(5&amp;$B52,'Gastos com Pessoal'!$I$532:$AJ$532&amp;'Gastos com Pessoal'!$I$512:$AJ$512,0),10,1)),0)</f>
        <v>0</v>
      </c>
      <c r="AY52" s="188">
        <f t="array" aca="1" ref="AY52" ca="1">_xlfn.IFNA(SUM((AY$3&gt;='Gastos com Pessoal'!$E$7:$E$506)*(AY$3&lt;='Gastos com Pessoal'!$F$7:$F$506)*OFFSET('Encargos e Benefícios'!$D$5,1,MATCH($B52,'Encargos e Benefícios'!$E$5:$AB$5,0),500,1)),0)+_xlfn.IFNA(SUM((AY$3&gt;='Gastos com Pessoal'!$E$513:$E$522)*(AY$3&lt;='Gastos com Pessoal'!$F$513:$F$522)*OFFSET('Encargos e Benefícios'!$D$511,1,MATCH($B52,'Encargos e Benefícios'!$E$511:$AB$511,0),10,1)),0)+_xlfn.IFNA(SUM((AY$3&gt;='Gastos com Pessoal'!$E$7:$E$506)*(AY$3&lt;='Gastos com Pessoal'!$F$7:$F$506)*(IF('Gastos com Pessoal'!$G$7:$G$506&lt;=AY$3,1,0))*OFFSET('Gastos com Pessoal'!$H$6,1,MATCH(1&amp;$B52,'Gastos com Pessoal'!$I$532:$AJ$532&amp;'Gastos com Pessoal'!$I$6:$AJ$6,0),500,1)),0)+_xlfn.IFNA(SUM((AY$3&gt;='Gastos com Pessoal'!$E$7:$E$506)*(AY$3&lt;='Gastos com Pessoal'!$F$7:$F$506)*(IF('Gastos com Pessoal'!$M$7:$M$506&lt;=AY$3,1,0))*OFFSET('Gastos com Pessoal'!$H$6,1,MATCH(2&amp;$B52,'Gastos com Pessoal'!$I$532:$AJ$532&amp;'Gastos com Pessoal'!$I$6:$AJ$6,0),500,1)),0)+_xlfn.IFNA(SUM((AY$3&gt;='Gastos com Pessoal'!$E$7:$E$506)*(AY$3&lt;='Gastos com Pessoal'!$F$7:$F$506)*(IF('Gastos com Pessoal'!$S$7:$S$506&lt;=AY$3,1,0))*OFFSET('Gastos com Pessoal'!$H$6,1,MATCH(3&amp;$B52,'Gastos com Pessoal'!$I$532:$AJ$532&amp;'Gastos com Pessoal'!$I$6:$AJ$6,0),500,1)),0)+_xlfn.IFNA(SUM((AY$3&gt;='Gastos com Pessoal'!$E$7:$E$506)*(AY$3&lt;='Gastos com Pessoal'!$F$7:$F$506)*(IF('Gastos com Pessoal'!$Y$7:$Y$506&lt;=AY$3,1,0))*OFFSET('Gastos com Pessoal'!$H$6,1,MATCH(4&amp;$B52,'Gastos com Pessoal'!$I$532:$AJ$532&amp;'Gastos com Pessoal'!$I$6:$AJ$6,0),500,1)),0)+_xlfn.IFNA(SUM((AY$3&gt;='Gastos com Pessoal'!$E$7:$E$506)*(AY$3&lt;='Gastos com Pessoal'!$F$7:$F$506)*(IF('Gastos com Pessoal'!$AE$7:$AE$506&lt;=AY$3,1,0))*OFFSET('Gastos com Pessoal'!$H$6,1,MATCH(5&amp;$B52,'Gastos com Pessoal'!$I$532:$AJ$532&amp;'Gastos com Pessoal'!$I$6:$AJ$6,0),500,1)),0)+_xlfn.IFNA(SUM((AY$3&gt;='Gastos com Pessoal'!$E$513:$E$522)*(AY$3&lt;='Gastos com Pessoal'!$F$513:$F$522)*(IF('Gastos com Pessoal'!$G$513:$G$522&lt;=AY$3,1,0))*OFFSET('Gastos com Pessoal'!$H$512,1,MATCH(1&amp;$B52,'Gastos com Pessoal'!$I$532:$AJ$532&amp;'Gastos com Pessoal'!$I$512:$AJ$512,0),10,1)),0)+_xlfn.IFNA(SUM((AY$3&gt;='Gastos com Pessoal'!$E$513:$E$522)*(AY$3&lt;='Gastos com Pessoal'!$F$513:$F$522)*(IF('Gastos com Pessoal'!$M$513:$M$522&lt;=AY$3,1,0))*OFFSET('Gastos com Pessoal'!$H$512,1,MATCH(2&amp;$B52,'Gastos com Pessoal'!$I$532:$AJ$532&amp;'Gastos com Pessoal'!$I$512:$AJ$512,0),10,1)),0)+_xlfn.IFNA(SUM((AY$3&gt;='Gastos com Pessoal'!$E$513:$E$522)*(AY$3&lt;='Gastos com Pessoal'!$F$513:$F$522)*(IF('Gastos com Pessoal'!$S$513:$S$522&lt;=AY$3,1,0))*OFFSET('Gastos com Pessoal'!$H$512,1,MATCH(3&amp;$B52,'Gastos com Pessoal'!$I$532:$AJ$532&amp;'Gastos com Pessoal'!$I$512:$AJ$512,0),10,1)),0)+_xlfn.IFNA(SUM((AY$3&gt;='Gastos com Pessoal'!$E$513:$E$522)*(AY$3&lt;='Gastos com Pessoal'!$F$513:$F$522)*(IF('Gastos com Pessoal'!$Y$513:$Y$522&lt;=AY$3,1,0))*OFFSET('Gastos com Pessoal'!$H$512,1,MATCH(4&amp;$B52,'Gastos com Pessoal'!$I$532:$AJ$532&amp;'Gastos com Pessoal'!$I$512:$AJ$512,0),10,1)),0)+_xlfn.IFNA(SUM((AY$3&gt;='Gastos com Pessoal'!$E$513:$E$522)*(AY$3&lt;='Gastos com Pessoal'!$F$513:$F$522)*(IF('Gastos com Pessoal'!$AE$513:$AE$522&lt;=AY$3,1,0))*OFFSET('Gastos com Pessoal'!$H$512,1,MATCH(5&amp;$B52,'Gastos com Pessoal'!$I$532:$AJ$532&amp;'Gastos com Pessoal'!$I$512:$AJ$512,0),10,1)),0)</f>
        <v>0</v>
      </c>
      <c r="AZ52" s="188">
        <f t="array" aca="1" ref="AZ52" ca="1">_xlfn.IFNA(SUM((AZ$3&gt;='Gastos com Pessoal'!$E$7:$E$506)*(AZ$3&lt;='Gastos com Pessoal'!$F$7:$F$506)*OFFSET('Encargos e Benefícios'!$D$5,1,MATCH($B52,'Encargos e Benefícios'!$E$5:$AB$5,0),500,1)),0)+_xlfn.IFNA(SUM((AZ$3&gt;='Gastos com Pessoal'!$E$513:$E$522)*(AZ$3&lt;='Gastos com Pessoal'!$F$513:$F$522)*OFFSET('Encargos e Benefícios'!$D$511,1,MATCH($B52,'Encargos e Benefícios'!$E$511:$AB$511,0),10,1)),0)+_xlfn.IFNA(SUM((AZ$3&gt;='Gastos com Pessoal'!$E$7:$E$506)*(AZ$3&lt;='Gastos com Pessoal'!$F$7:$F$506)*(IF('Gastos com Pessoal'!$G$7:$G$506&lt;=AZ$3,1,0))*OFFSET('Gastos com Pessoal'!$H$6,1,MATCH(1&amp;$B52,'Gastos com Pessoal'!$I$532:$AJ$532&amp;'Gastos com Pessoal'!$I$6:$AJ$6,0),500,1)),0)+_xlfn.IFNA(SUM((AZ$3&gt;='Gastos com Pessoal'!$E$7:$E$506)*(AZ$3&lt;='Gastos com Pessoal'!$F$7:$F$506)*(IF('Gastos com Pessoal'!$M$7:$M$506&lt;=AZ$3,1,0))*OFFSET('Gastos com Pessoal'!$H$6,1,MATCH(2&amp;$B52,'Gastos com Pessoal'!$I$532:$AJ$532&amp;'Gastos com Pessoal'!$I$6:$AJ$6,0),500,1)),0)+_xlfn.IFNA(SUM((AZ$3&gt;='Gastos com Pessoal'!$E$7:$E$506)*(AZ$3&lt;='Gastos com Pessoal'!$F$7:$F$506)*(IF('Gastos com Pessoal'!$S$7:$S$506&lt;=AZ$3,1,0))*OFFSET('Gastos com Pessoal'!$H$6,1,MATCH(3&amp;$B52,'Gastos com Pessoal'!$I$532:$AJ$532&amp;'Gastos com Pessoal'!$I$6:$AJ$6,0),500,1)),0)+_xlfn.IFNA(SUM((AZ$3&gt;='Gastos com Pessoal'!$E$7:$E$506)*(AZ$3&lt;='Gastos com Pessoal'!$F$7:$F$506)*(IF('Gastos com Pessoal'!$Y$7:$Y$506&lt;=AZ$3,1,0))*OFFSET('Gastos com Pessoal'!$H$6,1,MATCH(4&amp;$B52,'Gastos com Pessoal'!$I$532:$AJ$532&amp;'Gastos com Pessoal'!$I$6:$AJ$6,0),500,1)),0)+_xlfn.IFNA(SUM((AZ$3&gt;='Gastos com Pessoal'!$E$7:$E$506)*(AZ$3&lt;='Gastos com Pessoal'!$F$7:$F$506)*(IF('Gastos com Pessoal'!$AE$7:$AE$506&lt;=AZ$3,1,0))*OFFSET('Gastos com Pessoal'!$H$6,1,MATCH(5&amp;$B52,'Gastos com Pessoal'!$I$532:$AJ$532&amp;'Gastos com Pessoal'!$I$6:$AJ$6,0),500,1)),0)+_xlfn.IFNA(SUM((AZ$3&gt;='Gastos com Pessoal'!$E$513:$E$522)*(AZ$3&lt;='Gastos com Pessoal'!$F$513:$F$522)*(IF('Gastos com Pessoal'!$G$513:$G$522&lt;=AZ$3,1,0))*OFFSET('Gastos com Pessoal'!$H$512,1,MATCH(1&amp;$B52,'Gastos com Pessoal'!$I$532:$AJ$532&amp;'Gastos com Pessoal'!$I$512:$AJ$512,0),10,1)),0)+_xlfn.IFNA(SUM((AZ$3&gt;='Gastos com Pessoal'!$E$513:$E$522)*(AZ$3&lt;='Gastos com Pessoal'!$F$513:$F$522)*(IF('Gastos com Pessoal'!$M$513:$M$522&lt;=AZ$3,1,0))*OFFSET('Gastos com Pessoal'!$H$512,1,MATCH(2&amp;$B52,'Gastos com Pessoal'!$I$532:$AJ$532&amp;'Gastos com Pessoal'!$I$512:$AJ$512,0),10,1)),0)+_xlfn.IFNA(SUM((AZ$3&gt;='Gastos com Pessoal'!$E$513:$E$522)*(AZ$3&lt;='Gastos com Pessoal'!$F$513:$F$522)*(IF('Gastos com Pessoal'!$S$513:$S$522&lt;=AZ$3,1,0))*OFFSET('Gastos com Pessoal'!$H$512,1,MATCH(3&amp;$B52,'Gastos com Pessoal'!$I$532:$AJ$532&amp;'Gastos com Pessoal'!$I$512:$AJ$512,0),10,1)),0)+_xlfn.IFNA(SUM((AZ$3&gt;='Gastos com Pessoal'!$E$513:$E$522)*(AZ$3&lt;='Gastos com Pessoal'!$F$513:$F$522)*(IF('Gastos com Pessoal'!$Y$513:$Y$522&lt;=AZ$3,1,0))*OFFSET('Gastos com Pessoal'!$H$512,1,MATCH(4&amp;$B52,'Gastos com Pessoal'!$I$532:$AJ$532&amp;'Gastos com Pessoal'!$I$512:$AJ$512,0),10,1)),0)+_xlfn.IFNA(SUM((AZ$3&gt;='Gastos com Pessoal'!$E$513:$E$522)*(AZ$3&lt;='Gastos com Pessoal'!$F$513:$F$522)*(IF('Gastos com Pessoal'!$AE$513:$AE$522&lt;=AZ$3,1,0))*OFFSET('Gastos com Pessoal'!$H$512,1,MATCH(5&amp;$B52,'Gastos com Pessoal'!$I$532:$AJ$532&amp;'Gastos com Pessoal'!$I$512:$AJ$512,0),10,1)),0)</f>
        <v>0</v>
      </c>
      <c r="BA52" s="188">
        <f t="array" aca="1" ref="BA52" ca="1">_xlfn.IFNA(SUM((BA$3&gt;='Gastos com Pessoal'!$E$7:$E$506)*(BA$3&lt;='Gastos com Pessoal'!$F$7:$F$506)*OFFSET('Encargos e Benefícios'!$D$5,1,MATCH($B52,'Encargos e Benefícios'!$E$5:$AB$5,0),500,1)),0)+_xlfn.IFNA(SUM((BA$3&gt;='Gastos com Pessoal'!$E$513:$E$522)*(BA$3&lt;='Gastos com Pessoal'!$F$513:$F$522)*OFFSET('Encargos e Benefícios'!$D$511,1,MATCH($B52,'Encargos e Benefícios'!$E$511:$AB$511,0),10,1)),0)+_xlfn.IFNA(SUM((BA$3&gt;='Gastos com Pessoal'!$E$7:$E$506)*(BA$3&lt;='Gastos com Pessoal'!$F$7:$F$506)*(IF('Gastos com Pessoal'!$G$7:$G$506&lt;=BA$3,1,0))*OFFSET('Gastos com Pessoal'!$H$6,1,MATCH(1&amp;$B52,'Gastos com Pessoal'!$I$532:$AJ$532&amp;'Gastos com Pessoal'!$I$6:$AJ$6,0),500,1)),0)+_xlfn.IFNA(SUM((BA$3&gt;='Gastos com Pessoal'!$E$7:$E$506)*(BA$3&lt;='Gastos com Pessoal'!$F$7:$F$506)*(IF('Gastos com Pessoal'!$M$7:$M$506&lt;=BA$3,1,0))*OFFSET('Gastos com Pessoal'!$H$6,1,MATCH(2&amp;$B52,'Gastos com Pessoal'!$I$532:$AJ$532&amp;'Gastos com Pessoal'!$I$6:$AJ$6,0),500,1)),0)+_xlfn.IFNA(SUM((BA$3&gt;='Gastos com Pessoal'!$E$7:$E$506)*(BA$3&lt;='Gastos com Pessoal'!$F$7:$F$506)*(IF('Gastos com Pessoal'!$S$7:$S$506&lt;=BA$3,1,0))*OFFSET('Gastos com Pessoal'!$H$6,1,MATCH(3&amp;$B52,'Gastos com Pessoal'!$I$532:$AJ$532&amp;'Gastos com Pessoal'!$I$6:$AJ$6,0),500,1)),0)+_xlfn.IFNA(SUM((BA$3&gt;='Gastos com Pessoal'!$E$7:$E$506)*(BA$3&lt;='Gastos com Pessoal'!$F$7:$F$506)*(IF('Gastos com Pessoal'!$Y$7:$Y$506&lt;=BA$3,1,0))*OFFSET('Gastos com Pessoal'!$H$6,1,MATCH(4&amp;$B52,'Gastos com Pessoal'!$I$532:$AJ$532&amp;'Gastos com Pessoal'!$I$6:$AJ$6,0),500,1)),0)+_xlfn.IFNA(SUM((BA$3&gt;='Gastos com Pessoal'!$E$7:$E$506)*(BA$3&lt;='Gastos com Pessoal'!$F$7:$F$506)*(IF('Gastos com Pessoal'!$AE$7:$AE$506&lt;=BA$3,1,0))*OFFSET('Gastos com Pessoal'!$H$6,1,MATCH(5&amp;$B52,'Gastos com Pessoal'!$I$532:$AJ$532&amp;'Gastos com Pessoal'!$I$6:$AJ$6,0),500,1)),0)+_xlfn.IFNA(SUM((BA$3&gt;='Gastos com Pessoal'!$E$513:$E$522)*(BA$3&lt;='Gastos com Pessoal'!$F$513:$F$522)*(IF('Gastos com Pessoal'!$G$513:$G$522&lt;=BA$3,1,0))*OFFSET('Gastos com Pessoal'!$H$512,1,MATCH(1&amp;$B52,'Gastos com Pessoal'!$I$532:$AJ$532&amp;'Gastos com Pessoal'!$I$512:$AJ$512,0),10,1)),0)+_xlfn.IFNA(SUM((BA$3&gt;='Gastos com Pessoal'!$E$513:$E$522)*(BA$3&lt;='Gastos com Pessoal'!$F$513:$F$522)*(IF('Gastos com Pessoal'!$M$513:$M$522&lt;=BA$3,1,0))*OFFSET('Gastos com Pessoal'!$H$512,1,MATCH(2&amp;$B52,'Gastos com Pessoal'!$I$532:$AJ$532&amp;'Gastos com Pessoal'!$I$512:$AJ$512,0),10,1)),0)+_xlfn.IFNA(SUM((BA$3&gt;='Gastos com Pessoal'!$E$513:$E$522)*(BA$3&lt;='Gastos com Pessoal'!$F$513:$F$522)*(IF('Gastos com Pessoal'!$S$513:$S$522&lt;=BA$3,1,0))*OFFSET('Gastos com Pessoal'!$H$512,1,MATCH(3&amp;$B52,'Gastos com Pessoal'!$I$532:$AJ$532&amp;'Gastos com Pessoal'!$I$512:$AJ$512,0),10,1)),0)+_xlfn.IFNA(SUM((BA$3&gt;='Gastos com Pessoal'!$E$513:$E$522)*(BA$3&lt;='Gastos com Pessoal'!$F$513:$F$522)*(IF('Gastos com Pessoal'!$Y$513:$Y$522&lt;=BA$3,1,0))*OFFSET('Gastos com Pessoal'!$H$512,1,MATCH(4&amp;$B52,'Gastos com Pessoal'!$I$532:$AJ$532&amp;'Gastos com Pessoal'!$I$512:$AJ$512,0),10,1)),0)+_xlfn.IFNA(SUM((BA$3&gt;='Gastos com Pessoal'!$E$513:$E$522)*(BA$3&lt;='Gastos com Pessoal'!$F$513:$F$522)*(IF('Gastos com Pessoal'!$AE$513:$AE$522&lt;=BA$3,1,0))*OFFSET('Gastos com Pessoal'!$H$512,1,MATCH(5&amp;$B52,'Gastos com Pessoal'!$I$532:$AJ$532&amp;'Gastos com Pessoal'!$I$512:$AJ$512,0),10,1)),0)</f>
        <v>0</v>
      </c>
      <c r="BB52" s="188">
        <f t="array" aca="1" ref="BB52" ca="1">_xlfn.IFNA(SUM((BB$3&gt;='Gastos com Pessoal'!$E$7:$E$506)*(BB$3&lt;='Gastos com Pessoal'!$F$7:$F$506)*OFFSET('Encargos e Benefícios'!$D$5,1,MATCH($B52,'Encargos e Benefícios'!$E$5:$AB$5,0),500,1)),0)+_xlfn.IFNA(SUM((BB$3&gt;='Gastos com Pessoal'!$E$513:$E$522)*(BB$3&lt;='Gastos com Pessoal'!$F$513:$F$522)*OFFSET('Encargos e Benefícios'!$D$511,1,MATCH($B52,'Encargos e Benefícios'!$E$511:$AB$511,0),10,1)),0)+_xlfn.IFNA(SUM((BB$3&gt;='Gastos com Pessoal'!$E$7:$E$506)*(BB$3&lt;='Gastos com Pessoal'!$F$7:$F$506)*(IF('Gastos com Pessoal'!$G$7:$G$506&lt;=BB$3,1,0))*OFFSET('Gastos com Pessoal'!$H$6,1,MATCH(1&amp;$B52,'Gastos com Pessoal'!$I$532:$AJ$532&amp;'Gastos com Pessoal'!$I$6:$AJ$6,0),500,1)),0)+_xlfn.IFNA(SUM((BB$3&gt;='Gastos com Pessoal'!$E$7:$E$506)*(BB$3&lt;='Gastos com Pessoal'!$F$7:$F$506)*(IF('Gastos com Pessoal'!$M$7:$M$506&lt;=BB$3,1,0))*OFFSET('Gastos com Pessoal'!$H$6,1,MATCH(2&amp;$B52,'Gastos com Pessoal'!$I$532:$AJ$532&amp;'Gastos com Pessoal'!$I$6:$AJ$6,0),500,1)),0)+_xlfn.IFNA(SUM((BB$3&gt;='Gastos com Pessoal'!$E$7:$E$506)*(BB$3&lt;='Gastos com Pessoal'!$F$7:$F$506)*(IF('Gastos com Pessoal'!$S$7:$S$506&lt;=BB$3,1,0))*OFFSET('Gastos com Pessoal'!$H$6,1,MATCH(3&amp;$B52,'Gastos com Pessoal'!$I$532:$AJ$532&amp;'Gastos com Pessoal'!$I$6:$AJ$6,0),500,1)),0)+_xlfn.IFNA(SUM((BB$3&gt;='Gastos com Pessoal'!$E$7:$E$506)*(BB$3&lt;='Gastos com Pessoal'!$F$7:$F$506)*(IF('Gastos com Pessoal'!$Y$7:$Y$506&lt;=BB$3,1,0))*OFFSET('Gastos com Pessoal'!$H$6,1,MATCH(4&amp;$B52,'Gastos com Pessoal'!$I$532:$AJ$532&amp;'Gastos com Pessoal'!$I$6:$AJ$6,0),500,1)),0)+_xlfn.IFNA(SUM((BB$3&gt;='Gastos com Pessoal'!$E$7:$E$506)*(BB$3&lt;='Gastos com Pessoal'!$F$7:$F$506)*(IF('Gastos com Pessoal'!$AE$7:$AE$506&lt;=BB$3,1,0))*OFFSET('Gastos com Pessoal'!$H$6,1,MATCH(5&amp;$B52,'Gastos com Pessoal'!$I$532:$AJ$532&amp;'Gastos com Pessoal'!$I$6:$AJ$6,0),500,1)),0)+_xlfn.IFNA(SUM((BB$3&gt;='Gastos com Pessoal'!$E$513:$E$522)*(BB$3&lt;='Gastos com Pessoal'!$F$513:$F$522)*(IF('Gastos com Pessoal'!$G$513:$G$522&lt;=BB$3,1,0))*OFFSET('Gastos com Pessoal'!$H$512,1,MATCH(1&amp;$B52,'Gastos com Pessoal'!$I$532:$AJ$532&amp;'Gastos com Pessoal'!$I$512:$AJ$512,0),10,1)),0)+_xlfn.IFNA(SUM((BB$3&gt;='Gastos com Pessoal'!$E$513:$E$522)*(BB$3&lt;='Gastos com Pessoal'!$F$513:$F$522)*(IF('Gastos com Pessoal'!$M$513:$M$522&lt;=BB$3,1,0))*OFFSET('Gastos com Pessoal'!$H$512,1,MATCH(2&amp;$B52,'Gastos com Pessoal'!$I$532:$AJ$532&amp;'Gastos com Pessoal'!$I$512:$AJ$512,0),10,1)),0)+_xlfn.IFNA(SUM((BB$3&gt;='Gastos com Pessoal'!$E$513:$E$522)*(BB$3&lt;='Gastos com Pessoal'!$F$513:$F$522)*(IF('Gastos com Pessoal'!$S$513:$S$522&lt;=BB$3,1,0))*OFFSET('Gastos com Pessoal'!$H$512,1,MATCH(3&amp;$B52,'Gastos com Pessoal'!$I$532:$AJ$532&amp;'Gastos com Pessoal'!$I$512:$AJ$512,0),10,1)),0)+_xlfn.IFNA(SUM((BB$3&gt;='Gastos com Pessoal'!$E$513:$E$522)*(BB$3&lt;='Gastos com Pessoal'!$F$513:$F$522)*(IF('Gastos com Pessoal'!$Y$513:$Y$522&lt;=BB$3,1,0))*OFFSET('Gastos com Pessoal'!$H$512,1,MATCH(4&amp;$B52,'Gastos com Pessoal'!$I$532:$AJ$532&amp;'Gastos com Pessoal'!$I$512:$AJ$512,0),10,1)),0)+_xlfn.IFNA(SUM((BB$3&gt;='Gastos com Pessoal'!$E$513:$E$522)*(BB$3&lt;='Gastos com Pessoal'!$F$513:$F$522)*(IF('Gastos com Pessoal'!$AE$513:$AE$522&lt;=BB$3,1,0))*OFFSET('Gastos com Pessoal'!$H$512,1,MATCH(5&amp;$B52,'Gastos com Pessoal'!$I$532:$AJ$532&amp;'Gastos com Pessoal'!$I$512:$AJ$512,0),10,1)),0)</f>
        <v>0</v>
      </c>
      <c r="BC52" s="188">
        <f t="array" aca="1" ref="BC52" ca="1">_xlfn.IFNA(SUM((BC$3&gt;='Gastos com Pessoal'!$E$7:$E$506)*(BC$3&lt;='Gastos com Pessoal'!$F$7:$F$506)*OFFSET('Encargos e Benefícios'!$D$5,1,MATCH($B52,'Encargos e Benefícios'!$E$5:$AB$5,0),500,1)),0)+_xlfn.IFNA(SUM((BC$3&gt;='Gastos com Pessoal'!$E$513:$E$522)*(BC$3&lt;='Gastos com Pessoal'!$F$513:$F$522)*OFFSET('Encargos e Benefícios'!$D$511,1,MATCH($B52,'Encargos e Benefícios'!$E$511:$AB$511,0),10,1)),0)+_xlfn.IFNA(SUM((BC$3&gt;='Gastos com Pessoal'!$E$7:$E$506)*(BC$3&lt;='Gastos com Pessoal'!$F$7:$F$506)*(IF('Gastos com Pessoal'!$G$7:$G$506&lt;=BC$3,1,0))*OFFSET('Gastos com Pessoal'!$H$6,1,MATCH(1&amp;$B52,'Gastos com Pessoal'!$I$532:$AJ$532&amp;'Gastos com Pessoal'!$I$6:$AJ$6,0),500,1)),0)+_xlfn.IFNA(SUM((BC$3&gt;='Gastos com Pessoal'!$E$7:$E$506)*(BC$3&lt;='Gastos com Pessoal'!$F$7:$F$506)*(IF('Gastos com Pessoal'!$M$7:$M$506&lt;=BC$3,1,0))*OFFSET('Gastos com Pessoal'!$H$6,1,MATCH(2&amp;$B52,'Gastos com Pessoal'!$I$532:$AJ$532&amp;'Gastos com Pessoal'!$I$6:$AJ$6,0),500,1)),0)+_xlfn.IFNA(SUM((BC$3&gt;='Gastos com Pessoal'!$E$7:$E$506)*(BC$3&lt;='Gastos com Pessoal'!$F$7:$F$506)*(IF('Gastos com Pessoal'!$S$7:$S$506&lt;=BC$3,1,0))*OFFSET('Gastos com Pessoal'!$H$6,1,MATCH(3&amp;$B52,'Gastos com Pessoal'!$I$532:$AJ$532&amp;'Gastos com Pessoal'!$I$6:$AJ$6,0),500,1)),0)+_xlfn.IFNA(SUM((BC$3&gt;='Gastos com Pessoal'!$E$7:$E$506)*(BC$3&lt;='Gastos com Pessoal'!$F$7:$F$506)*(IF('Gastos com Pessoal'!$Y$7:$Y$506&lt;=BC$3,1,0))*OFFSET('Gastos com Pessoal'!$H$6,1,MATCH(4&amp;$B52,'Gastos com Pessoal'!$I$532:$AJ$532&amp;'Gastos com Pessoal'!$I$6:$AJ$6,0),500,1)),0)+_xlfn.IFNA(SUM((BC$3&gt;='Gastos com Pessoal'!$E$7:$E$506)*(BC$3&lt;='Gastos com Pessoal'!$F$7:$F$506)*(IF('Gastos com Pessoal'!$AE$7:$AE$506&lt;=BC$3,1,0))*OFFSET('Gastos com Pessoal'!$H$6,1,MATCH(5&amp;$B52,'Gastos com Pessoal'!$I$532:$AJ$532&amp;'Gastos com Pessoal'!$I$6:$AJ$6,0),500,1)),0)+_xlfn.IFNA(SUM((BC$3&gt;='Gastos com Pessoal'!$E$513:$E$522)*(BC$3&lt;='Gastos com Pessoal'!$F$513:$F$522)*(IF('Gastos com Pessoal'!$G$513:$G$522&lt;=BC$3,1,0))*OFFSET('Gastos com Pessoal'!$H$512,1,MATCH(1&amp;$B52,'Gastos com Pessoal'!$I$532:$AJ$532&amp;'Gastos com Pessoal'!$I$512:$AJ$512,0),10,1)),0)+_xlfn.IFNA(SUM((BC$3&gt;='Gastos com Pessoal'!$E$513:$E$522)*(BC$3&lt;='Gastos com Pessoal'!$F$513:$F$522)*(IF('Gastos com Pessoal'!$M$513:$M$522&lt;=BC$3,1,0))*OFFSET('Gastos com Pessoal'!$H$512,1,MATCH(2&amp;$B52,'Gastos com Pessoal'!$I$532:$AJ$532&amp;'Gastos com Pessoal'!$I$512:$AJ$512,0),10,1)),0)+_xlfn.IFNA(SUM((BC$3&gt;='Gastos com Pessoal'!$E$513:$E$522)*(BC$3&lt;='Gastos com Pessoal'!$F$513:$F$522)*(IF('Gastos com Pessoal'!$S$513:$S$522&lt;=BC$3,1,0))*OFFSET('Gastos com Pessoal'!$H$512,1,MATCH(3&amp;$B52,'Gastos com Pessoal'!$I$532:$AJ$532&amp;'Gastos com Pessoal'!$I$512:$AJ$512,0),10,1)),0)+_xlfn.IFNA(SUM((BC$3&gt;='Gastos com Pessoal'!$E$513:$E$522)*(BC$3&lt;='Gastos com Pessoal'!$F$513:$F$522)*(IF('Gastos com Pessoal'!$Y$513:$Y$522&lt;=BC$3,1,0))*OFFSET('Gastos com Pessoal'!$H$512,1,MATCH(4&amp;$B52,'Gastos com Pessoal'!$I$532:$AJ$532&amp;'Gastos com Pessoal'!$I$512:$AJ$512,0),10,1)),0)+_xlfn.IFNA(SUM((BC$3&gt;='Gastos com Pessoal'!$E$513:$E$522)*(BC$3&lt;='Gastos com Pessoal'!$F$513:$F$522)*(IF('Gastos com Pessoal'!$AE$513:$AE$522&lt;=BC$3,1,0))*OFFSET('Gastos com Pessoal'!$H$512,1,MATCH(5&amp;$B52,'Gastos com Pessoal'!$I$532:$AJ$532&amp;'Gastos com Pessoal'!$I$512:$AJ$512,0),10,1)),0)</f>
        <v>0</v>
      </c>
      <c r="BD52" s="188">
        <f t="array" aca="1" ref="BD52" ca="1">_xlfn.IFNA(SUM((BD$3&gt;='Gastos com Pessoal'!$E$7:$E$506)*(BD$3&lt;='Gastos com Pessoal'!$F$7:$F$506)*OFFSET('Encargos e Benefícios'!$D$5,1,MATCH($B52,'Encargos e Benefícios'!$E$5:$AB$5,0),500,1)),0)+_xlfn.IFNA(SUM((BD$3&gt;='Gastos com Pessoal'!$E$513:$E$522)*(BD$3&lt;='Gastos com Pessoal'!$F$513:$F$522)*OFFSET('Encargos e Benefícios'!$D$511,1,MATCH($B52,'Encargos e Benefícios'!$E$511:$AB$511,0),10,1)),0)+_xlfn.IFNA(SUM((BD$3&gt;='Gastos com Pessoal'!$E$7:$E$506)*(BD$3&lt;='Gastos com Pessoal'!$F$7:$F$506)*(IF('Gastos com Pessoal'!$G$7:$G$506&lt;=BD$3,1,0))*OFFSET('Gastos com Pessoal'!$H$6,1,MATCH(1&amp;$B52,'Gastos com Pessoal'!$I$532:$AJ$532&amp;'Gastos com Pessoal'!$I$6:$AJ$6,0),500,1)),0)+_xlfn.IFNA(SUM((BD$3&gt;='Gastos com Pessoal'!$E$7:$E$506)*(BD$3&lt;='Gastos com Pessoal'!$F$7:$F$506)*(IF('Gastos com Pessoal'!$M$7:$M$506&lt;=BD$3,1,0))*OFFSET('Gastos com Pessoal'!$H$6,1,MATCH(2&amp;$B52,'Gastos com Pessoal'!$I$532:$AJ$532&amp;'Gastos com Pessoal'!$I$6:$AJ$6,0),500,1)),0)+_xlfn.IFNA(SUM((BD$3&gt;='Gastos com Pessoal'!$E$7:$E$506)*(BD$3&lt;='Gastos com Pessoal'!$F$7:$F$506)*(IF('Gastos com Pessoal'!$S$7:$S$506&lt;=BD$3,1,0))*OFFSET('Gastos com Pessoal'!$H$6,1,MATCH(3&amp;$B52,'Gastos com Pessoal'!$I$532:$AJ$532&amp;'Gastos com Pessoal'!$I$6:$AJ$6,0),500,1)),0)+_xlfn.IFNA(SUM((BD$3&gt;='Gastos com Pessoal'!$E$7:$E$506)*(BD$3&lt;='Gastos com Pessoal'!$F$7:$F$506)*(IF('Gastos com Pessoal'!$Y$7:$Y$506&lt;=BD$3,1,0))*OFFSET('Gastos com Pessoal'!$H$6,1,MATCH(4&amp;$B52,'Gastos com Pessoal'!$I$532:$AJ$532&amp;'Gastos com Pessoal'!$I$6:$AJ$6,0),500,1)),0)+_xlfn.IFNA(SUM((BD$3&gt;='Gastos com Pessoal'!$E$7:$E$506)*(BD$3&lt;='Gastos com Pessoal'!$F$7:$F$506)*(IF('Gastos com Pessoal'!$AE$7:$AE$506&lt;=BD$3,1,0))*OFFSET('Gastos com Pessoal'!$H$6,1,MATCH(5&amp;$B52,'Gastos com Pessoal'!$I$532:$AJ$532&amp;'Gastos com Pessoal'!$I$6:$AJ$6,0),500,1)),0)+_xlfn.IFNA(SUM((BD$3&gt;='Gastos com Pessoal'!$E$513:$E$522)*(BD$3&lt;='Gastos com Pessoal'!$F$513:$F$522)*(IF('Gastos com Pessoal'!$G$513:$G$522&lt;=BD$3,1,0))*OFFSET('Gastos com Pessoal'!$H$512,1,MATCH(1&amp;$B52,'Gastos com Pessoal'!$I$532:$AJ$532&amp;'Gastos com Pessoal'!$I$512:$AJ$512,0),10,1)),0)+_xlfn.IFNA(SUM((BD$3&gt;='Gastos com Pessoal'!$E$513:$E$522)*(BD$3&lt;='Gastos com Pessoal'!$F$513:$F$522)*(IF('Gastos com Pessoal'!$M$513:$M$522&lt;=BD$3,1,0))*OFFSET('Gastos com Pessoal'!$H$512,1,MATCH(2&amp;$B52,'Gastos com Pessoal'!$I$532:$AJ$532&amp;'Gastos com Pessoal'!$I$512:$AJ$512,0),10,1)),0)+_xlfn.IFNA(SUM((BD$3&gt;='Gastos com Pessoal'!$E$513:$E$522)*(BD$3&lt;='Gastos com Pessoal'!$F$513:$F$522)*(IF('Gastos com Pessoal'!$S$513:$S$522&lt;=BD$3,1,0))*OFFSET('Gastos com Pessoal'!$H$512,1,MATCH(3&amp;$B52,'Gastos com Pessoal'!$I$532:$AJ$532&amp;'Gastos com Pessoal'!$I$512:$AJ$512,0),10,1)),0)+_xlfn.IFNA(SUM((BD$3&gt;='Gastos com Pessoal'!$E$513:$E$522)*(BD$3&lt;='Gastos com Pessoal'!$F$513:$F$522)*(IF('Gastos com Pessoal'!$Y$513:$Y$522&lt;=BD$3,1,0))*OFFSET('Gastos com Pessoal'!$H$512,1,MATCH(4&amp;$B52,'Gastos com Pessoal'!$I$532:$AJ$532&amp;'Gastos com Pessoal'!$I$512:$AJ$512,0),10,1)),0)+_xlfn.IFNA(SUM((BD$3&gt;='Gastos com Pessoal'!$E$513:$E$522)*(BD$3&lt;='Gastos com Pessoal'!$F$513:$F$522)*(IF('Gastos com Pessoal'!$AE$513:$AE$522&lt;=BD$3,1,0))*OFFSET('Gastos com Pessoal'!$H$512,1,MATCH(5&amp;$B52,'Gastos com Pessoal'!$I$532:$AJ$532&amp;'Gastos com Pessoal'!$I$512:$AJ$512,0),10,1)),0)</f>
        <v>0</v>
      </c>
      <c r="BE52" s="188">
        <f t="array" aca="1" ref="BE52" ca="1">_xlfn.IFNA(SUM((BE$3&gt;='Gastos com Pessoal'!$E$7:$E$506)*(BE$3&lt;='Gastos com Pessoal'!$F$7:$F$506)*OFFSET('Encargos e Benefícios'!$D$5,1,MATCH($B52,'Encargos e Benefícios'!$E$5:$AB$5,0),500,1)),0)+_xlfn.IFNA(SUM((BE$3&gt;='Gastos com Pessoal'!$E$513:$E$522)*(BE$3&lt;='Gastos com Pessoal'!$F$513:$F$522)*OFFSET('Encargos e Benefícios'!$D$511,1,MATCH($B52,'Encargos e Benefícios'!$E$511:$AB$511,0),10,1)),0)+_xlfn.IFNA(SUM((BE$3&gt;='Gastos com Pessoal'!$E$7:$E$506)*(BE$3&lt;='Gastos com Pessoal'!$F$7:$F$506)*(IF('Gastos com Pessoal'!$G$7:$G$506&lt;=BE$3,1,0))*OFFSET('Gastos com Pessoal'!$H$6,1,MATCH(1&amp;$B52,'Gastos com Pessoal'!$I$532:$AJ$532&amp;'Gastos com Pessoal'!$I$6:$AJ$6,0),500,1)),0)+_xlfn.IFNA(SUM((BE$3&gt;='Gastos com Pessoal'!$E$7:$E$506)*(BE$3&lt;='Gastos com Pessoal'!$F$7:$F$506)*(IF('Gastos com Pessoal'!$M$7:$M$506&lt;=BE$3,1,0))*OFFSET('Gastos com Pessoal'!$H$6,1,MATCH(2&amp;$B52,'Gastos com Pessoal'!$I$532:$AJ$532&amp;'Gastos com Pessoal'!$I$6:$AJ$6,0),500,1)),0)+_xlfn.IFNA(SUM((BE$3&gt;='Gastos com Pessoal'!$E$7:$E$506)*(BE$3&lt;='Gastos com Pessoal'!$F$7:$F$506)*(IF('Gastos com Pessoal'!$S$7:$S$506&lt;=BE$3,1,0))*OFFSET('Gastos com Pessoal'!$H$6,1,MATCH(3&amp;$B52,'Gastos com Pessoal'!$I$532:$AJ$532&amp;'Gastos com Pessoal'!$I$6:$AJ$6,0),500,1)),0)+_xlfn.IFNA(SUM((BE$3&gt;='Gastos com Pessoal'!$E$7:$E$506)*(BE$3&lt;='Gastos com Pessoal'!$F$7:$F$506)*(IF('Gastos com Pessoal'!$Y$7:$Y$506&lt;=BE$3,1,0))*OFFSET('Gastos com Pessoal'!$H$6,1,MATCH(4&amp;$B52,'Gastos com Pessoal'!$I$532:$AJ$532&amp;'Gastos com Pessoal'!$I$6:$AJ$6,0),500,1)),0)+_xlfn.IFNA(SUM((BE$3&gt;='Gastos com Pessoal'!$E$7:$E$506)*(BE$3&lt;='Gastos com Pessoal'!$F$7:$F$506)*(IF('Gastos com Pessoal'!$AE$7:$AE$506&lt;=BE$3,1,0))*OFFSET('Gastos com Pessoal'!$H$6,1,MATCH(5&amp;$B52,'Gastos com Pessoal'!$I$532:$AJ$532&amp;'Gastos com Pessoal'!$I$6:$AJ$6,0),500,1)),0)+_xlfn.IFNA(SUM((BE$3&gt;='Gastos com Pessoal'!$E$513:$E$522)*(BE$3&lt;='Gastos com Pessoal'!$F$513:$F$522)*(IF('Gastos com Pessoal'!$G$513:$G$522&lt;=BE$3,1,0))*OFFSET('Gastos com Pessoal'!$H$512,1,MATCH(1&amp;$B52,'Gastos com Pessoal'!$I$532:$AJ$532&amp;'Gastos com Pessoal'!$I$512:$AJ$512,0),10,1)),0)+_xlfn.IFNA(SUM((BE$3&gt;='Gastos com Pessoal'!$E$513:$E$522)*(BE$3&lt;='Gastos com Pessoal'!$F$513:$F$522)*(IF('Gastos com Pessoal'!$M$513:$M$522&lt;=BE$3,1,0))*OFFSET('Gastos com Pessoal'!$H$512,1,MATCH(2&amp;$B52,'Gastos com Pessoal'!$I$532:$AJ$532&amp;'Gastos com Pessoal'!$I$512:$AJ$512,0),10,1)),0)+_xlfn.IFNA(SUM((BE$3&gt;='Gastos com Pessoal'!$E$513:$E$522)*(BE$3&lt;='Gastos com Pessoal'!$F$513:$F$522)*(IF('Gastos com Pessoal'!$S$513:$S$522&lt;=BE$3,1,0))*OFFSET('Gastos com Pessoal'!$H$512,1,MATCH(3&amp;$B52,'Gastos com Pessoal'!$I$532:$AJ$532&amp;'Gastos com Pessoal'!$I$512:$AJ$512,0),10,1)),0)+_xlfn.IFNA(SUM((BE$3&gt;='Gastos com Pessoal'!$E$513:$E$522)*(BE$3&lt;='Gastos com Pessoal'!$F$513:$F$522)*(IF('Gastos com Pessoal'!$Y$513:$Y$522&lt;=BE$3,1,0))*OFFSET('Gastos com Pessoal'!$H$512,1,MATCH(4&amp;$B52,'Gastos com Pessoal'!$I$532:$AJ$532&amp;'Gastos com Pessoal'!$I$512:$AJ$512,0),10,1)),0)+_xlfn.IFNA(SUM((BE$3&gt;='Gastos com Pessoal'!$E$513:$E$522)*(BE$3&lt;='Gastos com Pessoal'!$F$513:$F$522)*(IF('Gastos com Pessoal'!$AE$513:$AE$522&lt;=BE$3,1,0))*OFFSET('Gastos com Pessoal'!$H$512,1,MATCH(5&amp;$B52,'Gastos com Pessoal'!$I$532:$AJ$532&amp;'Gastos com Pessoal'!$I$512:$AJ$512,0),10,1)),0)</f>
        <v>0</v>
      </c>
      <c r="BF52" s="188">
        <f t="array" aca="1" ref="BF52" ca="1">_xlfn.IFNA(SUM((BF$3&gt;='Gastos com Pessoal'!$E$7:$E$506)*(BF$3&lt;='Gastos com Pessoal'!$F$7:$F$506)*OFFSET('Encargos e Benefícios'!$D$5,1,MATCH($B52,'Encargos e Benefícios'!$E$5:$AB$5,0),500,1)),0)+_xlfn.IFNA(SUM((BF$3&gt;='Gastos com Pessoal'!$E$513:$E$522)*(BF$3&lt;='Gastos com Pessoal'!$F$513:$F$522)*OFFSET('Encargos e Benefícios'!$D$511,1,MATCH($B52,'Encargos e Benefícios'!$E$511:$AB$511,0),10,1)),0)+_xlfn.IFNA(SUM((BF$3&gt;='Gastos com Pessoal'!$E$7:$E$506)*(BF$3&lt;='Gastos com Pessoal'!$F$7:$F$506)*(IF('Gastos com Pessoal'!$G$7:$G$506&lt;=BF$3,1,0))*OFFSET('Gastos com Pessoal'!$H$6,1,MATCH(1&amp;$B52,'Gastos com Pessoal'!$I$532:$AJ$532&amp;'Gastos com Pessoal'!$I$6:$AJ$6,0),500,1)),0)+_xlfn.IFNA(SUM((BF$3&gt;='Gastos com Pessoal'!$E$7:$E$506)*(BF$3&lt;='Gastos com Pessoal'!$F$7:$F$506)*(IF('Gastos com Pessoal'!$M$7:$M$506&lt;=BF$3,1,0))*OFFSET('Gastos com Pessoal'!$H$6,1,MATCH(2&amp;$B52,'Gastos com Pessoal'!$I$532:$AJ$532&amp;'Gastos com Pessoal'!$I$6:$AJ$6,0),500,1)),0)+_xlfn.IFNA(SUM((BF$3&gt;='Gastos com Pessoal'!$E$7:$E$506)*(BF$3&lt;='Gastos com Pessoal'!$F$7:$F$506)*(IF('Gastos com Pessoal'!$S$7:$S$506&lt;=BF$3,1,0))*OFFSET('Gastos com Pessoal'!$H$6,1,MATCH(3&amp;$B52,'Gastos com Pessoal'!$I$532:$AJ$532&amp;'Gastos com Pessoal'!$I$6:$AJ$6,0),500,1)),0)+_xlfn.IFNA(SUM((BF$3&gt;='Gastos com Pessoal'!$E$7:$E$506)*(BF$3&lt;='Gastos com Pessoal'!$F$7:$F$506)*(IF('Gastos com Pessoal'!$Y$7:$Y$506&lt;=BF$3,1,0))*OFFSET('Gastos com Pessoal'!$H$6,1,MATCH(4&amp;$B52,'Gastos com Pessoal'!$I$532:$AJ$532&amp;'Gastos com Pessoal'!$I$6:$AJ$6,0),500,1)),0)+_xlfn.IFNA(SUM((BF$3&gt;='Gastos com Pessoal'!$E$7:$E$506)*(BF$3&lt;='Gastos com Pessoal'!$F$7:$F$506)*(IF('Gastos com Pessoal'!$AE$7:$AE$506&lt;=BF$3,1,0))*OFFSET('Gastos com Pessoal'!$H$6,1,MATCH(5&amp;$B52,'Gastos com Pessoal'!$I$532:$AJ$532&amp;'Gastos com Pessoal'!$I$6:$AJ$6,0),500,1)),0)+_xlfn.IFNA(SUM((BF$3&gt;='Gastos com Pessoal'!$E$513:$E$522)*(BF$3&lt;='Gastos com Pessoal'!$F$513:$F$522)*(IF('Gastos com Pessoal'!$G$513:$G$522&lt;=BF$3,1,0))*OFFSET('Gastos com Pessoal'!$H$512,1,MATCH(1&amp;$B52,'Gastos com Pessoal'!$I$532:$AJ$532&amp;'Gastos com Pessoal'!$I$512:$AJ$512,0),10,1)),0)+_xlfn.IFNA(SUM((BF$3&gt;='Gastos com Pessoal'!$E$513:$E$522)*(BF$3&lt;='Gastos com Pessoal'!$F$513:$F$522)*(IF('Gastos com Pessoal'!$M$513:$M$522&lt;=BF$3,1,0))*OFFSET('Gastos com Pessoal'!$H$512,1,MATCH(2&amp;$B52,'Gastos com Pessoal'!$I$532:$AJ$532&amp;'Gastos com Pessoal'!$I$512:$AJ$512,0),10,1)),0)+_xlfn.IFNA(SUM((BF$3&gt;='Gastos com Pessoal'!$E$513:$E$522)*(BF$3&lt;='Gastos com Pessoal'!$F$513:$F$522)*(IF('Gastos com Pessoal'!$S$513:$S$522&lt;=BF$3,1,0))*OFFSET('Gastos com Pessoal'!$H$512,1,MATCH(3&amp;$B52,'Gastos com Pessoal'!$I$532:$AJ$532&amp;'Gastos com Pessoal'!$I$512:$AJ$512,0),10,1)),0)+_xlfn.IFNA(SUM((BF$3&gt;='Gastos com Pessoal'!$E$513:$E$522)*(BF$3&lt;='Gastos com Pessoal'!$F$513:$F$522)*(IF('Gastos com Pessoal'!$Y$513:$Y$522&lt;=BF$3,1,0))*OFFSET('Gastos com Pessoal'!$H$512,1,MATCH(4&amp;$B52,'Gastos com Pessoal'!$I$532:$AJ$532&amp;'Gastos com Pessoal'!$I$512:$AJ$512,0),10,1)),0)+_xlfn.IFNA(SUM((BF$3&gt;='Gastos com Pessoal'!$E$513:$E$522)*(BF$3&lt;='Gastos com Pessoal'!$F$513:$F$522)*(IF('Gastos com Pessoal'!$AE$513:$AE$522&lt;=BF$3,1,0))*OFFSET('Gastos com Pessoal'!$H$512,1,MATCH(5&amp;$B52,'Gastos com Pessoal'!$I$532:$AJ$532&amp;'Gastos com Pessoal'!$I$512:$AJ$512,0),10,1)),0)</f>
        <v>0</v>
      </c>
      <c r="BG52" s="188">
        <f t="array" aca="1" ref="BG52" ca="1">_xlfn.IFNA(SUM((BG$3&gt;='Gastos com Pessoal'!$E$7:$E$506)*(BG$3&lt;='Gastos com Pessoal'!$F$7:$F$506)*OFFSET('Encargos e Benefícios'!$D$5,1,MATCH($B52,'Encargos e Benefícios'!$E$5:$AB$5,0),500,1)),0)+_xlfn.IFNA(SUM((BG$3&gt;='Gastos com Pessoal'!$E$513:$E$522)*(BG$3&lt;='Gastos com Pessoal'!$F$513:$F$522)*OFFSET('Encargos e Benefícios'!$D$511,1,MATCH($B52,'Encargos e Benefícios'!$E$511:$AB$511,0),10,1)),0)+_xlfn.IFNA(SUM((BG$3&gt;='Gastos com Pessoal'!$E$7:$E$506)*(BG$3&lt;='Gastos com Pessoal'!$F$7:$F$506)*(IF('Gastos com Pessoal'!$G$7:$G$506&lt;=BG$3,1,0))*OFFSET('Gastos com Pessoal'!$H$6,1,MATCH(1&amp;$B52,'Gastos com Pessoal'!$I$532:$AJ$532&amp;'Gastos com Pessoal'!$I$6:$AJ$6,0),500,1)),0)+_xlfn.IFNA(SUM((BG$3&gt;='Gastos com Pessoal'!$E$7:$E$506)*(BG$3&lt;='Gastos com Pessoal'!$F$7:$F$506)*(IF('Gastos com Pessoal'!$M$7:$M$506&lt;=BG$3,1,0))*OFFSET('Gastos com Pessoal'!$H$6,1,MATCH(2&amp;$B52,'Gastos com Pessoal'!$I$532:$AJ$532&amp;'Gastos com Pessoal'!$I$6:$AJ$6,0),500,1)),0)+_xlfn.IFNA(SUM((BG$3&gt;='Gastos com Pessoal'!$E$7:$E$506)*(BG$3&lt;='Gastos com Pessoal'!$F$7:$F$506)*(IF('Gastos com Pessoal'!$S$7:$S$506&lt;=BG$3,1,0))*OFFSET('Gastos com Pessoal'!$H$6,1,MATCH(3&amp;$B52,'Gastos com Pessoal'!$I$532:$AJ$532&amp;'Gastos com Pessoal'!$I$6:$AJ$6,0),500,1)),0)+_xlfn.IFNA(SUM((BG$3&gt;='Gastos com Pessoal'!$E$7:$E$506)*(BG$3&lt;='Gastos com Pessoal'!$F$7:$F$506)*(IF('Gastos com Pessoal'!$Y$7:$Y$506&lt;=BG$3,1,0))*OFFSET('Gastos com Pessoal'!$H$6,1,MATCH(4&amp;$B52,'Gastos com Pessoal'!$I$532:$AJ$532&amp;'Gastos com Pessoal'!$I$6:$AJ$6,0),500,1)),0)+_xlfn.IFNA(SUM((BG$3&gt;='Gastos com Pessoal'!$E$7:$E$506)*(BG$3&lt;='Gastos com Pessoal'!$F$7:$F$506)*(IF('Gastos com Pessoal'!$AE$7:$AE$506&lt;=BG$3,1,0))*OFFSET('Gastos com Pessoal'!$H$6,1,MATCH(5&amp;$B52,'Gastos com Pessoal'!$I$532:$AJ$532&amp;'Gastos com Pessoal'!$I$6:$AJ$6,0),500,1)),0)+_xlfn.IFNA(SUM((BG$3&gt;='Gastos com Pessoal'!$E$513:$E$522)*(BG$3&lt;='Gastos com Pessoal'!$F$513:$F$522)*(IF('Gastos com Pessoal'!$G$513:$G$522&lt;=BG$3,1,0))*OFFSET('Gastos com Pessoal'!$H$512,1,MATCH(1&amp;$B52,'Gastos com Pessoal'!$I$532:$AJ$532&amp;'Gastos com Pessoal'!$I$512:$AJ$512,0),10,1)),0)+_xlfn.IFNA(SUM((BG$3&gt;='Gastos com Pessoal'!$E$513:$E$522)*(BG$3&lt;='Gastos com Pessoal'!$F$513:$F$522)*(IF('Gastos com Pessoal'!$M$513:$M$522&lt;=BG$3,1,0))*OFFSET('Gastos com Pessoal'!$H$512,1,MATCH(2&amp;$B52,'Gastos com Pessoal'!$I$532:$AJ$532&amp;'Gastos com Pessoal'!$I$512:$AJ$512,0),10,1)),0)+_xlfn.IFNA(SUM((BG$3&gt;='Gastos com Pessoal'!$E$513:$E$522)*(BG$3&lt;='Gastos com Pessoal'!$F$513:$F$522)*(IF('Gastos com Pessoal'!$S$513:$S$522&lt;=BG$3,1,0))*OFFSET('Gastos com Pessoal'!$H$512,1,MATCH(3&amp;$B52,'Gastos com Pessoal'!$I$532:$AJ$532&amp;'Gastos com Pessoal'!$I$512:$AJ$512,0),10,1)),0)+_xlfn.IFNA(SUM((BG$3&gt;='Gastos com Pessoal'!$E$513:$E$522)*(BG$3&lt;='Gastos com Pessoal'!$F$513:$F$522)*(IF('Gastos com Pessoal'!$Y$513:$Y$522&lt;=BG$3,1,0))*OFFSET('Gastos com Pessoal'!$H$512,1,MATCH(4&amp;$B52,'Gastos com Pessoal'!$I$532:$AJ$532&amp;'Gastos com Pessoal'!$I$512:$AJ$512,0),10,1)),0)+_xlfn.IFNA(SUM((BG$3&gt;='Gastos com Pessoal'!$E$513:$E$522)*(BG$3&lt;='Gastos com Pessoal'!$F$513:$F$522)*(IF('Gastos com Pessoal'!$AE$513:$AE$522&lt;=BG$3,1,0))*OFFSET('Gastos com Pessoal'!$H$512,1,MATCH(5&amp;$B52,'Gastos com Pessoal'!$I$532:$AJ$532&amp;'Gastos com Pessoal'!$I$512:$AJ$512,0),10,1)),0)</f>
        <v>0</v>
      </c>
      <c r="BH52" s="188">
        <f t="array" aca="1" ref="BH52" ca="1">_xlfn.IFNA(SUM((BH$3&gt;='Gastos com Pessoal'!$E$7:$E$506)*(BH$3&lt;='Gastos com Pessoal'!$F$7:$F$506)*OFFSET('Encargos e Benefícios'!$D$5,1,MATCH($B52,'Encargos e Benefícios'!$E$5:$AB$5,0),500,1)),0)+_xlfn.IFNA(SUM((BH$3&gt;='Gastos com Pessoal'!$E$513:$E$522)*(BH$3&lt;='Gastos com Pessoal'!$F$513:$F$522)*OFFSET('Encargos e Benefícios'!$D$511,1,MATCH($B52,'Encargos e Benefícios'!$E$511:$AB$511,0),10,1)),0)+_xlfn.IFNA(SUM((BH$3&gt;='Gastos com Pessoal'!$E$7:$E$506)*(BH$3&lt;='Gastos com Pessoal'!$F$7:$F$506)*(IF('Gastos com Pessoal'!$G$7:$G$506&lt;=BH$3,1,0))*OFFSET('Gastos com Pessoal'!$H$6,1,MATCH(1&amp;$B52,'Gastos com Pessoal'!$I$532:$AJ$532&amp;'Gastos com Pessoal'!$I$6:$AJ$6,0),500,1)),0)+_xlfn.IFNA(SUM((BH$3&gt;='Gastos com Pessoal'!$E$7:$E$506)*(BH$3&lt;='Gastos com Pessoal'!$F$7:$F$506)*(IF('Gastos com Pessoal'!$M$7:$M$506&lt;=BH$3,1,0))*OFFSET('Gastos com Pessoal'!$H$6,1,MATCH(2&amp;$B52,'Gastos com Pessoal'!$I$532:$AJ$532&amp;'Gastos com Pessoal'!$I$6:$AJ$6,0),500,1)),0)+_xlfn.IFNA(SUM((BH$3&gt;='Gastos com Pessoal'!$E$7:$E$506)*(BH$3&lt;='Gastos com Pessoal'!$F$7:$F$506)*(IF('Gastos com Pessoal'!$S$7:$S$506&lt;=BH$3,1,0))*OFFSET('Gastos com Pessoal'!$H$6,1,MATCH(3&amp;$B52,'Gastos com Pessoal'!$I$532:$AJ$532&amp;'Gastos com Pessoal'!$I$6:$AJ$6,0),500,1)),0)+_xlfn.IFNA(SUM((BH$3&gt;='Gastos com Pessoal'!$E$7:$E$506)*(BH$3&lt;='Gastos com Pessoal'!$F$7:$F$506)*(IF('Gastos com Pessoal'!$Y$7:$Y$506&lt;=BH$3,1,0))*OFFSET('Gastos com Pessoal'!$H$6,1,MATCH(4&amp;$B52,'Gastos com Pessoal'!$I$532:$AJ$532&amp;'Gastos com Pessoal'!$I$6:$AJ$6,0),500,1)),0)+_xlfn.IFNA(SUM((BH$3&gt;='Gastos com Pessoal'!$E$7:$E$506)*(BH$3&lt;='Gastos com Pessoal'!$F$7:$F$506)*(IF('Gastos com Pessoal'!$AE$7:$AE$506&lt;=BH$3,1,0))*OFFSET('Gastos com Pessoal'!$H$6,1,MATCH(5&amp;$B52,'Gastos com Pessoal'!$I$532:$AJ$532&amp;'Gastos com Pessoal'!$I$6:$AJ$6,0),500,1)),0)+_xlfn.IFNA(SUM((BH$3&gt;='Gastos com Pessoal'!$E$513:$E$522)*(BH$3&lt;='Gastos com Pessoal'!$F$513:$F$522)*(IF('Gastos com Pessoal'!$G$513:$G$522&lt;=BH$3,1,0))*OFFSET('Gastos com Pessoal'!$H$512,1,MATCH(1&amp;$B52,'Gastos com Pessoal'!$I$532:$AJ$532&amp;'Gastos com Pessoal'!$I$512:$AJ$512,0),10,1)),0)+_xlfn.IFNA(SUM((BH$3&gt;='Gastos com Pessoal'!$E$513:$E$522)*(BH$3&lt;='Gastos com Pessoal'!$F$513:$F$522)*(IF('Gastos com Pessoal'!$M$513:$M$522&lt;=BH$3,1,0))*OFFSET('Gastos com Pessoal'!$H$512,1,MATCH(2&amp;$B52,'Gastos com Pessoal'!$I$532:$AJ$532&amp;'Gastos com Pessoal'!$I$512:$AJ$512,0),10,1)),0)+_xlfn.IFNA(SUM((BH$3&gt;='Gastos com Pessoal'!$E$513:$E$522)*(BH$3&lt;='Gastos com Pessoal'!$F$513:$F$522)*(IF('Gastos com Pessoal'!$S$513:$S$522&lt;=BH$3,1,0))*OFFSET('Gastos com Pessoal'!$H$512,1,MATCH(3&amp;$B52,'Gastos com Pessoal'!$I$532:$AJ$532&amp;'Gastos com Pessoal'!$I$512:$AJ$512,0),10,1)),0)+_xlfn.IFNA(SUM((BH$3&gt;='Gastos com Pessoal'!$E$513:$E$522)*(BH$3&lt;='Gastos com Pessoal'!$F$513:$F$522)*(IF('Gastos com Pessoal'!$Y$513:$Y$522&lt;=BH$3,1,0))*OFFSET('Gastos com Pessoal'!$H$512,1,MATCH(4&amp;$B52,'Gastos com Pessoal'!$I$532:$AJ$532&amp;'Gastos com Pessoal'!$I$512:$AJ$512,0),10,1)),0)+_xlfn.IFNA(SUM((BH$3&gt;='Gastos com Pessoal'!$E$513:$E$522)*(BH$3&lt;='Gastos com Pessoal'!$F$513:$F$522)*(IF('Gastos com Pessoal'!$AE$513:$AE$522&lt;=BH$3,1,0))*OFFSET('Gastos com Pessoal'!$H$512,1,MATCH(5&amp;$B52,'Gastos com Pessoal'!$I$532:$AJ$532&amp;'Gastos com Pessoal'!$I$512:$AJ$512,0),10,1)),0)</f>
        <v>0</v>
      </c>
      <c r="BI52" s="188">
        <f t="array" aca="1" ref="BI52" ca="1">_xlfn.IFNA(SUM((BI$3&gt;='Gastos com Pessoal'!$E$7:$E$506)*(BI$3&lt;='Gastos com Pessoal'!$F$7:$F$506)*OFFSET('Encargos e Benefícios'!$D$5,1,MATCH($B52,'Encargos e Benefícios'!$E$5:$AB$5,0),500,1)),0)+_xlfn.IFNA(SUM((BI$3&gt;='Gastos com Pessoal'!$E$513:$E$522)*(BI$3&lt;='Gastos com Pessoal'!$F$513:$F$522)*OFFSET('Encargos e Benefícios'!$D$511,1,MATCH($B52,'Encargos e Benefícios'!$E$511:$AB$511,0),10,1)),0)+_xlfn.IFNA(SUM((BI$3&gt;='Gastos com Pessoal'!$E$7:$E$506)*(BI$3&lt;='Gastos com Pessoal'!$F$7:$F$506)*(IF('Gastos com Pessoal'!$G$7:$G$506&lt;=BI$3,1,0))*OFFSET('Gastos com Pessoal'!$H$6,1,MATCH(1&amp;$B52,'Gastos com Pessoal'!$I$532:$AJ$532&amp;'Gastos com Pessoal'!$I$6:$AJ$6,0),500,1)),0)+_xlfn.IFNA(SUM((BI$3&gt;='Gastos com Pessoal'!$E$7:$E$506)*(BI$3&lt;='Gastos com Pessoal'!$F$7:$F$506)*(IF('Gastos com Pessoal'!$M$7:$M$506&lt;=BI$3,1,0))*OFFSET('Gastos com Pessoal'!$H$6,1,MATCH(2&amp;$B52,'Gastos com Pessoal'!$I$532:$AJ$532&amp;'Gastos com Pessoal'!$I$6:$AJ$6,0),500,1)),0)+_xlfn.IFNA(SUM((BI$3&gt;='Gastos com Pessoal'!$E$7:$E$506)*(BI$3&lt;='Gastos com Pessoal'!$F$7:$F$506)*(IF('Gastos com Pessoal'!$S$7:$S$506&lt;=BI$3,1,0))*OFFSET('Gastos com Pessoal'!$H$6,1,MATCH(3&amp;$B52,'Gastos com Pessoal'!$I$532:$AJ$532&amp;'Gastos com Pessoal'!$I$6:$AJ$6,0),500,1)),0)+_xlfn.IFNA(SUM((BI$3&gt;='Gastos com Pessoal'!$E$7:$E$506)*(BI$3&lt;='Gastos com Pessoal'!$F$7:$F$506)*(IF('Gastos com Pessoal'!$Y$7:$Y$506&lt;=BI$3,1,0))*OFFSET('Gastos com Pessoal'!$H$6,1,MATCH(4&amp;$B52,'Gastos com Pessoal'!$I$532:$AJ$532&amp;'Gastos com Pessoal'!$I$6:$AJ$6,0),500,1)),0)+_xlfn.IFNA(SUM((BI$3&gt;='Gastos com Pessoal'!$E$7:$E$506)*(BI$3&lt;='Gastos com Pessoal'!$F$7:$F$506)*(IF('Gastos com Pessoal'!$AE$7:$AE$506&lt;=BI$3,1,0))*OFFSET('Gastos com Pessoal'!$H$6,1,MATCH(5&amp;$B52,'Gastos com Pessoal'!$I$532:$AJ$532&amp;'Gastos com Pessoal'!$I$6:$AJ$6,0),500,1)),0)+_xlfn.IFNA(SUM((BI$3&gt;='Gastos com Pessoal'!$E$513:$E$522)*(BI$3&lt;='Gastos com Pessoal'!$F$513:$F$522)*(IF('Gastos com Pessoal'!$G$513:$G$522&lt;=BI$3,1,0))*OFFSET('Gastos com Pessoal'!$H$512,1,MATCH(1&amp;$B52,'Gastos com Pessoal'!$I$532:$AJ$532&amp;'Gastos com Pessoal'!$I$512:$AJ$512,0),10,1)),0)+_xlfn.IFNA(SUM((BI$3&gt;='Gastos com Pessoal'!$E$513:$E$522)*(BI$3&lt;='Gastos com Pessoal'!$F$513:$F$522)*(IF('Gastos com Pessoal'!$M$513:$M$522&lt;=BI$3,1,0))*OFFSET('Gastos com Pessoal'!$H$512,1,MATCH(2&amp;$B52,'Gastos com Pessoal'!$I$532:$AJ$532&amp;'Gastos com Pessoal'!$I$512:$AJ$512,0),10,1)),0)+_xlfn.IFNA(SUM((BI$3&gt;='Gastos com Pessoal'!$E$513:$E$522)*(BI$3&lt;='Gastos com Pessoal'!$F$513:$F$522)*(IF('Gastos com Pessoal'!$S$513:$S$522&lt;=BI$3,1,0))*OFFSET('Gastos com Pessoal'!$H$512,1,MATCH(3&amp;$B52,'Gastos com Pessoal'!$I$532:$AJ$532&amp;'Gastos com Pessoal'!$I$512:$AJ$512,0),10,1)),0)+_xlfn.IFNA(SUM((BI$3&gt;='Gastos com Pessoal'!$E$513:$E$522)*(BI$3&lt;='Gastos com Pessoal'!$F$513:$F$522)*(IF('Gastos com Pessoal'!$Y$513:$Y$522&lt;=BI$3,1,0))*OFFSET('Gastos com Pessoal'!$H$512,1,MATCH(4&amp;$B52,'Gastos com Pessoal'!$I$532:$AJ$532&amp;'Gastos com Pessoal'!$I$512:$AJ$512,0),10,1)),0)+_xlfn.IFNA(SUM((BI$3&gt;='Gastos com Pessoal'!$E$513:$E$522)*(BI$3&lt;='Gastos com Pessoal'!$F$513:$F$522)*(IF('Gastos com Pessoal'!$AE$513:$AE$522&lt;=BI$3,1,0))*OFFSET('Gastos com Pessoal'!$H$512,1,MATCH(5&amp;$B52,'Gastos com Pessoal'!$I$532:$AJ$532&amp;'Gastos com Pessoal'!$I$512:$AJ$512,0),10,1)),0)</f>
        <v>0</v>
      </c>
      <c r="BJ52" s="188">
        <f t="array" aca="1" ref="BJ52" ca="1">_xlfn.IFNA(SUM((BJ$3&gt;='Gastos com Pessoal'!$E$7:$E$506)*(BJ$3&lt;='Gastos com Pessoal'!$F$7:$F$506)*OFFSET('Encargos e Benefícios'!$D$5,1,MATCH($B52,'Encargos e Benefícios'!$E$5:$AB$5,0),500,1)),0)+_xlfn.IFNA(SUM((BJ$3&gt;='Gastos com Pessoal'!$E$513:$E$522)*(BJ$3&lt;='Gastos com Pessoal'!$F$513:$F$522)*OFFSET('Encargos e Benefícios'!$D$511,1,MATCH($B52,'Encargos e Benefícios'!$E$511:$AB$511,0),10,1)),0)+_xlfn.IFNA(SUM((BJ$3&gt;='Gastos com Pessoal'!$E$7:$E$506)*(BJ$3&lt;='Gastos com Pessoal'!$F$7:$F$506)*(IF('Gastos com Pessoal'!$G$7:$G$506&lt;=BJ$3,1,0))*OFFSET('Gastos com Pessoal'!$H$6,1,MATCH(1&amp;$B52,'Gastos com Pessoal'!$I$532:$AJ$532&amp;'Gastos com Pessoal'!$I$6:$AJ$6,0),500,1)),0)+_xlfn.IFNA(SUM((BJ$3&gt;='Gastos com Pessoal'!$E$7:$E$506)*(BJ$3&lt;='Gastos com Pessoal'!$F$7:$F$506)*(IF('Gastos com Pessoal'!$M$7:$M$506&lt;=BJ$3,1,0))*OFFSET('Gastos com Pessoal'!$H$6,1,MATCH(2&amp;$B52,'Gastos com Pessoal'!$I$532:$AJ$532&amp;'Gastos com Pessoal'!$I$6:$AJ$6,0),500,1)),0)+_xlfn.IFNA(SUM((BJ$3&gt;='Gastos com Pessoal'!$E$7:$E$506)*(BJ$3&lt;='Gastos com Pessoal'!$F$7:$F$506)*(IF('Gastos com Pessoal'!$S$7:$S$506&lt;=BJ$3,1,0))*OFFSET('Gastos com Pessoal'!$H$6,1,MATCH(3&amp;$B52,'Gastos com Pessoal'!$I$532:$AJ$532&amp;'Gastos com Pessoal'!$I$6:$AJ$6,0),500,1)),0)+_xlfn.IFNA(SUM((BJ$3&gt;='Gastos com Pessoal'!$E$7:$E$506)*(BJ$3&lt;='Gastos com Pessoal'!$F$7:$F$506)*(IF('Gastos com Pessoal'!$Y$7:$Y$506&lt;=BJ$3,1,0))*OFFSET('Gastos com Pessoal'!$H$6,1,MATCH(4&amp;$B52,'Gastos com Pessoal'!$I$532:$AJ$532&amp;'Gastos com Pessoal'!$I$6:$AJ$6,0),500,1)),0)+_xlfn.IFNA(SUM((BJ$3&gt;='Gastos com Pessoal'!$E$7:$E$506)*(BJ$3&lt;='Gastos com Pessoal'!$F$7:$F$506)*(IF('Gastos com Pessoal'!$AE$7:$AE$506&lt;=BJ$3,1,0))*OFFSET('Gastos com Pessoal'!$H$6,1,MATCH(5&amp;$B52,'Gastos com Pessoal'!$I$532:$AJ$532&amp;'Gastos com Pessoal'!$I$6:$AJ$6,0),500,1)),0)+_xlfn.IFNA(SUM((BJ$3&gt;='Gastos com Pessoal'!$E$513:$E$522)*(BJ$3&lt;='Gastos com Pessoal'!$F$513:$F$522)*(IF('Gastos com Pessoal'!$G$513:$G$522&lt;=BJ$3,1,0))*OFFSET('Gastos com Pessoal'!$H$512,1,MATCH(1&amp;$B52,'Gastos com Pessoal'!$I$532:$AJ$532&amp;'Gastos com Pessoal'!$I$512:$AJ$512,0),10,1)),0)+_xlfn.IFNA(SUM((BJ$3&gt;='Gastos com Pessoal'!$E$513:$E$522)*(BJ$3&lt;='Gastos com Pessoal'!$F$513:$F$522)*(IF('Gastos com Pessoal'!$M$513:$M$522&lt;=BJ$3,1,0))*OFFSET('Gastos com Pessoal'!$H$512,1,MATCH(2&amp;$B52,'Gastos com Pessoal'!$I$532:$AJ$532&amp;'Gastos com Pessoal'!$I$512:$AJ$512,0),10,1)),0)+_xlfn.IFNA(SUM((BJ$3&gt;='Gastos com Pessoal'!$E$513:$E$522)*(BJ$3&lt;='Gastos com Pessoal'!$F$513:$F$522)*(IF('Gastos com Pessoal'!$S$513:$S$522&lt;=BJ$3,1,0))*OFFSET('Gastos com Pessoal'!$H$512,1,MATCH(3&amp;$B52,'Gastos com Pessoal'!$I$532:$AJ$532&amp;'Gastos com Pessoal'!$I$512:$AJ$512,0),10,1)),0)+_xlfn.IFNA(SUM((BJ$3&gt;='Gastos com Pessoal'!$E$513:$E$522)*(BJ$3&lt;='Gastos com Pessoal'!$F$513:$F$522)*(IF('Gastos com Pessoal'!$Y$513:$Y$522&lt;=BJ$3,1,0))*OFFSET('Gastos com Pessoal'!$H$512,1,MATCH(4&amp;$B52,'Gastos com Pessoal'!$I$532:$AJ$532&amp;'Gastos com Pessoal'!$I$512:$AJ$512,0),10,1)),0)+_xlfn.IFNA(SUM((BJ$3&gt;='Gastos com Pessoal'!$E$513:$E$522)*(BJ$3&lt;='Gastos com Pessoal'!$F$513:$F$522)*(IF('Gastos com Pessoal'!$AE$513:$AE$522&lt;=BJ$3,1,0))*OFFSET('Gastos com Pessoal'!$H$512,1,MATCH(5&amp;$B52,'Gastos com Pessoal'!$I$532:$AJ$532&amp;'Gastos com Pessoal'!$I$512:$AJ$512,0),10,1)),0)</f>
        <v>0</v>
      </c>
      <c r="BK52" s="189">
        <f t="shared" ca="1" si="18"/>
        <v>556110.1600000005</v>
      </c>
      <c r="BL52" s="136">
        <f t="shared" ca="1" si="19"/>
        <v>1.9146862294636296E-3</v>
      </c>
    </row>
    <row r="53" spans="1:64" s="160" customFormat="1" ht="23.25" customHeight="1">
      <c r="A53" s="80" t="s">
        <v>188</v>
      </c>
      <c r="B53" s="81" t="s">
        <v>189</v>
      </c>
      <c r="C53" s="188">
        <f t="array" aca="1" ref="C53" ca="1">_xlfn.IFNA(SUM((C$3&gt;='Gastos com Pessoal'!$E$7:$E$506)*(C$3&lt;='Gastos com Pessoal'!$F$7:$F$506)*OFFSET('Encargos e Benefícios'!$D$5,1,MATCH($B53,'Encargos e Benefícios'!$E$5:$AB$5,0),500,1)),0)+_xlfn.IFNA(SUM((C$3&gt;='Gastos com Pessoal'!$E$513:$E$522)*(C$3&lt;='Gastos com Pessoal'!$F$513:$F$522)*OFFSET('Encargos e Benefícios'!$D$511,1,MATCH($B53,'Encargos e Benefícios'!$E$511:$AB$511,0),10,1)),0)+_xlfn.IFNA(SUM((C$3&gt;='Gastos com Pessoal'!$E$7:$E$506)*(C$3&lt;='Gastos com Pessoal'!$F$7:$F$506)*(IF('Gastos com Pessoal'!$G$7:$G$506&lt;=C$3,1,0))*OFFSET('Gastos com Pessoal'!$H$6,1,MATCH(1&amp;$B53,'Gastos com Pessoal'!$I$532:$AJ$532&amp;'Gastos com Pessoal'!$I$6:$AJ$6,0),500,1)),0)+_xlfn.IFNA(SUM((C$3&gt;='Gastos com Pessoal'!$E$7:$E$506)*(C$3&lt;='Gastos com Pessoal'!$F$7:$F$506)*(IF('Gastos com Pessoal'!$M$7:$M$506&lt;=C$3,1,0))*OFFSET('Gastos com Pessoal'!$H$6,1,MATCH(2&amp;$B53,'Gastos com Pessoal'!$I$532:$AJ$532&amp;'Gastos com Pessoal'!$I$6:$AJ$6,0),500,1)),0)+_xlfn.IFNA(SUM((C$3&gt;='Gastos com Pessoal'!$E$7:$E$506)*(C$3&lt;='Gastos com Pessoal'!$F$7:$F$506)*(IF('Gastos com Pessoal'!$S$7:$S$506&lt;=C$3,1,0))*OFFSET('Gastos com Pessoal'!$H$6,1,MATCH(3&amp;$B53,'Gastos com Pessoal'!$I$532:$AJ$532&amp;'Gastos com Pessoal'!$I$6:$AJ$6,0),500,1)),0)+_xlfn.IFNA(SUM((C$3&gt;='Gastos com Pessoal'!$E$7:$E$506)*(C$3&lt;='Gastos com Pessoal'!$F$7:$F$506)*(IF('Gastos com Pessoal'!$Y$7:$Y$506&lt;=C$3,1,0))*OFFSET('Gastos com Pessoal'!$H$6,1,MATCH(4&amp;$B53,'Gastos com Pessoal'!$I$532:$AJ$532&amp;'Gastos com Pessoal'!$I$6:$AJ$6,0),500,1)),0)+_xlfn.IFNA(SUM((C$3&gt;='Gastos com Pessoal'!$E$7:$E$506)*(C$3&lt;='Gastos com Pessoal'!$F$7:$F$506)*(IF('Gastos com Pessoal'!$AE$7:$AE$506&lt;=C$3,1,0))*OFFSET('Gastos com Pessoal'!$H$6,1,MATCH(5&amp;$B53,'Gastos com Pessoal'!$I$532:$AJ$532&amp;'Gastos com Pessoal'!$I$6:$AJ$6,0),500,1)),0)+_xlfn.IFNA(SUM((C$3&gt;='Gastos com Pessoal'!$E$513:$E$522)*(C$3&lt;='Gastos com Pessoal'!$F$513:$F$522)*(IF('Gastos com Pessoal'!$G$513:$G$522&lt;=C$3,1,0))*OFFSET('Gastos com Pessoal'!$H$512,1,MATCH(1&amp;$B53,'Gastos com Pessoal'!$I$532:$AJ$532&amp;'Gastos com Pessoal'!$I$512:$AJ$512,0),10,1)),0)+_xlfn.IFNA(SUM((C$3&gt;='Gastos com Pessoal'!$E$513:$E$522)*(C$3&lt;='Gastos com Pessoal'!$F$513:$F$522)*(IF('Gastos com Pessoal'!$M$513:$M$522&lt;=C$3,1,0))*OFFSET('Gastos com Pessoal'!$H$512,1,MATCH(2&amp;$B53,'Gastos com Pessoal'!$I$532:$AJ$532&amp;'Gastos com Pessoal'!$I$512:$AJ$512,0),10,1)),0)+_xlfn.IFNA(SUM((C$3&gt;='Gastos com Pessoal'!$E$513:$E$522)*(C$3&lt;='Gastos com Pessoal'!$F$513:$F$522)*(IF('Gastos com Pessoal'!$S$513:$S$522&lt;=C$3,1,0))*OFFSET('Gastos com Pessoal'!$H$512,1,MATCH(3&amp;$B53,'Gastos com Pessoal'!$I$532:$AJ$532&amp;'Gastos com Pessoal'!$I$512:$AJ$512,0),10,1)),0)+_xlfn.IFNA(SUM((C$3&gt;='Gastos com Pessoal'!$E$513:$E$522)*(C$3&lt;='Gastos com Pessoal'!$F$513:$F$522)*(IF('Gastos com Pessoal'!$Y$513:$Y$522&lt;=C$3,1,0))*OFFSET('Gastos com Pessoal'!$H$512,1,MATCH(4&amp;$B53,'Gastos com Pessoal'!$I$532:$AJ$532&amp;'Gastos com Pessoal'!$I$512:$AJ$512,0),10,1)),0)+_xlfn.IFNA(SUM((C$3&gt;='Gastos com Pessoal'!$E$513:$E$522)*(C$3&lt;='Gastos com Pessoal'!$F$513:$F$522)*(IF('Gastos com Pessoal'!$AE$513:$AE$522&lt;=C$3,1,0))*OFFSET('Gastos com Pessoal'!$H$512,1,MATCH(5&amp;$B53,'Gastos com Pessoal'!$I$532:$AJ$532&amp;'Gastos com Pessoal'!$I$512:$AJ$512,0),10,1)),0)</f>
        <v>0</v>
      </c>
      <c r="D53" s="188">
        <f t="array" aca="1" ref="D53" ca="1">_xlfn.IFNA(SUM((D$3&gt;='Gastos com Pessoal'!$E$7:$E$506)*(D$3&lt;='Gastos com Pessoal'!$F$7:$F$506)*OFFSET('Encargos e Benefícios'!$D$5,1,MATCH($B53,'Encargos e Benefícios'!$E$5:$AB$5,0),500,1)),0)+_xlfn.IFNA(SUM((D$3&gt;='Gastos com Pessoal'!$E$513:$E$522)*(D$3&lt;='Gastos com Pessoal'!$F$513:$F$522)*OFFSET('Encargos e Benefícios'!$D$511,1,MATCH($B53,'Encargos e Benefícios'!$E$511:$AB$511,0),10,1)),0)+_xlfn.IFNA(SUM((D$3&gt;='Gastos com Pessoal'!$E$7:$E$506)*(D$3&lt;='Gastos com Pessoal'!$F$7:$F$506)*(IF('Gastos com Pessoal'!$G$7:$G$506&lt;=D$3,1,0))*OFFSET('Gastos com Pessoal'!$H$6,1,MATCH(1&amp;$B53,'Gastos com Pessoal'!$I$532:$AJ$532&amp;'Gastos com Pessoal'!$I$6:$AJ$6,0),500,1)),0)+_xlfn.IFNA(SUM((D$3&gt;='Gastos com Pessoal'!$E$7:$E$506)*(D$3&lt;='Gastos com Pessoal'!$F$7:$F$506)*(IF('Gastos com Pessoal'!$M$7:$M$506&lt;=D$3,1,0))*OFFSET('Gastos com Pessoal'!$H$6,1,MATCH(2&amp;$B53,'Gastos com Pessoal'!$I$532:$AJ$532&amp;'Gastos com Pessoal'!$I$6:$AJ$6,0),500,1)),0)+_xlfn.IFNA(SUM((D$3&gt;='Gastos com Pessoal'!$E$7:$E$506)*(D$3&lt;='Gastos com Pessoal'!$F$7:$F$506)*(IF('Gastos com Pessoal'!$S$7:$S$506&lt;=D$3,1,0))*OFFSET('Gastos com Pessoal'!$H$6,1,MATCH(3&amp;$B53,'Gastos com Pessoal'!$I$532:$AJ$532&amp;'Gastos com Pessoal'!$I$6:$AJ$6,0),500,1)),0)+_xlfn.IFNA(SUM((D$3&gt;='Gastos com Pessoal'!$E$7:$E$506)*(D$3&lt;='Gastos com Pessoal'!$F$7:$F$506)*(IF('Gastos com Pessoal'!$Y$7:$Y$506&lt;=D$3,1,0))*OFFSET('Gastos com Pessoal'!$H$6,1,MATCH(4&amp;$B53,'Gastos com Pessoal'!$I$532:$AJ$532&amp;'Gastos com Pessoal'!$I$6:$AJ$6,0),500,1)),0)+_xlfn.IFNA(SUM((D$3&gt;='Gastos com Pessoal'!$E$7:$E$506)*(D$3&lt;='Gastos com Pessoal'!$F$7:$F$506)*(IF('Gastos com Pessoal'!$AE$7:$AE$506&lt;=D$3,1,0))*OFFSET('Gastos com Pessoal'!$H$6,1,MATCH(5&amp;$B53,'Gastos com Pessoal'!$I$532:$AJ$532&amp;'Gastos com Pessoal'!$I$6:$AJ$6,0),500,1)),0)+_xlfn.IFNA(SUM((D$3&gt;='Gastos com Pessoal'!$E$513:$E$522)*(D$3&lt;='Gastos com Pessoal'!$F$513:$F$522)*(IF('Gastos com Pessoal'!$G$513:$G$522&lt;=D$3,1,0))*OFFSET('Gastos com Pessoal'!$H$512,1,MATCH(1&amp;$B53,'Gastos com Pessoal'!$I$532:$AJ$532&amp;'Gastos com Pessoal'!$I$512:$AJ$512,0),10,1)),0)+_xlfn.IFNA(SUM((D$3&gt;='Gastos com Pessoal'!$E$513:$E$522)*(D$3&lt;='Gastos com Pessoal'!$F$513:$F$522)*(IF('Gastos com Pessoal'!$M$513:$M$522&lt;=D$3,1,0))*OFFSET('Gastos com Pessoal'!$H$512,1,MATCH(2&amp;$B53,'Gastos com Pessoal'!$I$532:$AJ$532&amp;'Gastos com Pessoal'!$I$512:$AJ$512,0),10,1)),0)+_xlfn.IFNA(SUM((D$3&gt;='Gastos com Pessoal'!$E$513:$E$522)*(D$3&lt;='Gastos com Pessoal'!$F$513:$F$522)*(IF('Gastos com Pessoal'!$S$513:$S$522&lt;=D$3,1,0))*OFFSET('Gastos com Pessoal'!$H$512,1,MATCH(3&amp;$B53,'Gastos com Pessoal'!$I$532:$AJ$532&amp;'Gastos com Pessoal'!$I$512:$AJ$512,0),10,1)),0)+_xlfn.IFNA(SUM((D$3&gt;='Gastos com Pessoal'!$E$513:$E$522)*(D$3&lt;='Gastos com Pessoal'!$F$513:$F$522)*(IF('Gastos com Pessoal'!$Y$513:$Y$522&lt;=D$3,1,0))*OFFSET('Gastos com Pessoal'!$H$512,1,MATCH(4&amp;$B53,'Gastos com Pessoal'!$I$532:$AJ$532&amp;'Gastos com Pessoal'!$I$512:$AJ$512,0),10,1)),0)+_xlfn.IFNA(SUM((D$3&gt;='Gastos com Pessoal'!$E$513:$E$522)*(D$3&lt;='Gastos com Pessoal'!$F$513:$F$522)*(IF('Gastos com Pessoal'!$AE$513:$AE$522&lt;=D$3,1,0))*OFFSET('Gastos com Pessoal'!$H$512,1,MATCH(5&amp;$B53,'Gastos com Pessoal'!$I$532:$AJ$532&amp;'Gastos com Pessoal'!$I$512:$AJ$512,0),10,1)),0)</f>
        <v>0</v>
      </c>
      <c r="E53" s="188">
        <f t="array" aca="1" ref="E53" ca="1">_xlfn.IFNA(SUM((E$3&gt;='Gastos com Pessoal'!$E$7:$E$506)*(E$3&lt;='Gastos com Pessoal'!$F$7:$F$506)*OFFSET('Encargos e Benefícios'!$D$5,1,MATCH($B53,'Encargos e Benefícios'!$E$5:$AB$5,0),500,1)),0)+_xlfn.IFNA(SUM((E$3&gt;='Gastos com Pessoal'!$E$513:$E$522)*(E$3&lt;='Gastos com Pessoal'!$F$513:$F$522)*OFFSET('Encargos e Benefícios'!$D$511,1,MATCH($B53,'Encargos e Benefícios'!$E$511:$AB$511,0),10,1)),0)+_xlfn.IFNA(SUM((E$3&gt;='Gastos com Pessoal'!$E$7:$E$506)*(E$3&lt;='Gastos com Pessoal'!$F$7:$F$506)*(IF('Gastos com Pessoal'!$G$7:$G$506&lt;=E$3,1,0))*OFFSET('Gastos com Pessoal'!$H$6,1,MATCH(1&amp;$B53,'Gastos com Pessoal'!$I$532:$AJ$532&amp;'Gastos com Pessoal'!$I$6:$AJ$6,0),500,1)),0)+_xlfn.IFNA(SUM((E$3&gt;='Gastos com Pessoal'!$E$7:$E$506)*(E$3&lt;='Gastos com Pessoal'!$F$7:$F$506)*(IF('Gastos com Pessoal'!$M$7:$M$506&lt;=E$3,1,0))*OFFSET('Gastos com Pessoal'!$H$6,1,MATCH(2&amp;$B53,'Gastos com Pessoal'!$I$532:$AJ$532&amp;'Gastos com Pessoal'!$I$6:$AJ$6,0),500,1)),0)+_xlfn.IFNA(SUM((E$3&gt;='Gastos com Pessoal'!$E$7:$E$506)*(E$3&lt;='Gastos com Pessoal'!$F$7:$F$506)*(IF('Gastos com Pessoal'!$S$7:$S$506&lt;=E$3,1,0))*OFFSET('Gastos com Pessoal'!$H$6,1,MATCH(3&amp;$B53,'Gastos com Pessoal'!$I$532:$AJ$532&amp;'Gastos com Pessoal'!$I$6:$AJ$6,0),500,1)),0)+_xlfn.IFNA(SUM((E$3&gt;='Gastos com Pessoal'!$E$7:$E$506)*(E$3&lt;='Gastos com Pessoal'!$F$7:$F$506)*(IF('Gastos com Pessoal'!$Y$7:$Y$506&lt;=E$3,1,0))*OFFSET('Gastos com Pessoal'!$H$6,1,MATCH(4&amp;$B53,'Gastos com Pessoal'!$I$532:$AJ$532&amp;'Gastos com Pessoal'!$I$6:$AJ$6,0),500,1)),0)+_xlfn.IFNA(SUM((E$3&gt;='Gastos com Pessoal'!$E$7:$E$506)*(E$3&lt;='Gastos com Pessoal'!$F$7:$F$506)*(IF('Gastos com Pessoal'!$AE$7:$AE$506&lt;=E$3,1,0))*OFFSET('Gastos com Pessoal'!$H$6,1,MATCH(5&amp;$B53,'Gastos com Pessoal'!$I$532:$AJ$532&amp;'Gastos com Pessoal'!$I$6:$AJ$6,0),500,1)),0)+_xlfn.IFNA(SUM((E$3&gt;='Gastos com Pessoal'!$E$513:$E$522)*(E$3&lt;='Gastos com Pessoal'!$F$513:$F$522)*(IF('Gastos com Pessoal'!$G$513:$G$522&lt;=E$3,1,0))*OFFSET('Gastos com Pessoal'!$H$512,1,MATCH(1&amp;$B53,'Gastos com Pessoal'!$I$532:$AJ$532&amp;'Gastos com Pessoal'!$I$512:$AJ$512,0),10,1)),0)+_xlfn.IFNA(SUM((E$3&gt;='Gastos com Pessoal'!$E$513:$E$522)*(E$3&lt;='Gastos com Pessoal'!$F$513:$F$522)*(IF('Gastos com Pessoal'!$M$513:$M$522&lt;=E$3,1,0))*OFFSET('Gastos com Pessoal'!$H$512,1,MATCH(2&amp;$B53,'Gastos com Pessoal'!$I$532:$AJ$532&amp;'Gastos com Pessoal'!$I$512:$AJ$512,0),10,1)),0)+_xlfn.IFNA(SUM((E$3&gt;='Gastos com Pessoal'!$E$513:$E$522)*(E$3&lt;='Gastos com Pessoal'!$F$513:$F$522)*(IF('Gastos com Pessoal'!$S$513:$S$522&lt;=E$3,1,0))*OFFSET('Gastos com Pessoal'!$H$512,1,MATCH(3&amp;$B53,'Gastos com Pessoal'!$I$532:$AJ$532&amp;'Gastos com Pessoal'!$I$512:$AJ$512,0),10,1)),0)+_xlfn.IFNA(SUM((E$3&gt;='Gastos com Pessoal'!$E$513:$E$522)*(E$3&lt;='Gastos com Pessoal'!$F$513:$F$522)*(IF('Gastos com Pessoal'!$Y$513:$Y$522&lt;=E$3,1,0))*OFFSET('Gastos com Pessoal'!$H$512,1,MATCH(4&amp;$B53,'Gastos com Pessoal'!$I$532:$AJ$532&amp;'Gastos com Pessoal'!$I$512:$AJ$512,0),10,1)),0)+_xlfn.IFNA(SUM((E$3&gt;='Gastos com Pessoal'!$E$513:$E$522)*(E$3&lt;='Gastos com Pessoal'!$F$513:$F$522)*(IF('Gastos com Pessoal'!$AE$513:$AE$522&lt;=E$3,1,0))*OFFSET('Gastos com Pessoal'!$H$512,1,MATCH(5&amp;$B53,'Gastos com Pessoal'!$I$532:$AJ$532&amp;'Gastos com Pessoal'!$I$512:$AJ$512,0),10,1)),0)</f>
        <v>0</v>
      </c>
      <c r="F53" s="188">
        <f t="array" aca="1" ref="F53" ca="1">_xlfn.IFNA(SUM((F$3&gt;='Gastos com Pessoal'!$E$7:$E$506)*(F$3&lt;='Gastos com Pessoal'!$F$7:$F$506)*OFFSET('Encargos e Benefícios'!$D$5,1,MATCH($B53,'Encargos e Benefícios'!$E$5:$AB$5,0),500,1)),0)+_xlfn.IFNA(SUM((F$3&gt;='Gastos com Pessoal'!$E$513:$E$522)*(F$3&lt;='Gastos com Pessoal'!$F$513:$F$522)*OFFSET('Encargos e Benefícios'!$D$511,1,MATCH($B53,'Encargos e Benefícios'!$E$511:$AB$511,0),10,1)),0)+_xlfn.IFNA(SUM((F$3&gt;='Gastos com Pessoal'!$E$7:$E$506)*(F$3&lt;='Gastos com Pessoal'!$F$7:$F$506)*(IF('Gastos com Pessoal'!$G$7:$G$506&lt;=F$3,1,0))*OFFSET('Gastos com Pessoal'!$H$6,1,MATCH(1&amp;$B53,'Gastos com Pessoal'!$I$532:$AJ$532&amp;'Gastos com Pessoal'!$I$6:$AJ$6,0),500,1)),0)+_xlfn.IFNA(SUM((F$3&gt;='Gastos com Pessoal'!$E$7:$E$506)*(F$3&lt;='Gastos com Pessoal'!$F$7:$F$506)*(IF('Gastos com Pessoal'!$M$7:$M$506&lt;=F$3,1,0))*OFFSET('Gastos com Pessoal'!$H$6,1,MATCH(2&amp;$B53,'Gastos com Pessoal'!$I$532:$AJ$532&amp;'Gastos com Pessoal'!$I$6:$AJ$6,0),500,1)),0)+_xlfn.IFNA(SUM((F$3&gt;='Gastos com Pessoal'!$E$7:$E$506)*(F$3&lt;='Gastos com Pessoal'!$F$7:$F$506)*(IF('Gastos com Pessoal'!$S$7:$S$506&lt;=F$3,1,0))*OFFSET('Gastos com Pessoal'!$H$6,1,MATCH(3&amp;$B53,'Gastos com Pessoal'!$I$532:$AJ$532&amp;'Gastos com Pessoal'!$I$6:$AJ$6,0),500,1)),0)+_xlfn.IFNA(SUM((F$3&gt;='Gastos com Pessoal'!$E$7:$E$506)*(F$3&lt;='Gastos com Pessoal'!$F$7:$F$506)*(IF('Gastos com Pessoal'!$Y$7:$Y$506&lt;=F$3,1,0))*OFFSET('Gastos com Pessoal'!$H$6,1,MATCH(4&amp;$B53,'Gastos com Pessoal'!$I$532:$AJ$532&amp;'Gastos com Pessoal'!$I$6:$AJ$6,0),500,1)),0)+_xlfn.IFNA(SUM((F$3&gt;='Gastos com Pessoal'!$E$7:$E$506)*(F$3&lt;='Gastos com Pessoal'!$F$7:$F$506)*(IF('Gastos com Pessoal'!$AE$7:$AE$506&lt;=F$3,1,0))*OFFSET('Gastos com Pessoal'!$H$6,1,MATCH(5&amp;$B53,'Gastos com Pessoal'!$I$532:$AJ$532&amp;'Gastos com Pessoal'!$I$6:$AJ$6,0),500,1)),0)+_xlfn.IFNA(SUM((F$3&gt;='Gastos com Pessoal'!$E$513:$E$522)*(F$3&lt;='Gastos com Pessoal'!$F$513:$F$522)*(IF('Gastos com Pessoal'!$G$513:$G$522&lt;=F$3,1,0))*OFFSET('Gastos com Pessoal'!$H$512,1,MATCH(1&amp;$B53,'Gastos com Pessoal'!$I$532:$AJ$532&amp;'Gastos com Pessoal'!$I$512:$AJ$512,0),10,1)),0)+_xlfn.IFNA(SUM((F$3&gt;='Gastos com Pessoal'!$E$513:$E$522)*(F$3&lt;='Gastos com Pessoal'!$F$513:$F$522)*(IF('Gastos com Pessoal'!$M$513:$M$522&lt;=F$3,1,0))*OFFSET('Gastos com Pessoal'!$H$512,1,MATCH(2&amp;$B53,'Gastos com Pessoal'!$I$532:$AJ$532&amp;'Gastos com Pessoal'!$I$512:$AJ$512,0),10,1)),0)+_xlfn.IFNA(SUM((F$3&gt;='Gastos com Pessoal'!$E$513:$E$522)*(F$3&lt;='Gastos com Pessoal'!$F$513:$F$522)*(IF('Gastos com Pessoal'!$S$513:$S$522&lt;=F$3,1,0))*OFFSET('Gastos com Pessoal'!$H$512,1,MATCH(3&amp;$B53,'Gastos com Pessoal'!$I$532:$AJ$532&amp;'Gastos com Pessoal'!$I$512:$AJ$512,0),10,1)),0)+_xlfn.IFNA(SUM((F$3&gt;='Gastos com Pessoal'!$E$513:$E$522)*(F$3&lt;='Gastos com Pessoal'!$F$513:$F$522)*(IF('Gastos com Pessoal'!$Y$513:$Y$522&lt;=F$3,1,0))*OFFSET('Gastos com Pessoal'!$H$512,1,MATCH(4&amp;$B53,'Gastos com Pessoal'!$I$532:$AJ$532&amp;'Gastos com Pessoal'!$I$512:$AJ$512,0),10,1)),0)+_xlfn.IFNA(SUM((F$3&gt;='Gastos com Pessoal'!$E$513:$E$522)*(F$3&lt;='Gastos com Pessoal'!$F$513:$F$522)*(IF('Gastos com Pessoal'!$AE$513:$AE$522&lt;=F$3,1,0))*OFFSET('Gastos com Pessoal'!$H$512,1,MATCH(5&amp;$B53,'Gastos com Pessoal'!$I$532:$AJ$532&amp;'Gastos com Pessoal'!$I$512:$AJ$512,0),10,1)),0)</f>
        <v>0</v>
      </c>
      <c r="G53" s="188">
        <f t="array" aca="1" ref="G53" ca="1">_xlfn.IFNA(SUM((G$3&gt;='Gastos com Pessoal'!$E$7:$E$506)*(G$3&lt;='Gastos com Pessoal'!$F$7:$F$506)*OFFSET('Encargos e Benefícios'!$D$5,1,MATCH($B53,'Encargos e Benefícios'!$E$5:$AB$5,0),500,1)),0)+_xlfn.IFNA(SUM((G$3&gt;='Gastos com Pessoal'!$E$513:$E$522)*(G$3&lt;='Gastos com Pessoal'!$F$513:$F$522)*OFFSET('Encargos e Benefícios'!$D$511,1,MATCH($B53,'Encargos e Benefícios'!$E$511:$AB$511,0),10,1)),0)+_xlfn.IFNA(SUM((G$3&gt;='Gastos com Pessoal'!$E$7:$E$506)*(G$3&lt;='Gastos com Pessoal'!$F$7:$F$506)*(IF('Gastos com Pessoal'!$G$7:$G$506&lt;=G$3,1,0))*OFFSET('Gastos com Pessoal'!$H$6,1,MATCH(1&amp;$B53,'Gastos com Pessoal'!$I$532:$AJ$532&amp;'Gastos com Pessoal'!$I$6:$AJ$6,0),500,1)),0)+_xlfn.IFNA(SUM((G$3&gt;='Gastos com Pessoal'!$E$7:$E$506)*(G$3&lt;='Gastos com Pessoal'!$F$7:$F$506)*(IF('Gastos com Pessoal'!$M$7:$M$506&lt;=G$3,1,0))*OFFSET('Gastos com Pessoal'!$H$6,1,MATCH(2&amp;$B53,'Gastos com Pessoal'!$I$532:$AJ$532&amp;'Gastos com Pessoal'!$I$6:$AJ$6,0),500,1)),0)+_xlfn.IFNA(SUM((G$3&gt;='Gastos com Pessoal'!$E$7:$E$506)*(G$3&lt;='Gastos com Pessoal'!$F$7:$F$506)*(IF('Gastos com Pessoal'!$S$7:$S$506&lt;=G$3,1,0))*OFFSET('Gastos com Pessoal'!$H$6,1,MATCH(3&amp;$B53,'Gastos com Pessoal'!$I$532:$AJ$532&amp;'Gastos com Pessoal'!$I$6:$AJ$6,0),500,1)),0)+_xlfn.IFNA(SUM((G$3&gt;='Gastos com Pessoal'!$E$7:$E$506)*(G$3&lt;='Gastos com Pessoal'!$F$7:$F$506)*(IF('Gastos com Pessoal'!$Y$7:$Y$506&lt;=G$3,1,0))*OFFSET('Gastos com Pessoal'!$H$6,1,MATCH(4&amp;$B53,'Gastos com Pessoal'!$I$532:$AJ$532&amp;'Gastos com Pessoal'!$I$6:$AJ$6,0),500,1)),0)+_xlfn.IFNA(SUM((G$3&gt;='Gastos com Pessoal'!$E$7:$E$506)*(G$3&lt;='Gastos com Pessoal'!$F$7:$F$506)*(IF('Gastos com Pessoal'!$AE$7:$AE$506&lt;=G$3,1,0))*OFFSET('Gastos com Pessoal'!$H$6,1,MATCH(5&amp;$B53,'Gastos com Pessoal'!$I$532:$AJ$532&amp;'Gastos com Pessoal'!$I$6:$AJ$6,0),500,1)),0)+_xlfn.IFNA(SUM((G$3&gt;='Gastos com Pessoal'!$E$513:$E$522)*(G$3&lt;='Gastos com Pessoal'!$F$513:$F$522)*(IF('Gastos com Pessoal'!$G$513:$G$522&lt;=G$3,1,0))*OFFSET('Gastos com Pessoal'!$H$512,1,MATCH(1&amp;$B53,'Gastos com Pessoal'!$I$532:$AJ$532&amp;'Gastos com Pessoal'!$I$512:$AJ$512,0),10,1)),0)+_xlfn.IFNA(SUM((G$3&gt;='Gastos com Pessoal'!$E$513:$E$522)*(G$3&lt;='Gastos com Pessoal'!$F$513:$F$522)*(IF('Gastos com Pessoal'!$M$513:$M$522&lt;=G$3,1,0))*OFFSET('Gastos com Pessoal'!$H$512,1,MATCH(2&amp;$B53,'Gastos com Pessoal'!$I$532:$AJ$532&amp;'Gastos com Pessoal'!$I$512:$AJ$512,0),10,1)),0)+_xlfn.IFNA(SUM((G$3&gt;='Gastos com Pessoal'!$E$513:$E$522)*(G$3&lt;='Gastos com Pessoal'!$F$513:$F$522)*(IF('Gastos com Pessoal'!$S$513:$S$522&lt;=G$3,1,0))*OFFSET('Gastos com Pessoal'!$H$512,1,MATCH(3&amp;$B53,'Gastos com Pessoal'!$I$532:$AJ$532&amp;'Gastos com Pessoal'!$I$512:$AJ$512,0),10,1)),0)+_xlfn.IFNA(SUM((G$3&gt;='Gastos com Pessoal'!$E$513:$E$522)*(G$3&lt;='Gastos com Pessoal'!$F$513:$F$522)*(IF('Gastos com Pessoal'!$Y$513:$Y$522&lt;=G$3,1,0))*OFFSET('Gastos com Pessoal'!$H$512,1,MATCH(4&amp;$B53,'Gastos com Pessoal'!$I$532:$AJ$532&amp;'Gastos com Pessoal'!$I$512:$AJ$512,0),10,1)),0)+_xlfn.IFNA(SUM((G$3&gt;='Gastos com Pessoal'!$E$513:$E$522)*(G$3&lt;='Gastos com Pessoal'!$F$513:$F$522)*(IF('Gastos com Pessoal'!$AE$513:$AE$522&lt;=G$3,1,0))*OFFSET('Gastos com Pessoal'!$H$512,1,MATCH(5&amp;$B53,'Gastos com Pessoal'!$I$532:$AJ$532&amp;'Gastos com Pessoal'!$I$512:$AJ$512,0),10,1)),0)</f>
        <v>0</v>
      </c>
      <c r="H53" s="188">
        <f t="array" aca="1" ref="H53" ca="1">_xlfn.IFNA(SUM((H$3&gt;='Gastos com Pessoal'!$E$7:$E$506)*(H$3&lt;='Gastos com Pessoal'!$F$7:$F$506)*OFFSET('Encargos e Benefícios'!$D$5,1,MATCH($B53,'Encargos e Benefícios'!$E$5:$AB$5,0),500,1)),0)+_xlfn.IFNA(SUM((H$3&gt;='Gastos com Pessoal'!$E$513:$E$522)*(H$3&lt;='Gastos com Pessoal'!$F$513:$F$522)*OFFSET('Encargos e Benefícios'!$D$511,1,MATCH($B53,'Encargos e Benefícios'!$E$511:$AB$511,0),10,1)),0)+_xlfn.IFNA(SUM((H$3&gt;='Gastos com Pessoal'!$E$7:$E$506)*(H$3&lt;='Gastos com Pessoal'!$F$7:$F$506)*(IF('Gastos com Pessoal'!$G$7:$G$506&lt;=H$3,1,0))*OFFSET('Gastos com Pessoal'!$H$6,1,MATCH(1&amp;$B53,'Gastos com Pessoal'!$I$532:$AJ$532&amp;'Gastos com Pessoal'!$I$6:$AJ$6,0),500,1)),0)+_xlfn.IFNA(SUM((H$3&gt;='Gastos com Pessoal'!$E$7:$E$506)*(H$3&lt;='Gastos com Pessoal'!$F$7:$F$506)*(IF('Gastos com Pessoal'!$M$7:$M$506&lt;=H$3,1,0))*OFFSET('Gastos com Pessoal'!$H$6,1,MATCH(2&amp;$B53,'Gastos com Pessoal'!$I$532:$AJ$532&amp;'Gastos com Pessoal'!$I$6:$AJ$6,0),500,1)),0)+_xlfn.IFNA(SUM((H$3&gt;='Gastos com Pessoal'!$E$7:$E$506)*(H$3&lt;='Gastos com Pessoal'!$F$7:$F$506)*(IF('Gastos com Pessoal'!$S$7:$S$506&lt;=H$3,1,0))*OFFSET('Gastos com Pessoal'!$H$6,1,MATCH(3&amp;$B53,'Gastos com Pessoal'!$I$532:$AJ$532&amp;'Gastos com Pessoal'!$I$6:$AJ$6,0),500,1)),0)+_xlfn.IFNA(SUM((H$3&gt;='Gastos com Pessoal'!$E$7:$E$506)*(H$3&lt;='Gastos com Pessoal'!$F$7:$F$506)*(IF('Gastos com Pessoal'!$Y$7:$Y$506&lt;=H$3,1,0))*OFFSET('Gastos com Pessoal'!$H$6,1,MATCH(4&amp;$B53,'Gastos com Pessoal'!$I$532:$AJ$532&amp;'Gastos com Pessoal'!$I$6:$AJ$6,0),500,1)),0)+_xlfn.IFNA(SUM((H$3&gt;='Gastos com Pessoal'!$E$7:$E$506)*(H$3&lt;='Gastos com Pessoal'!$F$7:$F$506)*(IF('Gastos com Pessoal'!$AE$7:$AE$506&lt;=H$3,1,0))*OFFSET('Gastos com Pessoal'!$H$6,1,MATCH(5&amp;$B53,'Gastos com Pessoal'!$I$532:$AJ$532&amp;'Gastos com Pessoal'!$I$6:$AJ$6,0),500,1)),0)+_xlfn.IFNA(SUM((H$3&gt;='Gastos com Pessoal'!$E$513:$E$522)*(H$3&lt;='Gastos com Pessoal'!$F$513:$F$522)*(IF('Gastos com Pessoal'!$G$513:$G$522&lt;=H$3,1,0))*OFFSET('Gastos com Pessoal'!$H$512,1,MATCH(1&amp;$B53,'Gastos com Pessoal'!$I$532:$AJ$532&amp;'Gastos com Pessoal'!$I$512:$AJ$512,0),10,1)),0)+_xlfn.IFNA(SUM((H$3&gt;='Gastos com Pessoal'!$E$513:$E$522)*(H$3&lt;='Gastos com Pessoal'!$F$513:$F$522)*(IF('Gastos com Pessoal'!$M$513:$M$522&lt;=H$3,1,0))*OFFSET('Gastos com Pessoal'!$H$512,1,MATCH(2&amp;$B53,'Gastos com Pessoal'!$I$532:$AJ$532&amp;'Gastos com Pessoal'!$I$512:$AJ$512,0),10,1)),0)+_xlfn.IFNA(SUM((H$3&gt;='Gastos com Pessoal'!$E$513:$E$522)*(H$3&lt;='Gastos com Pessoal'!$F$513:$F$522)*(IF('Gastos com Pessoal'!$S$513:$S$522&lt;=H$3,1,0))*OFFSET('Gastos com Pessoal'!$H$512,1,MATCH(3&amp;$B53,'Gastos com Pessoal'!$I$532:$AJ$532&amp;'Gastos com Pessoal'!$I$512:$AJ$512,0),10,1)),0)+_xlfn.IFNA(SUM((H$3&gt;='Gastos com Pessoal'!$E$513:$E$522)*(H$3&lt;='Gastos com Pessoal'!$F$513:$F$522)*(IF('Gastos com Pessoal'!$Y$513:$Y$522&lt;=H$3,1,0))*OFFSET('Gastos com Pessoal'!$H$512,1,MATCH(4&amp;$B53,'Gastos com Pessoal'!$I$532:$AJ$532&amp;'Gastos com Pessoal'!$I$512:$AJ$512,0),10,1)),0)+_xlfn.IFNA(SUM((H$3&gt;='Gastos com Pessoal'!$E$513:$E$522)*(H$3&lt;='Gastos com Pessoal'!$F$513:$F$522)*(IF('Gastos com Pessoal'!$AE$513:$AE$522&lt;=H$3,1,0))*OFFSET('Gastos com Pessoal'!$H$512,1,MATCH(5&amp;$B53,'Gastos com Pessoal'!$I$532:$AJ$532&amp;'Gastos com Pessoal'!$I$512:$AJ$512,0),10,1)),0)</f>
        <v>0</v>
      </c>
      <c r="I53" s="188">
        <f t="array" aca="1" ref="I53" ca="1">_xlfn.IFNA(SUM((I$3&gt;='Gastos com Pessoal'!$E$7:$E$506)*(I$3&lt;='Gastos com Pessoal'!$F$7:$F$506)*OFFSET('Encargos e Benefícios'!$D$5,1,MATCH($B53,'Encargos e Benefícios'!$E$5:$AB$5,0),500,1)),0)+_xlfn.IFNA(SUM((I$3&gt;='Gastos com Pessoal'!$E$513:$E$522)*(I$3&lt;='Gastos com Pessoal'!$F$513:$F$522)*OFFSET('Encargos e Benefícios'!$D$511,1,MATCH($B53,'Encargos e Benefícios'!$E$511:$AB$511,0),10,1)),0)+_xlfn.IFNA(SUM((I$3&gt;='Gastos com Pessoal'!$E$7:$E$506)*(I$3&lt;='Gastos com Pessoal'!$F$7:$F$506)*(IF('Gastos com Pessoal'!$G$7:$G$506&lt;=I$3,1,0))*OFFSET('Gastos com Pessoal'!$H$6,1,MATCH(1&amp;$B53,'Gastos com Pessoal'!$I$532:$AJ$532&amp;'Gastos com Pessoal'!$I$6:$AJ$6,0),500,1)),0)+_xlfn.IFNA(SUM((I$3&gt;='Gastos com Pessoal'!$E$7:$E$506)*(I$3&lt;='Gastos com Pessoal'!$F$7:$F$506)*(IF('Gastos com Pessoal'!$M$7:$M$506&lt;=I$3,1,0))*OFFSET('Gastos com Pessoal'!$H$6,1,MATCH(2&amp;$B53,'Gastos com Pessoal'!$I$532:$AJ$532&amp;'Gastos com Pessoal'!$I$6:$AJ$6,0),500,1)),0)+_xlfn.IFNA(SUM((I$3&gt;='Gastos com Pessoal'!$E$7:$E$506)*(I$3&lt;='Gastos com Pessoal'!$F$7:$F$506)*(IF('Gastos com Pessoal'!$S$7:$S$506&lt;=I$3,1,0))*OFFSET('Gastos com Pessoal'!$H$6,1,MATCH(3&amp;$B53,'Gastos com Pessoal'!$I$532:$AJ$532&amp;'Gastos com Pessoal'!$I$6:$AJ$6,0),500,1)),0)+_xlfn.IFNA(SUM((I$3&gt;='Gastos com Pessoal'!$E$7:$E$506)*(I$3&lt;='Gastos com Pessoal'!$F$7:$F$506)*(IF('Gastos com Pessoal'!$Y$7:$Y$506&lt;=I$3,1,0))*OFFSET('Gastos com Pessoal'!$H$6,1,MATCH(4&amp;$B53,'Gastos com Pessoal'!$I$532:$AJ$532&amp;'Gastos com Pessoal'!$I$6:$AJ$6,0),500,1)),0)+_xlfn.IFNA(SUM((I$3&gt;='Gastos com Pessoal'!$E$7:$E$506)*(I$3&lt;='Gastos com Pessoal'!$F$7:$F$506)*(IF('Gastos com Pessoal'!$AE$7:$AE$506&lt;=I$3,1,0))*OFFSET('Gastos com Pessoal'!$H$6,1,MATCH(5&amp;$B53,'Gastos com Pessoal'!$I$532:$AJ$532&amp;'Gastos com Pessoal'!$I$6:$AJ$6,0),500,1)),0)+_xlfn.IFNA(SUM((I$3&gt;='Gastos com Pessoal'!$E$513:$E$522)*(I$3&lt;='Gastos com Pessoal'!$F$513:$F$522)*(IF('Gastos com Pessoal'!$G$513:$G$522&lt;=I$3,1,0))*OFFSET('Gastos com Pessoal'!$H$512,1,MATCH(1&amp;$B53,'Gastos com Pessoal'!$I$532:$AJ$532&amp;'Gastos com Pessoal'!$I$512:$AJ$512,0),10,1)),0)+_xlfn.IFNA(SUM((I$3&gt;='Gastos com Pessoal'!$E$513:$E$522)*(I$3&lt;='Gastos com Pessoal'!$F$513:$F$522)*(IF('Gastos com Pessoal'!$M$513:$M$522&lt;=I$3,1,0))*OFFSET('Gastos com Pessoal'!$H$512,1,MATCH(2&amp;$B53,'Gastos com Pessoal'!$I$532:$AJ$532&amp;'Gastos com Pessoal'!$I$512:$AJ$512,0),10,1)),0)+_xlfn.IFNA(SUM((I$3&gt;='Gastos com Pessoal'!$E$513:$E$522)*(I$3&lt;='Gastos com Pessoal'!$F$513:$F$522)*(IF('Gastos com Pessoal'!$S$513:$S$522&lt;=I$3,1,0))*OFFSET('Gastos com Pessoal'!$H$512,1,MATCH(3&amp;$B53,'Gastos com Pessoal'!$I$532:$AJ$532&amp;'Gastos com Pessoal'!$I$512:$AJ$512,0),10,1)),0)+_xlfn.IFNA(SUM((I$3&gt;='Gastos com Pessoal'!$E$513:$E$522)*(I$3&lt;='Gastos com Pessoal'!$F$513:$F$522)*(IF('Gastos com Pessoal'!$Y$513:$Y$522&lt;=I$3,1,0))*OFFSET('Gastos com Pessoal'!$H$512,1,MATCH(4&amp;$B53,'Gastos com Pessoal'!$I$532:$AJ$532&amp;'Gastos com Pessoal'!$I$512:$AJ$512,0),10,1)),0)+_xlfn.IFNA(SUM((I$3&gt;='Gastos com Pessoal'!$E$513:$E$522)*(I$3&lt;='Gastos com Pessoal'!$F$513:$F$522)*(IF('Gastos com Pessoal'!$AE$513:$AE$522&lt;=I$3,1,0))*OFFSET('Gastos com Pessoal'!$H$512,1,MATCH(5&amp;$B53,'Gastos com Pessoal'!$I$532:$AJ$532&amp;'Gastos com Pessoal'!$I$512:$AJ$512,0),10,1)),0)</f>
        <v>0</v>
      </c>
      <c r="J53" s="188">
        <f t="array" aca="1" ref="J53" ca="1">_xlfn.IFNA(SUM((J$3&gt;='Gastos com Pessoal'!$E$7:$E$506)*(J$3&lt;='Gastos com Pessoal'!$F$7:$F$506)*OFFSET('Encargos e Benefícios'!$D$5,1,MATCH($B53,'Encargos e Benefícios'!$E$5:$AB$5,0),500,1)),0)+_xlfn.IFNA(SUM((J$3&gt;='Gastos com Pessoal'!$E$513:$E$522)*(J$3&lt;='Gastos com Pessoal'!$F$513:$F$522)*OFFSET('Encargos e Benefícios'!$D$511,1,MATCH($B53,'Encargos e Benefícios'!$E$511:$AB$511,0),10,1)),0)+_xlfn.IFNA(SUM((J$3&gt;='Gastos com Pessoal'!$E$7:$E$506)*(J$3&lt;='Gastos com Pessoal'!$F$7:$F$506)*(IF('Gastos com Pessoal'!$G$7:$G$506&lt;=J$3,1,0))*OFFSET('Gastos com Pessoal'!$H$6,1,MATCH(1&amp;$B53,'Gastos com Pessoal'!$I$532:$AJ$532&amp;'Gastos com Pessoal'!$I$6:$AJ$6,0),500,1)),0)+_xlfn.IFNA(SUM((J$3&gt;='Gastos com Pessoal'!$E$7:$E$506)*(J$3&lt;='Gastos com Pessoal'!$F$7:$F$506)*(IF('Gastos com Pessoal'!$M$7:$M$506&lt;=J$3,1,0))*OFFSET('Gastos com Pessoal'!$H$6,1,MATCH(2&amp;$B53,'Gastos com Pessoal'!$I$532:$AJ$532&amp;'Gastos com Pessoal'!$I$6:$AJ$6,0),500,1)),0)+_xlfn.IFNA(SUM((J$3&gt;='Gastos com Pessoal'!$E$7:$E$506)*(J$3&lt;='Gastos com Pessoal'!$F$7:$F$506)*(IF('Gastos com Pessoal'!$S$7:$S$506&lt;=J$3,1,0))*OFFSET('Gastos com Pessoal'!$H$6,1,MATCH(3&amp;$B53,'Gastos com Pessoal'!$I$532:$AJ$532&amp;'Gastos com Pessoal'!$I$6:$AJ$6,0),500,1)),0)+_xlfn.IFNA(SUM((J$3&gt;='Gastos com Pessoal'!$E$7:$E$506)*(J$3&lt;='Gastos com Pessoal'!$F$7:$F$506)*(IF('Gastos com Pessoal'!$Y$7:$Y$506&lt;=J$3,1,0))*OFFSET('Gastos com Pessoal'!$H$6,1,MATCH(4&amp;$B53,'Gastos com Pessoal'!$I$532:$AJ$532&amp;'Gastos com Pessoal'!$I$6:$AJ$6,0),500,1)),0)+_xlfn.IFNA(SUM((J$3&gt;='Gastos com Pessoal'!$E$7:$E$506)*(J$3&lt;='Gastos com Pessoal'!$F$7:$F$506)*(IF('Gastos com Pessoal'!$AE$7:$AE$506&lt;=J$3,1,0))*OFFSET('Gastos com Pessoal'!$H$6,1,MATCH(5&amp;$B53,'Gastos com Pessoal'!$I$532:$AJ$532&amp;'Gastos com Pessoal'!$I$6:$AJ$6,0),500,1)),0)+_xlfn.IFNA(SUM((J$3&gt;='Gastos com Pessoal'!$E$513:$E$522)*(J$3&lt;='Gastos com Pessoal'!$F$513:$F$522)*(IF('Gastos com Pessoal'!$G$513:$G$522&lt;=J$3,1,0))*OFFSET('Gastos com Pessoal'!$H$512,1,MATCH(1&amp;$B53,'Gastos com Pessoal'!$I$532:$AJ$532&amp;'Gastos com Pessoal'!$I$512:$AJ$512,0),10,1)),0)+_xlfn.IFNA(SUM((J$3&gt;='Gastos com Pessoal'!$E$513:$E$522)*(J$3&lt;='Gastos com Pessoal'!$F$513:$F$522)*(IF('Gastos com Pessoal'!$M$513:$M$522&lt;=J$3,1,0))*OFFSET('Gastos com Pessoal'!$H$512,1,MATCH(2&amp;$B53,'Gastos com Pessoal'!$I$532:$AJ$532&amp;'Gastos com Pessoal'!$I$512:$AJ$512,0),10,1)),0)+_xlfn.IFNA(SUM((J$3&gt;='Gastos com Pessoal'!$E$513:$E$522)*(J$3&lt;='Gastos com Pessoal'!$F$513:$F$522)*(IF('Gastos com Pessoal'!$S$513:$S$522&lt;=J$3,1,0))*OFFSET('Gastos com Pessoal'!$H$512,1,MATCH(3&amp;$B53,'Gastos com Pessoal'!$I$532:$AJ$532&amp;'Gastos com Pessoal'!$I$512:$AJ$512,0),10,1)),0)+_xlfn.IFNA(SUM((J$3&gt;='Gastos com Pessoal'!$E$513:$E$522)*(J$3&lt;='Gastos com Pessoal'!$F$513:$F$522)*(IF('Gastos com Pessoal'!$Y$513:$Y$522&lt;=J$3,1,0))*OFFSET('Gastos com Pessoal'!$H$512,1,MATCH(4&amp;$B53,'Gastos com Pessoal'!$I$532:$AJ$532&amp;'Gastos com Pessoal'!$I$512:$AJ$512,0),10,1)),0)+_xlfn.IFNA(SUM((J$3&gt;='Gastos com Pessoal'!$E$513:$E$522)*(J$3&lt;='Gastos com Pessoal'!$F$513:$F$522)*(IF('Gastos com Pessoal'!$AE$513:$AE$522&lt;=J$3,1,0))*OFFSET('Gastos com Pessoal'!$H$512,1,MATCH(5&amp;$B53,'Gastos com Pessoal'!$I$532:$AJ$532&amp;'Gastos com Pessoal'!$I$512:$AJ$512,0),10,1)),0)</f>
        <v>0</v>
      </c>
      <c r="K53" s="188">
        <f t="array" aca="1" ref="K53" ca="1">_xlfn.IFNA(SUM((K$3&gt;='Gastos com Pessoal'!$E$7:$E$506)*(K$3&lt;='Gastos com Pessoal'!$F$7:$F$506)*OFFSET('Encargos e Benefícios'!$D$5,1,MATCH($B53,'Encargos e Benefícios'!$E$5:$AB$5,0),500,1)),0)+_xlfn.IFNA(SUM((K$3&gt;='Gastos com Pessoal'!$E$513:$E$522)*(K$3&lt;='Gastos com Pessoal'!$F$513:$F$522)*OFFSET('Encargos e Benefícios'!$D$511,1,MATCH($B53,'Encargos e Benefícios'!$E$511:$AB$511,0),10,1)),0)+_xlfn.IFNA(SUM((K$3&gt;='Gastos com Pessoal'!$E$7:$E$506)*(K$3&lt;='Gastos com Pessoal'!$F$7:$F$506)*(IF('Gastos com Pessoal'!$G$7:$G$506&lt;=K$3,1,0))*OFFSET('Gastos com Pessoal'!$H$6,1,MATCH(1&amp;$B53,'Gastos com Pessoal'!$I$532:$AJ$532&amp;'Gastos com Pessoal'!$I$6:$AJ$6,0),500,1)),0)+_xlfn.IFNA(SUM((K$3&gt;='Gastos com Pessoal'!$E$7:$E$506)*(K$3&lt;='Gastos com Pessoal'!$F$7:$F$506)*(IF('Gastos com Pessoal'!$M$7:$M$506&lt;=K$3,1,0))*OFFSET('Gastos com Pessoal'!$H$6,1,MATCH(2&amp;$B53,'Gastos com Pessoal'!$I$532:$AJ$532&amp;'Gastos com Pessoal'!$I$6:$AJ$6,0),500,1)),0)+_xlfn.IFNA(SUM((K$3&gt;='Gastos com Pessoal'!$E$7:$E$506)*(K$3&lt;='Gastos com Pessoal'!$F$7:$F$506)*(IF('Gastos com Pessoal'!$S$7:$S$506&lt;=K$3,1,0))*OFFSET('Gastos com Pessoal'!$H$6,1,MATCH(3&amp;$B53,'Gastos com Pessoal'!$I$532:$AJ$532&amp;'Gastos com Pessoal'!$I$6:$AJ$6,0),500,1)),0)+_xlfn.IFNA(SUM((K$3&gt;='Gastos com Pessoal'!$E$7:$E$506)*(K$3&lt;='Gastos com Pessoal'!$F$7:$F$506)*(IF('Gastos com Pessoal'!$Y$7:$Y$506&lt;=K$3,1,0))*OFFSET('Gastos com Pessoal'!$H$6,1,MATCH(4&amp;$B53,'Gastos com Pessoal'!$I$532:$AJ$532&amp;'Gastos com Pessoal'!$I$6:$AJ$6,0),500,1)),0)+_xlfn.IFNA(SUM((K$3&gt;='Gastos com Pessoal'!$E$7:$E$506)*(K$3&lt;='Gastos com Pessoal'!$F$7:$F$506)*(IF('Gastos com Pessoal'!$AE$7:$AE$506&lt;=K$3,1,0))*OFFSET('Gastos com Pessoal'!$H$6,1,MATCH(5&amp;$B53,'Gastos com Pessoal'!$I$532:$AJ$532&amp;'Gastos com Pessoal'!$I$6:$AJ$6,0),500,1)),0)+_xlfn.IFNA(SUM((K$3&gt;='Gastos com Pessoal'!$E$513:$E$522)*(K$3&lt;='Gastos com Pessoal'!$F$513:$F$522)*(IF('Gastos com Pessoal'!$G$513:$G$522&lt;=K$3,1,0))*OFFSET('Gastos com Pessoal'!$H$512,1,MATCH(1&amp;$B53,'Gastos com Pessoal'!$I$532:$AJ$532&amp;'Gastos com Pessoal'!$I$512:$AJ$512,0),10,1)),0)+_xlfn.IFNA(SUM((K$3&gt;='Gastos com Pessoal'!$E$513:$E$522)*(K$3&lt;='Gastos com Pessoal'!$F$513:$F$522)*(IF('Gastos com Pessoal'!$M$513:$M$522&lt;=K$3,1,0))*OFFSET('Gastos com Pessoal'!$H$512,1,MATCH(2&amp;$B53,'Gastos com Pessoal'!$I$532:$AJ$532&amp;'Gastos com Pessoal'!$I$512:$AJ$512,0),10,1)),0)+_xlfn.IFNA(SUM((K$3&gt;='Gastos com Pessoal'!$E$513:$E$522)*(K$3&lt;='Gastos com Pessoal'!$F$513:$F$522)*(IF('Gastos com Pessoal'!$S$513:$S$522&lt;=K$3,1,0))*OFFSET('Gastos com Pessoal'!$H$512,1,MATCH(3&amp;$B53,'Gastos com Pessoal'!$I$532:$AJ$532&amp;'Gastos com Pessoal'!$I$512:$AJ$512,0),10,1)),0)+_xlfn.IFNA(SUM((K$3&gt;='Gastos com Pessoal'!$E$513:$E$522)*(K$3&lt;='Gastos com Pessoal'!$F$513:$F$522)*(IF('Gastos com Pessoal'!$Y$513:$Y$522&lt;=K$3,1,0))*OFFSET('Gastos com Pessoal'!$H$512,1,MATCH(4&amp;$B53,'Gastos com Pessoal'!$I$532:$AJ$532&amp;'Gastos com Pessoal'!$I$512:$AJ$512,0),10,1)),0)+_xlfn.IFNA(SUM((K$3&gt;='Gastos com Pessoal'!$E$513:$E$522)*(K$3&lt;='Gastos com Pessoal'!$F$513:$F$522)*(IF('Gastos com Pessoal'!$AE$513:$AE$522&lt;=K$3,1,0))*OFFSET('Gastos com Pessoal'!$H$512,1,MATCH(5&amp;$B53,'Gastos com Pessoal'!$I$532:$AJ$532&amp;'Gastos com Pessoal'!$I$512:$AJ$512,0),10,1)),0)</f>
        <v>0</v>
      </c>
      <c r="L53" s="188">
        <f t="array" aca="1" ref="L53" ca="1">_xlfn.IFNA(SUM((L$3&gt;='Gastos com Pessoal'!$E$7:$E$506)*(L$3&lt;='Gastos com Pessoal'!$F$7:$F$506)*OFFSET('Encargos e Benefícios'!$D$5,1,MATCH($B53,'Encargos e Benefícios'!$E$5:$AB$5,0),500,1)),0)+_xlfn.IFNA(SUM((L$3&gt;='Gastos com Pessoal'!$E$513:$E$522)*(L$3&lt;='Gastos com Pessoal'!$F$513:$F$522)*OFFSET('Encargos e Benefícios'!$D$511,1,MATCH($B53,'Encargos e Benefícios'!$E$511:$AB$511,0),10,1)),0)+_xlfn.IFNA(SUM((L$3&gt;='Gastos com Pessoal'!$E$7:$E$506)*(L$3&lt;='Gastos com Pessoal'!$F$7:$F$506)*(IF('Gastos com Pessoal'!$G$7:$G$506&lt;=L$3,1,0))*OFFSET('Gastos com Pessoal'!$H$6,1,MATCH(1&amp;$B53,'Gastos com Pessoal'!$I$532:$AJ$532&amp;'Gastos com Pessoal'!$I$6:$AJ$6,0),500,1)),0)+_xlfn.IFNA(SUM((L$3&gt;='Gastos com Pessoal'!$E$7:$E$506)*(L$3&lt;='Gastos com Pessoal'!$F$7:$F$506)*(IF('Gastos com Pessoal'!$M$7:$M$506&lt;=L$3,1,0))*OFFSET('Gastos com Pessoal'!$H$6,1,MATCH(2&amp;$B53,'Gastos com Pessoal'!$I$532:$AJ$532&amp;'Gastos com Pessoal'!$I$6:$AJ$6,0),500,1)),0)+_xlfn.IFNA(SUM((L$3&gt;='Gastos com Pessoal'!$E$7:$E$506)*(L$3&lt;='Gastos com Pessoal'!$F$7:$F$506)*(IF('Gastos com Pessoal'!$S$7:$S$506&lt;=L$3,1,0))*OFFSET('Gastos com Pessoal'!$H$6,1,MATCH(3&amp;$B53,'Gastos com Pessoal'!$I$532:$AJ$532&amp;'Gastos com Pessoal'!$I$6:$AJ$6,0),500,1)),0)+_xlfn.IFNA(SUM((L$3&gt;='Gastos com Pessoal'!$E$7:$E$506)*(L$3&lt;='Gastos com Pessoal'!$F$7:$F$506)*(IF('Gastos com Pessoal'!$Y$7:$Y$506&lt;=L$3,1,0))*OFFSET('Gastos com Pessoal'!$H$6,1,MATCH(4&amp;$B53,'Gastos com Pessoal'!$I$532:$AJ$532&amp;'Gastos com Pessoal'!$I$6:$AJ$6,0),500,1)),0)+_xlfn.IFNA(SUM((L$3&gt;='Gastos com Pessoal'!$E$7:$E$506)*(L$3&lt;='Gastos com Pessoal'!$F$7:$F$506)*(IF('Gastos com Pessoal'!$AE$7:$AE$506&lt;=L$3,1,0))*OFFSET('Gastos com Pessoal'!$H$6,1,MATCH(5&amp;$B53,'Gastos com Pessoal'!$I$532:$AJ$532&amp;'Gastos com Pessoal'!$I$6:$AJ$6,0),500,1)),0)+_xlfn.IFNA(SUM((L$3&gt;='Gastos com Pessoal'!$E$513:$E$522)*(L$3&lt;='Gastos com Pessoal'!$F$513:$F$522)*(IF('Gastos com Pessoal'!$G$513:$G$522&lt;=L$3,1,0))*OFFSET('Gastos com Pessoal'!$H$512,1,MATCH(1&amp;$B53,'Gastos com Pessoal'!$I$532:$AJ$532&amp;'Gastos com Pessoal'!$I$512:$AJ$512,0),10,1)),0)+_xlfn.IFNA(SUM((L$3&gt;='Gastos com Pessoal'!$E$513:$E$522)*(L$3&lt;='Gastos com Pessoal'!$F$513:$F$522)*(IF('Gastos com Pessoal'!$M$513:$M$522&lt;=L$3,1,0))*OFFSET('Gastos com Pessoal'!$H$512,1,MATCH(2&amp;$B53,'Gastos com Pessoal'!$I$532:$AJ$532&amp;'Gastos com Pessoal'!$I$512:$AJ$512,0),10,1)),0)+_xlfn.IFNA(SUM((L$3&gt;='Gastos com Pessoal'!$E$513:$E$522)*(L$3&lt;='Gastos com Pessoal'!$F$513:$F$522)*(IF('Gastos com Pessoal'!$S$513:$S$522&lt;=L$3,1,0))*OFFSET('Gastos com Pessoal'!$H$512,1,MATCH(3&amp;$B53,'Gastos com Pessoal'!$I$532:$AJ$532&amp;'Gastos com Pessoal'!$I$512:$AJ$512,0),10,1)),0)+_xlfn.IFNA(SUM((L$3&gt;='Gastos com Pessoal'!$E$513:$E$522)*(L$3&lt;='Gastos com Pessoal'!$F$513:$F$522)*(IF('Gastos com Pessoal'!$Y$513:$Y$522&lt;=L$3,1,0))*OFFSET('Gastos com Pessoal'!$H$512,1,MATCH(4&amp;$B53,'Gastos com Pessoal'!$I$532:$AJ$532&amp;'Gastos com Pessoal'!$I$512:$AJ$512,0),10,1)),0)+_xlfn.IFNA(SUM((L$3&gt;='Gastos com Pessoal'!$E$513:$E$522)*(L$3&lt;='Gastos com Pessoal'!$F$513:$F$522)*(IF('Gastos com Pessoal'!$AE$513:$AE$522&lt;=L$3,1,0))*OFFSET('Gastos com Pessoal'!$H$512,1,MATCH(5&amp;$B53,'Gastos com Pessoal'!$I$532:$AJ$532&amp;'Gastos com Pessoal'!$I$512:$AJ$512,0),10,1)),0)</f>
        <v>0</v>
      </c>
      <c r="M53" s="188">
        <f t="array" aca="1" ref="M53" ca="1">_xlfn.IFNA(SUM((M$3&gt;='Gastos com Pessoal'!$E$7:$E$506)*(M$3&lt;='Gastos com Pessoal'!$F$7:$F$506)*OFFSET('Encargos e Benefícios'!$D$5,1,MATCH($B53,'Encargos e Benefícios'!$E$5:$AB$5,0),500,1)),0)+_xlfn.IFNA(SUM((M$3&gt;='Gastos com Pessoal'!$E$513:$E$522)*(M$3&lt;='Gastos com Pessoal'!$F$513:$F$522)*OFFSET('Encargos e Benefícios'!$D$511,1,MATCH($B53,'Encargos e Benefícios'!$E$511:$AB$511,0),10,1)),0)+_xlfn.IFNA(SUM((M$3&gt;='Gastos com Pessoal'!$E$7:$E$506)*(M$3&lt;='Gastos com Pessoal'!$F$7:$F$506)*(IF('Gastos com Pessoal'!$G$7:$G$506&lt;=M$3,1,0))*OFFSET('Gastos com Pessoal'!$H$6,1,MATCH(1&amp;$B53,'Gastos com Pessoal'!$I$532:$AJ$532&amp;'Gastos com Pessoal'!$I$6:$AJ$6,0),500,1)),0)+_xlfn.IFNA(SUM((M$3&gt;='Gastos com Pessoal'!$E$7:$E$506)*(M$3&lt;='Gastos com Pessoal'!$F$7:$F$506)*(IF('Gastos com Pessoal'!$M$7:$M$506&lt;=M$3,1,0))*OFFSET('Gastos com Pessoal'!$H$6,1,MATCH(2&amp;$B53,'Gastos com Pessoal'!$I$532:$AJ$532&amp;'Gastos com Pessoal'!$I$6:$AJ$6,0),500,1)),0)+_xlfn.IFNA(SUM((M$3&gt;='Gastos com Pessoal'!$E$7:$E$506)*(M$3&lt;='Gastos com Pessoal'!$F$7:$F$506)*(IF('Gastos com Pessoal'!$S$7:$S$506&lt;=M$3,1,0))*OFFSET('Gastos com Pessoal'!$H$6,1,MATCH(3&amp;$B53,'Gastos com Pessoal'!$I$532:$AJ$532&amp;'Gastos com Pessoal'!$I$6:$AJ$6,0),500,1)),0)+_xlfn.IFNA(SUM((M$3&gt;='Gastos com Pessoal'!$E$7:$E$506)*(M$3&lt;='Gastos com Pessoal'!$F$7:$F$506)*(IF('Gastos com Pessoal'!$Y$7:$Y$506&lt;=M$3,1,0))*OFFSET('Gastos com Pessoal'!$H$6,1,MATCH(4&amp;$B53,'Gastos com Pessoal'!$I$532:$AJ$532&amp;'Gastos com Pessoal'!$I$6:$AJ$6,0),500,1)),0)+_xlfn.IFNA(SUM((M$3&gt;='Gastos com Pessoal'!$E$7:$E$506)*(M$3&lt;='Gastos com Pessoal'!$F$7:$F$506)*(IF('Gastos com Pessoal'!$AE$7:$AE$506&lt;=M$3,1,0))*OFFSET('Gastos com Pessoal'!$H$6,1,MATCH(5&amp;$B53,'Gastos com Pessoal'!$I$532:$AJ$532&amp;'Gastos com Pessoal'!$I$6:$AJ$6,0),500,1)),0)+_xlfn.IFNA(SUM((M$3&gt;='Gastos com Pessoal'!$E$513:$E$522)*(M$3&lt;='Gastos com Pessoal'!$F$513:$F$522)*(IF('Gastos com Pessoal'!$G$513:$G$522&lt;=M$3,1,0))*OFFSET('Gastos com Pessoal'!$H$512,1,MATCH(1&amp;$B53,'Gastos com Pessoal'!$I$532:$AJ$532&amp;'Gastos com Pessoal'!$I$512:$AJ$512,0),10,1)),0)+_xlfn.IFNA(SUM((M$3&gt;='Gastos com Pessoal'!$E$513:$E$522)*(M$3&lt;='Gastos com Pessoal'!$F$513:$F$522)*(IF('Gastos com Pessoal'!$M$513:$M$522&lt;=M$3,1,0))*OFFSET('Gastos com Pessoal'!$H$512,1,MATCH(2&amp;$B53,'Gastos com Pessoal'!$I$532:$AJ$532&amp;'Gastos com Pessoal'!$I$512:$AJ$512,0),10,1)),0)+_xlfn.IFNA(SUM((M$3&gt;='Gastos com Pessoal'!$E$513:$E$522)*(M$3&lt;='Gastos com Pessoal'!$F$513:$F$522)*(IF('Gastos com Pessoal'!$S$513:$S$522&lt;=M$3,1,0))*OFFSET('Gastos com Pessoal'!$H$512,1,MATCH(3&amp;$B53,'Gastos com Pessoal'!$I$532:$AJ$532&amp;'Gastos com Pessoal'!$I$512:$AJ$512,0),10,1)),0)+_xlfn.IFNA(SUM((M$3&gt;='Gastos com Pessoal'!$E$513:$E$522)*(M$3&lt;='Gastos com Pessoal'!$F$513:$F$522)*(IF('Gastos com Pessoal'!$Y$513:$Y$522&lt;=M$3,1,0))*OFFSET('Gastos com Pessoal'!$H$512,1,MATCH(4&amp;$B53,'Gastos com Pessoal'!$I$532:$AJ$532&amp;'Gastos com Pessoal'!$I$512:$AJ$512,0),10,1)),0)+_xlfn.IFNA(SUM((M$3&gt;='Gastos com Pessoal'!$E$513:$E$522)*(M$3&lt;='Gastos com Pessoal'!$F$513:$F$522)*(IF('Gastos com Pessoal'!$AE$513:$AE$522&lt;=M$3,1,0))*OFFSET('Gastos com Pessoal'!$H$512,1,MATCH(5&amp;$B53,'Gastos com Pessoal'!$I$532:$AJ$532&amp;'Gastos com Pessoal'!$I$512:$AJ$512,0),10,1)),0)</f>
        <v>0</v>
      </c>
      <c r="N53" s="188">
        <f t="array" aca="1" ref="N53" ca="1">_xlfn.IFNA(SUM((N$3&gt;='Gastos com Pessoal'!$E$7:$E$506)*(N$3&lt;='Gastos com Pessoal'!$F$7:$F$506)*OFFSET('Encargos e Benefícios'!$D$5,1,MATCH($B53,'Encargos e Benefícios'!$E$5:$AB$5,0),500,1)),0)+_xlfn.IFNA(SUM((N$3&gt;='Gastos com Pessoal'!$E$513:$E$522)*(N$3&lt;='Gastos com Pessoal'!$F$513:$F$522)*OFFSET('Encargos e Benefícios'!$D$511,1,MATCH($B53,'Encargos e Benefícios'!$E$511:$AB$511,0),10,1)),0)+_xlfn.IFNA(SUM((N$3&gt;='Gastos com Pessoal'!$E$7:$E$506)*(N$3&lt;='Gastos com Pessoal'!$F$7:$F$506)*(IF('Gastos com Pessoal'!$G$7:$G$506&lt;=N$3,1,0))*OFFSET('Gastos com Pessoal'!$H$6,1,MATCH(1&amp;$B53,'Gastos com Pessoal'!$I$532:$AJ$532&amp;'Gastos com Pessoal'!$I$6:$AJ$6,0),500,1)),0)+_xlfn.IFNA(SUM((N$3&gt;='Gastos com Pessoal'!$E$7:$E$506)*(N$3&lt;='Gastos com Pessoal'!$F$7:$F$506)*(IF('Gastos com Pessoal'!$M$7:$M$506&lt;=N$3,1,0))*OFFSET('Gastos com Pessoal'!$H$6,1,MATCH(2&amp;$B53,'Gastos com Pessoal'!$I$532:$AJ$532&amp;'Gastos com Pessoal'!$I$6:$AJ$6,0),500,1)),0)+_xlfn.IFNA(SUM((N$3&gt;='Gastos com Pessoal'!$E$7:$E$506)*(N$3&lt;='Gastos com Pessoal'!$F$7:$F$506)*(IF('Gastos com Pessoal'!$S$7:$S$506&lt;=N$3,1,0))*OFFSET('Gastos com Pessoal'!$H$6,1,MATCH(3&amp;$B53,'Gastos com Pessoal'!$I$532:$AJ$532&amp;'Gastos com Pessoal'!$I$6:$AJ$6,0),500,1)),0)+_xlfn.IFNA(SUM((N$3&gt;='Gastos com Pessoal'!$E$7:$E$506)*(N$3&lt;='Gastos com Pessoal'!$F$7:$F$506)*(IF('Gastos com Pessoal'!$Y$7:$Y$506&lt;=N$3,1,0))*OFFSET('Gastos com Pessoal'!$H$6,1,MATCH(4&amp;$B53,'Gastos com Pessoal'!$I$532:$AJ$532&amp;'Gastos com Pessoal'!$I$6:$AJ$6,0),500,1)),0)+_xlfn.IFNA(SUM((N$3&gt;='Gastos com Pessoal'!$E$7:$E$506)*(N$3&lt;='Gastos com Pessoal'!$F$7:$F$506)*(IF('Gastos com Pessoal'!$AE$7:$AE$506&lt;=N$3,1,0))*OFFSET('Gastos com Pessoal'!$H$6,1,MATCH(5&amp;$B53,'Gastos com Pessoal'!$I$532:$AJ$532&amp;'Gastos com Pessoal'!$I$6:$AJ$6,0),500,1)),0)+_xlfn.IFNA(SUM((N$3&gt;='Gastos com Pessoal'!$E$513:$E$522)*(N$3&lt;='Gastos com Pessoal'!$F$513:$F$522)*(IF('Gastos com Pessoal'!$G$513:$G$522&lt;=N$3,1,0))*OFFSET('Gastos com Pessoal'!$H$512,1,MATCH(1&amp;$B53,'Gastos com Pessoal'!$I$532:$AJ$532&amp;'Gastos com Pessoal'!$I$512:$AJ$512,0),10,1)),0)+_xlfn.IFNA(SUM((N$3&gt;='Gastos com Pessoal'!$E$513:$E$522)*(N$3&lt;='Gastos com Pessoal'!$F$513:$F$522)*(IF('Gastos com Pessoal'!$M$513:$M$522&lt;=N$3,1,0))*OFFSET('Gastos com Pessoal'!$H$512,1,MATCH(2&amp;$B53,'Gastos com Pessoal'!$I$532:$AJ$532&amp;'Gastos com Pessoal'!$I$512:$AJ$512,0),10,1)),0)+_xlfn.IFNA(SUM((N$3&gt;='Gastos com Pessoal'!$E$513:$E$522)*(N$3&lt;='Gastos com Pessoal'!$F$513:$F$522)*(IF('Gastos com Pessoal'!$S$513:$S$522&lt;=N$3,1,0))*OFFSET('Gastos com Pessoal'!$H$512,1,MATCH(3&amp;$B53,'Gastos com Pessoal'!$I$532:$AJ$532&amp;'Gastos com Pessoal'!$I$512:$AJ$512,0),10,1)),0)+_xlfn.IFNA(SUM((N$3&gt;='Gastos com Pessoal'!$E$513:$E$522)*(N$3&lt;='Gastos com Pessoal'!$F$513:$F$522)*(IF('Gastos com Pessoal'!$Y$513:$Y$522&lt;=N$3,1,0))*OFFSET('Gastos com Pessoal'!$H$512,1,MATCH(4&amp;$B53,'Gastos com Pessoal'!$I$532:$AJ$532&amp;'Gastos com Pessoal'!$I$512:$AJ$512,0),10,1)),0)+_xlfn.IFNA(SUM((N$3&gt;='Gastos com Pessoal'!$E$513:$E$522)*(N$3&lt;='Gastos com Pessoal'!$F$513:$F$522)*(IF('Gastos com Pessoal'!$AE$513:$AE$522&lt;=N$3,1,0))*OFFSET('Gastos com Pessoal'!$H$512,1,MATCH(5&amp;$B53,'Gastos com Pessoal'!$I$532:$AJ$532&amp;'Gastos com Pessoal'!$I$512:$AJ$512,0),10,1)),0)</f>
        <v>0</v>
      </c>
      <c r="O53" s="188">
        <f t="array" aca="1" ref="O53" ca="1">_xlfn.IFNA(SUM((O$3&gt;='Gastos com Pessoal'!$E$7:$E$506)*(O$3&lt;='Gastos com Pessoal'!$F$7:$F$506)*OFFSET('Encargos e Benefícios'!$D$5,1,MATCH($B53,'Encargos e Benefícios'!$E$5:$AB$5,0),500,1)),0)+_xlfn.IFNA(SUM((O$3&gt;='Gastos com Pessoal'!$E$513:$E$522)*(O$3&lt;='Gastos com Pessoal'!$F$513:$F$522)*OFFSET('Encargos e Benefícios'!$D$511,1,MATCH($B53,'Encargos e Benefícios'!$E$511:$AB$511,0),10,1)),0)+_xlfn.IFNA(SUM((O$3&gt;='Gastos com Pessoal'!$E$7:$E$506)*(O$3&lt;='Gastos com Pessoal'!$F$7:$F$506)*(IF('Gastos com Pessoal'!$G$7:$G$506&lt;=O$3,1,0))*OFFSET('Gastos com Pessoal'!$H$6,1,MATCH(1&amp;$B53,'Gastos com Pessoal'!$I$532:$AJ$532&amp;'Gastos com Pessoal'!$I$6:$AJ$6,0),500,1)),0)+_xlfn.IFNA(SUM((O$3&gt;='Gastos com Pessoal'!$E$7:$E$506)*(O$3&lt;='Gastos com Pessoal'!$F$7:$F$506)*(IF('Gastos com Pessoal'!$M$7:$M$506&lt;=O$3,1,0))*OFFSET('Gastos com Pessoal'!$H$6,1,MATCH(2&amp;$B53,'Gastos com Pessoal'!$I$532:$AJ$532&amp;'Gastos com Pessoal'!$I$6:$AJ$6,0),500,1)),0)+_xlfn.IFNA(SUM((O$3&gt;='Gastos com Pessoal'!$E$7:$E$506)*(O$3&lt;='Gastos com Pessoal'!$F$7:$F$506)*(IF('Gastos com Pessoal'!$S$7:$S$506&lt;=O$3,1,0))*OFFSET('Gastos com Pessoal'!$H$6,1,MATCH(3&amp;$B53,'Gastos com Pessoal'!$I$532:$AJ$532&amp;'Gastos com Pessoal'!$I$6:$AJ$6,0),500,1)),0)+_xlfn.IFNA(SUM((O$3&gt;='Gastos com Pessoal'!$E$7:$E$506)*(O$3&lt;='Gastos com Pessoal'!$F$7:$F$506)*(IF('Gastos com Pessoal'!$Y$7:$Y$506&lt;=O$3,1,0))*OFFSET('Gastos com Pessoal'!$H$6,1,MATCH(4&amp;$B53,'Gastos com Pessoal'!$I$532:$AJ$532&amp;'Gastos com Pessoal'!$I$6:$AJ$6,0),500,1)),0)+_xlfn.IFNA(SUM((O$3&gt;='Gastos com Pessoal'!$E$7:$E$506)*(O$3&lt;='Gastos com Pessoal'!$F$7:$F$506)*(IF('Gastos com Pessoal'!$AE$7:$AE$506&lt;=O$3,1,0))*OFFSET('Gastos com Pessoal'!$H$6,1,MATCH(5&amp;$B53,'Gastos com Pessoal'!$I$532:$AJ$532&amp;'Gastos com Pessoal'!$I$6:$AJ$6,0),500,1)),0)+_xlfn.IFNA(SUM((O$3&gt;='Gastos com Pessoal'!$E$513:$E$522)*(O$3&lt;='Gastos com Pessoal'!$F$513:$F$522)*(IF('Gastos com Pessoal'!$G$513:$G$522&lt;=O$3,1,0))*OFFSET('Gastos com Pessoal'!$H$512,1,MATCH(1&amp;$B53,'Gastos com Pessoal'!$I$532:$AJ$532&amp;'Gastos com Pessoal'!$I$512:$AJ$512,0),10,1)),0)+_xlfn.IFNA(SUM((O$3&gt;='Gastos com Pessoal'!$E$513:$E$522)*(O$3&lt;='Gastos com Pessoal'!$F$513:$F$522)*(IF('Gastos com Pessoal'!$M$513:$M$522&lt;=O$3,1,0))*OFFSET('Gastos com Pessoal'!$H$512,1,MATCH(2&amp;$B53,'Gastos com Pessoal'!$I$532:$AJ$532&amp;'Gastos com Pessoal'!$I$512:$AJ$512,0),10,1)),0)+_xlfn.IFNA(SUM((O$3&gt;='Gastos com Pessoal'!$E$513:$E$522)*(O$3&lt;='Gastos com Pessoal'!$F$513:$F$522)*(IF('Gastos com Pessoal'!$S$513:$S$522&lt;=O$3,1,0))*OFFSET('Gastos com Pessoal'!$H$512,1,MATCH(3&amp;$B53,'Gastos com Pessoal'!$I$532:$AJ$532&amp;'Gastos com Pessoal'!$I$512:$AJ$512,0),10,1)),0)+_xlfn.IFNA(SUM((O$3&gt;='Gastos com Pessoal'!$E$513:$E$522)*(O$3&lt;='Gastos com Pessoal'!$F$513:$F$522)*(IF('Gastos com Pessoal'!$Y$513:$Y$522&lt;=O$3,1,0))*OFFSET('Gastos com Pessoal'!$H$512,1,MATCH(4&amp;$B53,'Gastos com Pessoal'!$I$532:$AJ$532&amp;'Gastos com Pessoal'!$I$512:$AJ$512,0),10,1)),0)+_xlfn.IFNA(SUM((O$3&gt;='Gastos com Pessoal'!$E$513:$E$522)*(O$3&lt;='Gastos com Pessoal'!$F$513:$F$522)*(IF('Gastos com Pessoal'!$AE$513:$AE$522&lt;=O$3,1,0))*OFFSET('Gastos com Pessoal'!$H$512,1,MATCH(5&amp;$B53,'Gastos com Pessoal'!$I$532:$AJ$532&amp;'Gastos com Pessoal'!$I$512:$AJ$512,0),10,1)),0)</f>
        <v>0</v>
      </c>
      <c r="P53" s="188">
        <f t="array" aca="1" ref="P53" ca="1">_xlfn.IFNA(SUM((P$3&gt;='Gastos com Pessoal'!$E$7:$E$506)*(P$3&lt;='Gastos com Pessoal'!$F$7:$F$506)*OFFSET('Encargos e Benefícios'!$D$5,1,MATCH($B53,'Encargos e Benefícios'!$E$5:$AB$5,0),500,1)),0)+_xlfn.IFNA(SUM((P$3&gt;='Gastos com Pessoal'!$E$513:$E$522)*(P$3&lt;='Gastos com Pessoal'!$F$513:$F$522)*OFFSET('Encargos e Benefícios'!$D$511,1,MATCH($B53,'Encargos e Benefícios'!$E$511:$AB$511,0),10,1)),0)+_xlfn.IFNA(SUM((P$3&gt;='Gastos com Pessoal'!$E$7:$E$506)*(P$3&lt;='Gastos com Pessoal'!$F$7:$F$506)*(IF('Gastos com Pessoal'!$G$7:$G$506&lt;=P$3,1,0))*OFFSET('Gastos com Pessoal'!$H$6,1,MATCH(1&amp;$B53,'Gastos com Pessoal'!$I$532:$AJ$532&amp;'Gastos com Pessoal'!$I$6:$AJ$6,0),500,1)),0)+_xlfn.IFNA(SUM((P$3&gt;='Gastos com Pessoal'!$E$7:$E$506)*(P$3&lt;='Gastos com Pessoal'!$F$7:$F$506)*(IF('Gastos com Pessoal'!$M$7:$M$506&lt;=P$3,1,0))*OFFSET('Gastos com Pessoal'!$H$6,1,MATCH(2&amp;$B53,'Gastos com Pessoal'!$I$532:$AJ$532&amp;'Gastos com Pessoal'!$I$6:$AJ$6,0),500,1)),0)+_xlfn.IFNA(SUM((P$3&gt;='Gastos com Pessoal'!$E$7:$E$506)*(P$3&lt;='Gastos com Pessoal'!$F$7:$F$506)*(IF('Gastos com Pessoal'!$S$7:$S$506&lt;=P$3,1,0))*OFFSET('Gastos com Pessoal'!$H$6,1,MATCH(3&amp;$B53,'Gastos com Pessoal'!$I$532:$AJ$532&amp;'Gastos com Pessoal'!$I$6:$AJ$6,0),500,1)),0)+_xlfn.IFNA(SUM((P$3&gt;='Gastos com Pessoal'!$E$7:$E$506)*(P$3&lt;='Gastos com Pessoal'!$F$7:$F$506)*(IF('Gastos com Pessoal'!$Y$7:$Y$506&lt;=P$3,1,0))*OFFSET('Gastos com Pessoal'!$H$6,1,MATCH(4&amp;$B53,'Gastos com Pessoal'!$I$532:$AJ$532&amp;'Gastos com Pessoal'!$I$6:$AJ$6,0),500,1)),0)+_xlfn.IFNA(SUM((P$3&gt;='Gastos com Pessoal'!$E$7:$E$506)*(P$3&lt;='Gastos com Pessoal'!$F$7:$F$506)*(IF('Gastos com Pessoal'!$AE$7:$AE$506&lt;=P$3,1,0))*OFFSET('Gastos com Pessoal'!$H$6,1,MATCH(5&amp;$B53,'Gastos com Pessoal'!$I$532:$AJ$532&amp;'Gastos com Pessoal'!$I$6:$AJ$6,0),500,1)),0)+_xlfn.IFNA(SUM((P$3&gt;='Gastos com Pessoal'!$E$513:$E$522)*(P$3&lt;='Gastos com Pessoal'!$F$513:$F$522)*(IF('Gastos com Pessoal'!$G$513:$G$522&lt;=P$3,1,0))*OFFSET('Gastos com Pessoal'!$H$512,1,MATCH(1&amp;$B53,'Gastos com Pessoal'!$I$532:$AJ$532&amp;'Gastos com Pessoal'!$I$512:$AJ$512,0),10,1)),0)+_xlfn.IFNA(SUM((P$3&gt;='Gastos com Pessoal'!$E$513:$E$522)*(P$3&lt;='Gastos com Pessoal'!$F$513:$F$522)*(IF('Gastos com Pessoal'!$M$513:$M$522&lt;=P$3,1,0))*OFFSET('Gastos com Pessoal'!$H$512,1,MATCH(2&amp;$B53,'Gastos com Pessoal'!$I$532:$AJ$532&amp;'Gastos com Pessoal'!$I$512:$AJ$512,0),10,1)),0)+_xlfn.IFNA(SUM((P$3&gt;='Gastos com Pessoal'!$E$513:$E$522)*(P$3&lt;='Gastos com Pessoal'!$F$513:$F$522)*(IF('Gastos com Pessoal'!$S$513:$S$522&lt;=P$3,1,0))*OFFSET('Gastos com Pessoal'!$H$512,1,MATCH(3&amp;$B53,'Gastos com Pessoal'!$I$532:$AJ$532&amp;'Gastos com Pessoal'!$I$512:$AJ$512,0),10,1)),0)+_xlfn.IFNA(SUM((P$3&gt;='Gastos com Pessoal'!$E$513:$E$522)*(P$3&lt;='Gastos com Pessoal'!$F$513:$F$522)*(IF('Gastos com Pessoal'!$Y$513:$Y$522&lt;=P$3,1,0))*OFFSET('Gastos com Pessoal'!$H$512,1,MATCH(4&amp;$B53,'Gastos com Pessoal'!$I$532:$AJ$532&amp;'Gastos com Pessoal'!$I$512:$AJ$512,0),10,1)),0)+_xlfn.IFNA(SUM((P$3&gt;='Gastos com Pessoal'!$E$513:$E$522)*(P$3&lt;='Gastos com Pessoal'!$F$513:$F$522)*(IF('Gastos com Pessoal'!$AE$513:$AE$522&lt;=P$3,1,0))*OFFSET('Gastos com Pessoal'!$H$512,1,MATCH(5&amp;$B53,'Gastos com Pessoal'!$I$532:$AJ$532&amp;'Gastos com Pessoal'!$I$512:$AJ$512,0),10,1)),0)</f>
        <v>0</v>
      </c>
      <c r="Q53" s="188">
        <f t="array" aca="1" ref="Q53" ca="1">_xlfn.IFNA(SUM((Q$3&gt;='Gastos com Pessoal'!$E$7:$E$506)*(Q$3&lt;='Gastos com Pessoal'!$F$7:$F$506)*OFFSET('Encargos e Benefícios'!$D$5,1,MATCH($B53,'Encargos e Benefícios'!$E$5:$AB$5,0),500,1)),0)+_xlfn.IFNA(SUM((Q$3&gt;='Gastos com Pessoal'!$E$513:$E$522)*(Q$3&lt;='Gastos com Pessoal'!$F$513:$F$522)*OFFSET('Encargos e Benefícios'!$D$511,1,MATCH($B53,'Encargos e Benefícios'!$E$511:$AB$511,0),10,1)),0)+_xlfn.IFNA(SUM((Q$3&gt;='Gastos com Pessoal'!$E$7:$E$506)*(Q$3&lt;='Gastos com Pessoal'!$F$7:$F$506)*(IF('Gastos com Pessoal'!$G$7:$G$506&lt;=Q$3,1,0))*OFFSET('Gastos com Pessoal'!$H$6,1,MATCH(1&amp;$B53,'Gastos com Pessoal'!$I$532:$AJ$532&amp;'Gastos com Pessoal'!$I$6:$AJ$6,0),500,1)),0)+_xlfn.IFNA(SUM((Q$3&gt;='Gastos com Pessoal'!$E$7:$E$506)*(Q$3&lt;='Gastos com Pessoal'!$F$7:$F$506)*(IF('Gastos com Pessoal'!$M$7:$M$506&lt;=Q$3,1,0))*OFFSET('Gastos com Pessoal'!$H$6,1,MATCH(2&amp;$B53,'Gastos com Pessoal'!$I$532:$AJ$532&amp;'Gastos com Pessoal'!$I$6:$AJ$6,0),500,1)),0)+_xlfn.IFNA(SUM((Q$3&gt;='Gastos com Pessoal'!$E$7:$E$506)*(Q$3&lt;='Gastos com Pessoal'!$F$7:$F$506)*(IF('Gastos com Pessoal'!$S$7:$S$506&lt;=Q$3,1,0))*OFFSET('Gastos com Pessoal'!$H$6,1,MATCH(3&amp;$B53,'Gastos com Pessoal'!$I$532:$AJ$532&amp;'Gastos com Pessoal'!$I$6:$AJ$6,0),500,1)),0)+_xlfn.IFNA(SUM((Q$3&gt;='Gastos com Pessoal'!$E$7:$E$506)*(Q$3&lt;='Gastos com Pessoal'!$F$7:$F$506)*(IF('Gastos com Pessoal'!$Y$7:$Y$506&lt;=Q$3,1,0))*OFFSET('Gastos com Pessoal'!$H$6,1,MATCH(4&amp;$B53,'Gastos com Pessoal'!$I$532:$AJ$532&amp;'Gastos com Pessoal'!$I$6:$AJ$6,0),500,1)),0)+_xlfn.IFNA(SUM((Q$3&gt;='Gastos com Pessoal'!$E$7:$E$506)*(Q$3&lt;='Gastos com Pessoal'!$F$7:$F$506)*(IF('Gastos com Pessoal'!$AE$7:$AE$506&lt;=Q$3,1,0))*OFFSET('Gastos com Pessoal'!$H$6,1,MATCH(5&amp;$B53,'Gastos com Pessoal'!$I$532:$AJ$532&amp;'Gastos com Pessoal'!$I$6:$AJ$6,0),500,1)),0)+_xlfn.IFNA(SUM((Q$3&gt;='Gastos com Pessoal'!$E$513:$E$522)*(Q$3&lt;='Gastos com Pessoal'!$F$513:$F$522)*(IF('Gastos com Pessoal'!$G$513:$G$522&lt;=Q$3,1,0))*OFFSET('Gastos com Pessoal'!$H$512,1,MATCH(1&amp;$B53,'Gastos com Pessoal'!$I$532:$AJ$532&amp;'Gastos com Pessoal'!$I$512:$AJ$512,0),10,1)),0)+_xlfn.IFNA(SUM((Q$3&gt;='Gastos com Pessoal'!$E$513:$E$522)*(Q$3&lt;='Gastos com Pessoal'!$F$513:$F$522)*(IF('Gastos com Pessoal'!$M$513:$M$522&lt;=Q$3,1,0))*OFFSET('Gastos com Pessoal'!$H$512,1,MATCH(2&amp;$B53,'Gastos com Pessoal'!$I$532:$AJ$532&amp;'Gastos com Pessoal'!$I$512:$AJ$512,0),10,1)),0)+_xlfn.IFNA(SUM((Q$3&gt;='Gastos com Pessoal'!$E$513:$E$522)*(Q$3&lt;='Gastos com Pessoal'!$F$513:$F$522)*(IF('Gastos com Pessoal'!$S$513:$S$522&lt;=Q$3,1,0))*OFFSET('Gastos com Pessoal'!$H$512,1,MATCH(3&amp;$B53,'Gastos com Pessoal'!$I$532:$AJ$532&amp;'Gastos com Pessoal'!$I$512:$AJ$512,0),10,1)),0)+_xlfn.IFNA(SUM((Q$3&gt;='Gastos com Pessoal'!$E$513:$E$522)*(Q$3&lt;='Gastos com Pessoal'!$F$513:$F$522)*(IF('Gastos com Pessoal'!$Y$513:$Y$522&lt;=Q$3,1,0))*OFFSET('Gastos com Pessoal'!$H$512,1,MATCH(4&amp;$B53,'Gastos com Pessoal'!$I$532:$AJ$532&amp;'Gastos com Pessoal'!$I$512:$AJ$512,0),10,1)),0)+_xlfn.IFNA(SUM((Q$3&gt;='Gastos com Pessoal'!$E$513:$E$522)*(Q$3&lt;='Gastos com Pessoal'!$F$513:$F$522)*(IF('Gastos com Pessoal'!$AE$513:$AE$522&lt;=Q$3,1,0))*OFFSET('Gastos com Pessoal'!$H$512,1,MATCH(5&amp;$B53,'Gastos com Pessoal'!$I$532:$AJ$532&amp;'Gastos com Pessoal'!$I$512:$AJ$512,0),10,1)),0)</f>
        <v>0</v>
      </c>
      <c r="R53" s="188">
        <f t="array" aca="1" ref="R53" ca="1">_xlfn.IFNA(SUM((R$3&gt;='Gastos com Pessoal'!$E$7:$E$506)*(R$3&lt;='Gastos com Pessoal'!$F$7:$F$506)*OFFSET('Encargos e Benefícios'!$D$5,1,MATCH($B53,'Encargos e Benefícios'!$E$5:$AB$5,0),500,1)),0)+_xlfn.IFNA(SUM((R$3&gt;='Gastos com Pessoal'!$E$513:$E$522)*(R$3&lt;='Gastos com Pessoal'!$F$513:$F$522)*OFFSET('Encargos e Benefícios'!$D$511,1,MATCH($B53,'Encargos e Benefícios'!$E$511:$AB$511,0),10,1)),0)+_xlfn.IFNA(SUM((R$3&gt;='Gastos com Pessoal'!$E$7:$E$506)*(R$3&lt;='Gastos com Pessoal'!$F$7:$F$506)*(IF('Gastos com Pessoal'!$G$7:$G$506&lt;=R$3,1,0))*OFFSET('Gastos com Pessoal'!$H$6,1,MATCH(1&amp;$B53,'Gastos com Pessoal'!$I$532:$AJ$532&amp;'Gastos com Pessoal'!$I$6:$AJ$6,0),500,1)),0)+_xlfn.IFNA(SUM((R$3&gt;='Gastos com Pessoal'!$E$7:$E$506)*(R$3&lt;='Gastos com Pessoal'!$F$7:$F$506)*(IF('Gastos com Pessoal'!$M$7:$M$506&lt;=R$3,1,0))*OFFSET('Gastos com Pessoal'!$H$6,1,MATCH(2&amp;$B53,'Gastos com Pessoal'!$I$532:$AJ$532&amp;'Gastos com Pessoal'!$I$6:$AJ$6,0),500,1)),0)+_xlfn.IFNA(SUM((R$3&gt;='Gastos com Pessoal'!$E$7:$E$506)*(R$3&lt;='Gastos com Pessoal'!$F$7:$F$506)*(IF('Gastos com Pessoal'!$S$7:$S$506&lt;=R$3,1,0))*OFFSET('Gastos com Pessoal'!$H$6,1,MATCH(3&amp;$B53,'Gastos com Pessoal'!$I$532:$AJ$532&amp;'Gastos com Pessoal'!$I$6:$AJ$6,0),500,1)),0)+_xlfn.IFNA(SUM((R$3&gt;='Gastos com Pessoal'!$E$7:$E$506)*(R$3&lt;='Gastos com Pessoal'!$F$7:$F$506)*(IF('Gastos com Pessoal'!$Y$7:$Y$506&lt;=R$3,1,0))*OFFSET('Gastos com Pessoal'!$H$6,1,MATCH(4&amp;$B53,'Gastos com Pessoal'!$I$532:$AJ$532&amp;'Gastos com Pessoal'!$I$6:$AJ$6,0),500,1)),0)+_xlfn.IFNA(SUM((R$3&gt;='Gastos com Pessoal'!$E$7:$E$506)*(R$3&lt;='Gastos com Pessoal'!$F$7:$F$506)*(IF('Gastos com Pessoal'!$AE$7:$AE$506&lt;=R$3,1,0))*OFFSET('Gastos com Pessoal'!$H$6,1,MATCH(5&amp;$B53,'Gastos com Pessoal'!$I$532:$AJ$532&amp;'Gastos com Pessoal'!$I$6:$AJ$6,0),500,1)),0)+_xlfn.IFNA(SUM((R$3&gt;='Gastos com Pessoal'!$E$513:$E$522)*(R$3&lt;='Gastos com Pessoal'!$F$513:$F$522)*(IF('Gastos com Pessoal'!$G$513:$G$522&lt;=R$3,1,0))*OFFSET('Gastos com Pessoal'!$H$512,1,MATCH(1&amp;$B53,'Gastos com Pessoal'!$I$532:$AJ$532&amp;'Gastos com Pessoal'!$I$512:$AJ$512,0),10,1)),0)+_xlfn.IFNA(SUM((R$3&gt;='Gastos com Pessoal'!$E$513:$E$522)*(R$3&lt;='Gastos com Pessoal'!$F$513:$F$522)*(IF('Gastos com Pessoal'!$M$513:$M$522&lt;=R$3,1,0))*OFFSET('Gastos com Pessoal'!$H$512,1,MATCH(2&amp;$B53,'Gastos com Pessoal'!$I$532:$AJ$532&amp;'Gastos com Pessoal'!$I$512:$AJ$512,0),10,1)),0)+_xlfn.IFNA(SUM((R$3&gt;='Gastos com Pessoal'!$E$513:$E$522)*(R$3&lt;='Gastos com Pessoal'!$F$513:$F$522)*(IF('Gastos com Pessoal'!$S$513:$S$522&lt;=R$3,1,0))*OFFSET('Gastos com Pessoal'!$H$512,1,MATCH(3&amp;$B53,'Gastos com Pessoal'!$I$532:$AJ$532&amp;'Gastos com Pessoal'!$I$512:$AJ$512,0),10,1)),0)+_xlfn.IFNA(SUM((R$3&gt;='Gastos com Pessoal'!$E$513:$E$522)*(R$3&lt;='Gastos com Pessoal'!$F$513:$F$522)*(IF('Gastos com Pessoal'!$Y$513:$Y$522&lt;=R$3,1,0))*OFFSET('Gastos com Pessoal'!$H$512,1,MATCH(4&amp;$B53,'Gastos com Pessoal'!$I$532:$AJ$532&amp;'Gastos com Pessoal'!$I$512:$AJ$512,0),10,1)),0)+_xlfn.IFNA(SUM((R$3&gt;='Gastos com Pessoal'!$E$513:$E$522)*(R$3&lt;='Gastos com Pessoal'!$F$513:$F$522)*(IF('Gastos com Pessoal'!$AE$513:$AE$522&lt;=R$3,1,0))*OFFSET('Gastos com Pessoal'!$H$512,1,MATCH(5&amp;$B53,'Gastos com Pessoal'!$I$532:$AJ$532&amp;'Gastos com Pessoal'!$I$512:$AJ$512,0),10,1)),0)</f>
        <v>0</v>
      </c>
      <c r="S53" s="188">
        <f t="array" aca="1" ref="S53" ca="1">_xlfn.IFNA(SUM((S$3&gt;='Gastos com Pessoal'!$E$7:$E$506)*(S$3&lt;='Gastos com Pessoal'!$F$7:$F$506)*OFFSET('Encargos e Benefícios'!$D$5,1,MATCH($B53,'Encargos e Benefícios'!$E$5:$AB$5,0),500,1)),0)+_xlfn.IFNA(SUM((S$3&gt;='Gastos com Pessoal'!$E$513:$E$522)*(S$3&lt;='Gastos com Pessoal'!$F$513:$F$522)*OFFSET('Encargos e Benefícios'!$D$511,1,MATCH($B53,'Encargos e Benefícios'!$E$511:$AB$511,0),10,1)),0)+_xlfn.IFNA(SUM((S$3&gt;='Gastos com Pessoal'!$E$7:$E$506)*(S$3&lt;='Gastos com Pessoal'!$F$7:$F$506)*(IF('Gastos com Pessoal'!$G$7:$G$506&lt;=S$3,1,0))*OFFSET('Gastos com Pessoal'!$H$6,1,MATCH(1&amp;$B53,'Gastos com Pessoal'!$I$532:$AJ$532&amp;'Gastos com Pessoal'!$I$6:$AJ$6,0),500,1)),0)+_xlfn.IFNA(SUM((S$3&gt;='Gastos com Pessoal'!$E$7:$E$506)*(S$3&lt;='Gastos com Pessoal'!$F$7:$F$506)*(IF('Gastos com Pessoal'!$M$7:$M$506&lt;=S$3,1,0))*OFFSET('Gastos com Pessoal'!$H$6,1,MATCH(2&amp;$B53,'Gastos com Pessoal'!$I$532:$AJ$532&amp;'Gastos com Pessoal'!$I$6:$AJ$6,0),500,1)),0)+_xlfn.IFNA(SUM((S$3&gt;='Gastos com Pessoal'!$E$7:$E$506)*(S$3&lt;='Gastos com Pessoal'!$F$7:$F$506)*(IF('Gastos com Pessoal'!$S$7:$S$506&lt;=S$3,1,0))*OFFSET('Gastos com Pessoal'!$H$6,1,MATCH(3&amp;$B53,'Gastos com Pessoal'!$I$532:$AJ$532&amp;'Gastos com Pessoal'!$I$6:$AJ$6,0),500,1)),0)+_xlfn.IFNA(SUM((S$3&gt;='Gastos com Pessoal'!$E$7:$E$506)*(S$3&lt;='Gastos com Pessoal'!$F$7:$F$506)*(IF('Gastos com Pessoal'!$Y$7:$Y$506&lt;=S$3,1,0))*OFFSET('Gastos com Pessoal'!$H$6,1,MATCH(4&amp;$B53,'Gastos com Pessoal'!$I$532:$AJ$532&amp;'Gastos com Pessoal'!$I$6:$AJ$6,0),500,1)),0)+_xlfn.IFNA(SUM((S$3&gt;='Gastos com Pessoal'!$E$7:$E$506)*(S$3&lt;='Gastos com Pessoal'!$F$7:$F$506)*(IF('Gastos com Pessoal'!$AE$7:$AE$506&lt;=S$3,1,0))*OFFSET('Gastos com Pessoal'!$H$6,1,MATCH(5&amp;$B53,'Gastos com Pessoal'!$I$532:$AJ$532&amp;'Gastos com Pessoal'!$I$6:$AJ$6,0),500,1)),0)+_xlfn.IFNA(SUM((S$3&gt;='Gastos com Pessoal'!$E$513:$E$522)*(S$3&lt;='Gastos com Pessoal'!$F$513:$F$522)*(IF('Gastos com Pessoal'!$G$513:$G$522&lt;=S$3,1,0))*OFFSET('Gastos com Pessoal'!$H$512,1,MATCH(1&amp;$B53,'Gastos com Pessoal'!$I$532:$AJ$532&amp;'Gastos com Pessoal'!$I$512:$AJ$512,0),10,1)),0)+_xlfn.IFNA(SUM((S$3&gt;='Gastos com Pessoal'!$E$513:$E$522)*(S$3&lt;='Gastos com Pessoal'!$F$513:$F$522)*(IF('Gastos com Pessoal'!$M$513:$M$522&lt;=S$3,1,0))*OFFSET('Gastos com Pessoal'!$H$512,1,MATCH(2&amp;$B53,'Gastos com Pessoal'!$I$532:$AJ$532&amp;'Gastos com Pessoal'!$I$512:$AJ$512,0),10,1)),0)+_xlfn.IFNA(SUM((S$3&gt;='Gastos com Pessoal'!$E$513:$E$522)*(S$3&lt;='Gastos com Pessoal'!$F$513:$F$522)*(IF('Gastos com Pessoal'!$S$513:$S$522&lt;=S$3,1,0))*OFFSET('Gastos com Pessoal'!$H$512,1,MATCH(3&amp;$B53,'Gastos com Pessoal'!$I$532:$AJ$532&amp;'Gastos com Pessoal'!$I$512:$AJ$512,0),10,1)),0)+_xlfn.IFNA(SUM((S$3&gt;='Gastos com Pessoal'!$E$513:$E$522)*(S$3&lt;='Gastos com Pessoal'!$F$513:$F$522)*(IF('Gastos com Pessoal'!$Y$513:$Y$522&lt;=S$3,1,0))*OFFSET('Gastos com Pessoal'!$H$512,1,MATCH(4&amp;$B53,'Gastos com Pessoal'!$I$532:$AJ$532&amp;'Gastos com Pessoal'!$I$512:$AJ$512,0),10,1)),0)+_xlfn.IFNA(SUM((S$3&gt;='Gastos com Pessoal'!$E$513:$E$522)*(S$3&lt;='Gastos com Pessoal'!$F$513:$F$522)*(IF('Gastos com Pessoal'!$AE$513:$AE$522&lt;=S$3,1,0))*OFFSET('Gastos com Pessoal'!$H$512,1,MATCH(5&amp;$B53,'Gastos com Pessoal'!$I$532:$AJ$532&amp;'Gastos com Pessoal'!$I$512:$AJ$512,0),10,1)),0)</f>
        <v>0</v>
      </c>
      <c r="T53" s="188">
        <f t="array" aca="1" ref="T53" ca="1">_xlfn.IFNA(SUM((T$3&gt;='Gastos com Pessoal'!$E$7:$E$506)*(T$3&lt;='Gastos com Pessoal'!$F$7:$F$506)*OFFSET('Encargos e Benefícios'!$D$5,1,MATCH($B53,'Encargos e Benefícios'!$E$5:$AB$5,0),500,1)),0)+_xlfn.IFNA(SUM((T$3&gt;='Gastos com Pessoal'!$E$513:$E$522)*(T$3&lt;='Gastos com Pessoal'!$F$513:$F$522)*OFFSET('Encargos e Benefícios'!$D$511,1,MATCH($B53,'Encargos e Benefícios'!$E$511:$AB$511,0),10,1)),0)+_xlfn.IFNA(SUM((T$3&gt;='Gastos com Pessoal'!$E$7:$E$506)*(T$3&lt;='Gastos com Pessoal'!$F$7:$F$506)*(IF('Gastos com Pessoal'!$G$7:$G$506&lt;=T$3,1,0))*OFFSET('Gastos com Pessoal'!$H$6,1,MATCH(1&amp;$B53,'Gastos com Pessoal'!$I$532:$AJ$532&amp;'Gastos com Pessoal'!$I$6:$AJ$6,0),500,1)),0)+_xlfn.IFNA(SUM((T$3&gt;='Gastos com Pessoal'!$E$7:$E$506)*(T$3&lt;='Gastos com Pessoal'!$F$7:$F$506)*(IF('Gastos com Pessoal'!$M$7:$M$506&lt;=T$3,1,0))*OFFSET('Gastos com Pessoal'!$H$6,1,MATCH(2&amp;$B53,'Gastos com Pessoal'!$I$532:$AJ$532&amp;'Gastos com Pessoal'!$I$6:$AJ$6,0),500,1)),0)+_xlfn.IFNA(SUM((T$3&gt;='Gastos com Pessoal'!$E$7:$E$506)*(T$3&lt;='Gastos com Pessoal'!$F$7:$F$506)*(IF('Gastos com Pessoal'!$S$7:$S$506&lt;=T$3,1,0))*OFFSET('Gastos com Pessoal'!$H$6,1,MATCH(3&amp;$B53,'Gastos com Pessoal'!$I$532:$AJ$532&amp;'Gastos com Pessoal'!$I$6:$AJ$6,0),500,1)),0)+_xlfn.IFNA(SUM((T$3&gt;='Gastos com Pessoal'!$E$7:$E$506)*(T$3&lt;='Gastos com Pessoal'!$F$7:$F$506)*(IF('Gastos com Pessoal'!$Y$7:$Y$506&lt;=T$3,1,0))*OFFSET('Gastos com Pessoal'!$H$6,1,MATCH(4&amp;$B53,'Gastos com Pessoal'!$I$532:$AJ$532&amp;'Gastos com Pessoal'!$I$6:$AJ$6,0),500,1)),0)+_xlfn.IFNA(SUM((T$3&gt;='Gastos com Pessoal'!$E$7:$E$506)*(T$3&lt;='Gastos com Pessoal'!$F$7:$F$506)*(IF('Gastos com Pessoal'!$AE$7:$AE$506&lt;=T$3,1,0))*OFFSET('Gastos com Pessoal'!$H$6,1,MATCH(5&amp;$B53,'Gastos com Pessoal'!$I$532:$AJ$532&amp;'Gastos com Pessoal'!$I$6:$AJ$6,0),500,1)),0)+_xlfn.IFNA(SUM((T$3&gt;='Gastos com Pessoal'!$E$513:$E$522)*(T$3&lt;='Gastos com Pessoal'!$F$513:$F$522)*(IF('Gastos com Pessoal'!$G$513:$G$522&lt;=T$3,1,0))*OFFSET('Gastos com Pessoal'!$H$512,1,MATCH(1&amp;$B53,'Gastos com Pessoal'!$I$532:$AJ$532&amp;'Gastos com Pessoal'!$I$512:$AJ$512,0),10,1)),0)+_xlfn.IFNA(SUM((T$3&gt;='Gastos com Pessoal'!$E$513:$E$522)*(T$3&lt;='Gastos com Pessoal'!$F$513:$F$522)*(IF('Gastos com Pessoal'!$M$513:$M$522&lt;=T$3,1,0))*OFFSET('Gastos com Pessoal'!$H$512,1,MATCH(2&amp;$B53,'Gastos com Pessoal'!$I$532:$AJ$532&amp;'Gastos com Pessoal'!$I$512:$AJ$512,0),10,1)),0)+_xlfn.IFNA(SUM((T$3&gt;='Gastos com Pessoal'!$E$513:$E$522)*(T$3&lt;='Gastos com Pessoal'!$F$513:$F$522)*(IF('Gastos com Pessoal'!$S$513:$S$522&lt;=T$3,1,0))*OFFSET('Gastos com Pessoal'!$H$512,1,MATCH(3&amp;$B53,'Gastos com Pessoal'!$I$532:$AJ$532&amp;'Gastos com Pessoal'!$I$512:$AJ$512,0),10,1)),0)+_xlfn.IFNA(SUM((T$3&gt;='Gastos com Pessoal'!$E$513:$E$522)*(T$3&lt;='Gastos com Pessoal'!$F$513:$F$522)*(IF('Gastos com Pessoal'!$Y$513:$Y$522&lt;=T$3,1,0))*OFFSET('Gastos com Pessoal'!$H$512,1,MATCH(4&amp;$B53,'Gastos com Pessoal'!$I$532:$AJ$532&amp;'Gastos com Pessoal'!$I$512:$AJ$512,0),10,1)),0)+_xlfn.IFNA(SUM((T$3&gt;='Gastos com Pessoal'!$E$513:$E$522)*(T$3&lt;='Gastos com Pessoal'!$F$513:$F$522)*(IF('Gastos com Pessoal'!$AE$513:$AE$522&lt;=T$3,1,0))*OFFSET('Gastos com Pessoal'!$H$512,1,MATCH(5&amp;$B53,'Gastos com Pessoal'!$I$532:$AJ$532&amp;'Gastos com Pessoal'!$I$512:$AJ$512,0),10,1)),0)</f>
        <v>0</v>
      </c>
      <c r="U53" s="188">
        <f t="array" aca="1" ref="U53" ca="1">_xlfn.IFNA(SUM((U$3&gt;='Gastos com Pessoal'!$E$7:$E$506)*(U$3&lt;='Gastos com Pessoal'!$F$7:$F$506)*OFFSET('Encargos e Benefícios'!$D$5,1,MATCH($B53,'Encargos e Benefícios'!$E$5:$AB$5,0),500,1)),0)+_xlfn.IFNA(SUM((U$3&gt;='Gastos com Pessoal'!$E$513:$E$522)*(U$3&lt;='Gastos com Pessoal'!$F$513:$F$522)*OFFSET('Encargos e Benefícios'!$D$511,1,MATCH($B53,'Encargos e Benefícios'!$E$511:$AB$511,0),10,1)),0)+_xlfn.IFNA(SUM((U$3&gt;='Gastos com Pessoal'!$E$7:$E$506)*(U$3&lt;='Gastos com Pessoal'!$F$7:$F$506)*(IF('Gastos com Pessoal'!$G$7:$G$506&lt;=U$3,1,0))*OFFSET('Gastos com Pessoal'!$H$6,1,MATCH(1&amp;$B53,'Gastos com Pessoal'!$I$532:$AJ$532&amp;'Gastos com Pessoal'!$I$6:$AJ$6,0),500,1)),0)+_xlfn.IFNA(SUM((U$3&gt;='Gastos com Pessoal'!$E$7:$E$506)*(U$3&lt;='Gastos com Pessoal'!$F$7:$F$506)*(IF('Gastos com Pessoal'!$M$7:$M$506&lt;=U$3,1,0))*OFFSET('Gastos com Pessoal'!$H$6,1,MATCH(2&amp;$B53,'Gastos com Pessoal'!$I$532:$AJ$532&amp;'Gastos com Pessoal'!$I$6:$AJ$6,0),500,1)),0)+_xlfn.IFNA(SUM((U$3&gt;='Gastos com Pessoal'!$E$7:$E$506)*(U$3&lt;='Gastos com Pessoal'!$F$7:$F$506)*(IF('Gastos com Pessoal'!$S$7:$S$506&lt;=U$3,1,0))*OFFSET('Gastos com Pessoal'!$H$6,1,MATCH(3&amp;$B53,'Gastos com Pessoal'!$I$532:$AJ$532&amp;'Gastos com Pessoal'!$I$6:$AJ$6,0),500,1)),0)+_xlfn.IFNA(SUM((U$3&gt;='Gastos com Pessoal'!$E$7:$E$506)*(U$3&lt;='Gastos com Pessoal'!$F$7:$F$506)*(IF('Gastos com Pessoal'!$Y$7:$Y$506&lt;=U$3,1,0))*OFFSET('Gastos com Pessoal'!$H$6,1,MATCH(4&amp;$B53,'Gastos com Pessoal'!$I$532:$AJ$532&amp;'Gastos com Pessoal'!$I$6:$AJ$6,0),500,1)),0)+_xlfn.IFNA(SUM((U$3&gt;='Gastos com Pessoal'!$E$7:$E$506)*(U$3&lt;='Gastos com Pessoal'!$F$7:$F$506)*(IF('Gastos com Pessoal'!$AE$7:$AE$506&lt;=U$3,1,0))*OFFSET('Gastos com Pessoal'!$H$6,1,MATCH(5&amp;$B53,'Gastos com Pessoal'!$I$532:$AJ$532&amp;'Gastos com Pessoal'!$I$6:$AJ$6,0),500,1)),0)+_xlfn.IFNA(SUM((U$3&gt;='Gastos com Pessoal'!$E$513:$E$522)*(U$3&lt;='Gastos com Pessoal'!$F$513:$F$522)*(IF('Gastos com Pessoal'!$G$513:$G$522&lt;=U$3,1,0))*OFFSET('Gastos com Pessoal'!$H$512,1,MATCH(1&amp;$B53,'Gastos com Pessoal'!$I$532:$AJ$532&amp;'Gastos com Pessoal'!$I$512:$AJ$512,0),10,1)),0)+_xlfn.IFNA(SUM((U$3&gt;='Gastos com Pessoal'!$E$513:$E$522)*(U$3&lt;='Gastos com Pessoal'!$F$513:$F$522)*(IF('Gastos com Pessoal'!$M$513:$M$522&lt;=U$3,1,0))*OFFSET('Gastos com Pessoal'!$H$512,1,MATCH(2&amp;$B53,'Gastos com Pessoal'!$I$532:$AJ$532&amp;'Gastos com Pessoal'!$I$512:$AJ$512,0),10,1)),0)+_xlfn.IFNA(SUM((U$3&gt;='Gastos com Pessoal'!$E$513:$E$522)*(U$3&lt;='Gastos com Pessoal'!$F$513:$F$522)*(IF('Gastos com Pessoal'!$S$513:$S$522&lt;=U$3,1,0))*OFFSET('Gastos com Pessoal'!$H$512,1,MATCH(3&amp;$B53,'Gastos com Pessoal'!$I$532:$AJ$532&amp;'Gastos com Pessoal'!$I$512:$AJ$512,0),10,1)),0)+_xlfn.IFNA(SUM((U$3&gt;='Gastos com Pessoal'!$E$513:$E$522)*(U$3&lt;='Gastos com Pessoal'!$F$513:$F$522)*(IF('Gastos com Pessoal'!$Y$513:$Y$522&lt;=U$3,1,0))*OFFSET('Gastos com Pessoal'!$H$512,1,MATCH(4&amp;$B53,'Gastos com Pessoal'!$I$532:$AJ$532&amp;'Gastos com Pessoal'!$I$512:$AJ$512,0),10,1)),0)+_xlfn.IFNA(SUM((U$3&gt;='Gastos com Pessoal'!$E$513:$E$522)*(U$3&lt;='Gastos com Pessoal'!$F$513:$F$522)*(IF('Gastos com Pessoal'!$AE$513:$AE$522&lt;=U$3,1,0))*OFFSET('Gastos com Pessoal'!$H$512,1,MATCH(5&amp;$B53,'Gastos com Pessoal'!$I$532:$AJ$532&amp;'Gastos com Pessoal'!$I$512:$AJ$512,0),10,1)),0)</f>
        <v>0</v>
      </c>
      <c r="V53" s="188">
        <f t="array" aca="1" ref="V53" ca="1">_xlfn.IFNA(SUM((V$3&gt;='Gastos com Pessoal'!$E$7:$E$506)*(V$3&lt;='Gastos com Pessoal'!$F$7:$F$506)*OFFSET('Encargos e Benefícios'!$D$5,1,MATCH($B53,'Encargos e Benefícios'!$E$5:$AB$5,0),500,1)),0)+_xlfn.IFNA(SUM((V$3&gt;='Gastos com Pessoal'!$E$513:$E$522)*(V$3&lt;='Gastos com Pessoal'!$F$513:$F$522)*OFFSET('Encargos e Benefícios'!$D$511,1,MATCH($B53,'Encargos e Benefícios'!$E$511:$AB$511,0),10,1)),0)+_xlfn.IFNA(SUM((V$3&gt;='Gastos com Pessoal'!$E$7:$E$506)*(V$3&lt;='Gastos com Pessoal'!$F$7:$F$506)*(IF('Gastos com Pessoal'!$G$7:$G$506&lt;=V$3,1,0))*OFFSET('Gastos com Pessoal'!$H$6,1,MATCH(1&amp;$B53,'Gastos com Pessoal'!$I$532:$AJ$532&amp;'Gastos com Pessoal'!$I$6:$AJ$6,0),500,1)),0)+_xlfn.IFNA(SUM((V$3&gt;='Gastos com Pessoal'!$E$7:$E$506)*(V$3&lt;='Gastos com Pessoal'!$F$7:$F$506)*(IF('Gastos com Pessoal'!$M$7:$M$506&lt;=V$3,1,0))*OFFSET('Gastos com Pessoal'!$H$6,1,MATCH(2&amp;$B53,'Gastos com Pessoal'!$I$532:$AJ$532&amp;'Gastos com Pessoal'!$I$6:$AJ$6,0),500,1)),0)+_xlfn.IFNA(SUM((V$3&gt;='Gastos com Pessoal'!$E$7:$E$506)*(V$3&lt;='Gastos com Pessoal'!$F$7:$F$506)*(IF('Gastos com Pessoal'!$S$7:$S$506&lt;=V$3,1,0))*OFFSET('Gastos com Pessoal'!$H$6,1,MATCH(3&amp;$B53,'Gastos com Pessoal'!$I$532:$AJ$532&amp;'Gastos com Pessoal'!$I$6:$AJ$6,0),500,1)),0)+_xlfn.IFNA(SUM((V$3&gt;='Gastos com Pessoal'!$E$7:$E$506)*(V$3&lt;='Gastos com Pessoal'!$F$7:$F$506)*(IF('Gastos com Pessoal'!$Y$7:$Y$506&lt;=V$3,1,0))*OFFSET('Gastos com Pessoal'!$H$6,1,MATCH(4&amp;$B53,'Gastos com Pessoal'!$I$532:$AJ$532&amp;'Gastos com Pessoal'!$I$6:$AJ$6,0),500,1)),0)+_xlfn.IFNA(SUM((V$3&gt;='Gastos com Pessoal'!$E$7:$E$506)*(V$3&lt;='Gastos com Pessoal'!$F$7:$F$506)*(IF('Gastos com Pessoal'!$AE$7:$AE$506&lt;=V$3,1,0))*OFFSET('Gastos com Pessoal'!$H$6,1,MATCH(5&amp;$B53,'Gastos com Pessoal'!$I$532:$AJ$532&amp;'Gastos com Pessoal'!$I$6:$AJ$6,0),500,1)),0)+_xlfn.IFNA(SUM((V$3&gt;='Gastos com Pessoal'!$E$513:$E$522)*(V$3&lt;='Gastos com Pessoal'!$F$513:$F$522)*(IF('Gastos com Pessoal'!$G$513:$G$522&lt;=V$3,1,0))*OFFSET('Gastos com Pessoal'!$H$512,1,MATCH(1&amp;$B53,'Gastos com Pessoal'!$I$532:$AJ$532&amp;'Gastos com Pessoal'!$I$512:$AJ$512,0),10,1)),0)+_xlfn.IFNA(SUM((V$3&gt;='Gastos com Pessoal'!$E$513:$E$522)*(V$3&lt;='Gastos com Pessoal'!$F$513:$F$522)*(IF('Gastos com Pessoal'!$M$513:$M$522&lt;=V$3,1,0))*OFFSET('Gastos com Pessoal'!$H$512,1,MATCH(2&amp;$B53,'Gastos com Pessoal'!$I$532:$AJ$532&amp;'Gastos com Pessoal'!$I$512:$AJ$512,0),10,1)),0)+_xlfn.IFNA(SUM((V$3&gt;='Gastos com Pessoal'!$E$513:$E$522)*(V$3&lt;='Gastos com Pessoal'!$F$513:$F$522)*(IF('Gastos com Pessoal'!$S$513:$S$522&lt;=V$3,1,0))*OFFSET('Gastos com Pessoal'!$H$512,1,MATCH(3&amp;$B53,'Gastos com Pessoal'!$I$532:$AJ$532&amp;'Gastos com Pessoal'!$I$512:$AJ$512,0),10,1)),0)+_xlfn.IFNA(SUM((V$3&gt;='Gastos com Pessoal'!$E$513:$E$522)*(V$3&lt;='Gastos com Pessoal'!$F$513:$F$522)*(IF('Gastos com Pessoal'!$Y$513:$Y$522&lt;=V$3,1,0))*OFFSET('Gastos com Pessoal'!$H$512,1,MATCH(4&amp;$B53,'Gastos com Pessoal'!$I$532:$AJ$532&amp;'Gastos com Pessoal'!$I$512:$AJ$512,0),10,1)),0)+_xlfn.IFNA(SUM((V$3&gt;='Gastos com Pessoal'!$E$513:$E$522)*(V$3&lt;='Gastos com Pessoal'!$F$513:$F$522)*(IF('Gastos com Pessoal'!$AE$513:$AE$522&lt;=V$3,1,0))*OFFSET('Gastos com Pessoal'!$H$512,1,MATCH(5&amp;$B53,'Gastos com Pessoal'!$I$532:$AJ$532&amp;'Gastos com Pessoal'!$I$512:$AJ$512,0),10,1)),0)</f>
        <v>0</v>
      </c>
      <c r="W53" s="188">
        <f t="array" aca="1" ref="W53" ca="1">_xlfn.IFNA(SUM((W$3&gt;='Gastos com Pessoal'!$E$7:$E$506)*(W$3&lt;='Gastos com Pessoal'!$F$7:$F$506)*OFFSET('Encargos e Benefícios'!$D$5,1,MATCH($B53,'Encargos e Benefícios'!$E$5:$AB$5,0),500,1)),0)+_xlfn.IFNA(SUM((W$3&gt;='Gastos com Pessoal'!$E$513:$E$522)*(W$3&lt;='Gastos com Pessoal'!$F$513:$F$522)*OFFSET('Encargos e Benefícios'!$D$511,1,MATCH($B53,'Encargos e Benefícios'!$E$511:$AB$511,0),10,1)),0)+_xlfn.IFNA(SUM((W$3&gt;='Gastos com Pessoal'!$E$7:$E$506)*(W$3&lt;='Gastos com Pessoal'!$F$7:$F$506)*(IF('Gastos com Pessoal'!$G$7:$G$506&lt;=W$3,1,0))*OFFSET('Gastos com Pessoal'!$H$6,1,MATCH(1&amp;$B53,'Gastos com Pessoal'!$I$532:$AJ$532&amp;'Gastos com Pessoal'!$I$6:$AJ$6,0),500,1)),0)+_xlfn.IFNA(SUM((W$3&gt;='Gastos com Pessoal'!$E$7:$E$506)*(W$3&lt;='Gastos com Pessoal'!$F$7:$F$506)*(IF('Gastos com Pessoal'!$M$7:$M$506&lt;=W$3,1,0))*OFFSET('Gastos com Pessoal'!$H$6,1,MATCH(2&amp;$B53,'Gastos com Pessoal'!$I$532:$AJ$532&amp;'Gastos com Pessoal'!$I$6:$AJ$6,0),500,1)),0)+_xlfn.IFNA(SUM((W$3&gt;='Gastos com Pessoal'!$E$7:$E$506)*(W$3&lt;='Gastos com Pessoal'!$F$7:$F$506)*(IF('Gastos com Pessoal'!$S$7:$S$506&lt;=W$3,1,0))*OFFSET('Gastos com Pessoal'!$H$6,1,MATCH(3&amp;$B53,'Gastos com Pessoal'!$I$532:$AJ$532&amp;'Gastos com Pessoal'!$I$6:$AJ$6,0),500,1)),0)+_xlfn.IFNA(SUM((W$3&gt;='Gastos com Pessoal'!$E$7:$E$506)*(W$3&lt;='Gastos com Pessoal'!$F$7:$F$506)*(IF('Gastos com Pessoal'!$Y$7:$Y$506&lt;=W$3,1,0))*OFFSET('Gastos com Pessoal'!$H$6,1,MATCH(4&amp;$B53,'Gastos com Pessoal'!$I$532:$AJ$532&amp;'Gastos com Pessoal'!$I$6:$AJ$6,0),500,1)),0)+_xlfn.IFNA(SUM((W$3&gt;='Gastos com Pessoal'!$E$7:$E$506)*(W$3&lt;='Gastos com Pessoal'!$F$7:$F$506)*(IF('Gastos com Pessoal'!$AE$7:$AE$506&lt;=W$3,1,0))*OFFSET('Gastos com Pessoal'!$H$6,1,MATCH(5&amp;$B53,'Gastos com Pessoal'!$I$532:$AJ$532&amp;'Gastos com Pessoal'!$I$6:$AJ$6,0),500,1)),0)+_xlfn.IFNA(SUM((W$3&gt;='Gastos com Pessoal'!$E$513:$E$522)*(W$3&lt;='Gastos com Pessoal'!$F$513:$F$522)*(IF('Gastos com Pessoal'!$G$513:$G$522&lt;=W$3,1,0))*OFFSET('Gastos com Pessoal'!$H$512,1,MATCH(1&amp;$B53,'Gastos com Pessoal'!$I$532:$AJ$532&amp;'Gastos com Pessoal'!$I$512:$AJ$512,0),10,1)),0)+_xlfn.IFNA(SUM((W$3&gt;='Gastos com Pessoal'!$E$513:$E$522)*(W$3&lt;='Gastos com Pessoal'!$F$513:$F$522)*(IF('Gastos com Pessoal'!$M$513:$M$522&lt;=W$3,1,0))*OFFSET('Gastos com Pessoal'!$H$512,1,MATCH(2&amp;$B53,'Gastos com Pessoal'!$I$532:$AJ$532&amp;'Gastos com Pessoal'!$I$512:$AJ$512,0),10,1)),0)+_xlfn.IFNA(SUM((W$3&gt;='Gastos com Pessoal'!$E$513:$E$522)*(W$3&lt;='Gastos com Pessoal'!$F$513:$F$522)*(IF('Gastos com Pessoal'!$S$513:$S$522&lt;=W$3,1,0))*OFFSET('Gastos com Pessoal'!$H$512,1,MATCH(3&amp;$B53,'Gastos com Pessoal'!$I$532:$AJ$532&amp;'Gastos com Pessoal'!$I$512:$AJ$512,0),10,1)),0)+_xlfn.IFNA(SUM((W$3&gt;='Gastos com Pessoal'!$E$513:$E$522)*(W$3&lt;='Gastos com Pessoal'!$F$513:$F$522)*(IF('Gastos com Pessoal'!$Y$513:$Y$522&lt;=W$3,1,0))*OFFSET('Gastos com Pessoal'!$H$512,1,MATCH(4&amp;$B53,'Gastos com Pessoal'!$I$532:$AJ$532&amp;'Gastos com Pessoal'!$I$512:$AJ$512,0),10,1)),0)+_xlfn.IFNA(SUM((W$3&gt;='Gastos com Pessoal'!$E$513:$E$522)*(W$3&lt;='Gastos com Pessoal'!$F$513:$F$522)*(IF('Gastos com Pessoal'!$AE$513:$AE$522&lt;=W$3,1,0))*OFFSET('Gastos com Pessoal'!$H$512,1,MATCH(5&amp;$B53,'Gastos com Pessoal'!$I$532:$AJ$532&amp;'Gastos com Pessoal'!$I$512:$AJ$512,0),10,1)),0)</f>
        <v>0</v>
      </c>
      <c r="X53" s="188">
        <f t="array" aca="1" ref="X53" ca="1">_xlfn.IFNA(SUM((X$3&gt;='Gastos com Pessoal'!$E$7:$E$506)*(X$3&lt;='Gastos com Pessoal'!$F$7:$F$506)*OFFSET('Encargos e Benefícios'!$D$5,1,MATCH($B53,'Encargos e Benefícios'!$E$5:$AB$5,0),500,1)),0)+_xlfn.IFNA(SUM((X$3&gt;='Gastos com Pessoal'!$E$513:$E$522)*(X$3&lt;='Gastos com Pessoal'!$F$513:$F$522)*OFFSET('Encargos e Benefícios'!$D$511,1,MATCH($B53,'Encargos e Benefícios'!$E$511:$AB$511,0),10,1)),0)+_xlfn.IFNA(SUM((X$3&gt;='Gastos com Pessoal'!$E$7:$E$506)*(X$3&lt;='Gastos com Pessoal'!$F$7:$F$506)*(IF('Gastos com Pessoal'!$G$7:$G$506&lt;=X$3,1,0))*OFFSET('Gastos com Pessoal'!$H$6,1,MATCH(1&amp;$B53,'Gastos com Pessoal'!$I$532:$AJ$532&amp;'Gastos com Pessoal'!$I$6:$AJ$6,0),500,1)),0)+_xlfn.IFNA(SUM((X$3&gt;='Gastos com Pessoal'!$E$7:$E$506)*(X$3&lt;='Gastos com Pessoal'!$F$7:$F$506)*(IF('Gastos com Pessoal'!$M$7:$M$506&lt;=X$3,1,0))*OFFSET('Gastos com Pessoal'!$H$6,1,MATCH(2&amp;$B53,'Gastos com Pessoal'!$I$532:$AJ$532&amp;'Gastos com Pessoal'!$I$6:$AJ$6,0),500,1)),0)+_xlfn.IFNA(SUM((X$3&gt;='Gastos com Pessoal'!$E$7:$E$506)*(X$3&lt;='Gastos com Pessoal'!$F$7:$F$506)*(IF('Gastos com Pessoal'!$S$7:$S$506&lt;=X$3,1,0))*OFFSET('Gastos com Pessoal'!$H$6,1,MATCH(3&amp;$B53,'Gastos com Pessoal'!$I$532:$AJ$532&amp;'Gastos com Pessoal'!$I$6:$AJ$6,0),500,1)),0)+_xlfn.IFNA(SUM((X$3&gt;='Gastos com Pessoal'!$E$7:$E$506)*(X$3&lt;='Gastos com Pessoal'!$F$7:$F$506)*(IF('Gastos com Pessoal'!$Y$7:$Y$506&lt;=X$3,1,0))*OFFSET('Gastos com Pessoal'!$H$6,1,MATCH(4&amp;$B53,'Gastos com Pessoal'!$I$532:$AJ$532&amp;'Gastos com Pessoal'!$I$6:$AJ$6,0),500,1)),0)+_xlfn.IFNA(SUM((X$3&gt;='Gastos com Pessoal'!$E$7:$E$506)*(X$3&lt;='Gastos com Pessoal'!$F$7:$F$506)*(IF('Gastos com Pessoal'!$AE$7:$AE$506&lt;=X$3,1,0))*OFFSET('Gastos com Pessoal'!$H$6,1,MATCH(5&amp;$B53,'Gastos com Pessoal'!$I$532:$AJ$532&amp;'Gastos com Pessoal'!$I$6:$AJ$6,0),500,1)),0)+_xlfn.IFNA(SUM((X$3&gt;='Gastos com Pessoal'!$E$513:$E$522)*(X$3&lt;='Gastos com Pessoal'!$F$513:$F$522)*(IF('Gastos com Pessoal'!$G$513:$G$522&lt;=X$3,1,0))*OFFSET('Gastos com Pessoal'!$H$512,1,MATCH(1&amp;$B53,'Gastos com Pessoal'!$I$532:$AJ$532&amp;'Gastos com Pessoal'!$I$512:$AJ$512,0),10,1)),0)+_xlfn.IFNA(SUM((X$3&gt;='Gastos com Pessoal'!$E$513:$E$522)*(X$3&lt;='Gastos com Pessoal'!$F$513:$F$522)*(IF('Gastos com Pessoal'!$M$513:$M$522&lt;=X$3,1,0))*OFFSET('Gastos com Pessoal'!$H$512,1,MATCH(2&amp;$B53,'Gastos com Pessoal'!$I$532:$AJ$532&amp;'Gastos com Pessoal'!$I$512:$AJ$512,0),10,1)),0)+_xlfn.IFNA(SUM((X$3&gt;='Gastos com Pessoal'!$E$513:$E$522)*(X$3&lt;='Gastos com Pessoal'!$F$513:$F$522)*(IF('Gastos com Pessoal'!$S$513:$S$522&lt;=X$3,1,0))*OFFSET('Gastos com Pessoal'!$H$512,1,MATCH(3&amp;$B53,'Gastos com Pessoal'!$I$532:$AJ$532&amp;'Gastos com Pessoal'!$I$512:$AJ$512,0),10,1)),0)+_xlfn.IFNA(SUM((X$3&gt;='Gastos com Pessoal'!$E$513:$E$522)*(X$3&lt;='Gastos com Pessoal'!$F$513:$F$522)*(IF('Gastos com Pessoal'!$Y$513:$Y$522&lt;=X$3,1,0))*OFFSET('Gastos com Pessoal'!$H$512,1,MATCH(4&amp;$B53,'Gastos com Pessoal'!$I$532:$AJ$532&amp;'Gastos com Pessoal'!$I$512:$AJ$512,0),10,1)),0)+_xlfn.IFNA(SUM((X$3&gt;='Gastos com Pessoal'!$E$513:$E$522)*(X$3&lt;='Gastos com Pessoal'!$F$513:$F$522)*(IF('Gastos com Pessoal'!$AE$513:$AE$522&lt;=X$3,1,0))*OFFSET('Gastos com Pessoal'!$H$512,1,MATCH(5&amp;$B53,'Gastos com Pessoal'!$I$532:$AJ$532&amp;'Gastos com Pessoal'!$I$512:$AJ$512,0),10,1)),0)</f>
        <v>0</v>
      </c>
      <c r="Y53" s="188">
        <f t="array" aca="1" ref="Y53" ca="1">_xlfn.IFNA(SUM((Y$3&gt;='Gastos com Pessoal'!$E$7:$E$506)*(Y$3&lt;='Gastos com Pessoal'!$F$7:$F$506)*OFFSET('Encargos e Benefícios'!$D$5,1,MATCH($B53,'Encargos e Benefícios'!$E$5:$AB$5,0),500,1)),0)+_xlfn.IFNA(SUM((Y$3&gt;='Gastos com Pessoal'!$E$513:$E$522)*(Y$3&lt;='Gastos com Pessoal'!$F$513:$F$522)*OFFSET('Encargos e Benefícios'!$D$511,1,MATCH($B53,'Encargos e Benefícios'!$E$511:$AB$511,0),10,1)),0)+_xlfn.IFNA(SUM((Y$3&gt;='Gastos com Pessoal'!$E$7:$E$506)*(Y$3&lt;='Gastos com Pessoal'!$F$7:$F$506)*(IF('Gastos com Pessoal'!$G$7:$G$506&lt;=Y$3,1,0))*OFFSET('Gastos com Pessoal'!$H$6,1,MATCH(1&amp;$B53,'Gastos com Pessoal'!$I$532:$AJ$532&amp;'Gastos com Pessoal'!$I$6:$AJ$6,0),500,1)),0)+_xlfn.IFNA(SUM((Y$3&gt;='Gastos com Pessoal'!$E$7:$E$506)*(Y$3&lt;='Gastos com Pessoal'!$F$7:$F$506)*(IF('Gastos com Pessoal'!$M$7:$M$506&lt;=Y$3,1,0))*OFFSET('Gastos com Pessoal'!$H$6,1,MATCH(2&amp;$B53,'Gastos com Pessoal'!$I$532:$AJ$532&amp;'Gastos com Pessoal'!$I$6:$AJ$6,0),500,1)),0)+_xlfn.IFNA(SUM((Y$3&gt;='Gastos com Pessoal'!$E$7:$E$506)*(Y$3&lt;='Gastos com Pessoal'!$F$7:$F$506)*(IF('Gastos com Pessoal'!$S$7:$S$506&lt;=Y$3,1,0))*OFFSET('Gastos com Pessoal'!$H$6,1,MATCH(3&amp;$B53,'Gastos com Pessoal'!$I$532:$AJ$532&amp;'Gastos com Pessoal'!$I$6:$AJ$6,0),500,1)),0)+_xlfn.IFNA(SUM((Y$3&gt;='Gastos com Pessoal'!$E$7:$E$506)*(Y$3&lt;='Gastos com Pessoal'!$F$7:$F$506)*(IF('Gastos com Pessoal'!$Y$7:$Y$506&lt;=Y$3,1,0))*OFFSET('Gastos com Pessoal'!$H$6,1,MATCH(4&amp;$B53,'Gastos com Pessoal'!$I$532:$AJ$532&amp;'Gastos com Pessoal'!$I$6:$AJ$6,0),500,1)),0)+_xlfn.IFNA(SUM((Y$3&gt;='Gastos com Pessoal'!$E$7:$E$506)*(Y$3&lt;='Gastos com Pessoal'!$F$7:$F$506)*(IF('Gastos com Pessoal'!$AE$7:$AE$506&lt;=Y$3,1,0))*OFFSET('Gastos com Pessoal'!$H$6,1,MATCH(5&amp;$B53,'Gastos com Pessoal'!$I$532:$AJ$532&amp;'Gastos com Pessoal'!$I$6:$AJ$6,0),500,1)),0)+_xlfn.IFNA(SUM((Y$3&gt;='Gastos com Pessoal'!$E$513:$E$522)*(Y$3&lt;='Gastos com Pessoal'!$F$513:$F$522)*(IF('Gastos com Pessoal'!$G$513:$G$522&lt;=Y$3,1,0))*OFFSET('Gastos com Pessoal'!$H$512,1,MATCH(1&amp;$B53,'Gastos com Pessoal'!$I$532:$AJ$532&amp;'Gastos com Pessoal'!$I$512:$AJ$512,0),10,1)),0)+_xlfn.IFNA(SUM((Y$3&gt;='Gastos com Pessoal'!$E$513:$E$522)*(Y$3&lt;='Gastos com Pessoal'!$F$513:$F$522)*(IF('Gastos com Pessoal'!$M$513:$M$522&lt;=Y$3,1,0))*OFFSET('Gastos com Pessoal'!$H$512,1,MATCH(2&amp;$B53,'Gastos com Pessoal'!$I$532:$AJ$532&amp;'Gastos com Pessoal'!$I$512:$AJ$512,0),10,1)),0)+_xlfn.IFNA(SUM((Y$3&gt;='Gastos com Pessoal'!$E$513:$E$522)*(Y$3&lt;='Gastos com Pessoal'!$F$513:$F$522)*(IF('Gastos com Pessoal'!$S$513:$S$522&lt;=Y$3,1,0))*OFFSET('Gastos com Pessoal'!$H$512,1,MATCH(3&amp;$B53,'Gastos com Pessoal'!$I$532:$AJ$532&amp;'Gastos com Pessoal'!$I$512:$AJ$512,0),10,1)),0)+_xlfn.IFNA(SUM((Y$3&gt;='Gastos com Pessoal'!$E$513:$E$522)*(Y$3&lt;='Gastos com Pessoal'!$F$513:$F$522)*(IF('Gastos com Pessoal'!$Y$513:$Y$522&lt;=Y$3,1,0))*OFFSET('Gastos com Pessoal'!$H$512,1,MATCH(4&amp;$B53,'Gastos com Pessoal'!$I$532:$AJ$532&amp;'Gastos com Pessoal'!$I$512:$AJ$512,0),10,1)),0)+_xlfn.IFNA(SUM((Y$3&gt;='Gastos com Pessoal'!$E$513:$E$522)*(Y$3&lt;='Gastos com Pessoal'!$F$513:$F$522)*(IF('Gastos com Pessoal'!$AE$513:$AE$522&lt;=Y$3,1,0))*OFFSET('Gastos com Pessoal'!$H$512,1,MATCH(5&amp;$B53,'Gastos com Pessoal'!$I$532:$AJ$532&amp;'Gastos com Pessoal'!$I$512:$AJ$512,0),10,1)),0)</f>
        <v>0</v>
      </c>
      <c r="Z53" s="188">
        <f t="array" aca="1" ref="Z53" ca="1">_xlfn.IFNA(SUM((Z$3&gt;='Gastos com Pessoal'!$E$7:$E$506)*(Z$3&lt;='Gastos com Pessoal'!$F$7:$F$506)*OFFSET('Encargos e Benefícios'!$D$5,1,MATCH($B53,'Encargos e Benefícios'!$E$5:$AB$5,0),500,1)),0)+_xlfn.IFNA(SUM((Z$3&gt;='Gastos com Pessoal'!$E$513:$E$522)*(Z$3&lt;='Gastos com Pessoal'!$F$513:$F$522)*OFFSET('Encargos e Benefícios'!$D$511,1,MATCH($B53,'Encargos e Benefícios'!$E$511:$AB$511,0),10,1)),0)+_xlfn.IFNA(SUM((Z$3&gt;='Gastos com Pessoal'!$E$7:$E$506)*(Z$3&lt;='Gastos com Pessoal'!$F$7:$F$506)*(IF('Gastos com Pessoal'!$G$7:$G$506&lt;=Z$3,1,0))*OFFSET('Gastos com Pessoal'!$H$6,1,MATCH(1&amp;$B53,'Gastos com Pessoal'!$I$532:$AJ$532&amp;'Gastos com Pessoal'!$I$6:$AJ$6,0),500,1)),0)+_xlfn.IFNA(SUM((Z$3&gt;='Gastos com Pessoal'!$E$7:$E$506)*(Z$3&lt;='Gastos com Pessoal'!$F$7:$F$506)*(IF('Gastos com Pessoal'!$M$7:$M$506&lt;=Z$3,1,0))*OFFSET('Gastos com Pessoal'!$H$6,1,MATCH(2&amp;$B53,'Gastos com Pessoal'!$I$532:$AJ$532&amp;'Gastos com Pessoal'!$I$6:$AJ$6,0),500,1)),0)+_xlfn.IFNA(SUM((Z$3&gt;='Gastos com Pessoal'!$E$7:$E$506)*(Z$3&lt;='Gastos com Pessoal'!$F$7:$F$506)*(IF('Gastos com Pessoal'!$S$7:$S$506&lt;=Z$3,1,0))*OFFSET('Gastos com Pessoal'!$H$6,1,MATCH(3&amp;$B53,'Gastos com Pessoal'!$I$532:$AJ$532&amp;'Gastos com Pessoal'!$I$6:$AJ$6,0),500,1)),0)+_xlfn.IFNA(SUM((Z$3&gt;='Gastos com Pessoal'!$E$7:$E$506)*(Z$3&lt;='Gastos com Pessoal'!$F$7:$F$506)*(IF('Gastos com Pessoal'!$Y$7:$Y$506&lt;=Z$3,1,0))*OFFSET('Gastos com Pessoal'!$H$6,1,MATCH(4&amp;$B53,'Gastos com Pessoal'!$I$532:$AJ$532&amp;'Gastos com Pessoal'!$I$6:$AJ$6,0),500,1)),0)+_xlfn.IFNA(SUM((Z$3&gt;='Gastos com Pessoal'!$E$7:$E$506)*(Z$3&lt;='Gastos com Pessoal'!$F$7:$F$506)*(IF('Gastos com Pessoal'!$AE$7:$AE$506&lt;=Z$3,1,0))*OFFSET('Gastos com Pessoal'!$H$6,1,MATCH(5&amp;$B53,'Gastos com Pessoal'!$I$532:$AJ$532&amp;'Gastos com Pessoal'!$I$6:$AJ$6,0),500,1)),0)+_xlfn.IFNA(SUM((Z$3&gt;='Gastos com Pessoal'!$E$513:$E$522)*(Z$3&lt;='Gastos com Pessoal'!$F$513:$F$522)*(IF('Gastos com Pessoal'!$G$513:$G$522&lt;=Z$3,1,0))*OFFSET('Gastos com Pessoal'!$H$512,1,MATCH(1&amp;$B53,'Gastos com Pessoal'!$I$532:$AJ$532&amp;'Gastos com Pessoal'!$I$512:$AJ$512,0),10,1)),0)+_xlfn.IFNA(SUM((Z$3&gt;='Gastos com Pessoal'!$E$513:$E$522)*(Z$3&lt;='Gastos com Pessoal'!$F$513:$F$522)*(IF('Gastos com Pessoal'!$M$513:$M$522&lt;=Z$3,1,0))*OFFSET('Gastos com Pessoal'!$H$512,1,MATCH(2&amp;$B53,'Gastos com Pessoal'!$I$532:$AJ$532&amp;'Gastos com Pessoal'!$I$512:$AJ$512,0),10,1)),0)+_xlfn.IFNA(SUM((Z$3&gt;='Gastos com Pessoal'!$E$513:$E$522)*(Z$3&lt;='Gastos com Pessoal'!$F$513:$F$522)*(IF('Gastos com Pessoal'!$S$513:$S$522&lt;=Z$3,1,0))*OFFSET('Gastos com Pessoal'!$H$512,1,MATCH(3&amp;$B53,'Gastos com Pessoal'!$I$532:$AJ$532&amp;'Gastos com Pessoal'!$I$512:$AJ$512,0),10,1)),0)+_xlfn.IFNA(SUM((Z$3&gt;='Gastos com Pessoal'!$E$513:$E$522)*(Z$3&lt;='Gastos com Pessoal'!$F$513:$F$522)*(IF('Gastos com Pessoal'!$Y$513:$Y$522&lt;=Z$3,1,0))*OFFSET('Gastos com Pessoal'!$H$512,1,MATCH(4&amp;$B53,'Gastos com Pessoal'!$I$532:$AJ$532&amp;'Gastos com Pessoal'!$I$512:$AJ$512,0),10,1)),0)+_xlfn.IFNA(SUM((Z$3&gt;='Gastos com Pessoal'!$E$513:$E$522)*(Z$3&lt;='Gastos com Pessoal'!$F$513:$F$522)*(IF('Gastos com Pessoal'!$AE$513:$AE$522&lt;=Z$3,1,0))*OFFSET('Gastos com Pessoal'!$H$512,1,MATCH(5&amp;$B53,'Gastos com Pessoal'!$I$532:$AJ$532&amp;'Gastos com Pessoal'!$I$512:$AJ$512,0),10,1)),0)</f>
        <v>0</v>
      </c>
      <c r="AA53" s="188">
        <f t="array" aca="1" ref="AA53" ca="1">_xlfn.IFNA(SUM((AA$3&gt;='Gastos com Pessoal'!$E$7:$E$506)*(AA$3&lt;='Gastos com Pessoal'!$F$7:$F$506)*OFFSET('Encargos e Benefícios'!$D$5,1,MATCH($B53,'Encargos e Benefícios'!$E$5:$AB$5,0),500,1)),0)+_xlfn.IFNA(SUM((AA$3&gt;='Gastos com Pessoal'!$E$513:$E$522)*(AA$3&lt;='Gastos com Pessoal'!$F$513:$F$522)*OFFSET('Encargos e Benefícios'!$D$511,1,MATCH($B53,'Encargos e Benefícios'!$E$511:$AB$511,0),10,1)),0)+_xlfn.IFNA(SUM((AA$3&gt;='Gastos com Pessoal'!$E$7:$E$506)*(AA$3&lt;='Gastos com Pessoal'!$F$7:$F$506)*(IF('Gastos com Pessoal'!$G$7:$G$506&lt;=AA$3,1,0))*OFFSET('Gastos com Pessoal'!$H$6,1,MATCH(1&amp;$B53,'Gastos com Pessoal'!$I$532:$AJ$532&amp;'Gastos com Pessoal'!$I$6:$AJ$6,0),500,1)),0)+_xlfn.IFNA(SUM((AA$3&gt;='Gastos com Pessoal'!$E$7:$E$506)*(AA$3&lt;='Gastos com Pessoal'!$F$7:$F$506)*(IF('Gastos com Pessoal'!$M$7:$M$506&lt;=AA$3,1,0))*OFFSET('Gastos com Pessoal'!$H$6,1,MATCH(2&amp;$B53,'Gastos com Pessoal'!$I$532:$AJ$532&amp;'Gastos com Pessoal'!$I$6:$AJ$6,0),500,1)),0)+_xlfn.IFNA(SUM((AA$3&gt;='Gastos com Pessoal'!$E$7:$E$506)*(AA$3&lt;='Gastos com Pessoal'!$F$7:$F$506)*(IF('Gastos com Pessoal'!$S$7:$S$506&lt;=AA$3,1,0))*OFFSET('Gastos com Pessoal'!$H$6,1,MATCH(3&amp;$B53,'Gastos com Pessoal'!$I$532:$AJ$532&amp;'Gastos com Pessoal'!$I$6:$AJ$6,0),500,1)),0)+_xlfn.IFNA(SUM((AA$3&gt;='Gastos com Pessoal'!$E$7:$E$506)*(AA$3&lt;='Gastos com Pessoal'!$F$7:$F$506)*(IF('Gastos com Pessoal'!$Y$7:$Y$506&lt;=AA$3,1,0))*OFFSET('Gastos com Pessoal'!$H$6,1,MATCH(4&amp;$B53,'Gastos com Pessoal'!$I$532:$AJ$532&amp;'Gastos com Pessoal'!$I$6:$AJ$6,0),500,1)),0)+_xlfn.IFNA(SUM((AA$3&gt;='Gastos com Pessoal'!$E$7:$E$506)*(AA$3&lt;='Gastos com Pessoal'!$F$7:$F$506)*(IF('Gastos com Pessoal'!$AE$7:$AE$506&lt;=AA$3,1,0))*OFFSET('Gastos com Pessoal'!$H$6,1,MATCH(5&amp;$B53,'Gastos com Pessoal'!$I$532:$AJ$532&amp;'Gastos com Pessoal'!$I$6:$AJ$6,0),500,1)),0)+_xlfn.IFNA(SUM((AA$3&gt;='Gastos com Pessoal'!$E$513:$E$522)*(AA$3&lt;='Gastos com Pessoal'!$F$513:$F$522)*(IF('Gastos com Pessoal'!$G$513:$G$522&lt;=AA$3,1,0))*OFFSET('Gastos com Pessoal'!$H$512,1,MATCH(1&amp;$B53,'Gastos com Pessoal'!$I$532:$AJ$532&amp;'Gastos com Pessoal'!$I$512:$AJ$512,0),10,1)),0)+_xlfn.IFNA(SUM((AA$3&gt;='Gastos com Pessoal'!$E$513:$E$522)*(AA$3&lt;='Gastos com Pessoal'!$F$513:$F$522)*(IF('Gastos com Pessoal'!$M$513:$M$522&lt;=AA$3,1,0))*OFFSET('Gastos com Pessoal'!$H$512,1,MATCH(2&amp;$B53,'Gastos com Pessoal'!$I$532:$AJ$532&amp;'Gastos com Pessoal'!$I$512:$AJ$512,0),10,1)),0)+_xlfn.IFNA(SUM((AA$3&gt;='Gastos com Pessoal'!$E$513:$E$522)*(AA$3&lt;='Gastos com Pessoal'!$F$513:$F$522)*(IF('Gastos com Pessoal'!$S$513:$S$522&lt;=AA$3,1,0))*OFFSET('Gastos com Pessoal'!$H$512,1,MATCH(3&amp;$B53,'Gastos com Pessoal'!$I$532:$AJ$532&amp;'Gastos com Pessoal'!$I$512:$AJ$512,0),10,1)),0)+_xlfn.IFNA(SUM((AA$3&gt;='Gastos com Pessoal'!$E$513:$E$522)*(AA$3&lt;='Gastos com Pessoal'!$F$513:$F$522)*(IF('Gastos com Pessoal'!$Y$513:$Y$522&lt;=AA$3,1,0))*OFFSET('Gastos com Pessoal'!$H$512,1,MATCH(4&amp;$B53,'Gastos com Pessoal'!$I$532:$AJ$532&amp;'Gastos com Pessoal'!$I$512:$AJ$512,0),10,1)),0)+_xlfn.IFNA(SUM((AA$3&gt;='Gastos com Pessoal'!$E$513:$E$522)*(AA$3&lt;='Gastos com Pessoal'!$F$513:$F$522)*(IF('Gastos com Pessoal'!$AE$513:$AE$522&lt;=AA$3,1,0))*OFFSET('Gastos com Pessoal'!$H$512,1,MATCH(5&amp;$B53,'Gastos com Pessoal'!$I$532:$AJ$532&amp;'Gastos com Pessoal'!$I$512:$AJ$512,0),10,1)),0)</f>
        <v>0</v>
      </c>
      <c r="AB53" s="188">
        <f t="array" aca="1" ref="AB53" ca="1">_xlfn.IFNA(SUM((AB$3&gt;='Gastos com Pessoal'!$E$7:$E$506)*(AB$3&lt;='Gastos com Pessoal'!$F$7:$F$506)*OFFSET('Encargos e Benefícios'!$D$5,1,MATCH($B53,'Encargos e Benefícios'!$E$5:$AB$5,0),500,1)),0)+_xlfn.IFNA(SUM((AB$3&gt;='Gastos com Pessoal'!$E$513:$E$522)*(AB$3&lt;='Gastos com Pessoal'!$F$513:$F$522)*OFFSET('Encargos e Benefícios'!$D$511,1,MATCH($B53,'Encargos e Benefícios'!$E$511:$AB$511,0),10,1)),0)+_xlfn.IFNA(SUM((AB$3&gt;='Gastos com Pessoal'!$E$7:$E$506)*(AB$3&lt;='Gastos com Pessoal'!$F$7:$F$506)*(IF('Gastos com Pessoal'!$G$7:$G$506&lt;=AB$3,1,0))*OFFSET('Gastos com Pessoal'!$H$6,1,MATCH(1&amp;$B53,'Gastos com Pessoal'!$I$532:$AJ$532&amp;'Gastos com Pessoal'!$I$6:$AJ$6,0),500,1)),0)+_xlfn.IFNA(SUM((AB$3&gt;='Gastos com Pessoal'!$E$7:$E$506)*(AB$3&lt;='Gastos com Pessoal'!$F$7:$F$506)*(IF('Gastos com Pessoal'!$M$7:$M$506&lt;=AB$3,1,0))*OFFSET('Gastos com Pessoal'!$H$6,1,MATCH(2&amp;$B53,'Gastos com Pessoal'!$I$532:$AJ$532&amp;'Gastos com Pessoal'!$I$6:$AJ$6,0),500,1)),0)+_xlfn.IFNA(SUM((AB$3&gt;='Gastos com Pessoal'!$E$7:$E$506)*(AB$3&lt;='Gastos com Pessoal'!$F$7:$F$506)*(IF('Gastos com Pessoal'!$S$7:$S$506&lt;=AB$3,1,0))*OFFSET('Gastos com Pessoal'!$H$6,1,MATCH(3&amp;$B53,'Gastos com Pessoal'!$I$532:$AJ$532&amp;'Gastos com Pessoal'!$I$6:$AJ$6,0),500,1)),0)+_xlfn.IFNA(SUM((AB$3&gt;='Gastos com Pessoal'!$E$7:$E$506)*(AB$3&lt;='Gastos com Pessoal'!$F$7:$F$506)*(IF('Gastos com Pessoal'!$Y$7:$Y$506&lt;=AB$3,1,0))*OFFSET('Gastos com Pessoal'!$H$6,1,MATCH(4&amp;$B53,'Gastos com Pessoal'!$I$532:$AJ$532&amp;'Gastos com Pessoal'!$I$6:$AJ$6,0),500,1)),0)+_xlfn.IFNA(SUM((AB$3&gt;='Gastos com Pessoal'!$E$7:$E$506)*(AB$3&lt;='Gastos com Pessoal'!$F$7:$F$506)*(IF('Gastos com Pessoal'!$AE$7:$AE$506&lt;=AB$3,1,0))*OFFSET('Gastos com Pessoal'!$H$6,1,MATCH(5&amp;$B53,'Gastos com Pessoal'!$I$532:$AJ$532&amp;'Gastos com Pessoal'!$I$6:$AJ$6,0),500,1)),0)+_xlfn.IFNA(SUM((AB$3&gt;='Gastos com Pessoal'!$E$513:$E$522)*(AB$3&lt;='Gastos com Pessoal'!$F$513:$F$522)*(IF('Gastos com Pessoal'!$G$513:$G$522&lt;=AB$3,1,0))*OFFSET('Gastos com Pessoal'!$H$512,1,MATCH(1&amp;$B53,'Gastos com Pessoal'!$I$532:$AJ$532&amp;'Gastos com Pessoal'!$I$512:$AJ$512,0),10,1)),0)+_xlfn.IFNA(SUM((AB$3&gt;='Gastos com Pessoal'!$E$513:$E$522)*(AB$3&lt;='Gastos com Pessoal'!$F$513:$F$522)*(IF('Gastos com Pessoal'!$M$513:$M$522&lt;=AB$3,1,0))*OFFSET('Gastos com Pessoal'!$H$512,1,MATCH(2&amp;$B53,'Gastos com Pessoal'!$I$532:$AJ$532&amp;'Gastos com Pessoal'!$I$512:$AJ$512,0),10,1)),0)+_xlfn.IFNA(SUM((AB$3&gt;='Gastos com Pessoal'!$E$513:$E$522)*(AB$3&lt;='Gastos com Pessoal'!$F$513:$F$522)*(IF('Gastos com Pessoal'!$S$513:$S$522&lt;=AB$3,1,0))*OFFSET('Gastos com Pessoal'!$H$512,1,MATCH(3&amp;$B53,'Gastos com Pessoal'!$I$532:$AJ$532&amp;'Gastos com Pessoal'!$I$512:$AJ$512,0),10,1)),0)+_xlfn.IFNA(SUM((AB$3&gt;='Gastos com Pessoal'!$E$513:$E$522)*(AB$3&lt;='Gastos com Pessoal'!$F$513:$F$522)*(IF('Gastos com Pessoal'!$Y$513:$Y$522&lt;=AB$3,1,0))*OFFSET('Gastos com Pessoal'!$H$512,1,MATCH(4&amp;$B53,'Gastos com Pessoal'!$I$532:$AJ$532&amp;'Gastos com Pessoal'!$I$512:$AJ$512,0),10,1)),0)+_xlfn.IFNA(SUM((AB$3&gt;='Gastos com Pessoal'!$E$513:$E$522)*(AB$3&lt;='Gastos com Pessoal'!$F$513:$F$522)*(IF('Gastos com Pessoal'!$AE$513:$AE$522&lt;=AB$3,1,0))*OFFSET('Gastos com Pessoal'!$H$512,1,MATCH(5&amp;$B53,'Gastos com Pessoal'!$I$532:$AJ$532&amp;'Gastos com Pessoal'!$I$512:$AJ$512,0),10,1)),0)</f>
        <v>0</v>
      </c>
      <c r="AC53" s="188">
        <f t="array" aca="1" ref="AC53" ca="1">_xlfn.IFNA(SUM((AC$3&gt;='Gastos com Pessoal'!$E$7:$E$506)*(AC$3&lt;='Gastos com Pessoal'!$F$7:$F$506)*OFFSET('Encargos e Benefícios'!$D$5,1,MATCH($B53,'Encargos e Benefícios'!$E$5:$AB$5,0),500,1)),0)+_xlfn.IFNA(SUM((AC$3&gt;='Gastos com Pessoal'!$E$513:$E$522)*(AC$3&lt;='Gastos com Pessoal'!$F$513:$F$522)*OFFSET('Encargos e Benefícios'!$D$511,1,MATCH($B53,'Encargos e Benefícios'!$E$511:$AB$511,0),10,1)),0)+_xlfn.IFNA(SUM((AC$3&gt;='Gastos com Pessoal'!$E$7:$E$506)*(AC$3&lt;='Gastos com Pessoal'!$F$7:$F$506)*(IF('Gastos com Pessoal'!$G$7:$G$506&lt;=AC$3,1,0))*OFFSET('Gastos com Pessoal'!$H$6,1,MATCH(1&amp;$B53,'Gastos com Pessoal'!$I$532:$AJ$532&amp;'Gastos com Pessoal'!$I$6:$AJ$6,0),500,1)),0)+_xlfn.IFNA(SUM((AC$3&gt;='Gastos com Pessoal'!$E$7:$E$506)*(AC$3&lt;='Gastos com Pessoal'!$F$7:$F$506)*(IF('Gastos com Pessoal'!$M$7:$M$506&lt;=AC$3,1,0))*OFFSET('Gastos com Pessoal'!$H$6,1,MATCH(2&amp;$B53,'Gastos com Pessoal'!$I$532:$AJ$532&amp;'Gastos com Pessoal'!$I$6:$AJ$6,0),500,1)),0)+_xlfn.IFNA(SUM((AC$3&gt;='Gastos com Pessoal'!$E$7:$E$506)*(AC$3&lt;='Gastos com Pessoal'!$F$7:$F$506)*(IF('Gastos com Pessoal'!$S$7:$S$506&lt;=AC$3,1,0))*OFFSET('Gastos com Pessoal'!$H$6,1,MATCH(3&amp;$B53,'Gastos com Pessoal'!$I$532:$AJ$532&amp;'Gastos com Pessoal'!$I$6:$AJ$6,0),500,1)),0)+_xlfn.IFNA(SUM((AC$3&gt;='Gastos com Pessoal'!$E$7:$E$506)*(AC$3&lt;='Gastos com Pessoal'!$F$7:$F$506)*(IF('Gastos com Pessoal'!$Y$7:$Y$506&lt;=AC$3,1,0))*OFFSET('Gastos com Pessoal'!$H$6,1,MATCH(4&amp;$B53,'Gastos com Pessoal'!$I$532:$AJ$532&amp;'Gastos com Pessoal'!$I$6:$AJ$6,0),500,1)),0)+_xlfn.IFNA(SUM((AC$3&gt;='Gastos com Pessoal'!$E$7:$E$506)*(AC$3&lt;='Gastos com Pessoal'!$F$7:$F$506)*(IF('Gastos com Pessoal'!$AE$7:$AE$506&lt;=AC$3,1,0))*OFFSET('Gastos com Pessoal'!$H$6,1,MATCH(5&amp;$B53,'Gastos com Pessoal'!$I$532:$AJ$532&amp;'Gastos com Pessoal'!$I$6:$AJ$6,0),500,1)),0)+_xlfn.IFNA(SUM((AC$3&gt;='Gastos com Pessoal'!$E$513:$E$522)*(AC$3&lt;='Gastos com Pessoal'!$F$513:$F$522)*(IF('Gastos com Pessoal'!$G$513:$G$522&lt;=AC$3,1,0))*OFFSET('Gastos com Pessoal'!$H$512,1,MATCH(1&amp;$B53,'Gastos com Pessoal'!$I$532:$AJ$532&amp;'Gastos com Pessoal'!$I$512:$AJ$512,0),10,1)),0)+_xlfn.IFNA(SUM((AC$3&gt;='Gastos com Pessoal'!$E$513:$E$522)*(AC$3&lt;='Gastos com Pessoal'!$F$513:$F$522)*(IF('Gastos com Pessoal'!$M$513:$M$522&lt;=AC$3,1,0))*OFFSET('Gastos com Pessoal'!$H$512,1,MATCH(2&amp;$B53,'Gastos com Pessoal'!$I$532:$AJ$532&amp;'Gastos com Pessoal'!$I$512:$AJ$512,0),10,1)),0)+_xlfn.IFNA(SUM((AC$3&gt;='Gastos com Pessoal'!$E$513:$E$522)*(AC$3&lt;='Gastos com Pessoal'!$F$513:$F$522)*(IF('Gastos com Pessoal'!$S$513:$S$522&lt;=AC$3,1,0))*OFFSET('Gastos com Pessoal'!$H$512,1,MATCH(3&amp;$B53,'Gastos com Pessoal'!$I$532:$AJ$532&amp;'Gastos com Pessoal'!$I$512:$AJ$512,0),10,1)),0)+_xlfn.IFNA(SUM((AC$3&gt;='Gastos com Pessoal'!$E$513:$E$522)*(AC$3&lt;='Gastos com Pessoal'!$F$513:$F$522)*(IF('Gastos com Pessoal'!$Y$513:$Y$522&lt;=AC$3,1,0))*OFFSET('Gastos com Pessoal'!$H$512,1,MATCH(4&amp;$B53,'Gastos com Pessoal'!$I$532:$AJ$532&amp;'Gastos com Pessoal'!$I$512:$AJ$512,0),10,1)),0)+_xlfn.IFNA(SUM((AC$3&gt;='Gastos com Pessoal'!$E$513:$E$522)*(AC$3&lt;='Gastos com Pessoal'!$F$513:$F$522)*(IF('Gastos com Pessoal'!$AE$513:$AE$522&lt;=AC$3,1,0))*OFFSET('Gastos com Pessoal'!$H$512,1,MATCH(5&amp;$B53,'Gastos com Pessoal'!$I$532:$AJ$532&amp;'Gastos com Pessoal'!$I$512:$AJ$512,0),10,1)),0)</f>
        <v>0</v>
      </c>
      <c r="AD53" s="188">
        <f t="array" aca="1" ref="AD53" ca="1">_xlfn.IFNA(SUM((AD$3&gt;='Gastos com Pessoal'!$E$7:$E$506)*(AD$3&lt;='Gastos com Pessoal'!$F$7:$F$506)*OFFSET('Encargos e Benefícios'!$D$5,1,MATCH($B53,'Encargos e Benefícios'!$E$5:$AB$5,0),500,1)),0)+_xlfn.IFNA(SUM((AD$3&gt;='Gastos com Pessoal'!$E$513:$E$522)*(AD$3&lt;='Gastos com Pessoal'!$F$513:$F$522)*OFFSET('Encargos e Benefícios'!$D$511,1,MATCH($B53,'Encargos e Benefícios'!$E$511:$AB$511,0),10,1)),0)+_xlfn.IFNA(SUM((AD$3&gt;='Gastos com Pessoal'!$E$7:$E$506)*(AD$3&lt;='Gastos com Pessoal'!$F$7:$F$506)*(IF('Gastos com Pessoal'!$G$7:$G$506&lt;=AD$3,1,0))*OFFSET('Gastos com Pessoal'!$H$6,1,MATCH(1&amp;$B53,'Gastos com Pessoal'!$I$532:$AJ$532&amp;'Gastos com Pessoal'!$I$6:$AJ$6,0),500,1)),0)+_xlfn.IFNA(SUM((AD$3&gt;='Gastos com Pessoal'!$E$7:$E$506)*(AD$3&lt;='Gastos com Pessoal'!$F$7:$F$506)*(IF('Gastos com Pessoal'!$M$7:$M$506&lt;=AD$3,1,0))*OFFSET('Gastos com Pessoal'!$H$6,1,MATCH(2&amp;$B53,'Gastos com Pessoal'!$I$532:$AJ$532&amp;'Gastos com Pessoal'!$I$6:$AJ$6,0),500,1)),0)+_xlfn.IFNA(SUM((AD$3&gt;='Gastos com Pessoal'!$E$7:$E$506)*(AD$3&lt;='Gastos com Pessoal'!$F$7:$F$506)*(IF('Gastos com Pessoal'!$S$7:$S$506&lt;=AD$3,1,0))*OFFSET('Gastos com Pessoal'!$H$6,1,MATCH(3&amp;$B53,'Gastos com Pessoal'!$I$532:$AJ$532&amp;'Gastos com Pessoal'!$I$6:$AJ$6,0),500,1)),0)+_xlfn.IFNA(SUM((AD$3&gt;='Gastos com Pessoal'!$E$7:$E$506)*(AD$3&lt;='Gastos com Pessoal'!$F$7:$F$506)*(IF('Gastos com Pessoal'!$Y$7:$Y$506&lt;=AD$3,1,0))*OFFSET('Gastos com Pessoal'!$H$6,1,MATCH(4&amp;$B53,'Gastos com Pessoal'!$I$532:$AJ$532&amp;'Gastos com Pessoal'!$I$6:$AJ$6,0),500,1)),0)+_xlfn.IFNA(SUM((AD$3&gt;='Gastos com Pessoal'!$E$7:$E$506)*(AD$3&lt;='Gastos com Pessoal'!$F$7:$F$506)*(IF('Gastos com Pessoal'!$AE$7:$AE$506&lt;=AD$3,1,0))*OFFSET('Gastos com Pessoal'!$H$6,1,MATCH(5&amp;$B53,'Gastos com Pessoal'!$I$532:$AJ$532&amp;'Gastos com Pessoal'!$I$6:$AJ$6,0),500,1)),0)+_xlfn.IFNA(SUM((AD$3&gt;='Gastos com Pessoal'!$E$513:$E$522)*(AD$3&lt;='Gastos com Pessoal'!$F$513:$F$522)*(IF('Gastos com Pessoal'!$G$513:$G$522&lt;=AD$3,1,0))*OFFSET('Gastos com Pessoal'!$H$512,1,MATCH(1&amp;$B53,'Gastos com Pessoal'!$I$532:$AJ$532&amp;'Gastos com Pessoal'!$I$512:$AJ$512,0),10,1)),0)+_xlfn.IFNA(SUM((AD$3&gt;='Gastos com Pessoal'!$E$513:$E$522)*(AD$3&lt;='Gastos com Pessoal'!$F$513:$F$522)*(IF('Gastos com Pessoal'!$M$513:$M$522&lt;=AD$3,1,0))*OFFSET('Gastos com Pessoal'!$H$512,1,MATCH(2&amp;$B53,'Gastos com Pessoal'!$I$532:$AJ$532&amp;'Gastos com Pessoal'!$I$512:$AJ$512,0),10,1)),0)+_xlfn.IFNA(SUM((AD$3&gt;='Gastos com Pessoal'!$E$513:$E$522)*(AD$3&lt;='Gastos com Pessoal'!$F$513:$F$522)*(IF('Gastos com Pessoal'!$S$513:$S$522&lt;=AD$3,1,0))*OFFSET('Gastos com Pessoal'!$H$512,1,MATCH(3&amp;$B53,'Gastos com Pessoal'!$I$532:$AJ$532&amp;'Gastos com Pessoal'!$I$512:$AJ$512,0),10,1)),0)+_xlfn.IFNA(SUM((AD$3&gt;='Gastos com Pessoal'!$E$513:$E$522)*(AD$3&lt;='Gastos com Pessoal'!$F$513:$F$522)*(IF('Gastos com Pessoal'!$Y$513:$Y$522&lt;=AD$3,1,0))*OFFSET('Gastos com Pessoal'!$H$512,1,MATCH(4&amp;$B53,'Gastos com Pessoal'!$I$532:$AJ$532&amp;'Gastos com Pessoal'!$I$512:$AJ$512,0),10,1)),0)+_xlfn.IFNA(SUM((AD$3&gt;='Gastos com Pessoal'!$E$513:$E$522)*(AD$3&lt;='Gastos com Pessoal'!$F$513:$F$522)*(IF('Gastos com Pessoal'!$AE$513:$AE$522&lt;=AD$3,1,0))*OFFSET('Gastos com Pessoal'!$H$512,1,MATCH(5&amp;$B53,'Gastos com Pessoal'!$I$532:$AJ$532&amp;'Gastos com Pessoal'!$I$512:$AJ$512,0),10,1)),0)</f>
        <v>0</v>
      </c>
      <c r="AE53" s="188">
        <f t="array" aca="1" ref="AE53" ca="1">_xlfn.IFNA(SUM((AE$3&gt;='Gastos com Pessoal'!$E$7:$E$506)*(AE$3&lt;='Gastos com Pessoal'!$F$7:$F$506)*OFFSET('Encargos e Benefícios'!$D$5,1,MATCH($B53,'Encargos e Benefícios'!$E$5:$AB$5,0),500,1)),0)+_xlfn.IFNA(SUM((AE$3&gt;='Gastos com Pessoal'!$E$513:$E$522)*(AE$3&lt;='Gastos com Pessoal'!$F$513:$F$522)*OFFSET('Encargos e Benefícios'!$D$511,1,MATCH($B53,'Encargos e Benefícios'!$E$511:$AB$511,0),10,1)),0)+_xlfn.IFNA(SUM((AE$3&gt;='Gastos com Pessoal'!$E$7:$E$506)*(AE$3&lt;='Gastos com Pessoal'!$F$7:$F$506)*(IF('Gastos com Pessoal'!$G$7:$G$506&lt;=AE$3,1,0))*OFFSET('Gastos com Pessoal'!$H$6,1,MATCH(1&amp;$B53,'Gastos com Pessoal'!$I$532:$AJ$532&amp;'Gastos com Pessoal'!$I$6:$AJ$6,0),500,1)),0)+_xlfn.IFNA(SUM((AE$3&gt;='Gastos com Pessoal'!$E$7:$E$506)*(AE$3&lt;='Gastos com Pessoal'!$F$7:$F$506)*(IF('Gastos com Pessoal'!$M$7:$M$506&lt;=AE$3,1,0))*OFFSET('Gastos com Pessoal'!$H$6,1,MATCH(2&amp;$B53,'Gastos com Pessoal'!$I$532:$AJ$532&amp;'Gastos com Pessoal'!$I$6:$AJ$6,0),500,1)),0)+_xlfn.IFNA(SUM((AE$3&gt;='Gastos com Pessoal'!$E$7:$E$506)*(AE$3&lt;='Gastos com Pessoal'!$F$7:$F$506)*(IF('Gastos com Pessoal'!$S$7:$S$506&lt;=AE$3,1,0))*OFFSET('Gastos com Pessoal'!$H$6,1,MATCH(3&amp;$B53,'Gastos com Pessoal'!$I$532:$AJ$532&amp;'Gastos com Pessoal'!$I$6:$AJ$6,0),500,1)),0)+_xlfn.IFNA(SUM((AE$3&gt;='Gastos com Pessoal'!$E$7:$E$506)*(AE$3&lt;='Gastos com Pessoal'!$F$7:$F$506)*(IF('Gastos com Pessoal'!$Y$7:$Y$506&lt;=AE$3,1,0))*OFFSET('Gastos com Pessoal'!$H$6,1,MATCH(4&amp;$B53,'Gastos com Pessoal'!$I$532:$AJ$532&amp;'Gastos com Pessoal'!$I$6:$AJ$6,0),500,1)),0)+_xlfn.IFNA(SUM((AE$3&gt;='Gastos com Pessoal'!$E$7:$E$506)*(AE$3&lt;='Gastos com Pessoal'!$F$7:$F$506)*(IF('Gastos com Pessoal'!$AE$7:$AE$506&lt;=AE$3,1,0))*OFFSET('Gastos com Pessoal'!$H$6,1,MATCH(5&amp;$B53,'Gastos com Pessoal'!$I$532:$AJ$532&amp;'Gastos com Pessoal'!$I$6:$AJ$6,0),500,1)),0)+_xlfn.IFNA(SUM((AE$3&gt;='Gastos com Pessoal'!$E$513:$E$522)*(AE$3&lt;='Gastos com Pessoal'!$F$513:$F$522)*(IF('Gastos com Pessoal'!$G$513:$G$522&lt;=AE$3,1,0))*OFFSET('Gastos com Pessoal'!$H$512,1,MATCH(1&amp;$B53,'Gastos com Pessoal'!$I$532:$AJ$532&amp;'Gastos com Pessoal'!$I$512:$AJ$512,0),10,1)),0)+_xlfn.IFNA(SUM((AE$3&gt;='Gastos com Pessoal'!$E$513:$E$522)*(AE$3&lt;='Gastos com Pessoal'!$F$513:$F$522)*(IF('Gastos com Pessoal'!$M$513:$M$522&lt;=AE$3,1,0))*OFFSET('Gastos com Pessoal'!$H$512,1,MATCH(2&amp;$B53,'Gastos com Pessoal'!$I$532:$AJ$532&amp;'Gastos com Pessoal'!$I$512:$AJ$512,0),10,1)),0)+_xlfn.IFNA(SUM((AE$3&gt;='Gastos com Pessoal'!$E$513:$E$522)*(AE$3&lt;='Gastos com Pessoal'!$F$513:$F$522)*(IF('Gastos com Pessoal'!$S$513:$S$522&lt;=AE$3,1,0))*OFFSET('Gastos com Pessoal'!$H$512,1,MATCH(3&amp;$B53,'Gastos com Pessoal'!$I$532:$AJ$532&amp;'Gastos com Pessoal'!$I$512:$AJ$512,0),10,1)),0)+_xlfn.IFNA(SUM((AE$3&gt;='Gastos com Pessoal'!$E$513:$E$522)*(AE$3&lt;='Gastos com Pessoal'!$F$513:$F$522)*(IF('Gastos com Pessoal'!$Y$513:$Y$522&lt;=AE$3,1,0))*OFFSET('Gastos com Pessoal'!$H$512,1,MATCH(4&amp;$B53,'Gastos com Pessoal'!$I$532:$AJ$532&amp;'Gastos com Pessoal'!$I$512:$AJ$512,0),10,1)),0)+_xlfn.IFNA(SUM((AE$3&gt;='Gastos com Pessoal'!$E$513:$E$522)*(AE$3&lt;='Gastos com Pessoal'!$F$513:$F$522)*(IF('Gastos com Pessoal'!$AE$513:$AE$522&lt;=AE$3,1,0))*OFFSET('Gastos com Pessoal'!$H$512,1,MATCH(5&amp;$B53,'Gastos com Pessoal'!$I$532:$AJ$532&amp;'Gastos com Pessoal'!$I$512:$AJ$512,0),10,1)),0)</f>
        <v>0</v>
      </c>
      <c r="AF53" s="188">
        <f t="array" aca="1" ref="AF53" ca="1">_xlfn.IFNA(SUM((AF$3&gt;='Gastos com Pessoal'!$E$7:$E$506)*(AF$3&lt;='Gastos com Pessoal'!$F$7:$F$506)*OFFSET('Encargos e Benefícios'!$D$5,1,MATCH($B53,'Encargos e Benefícios'!$E$5:$AB$5,0),500,1)),0)+_xlfn.IFNA(SUM((AF$3&gt;='Gastos com Pessoal'!$E$513:$E$522)*(AF$3&lt;='Gastos com Pessoal'!$F$513:$F$522)*OFFSET('Encargos e Benefícios'!$D$511,1,MATCH($B53,'Encargos e Benefícios'!$E$511:$AB$511,0),10,1)),0)+_xlfn.IFNA(SUM((AF$3&gt;='Gastos com Pessoal'!$E$7:$E$506)*(AF$3&lt;='Gastos com Pessoal'!$F$7:$F$506)*(IF('Gastos com Pessoal'!$G$7:$G$506&lt;=AF$3,1,0))*OFFSET('Gastos com Pessoal'!$H$6,1,MATCH(1&amp;$B53,'Gastos com Pessoal'!$I$532:$AJ$532&amp;'Gastos com Pessoal'!$I$6:$AJ$6,0),500,1)),0)+_xlfn.IFNA(SUM((AF$3&gt;='Gastos com Pessoal'!$E$7:$E$506)*(AF$3&lt;='Gastos com Pessoal'!$F$7:$F$506)*(IF('Gastos com Pessoal'!$M$7:$M$506&lt;=AF$3,1,0))*OFFSET('Gastos com Pessoal'!$H$6,1,MATCH(2&amp;$B53,'Gastos com Pessoal'!$I$532:$AJ$532&amp;'Gastos com Pessoal'!$I$6:$AJ$6,0),500,1)),0)+_xlfn.IFNA(SUM((AF$3&gt;='Gastos com Pessoal'!$E$7:$E$506)*(AF$3&lt;='Gastos com Pessoal'!$F$7:$F$506)*(IF('Gastos com Pessoal'!$S$7:$S$506&lt;=AF$3,1,0))*OFFSET('Gastos com Pessoal'!$H$6,1,MATCH(3&amp;$B53,'Gastos com Pessoal'!$I$532:$AJ$532&amp;'Gastos com Pessoal'!$I$6:$AJ$6,0),500,1)),0)+_xlfn.IFNA(SUM((AF$3&gt;='Gastos com Pessoal'!$E$7:$E$506)*(AF$3&lt;='Gastos com Pessoal'!$F$7:$F$506)*(IF('Gastos com Pessoal'!$Y$7:$Y$506&lt;=AF$3,1,0))*OFFSET('Gastos com Pessoal'!$H$6,1,MATCH(4&amp;$B53,'Gastos com Pessoal'!$I$532:$AJ$532&amp;'Gastos com Pessoal'!$I$6:$AJ$6,0),500,1)),0)+_xlfn.IFNA(SUM((AF$3&gt;='Gastos com Pessoal'!$E$7:$E$506)*(AF$3&lt;='Gastos com Pessoal'!$F$7:$F$506)*(IF('Gastos com Pessoal'!$AE$7:$AE$506&lt;=AF$3,1,0))*OFFSET('Gastos com Pessoal'!$H$6,1,MATCH(5&amp;$B53,'Gastos com Pessoal'!$I$532:$AJ$532&amp;'Gastos com Pessoal'!$I$6:$AJ$6,0),500,1)),0)+_xlfn.IFNA(SUM((AF$3&gt;='Gastos com Pessoal'!$E$513:$E$522)*(AF$3&lt;='Gastos com Pessoal'!$F$513:$F$522)*(IF('Gastos com Pessoal'!$G$513:$G$522&lt;=AF$3,1,0))*OFFSET('Gastos com Pessoal'!$H$512,1,MATCH(1&amp;$B53,'Gastos com Pessoal'!$I$532:$AJ$532&amp;'Gastos com Pessoal'!$I$512:$AJ$512,0),10,1)),0)+_xlfn.IFNA(SUM((AF$3&gt;='Gastos com Pessoal'!$E$513:$E$522)*(AF$3&lt;='Gastos com Pessoal'!$F$513:$F$522)*(IF('Gastos com Pessoal'!$M$513:$M$522&lt;=AF$3,1,0))*OFFSET('Gastos com Pessoal'!$H$512,1,MATCH(2&amp;$B53,'Gastos com Pessoal'!$I$532:$AJ$532&amp;'Gastos com Pessoal'!$I$512:$AJ$512,0),10,1)),0)+_xlfn.IFNA(SUM((AF$3&gt;='Gastos com Pessoal'!$E$513:$E$522)*(AF$3&lt;='Gastos com Pessoal'!$F$513:$F$522)*(IF('Gastos com Pessoal'!$S$513:$S$522&lt;=AF$3,1,0))*OFFSET('Gastos com Pessoal'!$H$512,1,MATCH(3&amp;$B53,'Gastos com Pessoal'!$I$532:$AJ$532&amp;'Gastos com Pessoal'!$I$512:$AJ$512,0),10,1)),0)+_xlfn.IFNA(SUM((AF$3&gt;='Gastos com Pessoal'!$E$513:$E$522)*(AF$3&lt;='Gastos com Pessoal'!$F$513:$F$522)*(IF('Gastos com Pessoal'!$Y$513:$Y$522&lt;=AF$3,1,0))*OFFSET('Gastos com Pessoal'!$H$512,1,MATCH(4&amp;$B53,'Gastos com Pessoal'!$I$532:$AJ$532&amp;'Gastos com Pessoal'!$I$512:$AJ$512,0),10,1)),0)+_xlfn.IFNA(SUM((AF$3&gt;='Gastos com Pessoal'!$E$513:$E$522)*(AF$3&lt;='Gastos com Pessoal'!$F$513:$F$522)*(IF('Gastos com Pessoal'!$AE$513:$AE$522&lt;=AF$3,1,0))*OFFSET('Gastos com Pessoal'!$H$512,1,MATCH(5&amp;$B53,'Gastos com Pessoal'!$I$532:$AJ$532&amp;'Gastos com Pessoal'!$I$512:$AJ$512,0),10,1)),0)</f>
        <v>0</v>
      </c>
      <c r="AG53" s="188">
        <f t="array" aca="1" ref="AG53" ca="1">_xlfn.IFNA(SUM((AG$3&gt;='Gastos com Pessoal'!$E$7:$E$506)*(AG$3&lt;='Gastos com Pessoal'!$F$7:$F$506)*OFFSET('Encargos e Benefícios'!$D$5,1,MATCH($B53,'Encargos e Benefícios'!$E$5:$AB$5,0),500,1)),0)+_xlfn.IFNA(SUM((AG$3&gt;='Gastos com Pessoal'!$E$513:$E$522)*(AG$3&lt;='Gastos com Pessoal'!$F$513:$F$522)*OFFSET('Encargos e Benefícios'!$D$511,1,MATCH($B53,'Encargos e Benefícios'!$E$511:$AB$511,0),10,1)),0)+_xlfn.IFNA(SUM((AG$3&gt;='Gastos com Pessoal'!$E$7:$E$506)*(AG$3&lt;='Gastos com Pessoal'!$F$7:$F$506)*(IF('Gastos com Pessoal'!$G$7:$G$506&lt;=AG$3,1,0))*OFFSET('Gastos com Pessoal'!$H$6,1,MATCH(1&amp;$B53,'Gastos com Pessoal'!$I$532:$AJ$532&amp;'Gastos com Pessoal'!$I$6:$AJ$6,0),500,1)),0)+_xlfn.IFNA(SUM((AG$3&gt;='Gastos com Pessoal'!$E$7:$E$506)*(AG$3&lt;='Gastos com Pessoal'!$F$7:$F$506)*(IF('Gastos com Pessoal'!$M$7:$M$506&lt;=AG$3,1,0))*OFFSET('Gastos com Pessoal'!$H$6,1,MATCH(2&amp;$B53,'Gastos com Pessoal'!$I$532:$AJ$532&amp;'Gastos com Pessoal'!$I$6:$AJ$6,0),500,1)),0)+_xlfn.IFNA(SUM((AG$3&gt;='Gastos com Pessoal'!$E$7:$E$506)*(AG$3&lt;='Gastos com Pessoal'!$F$7:$F$506)*(IF('Gastos com Pessoal'!$S$7:$S$506&lt;=AG$3,1,0))*OFFSET('Gastos com Pessoal'!$H$6,1,MATCH(3&amp;$B53,'Gastos com Pessoal'!$I$532:$AJ$532&amp;'Gastos com Pessoal'!$I$6:$AJ$6,0),500,1)),0)+_xlfn.IFNA(SUM((AG$3&gt;='Gastos com Pessoal'!$E$7:$E$506)*(AG$3&lt;='Gastos com Pessoal'!$F$7:$F$506)*(IF('Gastos com Pessoal'!$Y$7:$Y$506&lt;=AG$3,1,0))*OFFSET('Gastos com Pessoal'!$H$6,1,MATCH(4&amp;$B53,'Gastos com Pessoal'!$I$532:$AJ$532&amp;'Gastos com Pessoal'!$I$6:$AJ$6,0),500,1)),0)+_xlfn.IFNA(SUM((AG$3&gt;='Gastos com Pessoal'!$E$7:$E$506)*(AG$3&lt;='Gastos com Pessoal'!$F$7:$F$506)*(IF('Gastos com Pessoal'!$AE$7:$AE$506&lt;=AG$3,1,0))*OFFSET('Gastos com Pessoal'!$H$6,1,MATCH(5&amp;$B53,'Gastos com Pessoal'!$I$532:$AJ$532&amp;'Gastos com Pessoal'!$I$6:$AJ$6,0),500,1)),0)+_xlfn.IFNA(SUM((AG$3&gt;='Gastos com Pessoal'!$E$513:$E$522)*(AG$3&lt;='Gastos com Pessoal'!$F$513:$F$522)*(IF('Gastos com Pessoal'!$G$513:$G$522&lt;=AG$3,1,0))*OFFSET('Gastos com Pessoal'!$H$512,1,MATCH(1&amp;$B53,'Gastos com Pessoal'!$I$532:$AJ$532&amp;'Gastos com Pessoal'!$I$512:$AJ$512,0),10,1)),0)+_xlfn.IFNA(SUM((AG$3&gt;='Gastos com Pessoal'!$E$513:$E$522)*(AG$3&lt;='Gastos com Pessoal'!$F$513:$F$522)*(IF('Gastos com Pessoal'!$M$513:$M$522&lt;=AG$3,1,0))*OFFSET('Gastos com Pessoal'!$H$512,1,MATCH(2&amp;$B53,'Gastos com Pessoal'!$I$532:$AJ$532&amp;'Gastos com Pessoal'!$I$512:$AJ$512,0),10,1)),0)+_xlfn.IFNA(SUM((AG$3&gt;='Gastos com Pessoal'!$E$513:$E$522)*(AG$3&lt;='Gastos com Pessoal'!$F$513:$F$522)*(IF('Gastos com Pessoal'!$S$513:$S$522&lt;=AG$3,1,0))*OFFSET('Gastos com Pessoal'!$H$512,1,MATCH(3&amp;$B53,'Gastos com Pessoal'!$I$532:$AJ$532&amp;'Gastos com Pessoal'!$I$512:$AJ$512,0),10,1)),0)+_xlfn.IFNA(SUM((AG$3&gt;='Gastos com Pessoal'!$E$513:$E$522)*(AG$3&lt;='Gastos com Pessoal'!$F$513:$F$522)*(IF('Gastos com Pessoal'!$Y$513:$Y$522&lt;=AG$3,1,0))*OFFSET('Gastos com Pessoal'!$H$512,1,MATCH(4&amp;$B53,'Gastos com Pessoal'!$I$532:$AJ$532&amp;'Gastos com Pessoal'!$I$512:$AJ$512,0),10,1)),0)+_xlfn.IFNA(SUM((AG$3&gt;='Gastos com Pessoal'!$E$513:$E$522)*(AG$3&lt;='Gastos com Pessoal'!$F$513:$F$522)*(IF('Gastos com Pessoal'!$AE$513:$AE$522&lt;=AG$3,1,0))*OFFSET('Gastos com Pessoal'!$H$512,1,MATCH(5&amp;$B53,'Gastos com Pessoal'!$I$532:$AJ$532&amp;'Gastos com Pessoal'!$I$512:$AJ$512,0),10,1)),0)</f>
        <v>0</v>
      </c>
      <c r="AH53" s="188">
        <f t="array" aca="1" ref="AH53" ca="1">_xlfn.IFNA(SUM((AH$3&gt;='Gastos com Pessoal'!$E$7:$E$506)*(AH$3&lt;='Gastos com Pessoal'!$F$7:$F$506)*OFFSET('Encargos e Benefícios'!$D$5,1,MATCH($B53,'Encargos e Benefícios'!$E$5:$AB$5,0),500,1)),0)+_xlfn.IFNA(SUM((AH$3&gt;='Gastos com Pessoal'!$E$513:$E$522)*(AH$3&lt;='Gastos com Pessoal'!$F$513:$F$522)*OFFSET('Encargos e Benefícios'!$D$511,1,MATCH($B53,'Encargos e Benefícios'!$E$511:$AB$511,0),10,1)),0)+_xlfn.IFNA(SUM((AH$3&gt;='Gastos com Pessoal'!$E$7:$E$506)*(AH$3&lt;='Gastos com Pessoal'!$F$7:$F$506)*(IF('Gastos com Pessoal'!$G$7:$G$506&lt;=AH$3,1,0))*OFFSET('Gastos com Pessoal'!$H$6,1,MATCH(1&amp;$B53,'Gastos com Pessoal'!$I$532:$AJ$532&amp;'Gastos com Pessoal'!$I$6:$AJ$6,0),500,1)),0)+_xlfn.IFNA(SUM((AH$3&gt;='Gastos com Pessoal'!$E$7:$E$506)*(AH$3&lt;='Gastos com Pessoal'!$F$7:$F$506)*(IF('Gastos com Pessoal'!$M$7:$M$506&lt;=AH$3,1,0))*OFFSET('Gastos com Pessoal'!$H$6,1,MATCH(2&amp;$B53,'Gastos com Pessoal'!$I$532:$AJ$532&amp;'Gastos com Pessoal'!$I$6:$AJ$6,0),500,1)),0)+_xlfn.IFNA(SUM((AH$3&gt;='Gastos com Pessoal'!$E$7:$E$506)*(AH$3&lt;='Gastos com Pessoal'!$F$7:$F$506)*(IF('Gastos com Pessoal'!$S$7:$S$506&lt;=AH$3,1,0))*OFFSET('Gastos com Pessoal'!$H$6,1,MATCH(3&amp;$B53,'Gastos com Pessoal'!$I$532:$AJ$532&amp;'Gastos com Pessoal'!$I$6:$AJ$6,0),500,1)),0)+_xlfn.IFNA(SUM((AH$3&gt;='Gastos com Pessoal'!$E$7:$E$506)*(AH$3&lt;='Gastos com Pessoal'!$F$7:$F$506)*(IF('Gastos com Pessoal'!$Y$7:$Y$506&lt;=AH$3,1,0))*OFFSET('Gastos com Pessoal'!$H$6,1,MATCH(4&amp;$B53,'Gastos com Pessoal'!$I$532:$AJ$532&amp;'Gastos com Pessoal'!$I$6:$AJ$6,0),500,1)),0)+_xlfn.IFNA(SUM((AH$3&gt;='Gastos com Pessoal'!$E$7:$E$506)*(AH$3&lt;='Gastos com Pessoal'!$F$7:$F$506)*(IF('Gastos com Pessoal'!$AE$7:$AE$506&lt;=AH$3,1,0))*OFFSET('Gastos com Pessoal'!$H$6,1,MATCH(5&amp;$B53,'Gastos com Pessoal'!$I$532:$AJ$532&amp;'Gastos com Pessoal'!$I$6:$AJ$6,0),500,1)),0)+_xlfn.IFNA(SUM((AH$3&gt;='Gastos com Pessoal'!$E$513:$E$522)*(AH$3&lt;='Gastos com Pessoal'!$F$513:$F$522)*(IF('Gastos com Pessoal'!$G$513:$G$522&lt;=AH$3,1,0))*OFFSET('Gastos com Pessoal'!$H$512,1,MATCH(1&amp;$B53,'Gastos com Pessoal'!$I$532:$AJ$532&amp;'Gastos com Pessoal'!$I$512:$AJ$512,0),10,1)),0)+_xlfn.IFNA(SUM((AH$3&gt;='Gastos com Pessoal'!$E$513:$E$522)*(AH$3&lt;='Gastos com Pessoal'!$F$513:$F$522)*(IF('Gastos com Pessoal'!$M$513:$M$522&lt;=AH$3,1,0))*OFFSET('Gastos com Pessoal'!$H$512,1,MATCH(2&amp;$B53,'Gastos com Pessoal'!$I$532:$AJ$532&amp;'Gastos com Pessoal'!$I$512:$AJ$512,0),10,1)),0)+_xlfn.IFNA(SUM((AH$3&gt;='Gastos com Pessoal'!$E$513:$E$522)*(AH$3&lt;='Gastos com Pessoal'!$F$513:$F$522)*(IF('Gastos com Pessoal'!$S$513:$S$522&lt;=AH$3,1,0))*OFFSET('Gastos com Pessoal'!$H$512,1,MATCH(3&amp;$B53,'Gastos com Pessoal'!$I$532:$AJ$532&amp;'Gastos com Pessoal'!$I$512:$AJ$512,0),10,1)),0)+_xlfn.IFNA(SUM((AH$3&gt;='Gastos com Pessoal'!$E$513:$E$522)*(AH$3&lt;='Gastos com Pessoal'!$F$513:$F$522)*(IF('Gastos com Pessoal'!$Y$513:$Y$522&lt;=AH$3,1,0))*OFFSET('Gastos com Pessoal'!$H$512,1,MATCH(4&amp;$B53,'Gastos com Pessoal'!$I$532:$AJ$532&amp;'Gastos com Pessoal'!$I$512:$AJ$512,0),10,1)),0)+_xlfn.IFNA(SUM((AH$3&gt;='Gastos com Pessoal'!$E$513:$E$522)*(AH$3&lt;='Gastos com Pessoal'!$F$513:$F$522)*(IF('Gastos com Pessoal'!$AE$513:$AE$522&lt;=AH$3,1,0))*OFFSET('Gastos com Pessoal'!$H$512,1,MATCH(5&amp;$B53,'Gastos com Pessoal'!$I$532:$AJ$532&amp;'Gastos com Pessoal'!$I$512:$AJ$512,0),10,1)),0)</f>
        <v>0</v>
      </c>
      <c r="AI53" s="188">
        <f t="array" aca="1" ref="AI53" ca="1">_xlfn.IFNA(SUM((AI$3&gt;='Gastos com Pessoal'!$E$7:$E$506)*(AI$3&lt;='Gastos com Pessoal'!$F$7:$F$506)*OFFSET('Encargos e Benefícios'!$D$5,1,MATCH($B53,'Encargos e Benefícios'!$E$5:$AB$5,0),500,1)),0)+_xlfn.IFNA(SUM((AI$3&gt;='Gastos com Pessoal'!$E$513:$E$522)*(AI$3&lt;='Gastos com Pessoal'!$F$513:$F$522)*OFFSET('Encargos e Benefícios'!$D$511,1,MATCH($B53,'Encargos e Benefícios'!$E$511:$AB$511,0),10,1)),0)+_xlfn.IFNA(SUM((AI$3&gt;='Gastos com Pessoal'!$E$7:$E$506)*(AI$3&lt;='Gastos com Pessoal'!$F$7:$F$506)*(IF('Gastos com Pessoal'!$G$7:$G$506&lt;=AI$3,1,0))*OFFSET('Gastos com Pessoal'!$H$6,1,MATCH(1&amp;$B53,'Gastos com Pessoal'!$I$532:$AJ$532&amp;'Gastos com Pessoal'!$I$6:$AJ$6,0),500,1)),0)+_xlfn.IFNA(SUM((AI$3&gt;='Gastos com Pessoal'!$E$7:$E$506)*(AI$3&lt;='Gastos com Pessoal'!$F$7:$F$506)*(IF('Gastos com Pessoal'!$M$7:$M$506&lt;=AI$3,1,0))*OFFSET('Gastos com Pessoal'!$H$6,1,MATCH(2&amp;$B53,'Gastos com Pessoal'!$I$532:$AJ$532&amp;'Gastos com Pessoal'!$I$6:$AJ$6,0),500,1)),0)+_xlfn.IFNA(SUM((AI$3&gt;='Gastos com Pessoal'!$E$7:$E$506)*(AI$3&lt;='Gastos com Pessoal'!$F$7:$F$506)*(IF('Gastos com Pessoal'!$S$7:$S$506&lt;=AI$3,1,0))*OFFSET('Gastos com Pessoal'!$H$6,1,MATCH(3&amp;$B53,'Gastos com Pessoal'!$I$532:$AJ$532&amp;'Gastos com Pessoal'!$I$6:$AJ$6,0),500,1)),0)+_xlfn.IFNA(SUM((AI$3&gt;='Gastos com Pessoal'!$E$7:$E$506)*(AI$3&lt;='Gastos com Pessoal'!$F$7:$F$506)*(IF('Gastos com Pessoal'!$Y$7:$Y$506&lt;=AI$3,1,0))*OFFSET('Gastos com Pessoal'!$H$6,1,MATCH(4&amp;$B53,'Gastos com Pessoal'!$I$532:$AJ$532&amp;'Gastos com Pessoal'!$I$6:$AJ$6,0),500,1)),0)+_xlfn.IFNA(SUM((AI$3&gt;='Gastos com Pessoal'!$E$7:$E$506)*(AI$3&lt;='Gastos com Pessoal'!$F$7:$F$506)*(IF('Gastos com Pessoal'!$AE$7:$AE$506&lt;=AI$3,1,0))*OFFSET('Gastos com Pessoal'!$H$6,1,MATCH(5&amp;$B53,'Gastos com Pessoal'!$I$532:$AJ$532&amp;'Gastos com Pessoal'!$I$6:$AJ$6,0),500,1)),0)+_xlfn.IFNA(SUM((AI$3&gt;='Gastos com Pessoal'!$E$513:$E$522)*(AI$3&lt;='Gastos com Pessoal'!$F$513:$F$522)*(IF('Gastos com Pessoal'!$G$513:$G$522&lt;=AI$3,1,0))*OFFSET('Gastos com Pessoal'!$H$512,1,MATCH(1&amp;$B53,'Gastos com Pessoal'!$I$532:$AJ$532&amp;'Gastos com Pessoal'!$I$512:$AJ$512,0),10,1)),0)+_xlfn.IFNA(SUM((AI$3&gt;='Gastos com Pessoal'!$E$513:$E$522)*(AI$3&lt;='Gastos com Pessoal'!$F$513:$F$522)*(IF('Gastos com Pessoal'!$M$513:$M$522&lt;=AI$3,1,0))*OFFSET('Gastos com Pessoal'!$H$512,1,MATCH(2&amp;$B53,'Gastos com Pessoal'!$I$532:$AJ$532&amp;'Gastos com Pessoal'!$I$512:$AJ$512,0),10,1)),0)+_xlfn.IFNA(SUM((AI$3&gt;='Gastos com Pessoal'!$E$513:$E$522)*(AI$3&lt;='Gastos com Pessoal'!$F$513:$F$522)*(IF('Gastos com Pessoal'!$S$513:$S$522&lt;=AI$3,1,0))*OFFSET('Gastos com Pessoal'!$H$512,1,MATCH(3&amp;$B53,'Gastos com Pessoal'!$I$532:$AJ$532&amp;'Gastos com Pessoal'!$I$512:$AJ$512,0),10,1)),0)+_xlfn.IFNA(SUM((AI$3&gt;='Gastos com Pessoal'!$E$513:$E$522)*(AI$3&lt;='Gastos com Pessoal'!$F$513:$F$522)*(IF('Gastos com Pessoal'!$Y$513:$Y$522&lt;=AI$3,1,0))*OFFSET('Gastos com Pessoal'!$H$512,1,MATCH(4&amp;$B53,'Gastos com Pessoal'!$I$532:$AJ$532&amp;'Gastos com Pessoal'!$I$512:$AJ$512,0),10,1)),0)+_xlfn.IFNA(SUM((AI$3&gt;='Gastos com Pessoal'!$E$513:$E$522)*(AI$3&lt;='Gastos com Pessoal'!$F$513:$F$522)*(IF('Gastos com Pessoal'!$AE$513:$AE$522&lt;=AI$3,1,0))*OFFSET('Gastos com Pessoal'!$H$512,1,MATCH(5&amp;$B53,'Gastos com Pessoal'!$I$532:$AJ$532&amp;'Gastos com Pessoal'!$I$512:$AJ$512,0),10,1)),0)</f>
        <v>0</v>
      </c>
      <c r="AJ53" s="188">
        <f t="array" aca="1" ref="AJ53" ca="1">_xlfn.IFNA(SUM((AJ$3&gt;='Gastos com Pessoal'!$E$7:$E$506)*(AJ$3&lt;='Gastos com Pessoal'!$F$7:$F$506)*OFFSET('Encargos e Benefícios'!$D$5,1,MATCH($B53,'Encargos e Benefícios'!$E$5:$AB$5,0),500,1)),0)+_xlfn.IFNA(SUM((AJ$3&gt;='Gastos com Pessoal'!$E$513:$E$522)*(AJ$3&lt;='Gastos com Pessoal'!$F$513:$F$522)*OFFSET('Encargos e Benefícios'!$D$511,1,MATCH($B53,'Encargos e Benefícios'!$E$511:$AB$511,0),10,1)),0)+_xlfn.IFNA(SUM((AJ$3&gt;='Gastos com Pessoal'!$E$7:$E$506)*(AJ$3&lt;='Gastos com Pessoal'!$F$7:$F$506)*(IF('Gastos com Pessoal'!$G$7:$G$506&lt;=AJ$3,1,0))*OFFSET('Gastos com Pessoal'!$H$6,1,MATCH(1&amp;$B53,'Gastos com Pessoal'!$I$532:$AJ$532&amp;'Gastos com Pessoal'!$I$6:$AJ$6,0),500,1)),0)+_xlfn.IFNA(SUM((AJ$3&gt;='Gastos com Pessoal'!$E$7:$E$506)*(AJ$3&lt;='Gastos com Pessoal'!$F$7:$F$506)*(IF('Gastos com Pessoal'!$M$7:$M$506&lt;=AJ$3,1,0))*OFFSET('Gastos com Pessoal'!$H$6,1,MATCH(2&amp;$B53,'Gastos com Pessoal'!$I$532:$AJ$532&amp;'Gastos com Pessoal'!$I$6:$AJ$6,0),500,1)),0)+_xlfn.IFNA(SUM((AJ$3&gt;='Gastos com Pessoal'!$E$7:$E$506)*(AJ$3&lt;='Gastos com Pessoal'!$F$7:$F$506)*(IF('Gastos com Pessoal'!$S$7:$S$506&lt;=AJ$3,1,0))*OFFSET('Gastos com Pessoal'!$H$6,1,MATCH(3&amp;$B53,'Gastos com Pessoal'!$I$532:$AJ$532&amp;'Gastos com Pessoal'!$I$6:$AJ$6,0),500,1)),0)+_xlfn.IFNA(SUM((AJ$3&gt;='Gastos com Pessoal'!$E$7:$E$506)*(AJ$3&lt;='Gastos com Pessoal'!$F$7:$F$506)*(IF('Gastos com Pessoal'!$Y$7:$Y$506&lt;=AJ$3,1,0))*OFFSET('Gastos com Pessoal'!$H$6,1,MATCH(4&amp;$B53,'Gastos com Pessoal'!$I$532:$AJ$532&amp;'Gastos com Pessoal'!$I$6:$AJ$6,0),500,1)),0)+_xlfn.IFNA(SUM((AJ$3&gt;='Gastos com Pessoal'!$E$7:$E$506)*(AJ$3&lt;='Gastos com Pessoal'!$F$7:$F$506)*(IF('Gastos com Pessoal'!$AE$7:$AE$506&lt;=AJ$3,1,0))*OFFSET('Gastos com Pessoal'!$H$6,1,MATCH(5&amp;$B53,'Gastos com Pessoal'!$I$532:$AJ$532&amp;'Gastos com Pessoal'!$I$6:$AJ$6,0),500,1)),0)+_xlfn.IFNA(SUM((AJ$3&gt;='Gastos com Pessoal'!$E$513:$E$522)*(AJ$3&lt;='Gastos com Pessoal'!$F$513:$F$522)*(IF('Gastos com Pessoal'!$G$513:$G$522&lt;=AJ$3,1,0))*OFFSET('Gastos com Pessoal'!$H$512,1,MATCH(1&amp;$B53,'Gastos com Pessoal'!$I$532:$AJ$532&amp;'Gastos com Pessoal'!$I$512:$AJ$512,0),10,1)),0)+_xlfn.IFNA(SUM((AJ$3&gt;='Gastos com Pessoal'!$E$513:$E$522)*(AJ$3&lt;='Gastos com Pessoal'!$F$513:$F$522)*(IF('Gastos com Pessoal'!$M$513:$M$522&lt;=AJ$3,1,0))*OFFSET('Gastos com Pessoal'!$H$512,1,MATCH(2&amp;$B53,'Gastos com Pessoal'!$I$532:$AJ$532&amp;'Gastos com Pessoal'!$I$512:$AJ$512,0),10,1)),0)+_xlfn.IFNA(SUM((AJ$3&gt;='Gastos com Pessoal'!$E$513:$E$522)*(AJ$3&lt;='Gastos com Pessoal'!$F$513:$F$522)*(IF('Gastos com Pessoal'!$S$513:$S$522&lt;=AJ$3,1,0))*OFFSET('Gastos com Pessoal'!$H$512,1,MATCH(3&amp;$B53,'Gastos com Pessoal'!$I$532:$AJ$532&amp;'Gastos com Pessoal'!$I$512:$AJ$512,0),10,1)),0)+_xlfn.IFNA(SUM((AJ$3&gt;='Gastos com Pessoal'!$E$513:$E$522)*(AJ$3&lt;='Gastos com Pessoal'!$F$513:$F$522)*(IF('Gastos com Pessoal'!$Y$513:$Y$522&lt;=AJ$3,1,0))*OFFSET('Gastos com Pessoal'!$H$512,1,MATCH(4&amp;$B53,'Gastos com Pessoal'!$I$532:$AJ$532&amp;'Gastos com Pessoal'!$I$512:$AJ$512,0),10,1)),0)+_xlfn.IFNA(SUM((AJ$3&gt;='Gastos com Pessoal'!$E$513:$E$522)*(AJ$3&lt;='Gastos com Pessoal'!$F$513:$F$522)*(IF('Gastos com Pessoal'!$AE$513:$AE$522&lt;=AJ$3,1,0))*OFFSET('Gastos com Pessoal'!$H$512,1,MATCH(5&amp;$B53,'Gastos com Pessoal'!$I$532:$AJ$532&amp;'Gastos com Pessoal'!$I$512:$AJ$512,0),10,1)),0)</f>
        <v>0</v>
      </c>
      <c r="AK53" s="188">
        <f t="array" aca="1" ref="AK53" ca="1">_xlfn.IFNA(SUM((AK$3&gt;='Gastos com Pessoal'!$E$7:$E$506)*(AK$3&lt;='Gastos com Pessoal'!$F$7:$F$506)*OFFSET('Encargos e Benefícios'!$D$5,1,MATCH($B53,'Encargos e Benefícios'!$E$5:$AB$5,0),500,1)),0)+_xlfn.IFNA(SUM((AK$3&gt;='Gastos com Pessoal'!$E$513:$E$522)*(AK$3&lt;='Gastos com Pessoal'!$F$513:$F$522)*OFFSET('Encargos e Benefícios'!$D$511,1,MATCH($B53,'Encargos e Benefícios'!$E$511:$AB$511,0),10,1)),0)+_xlfn.IFNA(SUM((AK$3&gt;='Gastos com Pessoal'!$E$7:$E$506)*(AK$3&lt;='Gastos com Pessoal'!$F$7:$F$506)*(IF('Gastos com Pessoal'!$G$7:$G$506&lt;=AK$3,1,0))*OFFSET('Gastos com Pessoal'!$H$6,1,MATCH(1&amp;$B53,'Gastos com Pessoal'!$I$532:$AJ$532&amp;'Gastos com Pessoal'!$I$6:$AJ$6,0),500,1)),0)+_xlfn.IFNA(SUM((AK$3&gt;='Gastos com Pessoal'!$E$7:$E$506)*(AK$3&lt;='Gastos com Pessoal'!$F$7:$F$506)*(IF('Gastos com Pessoal'!$M$7:$M$506&lt;=AK$3,1,0))*OFFSET('Gastos com Pessoal'!$H$6,1,MATCH(2&amp;$B53,'Gastos com Pessoal'!$I$532:$AJ$532&amp;'Gastos com Pessoal'!$I$6:$AJ$6,0),500,1)),0)+_xlfn.IFNA(SUM((AK$3&gt;='Gastos com Pessoal'!$E$7:$E$506)*(AK$3&lt;='Gastos com Pessoal'!$F$7:$F$506)*(IF('Gastos com Pessoal'!$S$7:$S$506&lt;=AK$3,1,0))*OFFSET('Gastos com Pessoal'!$H$6,1,MATCH(3&amp;$B53,'Gastos com Pessoal'!$I$532:$AJ$532&amp;'Gastos com Pessoal'!$I$6:$AJ$6,0),500,1)),0)+_xlfn.IFNA(SUM((AK$3&gt;='Gastos com Pessoal'!$E$7:$E$506)*(AK$3&lt;='Gastos com Pessoal'!$F$7:$F$506)*(IF('Gastos com Pessoal'!$Y$7:$Y$506&lt;=AK$3,1,0))*OFFSET('Gastos com Pessoal'!$H$6,1,MATCH(4&amp;$B53,'Gastos com Pessoal'!$I$532:$AJ$532&amp;'Gastos com Pessoal'!$I$6:$AJ$6,0),500,1)),0)+_xlfn.IFNA(SUM((AK$3&gt;='Gastos com Pessoal'!$E$7:$E$506)*(AK$3&lt;='Gastos com Pessoal'!$F$7:$F$506)*(IF('Gastos com Pessoal'!$AE$7:$AE$506&lt;=AK$3,1,0))*OFFSET('Gastos com Pessoal'!$H$6,1,MATCH(5&amp;$B53,'Gastos com Pessoal'!$I$532:$AJ$532&amp;'Gastos com Pessoal'!$I$6:$AJ$6,0),500,1)),0)+_xlfn.IFNA(SUM((AK$3&gt;='Gastos com Pessoal'!$E$513:$E$522)*(AK$3&lt;='Gastos com Pessoal'!$F$513:$F$522)*(IF('Gastos com Pessoal'!$G$513:$G$522&lt;=AK$3,1,0))*OFFSET('Gastos com Pessoal'!$H$512,1,MATCH(1&amp;$B53,'Gastos com Pessoal'!$I$532:$AJ$532&amp;'Gastos com Pessoal'!$I$512:$AJ$512,0),10,1)),0)+_xlfn.IFNA(SUM((AK$3&gt;='Gastos com Pessoal'!$E$513:$E$522)*(AK$3&lt;='Gastos com Pessoal'!$F$513:$F$522)*(IF('Gastos com Pessoal'!$M$513:$M$522&lt;=AK$3,1,0))*OFFSET('Gastos com Pessoal'!$H$512,1,MATCH(2&amp;$B53,'Gastos com Pessoal'!$I$532:$AJ$532&amp;'Gastos com Pessoal'!$I$512:$AJ$512,0),10,1)),0)+_xlfn.IFNA(SUM((AK$3&gt;='Gastos com Pessoal'!$E$513:$E$522)*(AK$3&lt;='Gastos com Pessoal'!$F$513:$F$522)*(IF('Gastos com Pessoal'!$S$513:$S$522&lt;=AK$3,1,0))*OFFSET('Gastos com Pessoal'!$H$512,1,MATCH(3&amp;$B53,'Gastos com Pessoal'!$I$532:$AJ$532&amp;'Gastos com Pessoal'!$I$512:$AJ$512,0),10,1)),0)+_xlfn.IFNA(SUM((AK$3&gt;='Gastos com Pessoal'!$E$513:$E$522)*(AK$3&lt;='Gastos com Pessoal'!$F$513:$F$522)*(IF('Gastos com Pessoal'!$Y$513:$Y$522&lt;=AK$3,1,0))*OFFSET('Gastos com Pessoal'!$H$512,1,MATCH(4&amp;$B53,'Gastos com Pessoal'!$I$532:$AJ$532&amp;'Gastos com Pessoal'!$I$512:$AJ$512,0),10,1)),0)+_xlfn.IFNA(SUM((AK$3&gt;='Gastos com Pessoal'!$E$513:$E$522)*(AK$3&lt;='Gastos com Pessoal'!$F$513:$F$522)*(IF('Gastos com Pessoal'!$AE$513:$AE$522&lt;=AK$3,1,0))*OFFSET('Gastos com Pessoal'!$H$512,1,MATCH(5&amp;$B53,'Gastos com Pessoal'!$I$532:$AJ$532&amp;'Gastos com Pessoal'!$I$512:$AJ$512,0),10,1)),0)</f>
        <v>0</v>
      </c>
      <c r="AL53" s="188">
        <f t="array" aca="1" ref="AL53" ca="1">_xlfn.IFNA(SUM((AL$3&gt;='Gastos com Pessoal'!$E$7:$E$506)*(AL$3&lt;='Gastos com Pessoal'!$F$7:$F$506)*OFFSET('Encargos e Benefícios'!$D$5,1,MATCH($B53,'Encargos e Benefícios'!$E$5:$AB$5,0),500,1)),0)+_xlfn.IFNA(SUM((AL$3&gt;='Gastos com Pessoal'!$E$513:$E$522)*(AL$3&lt;='Gastos com Pessoal'!$F$513:$F$522)*OFFSET('Encargos e Benefícios'!$D$511,1,MATCH($B53,'Encargos e Benefícios'!$E$511:$AB$511,0),10,1)),0)+_xlfn.IFNA(SUM((AL$3&gt;='Gastos com Pessoal'!$E$7:$E$506)*(AL$3&lt;='Gastos com Pessoal'!$F$7:$F$506)*(IF('Gastos com Pessoal'!$G$7:$G$506&lt;=AL$3,1,0))*OFFSET('Gastos com Pessoal'!$H$6,1,MATCH(1&amp;$B53,'Gastos com Pessoal'!$I$532:$AJ$532&amp;'Gastos com Pessoal'!$I$6:$AJ$6,0),500,1)),0)+_xlfn.IFNA(SUM((AL$3&gt;='Gastos com Pessoal'!$E$7:$E$506)*(AL$3&lt;='Gastos com Pessoal'!$F$7:$F$506)*(IF('Gastos com Pessoal'!$M$7:$M$506&lt;=AL$3,1,0))*OFFSET('Gastos com Pessoal'!$H$6,1,MATCH(2&amp;$B53,'Gastos com Pessoal'!$I$532:$AJ$532&amp;'Gastos com Pessoal'!$I$6:$AJ$6,0),500,1)),0)+_xlfn.IFNA(SUM((AL$3&gt;='Gastos com Pessoal'!$E$7:$E$506)*(AL$3&lt;='Gastos com Pessoal'!$F$7:$F$506)*(IF('Gastos com Pessoal'!$S$7:$S$506&lt;=AL$3,1,0))*OFFSET('Gastos com Pessoal'!$H$6,1,MATCH(3&amp;$B53,'Gastos com Pessoal'!$I$532:$AJ$532&amp;'Gastos com Pessoal'!$I$6:$AJ$6,0),500,1)),0)+_xlfn.IFNA(SUM((AL$3&gt;='Gastos com Pessoal'!$E$7:$E$506)*(AL$3&lt;='Gastos com Pessoal'!$F$7:$F$506)*(IF('Gastos com Pessoal'!$Y$7:$Y$506&lt;=AL$3,1,0))*OFFSET('Gastos com Pessoal'!$H$6,1,MATCH(4&amp;$B53,'Gastos com Pessoal'!$I$532:$AJ$532&amp;'Gastos com Pessoal'!$I$6:$AJ$6,0),500,1)),0)+_xlfn.IFNA(SUM((AL$3&gt;='Gastos com Pessoal'!$E$7:$E$506)*(AL$3&lt;='Gastos com Pessoal'!$F$7:$F$506)*(IF('Gastos com Pessoal'!$AE$7:$AE$506&lt;=AL$3,1,0))*OFFSET('Gastos com Pessoal'!$H$6,1,MATCH(5&amp;$B53,'Gastos com Pessoal'!$I$532:$AJ$532&amp;'Gastos com Pessoal'!$I$6:$AJ$6,0),500,1)),0)+_xlfn.IFNA(SUM((AL$3&gt;='Gastos com Pessoal'!$E$513:$E$522)*(AL$3&lt;='Gastos com Pessoal'!$F$513:$F$522)*(IF('Gastos com Pessoal'!$G$513:$G$522&lt;=AL$3,1,0))*OFFSET('Gastos com Pessoal'!$H$512,1,MATCH(1&amp;$B53,'Gastos com Pessoal'!$I$532:$AJ$532&amp;'Gastos com Pessoal'!$I$512:$AJ$512,0),10,1)),0)+_xlfn.IFNA(SUM((AL$3&gt;='Gastos com Pessoal'!$E$513:$E$522)*(AL$3&lt;='Gastos com Pessoal'!$F$513:$F$522)*(IF('Gastos com Pessoal'!$M$513:$M$522&lt;=AL$3,1,0))*OFFSET('Gastos com Pessoal'!$H$512,1,MATCH(2&amp;$B53,'Gastos com Pessoal'!$I$532:$AJ$532&amp;'Gastos com Pessoal'!$I$512:$AJ$512,0),10,1)),0)+_xlfn.IFNA(SUM((AL$3&gt;='Gastos com Pessoal'!$E$513:$E$522)*(AL$3&lt;='Gastos com Pessoal'!$F$513:$F$522)*(IF('Gastos com Pessoal'!$S$513:$S$522&lt;=AL$3,1,0))*OFFSET('Gastos com Pessoal'!$H$512,1,MATCH(3&amp;$B53,'Gastos com Pessoal'!$I$532:$AJ$532&amp;'Gastos com Pessoal'!$I$512:$AJ$512,0),10,1)),0)+_xlfn.IFNA(SUM((AL$3&gt;='Gastos com Pessoal'!$E$513:$E$522)*(AL$3&lt;='Gastos com Pessoal'!$F$513:$F$522)*(IF('Gastos com Pessoal'!$Y$513:$Y$522&lt;=AL$3,1,0))*OFFSET('Gastos com Pessoal'!$H$512,1,MATCH(4&amp;$B53,'Gastos com Pessoal'!$I$532:$AJ$532&amp;'Gastos com Pessoal'!$I$512:$AJ$512,0),10,1)),0)+_xlfn.IFNA(SUM((AL$3&gt;='Gastos com Pessoal'!$E$513:$E$522)*(AL$3&lt;='Gastos com Pessoal'!$F$513:$F$522)*(IF('Gastos com Pessoal'!$AE$513:$AE$522&lt;=AL$3,1,0))*OFFSET('Gastos com Pessoal'!$H$512,1,MATCH(5&amp;$B53,'Gastos com Pessoal'!$I$532:$AJ$532&amp;'Gastos com Pessoal'!$I$512:$AJ$512,0),10,1)),0)</f>
        <v>0</v>
      </c>
      <c r="AM53" s="188">
        <f t="array" aca="1" ref="AM53" ca="1">_xlfn.IFNA(SUM((AM$3&gt;='Gastos com Pessoal'!$E$7:$E$506)*(AM$3&lt;='Gastos com Pessoal'!$F$7:$F$506)*OFFSET('Encargos e Benefícios'!$D$5,1,MATCH($B53,'Encargos e Benefícios'!$E$5:$AB$5,0),500,1)),0)+_xlfn.IFNA(SUM((AM$3&gt;='Gastos com Pessoal'!$E$513:$E$522)*(AM$3&lt;='Gastos com Pessoal'!$F$513:$F$522)*OFFSET('Encargos e Benefícios'!$D$511,1,MATCH($B53,'Encargos e Benefícios'!$E$511:$AB$511,0),10,1)),0)+_xlfn.IFNA(SUM((AM$3&gt;='Gastos com Pessoal'!$E$7:$E$506)*(AM$3&lt;='Gastos com Pessoal'!$F$7:$F$506)*(IF('Gastos com Pessoal'!$G$7:$G$506&lt;=AM$3,1,0))*OFFSET('Gastos com Pessoal'!$H$6,1,MATCH(1&amp;$B53,'Gastos com Pessoal'!$I$532:$AJ$532&amp;'Gastos com Pessoal'!$I$6:$AJ$6,0),500,1)),0)+_xlfn.IFNA(SUM((AM$3&gt;='Gastos com Pessoal'!$E$7:$E$506)*(AM$3&lt;='Gastos com Pessoal'!$F$7:$F$506)*(IF('Gastos com Pessoal'!$M$7:$M$506&lt;=AM$3,1,0))*OFFSET('Gastos com Pessoal'!$H$6,1,MATCH(2&amp;$B53,'Gastos com Pessoal'!$I$532:$AJ$532&amp;'Gastos com Pessoal'!$I$6:$AJ$6,0),500,1)),0)+_xlfn.IFNA(SUM((AM$3&gt;='Gastos com Pessoal'!$E$7:$E$506)*(AM$3&lt;='Gastos com Pessoal'!$F$7:$F$506)*(IF('Gastos com Pessoal'!$S$7:$S$506&lt;=AM$3,1,0))*OFFSET('Gastos com Pessoal'!$H$6,1,MATCH(3&amp;$B53,'Gastos com Pessoal'!$I$532:$AJ$532&amp;'Gastos com Pessoal'!$I$6:$AJ$6,0),500,1)),0)+_xlfn.IFNA(SUM((AM$3&gt;='Gastos com Pessoal'!$E$7:$E$506)*(AM$3&lt;='Gastos com Pessoal'!$F$7:$F$506)*(IF('Gastos com Pessoal'!$Y$7:$Y$506&lt;=AM$3,1,0))*OFFSET('Gastos com Pessoal'!$H$6,1,MATCH(4&amp;$B53,'Gastos com Pessoal'!$I$532:$AJ$532&amp;'Gastos com Pessoal'!$I$6:$AJ$6,0),500,1)),0)+_xlfn.IFNA(SUM((AM$3&gt;='Gastos com Pessoal'!$E$7:$E$506)*(AM$3&lt;='Gastos com Pessoal'!$F$7:$F$506)*(IF('Gastos com Pessoal'!$AE$7:$AE$506&lt;=AM$3,1,0))*OFFSET('Gastos com Pessoal'!$H$6,1,MATCH(5&amp;$B53,'Gastos com Pessoal'!$I$532:$AJ$532&amp;'Gastos com Pessoal'!$I$6:$AJ$6,0),500,1)),0)+_xlfn.IFNA(SUM((AM$3&gt;='Gastos com Pessoal'!$E$513:$E$522)*(AM$3&lt;='Gastos com Pessoal'!$F$513:$F$522)*(IF('Gastos com Pessoal'!$G$513:$G$522&lt;=AM$3,1,0))*OFFSET('Gastos com Pessoal'!$H$512,1,MATCH(1&amp;$B53,'Gastos com Pessoal'!$I$532:$AJ$532&amp;'Gastos com Pessoal'!$I$512:$AJ$512,0),10,1)),0)+_xlfn.IFNA(SUM((AM$3&gt;='Gastos com Pessoal'!$E$513:$E$522)*(AM$3&lt;='Gastos com Pessoal'!$F$513:$F$522)*(IF('Gastos com Pessoal'!$M$513:$M$522&lt;=AM$3,1,0))*OFFSET('Gastos com Pessoal'!$H$512,1,MATCH(2&amp;$B53,'Gastos com Pessoal'!$I$532:$AJ$532&amp;'Gastos com Pessoal'!$I$512:$AJ$512,0),10,1)),0)+_xlfn.IFNA(SUM((AM$3&gt;='Gastos com Pessoal'!$E$513:$E$522)*(AM$3&lt;='Gastos com Pessoal'!$F$513:$F$522)*(IF('Gastos com Pessoal'!$S$513:$S$522&lt;=AM$3,1,0))*OFFSET('Gastos com Pessoal'!$H$512,1,MATCH(3&amp;$B53,'Gastos com Pessoal'!$I$532:$AJ$532&amp;'Gastos com Pessoal'!$I$512:$AJ$512,0),10,1)),0)+_xlfn.IFNA(SUM((AM$3&gt;='Gastos com Pessoal'!$E$513:$E$522)*(AM$3&lt;='Gastos com Pessoal'!$F$513:$F$522)*(IF('Gastos com Pessoal'!$Y$513:$Y$522&lt;=AM$3,1,0))*OFFSET('Gastos com Pessoal'!$H$512,1,MATCH(4&amp;$B53,'Gastos com Pessoal'!$I$532:$AJ$532&amp;'Gastos com Pessoal'!$I$512:$AJ$512,0),10,1)),0)+_xlfn.IFNA(SUM((AM$3&gt;='Gastos com Pessoal'!$E$513:$E$522)*(AM$3&lt;='Gastos com Pessoal'!$F$513:$F$522)*(IF('Gastos com Pessoal'!$AE$513:$AE$522&lt;=AM$3,1,0))*OFFSET('Gastos com Pessoal'!$H$512,1,MATCH(5&amp;$B53,'Gastos com Pessoal'!$I$532:$AJ$532&amp;'Gastos com Pessoal'!$I$512:$AJ$512,0),10,1)),0)</f>
        <v>0</v>
      </c>
      <c r="AN53" s="188">
        <f t="array" aca="1" ref="AN53" ca="1">_xlfn.IFNA(SUM((AN$3&gt;='Gastos com Pessoal'!$E$7:$E$506)*(AN$3&lt;='Gastos com Pessoal'!$F$7:$F$506)*OFFSET('Encargos e Benefícios'!$D$5,1,MATCH($B53,'Encargos e Benefícios'!$E$5:$AB$5,0),500,1)),0)+_xlfn.IFNA(SUM((AN$3&gt;='Gastos com Pessoal'!$E$513:$E$522)*(AN$3&lt;='Gastos com Pessoal'!$F$513:$F$522)*OFFSET('Encargos e Benefícios'!$D$511,1,MATCH($B53,'Encargos e Benefícios'!$E$511:$AB$511,0),10,1)),0)+_xlfn.IFNA(SUM((AN$3&gt;='Gastos com Pessoal'!$E$7:$E$506)*(AN$3&lt;='Gastos com Pessoal'!$F$7:$F$506)*(IF('Gastos com Pessoal'!$G$7:$G$506&lt;=AN$3,1,0))*OFFSET('Gastos com Pessoal'!$H$6,1,MATCH(1&amp;$B53,'Gastos com Pessoal'!$I$532:$AJ$532&amp;'Gastos com Pessoal'!$I$6:$AJ$6,0),500,1)),0)+_xlfn.IFNA(SUM((AN$3&gt;='Gastos com Pessoal'!$E$7:$E$506)*(AN$3&lt;='Gastos com Pessoal'!$F$7:$F$506)*(IF('Gastos com Pessoal'!$M$7:$M$506&lt;=AN$3,1,0))*OFFSET('Gastos com Pessoal'!$H$6,1,MATCH(2&amp;$B53,'Gastos com Pessoal'!$I$532:$AJ$532&amp;'Gastos com Pessoal'!$I$6:$AJ$6,0),500,1)),0)+_xlfn.IFNA(SUM((AN$3&gt;='Gastos com Pessoal'!$E$7:$E$506)*(AN$3&lt;='Gastos com Pessoal'!$F$7:$F$506)*(IF('Gastos com Pessoal'!$S$7:$S$506&lt;=AN$3,1,0))*OFFSET('Gastos com Pessoal'!$H$6,1,MATCH(3&amp;$B53,'Gastos com Pessoal'!$I$532:$AJ$532&amp;'Gastos com Pessoal'!$I$6:$AJ$6,0),500,1)),0)+_xlfn.IFNA(SUM((AN$3&gt;='Gastos com Pessoal'!$E$7:$E$506)*(AN$3&lt;='Gastos com Pessoal'!$F$7:$F$506)*(IF('Gastos com Pessoal'!$Y$7:$Y$506&lt;=AN$3,1,0))*OFFSET('Gastos com Pessoal'!$H$6,1,MATCH(4&amp;$B53,'Gastos com Pessoal'!$I$532:$AJ$532&amp;'Gastos com Pessoal'!$I$6:$AJ$6,0),500,1)),0)+_xlfn.IFNA(SUM((AN$3&gt;='Gastos com Pessoal'!$E$7:$E$506)*(AN$3&lt;='Gastos com Pessoal'!$F$7:$F$506)*(IF('Gastos com Pessoal'!$AE$7:$AE$506&lt;=AN$3,1,0))*OFFSET('Gastos com Pessoal'!$H$6,1,MATCH(5&amp;$B53,'Gastos com Pessoal'!$I$532:$AJ$532&amp;'Gastos com Pessoal'!$I$6:$AJ$6,0),500,1)),0)+_xlfn.IFNA(SUM((AN$3&gt;='Gastos com Pessoal'!$E$513:$E$522)*(AN$3&lt;='Gastos com Pessoal'!$F$513:$F$522)*(IF('Gastos com Pessoal'!$G$513:$G$522&lt;=AN$3,1,0))*OFFSET('Gastos com Pessoal'!$H$512,1,MATCH(1&amp;$B53,'Gastos com Pessoal'!$I$532:$AJ$532&amp;'Gastos com Pessoal'!$I$512:$AJ$512,0),10,1)),0)+_xlfn.IFNA(SUM((AN$3&gt;='Gastos com Pessoal'!$E$513:$E$522)*(AN$3&lt;='Gastos com Pessoal'!$F$513:$F$522)*(IF('Gastos com Pessoal'!$M$513:$M$522&lt;=AN$3,1,0))*OFFSET('Gastos com Pessoal'!$H$512,1,MATCH(2&amp;$B53,'Gastos com Pessoal'!$I$532:$AJ$532&amp;'Gastos com Pessoal'!$I$512:$AJ$512,0),10,1)),0)+_xlfn.IFNA(SUM((AN$3&gt;='Gastos com Pessoal'!$E$513:$E$522)*(AN$3&lt;='Gastos com Pessoal'!$F$513:$F$522)*(IF('Gastos com Pessoal'!$S$513:$S$522&lt;=AN$3,1,0))*OFFSET('Gastos com Pessoal'!$H$512,1,MATCH(3&amp;$B53,'Gastos com Pessoal'!$I$532:$AJ$532&amp;'Gastos com Pessoal'!$I$512:$AJ$512,0),10,1)),0)+_xlfn.IFNA(SUM((AN$3&gt;='Gastos com Pessoal'!$E$513:$E$522)*(AN$3&lt;='Gastos com Pessoal'!$F$513:$F$522)*(IF('Gastos com Pessoal'!$Y$513:$Y$522&lt;=AN$3,1,0))*OFFSET('Gastos com Pessoal'!$H$512,1,MATCH(4&amp;$B53,'Gastos com Pessoal'!$I$532:$AJ$532&amp;'Gastos com Pessoal'!$I$512:$AJ$512,0),10,1)),0)+_xlfn.IFNA(SUM((AN$3&gt;='Gastos com Pessoal'!$E$513:$E$522)*(AN$3&lt;='Gastos com Pessoal'!$F$513:$F$522)*(IF('Gastos com Pessoal'!$AE$513:$AE$522&lt;=AN$3,1,0))*OFFSET('Gastos com Pessoal'!$H$512,1,MATCH(5&amp;$B53,'Gastos com Pessoal'!$I$532:$AJ$532&amp;'Gastos com Pessoal'!$I$512:$AJ$512,0),10,1)),0)</f>
        <v>0</v>
      </c>
      <c r="AO53" s="188">
        <f t="array" aca="1" ref="AO53" ca="1">_xlfn.IFNA(SUM((AO$3&gt;='Gastos com Pessoal'!$E$7:$E$506)*(AO$3&lt;='Gastos com Pessoal'!$F$7:$F$506)*OFFSET('Encargos e Benefícios'!$D$5,1,MATCH($B53,'Encargos e Benefícios'!$E$5:$AB$5,0),500,1)),0)+_xlfn.IFNA(SUM((AO$3&gt;='Gastos com Pessoal'!$E$513:$E$522)*(AO$3&lt;='Gastos com Pessoal'!$F$513:$F$522)*OFFSET('Encargos e Benefícios'!$D$511,1,MATCH($B53,'Encargos e Benefícios'!$E$511:$AB$511,0),10,1)),0)+_xlfn.IFNA(SUM((AO$3&gt;='Gastos com Pessoal'!$E$7:$E$506)*(AO$3&lt;='Gastos com Pessoal'!$F$7:$F$506)*(IF('Gastos com Pessoal'!$G$7:$G$506&lt;=AO$3,1,0))*OFFSET('Gastos com Pessoal'!$H$6,1,MATCH(1&amp;$B53,'Gastos com Pessoal'!$I$532:$AJ$532&amp;'Gastos com Pessoal'!$I$6:$AJ$6,0),500,1)),0)+_xlfn.IFNA(SUM((AO$3&gt;='Gastos com Pessoal'!$E$7:$E$506)*(AO$3&lt;='Gastos com Pessoal'!$F$7:$F$506)*(IF('Gastos com Pessoal'!$M$7:$M$506&lt;=AO$3,1,0))*OFFSET('Gastos com Pessoal'!$H$6,1,MATCH(2&amp;$B53,'Gastos com Pessoal'!$I$532:$AJ$532&amp;'Gastos com Pessoal'!$I$6:$AJ$6,0),500,1)),0)+_xlfn.IFNA(SUM((AO$3&gt;='Gastos com Pessoal'!$E$7:$E$506)*(AO$3&lt;='Gastos com Pessoal'!$F$7:$F$506)*(IF('Gastos com Pessoal'!$S$7:$S$506&lt;=AO$3,1,0))*OFFSET('Gastos com Pessoal'!$H$6,1,MATCH(3&amp;$B53,'Gastos com Pessoal'!$I$532:$AJ$532&amp;'Gastos com Pessoal'!$I$6:$AJ$6,0),500,1)),0)+_xlfn.IFNA(SUM((AO$3&gt;='Gastos com Pessoal'!$E$7:$E$506)*(AO$3&lt;='Gastos com Pessoal'!$F$7:$F$506)*(IF('Gastos com Pessoal'!$Y$7:$Y$506&lt;=AO$3,1,0))*OFFSET('Gastos com Pessoal'!$H$6,1,MATCH(4&amp;$B53,'Gastos com Pessoal'!$I$532:$AJ$532&amp;'Gastos com Pessoal'!$I$6:$AJ$6,0),500,1)),0)+_xlfn.IFNA(SUM((AO$3&gt;='Gastos com Pessoal'!$E$7:$E$506)*(AO$3&lt;='Gastos com Pessoal'!$F$7:$F$506)*(IF('Gastos com Pessoal'!$AE$7:$AE$506&lt;=AO$3,1,0))*OFFSET('Gastos com Pessoal'!$H$6,1,MATCH(5&amp;$B53,'Gastos com Pessoal'!$I$532:$AJ$532&amp;'Gastos com Pessoal'!$I$6:$AJ$6,0),500,1)),0)+_xlfn.IFNA(SUM((AO$3&gt;='Gastos com Pessoal'!$E$513:$E$522)*(AO$3&lt;='Gastos com Pessoal'!$F$513:$F$522)*(IF('Gastos com Pessoal'!$G$513:$G$522&lt;=AO$3,1,0))*OFFSET('Gastos com Pessoal'!$H$512,1,MATCH(1&amp;$B53,'Gastos com Pessoal'!$I$532:$AJ$532&amp;'Gastos com Pessoal'!$I$512:$AJ$512,0),10,1)),0)+_xlfn.IFNA(SUM((AO$3&gt;='Gastos com Pessoal'!$E$513:$E$522)*(AO$3&lt;='Gastos com Pessoal'!$F$513:$F$522)*(IF('Gastos com Pessoal'!$M$513:$M$522&lt;=AO$3,1,0))*OFFSET('Gastos com Pessoal'!$H$512,1,MATCH(2&amp;$B53,'Gastos com Pessoal'!$I$532:$AJ$532&amp;'Gastos com Pessoal'!$I$512:$AJ$512,0),10,1)),0)+_xlfn.IFNA(SUM((AO$3&gt;='Gastos com Pessoal'!$E$513:$E$522)*(AO$3&lt;='Gastos com Pessoal'!$F$513:$F$522)*(IF('Gastos com Pessoal'!$S$513:$S$522&lt;=AO$3,1,0))*OFFSET('Gastos com Pessoal'!$H$512,1,MATCH(3&amp;$B53,'Gastos com Pessoal'!$I$532:$AJ$532&amp;'Gastos com Pessoal'!$I$512:$AJ$512,0),10,1)),0)+_xlfn.IFNA(SUM((AO$3&gt;='Gastos com Pessoal'!$E$513:$E$522)*(AO$3&lt;='Gastos com Pessoal'!$F$513:$F$522)*(IF('Gastos com Pessoal'!$Y$513:$Y$522&lt;=AO$3,1,0))*OFFSET('Gastos com Pessoal'!$H$512,1,MATCH(4&amp;$B53,'Gastos com Pessoal'!$I$532:$AJ$532&amp;'Gastos com Pessoal'!$I$512:$AJ$512,0),10,1)),0)+_xlfn.IFNA(SUM((AO$3&gt;='Gastos com Pessoal'!$E$513:$E$522)*(AO$3&lt;='Gastos com Pessoal'!$F$513:$F$522)*(IF('Gastos com Pessoal'!$AE$513:$AE$522&lt;=AO$3,1,0))*OFFSET('Gastos com Pessoal'!$H$512,1,MATCH(5&amp;$B53,'Gastos com Pessoal'!$I$532:$AJ$532&amp;'Gastos com Pessoal'!$I$512:$AJ$512,0),10,1)),0)</f>
        <v>0</v>
      </c>
      <c r="AP53" s="188">
        <f t="array" aca="1" ref="AP53" ca="1">_xlfn.IFNA(SUM((AP$3&gt;='Gastos com Pessoal'!$E$7:$E$506)*(AP$3&lt;='Gastos com Pessoal'!$F$7:$F$506)*OFFSET('Encargos e Benefícios'!$D$5,1,MATCH($B53,'Encargos e Benefícios'!$E$5:$AB$5,0),500,1)),0)+_xlfn.IFNA(SUM((AP$3&gt;='Gastos com Pessoal'!$E$513:$E$522)*(AP$3&lt;='Gastos com Pessoal'!$F$513:$F$522)*OFFSET('Encargos e Benefícios'!$D$511,1,MATCH($B53,'Encargos e Benefícios'!$E$511:$AB$511,0),10,1)),0)+_xlfn.IFNA(SUM((AP$3&gt;='Gastos com Pessoal'!$E$7:$E$506)*(AP$3&lt;='Gastos com Pessoal'!$F$7:$F$506)*(IF('Gastos com Pessoal'!$G$7:$G$506&lt;=AP$3,1,0))*OFFSET('Gastos com Pessoal'!$H$6,1,MATCH(1&amp;$B53,'Gastos com Pessoal'!$I$532:$AJ$532&amp;'Gastos com Pessoal'!$I$6:$AJ$6,0),500,1)),0)+_xlfn.IFNA(SUM((AP$3&gt;='Gastos com Pessoal'!$E$7:$E$506)*(AP$3&lt;='Gastos com Pessoal'!$F$7:$F$506)*(IF('Gastos com Pessoal'!$M$7:$M$506&lt;=AP$3,1,0))*OFFSET('Gastos com Pessoal'!$H$6,1,MATCH(2&amp;$B53,'Gastos com Pessoal'!$I$532:$AJ$532&amp;'Gastos com Pessoal'!$I$6:$AJ$6,0),500,1)),0)+_xlfn.IFNA(SUM((AP$3&gt;='Gastos com Pessoal'!$E$7:$E$506)*(AP$3&lt;='Gastos com Pessoal'!$F$7:$F$506)*(IF('Gastos com Pessoal'!$S$7:$S$506&lt;=AP$3,1,0))*OFFSET('Gastos com Pessoal'!$H$6,1,MATCH(3&amp;$B53,'Gastos com Pessoal'!$I$532:$AJ$532&amp;'Gastos com Pessoal'!$I$6:$AJ$6,0),500,1)),0)+_xlfn.IFNA(SUM((AP$3&gt;='Gastos com Pessoal'!$E$7:$E$506)*(AP$3&lt;='Gastos com Pessoal'!$F$7:$F$506)*(IF('Gastos com Pessoal'!$Y$7:$Y$506&lt;=AP$3,1,0))*OFFSET('Gastos com Pessoal'!$H$6,1,MATCH(4&amp;$B53,'Gastos com Pessoal'!$I$532:$AJ$532&amp;'Gastos com Pessoal'!$I$6:$AJ$6,0),500,1)),0)+_xlfn.IFNA(SUM((AP$3&gt;='Gastos com Pessoal'!$E$7:$E$506)*(AP$3&lt;='Gastos com Pessoal'!$F$7:$F$506)*(IF('Gastos com Pessoal'!$AE$7:$AE$506&lt;=AP$3,1,0))*OFFSET('Gastos com Pessoal'!$H$6,1,MATCH(5&amp;$B53,'Gastos com Pessoal'!$I$532:$AJ$532&amp;'Gastos com Pessoal'!$I$6:$AJ$6,0),500,1)),0)+_xlfn.IFNA(SUM((AP$3&gt;='Gastos com Pessoal'!$E$513:$E$522)*(AP$3&lt;='Gastos com Pessoal'!$F$513:$F$522)*(IF('Gastos com Pessoal'!$G$513:$G$522&lt;=AP$3,1,0))*OFFSET('Gastos com Pessoal'!$H$512,1,MATCH(1&amp;$B53,'Gastos com Pessoal'!$I$532:$AJ$532&amp;'Gastos com Pessoal'!$I$512:$AJ$512,0),10,1)),0)+_xlfn.IFNA(SUM((AP$3&gt;='Gastos com Pessoal'!$E$513:$E$522)*(AP$3&lt;='Gastos com Pessoal'!$F$513:$F$522)*(IF('Gastos com Pessoal'!$M$513:$M$522&lt;=AP$3,1,0))*OFFSET('Gastos com Pessoal'!$H$512,1,MATCH(2&amp;$B53,'Gastos com Pessoal'!$I$532:$AJ$532&amp;'Gastos com Pessoal'!$I$512:$AJ$512,0),10,1)),0)+_xlfn.IFNA(SUM((AP$3&gt;='Gastos com Pessoal'!$E$513:$E$522)*(AP$3&lt;='Gastos com Pessoal'!$F$513:$F$522)*(IF('Gastos com Pessoal'!$S$513:$S$522&lt;=AP$3,1,0))*OFFSET('Gastos com Pessoal'!$H$512,1,MATCH(3&amp;$B53,'Gastos com Pessoal'!$I$532:$AJ$532&amp;'Gastos com Pessoal'!$I$512:$AJ$512,0),10,1)),0)+_xlfn.IFNA(SUM((AP$3&gt;='Gastos com Pessoal'!$E$513:$E$522)*(AP$3&lt;='Gastos com Pessoal'!$F$513:$F$522)*(IF('Gastos com Pessoal'!$Y$513:$Y$522&lt;=AP$3,1,0))*OFFSET('Gastos com Pessoal'!$H$512,1,MATCH(4&amp;$B53,'Gastos com Pessoal'!$I$532:$AJ$532&amp;'Gastos com Pessoal'!$I$512:$AJ$512,0),10,1)),0)+_xlfn.IFNA(SUM((AP$3&gt;='Gastos com Pessoal'!$E$513:$E$522)*(AP$3&lt;='Gastos com Pessoal'!$F$513:$F$522)*(IF('Gastos com Pessoal'!$AE$513:$AE$522&lt;=AP$3,1,0))*OFFSET('Gastos com Pessoal'!$H$512,1,MATCH(5&amp;$B53,'Gastos com Pessoal'!$I$532:$AJ$532&amp;'Gastos com Pessoal'!$I$512:$AJ$512,0),10,1)),0)</f>
        <v>0</v>
      </c>
      <c r="AQ53" s="188">
        <f t="array" aca="1" ref="AQ53" ca="1">_xlfn.IFNA(SUM((AQ$3&gt;='Gastos com Pessoal'!$E$7:$E$506)*(AQ$3&lt;='Gastos com Pessoal'!$F$7:$F$506)*OFFSET('Encargos e Benefícios'!$D$5,1,MATCH($B53,'Encargos e Benefícios'!$E$5:$AB$5,0),500,1)),0)+_xlfn.IFNA(SUM((AQ$3&gt;='Gastos com Pessoal'!$E$513:$E$522)*(AQ$3&lt;='Gastos com Pessoal'!$F$513:$F$522)*OFFSET('Encargos e Benefícios'!$D$511,1,MATCH($B53,'Encargos e Benefícios'!$E$511:$AB$511,0),10,1)),0)+_xlfn.IFNA(SUM((AQ$3&gt;='Gastos com Pessoal'!$E$7:$E$506)*(AQ$3&lt;='Gastos com Pessoal'!$F$7:$F$506)*(IF('Gastos com Pessoal'!$G$7:$G$506&lt;=AQ$3,1,0))*OFFSET('Gastos com Pessoal'!$H$6,1,MATCH(1&amp;$B53,'Gastos com Pessoal'!$I$532:$AJ$532&amp;'Gastos com Pessoal'!$I$6:$AJ$6,0),500,1)),0)+_xlfn.IFNA(SUM((AQ$3&gt;='Gastos com Pessoal'!$E$7:$E$506)*(AQ$3&lt;='Gastos com Pessoal'!$F$7:$F$506)*(IF('Gastos com Pessoal'!$M$7:$M$506&lt;=AQ$3,1,0))*OFFSET('Gastos com Pessoal'!$H$6,1,MATCH(2&amp;$B53,'Gastos com Pessoal'!$I$532:$AJ$532&amp;'Gastos com Pessoal'!$I$6:$AJ$6,0),500,1)),0)+_xlfn.IFNA(SUM((AQ$3&gt;='Gastos com Pessoal'!$E$7:$E$506)*(AQ$3&lt;='Gastos com Pessoal'!$F$7:$F$506)*(IF('Gastos com Pessoal'!$S$7:$S$506&lt;=AQ$3,1,0))*OFFSET('Gastos com Pessoal'!$H$6,1,MATCH(3&amp;$B53,'Gastos com Pessoal'!$I$532:$AJ$532&amp;'Gastos com Pessoal'!$I$6:$AJ$6,0),500,1)),0)+_xlfn.IFNA(SUM((AQ$3&gt;='Gastos com Pessoal'!$E$7:$E$506)*(AQ$3&lt;='Gastos com Pessoal'!$F$7:$F$506)*(IF('Gastos com Pessoal'!$Y$7:$Y$506&lt;=AQ$3,1,0))*OFFSET('Gastos com Pessoal'!$H$6,1,MATCH(4&amp;$B53,'Gastos com Pessoal'!$I$532:$AJ$532&amp;'Gastos com Pessoal'!$I$6:$AJ$6,0),500,1)),0)+_xlfn.IFNA(SUM((AQ$3&gt;='Gastos com Pessoal'!$E$7:$E$506)*(AQ$3&lt;='Gastos com Pessoal'!$F$7:$F$506)*(IF('Gastos com Pessoal'!$AE$7:$AE$506&lt;=AQ$3,1,0))*OFFSET('Gastos com Pessoal'!$H$6,1,MATCH(5&amp;$B53,'Gastos com Pessoal'!$I$532:$AJ$532&amp;'Gastos com Pessoal'!$I$6:$AJ$6,0),500,1)),0)+_xlfn.IFNA(SUM((AQ$3&gt;='Gastos com Pessoal'!$E$513:$E$522)*(AQ$3&lt;='Gastos com Pessoal'!$F$513:$F$522)*(IF('Gastos com Pessoal'!$G$513:$G$522&lt;=AQ$3,1,0))*OFFSET('Gastos com Pessoal'!$H$512,1,MATCH(1&amp;$B53,'Gastos com Pessoal'!$I$532:$AJ$532&amp;'Gastos com Pessoal'!$I$512:$AJ$512,0),10,1)),0)+_xlfn.IFNA(SUM((AQ$3&gt;='Gastos com Pessoal'!$E$513:$E$522)*(AQ$3&lt;='Gastos com Pessoal'!$F$513:$F$522)*(IF('Gastos com Pessoal'!$M$513:$M$522&lt;=AQ$3,1,0))*OFFSET('Gastos com Pessoal'!$H$512,1,MATCH(2&amp;$B53,'Gastos com Pessoal'!$I$532:$AJ$532&amp;'Gastos com Pessoal'!$I$512:$AJ$512,0),10,1)),0)+_xlfn.IFNA(SUM((AQ$3&gt;='Gastos com Pessoal'!$E$513:$E$522)*(AQ$3&lt;='Gastos com Pessoal'!$F$513:$F$522)*(IF('Gastos com Pessoal'!$S$513:$S$522&lt;=AQ$3,1,0))*OFFSET('Gastos com Pessoal'!$H$512,1,MATCH(3&amp;$B53,'Gastos com Pessoal'!$I$532:$AJ$532&amp;'Gastos com Pessoal'!$I$512:$AJ$512,0),10,1)),0)+_xlfn.IFNA(SUM((AQ$3&gt;='Gastos com Pessoal'!$E$513:$E$522)*(AQ$3&lt;='Gastos com Pessoal'!$F$513:$F$522)*(IF('Gastos com Pessoal'!$Y$513:$Y$522&lt;=AQ$3,1,0))*OFFSET('Gastos com Pessoal'!$H$512,1,MATCH(4&amp;$B53,'Gastos com Pessoal'!$I$532:$AJ$532&amp;'Gastos com Pessoal'!$I$512:$AJ$512,0),10,1)),0)+_xlfn.IFNA(SUM((AQ$3&gt;='Gastos com Pessoal'!$E$513:$E$522)*(AQ$3&lt;='Gastos com Pessoal'!$F$513:$F$522)*(IF('Gastos com Pessoal'!$AE$513:$AE$522&lt;=AQ$3,1,0))*OFFSET('Gastos com Pessoal'!$H$512,1,MATCH(5&amp;$B53,'Gastos com Pessoal'!$I$532:$AJ$532&amp;'Gastos com Pessoal'!$I$512:$AJ$512,0),10,1)),0)</f>
        <v>0</v>
      </c>
      <c r="AR53" s="188">
        <f t="array" aca="1" ref="AR53" ca="1">_xlfn.IFNA(SUM((AR$3&gt;='Gastos com Pessoal'!$E$7:$E$506)*(AR$3&lt;='Gastos com Pessoal'!$F$7:$F$506)*OFFSET('Encargos e Benefícios'!$D$5,1,MATCH($B53,'Encargos e Benefícios'!$E$5:$AB$5,0),500,1)),0)+_xlfn.IFNA(SUM((AR$3&gt;='Gastos com Pessoal'!$E$513:$E$522)*(AR$3&lt;='Gastos com Pessoal'!$F$513:$F$522)*OFFSET('Encargos e Benefícios'!$D$511,1,MATCH($B53,'Encargos e Benefícios'!$E$511:$AB$511,0),10,1)),0)+_xlfn.IFNA(SUM((AR$3&gt;='Gastos com Pessoal'!$E$7:$E$506)*(AR$3&lt;='Gastos com Pessoal'!$F$7:$F$506)*(IF('Gastos com Pessoal'!$G$7:$G$506&lt;=AR$3,1,0))*OFFSET('Gastos com Pessoal'!$H$6,1,MATCH(1&amp;$B53,'Gastos com Pessoal'!$I$532:$AJ$532&amp;'Gastos com Pessoal'!$I$6:$AJ$6,0),500,1)),0)+_xlfn.IFNA(SUM((AR$3&gt;='Gastos com Pessoal'!$E$7:$E$506)*(AR$3&lt;='Gastos com Pessoal'!$F$7:$F$506)*(IF('Gastos com Pessoal'!$M$7:$M$506&lt;=AR$3,1,0))*OFFSET('Gastos com Pessoal'!$H$6,1,MATCH(2&amp;$B53,'Gastos com Pessoal'!$I$532:$AJ$532&amp;'Gastos com Pessoal'!$I$6:$AJ$6,0),500,1)),0)+_xlfn.IFNA(SUM((AR$3&gt;='Gastos com Pessoal'!$E$7:$E$506)*(AR$3&lt;='Gastos com Pessoal'!$F$7:$F$506)*(IF('Gastos com Pessoal'!$S$7:$S$506&lt;=AR$3,1,0))*OFFSET('Gastos com Pessoal'!$H$6,1,MATCH(3&amp;$B53,'Gastos com Pessoal'!$I$532:$AJ$532&amp;'Gastos com Pessoal'!$I$6:$AJ$6,0),500,1)),0)+_xlfn.IFNA(SUM((AR$3&gt;='Gastos com Pessoal'!$E$7:$E$506)*(AR$3&lt;='Gastos com Pessoal'!$F$7:$F$506)*(IF('Gastos com Pessoal'!$Y$7:$Y$506&lt;=AR$3,1,0))*OFFSET('Gastos com Pessoal'!$H$6,1,MATCH(4&amp;$B53,'Gastos com Pessoal'!$I$532:$AJ$532&amp;'Gastos com Pessoal'!$I$6:$AJ$6,0),500,1)),0)+_xlfn.IFNA(SUM((AR$3&gt;='Gastos com Pessoal'!$E$7:$E$506)*(AR$3&lt;='Gastos com Pessoal'!$F$7:$F$506)*(IF('Gastos com Pessoal'!$AE$7:$AE$506&lt;=AR$3,1,0))*OFFSET('Gastos com Pessoal'!$H$6,1,MATCH(5&amp;$B53,'Gastos com Pessoal'!$I$532:$AJ$532&amp;'Gastos com Pessoal'!$I$6:$AJ$6,0),500,1)),0)+_xlfn.IFNA(SUM((AR$3&gt;='Gastos com Pessoal'!$E$513:$E$522)*(AR$3&lt;='Gastos com Pessoal'!$F$513:$F$522)*(IF('Gastos com Pessoal'!$G$513:$G$522&lt;=AR$3,1,0))*OFFSET('Gastos com Pessoal'!$H$512,1,MATCH(1&amp;$B53,'Gastos com Pessoal'!$I$532:$AJ$532&amp;'Gastos com Pessoal'!$I$512:$AJ$512,0),10,1)),0)+_xlfn.IFNA(SUM((AR$3&gt;='Gastos com Pessoal'!$E$513:$E$522)*(AR$3&lt;='Gastos com Pessoal'!$F$513:$F$522)*(IF('Gastos com Pessoal'!$M$513:$M$522&lt;=AR$3,1,0))*OFFSET('Gastos com Pessoal'!$H$512,1,MATCH(2&amp;$B53,'Gastos com Pessoal'!$I$532:$AJ$532&amp;'Gastos com Pessoal'!$I$512:$AJ$512,0),10,1)),0)+_xlfn.IFNA(SUM((AR$3&gt;='Gastos com Pessoal'!$E$513:$E$522)*(AR$3&lt;='Gastos com Pessoal'!$F$513:$F$522)*(IF('Gastos com Pessoal'!$S$513:$S$522&lt;=AR$3,1,0))*OFFSET('Gastos com Pessoal'!$H$512,1,MATCH(3&amp;$B53,'Gastos com Pessoal'!$I$532:$AJ$532&amp;'Gastos com Pessoal'!$I$512:$AJ$512,0),10,1)),0)+_xlfn.IFNA(SUM((AR$3&gt;='Gastos com Pessoal'!$E$513:$E$522)*(AR$3&lt;='Gastos com Pessoal'!$F$513:$F$522)*(IF('Gastos com Pessoal'!$Y$513:$Y$522&lt;=AR$3,1,0))*OFFSET('Gastos com Pessoal'!$H$512,1,MATCH(4&amp;$B53,'Gastos com Pessoal'!$I$532:$AJ$532&amp;'Gastos com Pessoal'!$I$512:$AJ$512,0),10,1)),0)+_xlfn.IFNA(SUM((AR$3&gt;='Gastos com Pessoal'!$E$513:$E$522)*(AR$3&lt;='Gastos com Pessoal'!$F$513:$F$522)*(IF('Gastos com Pessoal'!$AE$513:$AE$522&lt;=AR$3,1,0))*OFFSET('Gastos com Pessoal'!$H$512,1,MATCH(5&amp;$B53,'Gastos com Pessoal'!$I$532:$AJ$532&amp;'Gastos com Pessoal'!$I$512:$AJ$512,0),10,1)),0)</f>
        <v>0</v>
      </c>
      <c r="AS53" s="188">
        <f t="array" aca="1" ref="AS53" ca="1">_xlfn.IFNA(SUM((AS$3&gt;='Gastos com Pessoal'!$E$7:$E$506)*(AS$3&lt;='Gastos com Pessoal'!$F$7:$F$506)*OFFSET('Encargos e Benefícios'!$D$5,1,MATCH($B53,'Encargos e Benefícios'!$E$5:$AB$5,0),500,1)),0)+_xlfn.IFNA(SUM((AS$3&gt;='Gastos com Pessoal'!$E$513:$E$522)*(AS$3&lt;='Gastos com Pessoal'!$F$513:$F$522)*OFFSET('Encargos e Benefícios'!$D$511,1,MATCH($B53,'Encargos e Benefícios'!$E$511:$AB$511,0),10,1)),0)+_xlfn.IFNA(SUM((AS$3&gt;='Gastos com Pessoal'!$E$7:$E$506)*(AS$3&lt;='Gastos com Pessoal'!$F$7:$F$506)*(IF('Gastos com Pessoal'!$G$7:$G$506&lt;=AS$3,1,0))*OFFSET('Gastos com Pessoal'!$H$6,1,MATCH(1&amp;$B53,'Gastos com Pessoal'!$I$532:$AJ$532&amp;'Gastos com Pessoal'!$I$6:$AJ$6,0),500,1)),0)+_xlfn.IFNA(SUM((AS$3&gt;='Gastos com Pessoal'!$E$7:$E$506)*(AS$3&lt;='Gastos com Pessoal'!$F$7:$F$506)*(IF('Gastos com Pessoal'!$M$7:$M$506&lt;=AS$3,1,0))*OFFSET('Gastos com Pessoal'!$H$6,1,MATCH(2&amp;$B53,'Gastos com Pessoal'!$I$532:$AJ$532&amp;'Gastos com Pessoal'!$I$6:$AJ$6,0),500,1)),0)+_xlfn.IFNA(SUM((AS$3&gt;='Gastos com Pessoal'!$E$7:$E$506)*(AS$3&lt;='Gastos com Pessoal'!$F$7:$F$506)*(IF('Gastos com Pessoal'!$S$7:$S$506&lt;=AS$3,1,0))*OFFSET('Gastos com Pessoal'!$H$6,1,MATCH(3&amp;$B53,'Gastos com Pessoal'!$I$532:$AJ$532&amp;'Gastos com Pessoal'!$I$6:$AJ$6,0),500,1)),0)+_xlfn.IFNA(SUM((AS$3&gt;='Gastos com Pessoal'!$E$7:$E$506)*(AS$3&lt;='Gastos com Pessoal'!$F$7:$F$506)*(IF('Gastos com Pessoal'!$Y$7:$Y$506&lt;=AS$3,1,0))*OFFSET('Gastos com Pessoal'!$H$6,1,MATCH(4&amp;$B53,'Gastos com Pessoal'!$I$532:$AJ$532&amp;'Gastos com Pessoal'!$I$6:$AJ$6,0),500,1)),0)+_xlfn.IFNA(SUM((AS$3&gt;='Gastos com Pessoal'!$E$7:$E$506)*(AS$3&lt;='Gastos com Pessoal'!$F$7:$F$506)*(IF('Gastos com Pessoal'!$AE$7:$AE$506&lt;=AS$3,1,0))*OFFSET('Gastos com Pessoal'!$H$6,1,MATCH(5&amp;$B53,'Gastos com Pessoal'!$I$532:$AJ$532&amp;'Gastos com Pessoal'!$I$6:$AJ$6,0),500,1)),0)+_xlfn.IFNA(SUM((AS$3&gt;='Gastos com Pessoal'!$E$513:$E$522)*(AS$3&lt;='Gastos com Pessoal'!$F$513:$F$522)*(IF('Gastos com Pessoal'!$G$513:$G$522&lt;=AS$3,1,0))*OFFSET('Gastos com Pessoal'!$H$512,1,MATCH(1&amp;$B53,'Gastos com Pessoal'!$I$532:$AJ$532&amp;'Gastos com Pessoal'!$I$512:$AJ$512,0),10,1)),0)+_xlfn.IFNA(SUM((AS$3&gt;='Gastos com Pessoal'!$E$513:$E$522)*(AS$3&lt;='Gastos com Pessoal'!$F$513:$F$522)*(IF('Gastos com Pessoal'!$M$513:$M$522&lt;=AS$3,1,0))*OFFSET('Gastos com Pessoal'!$H$512,1,MATCH(2&amp;$B53,'Gastos com Pessoal'!$I$532:$AJ$532&amp;'Gastos com Pessoal'!$I$512:$AJ$512,0),10,1)),0)+_xlfn.IFNA(SUM((AS$3&gt;='Gastos com Pessoal'!$E$513:$E$522)*(AS$3&lt;='Gastos com Pessoal'!$F$513:$F$522)*(IF('Gastos com Pessoal'!$S$513:$S$522&lt;=AS$3,1,0))*OFFSET('Gastos com Pessoal'!$H$512,1,MATCH(3&amp;$B53,'Gastos com Pessoal'!$I$532:$AJ$532&amp;'Gastos com Pessoal'!$I$512:$AJ$512,0),10,1)),0)+_xlfn.IFNA(SUM((AS$3&gt;='Gastos com Pessoal'!$E$513:$E$522)*(AS$3&lt;='Gastos com Pessoal'!$F$513:$F$522)*(IF('Gastos com Pessoal'!$Y$513:$Y$522&lt;=AS$3,1,0))*OFFSET('Gastos com Pessoal'!$H$512,1,MATCH(4&amp;$B53,'Gastos com Pessoal'!$I$532:$AJ$532&amp;'Gastos com Pessoal'!$I$512:$AJ$512,0),10,1)),0)+_xlfn.IFNA(SUM((AS$3&gt;='Gastos com Pessoal'!$E$513:$E$522)*(AS$3&lt;='Gastos com Pessoal'!$F$513:$F$522)*(IF('Gastos com Pessoal'!$AE$513:$AE$522&lt;=AS$3,1,0))*OFFSET('Gastos com Pessoal'!$H$512,1,MATCH(5&amp;$B53,'Gastos com Pessoal'!$I$532:$AJ$532&amp;'Gastos com Pessoal'!$I$512:$AJ$512,0),10,1)),0)</f>
        <v>0</v>
      </c>
      <c r="AT53" s="188">
        <f t="array" aca="1" ref="AT53" ca="1">_xlfn.IFNA(SUM((AT$3&gt;='Gastos com Pessoal'!$E$7:$E$506)*(AT$3&lt;='Gastos com Pessoal'!$F$7:$F$506)*OFFSET('Encargos e Benefícios'!$D$5,1,MATCH($B53,'Encargos e Benefícios'!$E$5:$AB$5,0),500,1)),0)+_xlfn.IFNA(SUM((AT$3&gt;='Gastos com Pessoal'!$E$513:$E$522)*(AT$3&lt;='Gastos com Pessoal'!$F$513:$F$522)*OFFSET('Encargos e Benefícios'!$D$511,1,MATCH($B53,'Encargos e Benefícios'!$E$511:$AB$511,0),10,1)),0)+_xlfn.IFNA(SUM((AT$3&gt;='Gastos com Pessoal'!$E$7:$E$506)*(AT$3&lt;='Gastos com Pessoal'!$F$7:$F$506)*(IF('Gastos com Pessoal'!$G$7:$G$506&lt;=AT$3,1,0))*OFFSET('Gastos com Pessoal'!$H$6,1,MATCH(1&amp;$B53,'Gastos com Pessoal'!$I$532:$AJ$532&amp;'Gastos com Pessoal'!$I$6:$AJ$6,0),500,1)),0)+_xlfn.IFNA(SUM((AT$3&gt;='Gastos com Pessoal'!$E$7:$E$506)*(AT$3&lt;='Gastos com Pessoal'!$F$7:$F$506)*(IF('Gastos com Pessoal'!$M$7:$M$506&lt;=AT$3,1,0))*OFFSET('Gastos com Pessoal'!$H$6,1,MATCH(2&amp;$B53,'Gastos com Pessoal'!$I$532:$AJ$532&amp;'Gastos com Pessoal'!$I$6:$AJ$6,0),500,1)),0)+_xlfn.IFNA(SUM((AT$3&gt;='Gastos com Pessoal'!$E$7:$E$506)*(AT$3&lt;='Gastos com Pessoal'!$F$7:$F$506)*(IF('Gastos com Pessoal'!$S$7:$S$506&lt;=AT$3,1,0))*OFFSET('Gastos com Pessoal'!$H$6,1,MATCH(3&amp;$B53,'Gastos com Pessoal'!$I$532:$AJ$532&amp;'Gastos com Pessoal'!$I$6:$AJ$6,0),500,1)),0)+_xlfn.IFNA(SUM((AT$3&gt;='Gastos com Pessoal'!$E$7:$E$506)*(AT$3&lt;='Gastos com Pessoal'!$F$7:$F$506)*(IF('Gastos com Pessoal'!$Y$7:$Y$506&lt;=AT$3,1,0))*OFFSET('Gastos com Pessoal'!$H$6,1,MATCH(4&amp;$B53,'Gastos com Pessoal'!$I$532:$AJ$532&amp;'Gastos com Pessoal'!$I$6:$AJ$6,0),500,1)),0)+_xlfn.IFNA(SUM((AT$3&gt;='Gastos com Pessoal'!$E$7:$E$506)*(AT$3&lt;='Gastos com Pessoal'!$F$7:$F$506)*(IF('Gastos com Pessoal'!$AE$7:$AE$506&lt;=AT$3,1,0))*OFFSET('Gastos com Pessoal'!$H$6,1,MATCH(5&amp;$B53,'Gastos com Pessoal'!$I$532:$AJ$532&amp;'Gastos com Pessoal'!$I$6:$AJ$6,0),500,1)),0)+_xlfn.IFNA(SUM((AT$3&gt;='Gastos com Pessoal'!$E$513:$E$522)*(AT$3&lt;='Gastos com Pessoal'!$F$513:$F$522)*(IF('Gastos com Pessoal'!$G$513:$G$522&lt;=AT$3,1,0))*OFFSET('Gastos com Pessoal'!$H$512,1,MATCH(1&amp;$B53,'Gastos com Pessoal'!$I$532:$AJ$532&amp;'Gastos com Pessoal'!$I$512:$AJ$512,0),10,1)),0)+_xlfn.IFNA(SUM((AT$3&gt;='Gastos com Pessoal'!$E$513:$E$522)*(AT$3&lt;='Gastos com Pessoal'!$F$513:$F$522)*(IF('Gastos com Pessoal'!$M$513:$M$522&lt;=AT$3,1,0))*OFFSET('Gastos com Pessoal'!$H$512,1,MATCH(2&amp;$B53,'Gastos com Pessoal'!$I$532:$AJ$532&amp;'Gastos com Pessoal'!$I$512:$AJ$512,0),10,1)),0)+_xlfn.IFNA(SUM((AT$3&gt;='Gastos com Pessoal'!$E$513:$E$522)*(AT$3&lt;='Gastos com Pessoal'!$F$513:$F$522)*(IF('Gastos com Pessoal'!$S$513:$S$522&lt;=AT$3,1,0))*OFFSET('Gastos com Pessoal'!$H$512,1,MATCH(3&amp;$B53,'Gastos com Pessoal'!$I$532:$AJ$532&amp;'Gastos com Pessoal'!$I$512:$AJ$512,0),10,1)),0)+_xlfn.IFNA(SUM((AT$3&gt;='Gastos com Pessoal'!$E$513:$E$522)*(AT$3&lt;='Gastos com Pessoal'!$F$513:$F$522)*(IF('Gastos com Pessoal'!$Y$513:$Y$522&lt;=AT$3,1,0))*OFFSET('Gastos com Pessoal'!$H$512,1,MATCH(4&amp;$B53,'Gastos com Pessoal'!$I$532:$AJ$532&amp;'Gastos com Pessoal'!$I$512:$AJ$512,0),10,1)),0)+_xlfn.IFNA(SUM((AT$3&gt;='Gastos com Pessoal'!$E$513:$E$522)*(AT$3&lt;='Gastos com Pessoal'!$F$513:$F$522)*(IF('Gastos com Pessoal'!$AE$513:$AE$522&lt;=AT$3,1,0))*OFFSET('Gastos com Pessoal'!$H$512,1,MATCH(5&amp;$B53,'Gastos com Pessoal'!$I$532:$AJ$532&amp;'Gastos com Pessoal'!$I$512:$AJ$512,0),10,1)),0)</f>
        <v>0</v>
      </c>
      <c r="AU53" s="188">
        <f t="array" aca="1" ref="AU53" ca="1">_xlfn.IFNA(SUM((AU$3&gt;='Gastos com Pessoal'!$E$7:$E$506)*(AU$3&lt;='Gastos com Pessoal'!$F$7:$F$506)*OFFSET('Encargos e Benefícios'!$D$5,1,MATCH($B53,'Encargos e Benefícios'!$E$5:$AB$5,0),500,1)),0)+_xlfn.IFNA(SUM((AU$3&gt;='Gastos com Pessoal'!$E$513:$E$522)*(AU$3&lt;='Gastos com Pessoal'!$F$513:$F$522)*OFFSET('Encargos e Benefícios'!$D$511,1,MATCH($B53,'Encargos e Benefícios'!$E$511:$AB$511,0),10,1)),0)+_xlfn.IFNA(SUM((AU$3&gt;='Gastos com Pessoal'!$E$7:$E$506)*(AU$3&lt;='Gastos com Pessoal'!$F$7:$F$506)*(IF('Gastos com Pessoal'!$G$7:$G$506&lt;=AU$3,1,0))*OFFSET('Gastos com Pessoal'!$H$6,1,MATCH(1&amp;$B53,'Gastos com Pessoal'!$I$532:$AJ$532&amp;'Gastos com Pessoal'!$I$6:$AJ$6,0),500,1)),0)+_xlfn.IFNA(SUM((AU$3&gt;='Gastos com Pessoal'!$E$7:$E$506)*(AU$3&lt;='Gastos com Pessoal'!$F$7:$F$506)*(IF('Gastos com Pessoal'!$M$7:$M$506&lt;=AU$3,1,0))*OFFSET('Gastos com Pessoal'!$H$6,1,MATCH(2&amp;$B53,'Gastos com Pessoal'!$I$532:$AJ$532&amp;'Gastos com Pessoal'!$I$6:$AJ$6,0),500,1)),0)+_xlfn.IFNA(SUM((AU$3&gt;='Gastos com Pessoal'!$E$7:$E$506)*(AU$3&lt;='Gastos com Pessoal'!$F$7:$F$506)*(IF('Gastos com Pessoal'!$S$7:$S$506&lt;=AU$3,1,0))*OFFSET('Gastos com Pessoal'!$H$6,1,MATCH(3&amp;$B53,'Gastos com Pessoal'!$I$532:$AJ$532&amp;'Gastos com Pessoal'!$I$6:$AJ$6,0),500,1)),0)+_xlfn.IFNA(SUM((AU$3&gt;='Gastos com Pessoal'!$E$7:$E$506)*(AU$3&lt;='Gastos com Pessoal'!$F$7:$F$506)*(IF('Gastos com Pessoal'!$Y$7:$Y$506&lt;=AU$3,1,0))*OFFSET('Gastos com Pessoal'!$H$6,1,MATCH(4&amp;$B53,'Gastos com Pessoal'!$I$532:$AJ$532&amp;'Gastos com Pessoal'!$I$6:$AJ$6,0),500,1)),0)+_xlfn.IFNA(SUM((AU$3&gt;='Gastos com Pessoal'!$E$7:$E$506)*(AU$3&lt;='Gastos com Pessoal'!$F$7:$F$506)*(IF('Gastos com Pessoal'!$AE$7:$AE$506&lt;=AU$3,1,0))*OFFSET('Gastos com Pessoal'!$H$6,1,MATCH(5&amp;$B53,'Gastos com Pessoal'!$I$532:$AJ$532&amp;'Gastos com Pessoal'!$I$6:$AJ$6,0),500,1)),0)+_xlfn.IFNA(SUM((AU$3&gt;='Gastos com Pessoal'!$E$513:$E$522)*(AU$3&lt;='Gastos com Pessoal'!$F$513:$F$522)*(IF('Gastos com Pessoal'!$G$513:$G$522&lt;=AU$3,1,0))*OFFSET('Gastos com Pessoal'!$H$512,1,MATCH(1&amp;$B53,'Gastos com Pessoal'!$I$532:$AJ$532&amp;'Gastos com Pessoal'!$I$512:$AJ$512,0),10,1)),0)+_xlfn.IFNA(SUM((AU$3&gt;='Gastos com Pessoal'!$E$513:$E$522)*(AU$3&lt;='Gastos com Pessoal'!$F$513:$F$522)*(IF('Gastos com Pessoal'!$M$513:$M$522&lt;=AU$3,1,0))*OFFSET('Gastos com Pessoal'!$H$512,1,MATCH(2&amp;$B53,'Gastos com Pessoal'!$I$532:$AJ$532&amp;'Gastos com Pessoal'!$I$512:$AJ$512,0),10,1)),0)+_xlfn.IFNA(SUM((AU$3&gt;='Gastos com Pessoal'!$E$513:$E$522)*(AU$3&lt;='Gastos com Pessoal'!$F$513:$F$522)*(IF('Gastos com Pessoal'!$S$513:$S$522&lt;=AU$3,1,0))*OFFSET('Gastos com Pessoal'!$H$512,1,MATCH(3&amp;$B53,'Gastos com Pessoal'!$I$532:$AJ$532&amp;'Gastos com Pessoal'!$I$512:$AJ$512,0),10,1)),0)+_xlfn.IFNA(SUM((AU$3&gt;='Gastos com Pessoal'!$E$513:$E$522)*(AU$3&lt;='Gastos com Pessoal'!$F$513:$F$522)*(IF('Gastos com Pessoal'!$Y$513:$Y$522&lt;=AU$3,1,0))*OFFSET('Gastos com Pessoal'!$H$512,1,MATCH(4&amp;$B53,'Gastos com Pessoal'!$I$532:$AJ$532&amp;'Gastos com Pessoal'!$I$512:$AJ$512,0),10,1)),0)+_xlfn.IFNA(SUM((AU$3&gt;='Gastos com Pessoal'!$E$513:$E$522)*(AU$3&lt;='Gastos com Pessoal'!$F$513:$F$522)*(IF('Gastos com Pessoal'!$AE$513:$AE$522&lt;=AU$3,1,0))*OFFSET('Gastos com Pessoal'!$H$512,1,MATCH(5&amp;$B53,'Gastos com Pessoal'!$I$532:$AJ$532&amp;'Gastos com Pessoal'!$I$512:$AJ$512,0),10,1)),0)</f>
        <v>0</v>
      </c>
      <c r="AV53" s="188">
        <f t="array" aca="1" ref="AV53" ca="1">_xlfn.IFNA(SUM((AV$3&gt;='Gastos com Pessoal'!$E$7:$E$506)*(AV$3&lt;='Gastos com Pessoal'!$F$7:$F$506)*OFFSET('Encargos e Benefícios'!$D$5,1,MATCH($B53,'Encargos e Benefícios'!$E$5:$AB$5,0),500,1)),0)+_xlfn.IFNA(SUM((AV$3&gt;='Gastos com Pessoal'!$E$513:$E$522)*(AV$3&lt;='Gastos com Pessoal'!$F$513:$F$522)*OFFSET('Encargos e Benefícios'!$D$511,1,MATCH($B53,'Encargos e Benefícios'!$E$511:$AB$511,0),10,1)),0)+_xlfn.IFNA(SUM((AV$3&gt;='Gastos com Pessoal'!$E$7:$E$506)*(AV$3&lt;='Gastos com Pessoal'!$F$7:$F$506)*(IF('Gastos com Pessoal'!$G$7:$G$506&lt;=AV$3,1,0))*OFFSET('Gastos com Pessoal'!$H$6,1,MATCH(1&amp;$B53,'Gastos com Pessoal'!$I$532:$AJ$532&amp;'Gastos com Pessoal'!$I$6:$AJ$6,0),500,1)),0)+_xlfn.IFNA(SUM((AV$3&gt;='Gastos com Pessoal'!$E$7:$E$506)*(AV$3&lt;='Gastos com Pessoal'!$F$7:$F$506)*(IF('Gastos com Pessoal'!$M$7:$M$506&lt;=AV$3,1,0))*OFFSET('Gastos com Pessoal'!$H$6,1,MATCH(2&amp;$B53,'Gastos com Pessoal'!$I$532:$AJ$532&amp;'Gastos com Pessoal'!$I$6:$AJ$6,0),500,1)),0)+_xlfn.IFNA(SUM((AV$3&gt;='Gastos com Pessoal'!$E$7:$E$506)*(AV$3&lt;='Gastos com Pessoal'!$F$7:$F$506)*(IF('Gastos com Pessoal'!$S$7:$S$506&lt;=AV$3,1,0))*OFFSET('Gastos com Pessoal'!$H$6,1,MATCH(3&amp;$B53,'Gastos com Pessoal'!$I$532:$AJ$532&amp;'Gastos com Pessoal'!$I$6:$AJ$6,0),500,1)),0)+_xlfn.IFNA(SUM((AV$3&gt;='Gastos com Pessoal'!$E$7:$E$506)*(AV$3&lt;='Gastos com Pessoal'!$F$7:$F$506)*(IF('Gastos com Pessoal'!$Y$7:$Y$506&lt;=AV$3,1,0))*OFFSET('Gastos com Pessoal'!$H$6,1,MATCH(4&amp;$B53,'Gastos com Pessoal'!$I$532:$AJ$532&amp;'Gastos com Pessoal'!$I$6:$AJ$6,0),500,1)),0)+_xlfn.IFNA(SUM((AV$3&gt;='Gastos com Pessoal'!$E$7:$E$506)*(AV$3&lt;='Gastos com Pessoal'!$F$7:$F$506)*(IF('Gastos com Pessoal'!$AE$7:$AE$506&lt;=AV$3,1,0))*OFFSET('Gastos com Pessoal'!$H$6,1,MATCH(5&amp;$B53,'Gastos com Pessoal'!$I$532:$AJ$532&amp;'Gastos com Pessoal'!$I$6:$AJ$6,0),500,1)),0)+_xlfn.IFNA(SUM((AV$3&gt;='Gastos com Pessoal'!$E$513:$E$522)*(AV$3&lt;='Gastos com Pessoal'!$F$513:$F$522)*(IF('Gastos com Pessoal'!$G$513:$G$522&lt;=AV$3,1,0))*OFFSET('Gastos com Pessoal'!$H$512,1,MATCH(1&amp;$B53,'Gastos com Pessoal'!$I$532:$AJ$532&amp;'Gastos com Pessoal'!$I$512:$AJ$512,0),10,1)),0)+_xlfn.IFNA(SUM((AV$3&gt;='Gastos com Pessoal'!$E$513:$E$522)*(AV$3&lt;='Gastos com Pessoal'!$F$513:$F$522)*(IF('Gastos com Pessoal'!$M$513:$M$522&lt;=AV$3,1,0))*OFFSET('Gastos com Pessoal'!$H$512,1,MATCH(2&amp;$B53,'Gastos com Pessoal'!$I$532:$AJ$532&amp;'Gastos com Pessoal'!$I$512:$AJ$512,0),10,1)),0)+_xlfn.IFNA(SUM((AV$3&gt;='Gastos com Pessoal'!$E$513:$E$522)*(AV$3&lt;='Gastos com Pessoal'!$F$513:$F$522)*(IF('Gastos com Pessoal'!$S$513:$S$522&lt;=AV$3,1,0))*OFFSET('Gastos com Pessoal'!$H$512,1,MATCH(3&amp;$B53,'Gastos com Pessoal'!$I$532:$AJ$532&amp;'Gastos com Pessoal'!$I$512:$AJ$512,0),10,1)),0)+_xlfn.IFNA(SUM((AV$3&gt;='Gastos com Pessoal'!$E$513:$E$522)*(AV$3&lt;='Gastos com Pessoal'!$F$513:$F$522)*(IF('Gastos com Pessoal'!$Y$513:$Y$522&lt;=AV$3,1,0))*OFFSET('Gastos com Pessoal'!$H$512,1,MATCH(4&amp;$B53,'Gastos com Pessoal'!$I$532:$AJ$532&amp;'Gastos com Pessoal'!$I$512:$AJ$512,0),10,1)),0)+_xlfn.IFNA(SUM((AV$3&gt;='Gastos com Pessoal'!$E$513:$E$522)*(AV$3&lt;='Gastos com Pessoal'!$F$513:$F$522)*(IF('Gastos com Pessoal'!$AE$513:$AE$522&lt;=AV$3,1,0))*OFFSET('Gastos com Pessoal'!$H$512,1,MATCH(5&amp;$B53,'Gastos com Pessoal'!$I$532:$AJ$532&amp;'Gastos com Pessoal'!$I$512:$AJ$512,0),10,1)),0)</f>
        <v>0</v>
      </c>
      <c r="AW53" s="188">
        <f t="array" aca="1" ref="AW53" ca="1">_xlfn.IFNA(SUM((AW$3&gt;='Gastos com Pessoal'!$E$7:$E$506)*(AW$3&lt;='Gastos com Pessoal'!$F$7:$F$506)*OFFSET('Encargos e Benefícios'!$D$5,1,MATCH($B53,'Encargos e Benefícios'!$E$5:$AB$5,0),500,1)),0)+_xlfn.IFNA(SUM((AW$3&gt;='Gastos com Pessoal'!$E$513:$E$522)*(AW$3&lt;='Gastos com Pessoal'!$F$513:$F$522)*OFFSET('Encargos e Benefícios'!$D$511,1,MATCH($B53,'Encargos e Benefícios'!$E$511:$AB$511,0),10,1)),0)+_xlfn.IFNA(SUM((AW$3&gt;='Gastos com Pessoal'!$E$7:$E$506)*(AW$3&lt;='Gastos com Pessoal'!$F$7:$F$506)*(IF('Gastos com Pessoal'!$G$7:$G$506&lt;=AW$3,1,0))*OFFSET('Gastos com Pessoal'!$H$6,1,MATCH(1&amp;$B53,'Gastos com Pessoal'!$I$532:$AJ$532&amp;'Gastos com Pessoal'!$I$6:$AJ$6,0),500,1)),0)+_xlfn.IFNA(SUM((AW$3&gt;='Gastos com Pessoal'!$E$7:$E$506)*(AW$3&lt;='Gastos com Pessoal'!$F$7:$F$506)*(IF('Gastos com Pessoal'!$M$7:$M$506&lt;=AW$3,1,0))*OFFSET('Gastos com Pessoal'!$H$6,1,MATCH(2&amp;$B53,'Gastos com Pessoal'!$I$532:$AJ$532&amp;'Gastos com Pessoal'!$I$6:$AJ$6,0),500,1)),0)+_xlfn.IFNA(SUM((AW$3&gt;='Gastos com Pessoal'!$E$7:$E$506)*(AW$3&lt;='Gastos com Pessoal'!$F$7:$F$506)*(IF('Gastos com Pessoal'!$S$7:$S$506&lt;=AW$3,1,0))*OFFSET('Gastos com Pessoal'!$H$6,1,MATCH(3&amp;$B53,'Gastos com Pessoal'!$I$532:$AJ$532&amp;'Gastos com Pessoal'!$I$6:$AJ$6,0),500,1)),0)+_xlfn.IFNA(SUM((AW$3&gt;='Gastos com Pessoal'!$E$7:$E$506)*(AW$3&lt;='Gastos com Pessoal'!$F$7:$F$506)*(IF('Gastos com Pessoal'!$Y$7:$Y$506&lt;=AW$3,1,0))*OFFSET('Gastos com Pessoal'!$H$6,1,MATCH(4&amp;$B53,'Gastos com Pessoal'!$I$532:$AJ$532&amp;'Gastos com Pessoal'!$I$6:$AJ$6,0),500,1)),0)+_xlfn.IFNA(SUM((AW$3&gt;='Gastos com Pessoal'!$E$7:$E$506)*(AW$3&lt;='Gastos com Pessoal'!$F$7:$F$506)*(IF('Gastos com Pessoal'!$AE$7:$AE$506&lt;=AW$3,1,0))*OFFSET('Gastos com Pessoal'!$H$6,1,MATCH(5&amp;$B53,'Gastos com Pessoal'!$I$532:$AJ$532&amp;'Gastos com Pessoal'!$I$6:$AJ$6,0),500,1)),0)+_xlfn.IFNA(SUM((AW$3&gt;='Gastos com Pessoal'!$E$513:$E$522)*(AW$3&lt;='Gastos com Pessoal'!$F$513:$F$522)*(IF('Gastos com Pessoal'!$G$513:$G$522&lt;=AW$3,1,0))*OFFSET('Gastos com Pessoal'!$H$512,1,MATCH(1&amp;$B53,'Gastos com Pessoal'!$I$532:$AJ$532&amp;'Gastos com Pessoal'!$I$512:$AJ$512,0),10,1)),0)+_xlfn.IFNA(SUM((AW$3&gt;='Gastos com Pessoal'!$E$513:$E$522)*(AW$3&lt;='Gastos com Pessoal'!$F$513:$F$522)*(IF('Gastos com Pessoal'!$M$513:$M$522&lt;=AW$3,1,0))*OFFSET('Gastos com Pessoal'!$H$512,1,MATCH(2&amp;$B53,'Gastos com Pessoal'!$I$532:$AJ$532&amp;'Gastos com Pessoal'!$I$512:$AJ$512,0),10,1)),0)+_xlfn.IFNA(SUM((AW$3&gt;='Gastos com Pessoal'!$E$513:$E$522)*(AW$3&lt;='Gastos com Pessoal'!$F$513:$F$522)*(IF('Gastos com Pessoal'!$S$513:$S$522&lt;=AW$3,1,0))*OFFSET('Gastos com Pessoal'!$H$512,1,MATCH(3&amp;$B53,'Gastos com Pessoal'!$I$532:$AJ$532&amp;'Gastos com Pessoal'!$I$512:$AJ$512,0),10,1)),0)+_xlfn.IFNA(SUM((AW$3&gt;='Gastos com Pessoal'!$E$513:$E$522)*(AW$3&lt;='Gastos com Pessoal'!$F$513:$F$522)*(IF('Gastos com Pessoal'!$Y$513:$Y$522&lt;=AW$3,1,0))*OFFSET('Gastos com Pessoal'!$H$512,1,MATCH(4&amp;$B53,'Gastos com Pessoal'!$I$532:$AJ$532&amp;'Gastos com Pessoal'!$I$512:$AJ$512,0),10,1)),0)+_xlfn.IFNA(SUM((AW$3&gt;='Gastos com Pessoal'!$E$513:$E$522)*(AW$3&lt;='Gastos com Pessoal'!$F$513:$F$522)*(IF('Gastos com Pessoal'!$AE$513:$AE$522&lt;=AW$3,1,0))*OFFSET('Gastos com Pessoal'!$H$512,1,MATCH(5&amp;$B53,'Gastos com Pessoal'!$I$532:$AJ$532&amp;'Gastos com Pessoal'!$I$512:$AJ$512,0),10,1)),0)</f>
        <v>0</v>
      </c>
      <c r="AX53" s="188">
        <f t="array" aca="1" ref="AX53" ca="1">_xlfn.IFNA(SUM((AX$3&gt;='Gastos com Pessoal'!$E$7:$E$506)*(AX$3&lt;='Gastos com Pessoal'!$F$7:$F$506)*OFFSET('Encargos e Benefícios'!$D$5,1,MATCH($B53,'Encargos e Benefícios'!$E$5:$AB$5,0),500,1)),0)+_xlfn.IFNA(SUM((AX$3&gt;='Gastos com Pessoal'!$E$513:$E$522)*(AX$3&lt;='Gastos com Pessoal'!$F$513:$F$522)*OFFSET('Encargos e Benefícios'!$D$511,1,MATCH($B53,'Encargos e Benefícios'!$E$511:$AB$511,0),10,1)),0)+_xlfn.IFNA(SUM((AX$3&gt;='Gastos com Pessoal'!$E$7:$E$506)*(AX$3&lt;='Gastos com Pessoal'!$F$7:$F$506)*(IF('Gastos com Pessoal'!$G$7:$G$506&lt;=AX$3,1,0))*OFFSET('Gastos com Pessoal'!$H$6,1,MATCH(1&amp;$B53,'Gastos com Pessoal'!$I$532:$AJ$532&amp;'Gastos com Pessoal'!$I$6:$AJ$6,0),500,1)),0)+_xlfn.IFNA(SUM((AX$3&gt;='Gastos com Pessoal'!$E$7:$E$506)*(AX$3&lt;='Gastos com Pessoal'!$F$7:$F$506)*(IF('Gastos com Pessoal'!$M$7:$M$506&lt;=AX$3,1,0))*OFFSET('Gastos com Pessoal'!$H$6,1,MATCH(2&amp;$B53,'Gastos com Pessoal'!$I$532:$AJ$532&amp;'Gastos com Pessoal'!$I$6:$AJ$6,0),500,1)),0)+_xlfn.IFNA(SUM((AX$3&gt;='Gastos com Pessoal'!$E$7:$E$506)*(AX$3&lt;='Gastos com Pessoal'!$F$7:$F$506)*(IF('Gastos com Pessoal'!$S$7:$S$506&lt;=AX$3,1,0))*OFFSET('Gastos com Pessoal'!$H$6,1,MATCH(3&amp;$B53,'Gastos com Pessoal'!$I$532:$AJ$532&amp;'Gastos com Pessoal'!$I$6:$AJ$6,0),500,1)),0)+_xlfn.IFNA(SUM((AX$3&gt;='Gastos com Pessoal'!$E$7:$E$506)*(AX$3&lt;='Gastos com Pessoal'!$F$7:$F$506)*(IF('Gastos com Pessoal'!$Y$7:$Y$506&lt;=AX$3,1,0))*OFFSET('Gastos com Pessoal'!$H$6,1,MATCH(4&amp;$B53,'Gastos com Pessoal'!$I$532:$AJ$532&amp;'Gastos com Pessoal'!$I$6:$AJ$6,0),500,1)),0)+_xlfn.IFNA(SUM((AX$3&gt;='Gastos com Pessoal'!$E$7:$E$506)*(AX$3&lt;='Gastos com Pessoal'!$F$7:$F$506)*(IF('Gastos com Pessoal'!$AE$7:$AE$506&lt;=AX$3,1,0))*OFFSET('Gastos com Pessoal'!$H$6,1,MATCH(5&amp;$B53,'Gastos com Pessoal'!$I$532:$AJ$532&amp;'Gastos com Pessoal'!$I$6:$AJ$6,0),500,1)),0)+_xlfn.IFNA(SUM((AX$3&gt;='Gastos com Pessoal'!$E$513:$E$522)*(AX$3&lt;='Gastos com Pessoal'!$F$513:$F$522)*(IF('Gastos com Pessoal'!$G$513:$G$522&lt;=AX$3,1,0))*OFFSET('Gastos com Pessoal'!$H$512,1,MATCH(1&amp;$B53,'Gastos com Pessoal'!$I$532:$AJ$532&amp;'Gastos com Pessoal'!$I$512:$AJ$512,0),10,1)),0)+_xlfn.IFNA(SUM((AX$3&gt;='Gastos com Pessoal'!$E$513:$E$522)*(AX$3&lt;='Gastos com Pessoal'!$F$513:$F$522)*(IF('Gastos com Pessoal'!$M$513:$M$522&lt;=AX$3,1,0))*OFFSET('Gastos com Pessoal'!$H$512,1,MATCH(2&amp;$B53,'Gastos com Pessoal'!$I$532:$AJ$532&amp;'Gastos com Pessoal'!$I$512:$AJ$512,0),10,1)),0)+_xlfn.IFNA(SUM((AX$3&gt;='Gastos com Pessoal'!$E$513:$E$522)*(AX$3&lt;='Gastos com Pessoal'!$F$513:$F$522)*(IF('Gastos com Pessoal'!$S$513:$S$522&lt;=AX$3,1,0))*OFFSET('Gastos com Pessoal'!$H$512,1,MATCH(3&amp;$B53,'Gastos com Pessoal'!$I$532:$AJ$532&amp;'Gastos com Pessoal'!$I$512:$AJ$512,0),10,1)),0)+_xlfn.IFNA(SUM((AX$3&gt;='Gastos com Pessoal'!$E$513:$E$522)*(AX$3&lt;='Gastos com Pessoal'!$F$513:$F$522)*(IF('Gastos com Pessoal'!$Y$513:$Y$522&lt;=AX$3,1,0))*OFFSET('Gastos com Pessoal'!$H$512,1,MATCH(4&amp;$B53,'Gastos com Pessoal'!$I$532:$AJ$532&amp;'Gastos com Pessoal'!$I$512:$AJ$512,0),10,1)),0)+_xlfn.IFNA(SUM((AX$3&gt;='Gastos com Pessoal'!$E$513:$E$522)*(AX$3&lt;='Gastos com Pessoal'!$F$513:$F$522)*(IF('Gastos com Pessoal'!$AE$513:$AE$522&lt;=AX$3,1,0))*OFFSET('Gastos com Pessoal'!$H$512,1,MATCH(5&amp;$B53,'Gastos com Pessoal'!$I$532:$AJ$532&amp;'Gastos com Pessoal'!$I$512:$AJ$512,0),10,1)),0)</f>
        <v>0</v>
      </c>
      <c r="AY53" s="188">
        <f t="array" aca="1" ref="AY53" ca="1">_xlfn.IFNA(SUM((AY$3&gt;='Gastos com Pessoal'!$E$7:$E$506)*(AY$3&lt;='Gastos com Pessoal'!$F$7:$F$506)*OFFSET('Encargos e Benefícios'!$D$5,1,MATCH($B53,'Encargos e Benefícios'!$E$5:$AB$5,0),500,1)),0)+_xlfn.IFNA(SUM((AY$3&gt;='Gastos com Pessoal'!$E$513:$E$522)*(AY$3&lt;='Gastos com Pessoal'!$F$513:$F$522)*OFFSET('Encargos e Benefícios'!$D$511,1,MATCH($B53,'Encargos e Benefícios'!$E$511:$AB$511,0),10,1)),0)+_xlfn.IFNA(SUM((AY$3&gt;='Gastos com Pessoal'!$E$7:$E$506)*(AY$3&lt;='Gastos com Pessoal'!$F$7:$F$506)*(IF('Gastos com Pessoal'!$G$7:$G$506&lt;=AY$3,1,0))*OFFSET('Gastos com Pessoal'!$H$6,1,MATCH(1&amp;$B53,'Gastos com Pessoal'!$I$532:$AJ$532&amp;'Gastos com Pessoal'!$I$6:$AJ$6,0),500,1)),0)+_xlfn.IFNA(SUM((AY$3&gt;='Gastos com Pessoal'!$E$7:$E$506)*(AY$3&lt;='Gastos com Pessoal'!$F$7:$F$506)*(IF('Gastos com Pessoal'!$M$7:$M$506&lt;=AY$3,1,0))*OFFSET('Gastos com Pessoal'!$H$6,1,MATCH(2&amp;$B53,'Gastos com Pessoal'!$I$532:$AJ$532&amp;'Gastos com Pessoal'!$I$6:$AJ$6,0),500,1)),0)+_xlfn.IFNA(SUM((AY$3&gt;='Gastos com Pessoal'!$E$7:$E$506)*(AY$3&lt;='Gastos com Pessoal'!$F$7:$F$506)*(IF('Gastos com Pessoal'!$S$7:$S$506&lt;=AY$3,1,0))*OFFSET('Gastos com Pessoal'!$H$6,1,MATCH(3&amp;$B53,'Gastos com Pessoal'!$I$532:$AJ$532&amp;'Gastos com Pessoal'!$I$6:$AJ$6,0),500,1)),0)+_xlfn.IFNA(SUM((AY$3&gt;='Gastos com Pessoal'!$E$7:$E$506)*(AY$3&lt;='Gastos com Pessoal'!$F$7:$F$506)*(IF('Gastos com Pessoal'!$Y$7:$Y$506&lt;=AY$3,1,0))*OFFSET('Gastos com Pessoal'!$H$6,1,MATCH(4&amp;$B53,'Gastos com Pessoal'!$I$532:$AJ$532&amp;'Gastos com Pessoal'!$I$6:$AJ$6,0),500,1)),0)+_xlfn.IFNA(SUM((AY$3&gt;='Gastos com Pessoal'!$E$7:$E$506)*(AY$3&lt;='Gastos com Pessoal'!$F$7:$F$506)*(IF('Gastos com Pessoal'!$AE$7:$AE$506&lt;=AY$3,1,0))*OFFSET('Gastos com Pessoal'!$H$6,1,MATCH(5&amp;$B53,'Gastos com Pessoal'!$I$532:$AJ$532&amp;'Gastos com Pessoal'!$I$6:$AJ$6,0),500,1)),0)+_xlfn.IFNA(SUM((AY$3&gt;='Gastos com Pessoal'!$E$513:$E$522)*(AY$3&lt;='Gastos com Pessoal'!$F$513:$F$522)*(IF('Gastos com Pessoal'!$G$513:$G$522&lt;=AY$3,1,0))*OFFSET('Gastos com Pessoal'!$H$512,1,MATCH(1&amp;$B53,'Gastos com Pessoal'!$I$532:$AJ$532&amp;'Gastos com Pessoal'!$I$512:$AJ$512,0),10,1)),0)+_xlfn.IFNA(SUM((AY$3&gt;='Gastos com Pessoal'!$E$513:$E$522)*(AY$3&lt;='Gastos com Pessoal'!$F$513:$F$522)*(IF('Gastos com Pessoal'!$M$513:$M$522&lt;=AY$3,1,0))*OFFSET('Gastos com Pessoal'!$H$512,1,MATCH(2&amp;$B53,'Gastos com Pessoal'!$I$532:$AJ$532&amp;'Gastos com Pessoal'!$I$512:$AJ$512,0),10,1)),0)+_xlfn.IFNA(SUM((AY$3&gt;='Gastos com Pessoal'!$E$513:$E$522)*(AY$3&lt;='Gastos com Pessoal'!$F$513:$F$522)*(IF('Gastos com Pessoal'!$S$513:$S$522&lt;=AY$3,1,0))*OFFSET('Gastos com Pessoal'!$H$512,1,MATCH(3&amp;$B53,'Gastos com Pessoal'!$I$532:$AJ$532&amp;'Gastos com Pessoal'!$I$512:$AJ$512,0),10,1)),0)+_xlfn.IFNA(SUM((AY$3&gt;='Gastos com Pessoal'!$E$513:$E$522)*(AY$3&lt;='Gastos com Pessoal'!$F$513:$F$522)*(IF('Gastos com Pessoal'!$Y$513:$Y$522&lt;=AY$3,1,0))*OFFSET('Gastos com Pessoal'!$H$512,1,MATCH(4&amp;$B53,'Gastos com Pessoal'!$I$532:$AJ$532&amp;'Gastos com Pessoal'!$I$512:$AJ$512,0),10,1)),0)+_xlfn.IFNA(SUM((AY$3&gt;='Gastos com Pessoal'!$E$513:$E$522)*(AY$3&lt;='Gastos com Pessoal'!$F$513:$F$522)*(IF('Gastos com Pessoal'!$AE$513:$AE$522&lt;=AY$3,1,0))*OFFSET('Gastos com Pessoal'!$H$512,1,MATCH(5&amp;$B53,'Gastos com Pessoal'!$I$532:$AJ$532&amp;'Gastos com Pessoal'!$I$512:$AJ$512,0),10,1)),0)</f>
        <v>0</v>
      </c>
      <c r="AZ53" s="188">
        <f t="array" aca="1" ref="AZ53" ca="1">_xlfn.IFNA(SUM((AZ$3&gt;='Gastos com Pessoal'!$E$7:$E$506)*(AZ$3&lt;='Gastos com Pessoal'!$F$7:$F$506)*OFFSET('Encargos e Benefícios'!$D$5,1,MATCH($B53,'Encargos e Benefícios'!$E$5:$AB$5,0),500,1)),0)+_xlfn.IFNA(SUM((AZ$3&gt;='Gastos com Pessoal'!$E$513:$E$522)*(AZ$3&lt;='Gastos com Pessoal'!$F$513:$F$522)*OFFSET('Encargos e Benefícios'!$D$511,1,MATCH($B53,'Encargos e Benefícios'!$E$511:$AB$511,0),10,1)),0)+_xlfn.IFNA(SUM((AZ$3&gt;='Gastos com Pessoal'!$E$7:$E$506)*(AZ$3&lt;='Gastos com Pessoal'!$F$7:$F$506)*(IF('Gastos com Pessoal'!$G$7:$G$506&lt;=AZ$3,1,0))*OFFSET('Gastos com Pessoal'!$H$6,1,MATCH(1&amp;$B53,'Gastos com Pessoal'!$I$532:$AJ$532&amp;'Gastos com Pessoal'!$I$6:$AJ$6,0),500,1)),0)+_xlfn.IFNA(SUM((AZ$3&gt;='Gastos com Pessoal'!$E$7:$E$506)*(AZ$3&lt;='Gastos com Pessoal'!$F$7:$F$506)*(IF('Gastos com Pessoal'!$M$7:$M$506&lt;=AZ$3,1,0))*OFFSET('Gastos com Pessoal'!$H$6,1,MATCH(2&amp;$B53,'Gastos com Pessoal'!$I$532:$AJ$532&amp;'Gastos com Pessoal'!$I$6:$AJ$6,0),500,1)),0)+_xlfn.IFNA(SUM((AZ$3&gt;='Gastos com Pessoal'!$E$7:$E$506)*(AZ$3&lt;='Gastos com Pessoal'!$F$7:$F$506)*(IF('Gastos com Pessoal'!$S$7:$S$506&lt;=AZ$3,1,0))*OFFSET('Gastos com Pessoal'!$H$6,1,MATCH(3&amp;$B53,'Gastos com Pessoal'!$I$532:$AJ$532&amp;'Gastos com Pessoal'!$I$6:$AJ$6,0),500,1)),0)+_xlfn.IFNA(SUM((AZ$3&gt;='Gastos com Pessoal'!$E$7:$E$506)*(AZ$3&lt;='Gastos com Pessoal'!$F$7:$F$506)*(IF('Gastos com Pessoal'!$Y$7:$Y$506&lt;=AZ$3,1,0))*OFFSET('Gastos com Pessoal'!$H$6,1,MATCH(4&amp;$B53,'Gastos com Pessoal'!$I$532:$AJ$532&amp;'Gastos com Pessoal'!$I$6:$AJ$6,0),500,1)),0)+_xlfn.IFNA(SUM((AZ$3&gt;='Gastos com Pessoal'!$E$7:$E$506)*(AZ$3&lt;='Gastos com Pessoal'!$F$7:$F$506)*(IF('Gastos com Pessoal'!$AE$7:$AE$506&lt;=AZ$3,1,0))*OFFSET('Gastos com Pessoal'!$H$6,1,MATCH(5&amp;$B53,'Gastos com Pessoal'!$I$532:$AJ$532&amp;'Gastos com Pessoal'!$I$6:$AJ$6,0),500,1)),0)+_xlfn.IFNA(SUM((AZ$3&gt;='Gastos com Pessoal'!$E$513:$E$522)*(AZ$3&lt;='Gastos com Pessoal'!$F$513:$F$522)*(IF('Gastos com Pessoal'!$G$513:$G$522&lt;=AZ$3,1,0))*OFFSET('Gastos com Pessoal'!$H$512,1,MATCH(1&amp;$B53,'Gastos com Pessoal'!$I$532:$AJ$532&amp;'Gastos com Pessoal'!$I$512:$AJ$512,0),10,1)),0)+_xlfn.IFNA(SUM((AZ$3&gt;='Gastos com Pessoal'!$E$513:$E$522)*(AZ$3&lt;='Gastos com Pessoal'!$F$513:$F$522)*(IF('Gastos com Pessoal'!$M$513:$M$522&lt;=AZ$3,1,0))*OFFSET('Gastos com Pessoal'!$H$512,1,MATCH(2&amp;$B53,'Gastos com Pessoal'!$I$532:$AJ$532&amp;'Gastos com Pessoal'!$I$512:$AJ$512,0),10,1)),0)+_xlfn.IFNA(SUM((AZ$3&gt;='Gastos com Pessoal'!$E$513:$E$522)*(AZ$3&lt;='Gastos com Pessoal'!$F$513:$F$522)*(IF('Gastos com Pessoal'!$S$513:$S$522&lt;=AZ$3,1,0))*OFFSET('Gastos com Pessoal'!$H$512,1,MATCH(3&amp;$B53,'Gastos com Pessoal'!$I$532:$AJ$532&amp;'Gastos com Pessoal'!$I$512:$AJ$512,0),10,1)),0)+_xlfn.IFNA(SUM((AZ$3&gt;='Gastos com Pessoal'!$E$513:$E$522)*(AZ$3&lt;='Gastos com Pessoal'!$F$513:$F$522)*(IF('Gastos com Pessoal'!$Y$513:$Y$522&lt;=AZ$3,1,0))*OFFSET('Gastos com Pessoal'!$H$512,1,MATCH(4&amp;$B53,'Gastos com Pessoal'!$I$532:$AJ$532&amp;'Gastos com Pessoal'!$I$512:$AJ$512,0),10,1)),0)+_xlfn.IFNA(SUM((AZ$3&gt;='Gastos com Pessoal'!$E$513:$E$522)*(AZ$3&lt;='Gastos com Pessoal'!$F$513:$F$522)*(IF('Gastos com Pessoal'!$AE$513:$AE$522&lt;=AZ$3,1,0))*OFFSET('Gastos com Pessoal'!$H$512,1,MATCH(5&amp;$B53,'Gastos com Pessoal'!$I$532:$AJ$532&amp;'Gastos com Pessoal'!$I$512:$AJ$512,0),10,1)),0)</f>
        <v>0</v>
      </c>
      <c r="BA53" s="188">
        <f t="array" aca="1" ref="BA53" ca="1">_xlfn.IFNA(SUM((BA$3&gt;='Gastos com Pessoal'!$E$7:$E$506)*(BA$3&lt;='Gastos com Pessoal'!$F$7:$F$506)*OFFSET('Encargos e Benefícios'!$D$5,1,MATCH($B53,'Encargos e Benefícios'!$E$5:$AB$5,0),500,1)),0)+_xlfn.IFNA(SUM((BA$3&gt;='Gastos com Pessoal'!$E$513:$E$522)*(BA$3&lt;='Gastos com Pessoal'!$F$513:$F$522)*OFFSET('Encargos e Benefícios'!$D$511,1,MATCH($B53,'Encargos e Benefícios'!$E$511:$AB$511,0),10,1)),0)+_xlfn.IFNA(SUM((BA$3&gt;='Gastos com Pessoal'!$E$7:$E$506)*(BA$3&lt;='Gastos com Pessoal'!$F$7:$F$506)*(IF('Gastos com Pessoal'!$G$7:$G$506&lt;=BA$3,1,0))*OFFSET('Gastos com Pessoal'!$H$6,1,MATCH(1&amp;$B53,'Gastos com Pessoal'!$I$532:$AJ$532&amp;'Gastos com Pessoal'!$I$6:$AJ$6,0),500,1)),0)+_xlfn.IFNA(SUM((BA$3&gt;='Gastos com Pessoal'!$E$7:$E$506)*(BA$3&lt;='Gastos com Pessoal'!$F$7:$F$506)*(IF('Gastos com Pessoal'!$M$7:$M$506&lt;=BA$3,1,0))*OFFSET('Gastos com Pessoal'!$H$6,1,MATCH(2&amp;$B53,'Gastos com Pessoal'!$I$532:$AJ$532&amp;'Gastos com Pessoal'!$I$6:$AJ$6,0),500,1)),0)+_xlfn.IFNA(SUM((BA$3&gt;='Gastos com Pessoal'!$E$7:$E$506)*(BA$3&lt;='Gastos com Pessoal'!$F$7:$F$506)*(IF('Gastos com Pessoal'!$S$7:$S$506&lt;=BA$3,1,0))*OFFSET('Gastos com Pessoal'!$H$6,1,MATCH(3&amp;$B53,'Gastos com Pessoal'!$I$532:$AJ$532&amp;'Gastos com Pessoal'!$I$6:$AJ$6,0),500,1)),0)+_xlfn.IFNA(SUM((BA$3&gt;='Gastos com Pessoal'!$E$7:$E$506)*(BA$3&lt;='Gastos com Pessoal'!$F$7:$F$506)*(IF('Gastos com Pessoal'!$Y$7:$Y$506&lt;=BA$3,1,0))*OFFSET('Gastos com Pessoal'!$H$6,1,MATCH(4&amp;$B53,'Gastos com Pessoal'!$I$532:$AJ$532&amp;'Gastos com Pessoal'!$I$6:$AJ$6,0),500,1)),0)+_xlfn.IFNA(SUM((BA$3&gt;='Gastos com Pessoal'!$E$7:$E$506)*(BA$3&lt;='Gastos com Pessoal'!$F$7:$F$506)*(IF('Gastos com Pessoal'!$AE$7:$AE$506&lt;=BA$3,1,0))*OFFSET('Gastos com Pessoal'!$H$6,1,MATCH(5&amp;$B53,'Gastos com Pessoal'!$I$532:$AJ$532&amp;'Gastos com Pessoal'!$I$6:$AJ$6,0),500,1)),0)+_xlfn.IFNA(SUM((BA$3&gt;='Gastos com Pessoal'!$E$513:$E$522)*(BA$3&lt;='Gastos com Pessoal'!$F$513:$F$522)*(IF('Gastos com Pessoal'!$G$513:$G$522&lt;=BA$3,1,0))*OFFSET('Gastos com Pessoal'!$H$512,1,MATCH(1&amp;$B53,'Gastos com Pessoal'!$I$532:$AJ$532&amp;'Gastos com Pessoal'!$I$512:$AJ$512,0),10,1)),0)+_xlfn.IFNA(SUM((BA$3&gt;='Gastos com Pessoal'!$E$513:$E$522)*(BA$3&lt;='Gastos com Pessoal'!$F$513:$F$522)*(IF('Gastos com Pessoal'!$M$513:$M$522&lt;=BA$3,1,0))*OFFSET('Gastos com Pessoal'!$H$512,1,MATCH(2&amp;$B53,'Gastos com Pessoal'!$I$532:$AJ$532&amp;'Gastos com Pessoal'!$I$512:$AJ$512,0),10,1)),0)+_xlfn.IFNA(SUM((BA$3&gt;='Gastos com Pessoal'!$E$513:$E$522)*(BA$3&lt;='Gastos com Pessoal'!$F$513:$F$522)*(IF('Gastos com Pessoal'!$S$513:$S$522&lt;=BA$3,1,0))*OFFSET('Gastos com Pessoal'!$H$512,1,MATCH(3&amp;$B53,'Gastos com Pessoal'!$I$532:$AJ$532&amp;'Gastos com Pessoal'!$I$512:$AJ$512,0),10,1)),0)+_xlfn.IFNA(SUM((BA$3&gt;='Gastos com Pessoal'!$E$513:$E$522)*(BA$3&lt;='Gastos com Pessoal'!$F$513:$F$522)*(IF('Gastos com Pessoal'!$Y$513:$Y$522&lt;=BA$3,1,0))*OFFSET('Gastos com Pessoal'!$H$512,1,MATCH(4&amp;$B53,'Gastos com Pessoal'!$I$532:$AJ$532&amp;'Gastos com Pessoal'!$I$512:$AJ$512,0),10,1)),0)+_xlfn.IFNA(SUM((BA$3&gt;='Gastos com Pessoal'!$E$513:$E$522)*(BA$3&lt;='Gastos com Pessoal'!$F$513:$F$522)*(IF('Gastos com Pessoal'!$AE$513:$AE$522&lt;=BA$3,1,0))*OFFSET('Gastos com Pessoal'!$H$512,1,MATCH(5&amp;$B53,'Gastos com Pessoal'!$I$532:$AJ$532&amp;'Gastos com Pessoal'!$I$512:$AJ$512,0),10,1)),0)</f>
        <v>0</v>
      </c>
      <c r="BB53" s="188">
        <f t="array" aca="1" ref="BB53" ca="1">_xlfn.IFNA(SUM((BB$3&gt;='Gastos com Pessoal'!$E$7:$E$506)*(BB$3&lt;='Gastos com Pessoal'!$F$7:$F$506)*OFFSET('Encargos e Benefícios'!$D$5,1,MATCH($B53,'Encargos e Benefícios'!$E$5:$AB$5,0),500,1)),0)+_xlfn.IFNA(SUM((BB$3&gt;='Gastos com Pessoal'!$E$513:$E$522)*(BB$3&lt;='Gastos com Pessoal'!$F$513:$F$522)*OFFSET('Encargos e Benefícios'!$D$511,1,MATCH($B53,'Encargos e Benefícios'!$E$511:$AB$511,0),10,1)),0)+_xlfn.IFNA(SUM((BB$3&gt;='Gastos com Pessoal'!$E$7:$E$506)*(BB$3&lt;='Gastos com Pessoal'!$F$7:$F$506)*(IF('Gastos com Pessoal'!$G$7:$G$506&lt;=BB$3,1,0))*OFFSET('Gastos com Pessoal'!$H$6,1,MATCH(1&amp;$B53,'Gastos com Pessoal'!$I$532:$AJ$532&amp;'Gastos com Pessoal'!$I$6:$AJ$6,0),500,1)),0)+_xlfn.IFNA(SUM((BB$3&gt;='Gastos com Pessoal'!$E$7:$E$506)*(BB$3&lt;='Gastos com Pessoal'!$F$7:$F$506)*(IF('Gastos com Pessoal'!$M$7:$M$506&lt;=BB$3,1,0))*OFFSET('Gastos com Pessoal'!$H$6,1,MATCH(2&amp;$B53,'Gastos com Pessoal'!$I$532:$AJ$532&amp;'Gastos com Pessoal'!$I$6:$AJ$6,0),500,1)),0)+_xlfn.IFNA(SUM((BB$3&gt;='Gastos com Pessoal'!$E$7:$E$506)*(BB$3&lt;='Gastos com Pessoal'!$F$7:$F$506)*(IF('Gastos com Pessoal'!$S$7:$S$506&lt;=BB$3,1,0))*OFFSET('Gastos com Pessoal'!$H$6,1,MATCH(3&amp;$B53,'Gastos com Pessoal'!$I$532:$AJ$532&amp;'Gastos com Pessoal'!$I$6:$AJ$6,0),500,1)),0)+_xlfn.IFNA(SUM((BB$3&gt;='Gastos com Pessoal'!$E$7:$E$506)*(BB$3&lt;='Gastos com Pessoal'!$F$7:$F$506)*(IF('Gastos com Pessoal'!$Y$7:$Y$506&lt;=BB$3,1,0))*OFFSET('Gastos com Pessoal'!$H$6,1,MATCH(4&amp;$B53,'Gastos com Pessoal'!$I$532:$AJ$532&amp;'Gastos com Pessoal'!$I$6:$AJ$6,0),500,1)),0)+_xlfn.IFNA(SUM((BB$3&gt;='Gastos com Pessoal'!$E$7:$E$506)*(BB$3&lt;='Gastos com Pessoal'!$F$7:$F$506)*(IF('Gastos com Pessoal'!$AE$7:$AE$506&lt;=BB$3,1,0))*OFFSET('Gastos com Pessoal'!$H$6,1,MATCH(5&amp;$B53,'Gastos com Pessoal'!$I$532:$AJ$532&amp;'Gastos com Pessoal'!$I$6:$AJ$6,0),500,1)),0)+_xlfn.IFNA(SUM((BB$3&gt;='Gastos com Pessoal'!$E$513:$E$522)*(BB$3&lt;='Gastos com Pessoal'!$F$513:$F$522)*(IF('Gastos com Pessoal'!$G$513:$G$522&lt;=BB$3,1,0))*OFFSET('Gastos com Pessoal'!$H$512,1,MATCH(1&amp;$B53,'Gastos com Pessoal'!$I$532:$AJ$532&amp;'Gastos com Pessoal'!$I$512:$AJ$512,0),10,1)),0)+_xlfn.IFNA(SUM((BB$3&gt;='Gastos com Pessoal'!$E$513:$E$522)*(BB$3&lt;='Gastos com Pessoal'!$F$513:$F$522)*(IF('Gastos com Pessoal'!$M$513:$M$522&lt;=BB$3,1,0))*OFFSET('Gastos com Pessoal'!$H$512,1,MATCH(2&amp;$B53,'Gastos com Pessoal'!$I$532:$AJ$532&amp;'Gastos com Pessoal'!$I$512:$AJ$512,0),10,1)),0)+_xlfn.IFNA(SUM((BB$3&gt;='Gastos com Pessoal'!$E$513:$E$522)*(BB$3&lt;='Gastos com Pessoal'!$F$513:$F$522)*(IF('Gastos com Pessoal'!$S$513:$S$522&lt;=BB$3,1,0))*OFFSET('Gastos com Pessoal'!$H$512,1,MATCH(3&amp;$B53,'Gastos com Pessoal'!$I$532:$AJ$532&amp;'Gastos com Pessoal'!$I$512:$AJ$512,0),10,1)),0)+_xlfn.IFNA(SUM((BB$3&gt;='Gastos com Pessoal'!$E$513:$E$522)*(BB$3&lt;='Gastos com Pessoal'!$F$513:$F$522)*(IF('Gastos com Pessoal'!$Y$513:$Y$522&lt;=BB$3,1,0))*OFFSET('Gastos com Pessoal'!$H$512,1,MATCH(4&amp;$B53,'Gastos com Pessoal'!$I$532:$AJ$532&amp;'Gastos com Pessoal'!$I$512:$AJ$512,0),10,1)),0)+_xlfn.IFNA(SUM((BB$3&gt;='Gastos com Pessoal'!$E$513:$E$522)*(BB$3&lt;='Gastos com Pessoal'!$F$513:$F$522)*(IF('Gastos com Pessoal'!$AE$513:$AE$522&lt;=BB$3,1,0))*OFFSET('Gastos com Pessoal'!$H$512,1,MATCH(5&amp;$B53,'Gastos com Pessoal'!$I$532:$AJ$532&amp;'Gastos com Pessoal'!$I$512:$AJ$512,0),10,1)),0)</f>
        <v>0</v>
      </c>
      <c r="BC53" s="188">
        <f t="array" aca="1" ref="BC53" ca="1">_xlfn.IFNA(SUM((BC$3&gt;='Gastos com Pessoal'!$E$7:$E$506)*(BC$3&lt;='Gastos com Pessoal'!$F$7:$F$506)*OFFSET('Encargos e Benefícios'!$D$5,1,MATCH($B53,'Encargos e Benefícios'!$E$5:$AB$5,0),500,1)),0)+_xlfn.IFNA(SUM((BC$3&gt;='Gastos com Pessoal'!$E$513:$E$522)*(BC$3&lt;='Gastos com Pessoal'!$F$513:$F$522)*OFFSET('Encargos e Benefícios'!$D$511,1,MATCH($B53,'Encargos e Benefícios'!$E$511:$AB$511,0),10,1)),0)+_xlfn.IFNA(SUM((BC$3&gt;='Gastos com Pessoal'!$E$7:$E$506)*(BC$3&lt;='Gastos com Pessoal'!$F$7:$F$506)*(IF('Gastos com Pessoal'!$G$7:$G$506&lt;=BC$3,1,0))*OFFSET('Gastos com Pessoal'!$H$6,1,MATCH(1&amp;$B53,'Gastos com Pessoal'!$I$532:$AJ$532&amp;'Gastos com Pessoal'!$I$6:$AJ$6,0),500,1)),0)+_xlfn.IFNA(SUM((BC$3&gt;='Gastos com Pessoal'!$E$7:$E$506)*(BC$3&lt;='Gastos com Pessoal'!$F$7:$F$506)*(IF('Gastos com Pessoal'!$M$7:$M$506&lt;=BC$3,1,0))*OFFSET('Gastos com Pessoal'!$H$6,1,MATCH(2&amp;$B53,'Gastos com Pessoal'!$I$532:$AJ$532&amp;'Gastos com Pessoal'!$I$6:$AJ$6,0),500,1)),0)+_xlfn.IFNA(SUM((BC$3&gt;='Gastos com Pessoal'!$E$7:$E$506)*(BC$3&lt;='Gastos com Pessoal'!$F$7:$F$506)*(IF('Gastos com Pessoal'!$S$7:$S$506&lt;=BC$3,1,0))*OFFSET('Gastos com Pessoal'!$H$6,1,MATCH(3&amp;$B53,'Gastos com Pessoal'!$I$532:$AJ$532&amp;'Gastos com Pessoal'!$I$6:$AJ$6,0),500,1)),0)+_xlfn.IFNA(SUM((BC$3&gt;='Gastos com Pessoal'!$E$7:$E$506)*(BC$3&lt;='Gastos com Pessoal'!$F$7:$F$506)*(IF('Gastos com Pessoal'!$Y$7:$Y$506&lt;=BC$3,1,0))*OFFSET('Gastos com Pessoal'!$H$6,1,MATCH(4&amp;$B53,'Gastos com Pessoal'!$I$532:$AJ$532&amp;'Gastos com Pessoal'!$I$6:$AJ$6,0),500,1)),0)+_xlfn.IFNA(SUM((BC$3&gt;='Gastos com Pessoal'!$E$7:$E$506)*(BC$3&lt;='Gastos com Pessoal'!$F$7:$F$506)*(IF('Gastos com Pessoal'!$AE$7:$AE$506&lt;=BC$3,1,0))*OFFSET('Gastos com Pessoal'!$H$6,1,MATCH(5&amp;$B53,'Gastos com Pessoal'!$I$532:$AJ$532&amp;'Gastos com Pessoal'!$I$6:$AJ$6,0),500,1)),0)+_xlfn.IFNA(SUM((BC$3&gt;='Gastos com Pessoal'!$E$513:$E$522)*(BC$3&lt;='Gastos com Pessoal'!$F$513:$F$522)*(IF('Gastos com Pessoal'!$G$513:$G$522&lt;=BC$3,1,0))*OFFSET('Gastos com Pessoal'!$H$512,1,MATCH(1&amp;$B53,'Gastos com Pessoal'!$I$532:$AJ$532&amp;'Gastos com Pessoal'!$I$512:$AJ$512,0),10,1)),0)+_xlfn.IFNA(SUM((BC$3&gt;='Gastos com Pessoal'!$E$513:$E$522)*(BC$3&lt;='Gastos com Pessoal'!$F$513:$F$522)*(IF('Gastos com Pessoal'!$M$513:$M$522&lt;=BC$3,1,0))*OFFSET('Gastos com Pessoal'!$H$512,1,MATCH(2&amp;$B53,'Gastos com Pessoal'!$I$532:$AJ$532&amp;'Gastos com Pessoal'!$I$512:$AJ$512,0),10,1)),0)+_xlfn.IFNA(SUM((BC$3&gt;='Gastos com Pessoal'!$E$513:$E$522)*(BC$3&lt;='Gastos com Pessoal'!$F$513:$F$522)*(IF('Gastos com Pessoal'!$S$513:$S$522&lt;=BC$3,1,0))*OFFSET('Gastos com Pessoal'!$H$512,1,MATCH(3&amp;$B53,'Gastos com Pessoal'!$I$532:$AJ$532&amp;'Gastos com Pessoal'!$I$512:$AJ$512,0),10,1)),0)+_xlfn.IFNA(SUM((BC$3&gt;='Gastos com Pessoal'!$E$513:$E$522)*(BC$3&lt;='Gastos com Pessoal'!$F$513:$F$522)*(IF('Gastos com Pessoal'!$Y$513:$Y$522&lt;=BC$3,1,0))*OFFSET('Gastos com Pessoal'!$H$512,1,MATCH(4&amp;$B53,'Gastos com Pessoal'!$I$532:$AJ$532&amp;'Gastos com Pessoal'!$I$512:$AJ$512,0),10,1)),0)+_xlfn.IFNA(SUM((BC$3&gt;='Gastos com Pessoal'!$E$513:$E$522)*(BC$3&lt;='Gastos com Pessoal'!$F$513:$F$522)*(IF('Gastos com Pessoal'!$AE$513:$AE$522&lt;=BC$3,1,0))*OFFSET('Gastos com Pessoal'!$H$512,1,MATCH(5&amp;$B53,'Gastos com Pessoal'!$I$532:$AJ$532&amp;'Gastos com Pessoal'!$I$512:$AJ$512,0),10,1)),0)</f>
        <v>0</v>
      </c>
      <c r="BD53" s="188">
        <f t="array" aca="1" ref="BD53" ca="1">_xlfn.IFNA(SUM((BD$3&gt;='Gastos com Pessoal'!$E$7:$E$506)*(BD$3&lt;='Gastos com Pessoal'!$F$7:$F$506)*OFFSET('Encargos e Benefícios'!$D$5,1,MATCH($B53,'Encargos e Benefícios'!$E$5:$AB$5,0),500,1)),0)+_xlfn.IFNA(SUM((BD$3&gt;='Gastos com Pessoal'!$E$513:$E$522)*(BD$3&lt;='Gastos com Pessoal'!$F$513:$F$522)*OFFSET('Encargos e Benefícios'!$D$511,1,MATCH($B53,'Encargos e Benefícios'!$E$511:$AB$511,0),10,1)),0)+_xlfn.IFNA(SUM((BD$3&gt;='Gastos com Pessoal'!$E$7:$E$506)*(BD$3&lt;='Gastos com Pessoal'!$F$7:$F$506)*(IF('Gastos com Pessoal'!$G$7:$G$506&lt;=BD$3,1,0))*OFFSET('Gastos com Pessoal'!$H$6,1,MATCH(1&amp;$B53,'Gastos com Pessoal'!$I$532:$AJ$532&amp;'Gastos com Pessoal'!$I$6:$AJ$6,0),500,1)),0)+_xlfn.IFNA(SUM((BD$3&gt;='Gastos com Pessoal'!$E$7:$E$506)*(BD$3&lt;='Gastos com Pessoal'!$F$7:$F$506)*(IF('Gastos com Pessoal'!$M$7:$M$506&lt;=BD$3,1,0))*OFFSET('Gastos com Pessoal'!$H$6,1,MATCH(2&amp;$B53,'Gastos com Pessoal'!$I$532:$AJ$532&amp;'Gastos com Pessoal'!$I$6:$AJ$6,0),500,1)),0)+_xlfn.IFNA(SUM((BD$3&gt;='Gastos com Pessoal'!$E$7:$E$506)*(BD$3&lt;='Gastos com Pessoal'!$F$7:$F$506)*(IF('Gastos com Pessoal'!$S$7:$S$506&lt;=BD$3,1,0))*OFFSET('Gastos com Pessoal'!$H$6,1,MATCH(3&amp;$B53,'Gastos com Pessoal'!$I$532:$AJ$532&amp;'Gastos com Pessoal'!$I$6:$AJ$6,0),500,1)),0)+_xlfn.IFNA(SUM((BD$3&gt;='Gastos com Pessoal'!$E$7:$E$506)*(BD$3&lt;='Gastos com Pessoal'!$F$7:$F$506)*(IF('Gastos com Pessoal'!$Y$7:$Y$506&lt;=BD$3,1,0))*OFFSET('Gastos com Pessoal'!$H$6,1,MATCH(4&amp;$B53,'Gastos com Pessoal'!$I$532:$AJ$532&amp;'Gastos com Pessoal'!$I$6:$AJ$6,0),500,1)),0)+_xlfn.IFNA(SUM((BD$3&gt;='Gastos com Pessoal'!$E$7:$E$506)*(BD$3&lt;='Gastos com Pessoal'!$F$7:$F$506)*(IF('Gastos com Pessoal'!$AE$7:$AE$506&lt;=BD$3,1,0))*OFFSET('Gastos com Pessoal'!$H$6,1,MATCH(5&amp;$B53,'Gastos com Pessoal'!$I$532:$AJ$532&amp;'Gastos com Pessoal'!$I$6:$AJ$6,0),500,1)),0)+_xlfn.IFNA(SUM((BD$3&gt;='Gastos com Pessoal'!$E$513:$E$522)*(BD$3&lt;='Gastos com Pessoal'!$F$513:$F$522)*(IF('Gastos com Pessoal'!$G$513:$G$522&lt;=BD$3,1,0))*OFFSET('Gastos com Pessoal'!$H$512,1,MATCH(1&amp;$B53,'Gastos com Pessoal'!$I$532:$AJ$532&amp;'Gastos com Pessoal'!$I$512:$AJ$512,0),10,1)),0)+_xlfn.IFNA(SUM((BD$3&gt;='Gastos com Pessoal'!$E$513:$E$522)*(BD$3&lt;='Gastos com Pessoal'!$F$513:$F$522)*(IF('Gastos com Pessoal'!$M$513:$M$522&lt;=BD$3,1,0))*OFFSET('Gastos com Pessoal'!$H$512,1,MATCH(2&amp;$B53,'Gastos com Pessoal'!$I$532:$AJ$532&amp;'Gastos com Pessoal'!$I$512:$AJ$512,0),10,1)),0)+_xlfn.IFNA(SUM((BD$3&gt;='Gastos com Pessoal'!$E$513:$E$522)*(BD$3&lt;='Gastos com Pessoal'!$F$513:$F$522)*(IF('Gastos com Pessoal'!$S$513:$S$522&lt;=BD$3,1,0))*OFFSET('Gastos com Pessoal'!$H$512,1,MATCH(3&amp;$B53,'Gastos com Pessoal'!$I$532:$AJ$532&amp;'Gastos com Pessoal'!$I$512:$AJ$512,0),10,1)),0)+_xlfn.IFNA(SUM((BD$3&gt;='Gastos com Pessoal'!$E$513:$E$522)*(BD$3&lt;='Gastos com Pessoal'!$F$513:$F$522)*(IF('Gastos com Pessoal'!$Y$513:$Y$522&lt;=BD$3,1,0))*OFFSET('Gastos com Pessoal'!$H$512,1,MATCH(4&amp;$B53,'Gastos com Pessoal'!$I$532:$AJ$532&amp;'Gastos com Pessoal'!$I$512:$AJ$512,0),10,1)),0)+_xlfn.IFNA(SUM((BD$3&gt;='Gastos com Pessoal'!$E$513:$E$522)*(BD$3&lt;='Gastos com Pessoal'!$F$513:$F$522)*(IF('Gastos com Pessoal'!$AE$513:$AE$522&lt;=BD$3,1,0))*OFFSET('Gastos com Pessoal'!$H$512,1,MATCH(5&amp;$B53,'Gastos com Pessoal'!$I$532:$AJ$532&amp;'Gastos com Pessoal'!$I$512:$AJ$512,0),10,1)),0)</f>
        <v>0</v>
      </c>
      <c r="BE53" s="188">
        <f t="array" aca="1" ref="BE53" ca="1">_xlfn.IFNA(SUM((BE$3&gt;='Gastos com Pessoal'!$E$7:$E$506)*(BE$3&lt;='Gastos com Pessoal'!$F$7:$F$506)*OFFSET('Encargos e Benefícios'!$D$5,1,MATCH($B53,'Encargos e Benefícios'!$E$5:$AB$5,0),500,1)),0)+_xlfn.IFNA(SUM((BE$3&gt;='Gastos com Pessoal'!$E$513:$E$522)*(BE$3&lt;='Gastos com Pessoal'!$F$513:$F$522)*OFFSET('Encargos e Benefícios'!$D$511,1,MATCH($B53,'Encargos e Benefícios'!$E$511:$AB$511,0),10,1)),0)+_xlfn.IFNA(SUM((BE$3&gt;='Gastos com Pessoal'!$E$7:$E$506)*(BE$3&lt;='Gastos com Pessoal'!$F$7:$F$506)*(IF('Gastos com Pessoal'!$G$7:$G$506&lt;=BE$3,1,0))*OFFSET('Gastos com Pessoal'!$H$6,1,MATCH(1&amp;$B53,'Gastos com Pessoal'!$I$532:$AJ$532&amp;'Gastos com Pessoal'!$I$6:$AJ$6,0),500,1)),0)+_xlfn.IFNA(SUM((BE$3&gt;='Gastos com Pessoal'!$E$7:$E$506)*(BE$3&lt;='Gastos com Pessoal'!$F$7:$F$506)*(IF('Gastos com Pessoal'!$M$7:$M$506&lt;=BE$3,1,0))*OFFSET('Gastos com Pessoal'!$H$6,1,MATCH(2&amp;$B53,'Gastos com Pessoal'!$I$532:$AJ$532&amp;'Gastos com Pessoal'!$I$6:$AJ$6,0),500,1)),0)+_xlfn.IFNA(SUM((BE$3&gt;='Gastos com Pessoal'!$E$7:$E$506)*(BE$3&lt;='Gastos com Pessoal'!$F$7:$F$506)*(IF('Gastos com Pessoal'!$S$7:$S$506&lt;=BE$3,1,0))*OFFSET('Gastos com Pessoal'!$H$6,1,MATCH(3&amp;$B53,'Gastos com Pessoal'!$I$532:$AJ$532&amp;'Gastos com Pessoal'!$I$6:$AJ$6,0),500,1)),0)+_xlfn.IFNA(SUM((BE$3&gt;='Gastos com Pessoal'!$E$7:$E$506)*(BE$3&lt;='Gastos com Pessoal'!$F$7:$F$506)*(IF('Gastos com Pessoal'!$Y$7:$Y$506&lt;=BE$3,1,0))*OFFSET('Gastos com Pessoal'!$H$6,1,MATCH(4&amp;$B53,'Gastos com Pessoal'!$I$532:$AJ$532&amp;'Gastos com Pessoal'!$I$6:$AJ$6,0),500,1)),0)+_xlfn.IFNA(SUM((BE$3&gt;='Gastos com Pessoal'!$E$7:$E$506)*(BE$3&lt;='Gastos com Pessoal'!$F$7:$F$506)*(IF('Gastos com Pessoal'!$AE$7:$AE$506&lt;=BE$3,1,0))*OFFSET('Gastos com Pessoal'!$H$6,1,MATCH(5&amp;$B53,'Gastos com Pessoal'!$I$532:$AJ$532&amp;'Gastos com Pessoal'!$I$6:$AJ$6,0),500,1)),0)+_xlfn.IFNA(SUM((BE$3&gt;='Gastos com Pessoal'!$E$513:$E$522)*(BE$3&lt;='Gastos com Pessoal'!$F$513:$F$522)*(IF('Gastos com Pessoal'!$G$513:$G$522&lt;=BE$3,1,0))*OFFSET('Gastos com Pessoal'!$H$512,1,MATCH(1&amp;$B53,'Gastos com Pessoal'!$I$532:$AJ$532&amp;'Gastos com Pessoal'!$I$512:$AJ$512,0),10,1)),0)+_xlfn.IFNA(SUM((BE$3&gt;='Gastos com Pessoal'!$E$513:$E$522)*(BE$3&lt;='Gastos com Pessoal'!$F$513:$F$522)*(IF('Gastos com Pessoal'!$M$513:$M$522&lt;=BE$3,1,0))*OFFSET('Gastos com Pessoal'!$H$512,1,MATCH(2&amp;$B53,'Gastos com Pessoal'!$I$532:$AJ$532&amp;'Gastos com Pessoal'!$I$512:$AJ$512,0),10,1)),0)+_xlfn.IFNA(SUM((BE$3&gt;='Gastos com Pessoal'!$E$513:$E$522)*(BE$3&lt;='Gastos com Pessoal'!$F$513:$F$522)*(IF('Gastos com Pessoal'!$S$513:$S$522&lt;=BE$3,1,0))*OFFSET('Gastos com Pessoal'!$H$512,1,MATCH(3&amp;$B53,'Gastos com Pessoal'!$I$532:$AJ$532&amp;'Gastos com Pessoal'!$I$512:$AJ$512,0),10,1)),0)+_xlfn.IFNA(SUM((BE$3&gt;='Gastos com Pessoal'!$E$513:$E$522)*(BE$3&lt;='Gastos com Pessoal'!$F$513:$F$522)*(IF('Gastos com Pessoal'!$Y$513:$Y$522&lt;=BE$3,1,0))*OFFSET('Gastos com Pessoal'!$H$512,1,MATCH(4&amp;$B53,'Gastos com Pessoal'!$I$532:$AJ$532&amp;'Gastos com Pessoal'!$I$512:$AJ$512,0),10,1)),0)+_xlfn.IFNA(SUM((BE$3&gt;='Gastos com Pessoal'!$E$513:$E$522)*(BE$3&lt;='Gastos com Pessoal'!$F$513:$F$522)*(IF('Gastos com Pessoal'!$AE$513:$AE$522&lt;=BE$3,1,0))*OFFSET('Gastos com Pessoal'!$H$512,1,MATCH(5&amp;$B53,'Gastos com Pessoal'!$I$532:$AJ$532&amp;'Gastos com Pessoal'!$I$512:$AJ$512,0),10,1)),0)</f>
        <v>0</v>
      </c>
      <c r="BF53" s="188">
        <f t="array" aca="1" ref="BF53" ca="1">_xlfn.IFNA(SUM((BF$3&gt;='Gastos com Pessoal'!$E$7:$E$506)*(BF$3&lt;='Gastos com Pessoal'!$F$7:$F$506)*OFFSET('Encargos e Benefícios'!$D$5,1,MATCH($B53,'Encargos e Benefícios'!$E$5:$AB$5,0),500,1)),0)+_xlfn.IFNA(SUM((BF$3&gt;='Gastos com Pessoal'!$E$513:$E$522)*(BF$3&lt;='Gastos com Pessoal'!$F$513:$F$522)*OFFSET('Encargos e Benefícios'!$D$511,1,MATCH($B53,'Encargos e Benefícios'!$E$511:$AB$511,0),10,1)),0)+_xlfn.IFNA(SUM((BF$3&gt;='Gastos com Pessoal'!$E$7:$E$506)*(BF$3&lt;='Gastos com Pessoal'!$F$7:$F$506)*(IF('Gastos com Pessoal'!$G$7:$G$506&lt;=BF$3,1,0))*OFFSET('Gastos com Pessoal'!$H$6,1,MATCH(1&amp;$B53,'Gastos com Pessoal'!$I$532:$AJ$532&amp;'Gastos com Pessoal'!$I$6:$AJ$6,0),500,1)),0)+_xlfn.IFNA(SUM((BF$3&gt;='Gastos com Pessoal'!$E$7:$E$506)*(BF$3&lt;='Gastos com Pessoal'!$F$7:$F$506)*(IF('Gastos com Pessoal'!$M$7:$M$506&lt;=BF$3,1,0))*OFFSET('Gastos com Pessoal'!$H$6,1,MATCH(2&amp;$B53,'Gastos com Pessoal'!$I$532:$AJ$532&amp;'Gastos com Pessoal'!$I$6:$AJ$6,0),500,1)),0)+_xlfn.IFNA(SUM((BF$3&gt;='Gastos com Pessoal'!$E$7:$E$506)*(BF$3&lt;='Gastos com Pessoal'!$F$7:$F$506)*(IF('Gastos com Pessoal'!$S$7:$S$506&lt;=BF$3,1,0))*OFFSET('Gastos com Pessoal'!$H$6,1,MATCH(3&amp;$B53,'Gastos com Pessoal'!$I$532:$AJ$532&amp;'Gastos com Pessoal'!$I$6:$AJ$6,0),500,1)),0)+_xlfn.IFNA(SUM((BF$3&gt;='Gastos com Pessoal'!$E$7:$E$506)*(BF$3&lt;='Gastos com Pessoal'!$F$7:$F$506)*(IF('Gastos com Pessoal'!$Y$7:$Y$506&lt;=BF$3,1,0))*OFFSET('Gastos com Pessoal'!$H$6,1,MATCH(4&amp;$B53,'Gastos com Pessoal'!$I$532:$AJ$532&amp;'Gastos com Pessoal'!$I$6:$AJ$6,0),500,1)),0)+_xlfn.IFNA(SUM((BF$3&gt;='Gastos com Pessoal'!$E$7:$E$506)*(BF$3&lt;='Gastos com Pessoal'!$F$7:$F$506)*(IF('Gastos com Pessoal'!$AE$7:$AE$506&lt;=BF$3,1,0))*OFFSET('Gastos com Pessoal'!$H$6,1,MATCH(5&amp;$B53,'Gastos com Pessoal'!$I$532:$AJ$532&amp;'Gastos com Pessoal'!$I$6:$AJ$6,0),500,1)),0)+_xlfn.IFNA(SUM((BF$3&gt;='Gastos com Pessoal'!$E$513:$E$522)*(BF$3&lt;='Gastos com Pessoal'!$F$513:$F$522)*(IF('Gastos com Pessoal'!$G$513:$G$522&lt;=BF$3,1,0))*OFFSET('Gastos com Pessoal'!$H$512,1,MATCH(1&amp;$B53,'Gastos com Pessoal'!$I$532:$AJ$532&amp;'Gastos com Pessoal'!$I$512:$AJ$512,0),10,1)),0)+_xlfn.IFNA(SUM((BF$3&gt;='Gastos com Pessoal'!$E$513:$E$522)*(BF$3&lt;='Gastos com Pessoal'!$F$513:$F$522)*(IF('Gastos com Pessoal'!$M$513:$M$522&lt;=BF$3,1,0))*OFFSET('Gastos com Pessoal'!$H$512,1,MATCH(2&amp;$B53,'Gastos com Pessoal'!$I$532:$AJ$532&amp;'Gastos com Pessoal'!$I$512:$AJ$512,0),10,1)),0)+_xlfn.IFNA(SUM((BF$3&gt;='Gastos com Pessoal'!$E$513:$E$522)*(BF$3&lt;='Gastos com Pessoal'!$F$513:$F$522)*(IF('Gastos com Pessoal'!$S$513:$S$522&lt;=BF$3,1,0))*OFFSET('Gastos com Pessoal'!$H$512,1,MATCH(3&amp;$B53,'Gastos com Pessoal'!$I$532:$AJ$532&amp;'Gastos com Pessoal'!$I$512:$AJ$512,0),10,1)),0)+_xlfn.IFNA(SUM((BF$3&gt;='Gastos com Pessoal'!$E$513:$E$522)*(BF$3&lt;='Gastos com Pessoal'!$F$513:$F$522)*(IF('Gastos com Pessoal'!$Y$513:$Y$522&lt;=BF$3,1,0))*OFFSET('Gastos com Pessoal'!$H$512,1,MATCH(4&amp;$B53,'Gastos com Pessoal'!$I$532:$AJ$532&amp;'Gastos com Pessoal'!$I$512:$AJ$512,0),10,1)),0)+_xlfn.IFNA(SUM((BF$3&gt;='Gastos com Pessoal'!$E$513:$E$522)*(BF$3&lt;='Gastos com Pessoal'!$F$513:$F$522)*(IF('Gastos com Pessoal'!$AE$513:$AE$522&lt;=BF$3,1,0))*OFFSET('Gastos com Pessoal'!$H$512,1,MATCH(5&amp;$B53,'Gastos com Pessoal'!$I$532:$AJ$532&amp;'Gastos com Pessoal'!$I$512:$AJ$512,0),10,1)),0)</f>
        <v>0</v>
      </c>
      <c r="BG53" s="188">
        <f t="array" aca="1" ref="BG53" ca="1">_xlfn.IFNA(SUM((BG$3&gt;='Gastos com Pessoal'!$E$7:$E$506)*(BG$3&lt;='Gastos com Pessoal'!$F$7:$F$506)*OFFSET('Encargos e Benefícios'!$D$5,1,MATCH($B53,'Encargos e Benefícios'!$E$5:$AB$5,0),500,1)),0)+_xlfn.IFNA(SUM((BG$3&gt;='Gastos com Pessoal'!$E$513:$E$522)*(BG$3&lt;='Gastos com Pessoal'!$F$513:$F$522)*OFFSET('Encargos e Benefícios'!$D$511,1,MATCH($B53,'Encargos e Benefícios'!$E$511:$AB$511,0),10,1)),0)+_xlfn.IFNA(SUM((BG$3&gt;='Gastos com Pessoal'!$E$7:$E$506)*(BG$3&lt;='Gastos com Pessoal'!$F$7:$F$506)*(IF('Gastos com Pessoal'!$G$7:$G$506&lt;=BG$3,1,0))*OFFSET('Gastos com Pessoal'!$H$6,1,MATCH(1&amp;$B53,'Gastos com Pessoal'!$I$532:$AJ$532&amp;'Gastos com Pessoal'!$I$6:$AJ$6,0),500,1)),0)+_xlfn.IFNA(SUM((BG$3&gt;='Gastos com Pessoal'!$E$7:$E$506)*(BG$3&lt;='Gastos com Pessoal'!$F$7:$F$506)*(IF('Gastos com Pessoal'!$M$7:$M$506&lt;=BG$3,1,0))*OFFSET('Gastos com Pessoal'!$H$6,1,MATCH(2&amp;$B53,'Gastos com Pessoal'!$I$532:$AJ$532&amp;'Gastos com Pessoal'!$I$6:$AJ$6,0),500,1)),0)+_xlfn.IFNA(SUM((BG$3&gt;='Gastos com Pessoal'!$E$7:$E$506)*(BG$3&lt;='Gastos com Pessoal'!$F$7:$F$506)*(IF('Gastos com Pessoal'!$S$7:$S$506&lt;=BG$3,1,0))*OFFSET('Gastos com Pessoal'!$H$6,1,MATCH(3&amp;$B53,'Gastos com Pessoal'!$I$532:$AJ$532&amp;'Gastos com Pessoal'!$I$6:$AJ$6,0),500,1)),0)+_xlfn.IFNA(SUM((BG$3&gt;='Gastos com Pessoal'!$E$7:$E$506)*(BG$3&lt;='Gastos com Pessoal'!$F$7:$F$506)*(IF('Gastos com Pessoal'!$Y$7:$Y$506&lt;=BG$3,1,0))*OFFSET('Gastos com Pessoal'!$H$6,1,MATCH(4&amp;$B53,'Gastos com Pessoal'!$I$532:$AJ$532&amp;'Gastos com Pessoal'!$I$6:$AJ$6,0),500,1)),0)+_xlfn.IFNA(SUM((BG$3&gt;='Gastos com Pessoal'!$E$7:$E$506)*(BG$3&lt;='Gastos com Pessoal'!$F$7:$F$506)*(IF('Gastos com Pessoal'!$AE$7:$AE$506&lt;=BG$3,1,0))*OFFSET('Gastos com Pessoal'!$H$6,1,MATCH(5&amp;$B53,'Gastos com Pessoal'!$I$532:$AJ$532&amp;'Gastos com Pessoal'!$I$6:$AJ$6,0),500,1)),0)+_xlfn.IFNA(SUM((BG$3&gt;='Gastos com Pessoal'!$E$513:$E$522)*(BG$3&lt;='Gastos com Pessoal'!$F$513:$F$522)*(IF('Gastos com Pessoal'!$G$513:$G$522&lt;=BG$3,1,0))*OFFSET('Gastos com Pessoal'!$H$512,1,MATCH(1&amp;$B53,'Gastos com Pessoal'!$I$532:$AJ$532&amp;'Gastos com Pessoal'!$I$512:$AJ$512,0),10,1)),0)+_xlfn.IFNA(SUM((BG$3&gt;='Gastos com Pessoal'!$E$513:$E$522)*(BG$3&lt;='Gastos com Pessoal'!$F$513:$F$522)*(IF('Gastos com Pessoal'!$M$513:$M$522&lt;=BG$3,1,0))*OFFSET('Gastos com Pessoal'!$H$512,1,MATCH(2&amp;$B53,'Gastos com Pessoal'!$I$532:$AJ$532&amp;'Gastos com Pessoal'!$I$512:$AJ$512,0),10,1)),0)+_xlfn.IFNA(SUM((BG$3&gt;='Gastos com Pessoal'!$E$513:$E$522)*(BG$3&lt;='Gastos com Pessoal'!$F$513:$F$522)*(IF('Gastos com Pessoal'!$S$513:$S$522&lt;=BG$3,1,0))*OFFSET('Gastos com Pessoal'!$H$512,1,MATCH(3&amp;$B53,'Gastos com Pessoal'!$I$532:$AJ$532&amp;'Gastos com Pessoal'!$I$512:$AJ$512,0),10,1)),0)+_xlfn.IFNA(SUM((BG$3&gt;='Gastos com Pessoal'!$E$513:$E$522)*(BG$3&lt;='Gastos com Pessoal'!$F$513:$F$522)*(IF('Gastos com Pessoal'!$Y$513:$Y$522&lt;=BG$3,1,0))*OFFSET('Gastos com Pessoal'!$H$512,1,MATCH(4&amp;$B53,'Gastos com Pessoal'!$I$532:$AJ$532&amp;'Gastos com Pessoal'!$I$512:$AJ$512,0),10,1)),0)+_xlfn.IFNA(SUM((BG$3&gt;='Gastos com Pessoal'!$E$513:$E$522)*(BG$3&lt;='Gastos com Pessoal'!$F$513:$F$522)*(IF('Gastos com Pessoal'!$AE$513:$AE$522&lt;=BG$3,1,0))*OFFSET('Gastos com Pessoal'!$H$512,1,MATCH(5&amp;$B53,'Gastos com Pessoal'!$I$532:$AJ$532&amp;'Gastos com Pessoal'!$I$512:$AJ$512,0),10,1)),0)</f>
        <v>0</v>
      </c>
      <c r="BH53" s="188">
        <f t="array" aca="1" ref="BH53" ca="1">_xlfn.IFNA(SUM((BH$3&gt;='Gastos com Pessoal'!$E$7:$E$506)*(BH$3&lt;='Gastos com Pessoal'!$F$7:$F$506)*OFFSET('Encargos e Benefícios'!$D$5,1,MATCH($B53,'Encargos e Benefícios'!$E$5:$AB$5,0),500,1)),0)+_xlfn.IFNA(SUM((BH$3&gt;='Gastos com Pessoal'!$E$513:$E$522)*(BH$3&lt;='Gastos com Pessoal'!$F$513:$F$522)*OFFSET('Encargos e Benefícios'!$D$511,1,MATCH($B53,'Encargos e Benefícios'!$E$511:$AB$511,0),10,1)),0)+_xlfn.IFNA(SUM((BH$3&gt;='Gastos com Pessoal'!$E$7:$E$506)*(BH$3&lt;='Gastos com Pessoal'!$F$7:$F$506)*(IF('Gastos com Pessoal'!$G$7:$G$506&lt;=BH$3,1,0))*OFFSET('Gastos com Pessoal'!$H$6,1,MATCH(1&amp;$B53,'Gastos com Pessoal'!$I$532:$AJ$532&amp;'Gastos com Pessoal'!$I$6:$AJ$6,0),500,1)),0)+_xlfn.IFNA(SUM((BH$3&gt;='Gastos com Pessoal'!$E$7:$E$506)*(BH$3&lt;='Gastos com Pessoal'!$F$7:$F$506)*(IF('Gastos com Pessoal'!$M$7:$M$506&lt;=BH$3,1,0))*OFFSET('Gastos com Pessoal'!$H$6,1,MATCH(2&amp;$B53,'Gastos com Pessoal'!$I$532:$AJ$532&amp;'Gastos com Pessoal'!$I$6:$AJ$6,0),500,1)),0)+_xlfn.IFNA(SUM((BH$3&gt;='Gastos com Pessoal'!$E$7:$E$506)*(BH$3&lt;='Gastos com Pessoal'!$F$7:$F$506)*(IF('Gastos com Pessoal'!$S$7:$S$506&lt;=BH$3,1,0))*OFFSET('Gastos com Pessoal'!$H$6,1,MATCH(3&amp;$B53,'Gastos com Pessoal'!$I$532:$AJ$532&amp;'Gastos com Pessoal'!$I$6:$AJ$6,0),500,1)),0)+_xlfn.IFNA(SUM((BH$3&gt;='Gastos com Pessoal'!$E$7:$E$506)*(BH$3&lt;='Gastos com Pessoal'!$F$7:$F$506)*(IF('Gastos com Pessoal'!$Y$7:$Y$506&lt;=BH$3,1,0))*OFFSET('Gastos com Pessoal'!$H$6,1,MATCH(4&amp;$B53,'Gastos com Pessoal'!$I$532:$AJ$532&amp;'Gastos com Pessoal'!$I$6:$AJ$6,0),500,1)),0)+_xlfn.IFNA(SUM((BH$3&gt;='Gastos com Pessoal'!$E$7:$E$506)*(BH$3&lt;='Gastos com Pessoal'!$F$7:$F$506)*(IF('Gastos com Pessoal'!$AE$7:$AE$506&lt;=BH$3,1,0))*OFFSET('Gastos com Pessoal'!$H$6,1,MATCH(5&amp;$B53,'Gastos com Pessoal'!$I$532:$AJ$532&amp;'Gastos com Pessoal'!$I$6:$AJ$6,0),500,1)),0)+_xlfn.IFNA(SUM((BH$3&gt;='Gastos com Pessoal'!$E$513:$E$522)*(BH$3&lt;='Gastos com Pessoal'!$F$513:$F$522)*(IF('Gastos com Pessoal'!$G$513:$G$522&lt;=BH$3,1,0))*OFFSET('Gastos com Pessoal'!$H$512,1,MATCH(1&amp;$B53,'Gastos com Pessoal'!$I$532:$AJ$532&amp;'Gastos com Pessoal'!$I$512:$AJ$512,0),10,1)),0)+_xlfn.IFNA(SUM((BH$3&gt;='Gastos com Pessoal'!$E$513:$E$522)*(BH$3&lt;='Gastos com Pessoal'!$F$513:$F$522)*(IF('Gastos com Pessoal'!$M$513:$M$522&lt;=BH$3,1,0))*OFFSET('Gastos com Pessoal'!$H$512,1,MATCH(2&amp;$B53,'Gastos com Pessoal'!$I$532:$AJ$532&amp;'Gastos com Pessoal'!$I$512:$AJ$512,0),10,1)),0)+_xlfn.IFNA(SUM((BH$3&gt;='Gastos com Pessoal'!$E$513:$E$522)*(BH$3&lt;='Gastos com Pessoal'!$F$513:$F$522)*(IF('Gastos com Pessoal'!$S$513:$S$522&lt;=BH$3,1,0))*OFFSET('Gastos com Pessoal'!$H$512,1,MATCH(3&amp;$B53,'Gastos com Pessoal'!$I$532:$AJ$532&amp;'Gastos com Pessoal'!$I$512:$AJ$512,0),10,1)),0)+_xlfn.IFNA(SUM((BH$3&gt;='Gastos com Pessoal'!$E$513:$E$522)*(BH$3&lt;='Gastos com Pessoal'!$F$513:$F$522)*(IF('Gastos com Pessoal'!$Y$513:$Y$522&lt;=BH$3,1,0))*OFFSET('Gastos com Pessoal'!$H$512,1,MATCH(4&amp;$B53,'Gastos com Pessoal'!$I$532:$AJ$532&amp;'Gastos com Pessoal'!$I$512:$AJ$512,0),10,1)),0)+_xlfn.IFNA(SUM((BH$3&gt;='Gastos com Pessoal'!$E$513:$E$522)*(BH$3&lt;='Gastos com Pessoal'!$F$513:$F$522)*(IF('Gastos com Pessoal'!$AE$513:$AE$522&lt;=BH$3,1,0))*OFFSET('Gastos com Pessoal'!$H$512,1,MATCH(5&amp;$B53,'Gastos com Pessoal'!$I$532:$AJ$532&amp;'Gastos com Pessoal'!$I$512:$AJ$512,0),10,1)),0)</f>
        <v>0</v>
      </c>
      <c r="BI53" s="188">
        <f t="array" aca="1" ref="BI53" ca="1">_xlfn.IFNA(SUM((BI$3&gt;='Gastos com Pessoal'!$E$7:$E$506)*(BI$3&lt;='Gastos com Pessoal'!$F$7:$F$506)*OFFSET('Encargos e Benefícios'!$D$5,1,MATCH($B53,'Encargos e Benefícios'!$E$5:$AB$5,0),500,1)),0)+_xlfn.IFNA(SUM((BI$3&gt;='Gastos com Pessoal'!$E$513:$E$522)*(BI$3&lt;='Gastos com Pessoal'!$F$513:$F$522)*OFFSET('Encargos e Benefícios'!$D$511,1,MATCH($B53,'Encargos e Benefícios'!$E$511:$AB$511,0),10,1)),0)+_xlfn.IFNA(SUM((BI$3&gt;='Gastos com Pessoal'!$E$7:$E$506)*(BI$3&lt;='Gastos com Pessoal'!$F$7:$F$506)*(IF('Gastos com Pessoal'!$G$7:$G$506&lt;=BI$3,1,0))*OFFSET('Gastos com Pessoal'!$H$6,1,MATCH(1&amp;$B53,'Gastos com Pessoal'!$I$532:$AJ$532&amp;'Gastos com Pessoal'!$I$6:$AJ$6,0),500,1)),0)+_xlfn.IFNA(SUM((BI$3&gt;='Gastos com Pessoal'!$E$7:$E$506)*(BI$3&lt;='Gastos com Pessoal'!$F$7:$F$506)*(IF('Gastos com Pessoal'!$M$7:$M$506&lt;=BI$3,1,0))*OFFSET('Gastos com Pessoal'!$H$6,1,MATCH(2&amp;$B53,'Gastos com Pessoal'!$I$532:$AJ$532&amp;'Gastos com Pessoal'!$I$6:$AJ$6,0),500,1)),0)+_xlfn.IFNA(SUM((BI$3&gt;='Gastos com Pessoal'!$E$7:$E$506)*(BI$3&lt;='Gastos com Pessoal'!$F$7:$F$506)*(IF('Gastos com Pessoal'!$S$7:$S$506&lt;=BI$3,1,0))*OFFSET('Gastos com Pessoal'!$H$6,1,MATCH(3&amp;$B53,'Gastos com Pessoal'!$I$532:$AJ$532&amp;'Gastos com Pessoal'!$I$6:$AJ$6,0),500,1)),0)+_xlfn.IFNA(SUM((BI$3&gt;='Gastos com Pessoal'!$E$7:$E$506)*(BI$3&lt;='Gastos com Pessoal'!$F$7:$F$506)*(IF('Gastos com Pessoal'!$Y$7:$Y$506&lt;=BI$3,1,0))*OFFSET('Gastos com Pessoal'!$H$6,1,MATCH(4&amp;$B53,'Gastos com Pessoal'!$I$532:$AJ$532&amp;'Gastos com Pessoal'!$I$6:$AJ$6,0),500,1)),0)+_xlfn.IFNA(SUM((BI$3&gt;='Gastos com Pessoal'!$E$7:$E$506)*(BI$3&lt;='Gastos com Pessoal'!$F$7:$F$506)*(IF('Gastos com Pessoal'!$AE$7:$AE$506&lt;=BI$3,1,0))*OFFSET('Gastos com Pessoal'!$H$6,1,MATCH(5&amp;$B53,'Gastos com Pessoal'!$I$532:$AJ$532&amp;'Gastos com Pessoal'!$I$6:$AJ$6,0),500,1)),0)+_xlfn.IFNA(SUM((BI$3&gt;='Gastos com Pessoal'!$E$513:$E$522)*(BI$3&lt;='Gastos com Pessoal'!$F$513:$F$522)*(IF('Gastos com Pessoal'!$G$513:$G$522&lt;=BI$3,1,0))*OFFSET('Gastos com Pessoal'!$H$512,1,MATCH(1&amp;$B53,'Gastos com Pessoal'!$I$532:$AJ$532&amp;'Gastos com Pessoal'!$I$512:$AJ$512,0),10,1)),0)+_xlfn.IFNA(SUM((BI$3&gt;='Gastos com Pessoal'!$E$513:$E$522)*(BI$3&lt;='Gastos com Pessoal'!$F$513:$F$522)*(IF('Gastos com Pessoal'!$M$513:$M$522&lt;=BI$3,1,0))*OFFSET('Gastos com Pessoal'!$H$512,1,MATCH(2&amp;$B53,'Gastos com Pessoal'!$I$532:$AJ$532&amp;'Gastos com Pessoal'!$I$512:$AJ$512,0),10,1)),0)+_xlfn.IFNA(SUM((BI$3&gt;='Gastos com Pessoal'!$E$513:$E$522)*(BI$3&lt;='Gastos com Pessoal'!$F$513:$F$522)*(IF('Gastos com Pessoal'!$S$513:$S$522&lt;=BI$3,1,0))*OFFSET('Gastos com Pessoal'!$H$512,1,MATCH(3&amp;$B53,'Gastos com Pessoal'!$I$532:$AJ$532&amp;'Gastos com Pessoal'!$I$512:$AJ$512,0),10,1)),0)+_xlfn.IFNA(SUM((BI$3&gt;='Gastos com Pessoal'!$E$513:$E$522)*(BI$3&lt;='Gastos com Pessoal'!$F$513:$F$522)*(IF('Gastos com Pessoal'!$Y$513:$Y$522&lt;=BI$3,1,0))*OFFSET('Gastos com Pessoal'!$H$512,1,MATCH(4&amp;$B53,'Gastos com Pessoal'!$I$532:$AJ$532&amp;'Gastos com Pessoal'!$I$512:$AJ$512,0),10,1)),0)+_xlfn.IFNA(SUM((BI$3&gt;='Gastos com Pessoal'!$E$513:$E$522)*(BI$3&lt;='Gastos com Pessoal'!$F$513:$F$522)*(IF('Gastos com Pessoal'!$AE$513:$AE$522&lt;=BI$3,1,0))*OFFSET('Gastos com Pessoal'!$H$512,1,MATCH(5&amp;$B53,'Gastos com Pessoal'!$I$532:$AJ$532&amp;'Gastos com Pessoal'!$I$512:$AJ$512,0),10,1)),0)</f>
        <v>0</v>
      </c>
      <c r="BJ53" s="188">
        <f t="array" aca="1" ref="BJ53" ca="1">_xlfn.IFNA(SUM((BJ$3&gt;='Gastos com Pessoal'!$E$7:$E$506)*(BJ$3&lt;='Gastos com Pessoal'!$F$7:$F$506)*OFFSET('Encargos e Benefícios'!$D$5,1,MATCH($B53,'Encargos e Benefícios'!$E$5:$AB$5,0),500,1)),0)+_xlfn.IFNA(SUM((BJ$3&gt;='Gastos com Pessoal'!$E$513:$E$522)*(BJ$3&lt;='Gastos com Pessoal'!$F$513:$F$522)*OFFSET('Encargos e Benefícios'!$D$511,1,MATCH($B53,'Encargos e Benefícios'!$E$511:$AB$511,0),10,1)),0)+_xlfn.IFNA(SUM((BJ$3&gt;='Gastos com Pessoal'!$E$7:$E$506)*(BJ$3&lt;='Gastos com Pessoal'!$F$7:$F$506)*(IF('Gastos com Pessoal'!$G$7:$G$506&lt;=BJ$3,1,0))*OFFSET('Gastos com Pessoal'!$H$6,1,MATCH(1&amp;$B53,'Gastos com Pessoal'!$I$532:$AJ$532&amp;'Gastos com Pessoal'!$I$6:$AJ$6,0),500,1)),0)+_xlfn.IFNA(SUM((BJ$3&gt;='Gastos com Pessoal'!$E$7:$E$506)*(BJ$3&lt;='Gastos com Pessoal'!$F$7:$F$506)*(IF('Gastos com Pessoal'!$M$7:$M$506&lt;=BJ$3,1,0))*OFFSET('Gastos com Pessoal'!$H$6,1,MATCH(2&amp;$B53,'Gastos com Pessoal'!$I$532:$AJ$532&amp;'Gastos com Pessoal'!$I$6:$AJ$6,0),500,1)),0)+_xlfn.IFNA(SUM((BJ$3&gt;='Gastos com Pessoal'!$E$7:$E$506)*(BJ$3&lt;='Gastos com Pessoal'!$F$7:$F$506)*(IF('Gastos com Pessoal'!$S$7:$S$506&lt;=BJ$3,1,0))*OFFSET('Gastos com Pessoal'!$H$6,1,MATCH(3&amp;$B53,'Gastos com Pessoal'!$I$532:$AJ$532&amp;'Gastos com Pessoal'!$I$6:$AJ$6,0),500,1)),0)+_xlfn.IFNA(SUM((BJ$3&gt;='Gastos com Pessoal'!$E$7:$E$506)*(BJ$3&lt;='Gastos com Pessoal'!$F$7:$F$506)*(IF('Gastos com Pessoal'!$Y$7:$Y$506&lt;=BJ$3,1,0))*OFFSET('Gastos com Pessoal'!$H$6,1,MATCH(4&amp;$B53,'Gastos com Pessoal'!$I$532:$AJ$532&amp;'Gastos com Pessoal'!$I$6:$AJ$6,0),500,1)),0)+_xlfn.IFNA(SUM((BJ$3&gt;='Gastos com Pessoal'!$E$7:$E$506)*(BJ$3&lt;='Gastos com Pessoal'!$F$7:$F$506)*(IF('Gastos com Pessoal'!$AE$7:$AE$506&lt;=BJ$3,1,0))*OFFSET('Gastos com Pessoal'!$H$6,1,MATCH(5&amp;$B53,'Gastos com Pessoal'!$I$532:$AJ$532&amp;'Gastos com Pessoal'!$I$6:$AJ$6,0),500,1)),0)+_xlfn.IFNA(SUM((BJ$3&gt;='Gastos com Pessoal'!$E$513:$E$522)*(BJ$3&lt;='Gastos com Pessoal'!$F$513:$F$522)*(IF('Gastos com Pessoal'!$G$513:$G$522&lt;=BJ$3,1,0))*OFFSET('Gastos com Pessoal'!$H$512,1,MATCH(1&amp;$B53,'Gastos com Pessoal'!$I$532:$AJ$532&amp;'Gastos com Pessoal'!$I$512:$AJ$512,0),10,1)),0)+_xlfn.IFNA(SUM((BJ$3&gt;='Gastos com Pessoal'!$E$513:$E$522)*(BJ$3&lt;='Gastos com Pessoal'!$F$513:$F$522)*(IF('Gastos com Pessoal'!$M$513:$M$522&lt;=BJ$3,1,0))*OFFSET('Gastos com Pessoal'!$H$512,1,MATCH(2&amp;$B53,'Gastos com Pessoal'!$I$532:$AJ$532&amp;'Gastos com Pessoal'!$I$512:$AJ$512,0),10,1)),0)+_xlfn.IFNA(SUM((BJ$3&gt;='Gastos com Pessoal'!$E$513:$E$522)*(BJ$3&lt;='Gastos com Pessoal'!$F$513:$F$522)*(IF('Gastos com Pessoal'!$S$513:$S$522&lt;=BJ$3,1,0))*OFFSET('Gastos com Pessoal'!$H$512,1,MATCH(3&amp;$B53,'Gastos com Pessoal'!$I$532:$AJ$532&amp;'Gastos com Pessoal'!$I$512:$AJ$512,0),10,1)),0)+_xlfn.IFNA(SUM((BJ$3&gt;='Gastos com Pessoal'!$E$513:$E$522)*(BJ$3&lt;='Gastos com Pessoal'!$F$513:$F$522)*(IF('Gastos com Pessoal'!$Y$513:$Y$522&lt;=BJ$3,1,0))*OFFSET('Gastos com Pessoal'!$H$512,1,MATCH(4&amp;$B53,'Gastos com Pessoal'!$I$532:$AJ$532&amp;'Gastos com Pessoal'!$I$512:$AJ$512,0),10,1)),0)+_xlfn.IFNA(SUM((BJ$3&gt;='Gastos com Pessoal'!$E$513:$E$522)*(BJ$3&lt;='Gastos com Pessoal'!$F$513:$F$522)*(IF('Gastos com Pessoal'!$AE$513:$AE$522&lt;=BJ$3,1,0))*OFFSET('Gastos com Pessoal'!$H$512,1,MATCH(5&amp;$B53,'Gastos com Pessoal'!$I$532:$AJ$532&amp;'Gastos com Pessoal'!$I$512:$AJ$512,0),10,1)),0)</f>
        <v>0</v>
      </c>
      <c r="BK53" s="189">
        <f t="shared" ca="1" si="18"/>
        <v>0</v>
      </c>
      <c r="BL53" s="136">
        <f t="shared" ca="1" si="19"/>
        <v>0</v>
      </c>
    </row>
    <row r="54" spans="1:64" s="160" customFormat="1" ht="23.25" customHeight="1">
      <c r="A54" s="80" t="s">
        <v>190</v>
      </c>
      <c r="B54" s="81" t="s">
        <v>191</v>
      </c>
      <c r="C54" s="188">
        <f t="array" aca="1" ref="C54" ca="1">_xlfn.IFNA(SUM((C$3&gt;='Gastos com Pessoal'!$E$7:$E$506)*(C$3&lt;='Gastos com Pessoal'!$F$7:$F$506)*OFFSET('Encargos e Benefícios'!$D$5,1,MATCH($B54,'Encargos e Benefícios'!$E$5:$AB$5,0),500,1)),0)+_xlfn.IFNA(SUM((C$3&gt;='Gastos com Pessoal'!$E$513:$E$522)*(C$3&lt;='Gastos com Pessoal'!$F$513:$F$522)*OFFSET('Encargos e Benefícios'!$D$511,1,MATCH($B54,'Encargos e Benefícios'!$E$511:$AB$511,0),10,1)),0)+_xlfn.IFNA(SUM((C$3&gt;='Gastos com Pessoal'!$E$7:$E$506)*(C$3&lt;='Gastos com Pessoal'!$F$7:$F$506)*(IF('Gastos com Pessoal'!$G$7:$G$506&lt;=C$3,1,0))*OFFSET('Gastos com Pessoal'!$H$6,1,MATCH(1&amp;$B54,'Gastos com Pessoal'!$I$532:$AJ$532&amp;'Gastos com Pessoal'!$I$6:$AJ$6,0),500,1)),0)+_xlfn.IFNA(SUM((C$3&gt;='Gastos com Pessoal'!$E$7:$E$506)*(C$3&lt;='Gastos com Pessoal'!$F$7:$F$506)*(IF('Gastos com Pessoal'!$M$7:$M$506&lt;=C$3,1,0))*OFFSET('Gastos com Pessoal'!$H$6,1,MATCH(2&amp;$B54,'Gastos com Pessoal'!$I$532:$AJ$532&amp;'Gastos com Pessoal'!$I$6:$AJ$6,0),500,1)),0)+_xlfn.IFNA(SUM((C$3&gt;='Gastos com Pessoal'!$E$7:$E$506)*(C$3&lt;='Gastos com Pessoal'!$F$7:$F$506)*(IF('Gastos com Pessoal'!$S$7:$S$506&lt;=C$3,1,0))*OFFSET('Gastos com Pessoal'!$H$6,1,MATCH(3&amp;$B54,'Gastos com Pessoal'!$I$532:$AJ$532&amp;'Gastos com Pessoal'!$I$6:$AJ$6,0),500,1)),0)+_xlfn.IFNA(SUM((C$3&gt;='Gastos com Pessoal'!$E$7:$E$506)*(C$3&lt;='Gastos com Pessoal'!$F$7:$F$506)*(IF('Gastos com Pessoal'!$Y$7:$Y$506&lt;=C$3,1,0))*OFFSET('Gastos com Pessoal'!$H$6,1,MATCH(4&amp;$B54,'Gastos com Pessoal'!$I$532:$AJ$532&amp;'Gastos com Pessoal'!$I$6:$AJ$6,0),500,1)),0)+_xlfn.IFNA(SUM((C$3&gt;='Gastos com Pessoal'!$E$7:$E$506)*(C$3&lt;='Gastos com Pessoal'!$F$7:$F$506)*(IF('Gastos com Pessoal'!$AE$7:$AE$506&lt;=C$3,1,0))*OFFSET('Gastos com Pessoal'!$H$6,1,MATCH(5&amp;$B54,'Gastos com Pessoal'!$I$532:$AJ$532&amp;'Gastos com Pessoal'!$I$6:$AJ$6,0),500,1)),0)+_xlfn.IFNA(SUM((C$3&gt;='Gastos com Pessoal'!$E$513:$E$522)*(C$3&lt;='Gastos com Pessoal'!$F$513:$F$522)*(IF('Gastos com Pessoal'!$G$513:$G$522&lt;=C$3,1,0))*OFFSET('Gastos com Pessoal'!$H$512,1,MATCH(1&amp;$B54,'Gastos com Pessoal'!$I$532:$AJ$532&amp;'Gastos com Pessoal'!$I$512:$AJ$512,0),10,1)),0)+_xlfn.IFNA(SUM((C$3&gt;='Gastos com Pessoal'!$E$513:$E$522)*(C$3&lt;='Gastos com Pessoal'!$F$513:$F$522)*(IF('Gastos com Pessoal'!$M$513:$M$522&lt;=C$3,1,0))*OFFSET('Gastos com Pessoal'!$H$512,1,MATCH(2&amp;$B54,'Gastos com Pessoal'!$I$532:$AJ$532&amp;'Gastos com Pessoal'!$I$512:$AJ$512,0),10,1)),0)+_xlfn.IFNA(SUM((C$3&gt;='Gastos com Pessoal'!$E$513:$E$522)*(C$3&lt;='Gastos com Pessoal'!$F$513:$F$522)*(IF('Gastos com Pessoal'!$S$513:$S$522&lt;=C$3,1,0))*OFFSET('Gastos com Pessoal'!$H$512,1,MATCH(3&amp;$B54,'Gastos com Pessoal'!$I$532:$AJ$532&amp;'Gastos com Pessoal'!$I$512:$AJ$512,0),10,1)),0)+_xlfn.IFNA(SUM((C$3&gt;='Gastos com Pessoal'!$E$513:$E$522)*(C$3&lt;='Gastos com Pessoal'!$F$513:$F$522)*(IF('Gastos com Pessoal'!$Y$513:$Y$522&lt;=C$3,1,0))*OFFSET('Gastos com Pessoal'!$H$512,1,MATCH(4&amp;$B54,'Gastos com Pessoal'!$I$532:$AJ$532&amp;'Gastos com Pessoal'!$I$512:$AJ$512,0),10,1)),0)+_xlfn.IFNA(SUM((C$3&gt;='Gastos com Pessoal'!$E$513:$E$522)*(C$3&lt;='Gastos com Pessoal'!$F$513:$F$522)*(IF('Gastos com Pessoal'!$AE$513:$AE$522&lt;=C$3,1,0))*OFFSET('Gastos com Pessoal'!$H$512,1,MATCH(5&amp;$B54,'Gastos com Pessoal'!$I$532:$AJ$532&amp;'Gastos com Pessoal'!$I$512:$AJ$512,0),10,1)),0)</f>
        <v>13944.450000000028</v>
      </c>
      <c r="D54" s="188">
        <f t="array" aca="1" ref="D54" ca="1">_xlfn.IFNA(SUM((D$3&gt;='Gastos com Pessoal'!$E$7:$E$506)*(D$3&lt;='Gastos com Pessoal'!$F$7:$F$506)*OFFSET('Encargos e Benefícios'!$D$5,1,MATCH($B54,'Encargos e Benefícios'!$E$5:$AB$5,0),500,1)),0)+_xlfn.IFNA(SUM((D$3&gt;='Gastos com Pessoal'!$E$513:$E$522)*(D$3&lt;='Gastos com Pessoal'!$F$513:$F$522)*OFFSET('Encargos e Benefícios'!$D$511,1,MATCH($B54,'Encargos e Benefícios'!$E$511:$AB$511,0),10,1)),0)+_xlfn.IFNA(SUM((D$3&gt;='Gastos com Pessoal'!$E$7:$E$506)*(D$3&lt;='Gastos com Pessoal'!$F$7:$F$506)*(IF('Gastos com Pessoal'!$G$7:$G$506&lt;=D$3,1,0))*OFFSET('Gastos com Pessoal'!$H$6,1,MATCH(1&amp;$B54,'Gastos com Pessoal'!$I$532:$AJ$532&amp;'Gastos com Pessoal'!$I$6:$AJ$6,0),500,1)),0)+_xlfn.IFNA(SUM((D$3&gt;='Gastos com Pessoal'!$E$7:$E$506)*(D$3&lt;='Gastos com Pessoal'!$F$7:$F$506)*(IF('Gastos com Pessoal'!$M$7:$M$506&lt;=D$3,1,0))*OFFSET('Gastos com Pessoal'!$H$6,1,MATCH(2&amp;$B54,'Gastos com Pessoal'!$I$532:$AJ$532&amp;'Gastos com Pessoal'!$I$6:$AJ$6,0),500,1)),0)+_xlfn.IFNA(SUM((D$3&gt;='Gastos com Pessoal'!$E$7:$E$506)*(D$3&lt;='Gastos com Pessoal'!$F$7:$F$506)*(IF('Gastos com Pessoal'!$S$7:$S$506&lt;=D$3,1,0))*OFFSET('Gastos com Pessoal'!$H$6,1,MATCH(3&amp;$B54,'Gastos com Pessoal'!$I$532:$AJ$532&amp;'Gastos com Pessoal'!$I$6:$AJ$6,0),500,1)),0)+_xlfn.IFNA(SUM((D$3&gt;='Gastos com Pessoal'!$E$7:$E$506)*(D$3&lt;='Gastos com Pessoal'!$F$7:$F$506)*(IF('Gastos com Pessoal'!$Y$7:$Y$506&lt;=D$3,1,0))*OFFSET('Gastos com Pessoal'!$H$6,1,MATCH(4&amp;$B54,'Gastos com Pessoal'!$I$532:$AJ$532&amp;'Gastos com Pessoal'!$I$6:$AJ$6,0),500,1)),0)+_xlfn.IFNA(SUM((D$3&gt;='Gastos com Pessoal'!$E$7:$E$506)*(D$3&lt;='Gastos com Pessoal'!$F$7:$F$506)*(IF('Gastos com Pessoal'!$AE$7:$AE$506&lt;=D$3,1,0))*OFFSET('Gastos com Pessoal'!$H$6,1,MATCH(5&amp;$B54,'Gastos com Pessoal'!$I$532:$AJ$532&amp;'Gastos com Pessoal'!$I$6:$AJ$6,0),500,1)),0)+_xlfn.IFNA(SUM((D$3&gt;='Gastos com Pessoal'!$E$513:$E$522)*(D$3&lt;='Gastos com Pessoal'!$F$513:$F$522)*(IF('Gastos com Pessoal'!$G$513:$G$522&lt;=D$3,1,0))*OFFSET('Gastos com Pessoal'!$H$512,1,MATCH(1&amp;$B54,'Gastos com Pessoal'!$I$532:$AJ$532&amp;'Gastos com Pessoal'!$I$512:$AJ$512,0),10,1)),0)+_xlfn.IFNA(SUM((D$3&gt;='Gastos com Pessoal'!$E$513:$E$522)*(D$3&lt;='Gastos com Pessoal'!$F$513:$F$522)*(IF('Gastos com Pessoal'!$M$513:$M$522&lt;=D$3,1,0))*OFFSET('Gastos com Pessoal'!$H$512,1,MATCH(2&amp;$B54,'Gastos com Pessoal'!$I$532:$AJ$532&amp;'Gastos com Pessoal'!$I$512:$AJ$512,0),10,1)),0)+_xlfn.IFNA(SUM((D$3&gt;='Gastos com Pessoal'!$E$513:$E$522)*(D$3&lt;='Gastos com Pessoal'!$F$513:$F$522)*(IF('Gastos com Pessoal'!$S$513:$S$522&lt;=D$3,1,0))*OFFSET('Gastos com Pessoal'!$H$512,1,MATCH(3&amp;$B54,'Gastos com Pessoal'!$I$532:$AJ$532&amp;'Gastos com Pessoal'!$I$512:$AJ$512,0),10,1)),0)+_xlfn.IFNA(SUM((D$3&gt;='Gastos com Pessoal'!$E$513:$E$522)*(D$3&lt;='Gastos com Pessoal'!$F$513:$F$522)*(IF('Gastos com Pessoal'!$Y$513:$Y$522&lt;=D$3,1,0))*OFFSET('Gastos com Pessoal'!$H$512,1,MATCH(4&amp;$B54,'Gastos com Pessoal'!$I$532:$AJ$532&amp;'Gastos com Pessoal'!$I$512:$AJ$512,0),10,1)),0)+_xlfn.IFNA(SUM((D$3&gt;='Gastos com Pessoal'!$E$513:$E$522)*(D$3&lt;='Gastos com Pessoal'!$F$513:$F$522)*(IF('Gastos com Pessoal'!$AE$513:$AE$522&lt;=D$3,1,0))*OFFSET('Gastos com Pessoal'!$H$512,1,MATCH(5&amp;$B54,'Gastos com Pessoal'!$I$532:$AJ$532&amp;'Gastos com Pessoal'!$I$512:$AJ$512,0),10,1)),0)</f>
        <v>13993.050000000028</v>
      </c>
      <c r="E54" s="188">
        <f t="array" aca="1" ref="E54" ca="1">_xlfn.IFNA(SUM((E$3&gt;='Gastos com Pessoal'!$E$7:$E$506)*(E$3&lt;='Gastos com Pessoal'!$F$7:$F$506)*OFFSET('Encargos e Benefícios'!$D$5,1,MATCH($B54,'Encargos e Benefícios'!$E$5:$AB$5,0),500,1)),0)+_xlfn.IFNA(SUM((E$3&gt;='Gastos com Pessoal'!$E$513:$E$522)*(E$3&lt;='Gastos com Pessoal'!$F$513:$F$522)*OFFSET('Encargos e Benefícios'!$D$511,1,MATCH($B54,'Encargos e Benefícios'!$E$511:$AB$511,0),10,1)),0)+_xlfn.IFNA(SUM((E$3&gt;='Gastos com Pessoal'!$E$7:$E$506)*(E$3&lt;='Gastos com Pessoal'!$F$7:$F$506)*(IF('Gastos com Pessoal'!$G$7:$G$506&lt;=E$3,1,0))*OFFSET('Gastos com Pessoal'!$H$6,1,MATCH(1&amp;$B54,'Gastos com Pessoal'!$I$532:$AJ$532&amp;'Gastos com Pessoal'!$I$6:$AJ$6,0),500,1)),0)+_xlfn.IFNA(SUM((E$3&gt;='Gastos com Pessoal'!$E$7:$E$506)*(E$3&lt;='Gastos com Pessoal'!$F$7:$F$506)*(IF('Gastos com Pessoal'!$M$7:$M$506&lt;=E$3,1,0))*OFFSET('Gastos com Pessoal'!$H$6,1,MATCH(2&amp;$B54,'Gastos com Pessoal'!$I$532:$AJ$532&amp;'Gastos com Pessoal'!$I$6:$AJ$6,0),500,1)),0)+_xlfn.IFNA(SUM((E$3&gt;='Gastos com Pessoal'!$E$7:$E$506)*(E$3&lt;='Gastos com Pessoal'!$F$7:$F$506)*(IF('Gastos com Pessoal'!$S$7:$S$506&lt;=E$3,1,0))*OFFSET('Gastos com Pessoal'!$H$6,1,MATCH(3&amp;$B54,'Gastos com Pessoal'!$I$532:$AJ$532&amp;'Gastos com Pessoal'!$I$6:$AJ$6,0),500,1)),0)+_xlfn.IFNA(SUM((E$3&gt;='Gastos com Pessoal'!$E$7:$E$506)*(E$3&lt;='Gastos com Pessoal'!$F$7:$F$506)*(IF('Gastos com Pessoal'!$Y$7:$Y$506&lt;=E$3,1,0))*OFFSET('Gastos com Pessoal'!$H$6,1,MATCH(4&amp;$B54,'Gastos com Pessoal'!$I$532:$AJ$532&amp;'Gastos com Pessoal'!$I$6:$AJ$6,0),500,1)),0)+_xlfn.IFNA(SUM((E$3&gt;='Gastos com Pessoal'!$E$7:$E$506)*(E$3&lt;='Gastos com Pessoal'!$F$7:$F$506)*(IF('Gastos com Pessoal'!$AE$7:$AE$506&lt;=E$3,1,0))*OFFSET('Gastos com Pessoal'!$H$6,1,MATCH(5&amp;$B54,'Gastos com Pessoal'!$I$532:$AJ$532&amp;'Gastos com Pessoal'!$I$6:$AJ$6,0),500,1)),0)+_xlfn.IFNA(SUM((E$3&gt;='Gastos com Pessoal'!$E$513:$E$522)*(E$3&lt;='Gastos com Pessoal'!$F$513:$F$522)*(IF('Gastos com Pessoal'!$G$513:$G$522&lt;=E$3,1,0))*OFFSET('Gastos com Pessoal'!$H$512,1,MATCH(1&amp;$B54,'Gastos com Pessoal'!$I$532:$AJ$532&amp;'Gastos com Pessoal'!$I$512:$AJ$512,0),10,1)),0)+_xlfn.IFNA(SUM((E$3&gt;='Gastos com Pessoal'!$E$513:$E$522)*(E$3&lt;='Gastos com Pessoal'!$F$513:$F$522)*(IF('Gastos com Pessoal'!$M$513:$M$522&lt;=E$3,1,0))*OFFSET('Gastos com Pessoal'!$H$512,1,MATCH(2&amp;$B54,'Gastos com Pessoal'!$I$532:$AJ$532&amp;'Gastos com Pessoal'!$I$512:$AJ$512,0),10,1)),0)+_xlfn.IFNA(SUM((E$3&gt;='Gastos com Pessoal'!$E$513:$E$522)*(E$3&lt;='Gastos com Pessoal'!$F$513:$F$522)*(IF('Gastos com Pessoal'!$S$513:$S$522&lt;=E$3,1,0))*OFFSET('Gastos com Pessoal'!$H$512,1,MATCH(3&amp;$B54,'Gastos com Pessoal'!$I$532:$AJ$532&amp;'Gastos com Pessoal'!$I$512:$AJ$512,0),10,1)),0)+_xlfn.IFNA(SUM((E$3&gt;='Gastos com Pessoal'!$E$513:$E$522)*(E$3&lt;='Gastos com Pessoal'!$F$513:$F$522)*(IF('Gastos com Pessoal'!$Y$513:$Y$522&lt;=E$3,1,0))*OFFSET('Gastos com Pessoal'!$H$512,1,MATCH(4&amp;$B54,'Gastos com Pessoal'!$I$532:$AJ$532&amp;'Gastos com Pessoal'!$I$512:$AJ$512,0),10,1)),0)+_xlfn.IFNA(SUM((E$3&gt;='Gastos com Pessoal'!$E$513:$E$522)*(E$3&lt;='Gastos com Pessoal'!$F$513:$F$522)*(IF('Gastos com Pessoal'!$AE$513:$AE$522&lt;=E$3,1,0))*OFFSET('Gastos com Pessoal'!$H$512,1,MATCH(5&amp;$B54,'Gastos com Pessoal'!$I$532:$AJ$532&amp;'Gastos com Pessoal'!$I$512:$AJ$512,0),10,1)),0)</f>
        <v>14766.500000000035</v>
      </c>
      <c r="F54" s="188">
        <f t="array" aca="1" ref="F54" ca="1">_xlfn.IFNA(SUM((F$3&gt;='Gastos com Pessoal'!$E$7:$E$506)*(F$3&lt;='Gastos com Pessoal'!$F$7:$F$506)*OFFSET('Encargos e Benefícios'!$D$5,1,MATCH($B54,'Encargos e Benefícios'!$E$5:$AB$5,0),500,1)),0)+_xlfn.IFNA(SUM((F$3&gt;='Gastos com Pessoal'!$E$513:$E$522)*(F$3&lt;='Gastos com Pessoal'!$F$513:$F$522)*OFFSET('Encargos e Benefícios'!$D$511,1,MATCH($B54,'Encargos e Benefícios'!$E$511:$AB$511,0),10,1)),0)+_xlfn.IFNA(SUM((F$3&gt;='Gastos com Pessoal'!$E$7:$E$506)*(F$3&lt;='Gastos com Pessoal'!$F$7:$F$506)*(IF('Gastos com Pessoal'!$G$7:$G$506&lt;=F$3,1,0))*OFFSET('Gastos com Pessoal'!$H$6,1,MATCH(1&amp;$B54,'Gastos com Pessoal'!$I$532:$AJ$532&amp;'Gastos com Pessoal'!$I$6:$AJ$6,0),500,1)),0)+_xlfn.IFNA(SUM((F$3&gt;='Gastos com Pessoal'!$E$7:$E$506)*(F$3&lt;='Gastos com Pessoal'!$F$7:$F$506)*(IF('Gastos com Pessoal'!$M$7:$M$506&lt;=F$3,1,0))*OFFSET('Gastos com Pessoal'!$H$6,1,MATCH(2&amp;$B54,'Gastos com Pessoal'!$I$532:$AJ$532&amp;'Gastos com Pessoal'!$I$6:$AJ$6,0),500,1)),0)+_xlfn.IFNA(SUM((F$3&gt;='Gastos com Pessoal'!$E$7:$E$506)*(F$3&lt;='Gastos com Pessoal'!$F$7:$F$506)*(IF('Gastos com Pessoal'!$S$7:$S$506&lt;=F$3,1,0))*OFFSET('Gastos com Pessoal'!$H$6,1,MATCH(3&amp;$B54,'Gastos com Pessoal'!$I$532:$AJ$532&amp;'Gastos com Pessoal'!$I$6:$AJ$6,0),500,1)),0)+_xlfn.IFNA(SUM((F$3&gt;='Gastos com Pessoal'!$E$7:$E$506)*(F$3&lt;='Gastos com Pessoal'!$F$7:$F$506)*(IF('Gastos com Pessoal'!$Y$7:$Y$506&lt;=F$3,1,0))*OFFSET('Gastos com Pessoal'!$H$6,1,MATCH(4&amp;$B54,'Gastos com Pessoal'!$I$532:$AJ$532&amp;'Gastos com Pessoal'!$I$6:$AJ$6,0),500,1)),0)+_xlfn.IFNA(SUM((F$3&gt;='Gastos com Pessoal'!$E$7:$E$506)*(F$3&lt;='Gastos com Pessoal'!$F$7:$F$506)*(IF('Gastos com Pessoal'!$AE$7:$AE$506&lt;=F$3,1,0))*OFFSET('Gastos com Pessoal'!$H$6,1,MATCH(5&amp;$B54,'Gastos com Pessoal'!$I$532:$AJ$532&amp;'Gastos com Pessoal'!$I$6:$AJ$6,0),500,1)),0)+_xlfn.IFNA(SUM((F$3&gt;='Gastos com Pessoal'!$E$513:$E$522)*(F$3&lt;='Gastos com Pessoal'!$F$513:$F$522)*(IF('Gastos com Pessoal'!$G$513:$G$522&lt;=F$3,1,0))*OFFSET('Gastos com Pessoal'!$H$512,1,MATCH(1&amp;$B54,'Gastos com Pessoal'!$I$532:$AJ$532&amp;'Gastos com Pessoal'!$I$512:$AJ$512,0),10,1)),0)+_xlfn.IFNA(SUM((F$3&gt;='Gastos com Pessoal'!$E$513:$E$522)*(F$3&lt;='Gastos com Pessoal'!$F$513:$F$522)*(IF('Gastos com Pessoal'!$M$513:$M$522&lt;=F$3,1,0))*OFFSET('Gastos com Pessoal'!$H$512,1,MATCH(2&amp;$B54,'Gastos com Pessoal'!$I$532:$AJ$532&amp;'Gastos com Pessoal'!$I$512:$AJ$512,0),10,1)),0)+_xlfn.IFNA(SUM((F$3&gt;='Gastos com Pessoal'!$E$513:$E$522)*(F$3&lt;='Gastos com Pessoal'!$F$513:$F$522)*(IF('Gastos com Pessoal'!$S$513:$S$522&lt;=F$3,1,0))*OFFSET('Gastos com Pessoal'!$H$512,1,MATCH(3&amp;$B54,'Gastos com Pessoal'!$I$532:$AJ$532&amp;'Gastos com Pessoal'!$I$512:$AJ$512,0),10,1)),0)+_xlfn.IFNA(SUM((F$3&gt;='Gastos com Pessoal'!$E$513:$E$522)*(F$3&lt;='Gastos com Pessoal'!$F$513:$F$522)*(IF('Gastos com Pessoal'!$Y$513:$Y$522&lt;=F$3,1,0))*OFFSET('Gastos com Pessoal'!$H$512,1,MATCH(4&amp;$B54,'Gastos com Pessoal'!$I$532:$AJ$532&amp;'Gastos com Pessoal'!$I$512:$AJ$512,0),10,1)),0)+_xlfn.IFNA(SUM((F$3&gt;='Gastos com Pessoal'!$E$513:$E$522)*(F$3&lt;='Gastos com Pessoal'!$F$513:$F$522)*(IF('Gastos com Pessoal'!$AE$513:$AE$522&lt;=F$3,1,0))*OFFSET('Gastos com Pessoal'!$H$512,1,MATCH(5&amp;$B54,'Gastos com Pessoal'!$I$532:$AJ$532&amp;'Gastos com Pessoal'!$I$512:$AJ$512,0),10,1)),0)</f>
        <v>14816.400000000036</v>
      </c>
      <c r="G54" s="188">
        <f t="array" aca="1" ref="G54" ca="1">_xlfn.IFNA(SUM((G$3&gt;='Gastos com Pessoal'!$E$7:$E$506)*(G$3&lt;='Gastos com Pessoal'!$F$7:$F$506)*OFFSET('Encargos e Benefícios'!$D$5,1,MATCH($B54,'Encargos e Benefícios'!$E$5:$AB$5,0),500,1)),0)+_xlfn.IFNA(SUM((G$3&gt;='Gastos com Pessoal'!$E$513:$E$522)*(G$3&lt;='Gastos com Pessoal'!$F$513:$F$522)*OFFSET('Encargos e Benefícios'!$D$511,1,MATCH($B54,'Encargos e Benefícios'!$E$511:$AB$511,0),10,1)),0)+_xlfn.IFNA(SUM((G$3&gt;='Gastos com Pessoal'!$E$7:$E$506)*(G$3&lt;='Gastos com Pessoal'!$F$7:$F$506)*(IF('Gastos com Pessoal'!$G$7:$G$506&lt;=G$3,1,0))*OFFSET('Gastos com Pessoal'!$H$6,1,MATCH(1&amp;$B54,'Gastos com Pessoal'!$I$532:$AJ$532&amp;'Gastos com Pessoal'!$I$6:$AJ$6,0),500,1)),0)+_xlfn.IFNA(SUM((G$3&gt;='Gastos com Pessoal'!$E$7:$E$506)*(G$3&lt;='Gastos com Pessoal'!$F$7:$F$506)*(IF('Gastos com Pessoal'!$M$7:$M$506&lt;=G$3,1,0))*OFFSET('Gastos com Pessoal'!$H$6,1,MATCH(2&amp;$B54,'Gastos com Pessoal'!$I$532:$AJ$532&amp;'Gastos com Pessoal'!$I$6:$AJ$6,0),500,1)),0)+_xlfn.IFNA(SUM((G$3&gt;='Gastos com Pessoal'!$E$7:$E$506)*(G$3&lt;='Gastos com Pessoal'!$F$7:$F$506)*(IF('Gastos com Pessoal'!$S$7:$S$506&lt;=G$3,1,0))*OFFSET('Gastos com Pessoal'!$H$6,1,MATCH(3&amp;$B54,'Gastos com Pessoal'!$I$532:$AJ$532&amp;'Gastos com Pessoal'!$I$6:$AJ$6,0),500,1)),0)+_xlfn.IFNA(SUM((G$3&gt;='Gastos com Pessoal'!$E$7:$E$506)*(G$3&lt;='Gastos com Pessoal'!$F$7:$F$506)*(IF('Gastos com Pessoal'!$Y$7:$Y$506&lt;=G$3,1,0))*OFFSET('Gastos com Pessoal'!$H$6,1,MATCH(4&amp;$B54,'Gastos com Pessoal'!$I$532:$AJ$532&amp;'Gastos com Pessoal'!$I$6:$AJ$6,0),500,1)),0)+_xlfn.IFNA(SUM((G$3&gt;='Gastos com Pessoal'!$E$7:$E$506)*(G$3&lt;='Gastos com Pessoal'!$F$7:$F$506)*(IF('Gastos com Pessoal'!$AE$7:$AE$506&lt;=G$3,1,0))*OFFSET('Gastos com Pessoal'!$H$6,1,MATCH(5&amp;$B54,'Gastos com Pessoal'!$I$532:$AJ$532&amp;'Gastos com Pessoal'!$I$6:$AJ$6,0),500,1)),0)+_xlfn.IFNA(SUM((G$3&gt;='Gastos com Pessoal'!$E$513:$E$522)*(G$3&lt;='Gastos com Pessoal'!$F$513:$F$522)*(IF('Gastos com Pessoal'!$G$513:$G$522&lt;=G$3,1,0))*OFFSET('Gastos com Pessoal'!$H$512,1,MATCH(1&amp;$B54,'Gastos com Pessoal'!$I$532:$AJ$532&amp;'Gastos com Pessoal'!$I$512:$AJ$512,0),10,1)),0)+_xlfn.IFNA(SUM((G$3&gt;='Gastos com Pessoal'!$E$513:$E$522)*(G$3&lt;='Gastos com Pessoal'!$F$513:$F$522)*(IF('Gastos com Pessoal'!$M$513:$M$522&lt;=G$3,1,0))*OFFSET('Gastos com Pessoal'!$H$512,1,MATCH(2&amp;$B54,'Gastos com Pessoal'!$I$532:$AJ$532&amp;'Gastos com Pessoal'!$I$512:$AJ$512,0),10,1)),0)+_xlfn.IFNA(SUM((G$3&gt;='Gastos com Pessoal'!$E$513:$E$522)*(G$3&lt;='Gastos com Pessoal'!$F$513:$F$522)*(IF('Gastos com Pessoal'!$S$513:$S$522&lt;=G$3,1,0))*OFFSET('Gastos com Pessoal'!$H$512,1,MATCH(3&amp;$B54,'Gastos com Pessoal'!$I$532:$AJ$532&amp;'Gastos com Pessoal'!$I$512:$AJ$512,0),10,1)),0)+_xlfn.IFNA(SUM((G$3&gt;='Gastos com Pessoal'!$E$513:$E$522)*(G$3&lt;='Gastos com Pessoal'!$F$513:$F$522)*(IF('Gastos com Pessoal'!$Y$513:$Y$522&lt;=G$3,1,0))*OFFSET('Gastos com Pessoal'!$H$512,1,MATCH(4&amp;$B54,'Gastos com Pessoal'!$I$532:$AJ$532&amp;'Gastos com Pessoal'!$I$512:$AJ$512,0),10,1)),0)+_xlfn.IFNA(SUM((G$3&gt;='Gastos com Pessoal'!$E$513:$E$522)*(G$3&lt;='Gastos com Pessoal'!$F$513:$F$522)*(IF('Gastos com Pessoal'!$AE$513:$AE$522&lt;=G$3,1,0))*OFFSET('Gastos com Pessoal'!$H$512,1,MATCH(5&amp;$B54,'Gastos com Pessoal'!$I$532:$AJ$532&amp;'Gastos com Pessoal'!$I$512:$AJ$512,0),10,1)),0)</f>
        <v>14816.400000000036</v>
      </c>
      <c r="H54" s="188">
        <f t="array" aca="1" ref="H54" ca="1">_xlfn.IFNA(SUM((H$3&gt;='Gastos com Pessoal'!$E$7:$E$506)*(H$3&lt;='Gastos com Pessoal'!$F$7:$F$506)*OFFSET('Encargos e Benefícios'!$D$5,1,MATCH($B54,'Encargos e Benefícios'!$E$5:$AB$5,0),500,1)),0)+_xlfn.IFNA(SUM((H$3&gt;='Gastos com Pessoal'!$E$513:$E$522)*(H$3&lt;='Gastos com Pessoal'!$F$513:$F$522)*OFFSET('Encargos e Benefícios'!$D$511,1,MATCH($B54,'Encargos e Benefícios'!$E$511:$AB$511,0),10,1)),0)+_xlfn.IFNA(SUM((H$3&gt;='Gastos com Pessoal'!$E$7:$E$506)*(H$3&lt;='Gastos com Pessoal'!$F$7:$F$506)*(IF('Gastos com Pessoal'!$G$7:$G$506&lt;=H$3,1,0))*OFFSET('Gastos com Pessoal'!$H$6,1,MATCH(1&amp;$B54,'Gastos com Pessoal'!$I$532:$AJ$532&amp;'Gastos com Pessoal'!$I$6:$AJ$6,0),500,1)),0)+_xlfn.IFNA(SUM((H$3&gt;='Gastos com Pessoal'!$E$7:$E$506)*(H$3&lt;='Gastos com Pessoal'!$F$7:$F$506)*(IF('Gastos com Pessoal'!$M$7:$M$506&lt;=H$3,1,0))*OFFSET('Gastos com Pessoal'!$H$6,1,MATCH(2&amp;$B54,'Gastos com Pessoal'!$I$532:$AJ$532&amp;'Gastos com Pessoal'!$I$6:$AJ$6,0),500,1)),0)+_xlfn.IFNA(SUM((H$3&gt;='Gastos com Pessoal'!$E$7:$E$506)*(H$3&lt;='Gastos com Pessoal'!$F$7:$F$506)*(IF('Gastos com Pessoal'!$S$7:$S$506&lt;=H$3,1,0))*OFFSET('Gastos com Pessoal'!$H$6,1,MATCH(3&amp;$B54,'Gastos com Pessoal'!$I$532:$AJ$532&amp;'Gastos com Pessoal'!$I$6:$AJ$6,0),500,1)),0)+_xlfn.IFNA(SUM((H$3&gt;='Gastos com Pessoal'!$E$7:$E$506)*(H$3&lt;='Gastos com Pessoal'!$F$7:$F$506)*(IF('Gastos com Pessoal'!$Y$7:$Y$506&lt;=H$3,1,0))*OFFSET('Gastos com Pessoal'!$H$6,1,MATCH(4&amp;$B54,'Gastos com Pessoal'!$I$532:$AJ$532&amp;'Gastos com Pessoal'!$I$6:$AJ$6,0),500,1)),0)+_xlfn.IFNA(SUM((H$3&gt;='Gastos com Pessoal'!$E$7:$E$506)*(H$3&lt;='Gastos com Pessoal'!$F$7:$F$506)*(IF('Gastos com Pessoal'!$AE$7:$AE$506&lt;=H$3,1,0))*OFFSET('Gastos com Pessoal'!$H$6,1,MATCH(5&amp;$B54,'Gastos com Pessoal'!$I$532:$AJ$532&amp;'Gastos com Pessoal'!$I$6:$AJ$6,0),500,1)),0)+_xlfn.IFNA(SUM((H$3&gt;='Gastos com Pessoal'!$E$513:$E$522)*(H$3&lt;='Gastos com Pessoal'!$F$513:$F$522)*(IF('Gastos com Pessoal'!$G$513:$G$522&lt;=H$3,1,0))*OFFSET('Gastos com Pessoal'!$H$512,1,MATCH(1&amp;$B54,'Gastos com Pessoal'!$I$532:$AJ$532&amp;'Gastos com Pessoal'!$I$512:$AJ$512,0),10,1)),0)+_xlfn.IFNA(SUM((H$3&gt;='Gastos com Pessoal'!$E$513:$E$522)*(H$3&lt;='Gastos com Pessoal'!$F$513:$F$522)*(IF('Gastos com Pessoal'!$M$513:$M$522&lt;=H$3,1,0))*OFFSET('Gastos com Pessoal'!$H$512,1,MATCH(2&amp;$B54,'Gastos com Pessoal'!$I$532:$AJ$532&amp;'Gastos com Pessoal'!$I$512:$AJ$512,0),10,1)),0)+_xlfn.IFNA(SUM((H$3&gt;='Gastos com Pessoal'!$E$513:$E$522)*(H$3&lt;='Gastos com Pessoal'!$F$513:$F$522)*(IF('Gastos com Pessoal'!$S$513:$S$522&lt;=H$3,1,0))*OFFSET('Gastos com Pessoal'!$H$512,1,MATCH(3&amp;$B54,'Gastos com Pessoal'!$I$532:$AJ$532&amp;'Gastos com Pessoal'!$I$512:$AJ$512,0),10,1)),0)+_xlfn.IFNA(SUM((H$3&gt;='Gastos com Pessoal'!$E$513:$E$522)*(H$3&lt;='Gastos com Pessoal'!$F$513:$F$522)*(IF('Gastos com Pessoal'!$Y$513:$Y$522&lt;=H$3,1,0))*OFFSET('Gastos com Pessoal'!$H$512,1,MATCH(4&amp;$B54,'Gastos com Pessoal'!$I$532:$AJ$532&amp;'Gastos com Pessoal'!$I$512:$AJ$512,0),10,1)),0)+_xlfn.IFNA(SUM((H$3&gt;='Gastos com Pessoal'!$E$513:$E$522)*(H$3&lt;='Gastos com Pessoal'!$F$513:$F$522)*(IF('Gastos com Pessoal'!$AE$513:$AE$522&lt;=H$3,1,0))*OFFSET('Gastos com Pessoal'!$H$512,1,MATCH(5&amp;$B54,'Gastos com Pessoal'!$I$532:$AJ$532&amp;'Gastos com Pessoal'!$I$512:$AJ$512,0),10,1)),0)</f>
        <v>15589.850000000042</v>
      </c>
      <c r="I54" s="188">
        <f t="array" aca="1" ref="I54" ca="1">_xlfn.IFNA(SUM((I$3&gt;='Gastos com Pessoal'!$E$7:$E$506)*(I$3&lt;='Gastos com Pessoal'!$F$7:$F$506)*OFFSET('Encargos e Benefícios'!$D$5,1,MATCH($B54,'Encargos e Benefícios'!$E$5:$AB$5,0),500,1)),0)+_xlfn.IFNA(SUM((I$3&gt;='Gastos com Pessoal'!$E$513:$E$522)*(I$3&lt;='Gastos com Pessoal'!$F$513:$F$522)*OFFSET('Encargos e Benefícios'!$D$511,1,MATCH($B54,'Encargos e Benefícios'!$E$511:$AB$511,0),10,1)),0)+_xlfn.IFNA(SUM((I$3&gt;='Gastos com Pessoal'!$E$7:$E$506)*(I$3&lt;='Gastos com Pessoal'!$F$7:$F$506)*(IF('Gastos com Pessoal'!$G$7:$G$506&lt;=I$3,1,0))*OFFSET('Gastos com Pessoal'!$H$6,1,MATCH(1&amp;$B54,'Gastos com Pessoal'!$I$532:$AJ$532&amp;'Gastos com Pessoal'!$I$6:$AJ$6,0),500,1)),0)+_xlfn.IFNA(SUM((I$3&gt;='Gastos com Pessoal'!$E$7:$E$506)*(I$3&lt;='Gastos com Pessoal'!$F$7:$F$506)*(IF('Gastos com Pessoal'!$M$7:$M$506&lt;=I$3,1,0))*OFFSET('Gastos com Pessoal'!$H$6,1,MATCH(2&amp;$B54,'Gastos com Pessoal'!$I$532:$AJ$532&amp;'Gastos com Pessoal'!$I$6:$AJ$6,0),500,1)),0)+_xlfn.IFNA(SUM((I$3&gt;='Gastos com Pessoal'!$E$7:$E$506)*(I$3&lt;='Gastos com Pessoal'!$F$7:$F$506)*(IF('Gastos com Pessoal'!$S$7:$S$506&lt;=I$3,1,0))*OFFSET('Gastos com Pessoal'!$H$6,1,MATCH(3&amp;$B54,'Gastos com Pessoal'!$I$532:$AJ$532&amp;'Gastos com Pessoal'!$I$6:$AJ$6,0),500,1)),0)+_xlfn.IFNA(SUM((I$3&gt;='Gastos com Pessoal'!$E$7:$E$506)*(I$3&lt;='Gastos com Pessoal'!$F$7:$F$506)*(IF('Gastos com Pessoal'!$Y$7:$Y$506&lt;=I$3,1,0))*OFFSET('Gastos com Pessoal'!$H$6,1,MATCH(4&amp;$B54,'Gastos com Pessoal'!$I$532:$AJ$532&amp;'Gastos com Pessoal'!$I$6:$AJ$6,0),500,1)),0)+_xlfn.IFNA(SUM((I$3&gt;='Gastos com Pessoal'!$E$7:$E$506)*(I$3&lt;='Gastos com Pessoal'!$F$7:$F$506)*(IF('Gastos com Pessoal'!$AE$7:$AE$506&lt;=I$3,1,0))*OFFSET('Gastos com Pessoal'!$H$6,1,MATCH(5&amp;$B54,'Gastos com Pessoal'!$I$532:$AJ$532&amp;'Gastos com Pessoal'!$I$6:$AJ$6,0),500,1)),0)+_xlfn.IFNA(SUM((I$3&gt;='Gastos com Pessoal'!$E$513:$E$522)*(I$3&lt;='Gastos com Pessoal'!$F$513:$F$522)*(IF('Gastos com Pessoal'!$G$513:$G$522&lt;=I$3,1,0))*OFFSET('Gastos com Pessoal'!$H$512,1,MATCH(1&amp;$B54,'Gastos com Pessoal'!$I$532:$AJ$532&amp;'Gastos com Pessoal'!$I$512:$AJ$512,0),10,1)),0)+_xlfn.IFNA(SUM((I$3&gt;='Gastos com Pessoal'!$E$513:$E$522)*(I$3&lt;='Gastos com Pessoal'!$F$513:$F$522)*(IF('Gastos com Pessoal'!$M$513:$M$522&lt;=I$3,1,0))*OFFSET('Gastos com Pessoal'!$H$512,1,MATCH(2&amp;$B54,'Gastos com Pessoal'!$I$532:$AJ$532&amp;'Gastos com Pessoal'!$I$512:$AJ$512,0),10,1)),0)+_xlfn.IFNA(SUM((I$3&gt;='Gastos com Pessoal'!$E$513:$E$522)*(I$3&lt;='Gastos com Pessoal'!$F$513:$F$522)*(IF('Gastos com Pessoal'!$S$513:$S$522&lt;=I$3,1,0))*OFFSET('Gastos com Pessoal'!$H$512,1,MATCH(3&amp;$B54,'Gastos com Pessoal'!$I$532:$AJ$532&amp;'Gastos com Pessoal'!$I$512:$AJ$512,0),10,1)),0)+_xlfn.IFNA(SUM((I$3&gt;='Gastos com Pessoal'!$E$513:$E$522)*(I$3&lt;='Gastos com Pessoal'!$F$513:$F$522)*(IF('Gastos com Pessoal'!$Y$513:$Y$522&lt;=I$3,1,0))*OFFSET('Gastos com Pessoal'!$H$512,1,MATCH(4&amp;$B54,'Gastos com Pessoal'!$I$532:$AJ$532&amp;'Gastos com Pessoal'!$I$512:$AJ$512,0),10,1)),0)+_xlfn.IFNA(SUM((I$3&gt;='Gastos com Pessoal'!$E$513:$E$522)*(I$3&lt;='Gastos com Pessoal'!$F$513:$F$522)*(IF('Gastos com Pessoal'!$AE$513:$AE$522&lt;=I$3,1,0))*OFFSET('Gastos com Pessoal'!$H$512,1,MATCH(5&amp;$B54,'Gastos com Pessoal'!$I$532:$AJ$532&amp;'Gastos com Pessoal'!$I$512:$AJ$512,0),10,1)),0)</f>
        <v>15642.650000000041</v>
      </c>
      <c r="J54" s="188">
        <f t="array" aca="1" ref="J54" ca="1">_xlfn.IFNA(SUM((J$3&gt;='Gastos com Pessoal'!$E$7:$E$506)*(J$3&lt;='Gastos com Pessoal'!$F$7:$F$506)*OFFSET('Encargos e Benefícios'!$D$5,1,MATCH($B54,'Encargos e Benefícios'!$E$5:$AB$5,0),500,1)),0)+_xlfn.IFNA(SUM((J$3&gt;='Gastos com Pessoal'!$E$513:$E$522)*(J$3&lt;='Gastos com Pessoal'!$F$513:$F$522)*OFFSET('Encargos e Benefícios'!$D$511,1,MATCH($B54,'Encargos e Benefícios'!$E$511:$AB$511,0),10,1)),0)+_xlfn.IFNA(SUM((J$3&gt;='Gastos com Pessoal'!$E$7:$E$506)*(J$3&lt;='Gastos com Pessoal'!$F$7:$F$506)*(IF('Gastos com Pessoal'!$G$7:$G$506&lt;=J$3,1,0))*OFFSET('Gastos com Pessoal'!$H$6,1,MATCH(1&amp;$B54,'Gastos com Pessoal'!$I$532:$AJ$532&amp;'Gastos com Pessoal'!$I$6:$AJ$6,0),500,1)),0)+_xlfn.IFNA(SUM((J$3&gt;='Gastos com Pessoal'!$E$7:$E$506)*(J$3&lt;='Gastos com Pessoal'!$F$7:$F$506)*(IF('Gastos com Pessoal'!$M$7:$M$506&lt;=J$3,1,0))*OFFSET('Gastos com Pessoal'!$H$6,1,MATCH(2&amp;$B54,'Gastos com Pessoal'!$I$532:$AJ$532&amp;'Gastos com Pessoal'!$I$6:$AJ$6,0),500,1)),0)+_xlfn.IFNA(SUM((J$3&gt;='Gastos com Pessoal'!$E$7:$E$506)*(J$3&lt;='Gastos com Pessoal'!$F$7:$F$506)*(IF('Gastos com Pessoal'!$S$7:$S$506&lt;=J$3,1,0))*OFFSET('Gastos com Pessoal'!$H$6,1,MATCH(3&amp;$B54,'Gastos com Pessoal'!$I$532:$AJ$532&amp;'Gastos com Pessoal'!$I$6:$AJ$6,0),500,1)),0)+_xlfn.IFNA(SUM((J$3&gt;='Gastos com Pessoal'!$E$7:$E$506)*(J$3&lt;='Gastos com Pessoal'!$F$7:$F$506)*(IF('Gastos com Pessoal'!$Y$7:$Y$506&lt;=J$3,1,0))*OFFSET('Gastos com Pessoal'!$H$6,1,MATCH(4&amp;$B54,'Gastos com Pessoal'!$I$532:$AJ$532&amp;'Gastos com Pessoal'!$I$6:$AJ$6,0),500,1)),0)+_xlfn.IFNA(SUM((J$3&gt;='Gastos com Pessoal'!$E$7:$E$506)*(J$3&lt;='Gastos com Pessoal'!$F$7:$F$506)*(IF('Gastos com Pessoal'!$AE$7:$AE$506&lt;=J$3,1,0))*OFFSET('Gastos com Pessoal'!$H$6,1,MATCH(5&amp;$B54,'Gastos com Pessoal'!$I$532:$AJ$532&amp;'Gastos com Pessoal'!$I$6:$AJ$6,0),500,1)),0)+_xlfn.IFNA(SUM((J$3&gt;='Gastos com Pessoal'!$E$513:$E$522)*(J$3&lt;='Gastos com Pessoal'!$F$513:$F$522)*(IF('Gastos com Pessoal'!$G$513:$G$522&lt;=J$3,1,0))*OFFSET('Gastos com Pessoal'!$H$512,1,MATCH(1&amp;$B54,'Gastos com Pessoal'!$I$532:$AJ$532&amp;'Gastos com Pessoal'!$I$512:$AJ$512,0),10,1)),0)+_xlfn.IFNA(SUM((J$3&gt;='Gastos com Pessoal'!$E$513:$E$522)*(J$3&lt;='Gastos com Pessoal'!$F$513:$F$522)*(IF('Gastos com Pessoal'!$M$513:$M$522&lt;=J$3,1,0))*OFFSET('Gastos com Pessoal'!$H$512,1,MATCH(2&amp;$B54,'Gastos com Pessoal'!$I$532:$AJ$532&amp;'Gastos com Pessoal'!$I$512:$AJ$512,0),10,1)),0)+_xlfn.IFNA(SUM((J$3&gt;='Gastos com Pessoal'!$E$513:$E$522)*(J$3&lt;='Gastos com Pessoal'!$F$513:$F$522)*(IF('Gastos com Pessoal'!$S$513:$S$522&lt;=J$3,1,0))*OFFSET('Gastos com Pessoal'!$H$512,1,MATCH(3&amp;$B54,'Gastos com Pessoal'!$I$532:$AJ$532&amp;'Gastos com Pessoal'!$I$512:$AJ$512,0),10,1)),0)+_xlfn.IFNA(SUM((J$3&gt;='Gastos com Pessoal'!$E$513:$E$522)*(J$3&lt;='Gastos com Pessoal'!$F$513:$F$522)*(IF('Gastos com Pessoal'!$Y$513:$Y$522&lt;=J$3,1,0))*OFFSET('Gastos com Pessoal'!$H$512,1,MATCH(4&amp;$B54,'Gastos com Pessoal'!$I$532:$AJ$532&amp;'Gastos com Pessoal'!$I$512:$AJ$512,0),10,1)),0)+_xlfn.IFNA(SUM((J$3&gt;='Gastos com Pessoal'!$E$513:$E$522)*(J$3&lt;='Gastos com Pessoal'!$F$513:$F$522)*(IF('Gastos com Pessoal'!$AE$513:$AE$522&lt;=J$3,1,0))*OFFSET('Gastos com Pessoal'!$H$512,1,MATCH(5&amp;$B54,'Gastos com Pessoal'!$I$532:$AJ$532&amp;'Gastos com Pessoal'!$I$512:$AJ$512,0),10,1)),0)</f>
        <v>15642.650000000041</v>
      </c>
      <c r="K54" s="188">
        <f t="array" aca="1" ref="K54" ca="1">_xlfn.IFNA(SUM((K$3&gt;='Gastos com Pessoal'!$E$7:$E$506)*(K$3&lt;='Gastos com Pessoal'!$F$7:$F$506)*OFFSET('Encargos e Benefícios'!$D$5,1,MATCH($B54,'Encargos e Benefícios'!$E$5:$AB$5,0),500,1)),0)+_xlfn.IFNA(SUM((K$3&gt;='Gastos com Pessoal'!$E$513:$E$522)*(K$3&lt;='Gastos com Pessoal'!$F$513:$F$522)*OFFSET('Encargos e Benefícios'!$D$511,1,MATCH($B54,'Encargos e Benefícios'!$E$511:$AB$511,0),10,1)),0)+_xlfn.IFNA(SUM((K$3&gt;='Gastos com Pessoal'!$E$7:$E$506)*(K$3&lt;='Gastos com Pessoal'!$F$7:$F$506)*(IF('Gastos com Pessoal'!$G$7:$G$506&lt;=K$3,1,0))*OFFSET('Gastos com Pessoal'!$H$6,1,MATCH(1&amp;$B54,'Gastos com Pessoal'!$I$532:$AJ$532&amp;'Gastos com Pessoal'!$I$6:$AJ$6,0),500,1)),0)+_xlfn.IFNA(SUM((K$3&gt;='Gastos com Pessoal'!$E$7:$E$506)*(K$3&lt;='Gastos com Pessoal'!$F$7:$F$506)*(IF('Gastos com Pessoal'!$M$7:$M$506&lt;=K$3,1,0))*OFFSET('Gastos com Pessoal'!$H$6,1,MATCH(2&amp;$B54,'Gastos com Pessoal'!$I$532:$AJ$532&amp;'Gastos com Pessoal'!$I$6:$AJ$6,0),500,1)),0)+_xlfn.IFNA(SUM((K$3&gt;='Gastos com Pessoal'!$E$7:$E$506)*(K$3&lt;='Gastos com Pessoal'!$F$7:$F$506)*(IF('Gastos com Pessoal'!$S$7:$S$506&lt;=K$3,1,0))*OFFSET('Gastos com Pessoal'!$H$6,1,MATCH(3&amp;$B54,'Gastos com Pessoal'!$I$532:$AJ$532&amp;'Gastos com Pessoal'!$I$6:$AJ$6,0),500,1)),0)+_xlfn.IFNA(SUM((K$3&gt;='Gastos com Pessoal'!$E$7:$E$506)*(K$3&lt;='Gastos com Pessoal'!$F$7:$F$506)*(IF('Gastos com Pessoal'!$Y$7:$Y$506&lt;=K$3,1,0))*OFFSET('Gastos com Pessoal'!$H$6,1,MATCH(4&amp;$B54,'Gastos com Pessoal'!$I$532:$AJ$532&amp;'Gastos com Pessoal'!$I$6:$AJ$6,0),500,1)),0)+_xlfn.IFNA(SUM((K$3&gt;='Gastos com Pessoal'!$E$7:$E$506)*(K$3&lt;='Gastos com Pessoal'!$F$7:$F$506)*(IF('Gastos com Pessoal'!$AE$7:$AE$506&lt;=K$3,1,0))*OFFSET('Gastos com Pessoal'!$H$6,1,MATCH(5&amp;$B54,'Gastos com Pessoal'!$I$532:$AJ$532&amp;'Gastos com Pessoal'!$I$6:$AJ$6,0),500,1)),0)+_xlfn.IFNA(SUM((K$3&gt;='Gastos com Pessoal'!$E$513:$E$522)*(K$3&lt;='Gastos com Pessoal'!$F$513:$F$522)*(IF('Gastos com Pessoal'!$G$513:$G$522&lt;=K$3,1,0))*OFFSET('Gastos com Pessoal'!$H$512,1,MATCH(1&amp;$B54,'Gastos com Pessoal'!$I$532:$AJ$532&amp;'Gastos com Pessoal'!$I$512:$AJ$512,0),10,1)),0)+_xlfn.IFNA(SUM((K$3&gt;='Gastos com Pessoal'!$E$513:$E$522)*(K$3&lt;='Gastos com Pessoal'!$F$513:$F$522)*(IF('Gastos com Pessoal'!$M$513:$M$522&lt;=K$3,1,0))*OFFSET('Gastos com Pessoal'!$H$512,1,MATCH(2&amp;$B54,'Gastos com Pessoal'!$I$532:$AJ$532&amp;'Gastos com Pessoal'!$I$512:$AJ$512,0),10,1)),0)+_xlfn.IFNA(SUM((K$3&gt;='Gastos com Pessoal'!$E$513:$E$522)*(K$3&lt;='Gastos com Pessoal'!$F$513:$F$522)*(IF('Gastos com Pessoal'!$S$513:$S$522&lt;=K$3,1,0))*OFFSET('Gastos com Pessoal'!$H$512,1,MATCH(3&amp;$B54,'Gastos com Pessoal'!$I$532:$AJ$532&amp;'Gastos com Pessoal'!$I$512:$AJ$512,0),10,1)),0)+_xlfn.IFNA(SUM((K$3&gt;='Gastos com Pessoal'!$E$513:$E$522)*(K$3&lt;='Gastos com Pessoal'!$F$513:$F$522)*(IF('Gastos com Pessoal'!$Y$513:$Y$522&lt;=K$3,1,0))*OFFSET('Gastos com Pessoal'!$H$512,1,MATCH(4&amp;$B54,'Gastos com Pessoal'!$I$532:$AJ$532&amp;'Gastos com Pessoal'!$I$512:$AJ$512,0),10,1)),0)+_xlfn.IFNA(SUM((K$3&gt;='Gastos com Pessoal'!$E$513:$E$522)*(K$3&lt;='Gastos com Pessoal'!$F$513:$F$522)*(IF('Gastos com Pessoal'!$AE$513:$AE$522&lt;=K$3,1,0))*OFFSET('Gastos com Pessoal'!$H$512,1,MATCH(5&amp;$B54,'Gastos com Pessoal'!$I$532:$AJ$532&amp;'Gastos com Pessoal'!$I$512:$AJ$512,0),10,1)),0)</f>
        <v>16461.050000000039</v>
      </c>
      <c r="L54" s="188">
        <f t="array" aca="1" ref="L54" ca="1">_xlfn.IFNA(SUM((L$3&gt;='Gastos com Pessoal'!$E$7:$E$506)*(L$3&lt;='Gastos com Pessoal'!$F$7:$F$506)*OFFSET('Encargos e Benefícios'!$D$5,1,MATCH($B54,'Encargos e Benefícios'!$E$5:$AB$5,0),500,1)),0)+_xlfn.IFNA(SUM((L$3&gt;='Gastos com Pessoal'!$E$513:$E$522)*(L$3&lt;='Gastos com Pessoal'!$F$513:$F$522)*OFFSET('Encargos e Benefícios'!$D$511,1,MATCH($B54,'Encargos e Benefícios'!$E$511:$AB$511,0),10,1)),0)+_xlfn.IFNA(SUM((L$3&gt;='Gastos com Pessoal'!$E$7:$E$506)*(L$3&lt;='Gastos com Pessoal'!$F$7:$F$506)*(IF('Gastos com Pessoal'!$G$7:$G$506&lt;=L$3,1,0))*OFFSET('Gastos com Pessoal'!$H$6,1,MATCH(1&amp;$B54,'Gastos com Pessoal'!$I$532:$AJ$532&amp;'Gastos com Pessoal'!$I$6:$AJ$6,0),500,1)),0)+_xlfn.IFNA(SUM((L$3&gt;='Gastos com Pessoal'!$E$7:$E$506)*(L$3&lt;='Gastos com Pessoal'!$F$7:$F$506)*(IF('Gastos com Pessoal'!$M$7:$M$506&lt;=L$3,1,0))*OFFSET('Gastos com Pessoal'!$H$6,1,MATCH(2&amp;$B54,'Gastos com Pessoal'!$I$532:$AJ$532&amp;'Gastos com Pessoal'!$I$6:$AJ$6,0),500,1)),0)+_xlfn.IFNA(SUM((L$3&gt;='Gastos com Pessoal'!$E$7:$E$506)*(L$3&lt;='Gastos com Pessoal'!$F$7:$F$506)*(IF('Gastos com Pessoal'!$S$7:$S$506&lt;=L$3,1,0))*OFFSET('Gastos com Pessoal'!$H$6,1,MATCH(3&amp;$B54,'Gastos com Pessoal'!$I$532:$AJ$532&amp;'Gastos com Pessoal'!$I$6:$AJ$6,0),500,1)),0)+_xlfn.IFNA(SUM((L$3&gt;='Gastos com Pessoal'!$E$7:$E$506)*(L$3&lt;='Gastos com Pessoal'!$F$7:$F$506)*(IF('Gastos com Pessoal'!$Y$7:$Y$506&lt;=L$3,1,0))*OFFSET('Gastos com Pessoal'!$H$6,1,MATCH(4&amp;$B54,'Gastos com Pessoal'!$I$532:$AJ$532&amp;'Gastos com Pessoal'!$I$6:$AJ$6,0),500,1)),0)+_xlfn.IFNA(SUM((L$3&gt;='Gastos com Pessoal'!$E$7:$E$506)*(L$3&lt;='Gastos com Pessoal'!$F$7:$F$506)*(IF('Gastos com Pessoal'!$AE$7:$AE$506&lt;=L$3,1,0))*OFFSET('Gastos com Pessoal'!$H$6,1,MATCH(5&amp;$B54,'Gastos com Pessoal'!$I$532:$AJ$532&amp;'Gastos com Pessoal'!$I$6:$AJ$6,0),500,1)),0)+_xlfn.IFNA(SUM((L$3&gt;='Gastos com Pessoal'!$E$513:$E$522)*(L$3&lt;='Gastos com Pessoal'!$F$513:$F$522)*(IF('Gastos com Pessoal'!$G$513:$G$522&lt;=L$3,1,0))*OFFSET('Gastos com Pessoal'!$H$512,1,MATCH(1&amp;$B54,'Gastos com Pessoal'!$I$532:$AJ$532&amp;'Gastos com Pessoal'!$I$512:$AJ$512,0),10,1)),0)+_xlfn.IFNA(SUM((L$3&gt;='Gastos com Pessoal'!$E$513:$E$522)*(L$3&lt;='Gastos com Pessoal'!$F$513:$F$522)*(IF('Gastos com Pessoal'!$M$513:$M$522&lt;=L$3,1,0))*OFFSET('Gastos com Pessoal'!$H$512,1,MATCH(2&amp;$B54,'Gastos com Pessoal'!$I$532:$AJ$532&amp;'Gastos com Pessoal'!$I$512:$AJ$512,0),10,1)),0)+_xlfn.IFNA(SUM((L$3&gt;='Gastos com Pessoal'!$E$513:$E$522)*(L$3&lt;='Gastos com Pessoal'!$F$513:$F$522)*(IF('Gastos com Pessoal'!$S$513:$S$522&lt;=L$3,1,0))*OFFSET('Gastos com Pessoal'!$H$512,1,MATCH(3&amp;$B54,'Gastos com Pessoal'!$I$532:$AJ$532&amp;'Gastos com Pessoal'!$I$512:$AJ$512,0),10,1)),0)+_xlfn.IFNA(SUM((L$3&gt;='Gastos com Pessoal'!$E$513:$E$522)*(L$3&lt;='Gastos com Pessoal'!$F$513:$F$522)*(IF('Gastos com Pessoal'!$Y$513:$Y$522&lt;=L$3,1,0))*OFFSET('Gastos com Pessoal'!$H$512,1,MATCH(4&amp;$B54,'Gastos com Pessoal'!$I$532:$AJ$532&amp;'Gastos com Pessoal'!$I$512:$AJ$512,0),10,1)),0)+_xlfn.IFNA(SUM((L$3&gt;='Gastos com Pessoal'!$E$513:$E$522)*(L$3&lt;='Gastos com Pessoal'!$F$513:$F$522)*(IF('Gastos com Pessoal'!$AE$513:$AE$522&lt;=L$3,1,0))*OFFSET('Gastos com Pessoal'!$H$512,1,MATCH(5&amp;$B54,'Gastos com Pessoal'!$I$532:$AJ$532&amp;'Gastos com Pessoal'!$I$512:$AJ$512,0),10,1)),0)</f>
        <v>16513.850000000039</v>
      </c>
      <c r="M54" s="188">
        <f t="array" aca="1" ref="M54" ca="1">_xlfn.IFNA(SUM((M$3&gt;='Gastos com Pessoal'!$E$7:$E$506)*(M$3&lt;='Gastos com Pessoal'!$F$7:$F$506)*OFFSET('Encargos e Benefícios'!$D$5,1,MATCH($B54,'Encargos e Benefícios'!$E$5:$AB$5,0),500,1)),0)+_xlfn.IFNA(SUM((M$3&gt;='Gastos com Pessoal'!$E$513:$E$522)*(M$3&lt;='Gastos com Pessoal'!$F$513:$F$522)*OFFSET('Encargos e Benefícios'!$D$511,1,MATCH($B54,'Encargos e Benefícios'!$E$511:$AB$511,0),10,1)),0)+_xlfn.IFNA(SUM((M$3&gt;='Gastos com Pessoal'!$E$7:$E$506)*(M$3&lt;='Gastos com Pessoal'!$F$7:$F$506)*(IF('Gastos com Pessoal'!$G$7:$G$506&lt;=M$3,1,0))*OFFSET('Gastos com Pessoal'!$H$6,1,MATCH(1&amp;$B54,'Gastos com Pessoal'!$I$532:$AJ$532&amp;'Gastos com Pessoal'!$I$6:$AJ$6,0),500,1)),0)+_xlfn.IFNA(SUM((M$3&gt;='Gastos com Pessoal'!$E$7:$E$506)*(M$3&lt;='Gastos com Pessoal'!$F$7:$F$506)*(IF('Gastos com Pessoal'!$M$7:$M$506&lt;=M$3,1,0))*OFFSET('Gastos com Pessoal'!$H$6,1,MATCH(2&amp;$B54,'Gastos com Pessoal'!$I$532:$AJ$532&amp;'Gastos com Pessoal'!$I$6:$AJ$6,0),500,1)),0)+_xlfn.IFNA(SUM((M$3&gt;='Gastos com Pessoal'!$E$7:$E$506)*(M$3&lt;='Gastos com Pessoal'!$F$7:$F$506)*(IF('Gastos com Pessoal'!$S$7:$S$506&lt;=M$3,1,0))*OFFSET('Gastos com Pessoal'!$H$6,1,MATCH(3&amp;$B54,'Gastos com Pessoal'!$I$532:$AJ$532&amp;'Gastos com Pessoal'!$I$6:$AJ$6,0),500,1)),0)+_xlfn.IFNA(SUM((M$3&gt;='Gastos com Pessoal'!$E$7:$E$506)*(M$3&lt;='Gastos com Pessoal'!$F$7:$F$506)*(IF('Gastos com Pessoal'!$Y$7:$Y$506&lt;=M$3,1,0))*OFFSET('Gastos com Pessoal'!$H$6,1,MATCH(4&amp;$B54,'Gastos com Pessoal'!$I$532:$AJ$532&amp;'Gastos com Pessoal'!$I$6:$AJ$6,0),500,1)),0)+_xlfn.IFNA(SUM((M$3&gt;='Gastos com Pessoal'!$E$7:$E$506)*(M$3&lt;='Gastos com Pessoal'!$F$7:$F$506)*(IF('Gastos com Pessoal'!$AE$7:$AE$506&lt;=M$3,1,0))*OFFSET('Gastos com Pessoal'!$H$6,1,MATCH(5&amp;$B54,'Gastos com Pessoal'!$I$532:$AJ$532&amp;'Gastos com Pessoal'!$I$6:$AJ$6,0),500,1)),0)+_xlfn.IFNA(SUM((M$3&gt;='Gastos com Pessoal'!$E$513:$E$522)*(M$3&lt;='Gastos com Pessoal'!$F$513:$F$522)*(IF('Gastos com Pessoal'!$G$513:$G$522&lt;=M$3,1,0))*OFFSET('Gastos com Pessoal'!$H$512,1,MATCH(1&amp;$B54,'Gastos com Pessoal'!$I$532:$AJ$532&amp;'Gastos com Pessoal'!$I$512:$AJ$512,0),10,1)),0)+_xlfn.IFNA(SUM((M$3&gt;='Gastos com Pessoal'!$E$513:$E$522)*(M$3&lt;='Gastos com Pessoal'!$F$513:$F$522)*(IF('Gastos com Pessoal'!$M$513:$M$522&lt;=M$3,1,0))*OFFSET('Gastos com Pessoal'!$H$512,1,MATCH(2&amp;$B54,'Gastos com Pessoal'!$I$532:$AJ$532&amp;'Gastos com Pessoal'!$I$512:$AJ$512,0),10,1)),0)+_xlfn.IFNA(SUM((M$3&gt;='Gastos com Pessoal'!$E$513:$E$522)*(M$3&lt;='Gastos com Pessoal'!$F$513:$F$522)*(IF('Gastos com Pessoal'!$S$513:$S$522&lt;=M$3,1,0))*OFFSET('Gastos com Pessoal'!$H$512,1,MATCH(3&amp;$B54,'Gastos com Pessoal'!$I$532:$AJ$532&amp;'Gastos com Pessoal'!$I$512:$AJ$512,0),10,1)),0)+_xlfn.IFNA(SUM((M$3&gt;='Gastos com Pessoal'!$E$513:$E$522)*(M$3&lt;='Gastos com Pessoal'!$F$513:$F$522)*(IF('Gastos com Pessoal'!$Y$513:$Y$522&lt;=M$3,1,0))*OFFSET('Gastos com Pessoal'!$H$512,1,MATCH(4&amp;$B54,'Gastos com Pessoal'!$I$532:$AJ$532&amp;'Gastos com Pessoal'!$I$512:$AJ$512,0),10,1)),0)+_xlfn.IFNA(SUM((M$3&gt;='Gastos com Pessoal'!$E$513:$E$522)*(M$3&lt;='Gastos com Pessoal'!$F$513:$F$522)*(IF('Gastos com Pessoal'!$AE$513:$AE$522&lt;=M$3,1,0))*OFFSET('Gastos com Pessoal'!$H$512,1,MATCH(5&amp;$B54,'Gastos com Pessoal'!$I$532:$AJ$532&amp;'Gastos com Pessoal'!$I$512:$AJ$512,0),10,1)),0)</f>
        <v>16513.850000000039</v>
      </c>
      <c r="N54" s="188">
        <f t="array" aca="1" ref="N54" ca="1">_xlfn.IFNA(SUM((N$3&gt;='Gastos com Pessoal'!$E$7:$E$506)*(N$3&lt;='Gastos com Pessoal'!$F$7:$F$506)*OFFSET('Encargos e Benefícios'!$D$5,1,MATCH($B54,'Encargos e Benefícios'!$E$5:$AB$5,0),500,1)),0)+_xlfn.IFNA(SUM((N$3&gt;='Gastos com Pessoal'!$E$513:$E$522)*(N$3&lt;='Gastos com Pessoal'!$F$513:$F$522)*OFFSET('Encargos e Benefícios'!$D$511,1,MATCH($B54,'Encargos e Benefícios'!$E$511:$AB$511,0),10,1)),0)+_xlfn.IFNA(SUM((N$3&gt;='Gastos com Pessoal'!$E$7:$E$506)*(N$3&lt;='Gastos com Pessoal'!$F$7:$F$506)*(IF('Gastos com Pessoal'!$G$7:$G$506&lt;=N$3,1,0))*OFFSET('Gastos com Pessoal'!$H$6,1,MATCH(1&amp;$B54,'Gastos com Pessoal'!$I$532:$AJ$532&amp;'Gastos com Pessoal'!$I$6:$AJ$6,0),500,1)),0)+_xlfn.IFNA(SUM((N$3&gt;='Gastos com Pessoal'!$E$7:$E$506)*(N$3&lt;='Gastos com Pessoal'!$F$7:$F$506)*(IF('Gastos com Pessoal'!$M$7:$M$506&lt;=N$3,1,0))*OFFSET('Gastos com Pessoal'!$H$6,1,MATCH(2&amp;$B54,'Gastos com Pessoal'!$I$532:$AJ$532&amp;'Gastos com Pessoal'!$I$6:$AJ$6,0),500,1)),0)+_xlfn.IFNA(SUM((N$3&gt;='Gastos com Pessoal'!$E$7:$E$506)*(N$3&lt;='Gastos com Pessoal'!$F$7:$F$506)*(IF('Gastos com Pessoal'!$S$7:$S$506&lt;=N$3,1,0))*OFFSET('Gastos com Pessoal'!$H$6,1,MATCH(3&amp;$B54,'Gastos com Pessoal'!$I$532:$AJ$532&amp;'Gastos com Pessoal'!$I$6:$AJ$6,0),500,1)),0)+_xlfn.IFNA(SUM((N$3&gt;='Gastos com Pessoal'!$E$7:$E$506)*(N$3&lt;='Gastos com Pessoal'!$F$7:$F$506)*(IF('Gastos com Pessoal'!$Y$7:$Y$506&lt;=N$3,1,0))*OFFSET('Gastos com Pessoal'!$H$6,1,MATCH(4&amp;$B54,'Gastos com Pessoal'!$I$532:$AJ$532&amp;'Gastos com Pessoal'!$I$6:$AJ$6,0),500,1)),0)+_xlfn.IFNA(SUM((N$3&gt;='Gastos com Pessoal'!$E$7:$E$506)*(N$3&lt;='Gastos com Pessoal'!$F$7:$F$506)*(IF('Gastos com Pessoal'!$AE$7:$AE$506&lt;=N$3,1,0))*OFFSET('Gastos com Pessoal'!$H$6,1,MATCH(5&amp;$B54,'Gastos com Pessoal'!$I$532:$AJ$532&amp;'Gastos com Pessoal'!$I$6:$AJ$6,0),500,1)),0)+_xlfn.IFNA(SUM((N$3&gt;='Gastos com Pessoal'!$E$513:$E$522)*(N$3&lt;='Gastos com Pessoal'!$F$513:$F$522)*(IF('Gastos com Pessoal'!$G$513:$G$522&lt;=N$3,1,0))*OFFSET('Gastos com Pessoal'!$H$512,1,MATCH(1&amp;$B54,'Gastos com Pessoal'!$I$532:$AJ$532&amp;'Gastos com Pessoal'!$I$512:$AJ$512,0),10,1)),0)+_xlfn.IFNA(SUM((N$3&gt;='Gastos com Pessoal'!$E$513:$E$522)*(N$3&lt;='Gastos com Pessoal'!$F$513:$F$522)*(IF('Gastos com Pessoal'!$M$513:$M$522&lt;=N$3,1,0))*OFFSET('Gastos com Pessoal'!$H$512,1,MATCH(2&amp;$B54,'Gastos com Pessoal'!$I$532:$AJ$532&amp;'Gastos com Pessoal'!$I$512:$AJ$512,0),10,1)),0)+_xlfn.IFNA(SUM((N$3&gt;='Gastos com Pessoal'!$E$513:$E$522)*(N$3&lt;='Gastos com Pessoal'!$F$513:$F$522)*(IF('Gastos com Pessoal'!$S$513:$S$522&lt;=N$3,1,0))*OFFSET('Gastos com Pessoal'!$H$512,1,MATCH(3&amp;$B54,'Gastos com Pessoal'!$I$532:$AJ$532&amp;'Gastos com Pessoal'!$I$512:$AJ$512,0),10,1)),0)+_xlfn.IFNA(SUM((N$3&gt;='Gastos com Pessoal'!$E$513:$E$522)*(N$3&lt;='Gastos com Pessoal'!$F$513:$F$522)*(IF('Gastos com Pessoal'!$Y$513:$Y$522&lt;=N$3,1,0))*OFFSET('Gastos com Pessoal'!$H$512,1,MATCH(4&amp;$B54,'Gastos com Pessoal'!$I$532:$AJ$532&amp;'Gastos com Pessoal'!$I$512:$AJ$512,0),10,1)),0)+_xlfn.IFNA(SUM((N$3&gt;='Gastos com Pessoal'!$E$513:$E$522)*(N$3&lt;='Gastos com Pessoal'!$F$513:$F$522)*(IF('Gastos com Pessoal'!$AE$513:$AE$522&lt;=N$3,1,0))*OFFSET('Gastos com Pessoal'!$H$512,1,MATCH(5&amp;$B54,'Gastos com Pessoal'!$I$532:$AJ$532&amp;'Gastos com Pessoal'!$I$512:$AJ$512,0),10,1)),0)</f>
        <v>17332.25000000004</v>
      </c>
      <c r="O54" s="188">
        <f t="array" aca="1" ref="O54" ca="1">_xlfn.IFNA(SUM((O$3&gt;='Gastos com Pessoal'!$E$7:$E$506)*(O$3&lt;='Gastos com Pessoal'!$F$7:$F$506)*OFFSET('Encargos e Benefícios'!$D$5,1,MATCH($B54,'Encargos e Benefícios'!$E$5:$AB$5,0),500,1)),0)+_xlfn.IFNA(SUM((O$3&gt;='Gastos com Pessoal'!$E$513:$E$522)*(O$3&lt;='Gastos com Pessoal'!$F$513:$F$522)*OFFSET('Encargos e Benefícios'!$D$511,1,MATCH($B54,'Encargos e Benefícios'!$E$511:$AB$511,0),10,1)),0)+_xlfn.IFNA(SUM((O$3&gt;='Gastos com Pessoal'!$E$7:$E$506)*(O$3&lt;='Gastos com Pessoal'!$F$7:$F$506)*(IF('Gastos com Pessoal'!$G$7:$G$506&lt;=O$3,1,0))*OFFSET('Gastos com Pessoal'!$H$6,1,MATCH(1&amp;$B54,'Gastos com Pessoal'!$I$532:$AJ$532&amp;'Gastos com Pessoal'!$I$6:$AJ$6,0),500,1)),0)+_xlfn.IFNA(SUM((O$3&gt;='Gastos com Pessoal'!$E$7:$E$506)*(O$3&lt;='Gastos com Pessoal'!$F$7:$F$506)*(IF('Gastos com Pessoal'!$M$7:$M$506&lt;=O$3,1,0))*OFFSET('Gastos com Pessoal'!$H$6,1,MATCH(2&amp;$B54,'Gastos com Pessoal'!$I$532:$AJ$532&amp;'Gastos com Pessoal'!$I$6:$AJ$6,0),500,1)),0)+_xlfn.IFNA(SUM((O$3&gt;='Gastos com Pessoal'!$E$7:$E$506)*(O$3&lt;='Gastos com Pessoal'!$F$7:$F$506)*(IF('Gastos com Pessoal'!$S$7:$S$506&lt;=O$3,1,0))*OFFSET('Gastos com Pessoal'!$H$6,1,MATCH(3&amp;$B54,'Gastos com Pessoal'!$I$532:$AJ$532&amp;'Gastos com Pessoal'!$I$6:$AJ$6,0),500,1)),0)+_xlfn.IFNA(SUM((O$3&gt;='Gastos com Pessoal'!$E$7:$E$506)*(O$3&lt;='Gastos com Pessoal'!$F$7:$F$506)*(IF('Gastos com Pessoal'!$Y$7:$Y$506&lt;=O$3,1,0))*OFFSET('Gastos com Pessoal'!$H$6,1,MATCH(4&amp;$B54,'Gastos com Pessoal'!$I$532:$AJ$532&amp;'Gastos com Pessoal'!$I$6:$AJ$6,0),500,1)),0)+_xlfn.IFNA(SUM((O$3&gt;='Gastos com Pessoal'!$E$7:$E$506)*(O$3&lt;='Gastos com Pessoal'!$F$7:$F$506)*(IF('Gastos com Pessoal'!$AE$7:$AE$506&lt;=O$3,1,0))*OFFSET('Gastos com Pessoal'!$H$6,1,MATCH(5&amp;$B54,'Gastos com Pessoal'!$I$532:$AJ$532&amp;'Gastos com Pessoal'!$I$6:$AJ$6,0),500,1)),0)+_xlfn.IFNA(SUM((O$3&gt;='Gastos com Pessoal'!$E$513:$E$522)*(O$3&lt;='Gastos com Pessoal'!$F$513:$F$522)*(IF('Gastos com Pessoal'!$G$513:$G$522&lt;=O$3,1,0))*OFFSET('Gastos com Pessoal'!$H$512,1,MATCH(1&amp;$B54,'Gastos com Pessoal'!$I$532:$AJ$532&amp;'Gastos com Pessoal'!$I$512:$AJ$512,0),10,1)),0)+_xlfn.IFNA(SUM((O$3&gt;='Gastos com Pessoal'!$E$513:$E$522)*(O$3&lt;='Gastos com Pessoal'!$F$513:$F$522)*(IF('Gastos com Pessoal'!$M$513:$M$522&lt;=O$3,1,0))*OFFSET('Gastos com Pessoal'!$H$512,1,MATCH(2&amp;$B54,'Gastos com Pessoal'!$I$532:$AJ$532&amp;'Gastos com Pessoal'!$I$512:$AJ$512,0),10,1)),0)+_xlfn.IFNA(SUM((O$3&gt;='Gastos com Pessoal'!$E$513:$E$522)*(O$3&lt;='Gastos com Pessoal'!$F$513:$F$522)*(IF('Gastos com Pessoal'!$S$513:$S$522&lt;=O$3,1,0))*OFFSET('Gastos com Pessoal'!$H$512,1,MATCH(3&amp;$B54,'Gastos com Pessoal'!$I$532:$AJ$532&amp;'Gastos com Pessoal'!$I$512:$AJ$512,0),10,1)),0)+_xlfn.IFNA(SUM((O$3&gt;='Gastos com Pessoal'!$E$513:$E$522)*(O$3&lt;='Gastos com Pessoal'!$F$513:$F$522)*(IF('Gastos com Pessoal'!$Y$513:$Y$522&lt;=O$3,1,0))*OFFSET('Gastos com Pessoal'!$H$512,1,MATCH(4&amp;$B54,'Gastos com Pessoal'!$I$532:$AJ$532&amp;'Gastos com Pessoal'!$I$512:$AJ$512,0),10,1)),0)+_xlfn.IFNA(SUM((O$3&gt;='Gastos com Pessoal'!$E$513:$E$522)*(O$3&lt;='Gastos com Pessoal'!$F$513:$F$522)*(IF('Gastos com Pessoal'!$AE$513:$AE$522&lt;=O$3,1,0))*OFFSET('Gastos com Pessoal'!$H$512,1,MATCH(5&amp;$B54,'Gastos com Pessoal'!$I$532:$AJ$532&amp;'Gastos com Pessoal'!$I$512:$AJ$512,0),10,1)),0)</f>
        <v>17332.25000000004</v>
      </c>
      <c r="P54" s="188">
        <f t="array" aca="1" ref="P54" ca="1">_xlfn.IFNA(SUM((P$3&gt;='Gastos com Pessoal'!$E$7:$E$506)*(P$3&lt;='Gastos com Pessoal'!$F$7:$F$506)*OFFSET('Encargos e Benefícios'!$D$5,1,MATCH($B54,'Encargos e Benefícios'!$E$5:$AB$5,0),500,1)),0)+_xlfn.IFNA(SUM((P$3&gt;='Gastos com Pessoal'!$E$513:$E$522)*(P$3&lt;='Gastos com Pessoal'!$F$513:$F$522)*OFFSET('Encargos e Benefícios'!$D$511,1,MATCH($B54,'Encargos e Benefícios'!$E$511:$AB$511,0),10,1)),0)+_xlfn.IFNA(SUM((P$3&gt;='Gastos com Pessoal'!$E$7:$E$506)*(P$3&lt;='Gastos com Pessoal'!$F$7:$F$506)*(IF('Gastos com Pessoal'!$G$7:$G$506&lt;=P$3,1,0))*OFFSET('Gastos com Pessoal'!$H$6,1,MATCH(1&amp;$B54,'Gastos com Pessoal'!$I$532:$AJ$532&amp;'Gastos com Pessoal'!$I$6:$AJ$6,0),500,1)),0)+_xlfn.IFNA(SUM((P$3&gt;='Gastos com Pessoal'!$E$7:$E$506)*(P$3&lt;='Gastos com Pessoal'!$F$7:$F$506)*(IF('Gastos com Pessoal'!$M$7:$M$506&lt;=P$3,1,0))*OFFSET('Gastos com Pessoal'!$H$6,1,MATCH(2&amp;$B54,'Gastos com Pessoal'!$I$532:$AJ$532&amp;'Gastos com Pessoal'!$I$6:$AJ$6,0),500,1)),0)+_xlfn.IFNA(SUM((P$3&gt;='Gastos com Pessoal'!$E$7:$E$506)*(P$3&lt;='Gastos com Pessoal'!$F$7:$F$506)*(IF('Gastos com Pessoal'!$S$7:$S$506&lt;=P$3,1,0))*OFFSET('Gastos com Pessoal'!$H$6,1,MATCH(3&amp;$B54,'Gastos com Pessoal'!$I$532:$AJ$532&amp;'Gastos com Pessoal'!$I$6:$AJ$6,0),500,1)),0)+_xlfn.IFNA(SUM((P$3&gt;='Gastos com Pessoal'!$E$7:$E$506)*(P$3&lt;='Gastos com Pessoal'!$F$7:$F$506)*(IF('Gastos com Pessoal'!$Y$7:$Y$506&lt;=P$3,1,0))*OFFSET('Gastos com Pessoal'!$H$6,1,MATCH(4&amp;$B54,'Gastos com Pessoal'!$I$532:$AJ$532&amp;'Gastos com Pessoal'!$I$6:$AJ$6,0),500,1)),0)+_xlfn.IFNA(SUM((P$3&gt;='Gastos com Pessoal'!$E$7:$E$506)*(P$3&lt;='Gastos com Pessoal'!$F$7:$F$506)*(IF('Gastos com Pessoal'!$AE$7:$AE$506&lt;=P$3,1,0))*OFFSET('Gastos com Pessoal'!$H$6,1,MATCH(5&amp;$B54,'Gastos com Pessoal'!$I$532:$AJ$532&amp;'Gastos com Pessoal'!$I$6:$AJ$6,0),500,1)),0)+_xlfn.IFNA(SUM((P$3&gt;='Gastos com Pessoal'!$E$513:$E$522)*(P$3&lt;='Gastos com Pessoal'!$F$513:$F$522)*(IF('Gastos com Pessoal'!$G$513:$G$522&lt;=P$3,1,0))*OFFSET('Gastos com Pessoal'!$H$512,1,MATCH(1&amp;$B54,'Gastos com Pessoal'!$I$532:$AJ$532&amp;'Gastos com Pessoal'!$I$512:$AJ$512,0),10,1)),0)+_xlfn.IFNA(SUM((P$3&gt;='Gastos com Pessoal'!$E$513:$E$522)*(P$3&lt;='Gastos com Pessoal'!$F$513:$F$522)*(IF('Gastos com Pessoal'!$M$513:$M$522&lt;=P$3,1,0))*OFFSET('Gastos com Pessoal'!$H$512,1,MATCH(2&amp;$B54,'Gastos com Pessoal'!$I$532:$AJ$532&amp;'Gastos com Pessoal'!$I$512:$AJ$512,0),10,1)),0)+_xlfn.IFNA(SUM((P$3&gt;='Gastos com Pessoal'!$E$513:$E$522)*(P$3&lt;='Gastos com Pessoal'!$F$513:$F$522)*(IF('Gastos com Pessoal'!$S$513:$S$522&lt;=P$3,1,0))*OFFSET('Gastos com Pessoal'!$H$512,1,MATCH(3&amp;$B54,'Gastos com Pessoal'!$I$532:$AJ$532&amp;'Gastos com Pessoal'!$I$512:$AJ$512,0),10,1)),0)+_xlfn.IFNA(SUM((P$3&gt;='Gastos com Pessoal'!$E$513:$E$522)*(P$3&lt;='Gastos com Pessoal'!$F$513:$F$522)*(IF('Gastos com Pessoal'!$Y$513:$Y$522&lt;=P$3,1,0))*OFFSET('Gastos com Pessoal'!$H$512,1,MATCH(4&amp;$B54,'Gastos com Pessoal'!$I$532:$AJ$532&amp;'Gastos com Pessoal'!$I$512:$AJ$512,0),10,1)),0)+_xlfn.IFNA(SUM((P$3&gt;='Gastos com Pessoal'!$E$513:$E$522)*(P$3&lt;='Gastos com Pessoal'!$F$513:$F$522)*(IF('Gastos com Pessoal'!$AE$513:$AE$522&lt;=P$3,1,0))*OFFSET('Gastos com Pessoal'!$H$512,1,MATCH(5&amp;$B54,'Gastos com Pessoal'!$I$532:$AJ$532&amp;'Gastos com Pessoal'!$I$512:$AJ$512,0),10,1)),0)</f>
        <v>17332.25000000004</v>
      </c>
      <c r="Q54" s="188">
        <f t="array" aca="1" ref="Q54" ca="1">_xlfn.IFNA(SUM((Q$3&gt;='Gastos com Pessoal'!$E$7:$E$506)*(Q$3&lt;='Gastos com Pessoal'!$F$7:$F$506)*OFFSET('Encargos e Benefícios'!$D$5,1,MATCH($B54,'Encargos e Benefícios'!$E$5:$AB$5,0),500,1)),0)+_xlfn.IFNA(SUM((Q$3&gt;='Gastos com Pessoal'!$E$513:$E$522)*(Q$3&lt;='Gastos com Pessoal'!$F$513:$F$522)*OFFSET('Encargos e Benefícios'!$D$511,1,MATCH($B54,'Encargos e Benefícios'!$E$511:$AB$511,0),10,1)),0)+_xlfn.IFNA(SUM((Q$3&gt;='Gastos com Pessoal'!$E$7:$E$506)*(Q$3&lt;='Gastos com Pessoal'!$F$7:$F$506)*(IF('Gastos com Pessoal'!$G$7:$G$506&lt;=Q$3,1,0))*OFFSET('Gastos com Pessoal'!$H$6,1,MATCH(1&amp;$B54,'Gastos com Pessoal'!$I$532:$AJ$532&amp;'Gastos com Pessoal'!$I$6:$AJ$6,0),500,1)),0)+_xlfn.IFNA(SUM((Q$3&gt;='Gastos com Pessoal'!$E$7:$E$506)*(Q$3&lt;='Gastos com Pessoal'!$F$7:$F$506)*(IF('Gastos com Pessoal'!$M$7:$M$506&lt;=Q$3,1,0))*OFFSET('Gastos com Pessoal'!$H$6,1,MATCH(2&amp;$B54,'Gastos com Pessoal'!$I$532:$AJ$532&amp;'Gastos com Pessoal'!$I$6:$AJ$6,0),500,1)),0)+_xlfn.IFNA(SUM((Q$3&gt;='Gastos com Pessoal'!$E$7:$E$506)*(Q$3&lt;='Gastos com Pessoal'!$F$7:$F$506)*(IF('Gastos com Pessoal'!$S$7:$S$506&lt;=Q$3,1,0))*OFFSET('Gastos com Pessoal'!$H$6,1,MATCH(3&amp;$B54,'Gastos com Pessoal'!$I$532:$AJ$532&amp;'Gastos com Pessoal'!$I$6:$AJ$6,0),500,1)),0)+_xlfn.IFNA(SUM((Q$3&gt;='Gastos com Pessoal'!$E$7:$E$506)*(Q$3&lt;='Gastos com Pessoal'!$F$7:$F$506)*(IF('Gastos com Pessoal'!$Y$7:$Y$506&lt;=Q$3,1,0))*OFFSET('Gastos com Pessoal'!$H$6,1,MATCH(4&amp;$B54,'Gastos com Pessoal'!$I$532:$AJ$532&amp;'Gastos com Pessoal'!$I$6:$AJ$6,0),500,1)),0)+_xlfn.IFNA(SUM((Q$3&gt;='Gastos com Pessoal'!$E$7:$E$506)*(Q$3&lt;='Gastos com Pessoal'!$F$7:$F$506)*(IF('Gastos com Pessoal'!$AE$7:$AE$506&lt;=Q$3,1,0))*OFFSET('Gastos com Pessoal'!$H$6,1,MATCH(5&amp;$B54,'Gastos com Pessoal'!$I$532:$AJ$532&amp;'Gastos com Pessoal'!$I$6:$AJ$6,0),500,1)),0)+_xlfn.IFNA(SUM((Q$3&gt;='Gastos com Pessoal'!$E$513:$E$522)*(Q$3&lt;='Gastos com Pessoal'!$F$513:$F$522)*(IF('Gastos com Pessoal'!$G$513:$G$522&lt;=Q$3,1,0))*OFFSET('Gastos com Pessoal'!$H$512,1,MATCH(1&amp;$B54,'Gastos com Pessoal'!$I$532:$AJ$532&amp;'Gastos com Pessoal'!$I$512:$AJ$512,0),10,1)),0)+_xlfn.IFNA(SUM((Q$3&gt;='Gastos com Pessoal'!$E$513:$E$522)*(Q$3&lt;='Gastos com Pessoal'!$F$513:$F$522)*(IF('Gastos com Pessoal'!$M$513:$M$522&lt;=Q$3,1,0))*OFFSET('Gastos com Pessoal'!$H$512,1,MATCH(2&amp;$B54,'Gastos com Pessoal'!$I$532:$AJ$532&amp;'Gastos com Pessoal'!$I$512:$AJ$512,0),10,1)),0)+_xlfn.IFNA(SUM((Q$3&gt;='Gastos com Pessoal'!$E$513:$E$522)*(Q$3&lt;='Gastos com Pessoal'!$F$513:$F$522)*(IF('Gastos com Pessoal'!$S$513:$S$522&lt;=Q$3,1,0))*OFFSET('Gastos com Pessoal'!$H$512,1,MATCH(3&amp;$B54,'Gastos com Pessoal'!$I$532:$AJ$532&amp;'Gastos com Pessoal'!$I$512:$AJ$512,0),10,1)),0)+_xlfn.IFNA(SUM((Q$3&gt;='Gastos com Pessoal'!$E$513:$E$522)*(Q$3&lt;='Gastos com Pessoal'!$F$513:$F$522)*(IF('Gastos com Pessoal'!$Y$513:$Y$522&lt;=Q$3,1,0))*OFFSET('Gastos com Pessoal'!$H$512,1,MATCH(4&amp;$B54,'Gastos com Pessoal'!$I$532:$AJ$532&amp;'Gastos com Pessoal'!$I$512:$AJ$512,0),10,1)),0)+_xlfn.IFNA(SUM((Q$3&gt;='Gastos com Pessoal'!$E$513:$E$522)*(Q$3&lt;='Gastos com Pessoal'!$F$513:$F$522)*(IF('Gastos com Pessoal'!$AE$513:$AE$522&lt;=Q$3,1,0))*OFFSET('Gastos com Pessoal'!$H$512,1,MATCH(5&amp;$B54,'Gastos com Pessoal'!$I$532:$AJ$532&amp;'Gastos com Pessoal'!$I$512:$AJ$512,0),10,1)),0)</f>
        <v>17332.25000000004</v>
      </c>
      <c r="R54" s="188">
        <f t="array" aca="1" ref="R54" ca="1">_xlfn.IFNA(SUM((R$3&gt;='Gastos com Pessoal'!$E$7:$E$506)*(R$3&lt;='Gastos com Pessoal'!$F$7:$F$506)*OFFSET('Encargos e Benefícios'!$D$5,1,MATCH($B54,'Encargos e Benefícios'!$E$5:$AB$5,0),500,1)),0)+_xlfn.IFNA(SUM((R$3&gt;='Gastos com Pessoal'!$E$513:$E$522)*(R$3&lt;='Gastos com Pessoal'!$F$513:$F$522)*OFFSET('Encargos e Benefícios'!$D$511,1,MATCH($B54,'Encargos e Benefícios'!$E$511:$AB$511,0),10,1)),0)+_xlfn.IFNA(SUM((R$3&gt;='Gastos com Pessoal'!$E$7:$E$506)*(R$3&lt;='Gastos com Pessoal'!$F$7:$F$506)*(IF('Gastos com Pessoal'!$G$7:$G$506&lt;=R$3,1,0))*OFFSET('Gastos com Pessoal'!$H$6,1,MATCH(1&amp;$B54,'Gastos com Pessoal'!$I$532:$AJ$532&amp;'Gastos com Pessoal'!$I$6:$AJ$6,0),500,1)),0)+_xlfn.IFNA(SUM((R$3&gt;='Gastos com Pessoal'!$E$7:$E$506)*(R$3&lt;='Gastos com Pessoal'!$F$7:$F$506)*(IF('Gastos com Pessoal'!$M$7:$M$506&lt;=R$3,1,0))*OFFSET('Gastos com Pessoal'!$H$6,1,MATCH(2&amp;$B54,'Gastos com Pessoal'!$I$532:$AJ$532&amp;'Gastos com Pessoal'!$I$6:$AJ$6,0),500,1)),0)+_xlfn.IFNA(SUM((R$3&gt;='Gastos com Pessoal'!$E$7:$E$506)*(R$3&lt;='Gastos com Pessoal'!$F$7:$F$506)*(IF('Gastos com Pessoal'!$S$7:$S$506&lt;=R$3,1,0))*OFFSET('Gastos com Pessoal'!$H$6,1,MATCH(3&amp;$B54,'Gastos com Pessoal'!$I$532:$AJ$532&amp;'Gastos com Pessoal'!$I$6:$AJ$6,0),500,1)),0)+_xlfn.IFNA(SUM((R$3&gt;='Gastos com Pessoal'!$E$7:$E$506)*(R$3&lt;='Gastos com Pessoal'!$F$7:$F$506)*(IF('Gastos com Pessoal'!$Y$7:$Y$506&lt;=R$3,1,0))*OFFSET('Gastos com Pessoal'!$H$6,1,MATCH(4&amp;$B54,'Gastos com Pessoal'!$I$532:$AJ$532&amp;'Gastos com Pessoal'!$I$6:$AJ$6,0),500,1)),0)+_xlfn.IFNA(SUM((R$3&gt;='Gastos com Pessoal'!$E$7:$E$506)*(R$3&lt;='Gastos com Pessoal'!$F$7:$F$506)*(IF('Gastos com Pessoal'!$AE$7:$AE$506&lt;=R$3,1,0))*OFFSET('Gastos com Pessoal'!$H$6,1,MATCH(5&amp;$B54,'Gastos com Pessoal'!$I$532:$AJ$532&amp;'Gastos com Pessoal'!$I$6:$AJ$6,0),500,1)),0)+_xlfn.IFNA(SUM((R$3&gt;='Gastos com Pessoal'!$E$513:$E$522)*(R$3&lt;='Gastos com Pessoal'!$F$513:$F$522)*(IF('Gastos com Pessoal'!$G$513:$G$522&lt;=R$3,1,0))*OFFSET('Gastos com Pessoal'!$H$512,1,MATCH(1&amp;$B54,'Gastos com Pessoal'!$I$532:$AJ$532&amp;'Gastos com Pessoal'!$I$512:$AJ$512,0),10,1)),0)+_xlfn.IFNA(SUM((R$3&gt;='Gastos com Pessoal'!$E$513:$E$522)*(R$3&lt;='Gastos com Pessoal'!$F$513:$F$522)*(IF('Gastos com Pessoal'!$M$513:$M$522&lt;=R$3,1,0))*OFFSET('Gastos com Pessoal'!$H$512,1,MATCH(2&amp;$B54,'Gastos com Pessoal'!$I$532:$AJ$532&amp;'Gastos com Pessoal'!$I$512:$AJ$512,0),10,1)),0)+_xlfn.IFNA(SUM((R$3&gt;='Gastos com Pessoal'!$E$513:$E$522)*(R$3&lt;='Gastos com Pessoal'!$F$513:$F$522)*(IF('Gastos com Pessoal'!$S$513:$S$522&lt;=R$3,1,0))*OFFSET('Gastos com Pessoal'!$H$512,1,MATCH(3&amp;$B54,'Gastos com Pessoal'!$I$532:$AJ$532&amp;'Gastos com Pessoal'!$I$512:$AJ$512,0),10,1)),0)+_xlfn.IFNA(SUM((R$3&gt;='Gastos com Pessoal'!$E$513:$E$522)*(R$3&lt;='Gastos com Pessoal'!$F$513:$F$522)*(IF('Gastos com Pessoal'!$Y$513:$Y$522&lt;=R$3,1,0))*OFFSET('Gastos com Pessoal'!$H$512,1,MATCH(4&amp;$B54,'Gastos com Pessoal'!$I$532:$AJ$532&amp;'Gastos com Pessoal'!$I$512:$AJ$512,0),10,1)),0)+_xlfn.IFNA(SUM((R$3&gt;='Gastos com Pessoal'!$E$513:$E$522)*(R$3&lt;='Gastos com Pessoal'!$F$513:$F$522)*(IF('Gastos com Pessoal'!$AE$513:$AE$522&lt;=R$3,1,0))*OFFSET('Gastos com Pessoal'!$H$512,1,MATCH(5&amp;$B54,'Gastos com Pessoal'!$I$532:$AJ$532&amp;'Gastos com Pessoal'!$I$512:$AJ$512,0),10,1)),0)</f>
        <v>17332.25000000004</v>
      </c>
      <c r="S54" s="188">
        <f t="array" aca="1" ref="S54" ca="1">_xlfn.IFNA(SUM((S$3&gt;='Gastos com Pessoal'!$E$7:$E$506)*(S$3&lt;='Gastos com Pessoal'!$F$7:$F$506)*OFFSET('Encargos e Benefícios'!$D$5,1,MATCH($B54,'Encargos e Benefícios'!$E$5:$AB$5,0),500,1)),0)+_xlfn.IFNA(SUM((S$3&gt;='Gastos com Pessoal'!$E$513:$E$522)*(S$3&lt;='Gastos com Pessoal'!$F$513:$F$522)*OFFSET('Encargos e Benefícios'!$D$511,1,MATCH($B54,'Encargos e Benefícios'!$E$511:$AB$511,0),10,1)),0)+_xlfn.IFNA(SUM((S$3&gt;='Gastos com Pessoal'!$E$7:$E$506)*(S$3&lt;='Gastos com Pessoal'!$F$7:$F$506)*(IF('Gastos com Pessoal'!$G$7:$G$506&lt;=S$3,1,0))*OFFSET('Gastos com Pessoal'!$H$6,1,MATCH(1&amp;$B54,'Gastos com Pessoal'!$I$532:$AJ$532&amp;'Gastos com Pessoal'!$I$6:$AJ$6,0),500,1)),0)+_xlfn.IFNA(SUM((S$3&gt;='Gastos com Pessoal'!$E$7:$E$506)*(S$3&lt;='Gastos com Pessoal'!$F$7:$F$506)*(IF('Gastos com Pessoal'!$M$7:$M$506&lt;=S$3,1,0))*OFFSET('Gastos com Pessoal'!$H$6,1,MATCH(2&amp;$B54,'Gastos com Pessoal'!$I$532:$AJ$532&amp;'Gastos com Pessoal'!$I$6:$AJ$6,0),500,1)),0)+_xlfn.IFNA(SUM((S$3&gt;='Gastos com Pessoal'!$E$7:$E$506)*(S$3&lt;='Gastos com Pessoal'!$F$7:$F$506)*(IF('Gastos com Pessoal'!$S$7:$S$506&lt;=S$3,1,0))*OFFSET('Gastos com Pessoal'!$H$6,1,MATCH(3&amp;$B54,'Gastos com Pessoal'!$I$532:$AJ$532&amp;'Gastos com Pessoal'!$I$6:$AJ$6,0),500,1)),0)+_xlfn.IFNA(SUM((S$3&gt;='Gastos com Pessoal'!$E$7:$E$506)*(S$3&lt;='Gastos com Pessoal'!$F$7:$F$506)*(IF('Gastos com Pessoal'!$Y$7:$Y$506&lt;=S$3,1,0))*OFFSET('Gastos com Pessoal'!$H$6,1,MATCH(4&amp;$B54,'Gastos com Pessoal'!$I$532:$AJ$532&amp;'Gastos com Pessoal'!$I$6:$AJ$6,0),500,1)),0)+_xlfn.IFNA(SUM((S$3&gt;='Gastos com Pessoal'!$E$7:$E$506)*(S$3&lt;='Gastos com Pessoal'!$F$7:$F$506)*(IF('Gastos com Pessoal'!$AE$7:$AE$506&lt;=S$3,1,0))*OFFSET('Gastos com Pessoal'!$H$6,1,MATCH(5&amp;$B54,'Gastos com Pessoal'!$I$532:$AJ$532&amp;'Gastos com Pessoal'!$I$6:$AJ$6,0),500,1)),0)+_xlfn.IFNA(SUM((S$3&gt;='Gastos com Pessoal'!$E$513:$E$522)*(S$3&lt;='Gastos com Pessoal'!$F$513:$F$522)*(IF('Gastos com Pessoal'!$G$513:$G$522&lt;=S$3,1,0))*OFFSET('Gastos com Pessoal'!$H$512,1,MATCH(1&amp;$B54,'Gastos com Pessoal'!$I$532:$AJ$532&amp;'Gastos com Pessoal'!$I$512:$AJ$512,0),10,1)),0)+_xlfn.IFNA(SUM((S$3&gt;='Gastos com Pessoal'!$E$513:$E$522)*(S$3&lt;='Gastos com Pessoal'!$F$513:$F$522)*(IF('Gastos com Pessoal'!$M$513:$M$522&lt;=S$3,1,0))*OFFSET('Gastos com Pessoal'!$H$512,1,MATCH(2&amp;$B54,'Gastos com Pessoal'!$I$532:$AJ$532&amp;'Gastos com Pessoal'!$I$512:$AJ$512,0),10,1)),0)+_xlfn.IFNA(SUM((S$3&gt;='Gastos com Pessoal'!$E$513:$E$522)*(S$3&lt;='Gastos com Pessoal'!$F$513:$F$522)*(IF('Gastos com Pessoal'!$S$513:$S$522&lt;=S$3,1,0))*OFFSET('Gastos com Pessoal'!$H$512,1,MATCH(3&amp;$B54,'Gastos com Pessoal'!$I$532:$AJ$532&amp;'Gastos com Pessoal'!$I$512:$AJ$512,0),10,1)),0)+_xlfn.IFNA(SUM((S$3&gt;='Gastos com Pessoal'!$E$513:$E$522)*(S$3&lt;='Gastos com Pessoal'!$F$513:$F$522)*(IF('Gastos com Pessoal'!$Y$513:$Y$522&lt;=S$3,1,0))*OFFSET('Gastos com Pessoal'!$H$512,1,MATCH(4&amp;$B54,'Gastos com Pessoal'!$I$532:$AJ$532&amp;'Gastos com Pessoal'!$I$512:$AJ$512,0),10,1)),0)+_xlfn.IFNA(SUM((S$3&gt;='Gastos com Pessoal'!$E$513:$E$522)*(S$3&lt;='Gastos com Pessoal'!$F$513:$F$522)*(IF('Gastos com Pessoal'!$AE$513:$AE$522&lt;=S$3,1,0))*OFFSET('Gastos com Pessoal'!$H$512,1,MATCH(5&amp;$B54,'Gastos com Pessoal'!$I$532:$AJ$532&amp;'Gastos com Pessoal'!$I$512:$AJ$512,0),10,1)),0)</f>
        <v>17332.25000000004</v>
      </c>
      <c r="T54" s="188">
        <f t="array" aca="1" ref="T54" ca="1">_xlfn.IFNA(SUM((T$3&gt;='Gastos com Pessoal'!$E$7:$E$506)*(T$3&lt;='Gastos com Pessoal'!$F$7:$F$506)*OFFSET('Encargos e Benefícios'!$D$5,1,MATCH($B54,'Encargos e Benefícios'!$E$5:$AB$5,0),500,1)),0)+_xlfn.IFNA(SUM((T$3&gt;='Gastos com Pessoal'!$E$513:$E$522)*(T$3&lt;='Gastos com Pessoal'!$F$513:$F$522)*OFFSET('Encargos e Benefícios'!$D$511,1,MATCH($B54,'Encargos e Benefícios'!$E$511:$AB$511,0),10,1)),0)+_xlfn.IFNA(SUM((T$3&gt;='Gastos com Pessoal'!$E$7:$E$506)*(T$3&lt;='Gastos com Pessoal'!$F$7:$F$506)*(IF('Gastos com Pessoal'!$G$7:$G$506&lt;=T$3,1,0))*OFFSET('Gastos com Pessoal'!$H$6,1,MATCH(1&amp;$B54,'Gastos com Pessoal'!$I$532:$AJ$532&amp;'Gastos com Pessoal'!$I$6:$AJ$6,0),500,1)),0)+_xlfn.IFNA(SUM((T$3&gt;='Gastos com Pessoal'!$E$7:$E$506)*(T$3&lt;='Gastos com Pessoal'!$F$7:$F$506)*(IF('Gastos com Pessoal'!$M$7:$M$506&lt;=T$3,1,0))*OFFSET('Gastos com Pessoal'!$H$6,1,MATCH(2&amp;$B54,'Gastos com Pessoal'!$I$532:$AJ$532&amp;'Gastos com Pessoal'!$I$6:$AJ$6,0),500,1)),0)+_xlfn.IFNA(SUM((T$3&gt;='Gastos com Pessoal'!$E$7:$E$506)*(T$3&lt;='Gastos com Pessoal'!$F$7:$F$506)*(IF('Gastos com Pessoal'!$S$7:$S$506&lt;=T$3,1,0))*OFFSET('Gastos com Pessoal'!$H$6,1,MATCH(3&amp;$B54,'Gastos com Pessoal'!$I$532:$AJ$532&amp;'Gastos com Pessoal'!$I$6:$AJ$6,0),500,1)),0)+_xlfn.IFNA(SUM((T$3&gt;='Gastos com Pessoal'!$E$7:$E$506)*(T$3&lt;='Gastos com Pessoal'!$F$7:$F$506)*(IF('Gastos com Pessoal'!$Y$7:$Y$506&lt;=T$3,1,0))*OFFSET('Gastos com Pessoal'!$H$6,1,MATCH(4&amp;$B54,'Gastos com Pessoal'!$I$532:$AJ$532&amp;'Gastos com Pessoal'!$I$6:$AJ$6,0),500,1)),0)+_xlfn.IFNA(SUM((T$3&gt;='Gastos com Pessoal'!$E$7:$E$506)*(T$3&lt;='Gastos com Pessoal'!$F$7:$F$506)*(IF('Gastos com Pessoal'!$AE$7:$AE$506&lt;=T$3,1,0))*OFFSET('Gastos com Pessoal'!$H$6,1,MATCH(5&amp;$B54,'Gastos com Pessoal'!$I$532:$AJ$532&amp;'Gastos com Pessoal'!$I$6:$AJ$6,0),500,1)),0)+_xlfn.IFNA(SUM((T$3&gt;='Gastos com Pessoal'!$E$513:$E$522)*(T$3&lt;='Gastos com Pessoal'!$F$513:$F$522)*(IF('Gastos com Pessoal'!$G$513:$G$522&lt;=T$3,1,0))*OFFSET('Gastos com Pessoal'!$H$512,1,MATCH(1&amp;$B54,'Gastos com Pessoal'!$I$532:$AJ$532&amp;'Gastos com Pessoal'!$I$512:$AJ$512,0),10,1)),0)+_xlfn.IFNA(SUM((T$3&gt;='Gastos com Pessoal'!$E$513:$E$522)*(T$3&lt;='Gastos com Pessoal'!$F$513:$F$522)*(IF('Gastos com Pessoal'!$M$513:$M$522&lt;=T$3,1,0))*OFFSET('Gastos com Pessoal'!$H$512,1,MATCH(2&amp;$B54,'Gastos com Pessoal'!$I$532:$AJ$532&amp;'Gastos com Pessoal'!$I$512:$AJ$512,0),10,1)),0)+_xlfn.IFNA(SUM((T$3&gt;='Gastos com Pessoal'!$E$513:$E$522)*(T$3&lt;='Gastos com Pessoal'!$F$513:$F$522)*(IF('Gastos com Pessoal'!$S$513:$S$522&lt;=T$3,1,0))*OFFSET('Gastos com Pessoal'!$H$512,1,MATCH(3&amp;$B54,'Gastos com Pessoal'!$I$532:$AJ$532&amp;'Gastos com Pessoal'!$I$512:$AJ$512,0),10,1)),0)+_xlfn.IFNA(SUM((T$3&gt;='Gastos com Pessoal'!$E$513:$E$522)*(T$3&lt;='Gastos com Pessoal'!$F$513:$F$522)*(IF('Gastos com Pessoal'!$Y$513:$Y$522&lt;=T$3,1,0))*OFFSET('Gastos com Pessoal'!$H$512,1,MATCH(4&amp;$B54,'Gastos com Pessoal'!$I$532:$AJ$532&amp;'Gastos com Pessoal'!$I$512:$AJ$512,0),10,1)),0)+_xlfn.IFNA(SUM((T$3&gt;='Gastos com Pessoal'!$E$513:$E$522)*(T$3&lt;='Gastos com Pessoal'!$F$513:$F$522)*(IF('Gastos com Pessoal'!$AE$513:$AE$522&lt;=T$3,1,0))*OFFSET('Gastos com Pessoal'!$H$512,1,MATCH(5&amp;$B54,'Gastos com Pessoal'!$I$532:$AJ$532&amp;'Gastos com Pessoal'!$I$512:$AJ$512,0),10,1)),0)</f>
        <v>17332.25000000004</v>
      </c>
      <c r="U54" s="188">
        <f t="array" aca="1" ref="U54" ca="1">_xlfn.IFNA(SUM((U$3&gt;='Gastos com Pessoal'!$E$7:$E$506)*(U$3&lt;='Gastos com Pessoal'!$F$7:$F$506)*OFFSET('Encargos e Benefícios'!$D$5,1,MATCH($B54,'Encargos e Benefícios'!$E$5:$AB$5,0),500,1)),0)+_xlfn.IFNA(SUM((U$3&gt;='Gastos com Pessoal'!$E$513:$E$522)*(U$3&lt;='Gastos com Pessoal'!$F$513:$F$522)*OFFSET('Encargos e Benefícios'!$D$511,1,MATCH($B54,'Encargos e Benefícios'!$E$511:$AB$511,0),10,1)),0)+_xlfn.IFNA(SUM((U$3&gt;='Gastos com Pessoal'!$E$7:$E$506)*(U$3&lt;='Gastos com Pessoal'!$F$7:$F$506)*(IF('Gastos com Pessoal'!$G$7:$G$506&lt;=U$3,1,0))*OFFSET('Gastos com Pessoal'!$H$6,1,MATCH(1&amp;$B54,'Gastos com Pessoal'!$I$532:$AJ$532&amp;'Gastos com Pessoal'!$I$6:$AJ$6,0),500,1)),0)+_xlfn.IFNA(SUM((U$3&gt;='Gastos com Pessoal'!$E$7:$E$506)*(U$3&lt;='Gastos com Pessoal'!$F$7:$F$506)*(IF('Gastos com Pessoal'!$M$7:$M$506&lt;=U$3,1,0))*OFFSET('Gastos com Pessoal'!$H$6,1,MATCH(2&amp;$B54,'Gastos com Pessoal'!$I$532:$AJ$532&amp;'Gastos com Pessoal'!$I$6:$AJ$6,0),500,1)),0)+_xlfn.IFNA(SUM((U$3&gt;='Gastos com Pessoal'!$E$7:$E$506)*(U$3&lt;='Gastos com Pessoal'!$F$7:$F$506)*(IF('Gastos com Pessoal'!$S$7:$S$506&lt;=U$3,1,0))*OFFSET('Gastos com Pessoal'!$H$6,1,MATCH(3&amp;$B54,'Gastos com Pessoal'!$I$532:$AJ$532&amp;'Gastos com Pessoal'!$I$6:$AJ$6,0),500,1)),0)+_xlfn.IFNA(SUM((U$3&gt;='Gastos com Pessoal'!$E$7:$E$506)*(U$3&lt;='Gastos com Pessoal'!$F$7:$F$506)*(IF('Gastos com Pessoal'!$Y$7:$Y$506&lt;=U$3,1,0))*OFFSET('Gastos com Pessoal'!$H$6,1,MATCH(4&amp;$B54,'Gastos com Pessoal'!$I$532:$AJ$532&amp;'Gastos com Pessoal'!$I$6:$AJ$6,0),500,1)),0)+_xlfn.IFNA(SUM((U$3&gt;='Gastos com Pessoal'!$E$7:$E$506)*(U$3&lt;='Gastos com Pessoal'!$F$7:$F$506)*(IF('Gastos com Pessoal'!$AE$7:$AE$506&lt;=U$3,1,0))*OFFSET('Gastos com Pessoal'!$H$6,1,MATCH(5&amp;$B54,'Gastos com Pessoal'!$I$532:$AJ$532&amp;'Gastos com Pessoal'!$I$6:$AJ$6,0),500,1)),0)+_xlfn.IFNA(SUM((U$3&gt;='Gastos com Pessoal'!$E$513:$E$522)*(U$3&lt;='Gastos com Pessoal'!$F$513:$F$522)*(IF('Gastos com Pessoal'!$G$513:$G$522&lt;=U$3,1,0))*OFFSET('Gastos com Pessoal'!$H$512,1,MATCH(1&amp;$B54,'Gastos com Pessoal'!$I$532:$AJ$532&amp;'Gastos com Pessoal'!$I$512:$AJ$512,0),10,1)),0)+_xlfn.IFNA(SUM((U$3&gt;='Gastos com Pessoal'!$E$513:$E$522)*(U$3&lt;='Gastos com Pessoal'!$F$513:$F$522)*(IF('Gastos com Pessoal'!$M$513:$M$522&lt;=U$3,1,0))*OFFSET('Gastos com Pessoal'!$H$512,1,MATCH(2&amp;$B54,'Gastos com Pessoal'!$I$532:$AJ$532&amp;'Gastos com Pessoal'!$I$512:$AJ$512,0),10,1)),0)+_xlfn.IFNA(SUM((U$3&gt;='Gastos com Pessoal'!$E$513:$E$522)*(U$3&lt;='Gastos com Pessoal'!$F$513:$F$522)*(IF('Gastos com Pessoal'!$S$513:$S$522&lt;=U$3,1,0))*OFFSET('Gastos com Pessoal'!$H$512,1,MATCH(3&amp;$B54,'Gastos com Pessoal'!$I$532:$AJ$532&amp;'Gastos com Pessoal'!$I$512:$AJ$512,0),10,1)),0)+_xlfn.IFNA(SUM((U$3&gt;='Gastos com Pessoal'!$E$513:$E$522)*(U$3&lt;='Gastos com Pessoal'!$F$513:$F$522)*(IF('Gastos com Pessoal'!$Y$513:$Y$522&lt;=U$3,1,0))*OFFSET('Gastos com Pessoal'!$H$512,1,MATCH(4&amp;$B54,'Gastos com Pessoal'!$I$532:$AJ$532&amp;'Gastos com Pessoal'!$I$512:$AJ$512,0),10,1)),0)+_xlfn.IFNA(SUM((U$3&gt;='Gastos com Pessoal'!$E$513:$E$522)*(U$3&lt;='Gastos com Pessoal'!$F$513:$F$522)*(IF('Gastos com Pessoal'!$AE$513:$AE$522&lt;=U$3,1,0))*OFFSET('Gastos com Pessoal'!$H$512,1,MATCH(5&amp;$B54,'Gastos com Pessoal'!$I$532:$AJ$532&amp;'Gastos com Pessoal'!$I$512:$AJ$512,0),10,1)),0)</f>
        <v>17332.25000000004</v>
      </c>
      <c r="V54" s="188">
        <f t="array" aca="1" ref="V54" ca="1">_xlfn.IFNA(SUM((V$3&gt;='Gastos com Pessoal'!$E$7:$E$506)*(V$3&lt;='Gastos com Pessoal'!$F$7:$F$506)*OFFSET('Encargos e Benefícios'!$D$5,1,MATCH($B54,'Encargos e Benefícios'!$E$5:$AB$5,0),500,1)),0)+_xlfn.IFNA(SUM((V$3&gt;='Gastos com Pessoal'!$E$513:$E$522)*(V$3&lt;='Gastos com Pessoal'!$F$513:$F$522)*OFFSET('Encargos e Benefícios'!$D$511,1,MATCH($B54,'Encargos e Benefícios'!$E$511:$AB$511,0),10,1)),0)+_xlfn.IFNA(SUM((V$3&gt;='Gastos com Pessoal'!$E$7:$E$506)*(V$3&lt;='Gastos com Pessoal'!$F$7:$F$506)*(IF('Gastos com Pessoal'!$G$7:$G$506&lt;=V$3,1,0))*OFFSET('Gastos com Pessoal'!$H$6,1,MATCH(1&amp;$B54,'Gastos com Pessoal'!$I$532:$AJ$532&amp;'Gastos com Pessoal'!$I$6:$AJ$6,0),500,1)),0)+_xlfn.IFNA(SUM((V$3&gt;='Gastos com Pessoal'!$E$7:$E$506)*(V$3&lt;='Gastos com Pessoal'!$F$7:$F$506)*(IF('Gastos com Pessoal'!$M$7:$M$506&lt;=V$3,1,0))*OFFSET('Gastos com Pessoal'!$H$6,1,MATCH(2&amp;$B54,'Gastos com Pessoal'!$I$532:$AJ$532&amp;'Gastos com Pessoal'!$I$6:$AJ$6,0),500,1)),0)+_xlfn.IFNA(SUM((V$3&gt;='Gastos com Pessoal'!$E$7:$E$506)*(V$3&lt;='Gastos com Pessoal'!$F$7:$F$506)*(IF('Gastos com Pessoal'!$S$7:$S$506&lt;=V$3,1,0))*OFFSET('Gastos com Pessoal'!$H$6,1,MATCH(3&amp;$B54,'Gastos com Pessoal'!$I$532:$AJ$532&amp;'Gastos com Pessoal'!$I$6:$AJ$6,0),500,1)),0)+_xlfn.IFNA(SUM((V$3&gt;='Gastos com Pessoal'!$E$7:$E$506)*(V$3&lt;='Gastos com Pessoal'!$F$7:$F$506)*(IF('Gastos com Pessoal'!$Y$7:$Y$506&lt;=V$3,1,0))*OFFSET('Gastos com Pessoal'!$H$6,1,MATCH(4&amp;$B54,'Gastos com Pessoal'!$I$532:$AJ$532&amp;'Gastos com Pessoal'!$I$6:$AJ$6,0),500,1)),0)+_xlfn.IFNA(SUM((V$3&gt;='Gastos com Pessoal'!$E$7:$E$506)*(V$3&lt;='Gastos com Pessoal'!$F$7:$F$506)*(IF('Gastos com Pessoal'!$AE$7:$AE$506&lt;=V$3,1,0))*OFFSET('Gastos com Pessoal'!$H$6,1,MATCH(5&amp;$B54,'Gastos com Pessoal'!$I$532:$AJ$532&amp;'Gastos com Pessoal'!$I$6:$AJ$6,0),500,1)),0)+_xlfn.IFNA(SUM((V$3&gt;='Gastos com Pessoal'!$E$513:$E$522)*(V$3&lt;='Gastos com Pessoal'!$F$513:$F$522)*(IF('Gastos com Pessoal'!$G$513:$G$522&lt;=V$3,1,0))*OFFSET('Gastos com Pessoal'!$H$512,1,MATCH(1&amp;$B54,'Gastos com Pessoal'!$I$532:$AJ$532&amp;'Gastos com Pessoal'!$I$512:$AJ$512,0),10,1)),0)+_xlfn.IFNA(SUM((V$3&gt;='Gastos com Pessoal'!$E$513:$E$522)*(V$3&lt;='Gastos com Pessoal'!$F$513:$F$522)*(IF('Gastos com Pessoal'!$M$513:$M$522&lt;=V$3,1,0))*OFFSET('Gastos com Pessoal'!$H$512,1,MATCH(2&amp;$B54,'Gastos com Pessoal'!$I$532:$AJ$532&amp;'Gastos com Pessoal'!$I$512:$AJ$512,0),10,1)),0)+_xlfn.IFNA(SUM((V$3&gt;='Gastos com Pessoal'!$E$513:$E$522)*(V$3&lt;='Gastos com Pessoal'!$F$513:$F$522)*(IF('Gastos com Pessoal'!$S$513:$S$522&lt;=V$3,1,0))*OFFSET('Gastos com Pessoal'!$H$512,1,MATCH(3&amp;$B54,'Gastos com Pessoal'!$I$532:$AJ$532&amp;'Gastos com Pessoal'!$I$512:$AJ$512,0),10,1)),0)+_xlfn.IFNA(SUM((V$3&gt;='Gastos com Pessoal'!$E$513:$E$522)*(V$3&lt;='Gastos com Pessoal'!$F$513:$F$522)*(IF('Gastos com Pessoal'!$Y$513:$Y$522&lt;=V$3,1,0))*OFFSET('Gastos com Pessoal'!$H$512,1,MATCH(4&amp;$B54,'Gastos com Pessoal'!$I$532:$AJ$532&amp;'Gastos com Pessoal'!$I$512:$AJ$512,0),10,1)),0)+_xlfn.IFNA(SUM((V$3&gt;='Gastos com Pessoal'!$E$513:$E$522)*(V$3&lt;='Gastos com Pessoal'!$F$513:$F$522)*(IF('Gastos com Pessoal'!$AE$513:$AE$522&lt;=V$3,1,0))*OFFSET('Gastos com Pessoal'!$H$512,1,MATCH(5&amp;$B54,'Gastos com Pessoal'!$I$532:$AJ$532&amp;'Gastos com Pessoal'!$I$512:$AJ$512,0),10,1)),0)</f>
        <v>17332.25000000004</v>
      </c>
      <c r="W54" s="188">
        <f t="array" aca="1" ref="W54" ca="1">_xlfn.IFNA(SUM((W$3&gt;='Gastos com Pessoal'!$E$7:$E$506)*(W$3&lt;='Gastos com Pessoal'!$F$7:$F$506)*OFFSET('Encargos e Benefícios'!$D$5,1,MATCH($B54,'Encargos e Benefícios'!$E$5:$AB$5,0),500,1)),0)+_xlfn.IFNA(SUM((W$3&gt;='Gastos com Pessoal'!$E$513:$E$522)*(W$3&lt;='Gastos com Pessoal'!$F$513:$F$522)*OFFSET('Encargos e Benefícios'!$D$511,1,MATCH($B54,'Encargos e Benefícios'!$E$511:$AB$511,0),10,1)),0)+_xlfn.IFNA(SUM((W$3&gt;='Gastos com Pessoal'!$E$7:$E$506)*(W$3&lt;='Gastos com Pessoal'!$F$7:$F$506)*(IF('Gastos com Pessoal'!$G$7:$G$506&lt;=W$3,1,0))*OFFSET('Gastos com Pessoal'!$H$6,1,MATCH(1&amp;$B54,'Gastos com Pessoal'!$I$532:$AJ$532&amp;'Gastos com Pessoal'!$I$6:$AJ$6,0),500,1)),0)+_xlfn.IFNA(SUM((W$3&gt;='Gastos com Pessoal'!$E$7:$E$506)*(W$3&lt;='Gastos com Pessoal'!$F$7:$F$506)*(IF('Gastos com Pessoal'!$M$7:$M$506&lt;=W$3,1,0))*OFFSET('Gastos com Pessoal'!$H$6,1,MATCH(2&amp;$B54,'Gastos com Pessoal'!$I$532:$AJ$532&amp;'Gastos com Pessoal'!$I$6:$AJ$6,0),500,1)),0)+_xlfn.IFNA(SUM((W$3&gt;='Gastos com Pessoal'!$E$7:$E$506)*(W$3&lt;='Gastos com Pessoal'!$F$7:$F$506)*(IF('Gastos com Pessoal'!$S$7:$S$506&lt;=W$3,1,0))*OFFSET('Gastos com Pessoal'!$H$6,1,MATCH(3&amp;$B54,'Gastos com Pessoal'!$I$532:$AJ$532&amp;'Gastos com Pessoal'!$I$6:$AJ$6,0),500,1)),0)+_xlfn.IFNA(SUM((W$3&gt;='Gastos com Pessoal'!$E$7:$E$506)*(W$3&lt;='Gastos com Pessoal'!$F$7:$F$506)*(IF('Gastos com Pessoal'!$Y$7:$Y$506&lt;=W$3,1,0))*OFFSET('Gastos com Pessoal'!$H$6,1,MATCH(4&amp;$B54,'Gastos com Pessoal'!$I$532:$AJ$532&amp;'Gastos com Pessoal'!$I$6:$AJ$6,0),500,1)),0)+_xlfn.IFNA(SUM((W$3&gt;='Gastos com Pessoal'!$E$7:$E$506)*(W$3&lt;='Gastos com Pessoal'!$F$7:$F$506)*(IF('Gastos com Pessoal'!$AE$7:$AE$506&lt;=W$3,1,0))*OFFSET('Gastos com Pessoal'!$H$6,1,MATCH(5&amp;$B54,'Gastos com Pessoal'!$I$532:$AJ$532&amp;'Gastos com Pessoal'!$I$6:$AJ$6,0),500,1)),0)+_xlfn.IFNA(SUM((W$3&gt;='Gastos com Pessoal'!$E$513:$E$522)*(W$3&lt;='Gastos com Pessoal'!$F$513:$F$522)*(IF('Gastos com Pessoal'!$G$513:$G$522&lt;=W$3,1,0))*OFFSET('Gastos com Pessoal'!$H$512,1,MATCH(1&amp;$B54,'Gastos com Pessoal'!$I$532:$AJ$532&amp;'Gastos com Pessoal'!$I$512:$AJ$512,0),10,1)),0)+_xlfn.IFNA(SUM((W$3&gt;='Gastos com Pessoal'!$E$513:$E$522)*(W$3&lt;='Gastos com Pessoal'!$F$513:$F$522)*(IF('Gastos com Pessoal'!$M$513:$M$522&lt;=W$3,1,0))*OFFSET('Gastos com Pessoal'!$H$512,1,MATCH(2&amp;$B54,'Gastos com Pessoal'!$I$532:$AJ$532&amp;'Gastos com Pessoal'!$I$512:$AJ$512,0),10,1)),0)+_xlfn.IFNA(SUM((W$3&gt;='Gastos com Pessoal'!$E$513:$E$522)*(W$3&lt;='Gastos com Pessoal'!$F$513:$F$522)*(IF('Gastos com Pessoal'!$S$513:$S$522&lt;=W$3,1,0))*OFFSET('Gastos com Pessoal'!$H$512,1,MATCH(3&amp;$B54,'Gastos com Pessoal'!$I$532:$AJ$532&amp;'Gastos com Pessoal'!$I$512:$AJ$512,0),10,1)),0)+_xlfn.IFNA(SUM((W$3&gt;='Gastos com Pessoal'!$E$513:$E$522)*(W$3&lt;='Gastos com Pessoal'!$F$513:$F$522)*(IF('Gastos com Pessoal'!$Y$513:$Y$522&lt;=W$3,1,0))*OFFSET('Gastos com Pessoal'!$H$512,1,MATCH(4&amp;$B54,'Gastos com Pessoal'!$I$532:$AJ$532&amp;'Gastos com Pessoal'!$I$512:$AJ$512,0),10,1)),0)+_xlfn.IFNA(SUM((W$3&gt;='Gastos com Pessoal'!$E$513:$E$522)*(W$3&lt;='Gastos com Pessoal'!$F$513:$F$522)*(IF('Gastos com Pessoal'!$AE$513:$AE$522&lt;=W$3,1,0))*OFFSET('Gastos com Pessoal'!$H$512,1,MATCH(5&amp;$B54,'Gastos com Pessoal'!$I$532:$AJ$532&amp;'Gastos com Pessoal'!$I$512:$AJ$512,0),10,1)),0)</f>
        <v>17332.25000000004</v>
      </c>
      <c r="X54" s="188">
        <f t="array" aca="1" ref="X54" ca="1">_xlfn.IFNA(SUM((X$3&gt;='Gastos com Pessoal'!$E$7:$E$506)*(X$3&lt;='Gastos com Pessoal'!$F$7:$F$506)*OFFSET('Encargos e Benefícios'!$D$5,1,MATCH($B54,'Encargos e Benefícios'!$E$5:$AB$5,0),500,1)),0)+_xlfn.IFNA(SUM((X$3&gt;='Gastos com Pessoal'!$E$513:$E$522)*(X$3&lt;='Gastos com Pessoal'!$F$513:$F$522)*OFFSET('Encargos e Benefícios'!$D$511,1,MATCH($B54,'Encargos e Benefícios'!$E$511:$AB$511,0),10,1)),0)+_xlfn.IFNA(SUM((X$3&gt;='Gastos com Pessoal'!$E$7:$E$506)*(X$3&lt;='Gastos com Pessoal'!$F$7:$F$506)*(IF('Gastos com Pessoal'!$G$7:$G$506&lt;=X$3,1,0))*OFFSET('Gastos com Pessoal'!$H$6,1,MATCH(1&amp;$B54,'Gastos com Pessoal'!$I$532:$AJ$532&amp;'Gastos com Pessoal'!$I$6:$AJ$6,0),500,1)),0)+_xlfn.IFNA(SUM((X$3&gt;='Gastos com Pessoal'!$E$7:$E$506)*(X$3&lt;='Gastos com Pessoal'!$F$7:$F$506)*(IF('Gastos com Pessoal'!$M$7:$M$506&lt;=X$3,1,0))*OFFSET('Gastos com Pessoal'!$H$6,1,MATCH(2&amp;$B54,'Gastos com Pessoal'!$I$532:$AJ$532&amp;'Gastos com Pessoal'!$I$6:$AJ$6,0),500,1)),0)+_xlfn.IFNA(SUM((X$3&gt;='Gastos com Pessoal'!$E$7:$E$506)*(X$3&lt;='Gastos com Pessoal'!$F$7:$F$506)*(IF('Gastos com Pessoal'!$S$7:$S$506&lt;=X$3,1,0))*OFFSET('Gastos com Pessoal'!$H$6,1,MATCH(3&amp;$B54,'Gastos com Pessoal'!$I$532:$AJ$532&amp;'Gastos com Pessoal'!$I$6:$AJ$6,0),500,1)),0)+_xlfn.IFNA(SUM((X$3&gt;='Gastos com Pessoal'!$E$7:$E$506)*(X$3&lt;='Gastos com Pessoal'!$F$7:$F$506)*(IF('Gastos com Pessoal'!$Y$7:$Y$506&lt;=X$3,1,0))*OFFSET('Gastos com Pessoal'!$H$6,1,MATCH(4&amp;$B54,'Gastos com Pessoal'!$I$532:$AJ$532&amp;'Gastos com Pessoal'!$I$6:$AJ$6,0),500,1)),0)+_xlfn.IFNA(SUM((X$3&gt;='Gastos com Pessoal'!$E$7:$E$506)*(X$3&lt;='Gastos com Pessoal'!$F$7:$F$506)*(IF('Gastos com Pessoal'!$AE$7:$AE$506&lt;=X$3,1,0))*OFFSET('Gastos com Pessoal'!$H$6,1,MATCH(5&amp;$B54,'Gastos com Pessoal'!$I$532:$AJ$532&amp;'Gastos com Pessoal'!$I$6:$AJ$6,0),500,1)),0)+_xlfn.IFNA(SUM((X$3&gt;='Gastos com Pessoal'!$E$513:$E$522)*(X$3&lt;='Gastos com Pessoal'!$F$513:$F$522)*(IF('Gastos com Pessoal'!$G$513:$G$522&lt;=X$3,1,0))*OFFSET('Gastos com Pessoal'!$H$512,1,MATCH(1&amp;$B54,'Gastos com Pessoal'!$I$532:$AJ$532&amp;'Gastos com Pessoal'!$I$512:$AJ$512,0),10,1)),0)+_xlfn.IFNA(SUM((X$3&gt;='Gastos com Pessoal'!$E$513:$E$522)*(X$3&lt;='Gastos com Pessoal'!$F$513:$F$522)*(IF('Gastos com Pessoal'!$M$513:$M$522&lt;=X$3,1,0))*OFFSET('Gastos com Pessoal'!$H$512,1,MATCH(2&amp;$B54,'Gastos com Pessoal'!$I$532:$AJ$532&amp;'Gastos com Pessoal'!$I$512:$AJ$512,0),10,1)),0)+_xlfn.IFNA(SUM((X$3&gt;='Gastos com Pessoal'!$E$513:$E$522)*(X$3&lt;='Gastos com Pessoal'!$F$513:$F$522)*(IF('Gastos com Pessoal'!$S$513:$S$522&lt;=X$3,1,0))*OFFSET('Gastos com Pessoal'!$H$512,1,MATCH(3&amp;$B54,'Gastos com Pessoal'!$I$532:$AJ$532&amp;'Gastos com Pessoal'!$I$512:$AJ$512,0),10,1)),0)+_xlfn.IFNA(SUM((X$3&gt;='Gastos com Pessoal'!$E$513:$E$522)*(X$3&lt;='Gastos com Pessoal'!$F$513:$F$522)*(IF('Gastos com Pessoal'!$Y$513:$Y$522&lt;=X$3,1,0))*OFFSET('Gastos com Pessoal'!$H$512,1,MATCH(4&amp;$B54,'Gastos com Pessoal'!$I$532:$AJ$532&amp;'Gastos com Pessoal'!$I$512:$AJ$512,0),10,1)),0)+_xlfn.IFNA(SUM((X$3&gt;='Gastos com Pessoal'!$E$513:$E$522)*(X$3&lt;='Gastos com Pessoal'!$F$513:$F$522)*(IF('Gastos com Pessoal'!$AE$513:$AE$522&lt;=X$3,1,0))*OFFSET('Gastos com Pessoal'!$H$512,1,MATCH(5&amp;$B54,'Gastos com Pessoal'!$I$532:$AJ$532&amp;'Gastos com Pessoal'!$I$512:$AJ$512,0),10,1)),0)</f>
        <v>17332.25000000004</v>
      </c>
      <c r="Y54" s="188">
        <f t="array" aca="1" ref="Y54" ca="1">_xlfn.IFNA(SUM((Y$3&gt;='Gastos com Pessoal'!$E$7:$E$506)*(Y$3&lt;='Gastos com Pessoal'!$F$7:$F$506)*OFFSET('Encargos e Benefícios'!$D$5,1,MATCH($B54,'Encargos e Benefícios'!$E$5:$AB$5,0),500,1)),0)+_xlfn.IFNA(SUM((Y$3&gt;='Gastos com Pessoal'!$E$513:$E$522)*(Y$3&lt;='Gastos com Pessoal'!$F$513:$F$522)*OFFSET('Encargos e Benefícios'!$D$511,1,MATCH($B54,'Encargos e Benefícios'!$E$511:$AB$511,0),10,1)),0)+_xlfn.IFNA(SUM((Y$3&gt;='Gastos com Pessoal'!$E$7:$E$506)*(Y$3&lt;='Gastos com Pessoal'!$F$7:$F$506)*(IF('Gastos com Pessoal'!$G$7:$G$506&lt;=Y$3,1,0))*OFFSET('Gastos com Pessoal'!$H$6,1,MATCH(1&amp;$B54,'Gastos com Pessoal'!$I$532:$AJ$532&amp;'Gastos com Pessoal'!$I$6:$AJ$6,0),500,1)),0)+_xlfn.IFNA(SUM((Y$3&gt;='Gastos com Pessoal'!$E$7:$E$506)*(Y$3&lt;='Gastos com Pessoal'!$F$7:$F$506)*(IF('Gastos com Pessoal'!$M$7:$M$506&lt;=Y$3,1,0))*OFFSET('Gastos com Pessoal'!$H$6,1,MATCH(2&amp;$B54,'Gastos com Pessoal'!$I$532:$AJ$532&amp;'Gastos com Pessoal'!$I$6:$AJ$6,0),500,1)),0)+_xlfn.IFNA(SUM((Y$3&gt;='Gastos com Pessoal'!$E$7:$E$506)*(Y$3&lt;='Gastos com Pessoal'!$F$7:$F$506)*(IF('Gastos com Pessoal'!$S$7:$S$506&lt;=Y$3,1,0))*OFFSET('Gastos com Pessoal'!$H$6,1,MATCH(3&amp;$B54,'Gastos com Pessoal'!$I$532:$AJ$532&amp;'Gastos com Pessoal'!$I$6:$AJ$6,0),500,1)),0)+_xlfn.IFNA(SUM((Y$3&gt;='Gastos com Pessoal'!$E$7:$E$506)*(Y$3&lt;='Gastos com Pessoal'!$F$7:$F$506)*(IF('Gastos com Pessoal'!$Y$7:$Y$506&lt;=Y$3,1,0))*OFFSET('Gastos com Pessoal'!$H$6,1,MATCH(4&amp;$B54,'Gastos com Pessoal'!$I$532:$AJ$532&amp;'Gastos com Pessoal'!$I$6:$AJ$6,0),500,1)),0)+_xlfn.IFNA(SUM((Y$3&gt;='Gastos com Pessoal'!$E$7:$E$506)*(Y$3&lt;='Gastos com Pessoal'!$F$7:$F$506)*(IF('Gastos com Pessoal'!$AE$7:$AE$506&lt;=Y$3,1,0))*OFFSET('Gastos com Pessoal'!$H$6,1,MATCH(5&amp;$B54,'Gastos com Pessoal'!$I$532:$AJ$532&amp;'Gastos com Pessoal'!$I$6:$AJ$6,0),500,1)),0)+_xlfn.IFNA(SUM((Y$3&gt;='Gastos com Pessoal'!$E$513:$E$522)*(Y$3&lt;='Gastos com Pessoal'!$F$513:$F$522)*(IF('Gastos com Pessoal'!$G$513:$G$522&lt;=Y$3,1,0))*OFFSET('Gastos com Pessoal'!$H$512,1,MATCH(1&amp;$B54,'Gastos com Pessoal'!$I$532:$AJ$532&amp;'Gastos com Pessoal'!$I$512:$AJ$512,0),10,1)),0)+_xlfn.IFNA(SUM((Y$3&gt;='Gastos com Pessoal'!$E$513:$E$522)*(Y$3&lt;='Gastos com Pessoal'!$F$513:$F$522)*(IF('Gastos com Pessoal'!$M$513:$M$522&lt;=Y$3,1,0))*OFFSET('Gastos com Pessoal'!$H$512,1,MATCH(2&amp;$B54,'Gastos com Pessoal'!$I$532:$AJ$532&amp;'Gastos com Pessoal'!$I$512:$AJ$512,0),10,1)),0)+_xlfn.IFNA(SUM((Y$3&gt;='Gastos com Pessoal'!$E$513:$E$522)*(Y$3&lt;='Gastos com Pessoal'!$F$513:$F$522)*(IF('Gastos com Pessoal'!$S$513:$S$522&lt;=Y$3,1,0))*OFFSET('Gastos com Pessoal'!$H$512,1,MATCH(3&amp;$B54,'Gastos com Pessoal'!$I$532:$AJ$532&amp;'Gastos com Pessoal'!$I$512:$AJ$512,0),10,1)),0)+_xlfn.IFNA(SUM((Y$3&gt;='Gastos com Pessoal'!$E$513:$E$522)*(Y$3&lt;='Gastos com Pessoal'!$F$513:$F$522)*(IF('Gastos com Pessoal'!$Y$513:$Y$522&lt;=Y$3,1,0))*OFFSET('Gastos com Pessoal'!$H$512,1,MATCH(4&amp;$B54,'Gastos com Pessoal'!$I$532:$AJ$532&amp;'Gastos com Pessoal'!$I$512:$AJ$512,0),10,1)),0)+_xlfn.IFNA(SUM((Y$3&gt;='Gastos com Pessoal'!$E$513:$E$522)*(Y$3&lt;='Gastos com Pessoal'!$F$513:$F$522)*(IF('Gastos com Pessoal'!$AE$513:$AE$522&lt;=Y$3,1,0))*OFFSET('Gastos com Pessoal'!$H$512,1,MATCH(5&amp;$B54,'Gastos com Pessoal'!$I$532:$AJ$532&amp;'Gastos com Pessoal'!$I$512:$AJ$512,0),10,1)),0)</f>
        <v>17332.25000000004</v>
      </c>
      <c r="Z54" s="188">
        <f t="array" aca="1" ref="Z54" ca="1">_xlfn.IFNA(SUM((Z$3&gt;='Gastos com Pessoal'!$E$7:$E$506)*(Z$3&lt;='Gastos com Pessoal'!$F$7:$F$506)*OFFSET('Encargos e Benefícios'!$D$5,1,MATCH($B54,'Encargos e Benefícios'!$E$5:$AB$5,0),500,1)),0)+_xlfn.IFNA(SUM((Z$3&gt;='Gastos com Pessoal'!$E$513:$E$522)*(Z$3&lt;='Gastos com Pessoal'!$F$513:$F$522)*OFFSET('Encargos e Benefícios'!$D$511,1,MATCH($B54,'Encargos e Benefícios'!$E$511:$AB$511,0),10,1)),0)+_xlfn.IFNA(SUM((Z$3&gt;='Gastos com Pessoal'!$E$7:$E$506)*(Z$3&lt;='Gastos com Pessoal'!$F$7:$F$506)*(IF('Gastos com Pessoal'!$G$7:$G$506&lt;=Z$3,1,0))*OFFSET('Gastos com Pessoal'!$H$6,1,MATCH(1&amp;$B54,'Gastos com Pessoal'!$I$532:$AJ$532&amp;'Gastos com Pessoal'!$I$6:$AJ$6,0),500,1)),0)+_xlfn.IFNA(SUM((Z$3&gt;='Gastos com Pessoal'!$E$7:$E$506)*(Z$3&lt;='Gastos com Pessoal'!$F$7:$F$506)*(IF('Gastos com Pessoal'!$M$7:$M$506&lt;=Z$3,1,0))*OFFSET('Gastos com Pessoal'!$H$6,1,MATCH(2&amp;$B54,'Gastos com Pessoal'!$I$532:$AJ$532&amp;'Gastos com Pessoal'!$I$6:$AJ$6,0),500,1)),0)+_xlfn.IFNA(SUM((Z$3&gt;='Gastos com Pessoal'!$E$7:$E$506)*(Z$3&lt;='Gastos com Pessoal'!$F$7:$F$506)*(IF('Gastos com Pessoal'!$S$7:$S$506&lt;=Z$3,1,0))*OFFSET('Gastos com Pessoal'!$H$6,1,MATCH(3&amp;$B54,'Gastos com Pessoal'!$I$532:$AJ$532&amp;'Gastos com Pessoal'!$I$6:$AJ$6,0),500,1)),0)+_xlfn.IFNA(SUM((Z$3&gt;='Gastos com Pessoal'!$E$7:$E$506)*(Z$3&lt;='Gastos com Pessoal'!$F$7:$F$506)*(IF('Gastos com Pessoal'!$Y$7:$Y$506&lt;=Z$3,1,0))*OFFSET('Gastos com Pessoal'!$H$6,1,MATCH(4&amp;$B54,'Gastos com Pessoal'!$I$532:$AJ$532&amp;'Gastos com Pessoal'!$I$6:$AJ$6,0),500,1)),0)+_xlfn.IFNA(SUM((Z$3&gt;='Gastos com Pessoal'!$E$7:$E$506)*(Z$3&lt;='Gastos com Pessoal'!$F$7:$F$506)*(IF('Gastos com Pessoal'!$AE$7:$AE$506&lt;=Z$3,1,0))*OFFSET('Gastos com Pessoal'!$H$6,1,MATCH(5&amp;$B54,'Gastos com Pessoal'!$I$532:$AJ$532&amp;'Gastos com Pessoal'!$I$6:$AJ$6,0),500,1)),0)+_xlfn.IFNA(SUM((Z$3&gt;='Gastos com Pessoal'!$E$513:$E$522)*(Z$3&lt;='Gastos com Pessoal'!$F$513:$F$522)*(IF('Gastos com Pessoal'!$G$513:$G$522&lt;=Z$3,1,0))*OFFSET('Gastos com Pessoal'!$H$512,1,MATCH(1&amp;$B54,'Gastos com Pessoal'!$I$532:$AJ$532&amp;'Gastos com Pessoal'!$I$512:$AJ$512,0),10,1)),0)+_xlfn.IFNA(SUM((Z$3&gt;='Gastos com Pessoal'!$E$513:$E$522)*(Z$3&lt;='Gastos com Pessoal'!$F$513:$F$522)*(IF('Gastos com Pessoal'!$M$513:$M$522&lt;=Z$3,1,0))*OFFSET('Gastos com Pessoal'!$H$512,1,MATCH(2&amp;$B54,'Gastos com Pessoal'!$I$532:$AJ$532&amp;'Gastos com Pessoal'!$I$512:$AJ$512,0),10,1)),0)+_xlfn.IFNA(SUM((Z$3&gt;='Gastos com Pessoal'!$E$513:$E$522)*(Z$3&lt;='Gastos com Pessoal'!$F$513:$F$522)*(IF('Gastos com Pessoal'!$S$513:$S$522&lt;=Z$3,1,0))*OFFSET('Gastos com Pessoal'!$H$512,1,MATCH(3&amp;$B54,'Gastos com Pessoal'!$I$532:$AJ$532&amp;'Gastos com Pessoal'!$I$512:$AJ$512,0),10,1)),0)+_xlfn.IFNA(SUM((Z$3&gt;='Gastos com Pessoal'!$E$513:$E$522)*(Z$3&lt;='Gastos com Pessoal'!$F$513:$F$522)*(IF('Gastos com Pessoal'!$Y$513:$Y$522&lt;=Z$3,1,0))*OFFSET('Gastos com Pessoal'!$H$512,1,MATCH(4&amp;$B54,'Gastos com Pessoal'!$I$532:$AJ$532&amp;'Gastos com Pessoal'!$I$512:$AJ$512,0),10,1)),0)+_xlfn.IFNA(SUM((Z$3&gt;='Gastos com Pessoal'!$E$513:$E$522)*(Z$3&lt;='Gastos com Pessoal'!$F$513:$F$522)*(IF('Gastos com Pessoal'!$AE$513:$AE$522&lt;=Z$3,1,0))*OFFSET('Gastos com Pessoal'!$H$512,1,MATCH(5&amp;$B54,'Gastos com Pessoal'!$I$532:$AJ$532&amp;'Gastos com Pessoal'!$I$512:$AJ$512,0),10,1)),0)</f>
        <v>17332.25000000004</v>
      </c>
      <c r="AA54" s="188">
        <f t="array" aca="1" ref="AA54" ca="1">_xlfn.IFNA(SUM((AA$3&gt;='Gastos com Pessoal'!$E$7:$E$506)*(AA$3&lt;='Gastos com Pessoal'!$F$7:$F$506)*OFFSET('Encargos e Benefícios'!$D$5,1,MATCH($B54,'Encargos e Benefícios'!$E$5:$AB$5,0),500,1)),0)+_xlfn.IFNA(SUM((AA$3&gt;='Gastos com Pessoal'!$E$513:$E$522)*(AA$3&lt;='Gastos com Pessoal'!$F$513:$F$522)*OFFSET('Encargos e Benefícios'!$D$511,1,MATCH($B54,'Encargos e Benefícios'!$E$511:$AB$511,0),10,1)),0)+_xlfn.IFNA(SUM((AA$3&gt;='Gastos com Pessoal'!$E$7:$E$506)*(AA$3&lt;='Gastos com Pessoal'!$F$7:$F$506)*(IF('Gastos com Pessoal'!$G$7:$G$506&lt;=AA$3,1,0))*OFFSET('Gastos com Pessoal'!$H$6,1,MATCH(1&amp;$B54,'Gastos com Pessoal'!$I$532:$AJ$532&amp;'Gastos com Pessoal'!$I$6:$AJ$6,0),500,1)),0)+_xlfn.IFNA(SUM((AA$3&gt;='Gastos com Pessoal'!$E$7:$E$506)*(AA$3&lt;='Gastos com Pessoal'!$F$7:$F$506)*(IF('Gastos com Pessoal'!$M$7:$M$506&lt;=AA$3,1,0))*OFFSET('Gastos com Pessoal'!$H$6,1,MATCH(2&amp;$B54,'Gastos com Pessoal'!$I$532:$AJ$532&amp;'Gastos com Pessoal'!$I$6:$AJ$6,0),500,1)),0)+_xlfn.IFNA(SUM((AA$3&gt;='Gastos com Pessoal'!$E$7:$E$506)*(AA$3&lt;='Gastos com Pessoal'!$F$7:$F$506)*(IF('Gastos com Pessoal'!$S$7:$S$506&lt;=AA$3,1,0))*OFFSET('Gastos com Pessoal'!$H$6,1,MATCH(3&amp;$B54,'Gastos com Pessoal'!$I$532:$AJ$532&amp;'Gastos com Pessoal'!$I$6:$AJ$6,0),500,1)),0)+_xlfn.IFNA(SUM((AA$3&gt;='Gastos com Pessoal'!$E$7:$E$506)*(AA$3&lt;='Gastos com Pessoal'!$F$7:$F$506)*(IF('Gastos com Pessoal'!$Y$7:$Y$506&lt;=AA$3,1,0))*OFFSET('Gastos com Pessoal'!$H$6,1,MATCH(4&amp;$B54,'Gastos com Pessoal'!$I$532:$AJ$532&amp;'Gastos com Pessoal'!$I$6:$AJ$6,0),500,1)),0)+_xlfn.IFNA(SUM((AA$3&gt;='Gastos com Pessoal'!$E$7:$E$506)*(AA$3&lt;='Gastos com Pessoal'!$F$7:$F$506)*(IF('Gastos com Pessoal'!$AE$7:$AE$506&lt;=AA$3,1,0))*OFFSET('Gastos com Pessoal'!$H$6,1,MATCH(5&amp;$B54,'Gastos com Pessoal'!$I$532:$AJ$532&amp;'Gastos com Pessoal'!$I$6:$AJ$6,0),500,1)),0)+_xlfn.IFNA(SUM((AA$3&gt;='Gastos com Pessoal'!$E$513:$E$522)*(AA$3&lt;='Gastos com Pessoal'!$F$513:$F$522)*(IF('Gastos com Pessoal'!$G$513:$G$522&lt;=AA$3,1,0))*OFFSET('Gastos com Pessoal'!$H$512,1,MATCH(1&amp;$B54,'Gastos com Pessoal'!$I$532:$AJ$532&amp;'Gastos com Pessoal'!$I$512:$AJ$512,0),10,1)),0)+_xlfn.IFNA(SUM((AA$3&gt;='Gastos com Pessoal'!$E$513:$E$522)*(AA$3&lt;='Gastos com Pessoal'!$F$513:$F$522)*(IF('Gastos com Pessoal'!$M$513:$M$522&lt;=AA$3,1,0))*OFFSET('Gastos com Pessoal'!$H$512,1,MATCH(2&amp;$B54,'Gastos com Pessoal'!$I$532:$AJ$532&amp;'Gastos com Pessoal'!$I$512:$AJ$512,0),10,1)),0)+_xlfn.IFNA(SUM((AA$3&gt;='Gastos com Pessoal'!$E$513:$E$522)*(AA$3&lt;='Gastos com Pessoal'!$F$513:$F$522)*(IF('Gastos com Pessoal'!$S$513:$S$522&lt;=AA$3,1,0))*OFFSET('Gastos com Pessoal'!$H$512,1,MATCH(3&amp;$B54,'Gastos com Pessoal'!$I$532:$AJ$532&amp;'Gastos com Pessoal'!$I$512:$AJ$512,0),10,1)),0)+_xlfn.IFNA(SUM((AA$3&gt;='Gastos com Pessoal'!$E$513:$E$522)*(AA$3&lt;='Gastos com Pessoal'!$F$513:$F$522)*(IF('Gastos com Pessoal'!$Y$513:$Y$522&lt;=AA$3,1,0))*OFFSET('Gastos com Pessoal'!$H$512,1,MATCH(4&amp;$B54,'Gastos com Pessoal'!$I$532:$AJ$532&amp;'Gastos com Pessoal'!$I$512:$AJ$512,0),10,1)),0)+_xlfn.IFNA(SUM((AA$3&gt;='Gastos com Pessoal'!$E$513:$E$522)*(AA$3&lt;='Gastos com Pessoal'!$F$513:$F$522)*(IF('Gastos com Pessoal'!$AE$513:$AE$522&lt;=AA$3,1,0))*OFFSET('Gastos com Pessoal'!$H$512,1,MATCH(5&amp;$B54,'Gastos com Pessoal'!$I$532:$AJ$532&amp;'Gastos com Pessoal'!$I$512:$AJ$512,0),10,1)),0)</f>
        <v>17332.25000000004</v>
      </c>
      <c r="AB54" s="188">
        <f t="array" aca="1" ref="AB54" ca="1">_xlfn.IFNA(SUM((AB$3&gt;='Gastos com Pessoal'!$E$7:$E$506)*(AB$3&lt;='Gastos com Pessoal'!$F$7:$F$506)*OFFSET('Encargos e Benefícios'!$D$5,1,MATCH($B54,'Encargos e Benefícios'!$E$5:$AB$5,0),500,1)),0)+_xlfn.IFNA(SUM((AB$3&gt;='Gastos com Pessoal'!$E$513:$E$522)*(AB$3&lt;='Gastos com Pessoal'!$F$513:$F$522)*OFFSET('Encargos e Benefícios'!$D$511,1,MATCH($B54,'Encargos e Benefícios'!$E$511:$AB$511,0),10,1)),0)+_xlfn.IFNA(SUM((AB$3&gt;='Gastos com Pessoal'!$E$7:$E$506)*(AB$3&lt;='Gastos com Pessoal'!$F$7:$F$506)*(IF('Gastos com Pessoal'!$G$7:$G$506&lt;=AB$3,1,0))*OFFSET('Gastos com Pessoal'!$H$6,1,MATCH(1&amp;$B54,'Gastos com Pessoal'!$I$532:$AJ$532&amp;'Gastos com Pessoal'!$I$6:$AJ$6,0),500,1)),0)+_xlfn.IFNA(SUM((AB$3&gt;='Gastos com Pessoal'!$E$7:$E$506)*(AB$3&lt;='Gastos com Pessoal'!$F$7:$F$506)*(IF('Gastos com Pessoal'!$M$7:$M$506&lt;=AB$3,1,0))*OFFSET('Gastos com Pessoal'!$H$6,1,MATCH(2&amp;$B54,'Gastos com Pessoal'!$I$532:$AJ$532&amp;'Gastos com Pessoal'!$I$6:$AJ$6,0),500,1)),0)+_xlfn.IFNA(SUM((AB$3&gt;='Gastos com Pessoal'!$E$7:$E$506)*(AB$3&lt;='Gastos com Pessoal'!$F$7:$F$506)*(IF('Gastos com Pessoal'!$S$7:$S$506&lt;=AB$3,1,0))*OFFSET('Gastos com Pessoal'!$H$6,1,MATCH(3&amp;$B54,'Gastos com Pessoal'!$I$532:$AJ$532&amp;'Gastos com Pessoal'!$I$6:$AJ$6,0),500,1)),0)+_xlfn.IFNA(SUM((AB$3&gt;='Gastos com Pessoal'!$E$7:$E$506)*(AB$3&lt;='Gastos com Pessoal'!$F$7:$F$506)*(IF('Gastos com Pessoal'!$Y$7:$Y$506&lt;=AB$3,1,0))*OFFSET('Gastos com Pessoal'!$H$6,1,MATCH(4&amp;$B54,'Gastos com Pessoal'!$I$532:$AJ$532&amp;'Gastos com Pessoal'!$I$6:$AJ$6,0),500,1)),0)+_xlfn.IFNA(SUM((AB$3&gt;='Gastos com Pessoal'!$E$7:$E$506)*(AB$3&lt;='Gastos com Pessoal'!$F$7:$F$506)*(IF('Gastos com Pessoal'!$AE$7:$AE$506&lt;=AB$3,1,0))*OFFSET('Gastos com Pessoal'!$H$6,1,MATCH(5&amp;$B54,'Gastos com Pessoal'!$I$532:$AJ$532&amp;'Gastos com Pessoal'!$I$6:$AJ$6,0),500,1)),0)+_xlfn.IFNA(SUM((AB$3&gt;='Gastos com Pessoal'!$E$513:$E$522)*(AB$3&lt;='Gastos com Pessoal'!$F$513:$F$522)*(IF('Gastos com Pessoal'!$G$513:$G$522&lt;=AB$3,1,0))*OFFSET('Gastos com Pessoal'!$H$512,1,MATCH(1&amp;$B54,'Gastos com Pessoal'!$I$532:$AJ$532&amp;'Gastos com Pessoal'!$I$512:$AJ$512,0),10,1)),0)+_xlfn.IFNA(SUM((AB$3&gt;='Gastos com Pessoal'!$E$513:$E$522)*(AB$3&lt;='Gastos com Pessoal'!$F$513:$F$522)*(IF('Gastos com Pessoal'!$M$513:$M$522&lt;=AB$3,1,0))*OFFSET('Gastos com Pessoal'!$H$512,1,MATCH(2&amp;$B54,'Gastos com Pessoal'!$I$532:$AJ$532&amp;'Gastos com Pessoal'!$I$512:$AJ$512,0),10,1)),0)+_xlfn.IFNA(SUM((AB$3&gt;='Gastos com Pessoal'!$E$513:$E$522)*(AB$3&lt;='Gastos com Pessoal'!$F$513:$F$522)*(IF('Gastos com Pessoal'!$S$513:$S$522&lt;=AB$3,1,0))*OFFSET('Gastos com Pessoal'!$H$512,1,MATCH(3&amp;$B54,'Gastos com Pessoal'!$I$532:$AJ$532&amp;'Gastos com Pessoal'!$I$512:$AJ$512,0),10,1)),0)+_xlfn.IFNA(SUM((AB$3&gt;='Gastos com Pessoal'!$E$513:$E$522)*(AB$3&lt;='Gastos com Pessoal'!$F$513:$F$522)*(IF('Gastos com Pessoal'!$Y$513:$Y$522&lt;=AB$3,1,0))*OFFSET('Gastos com Pessoal'!$H$512,1,MATCH(4&amp;$B54,'Gastos com Pessoal'!$I$532:$AJ$532&amp;'Gastos com Pessoal'!$I$512:$AJ$512,0),10,1)),0)+_xlfn.IFNA(SUM((AB$3&gt;='Gastos com Pessoal'!$E$513:$E$522)*(AB$3&lt;='Gastos com Pessoal'!$F$513:$F$522)*(IF('Gastos com Pessoal'!$AE$513:$AE$522&lt;=AB$3,1,0))*OFFSET('Gastos com Pessoal'!$H$512,1,MATCH(5&amp;$B54,'Gastos com Pessoal'!$I$532:$AJ$532&amp;'Gastos com Pessoal'!$I$512:$AJ$512,0),10,1)),0)</f>
        <v>17332.25000000004</v>
      </c>
      <c r="AC54" s="188">
        <f t="array" aca="1" ref="AC54" ca="1">_xlfn.IFNA(SUM((AC$3&gt;='Gastos com Pessoal'!$E$7:$E$506)*(AC$3&lt;='Gastos com Pessoal'!$F$7:$F$506)*OFFSET('Encargos e Benefícios'!$D$5,1,MATCH($B54,'Encargos e Benefícios'!$E$5:$AB$5,0),500,1)),0)+_xlfn.IFNA(SUM((AC$3&gt;='Gastos com Pessoal'!$E$513:$E$522)*(AC$3&lt;='Gastos com Pessoal'!$F$513:$F$522)*OFFSET('Encargos e Benefícios'!$D$511,1,MATCH($B54,'Encargos e Benefícios'!$E$511:$AB$511,0),10,1)),0)+_xlfn.IFNA(SUM((AC$3&gt;='Gastos com Pessoal'!$E$7:$E$506)*(AC$3&lt;='Gastos com Pessoal'!$F$7:$F$506)*(IF('Gastos com Pessoal'!$G$7:$G$506&lt;=AC$3,1,0))*OFFSET('Gastos com Pessoal'!$H$6,1,MATCH(1&amp;$B54,'Gastos com Pessoal'!$I$532:$AJ$532&amp;'Gastos com Pessoal'!$I$6:$AJ$6,0),500,1)),0)+_xlfn.IFNA(SUM((AC$3&gt;='Gastos com Pessoal'!$E$7:$E$506)*(AC$3&lt;='Gastos com Pessoal'!$F$7:$F$506)*(IF('Gastos com Pessoal'!$M$7:$M$506&lt;=AC$3,1,0))*OFFSET('Gastos com Pessoal'!$H$6,1,MATCH(2&amp;$B54,'Gastos com Pessoal'!$I$532:$AJ$532&amp;'Gastos com Pessoal'!$I$6:$AJ$6,0),500,1)),0)+_xlfn.IFNA(SUM((AC$3&gt;='Gastos com Pessoal'!$E$7:$E$506)*(AC$3&lt;='Gastos com Pessoal'!$F$7:$F$506)*(IF('Gastos com Pessoal'!$S$7:$S$506&lt;=AC$3,1,0))*OFFSET('Gastos com Pessoal'!$H$6,1,MATCH(3&amp;$B54,'Gastos com Pessoal'!$I$532:$AJ$532&amp;'Gastos com Pessoal'!$I$6:$AJ$6,0),500,1)),0)+_xlfn.IFNA(SUM((AC$3&gt;='Gastos com Pessoal'!$E$7:$E$506)*(AC$3&lt;='Gastos com Pessoal'!$F$7:$F$506)*(IF('Gastos com Pessoal'!$Y$7:$Y$506&lt;=AC$3,1,0))*OFFSET('Gastos com Pessoal'!$H$6,1,MATCH(4&amp;$B54,'Gastos com Pessoal'!$I$532:$AJ$532&amp;'Gastos com Pessoal'!$I$6:$AJ$6,0),500,1)),0)+_xlfn.IFNA(SUM((AC$3&gt;='Gastos com Pessoal'!$E$7:$E$506)*(AC$3&lt;='Gastos com Pessoal'!$F$7:$F$506)*(IF('Gastos com Pessoal'!$AE$7:$AE$506&lt;=AC$3,1,0))*OFFSET('Gastos com Pessoal'!$H$6,1,MATCH(5&amp;$B54,'Gastos com Pessoal'!$I$532:$AJ$532&amp;'Gastos com Pessoal'!$I$6:$AJ$6,0),500,1)),0)+_xlfn.IFNA(SUM((AC$3&gt;='Gastos com Pessoal'!$E$513:$E$522)*(AC$3&lt;='Gastos com Pessoal'!$F$513:$F$522)*(IF('Gastos com Pessoal'!$G$513:$G$522&lt;=AC$3,1,0))*OFFSET('Gastos com Pessoal'!$H$512,1,MATCH(1&amp;$B54,'Gastos com Pessoal'!$I$532:$AJ$532&amp;'Gastos com Pessoal'!$I$512:$AJ$512,0),10,1)),0)+_xlfn.IFNA(SUM((AC$3&gt;='Gastos com Pessoal'!$E$513:$E$522)*(AC$3&lt;='Gastos com Pessoal'!$F$513:$F$522)*(IF('Gastos com Pessoal'!$M$513:$M$522&lt;=AC$3,1,0))*OFFSET('Gastos com Pessoal'!$H$512,1,MATCH(2&amp;$B54,'Gastos com Pessoal'!$I$532:$AJ$532&amp;'Gastos com Pessoal'!$I$512:$AJ$512,0),10,1)),0)+_xlfn.IFNA(SUM((AC$3&gt;='Gastos com Pessoal'!$E$513:$E$522)*(AC$3&lt;='Gastos com Pessoal'!$F$513:$F$522)*(IF('Gastos com Pessoal'!$S$513:$S$522&lt;=AC$3,1,0))*OFFSET('Gastos com Pessoal'!$H$512,1,MATCH(3&amp;$B54,'Gastos com Pessoal'!$I$532:$AJ$532&amp;'Gastos com Pessoal'!$I$512:$AJ$512,0),10,1)),0)+_xlfn.IFNA(SUM((AC$3&gt;='Gastos com Pessoal'!$E$513:$E$522)*(AC$3&lt;='Gastos com Pessoal'!$F$513:$F$522)*(IF('Gastos com Pessoal'!$Y$513:$Y$522&lt;=AC$3,1,0))*OFFSET('Gastos com Pessoal'!$H$512,1,MATCH(4&amp;$B54,'Gastos com Pessoal'!$I$532:$AJ$532&amp;'Gastos com Pessoal'!$I$512:$AJ$512,0),10,1)),0)+_xlfn.IFNA(SUM((AC$3&gt;='Gastos com Pessoal'!$E$513:$E$522)*(AC$3&lt;='Gastos com Pessoal'!$F$513:$F$522)*(IF('Gastos com Pessoal'!$AE$513:$AE$522&lt;=AC$3,1,0))*OFFSET('Gastos com Pessoal'!$H$512,1,MATCH(5&amp;$B54,'Gastos com Pessoal'!$I$532:$AJ$532&amp;'Gastos com Pessoal'!$I$512:$AJ$512,0),10,1)),0)</f>
        <v>17332.25000000004</v>
      </c>
      <c r="AD54" s="188">
        <f t="array" aca="1" ref="AD54" ca="1">_xlfn.IFNA(SUM((AD$3&gt;='Gastos com Pessoal'!$E$7:$E$506)*(AD$3&lt;='Gastos com Pessoal'!$F$7:$F$506)*OFFSET('Encargos e Benefícios'!$D$5,1,MATCH($B54,'Encargos e Benefícios'!$E$5:$AB$5,0),500,1)),0)+_xlfn.IFNA(SUM((AD$3&gt;='Gastos com Pessoal'!$E$513:$E$522)*(AD$3&lt;='Gastos com Pessoal'!$F$513:$F$522)*OFFSET('Encargos e Benefícios'!$D$511,1,MATCH($B54,'Encargos e Benefícios'!$E$511:$AB$511,0),10,1)),0)+_xlfn.IFNA(SUM((AD$3&gt;='Gastos com Pessoal'!$E$7:$E$506)*(AD$3&lt;='Gastos com Pessoal'!$F$7:$F$506)*(IF('Gastos com Pessoal'!$G$7:$G$506&lt;=AD$3,1,0))*OFFSET('Gastos com Pessoal'!$H$6,1,MATCH(1&amp;$B54,'Gastos com Pessoal'!$I$532:$AJ$532&amp;'Gastos com Pessoal'!$I$6:$AJ$6,0),500,1)),0)+_xlfn.IFNA(SUM((AD$3&gt;='Gastos com Pessoal'!$E$7:$E$506)*(AD$3&lt;='Gastos com Pessoal'!$F$7:$F$506)*(IF('Gastos com Pessoal'!$M$7:$M$506&lt;=AD$3,1,0))*OFFSET('Gastos com Pessoal'!$H$6,1,MATCH(2&amp;$B54,'Gastos com Pessoal'!$I$532:$AJ$532&amp;'Gastos com Pessoal'!$I$6:$AJ$6,0),500,1)),0)+_xlfn.IFNA(SUM((AD$3&gt;='Gastos com Pessoal'!$E$7:$E$506)*(AD$3&lt;='Gastos com Pessoal'!$F$7:$F$506)*(IF('Gastos com Pessoal'!$S$7:$S$506&lt;=AD$3,1,0))*OFFSET('Gastos com Pessoal'!$H$6,1,MATCH(3&amp;$B54,'Gastos com Pessoal'!$I$532:$AJ$532&amp;'Gastos com Pessoal'!$I$6:$AJ$6,0),500,1)),0)+_xlfn.IFNA(SUM((AD$3&gt;='Gastos com Pessoal'!$E$7:$E$506)*(AD$3&lt;='Gastos com Pessoal'!$F$7:$F$506)*(IF('Gastos com Pessoal'!$Y$7:$Y$506&lt;=AD$3,1,0))*OFFSET('Gastos com Pessoal'!$H$6,1,MATCH(4&amp;$B54,'Gastos com Pessoal'!$I$532:$AJ$532&amp;'Gastos com Pessoal'!$I$6:$AJ$6,0),500,1)),0)+_xlfn.IFNA(SUM((AD$3&gt;='Gastos com Pessoal'!$E$7:$E$506)*(AD$3&lt;='Gastos com Pessoal'!$F$7:$F$506)*(IF('Gastos com Pessoal'!$AE$7:$AE$506&lt;=AD$3,1,0))*OFFSET('Gastos com Pessoal'!$H$6,1,MATCH(5&amp;$B54,'Gastos com Pessoal'!$I$532:$AJ$532&amp;'Gastos com Pessoal'!$I$6:$AJ$6,0),500,1)),0)+_xlfn.IFNA(SUM((AD$3&gt;='Gastos com Pessoal'!$E$513:$E$522)*(AD$3&lt;='Gastos com Pessoal'!$F$513:$F$522)*(IF('Gastos com Pessoal'!$G$513:$G$522&lt;=AD$3,1,0))*OFFSET('Gastos com Pessoal'!$H$512,1,MATCH(1&amp;$B54,'Gastos com Pessoal'!$I$532:$AJ$532&amp;'Gastos com Pessoal'!$I$512:$AJ$512,0),10,1)),0)+_xlfn.IFNA(SUM((AD$3&gt;='Gastos com Pessoal'!$E$513:$E$522)*(AD$3&lt;='Gastos com Pessoal'!$F$513:$F$522)*(IF('Gastos com Pessoal'!$M$513:$M$522&lt;=AD$3,1,0))*OFFSET('Gastos com Pessoal'!$H$512,1,MATCH(2&amp;$B54,'Gastos com Pessoal'!$I$532:$AJ$532&amp;'Gastos com Pessoal'!$I$512:$AJ$512,0),10,1)),0)+_xlfn.IFNA(SUM((AD$3&gt;='Gastos com Pessoal'!$E$513:$E$522)*(AD$3&lt;='Gastos com Pessoal'!$F$513:$F$522)*(IF('Gastos com Pessoal'!$S$513:$S$522&lt;=AD$3,1,0))*OFFSET('Gastos com Pessoal'!$H$512,1,MATCH(3&amp;$B54,'Gastos com Pessoal'!$I$532:$AJ$532&amp;'Gastos com Pessoal'!$I$512:$AJ$512,0),10,1)),0)+_xlfn.IFNA(SUM((AD$3&gt;='Gastos com Pessoal'!$E$513:$E$522)*(AD$3&lt;='Gastos com Pessoal'!$F$513:$F$522)*(IF('Gastos com Pessoal'!$Y$513:$Y$522&lt;=AD$3,1,0))*OFFSET('Gastos com Pessoal'!$H$512,1,MATCH(4&amp;$B54,'Gastos com Pessoal'!$I$532:$AJ$532&amp;'Gastos com Pessoal'!$I$512:$AJ$512,0),10,1)),0)+_xlfn.IFNA(SUM((AD$3&gt;='Gastos com Pessoal'!$E$513:$E$522)*(AD$3&lt;='Gastos com Pessoal'!$F$513:$F$522)*(IF('Gastos com Pessoal'!$AE$513:$AE$522&lt;=AD$3,1,0))*OFFSET('Gastos com Pessoal'!$H$512,1,MATCH(5&amp;$B54,'Gastos com Pessoal'!$I$532:$AJ$532&amp;'Gastos com Pessoal'!$I$512:$AJ$512,0),10,1)),0)</f>
        <v>17332.25000000004</v>
      </c>
      <c r="AE54" s="188">
        <f t="array" aca="1" ref="AE54" ca="1">_xlfn.IFNA(SUM((AE$3&gt;='Gastos com Pessoal'!$E$7:$E$506)*(AE$3&lt;='Gastos com Pessoal'!$F$7:$F$506)*OFFSET('Encargos e Benefícios'!$D$5,1,MATCH($B54,'Encargos e Benefícios'!$E$5:$AB$5,0),500,1)),0)+_xlfn.IFNA(SUM((AE$3&gt;='Gastos com Pessoal'!$E$513:$E$522)*(AE$3&lt;='Gastos com Pessoal'!$F$513:$F$522)*OFFSET('Encargos e Benefícios'!$D$511,1,MATCH($B54,'Encargos e Benefícios'!$E$511:$AB$511,0),10,1)),0)+_xlfn.IFNA(SUM((AE$3&gt;='Gastos com Pessoal'!$E$7:$E$506)*(AE$3&lt;='Gastos com Pessoal'!$F$7:$F$506)*(IF('Gastos com Pessoal'!$G$7:$G$506&lt;=AE$3,1,0))*OFFSET('Gastos com Pessoal'!$H$6,1,MATCH(1&amp;$B54,'Gastos com Pessoal'!$I$532:$AJ$532&amp;'Gastos com Pessoal'!$I$6:$AJ$6,0),500,1)),0)+_xlfn.IFNA(SUM((AE$3&gt;='Gastos com Pessoal'!$E$7:$E$506)*(AE$3&lt;='Gastos com Pessoal'!$F$7:$F$506)*(IF('Gastos com Pessoal'!$M$7:$M$506&lt;=AE$3,1,0))*OFFSET('Gastos com Pessoal'!$H$6,1,MATCH(2&amp;$B54,'Gastos com Pessoal'!$I$532:$AJ$532&amp;'Gastos com Pessoal'!$I$6:$AJ$6,0),500,1)),0)+_xlfn.IFNA(SUM((AE$3&gt;='Gastos com Pessoal'!$E$7:$E$506)*(AE$3&lt;='Gastos com Pessoal'!$F$7:$F$506)*(IF('Gastos com Pessoal'!$S$7:$S$506&lt;=AE$3,1,0))*OFFSET('Gastos com Pessoal'!$H$6,1,MATCH(3&amp;$B54,'Gastos com Pessoal'!$I$532:$AJ$532&amp;'Gastos com Pessoal'!$I$6:$AJ$6,0),500,1)),0)+_xlfn.IFNA(SUM((AE$3&gt;='Gastos com Pessoal'!$E$7:$E$506)*(AE$3&lt;='Gastos com Pessoal'!$F$7:$F$506)*(IF('Gastos com Pessoal'!$Y$7:$Y$506&lt;=AE$3,1,0))*OFFSET('Gastos com Pessoal'!$H$6,1,MATCH(4&amp;$B54,'Gastos com Pessoal'!$I$532:$AJ$532&amp;'Gastos com Pessoal'!$I$6:$AJ$6,0),500,1)),0)+_xlfn.IFNA(SUM((AE$3&gt;='Gastos com Pessoal'!$E$7:$E$506)*(AE$3&lt;='Gastos com Pessoal'!$F$7:$F$506)*(IF('Gastos com Pessoal'!$AE$7:$AE$506&lt;=AE$3,1,0))*OFFSET('Gastos com Pessoal'!$H$6,1,MATCH(5&amp;$B54,'Gastos com Pessoal'!$I$532:$AJ$532&amp;'Gastos com Pessoal'!$I$6:$AJ$6,0),500,1)),0)+_xlfn.IFNA(SUM((AE$3&gt;='Gastos com Pessoal'!$E$513:$E$522)*(AE$3&lt;='Gastos com Pessoal'!$F$513:$F$522)*(IF('Gastos com Pessoal'!$G$513:$G$522&lt;=AE$3,1,0))*OFFSET('Gastos com Pessoal'!$H$512,1,MATCH(1&amp;$B54,'Gastos com Pessoal'!$I$532:$AJ$532&amp;'Gastos com Pessoal'!$I$512:$AJ$512,0),10,1)),0)+_xlfn.IFNA(SUM((AE$3&gt;='Gastos com Pessoal'!$E$513:$E$522)*(AE$3&lt;='Gastos com Pessoal'!$F$513:$F$522)*(IF('Gastos com Pessoal'!$M$513:$M$522&lt;=AE$3,1,0))*OFFSET('Gastos com Pessoal'!$H$512,1,MATCH(2&amp;$B54,'Gastos com Pessoal'!$I$532:$AJ$532&amp;'Gastos com Pessoal'!$I$512:$AJ$512,0),10,1)),0)+_xlfn.IFNA(SUM((AE$3&gt;='Gastos com Pessoal'!$E$513:$E$522)*(AE$3&lt;='Gastos com Pessoal'!$F$513:$F$522)*(IF('Gastos com Pessoal'!$S$513:$S$522&lt;=AE$3,1,0))*OFFSET('Gastos com Pessoal'!$H$512,1,MATCH(3&amp;$B54,'Gastos com Pessoal'!$I$532:$AJ$532&amp;'Gastos com Pessoal'!$I$512:$AJ$512,0),10,1)),0)+_xlfn.IFNA(SUM((AE$3&gt;='Gastos com Pessoal'!$E$513:$E$522)*(AE$3&lt;='Gastos com Pessoal'!$F$513:$F$522)*(IF('Gastos com Pessoal'!$Y$513:$Y$522&lt;=AE$3,1,0))*OFFSET('Gastos com Pessoal'!$H$512,1,MATCH(4&amp;$B54,'Gastos com Pessoal'!$I$532:$AJ$532&amp;'Gastos com Pessoal'!$I$512:$AJ$512,0),10,1)),0)+_xlfn.IFNA(SUM((AE$3&gt;='Gastos com Pessoal'!$E$513:$E$522)*(AE$3&lt;='Gastos com Pessoal'!$F$513:$F$522)*(IF('Gastos com Pessoal'!$AE$513:$AE$522&lt;=AE$3,1,0))*OFFSET('Gastos com Pessoal'!$H$512,1,MATCH(5&amp;$B54,'Gastos com Pessoal'!$I$532:$AJ$532&amp;'Gastos com Pessoal'!$I$512:$AJ$512,0),10,1)),0)</f>
        <v>17332.25000000004</v>
      </c>
      <c r="AF54" s="188">
        <f t="array" aca="1" ref="AF54" ca="1">_xlfn.IFNA(SUM((AF$3&gt;='Gastos com Pessoal'!$E$7:$E$506)*(AF$3&lt;='Gastos com Pessoal'!$F$7:$F$506)*OFFSET('Encargos e Benefícios'!$D$5,1,MATCH($B54,'Encargos e Benefícios'!$E$5:$AB$5,0),500,1)),0)+_xlfn.IFNA(SUM((AF$3&gt;='Gastos com Pessoal'!$E$513:$E$522)*(AF$3&lt;='Gastos com Pessoal'!$F$513:$F$522)*OFFSET('Encargos e Benefícios'!$D$511,1,MATCH($B54,'Encargos e Benefícios'!$E$511:$AB$511,0),10,1)),0)+_xlfn.IFNA(SUM((AF$3&gt;='Gastos com Pessoal'!$E$7:$E$506)*(AF$3&lt;='Gastos com Pessoal'!$F$7:$F$506)*(IF('Gastos com Pessoal'!$G$7:$G$506&lt;=AF$3,1,0))*OFFSET('Gastos com Pessoal'!$H$6,1,MATCH(1&amp;$B54,'Gastos com Pessoal'!$I$532:$AJ$532&amp;'Gastos com Pessoal'!$I$6:$AJ$6,0),500,1)),0)+_xlfn.IFNA(SUM((AF$3&gt;='Gastos com Pessoal'!$E$7:$E$506)*(AF$3&lt;='Gastos com Pessoal'!$F$7:$F$506)*(IF('Gastos com Pessoal'!$M$7:$M$506&lt;=AF$3,1,0))*OFFSET('Gastos com Pessoal'!$H$6,1,MATCH(2&amp;$B54,'Gastos com Pessoal'!$I$532:$AJ$532&amp;'Gastos com Pessoal'!$I$6:$AJ$6,0),500,1)),0)+_xlfn.IFNA(SUM((AF$3&gt;='Gastos com Pessoal'!$E$7:$E$506)*(AF$3&lt;='Gastos com Pessoal'!$F$7:$F$506)*(IF('Gastos com Pessoal'!$S$7:$S$506&lt;=AF$3,1,0))*OFFSET('Gastos com Pessoal'!$H$6,1,MATCH(3&amp;$B54,'Gastos com Pessoal'!$I$532:$AJ$532&amp;'Gastos com Pessoal'!$I$6:$AJ$6,0),500,1)),0)+_xlfn.IFNA(SUM((AF$3&gt;='Gastos com Pessoal'!$E$7:$E$506)*(AF$3&lt;='Gastos com Pessoal'!$F$7:$F$506)*(IF('Gastos com Pessoal'!$Y$7:$Y$506&lt;=AF$3,1,0))*OFFSET('Gastos com Pessoal'!$H$6,1,MATCH(4&amp;$B54,'Gastos com Pessoal'!$I$532:$AJ$532&amp;'Gastos com Pessoal'!$I$6:$AJ$6,0),500,1)),0)+_xlfn.IFNA(SUM((AF$3&gt;='Gastos com Pessoal'!$E$7:$E$506)*(AF$3&lt;='Gastos com Pessoal'!$F$7:$F$506)*(IF('Gastos com Pessoal'!$AE$7:$AE$506&lt;=AF$3,1,0))*OFFSET('Gastos com Pessoal'!$H$6,1,MATCH(5&amp;$B54,'Gastos com Pessoal'!$I$532:$AJ$532&amp;'Gastos com Pessoal'!$I$6:$AJ$6,0),500,1)),0)+_xlfn.IFNA(SUM((AF$3&gt;='Gastos com Pessoal'!$E$513:$E$522)*(AF$3&lt;='Gastos com Pessoal'!$F$513:$F$522)*(IF('Gastos com Pessoal'!$G$513:$G$522&lt;=AF$3,1,0))*OFFSET('Gastos com Pessoal'!$H$512,1,MATCH(1&amp;$B54,'Gastos com Pessoal'!$I$532:$AJ$532&amp;'Gastos com Pessoal'!$I$512:$AJ$512,0),10,1)),0)+_xlfn.IFNA(SUM((AF$3&gt;='Gastos com Pessoal'!$E$513:$E$522)*(AF$3&lt;='Gastos com Pessoal'!$F$513:$F$522)*(IF('Gastos com Pessoal'!$M$513:$M$522&lt;=AF$3,1,0))*OFFSET('Gastos com Pessoal'!$H$512,1,MATCH(2&amp;$B54,'Gastos com Pessoal'!$I$532:$AJ$532&amp;'Gastos com Pessoal'!$I$512:$AJ$512,0),10,1)),0)+_xlfn.IFNA(SUM((AF$3&gt;='Gastos com Pessoal'!$E$513:$E$522)*(AF$3&lt;='Gastos com Pessoal'!$F$513:$F$522)*(IF('Gastos com Pessoal'!$S$513:$S$522&lt;=AF$3,1,0))*OFFSET('Gastos com Pessoal'!$H$512,1,MATCH(3&amp;$B54,'Gastos com Pessoal'!$I$532:$AJ$532&amp;'Gastos com Pessoal'!$I$512:$AJ$512,0),10,1)),0)+_xlfn.IFNA(SUM((AF$3&gt;='Gastos com Pessoal'!$E$513:$E$522)*(AF$3&lt;='Gastos com Pessoal'!$F$513:$F$522)*(IF('Gastos com Pessoal'!$Y$513:$Y$522&lt;=AF$3,1,0))*OFFSET('Gastos com Pessoal'!$H$512,1,MATCH(4&amp;$B54,'Gastos com Pessoal'!$I$532:$AJ$532&amp;'Gastos com Pessoal'!$I$512:$AJ$512,0),10,1)),0)+_xlfn.IFNA(SUM((AF$3&gt;='Gastos com Pessoal'!$E$513:$E$522)*(AF$3&lt;='Gastos com Pessoal'!$F$513:$F$522)*(IF('Gastos com Pessoal'!$AE$513:$AE$522&lt;=AF$3,1,0))*OFFSET('Gastos com Pessoal'!$H$512,1,MATCH(5&amp;$B54,'Gastos com Pessoal'!$I$532:$AJ$532&amp;'Gastos com Pessoal'!$I$512:$AJ$512,0),10,1)),0)</f>
        <v>17332.25000000004</v>
      </c>
      <c r="AG54" s="188">
        <f t="array" aca="1" ref="AG54" ca="1">_xlfn.IFNA(SUM((AG$3&gt;='Gastos com Pessoal'!$E$7:$E$506)*(AG$3&lt;='Gastos com Pessoal'!$F$7:$F$506)*OFFSET('Encargos e Benefícios'!$D$5,1,MATCH($B54,'Encargos e Benefícios'!$E$5:$AB$5,0),500,1)),0)+_xlfn.IFNA(SUM((AG$3&gt;='Gastos com Pessoal'!$E$513:$E$522)*(AG$3&lt;='Gastos com Pessoal'!$F$513:$F$522)*OFFSET('Encargos e Benefícios'!$D$511,1,MATCH($B54,'Encargos e Benefícios'!$E$511:$AB$511,0),10,1)),0)+_xlfn.IFNA(SUM((AG$3&gt;='Gastos com Pessoal'!$E$7:$E$506)*(AG$3&lt;='Gastos com Pessoal'!$F$7:$F$506)*(IF('Gastos com Pessoal'!$G$7:$G$506&lt;=AG$3,1,0))*OFFSET('Gastos com Pessoal'!$H$6,1,MATCH(1&amp;$B54,'Gastos com Pessoal'!$I$532:$AJ$532&amp;'Gastos com Pessoal'!$I$6:$AJ$6,0),500,1)),0)+_xlfn.IFNA(SUM((AG$3&gt;='Gastos com Pessoal'!$E$7:$E$506)*(AG$3&lt;='Gastos com Pessoal'!$F$7:$F$506)*(IF('Gastos com Pessoal'!$M$7:$M$506&lt;=AG$3,1,0))*OFFSET('Gastos com Pessoal'!$H$6,1,MATCH(2&amp;$B54,'Gastos com Pessoal'!$I$532:$AJ$532&amp;'Gastos com Pessoal'!$I$6:$AJ$6,0),500,1)),0)+_xlfn.IFNA(SUM((AG$3&gt;='Gastos com Pessoal'!$E$7:$E$506)*(AG$3&lt;='Gastos com Pessoal'!$F$7:$F$506)*(IF('Gastos com Pessoal'!$S$7:$S$506&lt;=AG$3,1,0))*OFFSET('Gastos com Pessoal'!$H$6,1,MATCH(3&amp;$B54,'Gastos com Pessoal'!$I$532:$AJ$532&amp;'Gastos com Pessoal'!$I$6:$AJ$6,0),500,1)),0)+_xlfn.IFNA(SUM((AG$3&gt;='Gastos com Pessoal'!$E$7:$E$506)*(AG$3&lt;='Gastos com Pessoal'!$F$7:$F$506)*(IF('Gastos com Pessoal'!$Y$7:$Y$506&lt;=AG$3,1,0))*OFFSET('Gastos com Pessoal'!$H$6,1,MATCH(4&amp;$B54,'Gastos com Pessoal'!$I$532:$AJ$532&amp;'Gastos com Pessoal'!$I$6:$AJ$6,0),500,1)),0)+_xlfn.IFNA(SUM((AG$3&gt;='Gastos com Pessoal'!$E$7:$E$506)*(AG$3&lt;='Gastos com Pessoal'!$F$7:$F$506)*(IF('Gastos com Pessoal'!$AE$7:$AE$506&lt;=AG$3,1,0))*OFFSET('Gastos com Pessoal'!$H$6,1,MATCH(5&amp;$B54,'Gastos com Pessoal'!$I$532:$AJ$532&amp;'Gastos com Pessoal'!$I$6:$AJ$6,0),500,1)),0)+_xlfn.IFNA(SUM((AG$3&gt;='Gastos com Pessoal'!$E$513:$E$522)*(AG$3&lt;='Gastos com Pessoal'!$F$513:$F$522)*(IF('Gastos com Pessoal'!$G$513:$G$522&lt;=AG$3,1,0))*OFFSET('Gastos com Pessoal'!$H$512,1,MATCH(1&amp;$B54,'Gastos com Pessoal'!$I$532:$AJ$532&amp;'Gastos com Pessoal'!$I$512:$AJ$512,0),10,1)),0)+_xlfn.IFNA(SUM((AG$3&gt;='Gastos com Pessoal'!$E$513:$E$522)*(AG$3&lt;='Gastos com Pessoal'!$F$513:$F$522)*(IF('Gastos com Pessoal'!$M$513:$M$522&lt;=AG$3,1,0))*OFFSET('Gastos com Pessoal'!$H$512,1,MATCH(2&amp;$B54,'Gastos com Pessoal'!$I$532:$AJ$532&amp;'Gastos com Pessoal'!$I$512:$AJ$512,0),10,1)),0)+_xlfn.IFNA(SUM((AG$3&gt;='Gastos com Pessoal'!$E$513:$E$522)*(AG$3&lt;='Gastos com Pessoal'!$F$513:$F$522)*(IF('Gastos com Pessoal'!$S$513:$S$522&lt;=AG$3,1,0))*OFFSET('Gastos com Pessoal'!$H$512,1,MATCH(3&amp;$B54,'Gastos com Pessoal'!$I$532:$AJ$532&amp;'Gastos com Pessoal'!$I$512:$AJ$512,0),10,1)),0)+_xlfn.IFNA(SUM((AG$3&gt;='Gastos com Pessoal'!$E$513:$E$522)*(AG$3&lt;='Gastos com Pessoal'!$F$513:$F$522)*(IF('Gastos com Pessoal'!$Y$513:$Y$522&lt;=AG$3,1,0))*OFFSET('Gastos com Pessoal'!$H$512,1,MATCH(4&amp;$B54,'Gastos com Pessoal'!$I$532:$AJ$532&amp;'Gastos com Pessoal'!$I$512:$AJ$512,0),10,1)),0)+_xlfn.IFNA(SUM((AG$3&gt;='Gastos com Pessoal'!$E$513:$E$522)*(AG$3&lt;='Gastos com Pessoal'!$F$513:$F$522)*(IF('Gastos com Pessoal'!$AE$513:$AE$522&lt;=AG$3,1,0))*OFFSET('Gastos com Pessoal'!$H$512,1,MATCH(5&amp;$B54,'Gastos com Pessoal'!$I$532:$AJ$532&amp;'Gastos com Pessoal'!$I$512:$AJ$512,0),10,1)),0)</f>
        <v>17332.25000000004</v>
      </c>
      <c r="AH54" s="188">
        <f t="array" aca="1" ref="AH54" ca="1">_xlfn.IFNA(SUM((AH$3&gt;='Gastos com Pessoal'!$E$7:$E$506)*(AH$3&lt;='Gastos com Pessoal'!$F$7:$F$506)*OFFSET('Encargos e Benefícios'!$D$5,1,MATCH($B54,'Encargos e Benefícios'!$E$5:$AB$5,0),500,1)),0)+_xlfn.IFNA(SUM((AH$3&gt;='Gastos com Pessoal'!$E$513:$E$522)*(AH$3&lt;='Gastos com Pessoal'!$F$513:$F$522)*OFFSET('Encargos e Benefícios'!$D$511,1,MATCH($B54,'Encargos e Benefícios'!$E$511:$AB$511,0),10,1)),0)+_xlfn.IFNA(SUM((AH$3&gt;='Gastos com Pessoal'!$E$7:$E$506)*(AH$3&lt;='Gastos com Pessoal'!$F$7:$F$506)*(IF('Gastos com Pessoal'!$G$7:$G$506&lt;=AH$3,1,0))*OFFSET('Gastos com Pessoal'!$H$6,1,MATCH(1&amp;$B54,'Gastos com Pessoal'!$I$532:$AJ$532&amp;'Gastos com Pessoal'!$I$6:$AJ$6,0),500,1)),0)+_xlfn.IFNA(SUM((AH$3&gt;='Gastos com Pessoal'!$E$7:$E$506)*(AH$3&lt;='Gastos com Pessoal'!$F$7:$F$506)*(IF('Gastos com Pessoal'!$M$7:$M$506&lt;=AH$3,1,0))*OFFSET('Gastos com Pessoal'!$H$6,1,MATCH(2&amp;$B54,'Gastos com Pessoal'!$I$532:$AJ$532&amp;'Gastos com Pessoal'!$I$6:$AJ$6,0),500,1)),0)+_xlfn.IFNA(SUM((AH$3&gt;='Gastos com Pessoal'!$E$7:$E$506)*(AH$3&lt;='Gastos com Pessoal'!$F$7:$F$506)*(IF('Gastos com Pessoal'!$S$7:$S$506&lt;=AH$3,1,0))*OFFSET('Gastos com Pessoal'!$H$6,1,MATCH(3&amp;$B54,'Gastos com Pessoal'!$I$532:$AJ$532&amp;'Gastos com Pessoal'!$I$6:$AJ$6,0),500,1)),0)+_xlfn.IFNA(SUM((AH$3&gt;='Gastos com Pessoal'!$E$7:$E$506)*(AH$3&lt;='Gastos com Pessoal'!$F$7:$F$506)*(IF('Gastos com Pessoal'!$Y$7:$Y$506&lt;=AH$3,1,0))*OFFSET('Gastos com Pessoal'!$H$6,1,MATCH(4&amp;$B54,'Gastos com Pessoal'!$I$532:$AJ$532&amp;'Gastos com Pessoal'!$I$6:$AJ$6,0),500,1)),0)+_xlfn.IFNA(SUM((AH$3&gt;='Gastos com Pessoal'!$E$7:$E$506)*(AH$3&lt;='Gastos com Pessoal'!$F$7:$F$506)*(IF('Gastos com Pessoal'!$AE$7:$AE$506&lt;=AH$3,1,0))*OFFSET('Gastos com Pessoal'!$H$6,1,MATCH(5&amp;$B54,'Gastos com Pessoal'!$I$532:$AJ$532&amp;'Gastos com Pessoal'!$I$6:$AJ$6,0),500,1)),0)+_xlfn.IFNA(SUM((AH$3&gt;='Gastos com Pessoal'!$E$513:$E$522)*(AH$3&lt;='Gastos com Pessoal'!$F$513:$F$522)*(IF('Gastos com Pessoal'!$G$513:$G$522&lt;=AH$3,1,0))*OFFSET('Gastos com Pessoal'!$H$512,1,MATCH(1&amp;$B54,'Gastos com Pessoal'!$I$532:$AJ$532&amp;'Gastos com Pessoal'!$I$512:$AJ$512,0),10,1)),0)+_xlfn.IFNA(SUM((AH$3&gt;='Gastos com Pessoal'!$E$513:$E$522)*(AH$3&lt;='Gastos com Pessoal'!$F$513:$F$522)*(IF('Gastos com Pessoal'!$M$513:$M$522&lt;=AH$3,1,0))*OFFSET('Gastos com Pessoal'!$H$512,1,MATCH(2&amp;$B54,'Gastos com Pessoal'!$I$532:$AJ$532&amp;'Gastos com Pessoal'!$I$512:$AJ$512,0),10,1)),0)+_xlfn.IFNA(SUM((AH$3&gt;='Gastos com Pessoal'!$E$513:$E$522)*(AH$3&lt;='Gastos com Pessoal'!$F$513:$F$522)*(IF('Gastos com Pessoal'!$S$513:$S$522&lt;=AH$3,1,0))*OFFSET('Gastos com Pessoal'!$H$512,1,MATCH(3&amp;$B54,'Gastos com Pessoal'!$I$532:$AJ$532&amp;'Gastos com Pessoal'!$I$512:$AJ$512,0),10,1)),0)+_xlfn.IFNA(SUM((AH$3&gt;='Gastos com Pessoal'!$E$513:$E$522)*(AH$3&lt;='Gastos com Pessoal'!$F$513:$F$522)*(IF('Gastos com Pessoal'!$Y$513:$Y$522&lt;=AH$3,1,0))*OFFSET('Gastos com Pessoal'!$H$512,1,MATCH(4&amp;$B54,'Gastos com Pessoal'!$I$532:$AJ$532&amp;'Gastos com Pessoal'!$I$512:$AJ$512,0),10,1)),0)+_xlfn.IFNA(SUM((AH$3&gt;='Gastos com Pessoal'!$E$513:$E$522)*(AH$3&lt;='Gastos com Pessoal'!$F$513:$F$522)*(IF('Gastos com Pessoal'!$AE$513:$AE$522&lt;=AH$3,1,0))*OFFSET('Gastos com Pessoal'!$H$512,1,MATCH(5&amp;$B54,'Gastos com Pessoal'!$I$532:$AJ$532&amp;'Gastos com Pessoal'!$I$512:$AJ$512,0),10,1)),0)</f>
        <v>17332.25000000004</v>
      </c>
      <c r="AI54" s="188">
        <f t="array" aca="1" ref="AI54" ca="1">_xlfn.IFNA(SUM((AI$3&gt;='Gastos com Pessoal'!$E$7:$E$506)*(AI$3&lt;='Gastos com Pessoal'!$F$7:$F$506)*OFFSET('Encargos e Benefícios'!$D$5,1,MATCH($B54,'Encargos e Benefícios'!$E$5:$AB$5,0),500,1)),0)+_xlfn.IFNA(SUM((AI$3&gt;='Gastos com Pessoal'!$E$513:$E$522)*(AI$3&lt;='Gastos com Pessoal'!$F$513:$F$522)*OFFSET('Encargos e Benefícios'!$D$511,1,MATCH($B54,'Encargos e Benefícios'!$E$511:$AB$511,0),10,1)),0)+_xlfn.IFNA(SUM((AI$3&gt;='Gastos com Pessoal'!$E$7:$E$506)*(AI$3&lt;='Gastos com Pessoal'!$F$7:$F$506)*(IF('Gastos com Pessoal'!$G$7:$G$506&lt;=AI$3,1,0))*OFFSET('Gastos com Pessoal'!$H$6,1,MATCH(1&amp;$B54,'Gastos com Pessoal'!$I$532:$AJ$532&amp;'Gastos com Pessoal'!$I$6:$AJ$6,0),500,1)),0)+_xlfn.IFNA(SUM((AI$3&gt;='Gastos com Pessoal'!$E$7:$E$506)*(AI$3&lt;='Gastos com Pessoal'!$F$7:$F$506)*(IF('Gastos com Pessoal'!$M$7:$M$506&lt;=AI$3,1,0))*OFFSET('Gastos com Pessoal'!$H$6,1,MATCH(2&amp;$B54,'Gastos com Pessoal'!$I$532:$AJ$532&amp;'Gastos com Pessoal'!$I$6:$AJ$6,0),500,1)),0)+_xlfn.IFNA(SUM((AI$3&gt;='Gastos com Pessoal'!$E$7:$E$506)*(AI$3&lt;='Gastos com Pessoal'!$F$7:$F$506)*(IF('Gastos com Pessoal'!$S$7:$S$506&lt;=AI$3,1,0))*OFFSET('Gastos com Pessoal'!$H$6,1,MATCH(3&amp;$B54,'Gastos com Pessoal'!$I$532:$AJ$532&amp;'Gastos com Pessoal'!$I$6:$AJ$6,0),500,1)),0)+_xlfn.IFNA(SUM((AI$3&gt;='Gastos com Pessoal'!$E$7:$E$506)*(AI$3&lt;='Gastos com Pessoal'!$F$7:$F$506)*(IF('Gastos com Pessoal'!$Y$7:$Y$506&lt;=AI$3,1,0))*OFFSET('Gastos com Pessoal'!$H$6,1,MATCH(4&amp;$B54,'Gastos com Pessoal'!$I$532:$AJ$532&amp;'Gastos com Pessoal'!$I$6:$AJ$6,0),500,1)),0)+_xlfn.IFNA(SUM((AI$3&gt;='Gastos com Pessoal'!$E$7:$E$506)*(AI$3&lt;='Gastos com Pessoal'!$F$7:$F$506)*(IF('Gastos com Pessoal'!$AE$7:$AE$506&lt;=AI$3,1,0))*OFFSET('Gastos com Pessoal'!$H$6,1,MATCH(5&amp;$B54,'Gastos com Pessoal'!$I$532:$AJ$532&amp;'Gastos com Pessoal'!$I$6:$AJ$6,0),500,1)),0)+_xlfn.IFNA(SUM((AI$3&gt;='Gastos com Pessoal'!$E$513:$E$522)*(AI$3&lt;='Gastos com Pessoal'!$F$513:$F$522)*(IF('Gastos com Pessoal'!$G$513:$G$522&lt;=AI$3,1,0))*OFFSET('Gastos com Pessoal'!$H$512,1,MATCH(1&amp;$B54,'Gastos com Pessoal'!$I$532:$AJ$532&amp;'Gastos com Pessoal'!$I$512:$AJ$512,0),10,1)),0)+_xlfn.IFNA(SUM((AI$3&gt;='Gastos com Pessoal'!$E$513:$E$522)*(AI$3&lt;='Gastos com Pessoal'!$F$513:$F$522)*(IF('Gastos com Pessoal'!$M$513:$M$522&lt;=AI$3,1,0))*OFFSET('Gastos com Pessoal'!$H$512,1,MATCH(2&amp;$B54,'Gastos com Pessoal'!$I$532:$AJ$532&amp;'Gastos com Pessoal'!$I$512:$AJ$512,0),10,1)),0)+_xlfn.IFNA(SUM((AI$3&gt;='Gastos com Pessoal'!$E$513:$E$522)*(AI$3&lt;='Gastos com Pessoal'!$F$513:$F$522)*(IF('Gastos com Pessoal'!$S$513:$S$522&lt;=AI$3,1,0))*OFFSET('Gastos com Pessoal'!$H$512,1,MATCH(3&amp;$B54,'Gastos com Pessoal'!$I$532:$AJ$532&amp;'Gastos com Pessoal'!$I$512:$AJ$512,0),10,1)),0)+_xlfn.IFNA(SUM((AI$3&gt;='Gastos com Pessoal'!$E$513:$E$522)*(AI$3&lt;='Gastos com Pessoal'!$F$513:$F$522)*(IF('Gastos com Pessoal'!$Y$513:$Y$522&lt;=AI$3,1,0))*OFFSET('Gastos com Pessoal'!$H$512,1,MATCH(4&amp;$B54,'Gastos com Pessoal'!$I$532:$AJ$532&amp;'Gastos com Pessoal'!$I$512:$AJ$512,0),10,1)),0)+_xlfn.IFNA(SUM((AI$3&gt;='Gastos com Pessoal'!$E$513:$E$522)*(AI$3&lt;='Gastos com Pessoal'!$F$513:$F$522)*(IF('Gastos com Pessoal'!$AE$513:$AE$522&lt;=AI$3,1,0))*OFFSET('Gastos com Pessoal'!$H$512,1,MATCH(5&amp;$B54,'Gastos com Pessoal'!$I$532:$AJ$532&amp;'Gastos com Pessoal'!$I$512:$AJ$512,0),10,1)),0)</f>
        <v>17332.25000000004</v>
      </c>
      <c r="AJ54" s="188">
        <f t="array" aca="1" ref="AJ54" ca="1">_xlfn.IFNA(SUM((AJ$3&gt;='Gastos com Pessoal'!$E$7:$E$506)*(AJ$3&lt;='Gastos com Pessoal'!$F$7:$F$506)*OFFSET('Encargos e Benefícios'!$D$5,1,MATCH($B54,'Encargos e Benefícios'!$E$5:$AB$5,0),500,1)),0)+_xlfn.IFNA(SUM((AJ$3&gt;='Gastos com Pessoal'!$E$513:$E$522)*(AJ$3&lt;='Gastos com Pessoal'!$F$513:$F$522)*OFFSET('Encargos e Benefícios'!$D$511,1,MATCH($B54,'Encargos e Benefícios'!$E$511:$AB$511,0),10,1)),0)+_xlfn.IFNA(SUM((AJ$3&gt;='Gastos com Pessoal'!$E$7:$E$506)*(AJ$3&lt;='Gastos com Pessoal'!$F$7:$F$506)*(IF('Gastos com Pessoal'!$G$7:$G$506&lt;=AJ$3,1,0))*OFFSET('Gastos com Pessoal'!$H$6,1,MATCH(1&amp;$B54,'Gastos com Pessoal'!$I$532:$AJ$532&amp;'Gastos com Pessoal'!$I$6:$AJ$6,0),500,1)),0)+_xlfn.IFNA(SUM((AJ$3&gt;='Gastos com Pessoal'!$E$7:$E$506)*(AJ$3&lt;='Gastos com Pessoal'!$F$7:$F$506)*(IF('Gastos com Pessoal'!$M$7:$M$506&lt;=AJ$3,1,0))*OFFSET('Gastos com Pessoal'!$H$6,1,MATCH(2&amp;$B54,'Gastos com Pessoal'!$I$532:$AJ$532&amp;'Gastos com Pessoal'!$I$6:$AJ$6,0),500,1)),0)+_xlfn.IFNA(SUM((AJ$3&gt;='Gastos com Pessoal'!$E$7:$E$506)*(AJ$3&lt;='Gastos com Pessoal'!$F$7:$F$506)*(IF('Gastos com Pessoal'!$S$7:$S$506&lt;=AJ$3,1,0))*OFFSET('Gastos com Pessoal'!$H$6,1,MATCH(3&amp;$B54,'Gastos com Pessoal'!$I$532:$AJ$532&amp;'Gastos com Pessoal'!$I$6:$AJ$6,0),500,1)),0)+_xlfn.IFNA(SUM((AJ$3&gt;='Gastos com Pessoal'!$E$7:$E$506)*(AJ$3&lt;='Gastos com Pessoal'!$F$7:$F$506)*(IF('Gastos com Pessoal'!$Y$7:$Y$506&lt;=AJ$3,1,0))*OFFSET('Gastos com Pessoal'!$H$6,1,MATCH(4&amp;$B54,'Gastos com Pessoal'!$I$532:$AJ$532&amp;'Gastos com Pessoal'!$I$6:$AJ$6,0),500,1)),0)+_xlfn.IFNA(SUM((AJ$3&gt;='Gastos com Pessoal'!$E$7:$E$506)*(AJ$3&lt;='Gastos com Pessoal'!$F$7:$F$506)*(IF('Gastos com Pessoal'!$AE$7:$AE$506&lt;=AJ$3,1,0))*OFFSET('Gastos com Pessoal'!$H$6,1,MATCH(5&amp;$B54,'Gastos com Pessoal'!$I$532:$AJ$532&amp;'Gastos com Pessoal'!$I$6:$AJ$6,0),500,1)),0)+_xlfn.IFNA(SUM((AJ$3&gt;='Gastos com Pessoal'!$E$513:$E$522)*(AJ$3&lt;='Gastos com Pessoal'!$F$513:$F$522)*(IF('Gastos com Pessoal'!$G$513:$G$522&lt;=AJ$3,1,0))*OFFSET('Gastos com Pessoal'!$H$512,1,MATCH(1&amp;$B54,'Gastos com Pessoal'!$I$532:$AJ$532&amp;'Gastos com Pessoal'!$I$512:$AJ$512,0),10,1)),0)+_xlfn.IFNA(SUM((AJ$3&gt;='Gastos com Pessoal'!$E$513:$E$522)*(AJ$3&lt;='Gastos com Pessoal'!$F$513:$F$522)*(IF('Gastos com Pessoal'!$M$513:$M$522&lt;=AJ$3,1,0))*OFFSET('Gastos com Pessoal'!$H$512,1,MATCH(2&amp;$B54,'Gastos com Pessoal'!$I$532:$AJ$532&amp;'Gastos com Pessoal'!$I$512:$AJ$512,0),10,1)),0)+_xlfn.IFNA(SUM((AJ$3&gt;='Gastos com Pessoal'!$E$513:$E$522)*(AJ$3&lt;='Gastos com Pessoal'!$F$513:$F$522)*(IF('Gastos com Pessoal'!$S$513:$S$522&lt;=AJ$3,1,0))*OFFSET('Gastos com Pessoal'!$H$512,1,MATCH(3&amp;$B54,'Gastos com Pessoal'!$I$532:$AJ$532&amp;'Gastos com Pessoal'!$I$512:$AJ$512,0),10,1)),0)+_xlfn.IFNA(SUM((AJ$3&gt;='Gastos com Pessoal'!$E$513:$E$522)*(AJ$3&lt;='Gastos com Pessoal'!$F$513:$F$522)*(IF('Gastos com Pessoal'!$Y$513:$Y$522&lt;=AJ$3,1,0))*OFFSET('Gastos com Pessoal'!$H$512,1,MATCH(4&amp;$B54,'Gastos com Pessoal'!$I$532:$AJ$532&amp;'Gastos com Pessoal'!$I$512:$AJ$512,0),10,1)),0)+_xlfn.IFNA(SUM((AJ$3&gt;='Gastos com Pessoal'!$E$513:$E$522)*(AJ$3&lt;='Gastos com Pessoal'!$F$513:$F$522)*(IF('Gastos com Pessoal'!$AE$513:$AE$522&lt;=AJ$3,1,0))*OFFSET('Gastos com Pessoal'!$H$512,1,MATCH(5&amp;$B54,'Gastos com Pessoal'!$I$532:$AJ$532&amp;'Gastos com Pessoal'!$I$512:$AJ$512,0),10,1)),0)</f>
        <v>17332.25000000004</v>
      </c>
      <c r="AK54" s="188">
        <f t="array" aca="1" ref="AK54" ca="1">_xlfn.IFNA(SUM((AK$3&gt;='Gastos com Pessoal'!$E$7:$E$506)*(AK$3&lt;='Gastos com Pessoal'!$F$7:$F$506)*OFFSET('Encargos e Benefícios'!$D$5,1,MATCH($B54,'Encargos e Benefícios'!$E$5:$AB$5,0),500,1)),0)+_xlfn.IFNA(SUM((AK$3&gt;='Gastos com Pessoal'!$E$513:$E$522)*(AK$3&lt;='Gastos com Pessoal'!$F$513:$F$522)*OFFSET('Encargos e Benefícios'!$D$511,1,MATCH($B54,'Encargos e Benefícios'!$E$511:$AB$511,0),10,1)),0)+_xlfn.IFNA(SUM((AK$3&gt;='Gastos com Pessoal'!$E$7:$E$506)*(AK$3&lt;='Gastos com Pessoal'!$F$7:$F$506)*(IF('Gastos com Pessoal'!$G$7:$G$506&lt;=AK$3,1,0))*OFFSET('Gastos com Pessoal'!$H$6,1,MATCH(1&amp;$B54,'Gastos com Pessoal'!$I$532:$AJ$532&amp;'Gastos com Pessoal'!$I$6:$AJ$6,0),500,1)),0)+_xlfn.IFNA(SUM((AK$3&gt;='Gastos com Pessoal'!$E$7:$E$506)*(AK$3&lt;='Gastos com Pessoal'!$F$7:$F$506)*(IF('Gastos com Pessoal'!$M$7:$M$506&lt;=AK$3,1,0))*OFFSET('Gastos com Pessoal'!$H$6,1,MATCH(2&amp;$B54,'Gastos com Pessoal'!$I$532:$AJ$532&amp;'Gastos com Pessoal'!$I$6:$AJ$6,0),500,1)),0)+_xlfn.IFNA(SUM((AK$3&gt;='Gastos com Pessoal'!$E$7:$E$506)*(AK$3&lt;='Gastos com Pessoal'!$F$7:$F$506)*(IF('Gastos com Pessoal'!$S$7:$S$506&lt;=AK$3,1,0))*OFFSET('Gastos com Pessoal'!$H$6,1,MATCH(3&amp;$B54,'Gastos com Pessoal'!$I$532:$AJ$532&amp;'Gastos com Pessoal'!$I$6:$AJ$6,0),500,1)),0)+_xlfn.IFNA(SUM((AK$3&gt;='Gastos com Pessoal'!$E$7:$E$506)*(AK$3&lt;='Gastos com Pessoal'!$F$7:$F$506)*(IF('Gastos com Pessoal'!$Y$7:$Y$506&lt;=AK$3,1,0))*OFFSET('Gastos com Pessoal'!$H$6,1,MATCH(4&amp;$B54,'Gastos com Pessoal'!$I$532:$AJ$532&amp;'Gastos com Pessoal'!$I$6:$AJ$6,0),500,1)),0)+_xlfn.IFNA(SUM((AK$3&gt;='Gastos com Pessoal'!$E$7:$E$506)*(AK$3&lt;='Gastos com Pessoal'!$F$7:$F$506)*(IF('Gastos com Pessoal'!$AE$7:$AE$506&lt;=AK$3,1,0))*OFFSET('Gastos com Pessoal'!$H$6,1,MATCH(5&amp;$B54,'Gastos com Pessoal'!$I$532:$AJ$532&amp;'Gastos com Pessoal'!$I$6:$AJ$6,0),500,1)),0)+_xlfn.IFNA(SUM((AK$3&gt;='Gastos com Pessoal'!$E$513:$E$522)*(AK$3&lt;='Gastos com Pessoal'!$F$513:$F$522)*(IF('Gastos com Pessoal'!$G$513:$G$522&lt;=AK$3,1,0))*OFFSET('Gastos com Pessoal'!$H$512,1,MATCH(1&amp;$B54,'Gastos com Pessoal'!$I$532:$AJ$532&amp;'Gastos com Pessoal'!$I$512:$AJ$512,0),10,1)),0)+_xlfn.IFNA(SUM((AK$3&gt;='Gastos com Pessoal'!$E$513:$E$522)*(AK$3&lt;='Gastos com Pessoal'!$F$513:$F$522)*(IF('Gastos com Pessoal'!$M$513:$M$522&lt;=AK$3,1,0))*OFFSET('Gastos com Pessoal'!$H$512,1,MATCH(2&amp;$B54,'Gastos com Pessoal'!$I$532:$AJ$532&amp;'Gastos com Pessoal'!$I$512:$AJ$512,0),10,1)),0)+_xlfn.IFNA(SUM((AK$3&gt;='Gastos com Pessoal'!$E$513:$E$522)*(AK$3&lt;='Gastos com Pessoal'!$F$513:$F$522)*(IF('Gastos com Pessoal'!$S$513:$S$522&lt;=AK$3,1,0))*OFFSET('Gastos com Pessoal'!$H$512,1,MATCH(3&amp;$B54,'Gastos com Pessoal'!$I$532:$AJ$532&amp;'Gastos com Pessoal'!$I$512:$AJ$512,0),10,1)),0)+_xlfn.IFNA(SUM((AK$3&gt;='Gastos com Pessoal'!$E$513:$E$522)*(AK$3&lt;='Gastos com Pessoal'!$F$513:$F$522)*(IF('Gastos com Pessoal'!$Y$513:$Y$522&lt;=AK$3,1,0))*OFFSET('Gastos com Pessoal'!$H$512,1,MATCH(4&amp;$B54,'Gastos com Pessoal'!$I$532:$AJ$532&amp;'Gastos com Pessoal'!$I$512:$AJ$512,0),10,1)),0)+_xlfn.IFNA(SUM((AK$3&gt;='Gastos com Pessoal'!$E$513:$E$522)*(AK$3&lt;='Gastos com Pessoal'!$F$513:$F$522)*(IF('Gastos com Pessoal'!$AE$513:$AE$522&lt;=AK$3,1,0))*OFFSET('Gastos com Pessoal'!$H$512,1,MATCH(5&amp;$B54,'Gastos com Pessoal'!$I$532:$AJ$532&amp;'Gastos com Pessoal'!$I$512:$AJ$512,0),10,1)),0)</f>
        <v>17332.25000000004</v>
      </c>
      <c r="AL54" s="188">
        <f t="array" aca="1" ref="AL54" ca="1">_xlfn.IFNA(SUM((AL$3&gt;='Gastos com Pessoal'!$E$7:$E$506)*(AL$3&lt;='Gastos com Pessoal'!$F$7:$F$506)*OFFSET('Encargos e Benefícios'!$D$5,1,MATCH($B54,'Encargos e Benefícios'!$E$5:$AB$5,0),500,1)),0)+_xlfn.IFNA(SUM((AL$3&gt;='Gastos com Pessoal'!$E$513:$E$522)*(AL$3&lt;='Gastos com Pessoal'!$F$513:$F$522)*OFFSET('Encargos e Benefícios'!$D$511,1,MATCH($B54,'Encargos e Benefícios'!$E$511:$AB$511,0),10,1)),0)+_xlfn.IFNA(SUM((AL$3&gt;='Gastos com Pessoal'!$E$7:$E$506)*(AL$3&lt;='Gastos com Pessoal'!$F$7:$F$506)*(IF('Gastos com Pessoal'!$G$7:$G$506&lt;=AL$3,1,0))*OFFSET('Gastos com Pessoal'!$H$6,1,MATCH(1&amp;$B54,'Gastos com Pessoal'!$I$532:$AJ$532&amp;'Gastos com Pessoal'!$I$6:$AJ$6,0),500,1)),0)+_xlfn.IFNA(SUM((AL$3&gt;='Gastos com Pessoal'!$E$7:$E$506)*(AL$3&lt;='Gastos com Pessoal'!$F$7:$F$506)*(IF('Gastos com Pessoal'!$M$7:$M$506&lt;=AL$3,1,0))*OFFSET('Gastos com Pessoal'!$H$6,1,MATCH(2&amp;$B54,'Gastos com Pessoal'!$I$532:$AJ$532&amp;'Gastos com Pessoal'!$I$6:$AJ$6,0),500,1)),0)+_xlfn.IFNA(SUM((AL$3&gt;='Gastos com Pessoal'!$E$7:$E$506)*(AL$3&lt;='Gastos com Pessoal'!$F$7:$F$506)*(IF('Gastos com Pessoal'!$S$7:$S$506&lt;=AL$3,1,0))*OFFSET('Gastos com Pessoal'!$H$6,1,MATCH(3&amp;$B54,'Gastos com Pessoal'!$I$532:$AJ$532&amp;'Gastos com Pessoal'!$I$6:$AJ$6,0),500,1)),0)+_xlfn.IFNA(SUM((AL$3&gt;='Gastos com Pessoal'!$E$7:$E$506)*(AL$3&lt;='Gastos com Pessoal'!$F$7:$F$506)*(IF('Gastos com Pessoal'!$Y$7:$Y$506&lt;=AL$3,1,0))*OFFSET('Gastos com Pessoal'!$H$6,1,MATCH(4&amp;$B54,'Gastos com Pessoal'!$I$532:$AJ$532&amp;'Gastos com Pessoal'!$I$6:$AJ$6,0),500,1)),0)+_xlfn.IFNA(SUM((AL$3&gt;='Gastos com Pessoal'!$E$7:$E$506)*(AL$3&lt;='Gastos com Pessoal'!$F$7:$F$506)*(IF('Gastos com Pessoal'!$AE$7:$AE$506&lt;=AL$3,1,0))*OFFSET('Gastos com Pessoal'!$H$6,1,MATCH(5&amp;$B54,'Gastos com Pessoal'!$I$532:$AJ$532&amp;'Gastos com Pessoal'!$I$6:$AJ$6,0),500,1)),0)+_xlfn.IFNA(SUM((AL$3&gt;='Gastos com Pessoal'!$E$513:$E$522)*(AL$3&lt;='Gastos com Pessoal'!$F$513:$F$522)*(IF('Gastos com Pessoal'!$G$513:$G$522&lt;=AL$3,1,0))*OFFSET('Gastos com Pessoal'!$H$512,1,MATCH(1&amp;$B54,'Gastos com Pessoal'!$I$532:$AJ$532&amp;'Gastos com Pessoal'!$I$512:$AJ$512,0),10,1)),0)+_xlfn.IFNA(SUM((AL$3&gt;='Gastos com Pessoal'!$E$513:$E$522)*(AL$3&lt;='Gastos com Pessoal'!$F$513:$F$522)*(IF('Gastos com Pessoal'!$M$513:$M$522&lt;=AL$3,1,0))*OFFSET('Gastos com Pessoal'!$H$512,1,MATCH(2&amp;$B54,'Gastos com Pessoal'!$I$532:$AJ$532&amp;'Gastos com Pessoal'!$I$512:$AJ$512,0),10,1)),0)+_xlfn.IFNA(SUM((AL$3&gt;='Gastos com Pessoal'!$E$513:$E$522)*(AL$3&lt;='Gastos com Pessoal'!$F$513:$F$522)*(IF('Gastos com Pessoal'!$S$513:$S$522&lt;=AL$3,1,0))*OFFSET('Gastos com Pessoal'!$H$512,1,MATCH(3&amp;$B54,'Gastos com Pessoal'!$I$532:$AJ$532&amp;'Gastos com Pessoal'!$I$512:$AJ$512,0),10,1)),0)+_xlfn.IFNA(SUM((AL$3&gt;='Gastos com Pessoal'!$E$513:$E$522)*(AL$3&lt;='Gastos com Pessoal'!$F$513:$F$522)*(IF('Gastos com Pessoal'!$Y$513:$Y$522&lt;=AL$3,1,0))*OFFSET('Gastos com Pessoal'!$H$512,1,MATCH(4&amp;$B54,'Gastos com Pessoal'!$I$532:$AJ$532&amp;'Gastos com Pessoal'!$I$512:$AJ$512,0),10,1)),0)+_xlfn.IFNA(SUM((AL$3&gt;='Gastos com Pessoal'!$E$513:$E$522)*(AL$3&lt;='Gastos com Pessoal'!$F$513:$F$522)*(IF('Gastos com Pessoal'!$AE$513:$AE$522&lt;=AL$3,1,0))*OFFSET('Gastos com Pessoal'!$H$512,1,MATCH(5&amp;$B54,'Gastos com Pessoal'!$I$532:$AJ$532&amp;'Gastos com Pessoal'!$I$512:$AJ$512,0),10,1)),0)</f>
        <v>17332.25000000004</v>
      </c>
      <c r="AM54" s="188">
        <f t="array" aca="1" ref="AM54" ca="1">_xlfn.IFNA(SUM((AM$3&gt;='Gastos com Pessoal'!$E$7:$E$506)*(AM$3&lt;='Gastos com Pessoal'!$F$7:$F$506)*OFFSET('Encargos e Benefícios'!$D$5,1,MATCH($B54,'Encargos e Benefícios'!$E$5:$AB$5,0),500,1)),0)+_xlfn.IFNA(SUM((AM$3&gt;='Gastos com Pessoal'!$E$513:$E$522)*(AM$3&lt;='Gastos com Pessoal'!$F$513:$F$522)*OFFSET('Encargos e Benefícios'!$D$511,1,MATCH($B54,'Encargos e Benefícios'!$E$511:$AB$511,0),10,1)),0)+_xlfn.IFNA(SUM((AM$3&gt;='Gastos com Pessoal'!$E$7:$E$506)*(AM$3&lt;='Gastos com Pessoal'!$F$7:$F$506)*(IF('Gastos com Pessoal'!$G$7:$G$506&lt;=AM$3,1,0))*OFFSET('Gastos com Pessoal'!$H$6,1,MATCH(1&amp;$B54,'Gastos com Pessoal'!$I$532:$AJ$532&amp;'Gastos com Pessoal'!$I$6:$AJ$6,0),500,1)),0)+_xlfn.IFNA(SUM((AM$3&gt;='Gastos com Pessoal'!$E$7:$E$506)*(AM$3&lt;='Gastos com Pessoal'!$F$7:$F$506)*(IF('Gastos com Pessoal'!$M$7:$M$506&lt;=AM$3,1,0))*OFFSET('Gastos com Pessoal'!$H$6,1,MATCH(2&amp;$B54,'Gastos com Pessoal'!$I$532:$AJ$532&amp;'Gastos com Pessoal'!$I$6:$AJ$6,0),500,1)),0)+_xlfn.IFNA(SUM((AM$3&gt;='Gastos com Pessoal'!$E$7:$E$506)*(AM$3&lt;='Gastos com Pessoal'!$F$7:$F$506)*(IF('Gastos com Pessoal'!$S$7:$S$506&lt;=AM$3,1,0))*OFFSET('Gastos com Pessoal'!$H$6,1,MATCH(3&amp;$B54,'Gastos com Pessoal'!$I$532:$AJ$532&amp;'Gastos com Pessoal'!$I$6:$AJ$6,0),500,1)),0)+_xlfn.IFNA(SUM((AM$3&gt;='Gastos com Pessoal'!$E$7:$E$506)*(AM$3&lt;='Gastos com Pessoal'!$F$7:$F$506)*(IF('Gastos com Pessoal'!$Y$7:$Y$506&lt;=AM$3,1,0))*OFFSET('Gastos com Pessoal'!$H$6,1,MATCH(4&amp;$B54,'Gastos com Pessoal'!$I$532:$AJ$532&amp;'Gastos com Pessoal'!$I$6:$AJ$6,0),500,1)),0)+_xlfn.IFNA(SUM((AM$3&gt;='Gastos com Pessoal'!$E$7:$E$506)*(AM$3&lt;='Gastos com Pessoal'!$F$7:$F$506)*(IF('Gastos com Pessoal'!$AE$7:$AE$506&lt;=AM$3,1,0))*OFFSET('Gastos com Pessoal'!$H$6,1,MATCH(5&amp;$B54,'Gastos com Pessoal'!$I$532:$AJ$532&amp;'Gastos com Pessoal'!$I$6:$AJ$6,0),500,1)),0)+_xlfn.IFNA(SUM((AM$3&gt;='Gastos com Pessoal'!$E$513:$E$522)*(AM$3&lt;='Gastos com Pessoal'!$F$513:$F$522)*(IF('Gastos com Pessoal'!$G$513:$G$522&lt;=AM$3,1,0))*OFFSET('Gastos com Pessoal'!$H$512,1,MATCH(1&amp;$B54,'Gastos com Pessoal'!$I$532:$AJ$532&amp;'Gastos com Pessoal'!$I$512:$AJ$512,0),10,1)),0)+_xlfn.IFNA(SUM((AM$3&gt;='Gastos com Pessoal'!$E$513:$E$522)*(AM$3&lt;='Gastos com Pessoal'!$F$513:$F$522)*(IF('Gastos com Pessoal'!$M$513:$M$522&lt;=AM$3,1,0))*OFFSET('Gastos com Pessoal'!$H$512,1,MATCH(2&amp;$B54,'Gastos com Pessoal'!$I$532:$AJ$532&amp;'Gastos com Pessoal'!$I$512:$AJ$512,0),10,1)),0)+_xlfn.IFNA(SUM((AM$3&gt;='Gastos com Pessoal'!$E$513:$E$522)*(AM$3&lt;='Gastos com Pessoal'!$F$513:$F$522)*(IF('Gastos com Pessoal'!$S$513:$S$522&lt;=AM$3,1,0))*OFFSET('Gastos com Pessoal'!$H$512,1,MATCH(3&amp;$B54,'Gastos com Pessoal'!$I$532:$AJ$532&amp;'Gastos com Pessoal'!$I$512:$AJ$512,0),10,1)),0)+_xlfn.IFNA(SUM((AM$3&gt;='Gastos com Pessoal'!$E$513:$E$522)*(AM$3&lt;='Gastos com Pessoal'!$F$513:$F$522)*(IF('Gastos com Pessoal'!$Y$513:$Y$522&lt;=AM$3,1,0))*OFFSET('Gastos com Pessoal'!$H$512,1,MATCH(4&amp;$B54,'Gastos com Pessoal'!$I$532:$AJ$532&amp;'Gastos com Pessoal'!$I$512:$AJ$512,0),10,1)),0)+_xlfn.IFNA(SUM((AM$3&gt;='Gastos com Pessoal'!$E$513:$E$522)*(AM$3&lt;='Gastos com Pessoal'!$F$513:$F$522)*(IF('Gastos com Pessoal'!$AE$513:$AE$522&lt;=AM$3,1,0))*OFFSET('Gastos com Pessoal'!$H$512,1,MATCH(5&amp;$B54,'Gastos com Pessoal'!$I$532:$AJ$532&amp;'Gastos com Pessoal'!$I$512:$AJ$512,0),10,1)),0)</f>
        <v>17332.25000000004</v>
      </c>
      <c r="AN54" s="188">
        <f t="array" aca="1" ref="AN54" ca="1">_xlfn.IFNA(SUM((AN$3&gt;='Gastos com Pessoal'!$E$7:$E$506)*(AN$3&lt;='Gastos com Pessoal'!$F$7:$F$506)*OFFSET('Encargos e Benefícios'!$D$5,1,MATCH($B54,'Encargos e Benefícios'!$E$5:$AB$5,0),500,1)),0)+_xlfn.IFNA(SUM((AN$3&gt;='Gastos com Pessoal'!$E$513:$E$522)*(AN$3&lt;='Gastos com Pessoal'!$F$513:$F$522)*OFFSET('Encargos e Benefícios'!$D$511,1,MATCH($B54,'Encargos e Benefícios'!$E$511:$AB$511,0),10,1)),0)+_xlfn.IFNA(SUM((AN$3&gt;='Gastos com Pessoal'!$E$7:$E$506)*(AN$3&lt;='Gastos com Pessoal'!$F$7:$F$506)*(IF('Gastos com Pessoal'!$G$7:$G$506&lt;=AN$3,1,0))*OFFSET('Gastos com Pessoal'!$H$6,1,MATCH(1&amp;$B54,'Gastos com Pessoal'!$I$532:$AJ$532&amp;'Gastos com Pessoal'!$I$6:$AJ$6,0),500,1)),0)+_xlfn.IFNA(SUM((AN$3&gt;='Gastos com Pessoal'!$E$7:$E$506)*(AN$3&lt;='Gastos com Pessoal'!$F$7:$F$506)*(IF('Gastos com Pessoal'!$M$7:$M$506&lt;=AN$3,1,0))*OFFSET('Gastos com Pessoal'!$H$6,1,MATCH(2&amp;$B54,'Gastos com Pessoal'!$I$532:$AJ$532&amp;'Gastos com Pessoal'!$I$6:$AJ$6,0),500,1)),0)+_xlfn.IFNA(SUM((AN$3&gt;='Gastos com Pessoal'!$E$7:$E$506)*(AN$3&lt;='Gastos com Pessoal'!$F$7:$F$506)*(IF('Gastos com Pessoal'!$S$7:$S$506&lt;=AN$3,1,0))*OFFSET('Gastos com Pessoal'!$H$6,1,MATCH(3&amp;$B54,'Gastos com Pessoal'!$I$532:$AJ$532&amp;'Gastos com Pessoal'!$I$6:$AJ$6,0),500,1)),0)+_xlfn.IFNA(SUM((AN$3&gt;='Gastos com Pessoal'!$E$7:$E$506)*(AN$3&lt;='Gastos com Pessoal'!$F$7:$F$506)*(IF('Gastos com Pessoal'!$Y$7:$Y$506&lt;=AN$3,1,0))*OFFSET('Gastos com Pessoal'!$H$6,1,MATCH(4&amp;$B54,'Gastos com Pessoal'!$I$532:$AJ$532&amp;'Gastos com Pessoal'!$I$6:$AJ$6,0),500,1)),0)+_xlfn.IFNA(SUM((AN$3&gt;='Gastos com Pessoal'!$E$7:$E$506)*(AN$3&lt;='Gastos com Pessoal'!$F$7:$F$506)*(IF('Gastos com Pessoal'!$AE$7:$AE$506&lt;=AN$3,1,0))*OFFSET('Gastos com Pessoal'!$H$6,1,MATCH(5&amp;$B54,'Gastos com Pessoal'!$I$532:$AJ$532&amp;'Gastos com Pessoal'!$I$6:$AJ$6,0),500,1)),0)+_xlfn.IFNA(SUM((AN$3&gt;='Gastos com Pessoal'!$E$513:$E$522)*(AN$3&lt;='Gastos com Pessoal'!$F$513:$F$522)*(IF('Gastos com Pessoal'!$G$513:$G$522&lt;=AN$3,1,0))*OFFSET('Gastos com Pessoal'!$H$512,1,MATCH(1&amp;$B54,'Gastos com Pessoal'!$I$532:$AJ$532&amp;'Gastos com Pessoal'!$I$512:$AJ$512,0),10,1)),0)+_xlfn.IFNA(SUM((AN$3&gt;='Gastos com Pessoal'!$E$513:$E$522)*(AN$3&lt;='Gastos com Pessoal'!$F$513:$F$522)*(IF('Gastos com Pessoal'!$M$513:$M$522&lt;=AN$3,1,0))*OFFSET('Gastos com Pessoal'!$H$512,1,MATCH(2&amp;$B54,'Gastos com Pessoal'!$I$532:$AJ$532&amp;'Gastos com Pessoal'!$I$512:$AJ$512,0),10,1)),0)+_xlfn.IFNA(SUM((AN$3&gt;='Gastos com Pessoal'!$E$513:$E$522)*(AN$3&lt;='Gastos com Pessoal'!$F$513:$F$522)*(IF('Gastos com Pessoal'!$S$513:$S$522&lt;=AN$3,1,0))*OFFSET('Gastos com Pessoal'!$H$512,1,MATCH(3&amp;$B54,'Gastos com Pessoal'!$I$532:$AJ$532&amp;'Gastos com Pessoal'!$I$512:$AJ$512,0),10,1)),0)+_xlfn.IFNA(SUM((AN$3&gt;='Gastos com Pessoal'!$E$513:$E$522)*(AN$3&lt;='Gastos com Pessoal'!$F$513:$F$522)*(IF('Gastos com Pessoal'!$Y$513:$Y$522&lt;=AN$3,1,0))*OFFSET('Gastos com Pessoal'!$H$512,1,MATCH(4&amp;$B54,'Gastos com Pessoal'!$I$532:$AJ$532&amp;'Gastos com Pessoal'!$I$512:$AJ$512,0),10,1)),0)+_xlfn.IFNA(SUM((AN$3&gt;='Gastos com Pessoal'!$E$513:$E$522)*(AN$3&lt;='Gastos com Pessoal'!$F$513:$F$522)*(IF('Gastos com Pessoal'!$AE$513:$AE$522&lt;=AN$3,1,0))*OFFSET('Gastos com Pessoal'!$H$512,1,MATCH(5&amp;$B54,'Gastos com Pessoal'!$I$532:$AJ$532&amp;'Gastos com Pessoal'!$I$512:$AJ$512,0),10,1)),0)</f>
        <v>17332.25000000004</v>
      </c>
      <c r="AO54" s="188">
        <f t="array" aca="1" ref="AO54" ca="1">_xlfn.IFNA(SUM((AO$3&gt;='Gastos com Pessoal'!$E$7:$E$506)*(AO$3&lt;='Gastos com Pessoal'!$F$7:$F$506)*OFFSET('Encargos e Benefícios'!$D$5,1,MATCH($B54,'Encargos e Benefícios'!$E$5:$AB$5,0),500,1)),0)+_xlfn.IFNA(SUM((AO$3&gt;='Gastos com Pessoal'!$E$513:$E$522)*(AO$3&lt;='Gastos com Pessoal'!$F$513:$F$522)*OFFSET('Encargos e Benefícios'!$D$511,1,MATCH($B54,'Encargos e Benefícios'!$E$511:$AB$511,0),10,1)),0)+_xlfn.IFNA(SUM((AO$3&gt;='Gastos com Pessoal'!$E$7:$E$506)*(AO$3&lt;='Gastos com Pessoal'!$F$7:$F$506)*(IF('Gastos com Pessoal'!$G$7:$G$506&lt;=AO$3,1,0))*OFFSET('Gastos com Pessoal'!$H$6,1,MATCH(1&amp;$B54,'Gastos com Pessoal'!$I$532:$AJ$532&amp;'Gastos com Pessoal'!$I$6:$AJ$6,0),500,1)),0)+_xlfn.IFNA(SUM((AO$3&gt;='Gastos com Pessoal'!$E$7:$E$506)*(AO$3&lt;='Gastos com Pessoal'!$F$7:$F$506)*(IF('Gastos com Pessoal'!$M$7:$M$506&lt;=AO$3,1,0))*OFFSET('Gastos com Pessoal'!$H$6,1,MATCH(2&amp;$B54,'Gastos com Pessoal'!$I$532:$AJ$532&amp;'Gastos com Pessoal'!$I$6:$AJ$6,0),500,1)),0)+_xlfn.IFNA(SUM((AO$3&gt;='Gastos com Pessoal'!$E$7:$E$506)*(AO$3&lt;='Gastos com Pessoal'!$F$7:$F$506)*(IF('Gastos com Pessoal'!$S$7:$S$506&lt;=AO$3,1,0))*OFFSET('Gastos com Pessoal'!$H$6,1,MATCH(3&amp;$B54,'Gastos com Pessoal'!$I$532:$AJ$532&amp;'Gastos com Pessoal'!$I$6:$AJ$6,0),500,1)),0)+_xlfn.IFNA(SUM((AO$3&gt;='Gastos com Pessoal'!$E$7:$E$506)*(AO$3&lt;='Gastos com Pessoal'!$F$7:$F$506)*(IF('Gastos com Pessoal'!$Y$7:$Y$506&lt;=AO$3,1,0))*OFFSET('Gastos com Pessoal'!$H$6,1,MATCH(4&amp;$B54,'Gastos com Pessoal'!$I$532:$AJ$532&amp;'Gastos com Pessoal'!$I$6:$AJ$6,0),500,1)),0)+_xlfn.IFNA(SUM((AO$3&gt;='Gastos com Pessoal'!$E$7:$E$506)*(AO$3&lt;='Gastos com Pessoal'!$F$7:$F$506)*(IF('Gastos com Pessoal'!$AE$7:$AE$506&lt;=AO$3,1,0))*OFFSET('Gastos com Pessoal'!$H$6,1,MATCH(5&amp;$B54,'Gastos com Pessoal'!$I$532:$AJ$532&amp;'Gastos com Pessoal'!$I$6:$AJ$6,0),500,1)),0)+_xlfn.IFNA(SUM((AO$3&gt;='Gastos com Pessoal'!$E$513:$E$522)*(AO$3&lt;='Gastos com Pessoal'!$F$513:$F$522)*(IF('Gastos com Pessoal'!$G$513:$G$522&lt;=AO$3,1,0))*OFFSET('Gastos com Pessoal'!$H$512,1,MATCH(1&amp;$B54,'Gastos com Pessoal'!$I$532:$AJ$532&amp;'Gastos com Pessoal'!$I$512:$AJ$512,0),10,1)),0)+_xlfn.IFNA(SUM((AO$3&gt;='Gastos com Pessoal'!$E$513:$E$522)*(AO$3&lt;='Gastos com Pessoal'!$F$513:$F$522)*(IF('Gastos com Pessoal'!$M$513:$M$522&lt;=AO$3,1,0))*OFFSET('Gastos com Pessoal'!$H$512,1,MATCH(2&amp;$B54,'Gastos com Pessoal'!$I$532:$AJ$532&amp;'Gastos com Pessoal'!$I$512:$AJ$512,0),10,1)),0)+_xlfn.IFNA(SUM((AO$3&gt;='Gastos com Pessoal'!$E$513:$E$522)*(AO$3&lt;='Gastos com Pessoal'!$F$513:$F$522)*(IF('Gastos com Pessoal'!$S$513:$S$522&lt;=AO$3,1,0))*OFFSET('Gastos com Pessoal'!$H$512,1,MATCH(3&amp;$B54,'Gastos com Pessoal'!$I$532:$AJ$532&amp;'Gastos com Pessoal'!$I$512:$AJ$512,0),10,1)),0)+_xlfn.IFNA(SUM((AO$3&gt;='Gastos com Pessoal'!$E$513:$E$522)*(AO$3&lt;='Gastos com Pessoal'!$F$513:$F$522)*(IF('Gastos com Pessoal'!$Y$513:$Y$522&lt;=AO$3,1,0))*OFFSET('Gastos com Pessoal'!$H$512,1,MATCH(4&amp;$B54,'Gastos com Pessoal'!$I$532:$AJ$532&amp;'Gastos com Pessoal'!$I$512:$AJ$512,0),10,1)),0)+_xlfn.IFNA(SUM((AO$3&gt;='Gastos com Pessoal'!$E$513:$E$522)*(AO$3&lt;='Gastos com Pessoal'!$F$513:$F$522)*(IF('Gastos com Pessoal'!$AE$513:$AE$522&lt;=AO$3,1,0))*OFFSET('Gastos com Pessoal'!$H$512,1,MATCH(5&amp;$B54,'Gastos com Pessoal'!$I$532:$AJ$532&amp;'Gastos com Pessoal'!$I$512:$AJ$512,0),10,1)),0)</f>
        <v>17332.25000000004</v>
      </c>
      <c r="AP54" s="188">
        <f t="array" aca="1" ref="AP54" ca="1">_xlfn.IFNA(SUM((AP$3&gt;='Gastos com Pessoal'!$E$7:$E$506)*(AP$3&lt;='Gastos com Pessoal'!$F$7:$F$506)*OFFSET('Encargos e Benefícios'!$D$5,1,MATCH($B54,'Encargos e Benefícios'!$E$5:$AB$5,0),500,1)),0)+_xlfn.IFNA(SUM((AP$3&gt;='Gastos com Pessoal'!$E$513:$E$522)*(AP$3&lt;='Gastos com Pessoal'!$F$513:$F$522)*OFFSET('Encargos e Benefícios'!$D$511,1,MATCH($B54,'Encargos e Benefícios'!$E$511:$AB$511,0),10,1)),0)+_xlfn.IFNA(SUM((AP$3&gt;='Gastos com Pessoal'!$E$7:$E$506)*(AP$3&lt;='Gastos com Pessoal'!$F$7:$F$506)*(IF('Gastos com Pessoal'!$G$7:$G$506&lt;=AP$3,1,0))*OFFSET('Gastos com Pessoal'!$H$6,1,MATCH(1&amp;$B54,'Gastos com Pessoal'!$I$532:$AJ$532&amp;'Gastos com Pessoal'!$I$6:$AJ$6,0),500,1)),0)+_xlfn.IFNA(SUM((AP$3&gt;='Gastos com Pessoal'!$E$7:$E$506)*(AP$3&lt;='Gastos com Pessoal'!$F$7:$F$506)*(IF('Gastos com Pessoal'!$M$7:$M$506&lt;=AP$3,1,0))*OFFSET('Gastos com Pessoal'!$H$6,1,MATCH(2&amp;$B54,'Gastos com Pessoal'!$I$532:$AJ$532&amp;'Gastos com Pessoal'!$I$6:$AJ$6,0),500,1)),0)+_xlfn.IFNA(SUM((AP$3&gt;='Gastos com Pessoal'!$E$7:$E$506)*(AP$3&lt;='Gastos com Pessoal'!$F$7:$F$506)*(IF('Gastos com Pessoal'!$S$7:$S$506&lt;=AP$3,1,0))*OFFSET('Gastos com Pessoal'!$H$6,1,MATCH(3&amp;$B54,'Gastos com Pessoal'!$I$532:$AJ$532&amp;'Gastos com Pessoal'!$I$6:$AJ$6,0),500,1)),0)+_xlfn.IFNA(SUM((AP$3&gt;='Gastos com Pessoal'!$E$7:$E$506)*(AP$3&lt;='Gastos com Pessoal'!$F$7:$F$506)*(IF('Gastos com Pessoal'!$Y$7:$Y$506&lt;=AP$3,1,0))*OFFSET('Gastos com Pessoal'!$H$6,1,MATCH(4&amp;$B54,'Gastos com Pessoal'!$I$532:$AJ$532&amp;'Gastos com Pessoal'!$I$6:$AJ$6,0),500,1)),0)+_xlfn.IFNA(SUM((AP$3&gt;='Gastos com Pessoal'!$E$7:$E$506)*(AP$3&lt;='Gastos com Pessoal'!$F$7:$F$506)*(IF('Gastos com Pessoal'!$AE$7:$AE$506&lt;=AP$3,1,0))*OFFSET('Gastos com Pessoal'!$H$6,1,MATCH(5&amp;$B54,'Gastos com Pessoal'!$I$532:$AJ$532&amp;'Gastos com Pessoal'!$I$6:$AJ$6,0),500,1)),0)+_xlfn.IFNA(SUM((AP$3&gt;='Gastos com Pessoal'!$E$513:$E$522)*(AP$3&lt;='Gastos com Pessoal'!$F$513:$F$522)*(IF('Gastos com Pessoal'!$G$513:$G$522&lt;=AP$3,1,0))*OFFSET('Gastos com Pessoal'!$H$512,1,MATCH(1&amp;$B54,'Gastos com Pessoal'!$I$532:$AJ$532&amp;'Gastos com Pessoal'!$I$512:$AJ$512,0),10,1)),0)+_xlfn.IFNA(SUM((AP$3&gt;='Gastos com Pessoal'!$E$513:$E$522)*(AP$3&lt;='Gastos com Pessoal'!$F$513:$F$522)*(IF('Gastos com Pessoal'!$M$513:$M$522&lt;=AP$3,1,0))*OFFSET('Gastos com Pessoal'!$H$512,1,MATCH(2&amp;$B54,'Gastos com Pessoal'!$I$532:$AJ$532&amp;'Gastos com Pessoal'!$I$512:$AJ$512,0),10,1)),0)+_xlfn.IFNA(SUM((AP$3&gt;='Gastos com Pessoal'!$E$513:$E$522)*(AP$3&lt;='Gastos com Pessoal'!$F$513:$F$522)*(IF('Gastos com Pessoal'!$S$513:$S$522&lt;=AP$3,1,0))*OFFSET('Gastos com Pessoal'!$H$512,1,MATCH(3&amp;$B54,'Gastos com Pessoal'!$I$532:$AJ$532&amp;'Gastos com Pessoal'!$I$512:$AJ$512,0),10,1)),0)+_xlfn.IFNA(SUM((AP$3&gt;='Gastos com Pessoal'!$E$513:$E$522)*(AP$3&lt;='Gastos com Pessoal'!$F$513:$F$522)*(IF('Gastos com Pessoal'!$Y$513:$Y$522&lt;=AP$3,1,0))*OFFSET('Gastos com Pessoal'!$H$512,1,MATCH(4&amp;$B54,'Gastos com Pessoal'!$I$532:$AJ$532&amp;'Gastos com Pessoal'!$I$512:$AJ$512,0),10,1)),0)+_xlfn.IFNA(SUM((AP$3&gt;='Gastos com Pessoal'!$E$513:$E$522)*(AP$3&lt;='Gastos com Pessoal'!$F$513:$F$522)*(IF('Gastos com Pessoal'!$AE$513:$AE$522&lt;=AP$3,1,0))*OFFSET('Gastos com Pessoal'!$H$512,1,MATCH(5&amp;$B54,'Gastos com Pessoal'!$I$532:$AJ$532&amp;'Gastos com Pessoal'!$I$512:$AJ$512,0),10,1)),0)</f>
        <v>17332.25000000004</v>
      </c>
      <c r="AQ54" s="188">
        <f t="array" aca="1" ref="AQ54" ca="1">_xlfn.IFNA(SUM((AQ$3&gt;='Gastos com Pessoal'!$E$7:$E$506)*(AQ$3&lt;='Gastos com Pessoal'!$F$7:$F$506)*OFFSET('Encargos e Benefícios'!$D$5,1,MATCH($B54,'Encargos e Benefícios'!$E$5:$AB$5,0),500,1)),0)+_xlfn.IFNA(SUM((AQ$3&gt;='Gastos com Pessoal'!$E$513:$E$522)*(AQ$3&lt;='Gastos com Pessoal'!$F$513:$F$522)*OFFSET('Encargos e Benefícios'!$D$511,1,MATCH($B54,'Encargos e Benefícios'!$E$511:$AB$511,0),10,1)),0)+_xlfn.IFNA(SUM((AQ$3&gt;='Gastos com Pessoal'!$E$7:$E$506)*(AQ$3&lt;='Gastos com Pessoal'!$F$7:$F$506)*(IF('Gastos com Pessoal'!$G$7:$G$506&lt;=AQ$3,1,0))*OFFSET('Gastos com Pessoal'!$H$6,1,MATCH(1&amp;$B54,'Gastos com Pessoal'!$I$532:$AJ$532&amp;'Gastos com Pessoal'!$I$6:$AJ$6,0),500,1)),0)+_xlfn.IFNA(SUM((AQ$3&gt;='Gastos com Pessoal'!$E$7:$E$506)*(AQ$3&lt;='Gastos com Pessoal'!$F$7:$F$506)*(IF('Gastos com Pessoal'!$M$7:$M$506&lt;=AQ$3,1,0))*OFFSET('Gastos com Pessoal'!$H$6,1,MATCH(2&amp;$B54,'Gastos com Pessoal'!$I$532:$AJ$532&amp;'Gastos com Pessoal'!$I$6:$AJ$6,0),500,1)),0)+_xlfn.IFNA(SUM((AQ$3&gt;='Gastos com Pessoal'!$E$7:$E$506)*(AQ$3&lt;='Gastos com Pessoal'!$F$7:$F$506)*(IF('Gastos com Pessoal'!$S$7:$S$506&lt;=AQ$3,1,0))*OFFSET('Gastos com Pessoal'!$H$6,1,MATCH(3&amp;$B54,'Gastos com Pessoal'!$I$532:$AJ$532&amp;'Gastos com Pessoal'!$I$6:$AJ$6,0),500,1)),0)+_xlfn.IFNA(SUM((AQ$3&gt;='Gastos com Pessoal'!$E$7:$E$506)*(AQ$3&lt;='Gastos com Pessoal'!$F$7:$F$506)*(IF('Gastos com Pessoal'!$Y$7:$Y$506&lt;=AQ$3,1,0))*OFFSET('Gastos com Pessoal'!$H$6,1,MATCH(4&amp;$B54,'Gastos com Pessoal'!$I$532:$AJ$532&amp;'Gastos com Pessoal'!$I$6:$AJ$6,0),500,1)),0)+_xlfn.IFNA(SUM((AQ$3&gt;='Gastos com Pessoal'!$E$7:$E$506)*(AQ$3&lt;='Gastos com Pessoal'!$F$7:$F$506)*(IF('Gastos com Pessoal'!$AE$7:$AE$506&lt;=AQ$3,1,0))*OFFSET('Gastos com Pessoal'!$H$6,1,MATCH(5&amp;$B54,'Gastos com Pessoal'!$I$532:$AJ$532&amp;'Gastos com Pessoal'!$I$6:$AJ$6,0),500,1)),0)+_xlfn.IFNA(SUM((AQ$3&gt;='Gastos com Pessoal'!$E$513:$E$522)*(AQ$3&lt;='Gastos com Pessoal'!$F$513:$F$522)*(IF('Gastos com Pessoal'!$G$513:$G$522&lt;=AQ$3,1,0))*OFFSET('Gastos com Pessoal'!$H$512,1,MATCH(1&amp;$B54,'Gastos com Pessoal'!$I$532:$AJ$532&amp;'Gastos com Pessoal'!$I$512:$AJ$512,0),10,1)),0)+_xlfn.IFNA(SUM((AQ$3&gt;='Gastos com Pessoal'!$E$513:$E$522)*(AQ$3&lt;='Gastos com Pessoal'!$F$513:$F$522)*(IF('Gastos com Pessoal'!$M$513:$M$522&lt;=AQ$3,1,0))*OFFSET('Gastos com Pessoal'!$H$512,1,MATCH(2&amp;$B54,'Gastos com Pessoal'!$I$532:$AJ$532&amp;'Gastos com Pessoal'!$I$512:$AJ$512,0),10,1)),0)+_xlfn.IFNA(SUM((AQ$3&gt;='Gastos com Pessoal'!$E$513:$E$522)*(AQ$3&lt;='Gastos com Pessoal'!$F$513:$F$522)*(IF('Gastos com Pessoal'!$S$513:$S$522&lt;=AQ$3,1,0))*OFFSET('Gastos com Pessoal'!$H$512,1,MATCH(3&amp;$B54,'Gastos com Pessoal'!$I$532:$AJ$532&amp;'Gastos com Pessoal'!$I$512:$AJ$512,0),10,1)),0)+_xlfn.IFNA(SUM((AQ$3&gt;='Gastos com Pessoal'!$E$513:$E$522)*(AQ$3&lt;='Gastos com Pessoal'!$F$513:$F$522)*(IF('Gastos com Pessoal'!$Y$513:$Y$522&lt;=AQ$3,1,0))*OFFSET('Gastos com Pessoal'!$H$512,1,MATCH(4&amp;$B54,'Gastos com Pessoal'!$I$532:$AJ$532&amp;'Gastos com Pessoal'!$I$512:$AJ$512,0),10,1)),0)+_xlfn.IFNA(SUM((AQ$3&gt;='Gastos com Pessoal'!$E$513:$E$522)*(AQ$3&lt;='Gastos com Pessoal'!$F$513:$F$522)*(IF('Gastos com Pessoal'!$AE$513:$AE$522&lt;=AQ$3,1,0))*OFFSET('Gastos com Pessoal'!$H$512,1,MATCH(5&amp;$B54,'Gastos com Pessoal'!$I$532:$AJ$532&amp;'Gastos com Pessoal'!$I$512:$AJ$512,0),10,1)),0)</f>
        <v>17332.25000000004</v>
      </c>
      <c r="AR54" s="188">
        <f t="array" aca="1" ref="AR54" ca="1">_xlfn.IFNA(SUM((AR$3&gt;='Gastos com Pessoal'!$E$7:$E$506)*(AR$3&lt;='Gastos com Pessoal'!$F$7:$F$506)*OFFSET('Encargos e Benefícios'!$D$5,1,MATCH($B54,'Encargos e Benefícios'!$E$5:$AB$5,0),500,1)),0)+_xlfn.IFNA(SUM((AR$3&gt;='Gastos com Pessoal'!$E$513:$E$522)*(AR$3&lt;='Gastos com Pessoal'!$F$513:$F$522)*OFFSET('Encargos e Benefícios'!$D$511,1,MATCH($B54,'Encargos e Benefícios'!$E$511:$AB$511,0),10,1)),0)+_xlfn.IFNA(SUM((AR$3&gt;='Gastos com Pessoal'!$E$7:$E$506)*(AR$3&lt;='Gastos com Pessoal'!$F$7:$F$506)*(IF('Gastos com Pessoal'!$G$7:$G$506&lt;=AR$3,1,0))*OFFSET('Gastos com Pessoal'!$H$6,1,MATCH(1&amp;$B54,'Gastos com Pessoal'!$I$532:$AJ$532&amp;'Gastos com Pessoal'!$I$6:$AJ$6,0),500,1)),0)+_xlfn.IFNA(SUM((AR$3&gt;='Gastos com Pessoal'!$E$7:$E$506)*(AR$3&lt;='Gastos com Pessoal'!$F$7:$F$506)*(IF('Gastos com Pessoal'!$M$7:$M$506&lt;=AR$3,1,0))*OFFSET('Gastos com Pessoal'!$H$6,1,MATCH(2&amp;$B54,'Gastos com Pessoal'!$I$532:$AJ$532&amp;'Gastos com Pessoal'!$I$6:$AJ$6,0),500,1)),0)+_xlfn.IFNA(SUM((AR$3&gt;='Gastos com Pessoal'!$E$7:$E$506)*(AR$3&lt;='Gastos com Pessoal'!$F$7:$F$506)*(IF('Gastos com Pessoal'!$S$7:$S$506&lt;=AR$3,1,0))*OFFSET('Gastos com Pessoal'!$H$6,1,MATCH(3&amp;$B54,'Gastos com Pessoal'!$I$532:$AJ$532&amp;'Gastos com Pessoal'!$I$6:$AJ$6,0),500,1)),0)+_xlfn.IFNA(SUM((AR$3&gt;='Gastos com Pessoal'!$E$7:$E$506)*(AR$3&lt;='Gastos com Pessoal'!$F$7:$F$506)*(IF('Gastos com Pessoal'!$Y$7:$Y$506&lt;=AR$3,1,0))*OFFSET('Gastos com Pessoal'!$H$6,1,MATCH(4&amp;$B54,'Gastos com Pessoal'!$I$532:$AJ$532&amp;'Gastos com Pessoal'!$I$6:$AJ$6,0),500,1)),0)+_xlfn.IFNA(SUM((AR$3&gt;='Gastos com Pessoal'!$E$7:$E$506)*(AR$3&lt;='Gastos com Pessoal'!$F$7:$F$506)*(IF('Gastos com Pessoal'!$AE$7:$AE$506&lt;=AR$3,1,0))*OFFSET('Gastos com Pessoal'!$H$6,1,MATCH(5&amp;$B54,'Gastos com Pessoal'!$I$532:$AJ$532&amp;'Gastos com Pessoal'!$I$6:$AJ$6,0),500,1)),0)+_xlfn.IFNA(SUM((AR$3&gt;='Gastos com Pessoal'!$E$513:$E$522)*(AR$3&lt;='Gastos com Pessoal'!$F$513:$F$522)*(IF('Gastos com Pessoal'!$G$513:$G$522&lt;=AR$3,1,0))*OFFSET('Gastos com Pessoal'!$H$512,1,MATCH(1&amp;$B54,'Gastos com Pessoal'!$I$532:$AJ$532&amp;'Gastos com Pessoal'!$I$512:$AJ$512,0),10,1)),0)+_xlfn.IFNA(SUM((AR$3&gt;='Gastos com Pessoal'!$E$513:$E$522)*(AR$3&lt;='Gastos com Pessoal'!$F$513:$F$522)*(IF('Gastos com Pessoal'!$M$513:$M$522&lt;=AR$3,1,0))*OFFSET('Gastos com Pessoal'!$H$512,1,MATCH(2&amp;$B54,'Gastos com Pessoal'!$I$532:$AJ$532&amp;'Gastos com Pessoal'!$I$512:$AJ$512,0),10,1)),0)+_xlfn.IFNA(SUM((AR$3&gt;='Gastos com Pessoal'!$E$513:$E$522)*(AR$3&lt;='Gastos com Pessoal'!$F$513:$F$522)*(IF('Gastos com Pessoal'!$S$513:$S$522&lt;=AR$3,1,0))*OFFSET('Gastos com Pessoal'!$H$512,1,MATCH(3&amp;$B54,'Gastos com Pessoal'!$I$532:$AJ$532&amp;'Gastos com Pessoal'!$I$512:$AJ$512,0),10,1)),0)+_xlfn.IFNA(SUM((AR$3&gt;='Gastos com Pessoal'!$E$513:$E$522)*(AR$3&lt;='Gastos com Pessoal'!$F$513:$F$522)*(IF('Gastos com Pessoal'!$Y$513:$Y$522&lt;=AR$3,1,0))*OFFSET('Gastos com Pessoal'!$H$512,1,MATCH(4&amp;$B54,'Gastos com Pessoal'!$I$532:$AJ$532&amp;'Gastos com Pessoal'!$I$512:$AJ$512,0),10,1)),0)+_xlfn.IFNA(SUM((AR$3&gt;='Gastos com Pessoal'!$E$513:$E$522)*(AR$3&lt;='Gastos com Pessoal'!$F$513:$F$522)*(IF('Gastos com Pessoal'!$AE$513:$AE$522&lt;=AR$3,1,0))*OFFSET('Gastos com Pessoal'!$H$512,1,MATCH(5&amp;$B54,'Gastos com Pessoal'!$I$532:$AJ$532&amp;'Gastos com Pessoal'!$I$512:$AJ$512,0),10,1)),0)</f>
        <v>17332.25000000004</v>
      </c>
      <c r="AS54" s="188">
        <f t="array" aca="1" ref="AS54" ca="1">_xlfn.IFNA(SUM((AS$3&gt;='Gastos com Pessoal'!$E$7:$E$506)*(AS$3&lt;='Gastos com Pessoal'!$F$7:$F$506)*OFFSET('Encargos e Benefícios'!$D$5,1,MATCH($B54,'Encargos e Benefícios'!$E$5:$AB$5,0),500,1)),0)+_xlfn.IFNA(SUM((AS$3&gt;='Gastos com Pessoal'!$E$513:$E$522)*(AS$3&lt;='Gastos com Pessoal'!$F$513:$F$522)*OFFSET('Encargos e Benefícios'!$D$511,1,MATCH($B54,'Encargos e Benefícios'!$E$511:$AB$511,0),10,1)),0)+_xlfn.IFNA(SUM((AS$3&gt;='Gastos com Pessoal'!$E$7:$E$506)*(AS$3&lt;='Gastos com Pessoal'!$F$7:$F$506)*(IF('Gastos com Pessoal'!$G$7:$G$506&lt;=AS$3,1,0))*OFFSET('Gastos com Pessoal'!$H$6,1,MATCH(1&amp;$B54,'Gastos com Pessoal'!$I$532:$AJ$532&amp;'Gastos com Pessoal'!$I$6:$AJ$6,0),500,1)),0)+_xlfn.IFNA(SUM((AS$3&gt;='Gastos com Pessoal'!$E$7:$E$506)*(AS$3&lt;='Gastos com Pessoal'!$F$7:$F$506)*(IF('Gastos com Pessoal'!$M$7:$M$506&lt;=AS$3,1,0))*OFFSET('Gastos com Pessoal'!$H$6,1,MATCH(2&amp;$B54,'Gastos com Pessoal'!$I$532:$AJ$532&amp;'Gastos com Pessoal'!$I$6:$AJ$6,0),500,1)),0)+_xlfn.IFNA(SUM((AS$3&gt;='Gastos com Pessoal'!$E$7:$E$506)*(AS$3&lt;='Gastos com Pessoal'!$F$7:$F$506)*(IF('Gastos com Pessoal'!$S$7:$S$506&lt;=AS$3,1,0))*OFFSET('Gastos com Pessoal'!$H$6,1,MATCH(3&amp;$B54,'Gastos com Pessoal'!$I$532:$AJ$532&amp;'Gastos com Pessoal'!$I$6:$AJ$6,0),500,1)),0)+_xlfn.IFNA(SUM((AS$3&gt;='Gastos com Pessoal'!$E$7:$E$506)*(AS$3&lt;='Gastos com Pessoal'!$F$7:$F$506)*(IF('Gastos com Pessoal'!$Y$7:$Y$506&lt;=AS$3,1,0))*OFFSET('Gastos com Pessoal'!$H$6,1,MATCH(4&amp;$B54,'Gastos com Pessoal'!$I$532:$AJ$532&amp;'Gastos com Pessoal'!$I$6:$AJ$6,0),500,1)),0)+_xlfn.IFNA(SUM((AS$3&gt;='Gastos com Pessoal'!$E$7:$E$506)*(AS$3&lt;='Gastos com Pessoal'!$F$7:$F$506)*(IF('Gastos com Pessoal'!$AE$7:$AE$506&lt;=AS$3,1,0))*OFFSET('Gastos com Pessoal'!$H$6,1,MATCH(5&amp;$B54,'Gastos com Pessoal'!$I$532:$AJ$532&amp;'Gastos com Pessoal'!$I$6:$AJ$6,0),500,1)),0)+_xlfn.IFNA(SUM((AS$3&gt;='Gastos com Pessoal'!$E$513:$E$522)*(AS$3&lt;='Gastos com Pessoal'!$F$513:$F$522)*(IF('Gastos com Pessoal'!$G$513:$G$522&lt;=AS$3,1,0))*OFFSET('Gastos com Pessoal'!$H$512,1,MATCH(1&amp;$B54,'Gastos com Pessoal'!$I$532:$AJ$532&amp;'Gastos com Pessoal'!$I$512:$AJ$512,0),10,1)),0)+_xlfn.IFNA(SUM((AS$3&gt;='Gastos com Pessoal'!$E$513:$E$522)*(AS$3&lt;='Gastos com Pessoal'!$F$513:$F$522)*(IF('Gastos com Pessoal'!$M$513:$M$522&lt;=AS$3,1,0))*OFFSET('Gastos com Pessoal'!$H$512,1,MATCH(2&amp;$B54,'Gastos com Pessoal'!$I$532:$AJ$532&amp;'Gastos com Pessoal'!$I$512:$AJ$512,0),10,1)),0)+_xlfn.IFNA(SUM((AS$3&gt;='Gastos com Pessoal'!$E$513:$E$522)*(AS$3&lt;='Gastos com Pessoal'!$F$513:$F$522)*(IF('Gastos com Pessoal'!$S$513:$S$522&lt;=AS$3,1,0))*OFFSET('Gastos com Pessoal'!$H$512,1,MATCH(3&amp;$B54,'Gastos com Pessoal'!$I$532:$AJ$532&amp;'Gastos com Pessoal'!$I$512:$AJ$512,0),10,1)),0)+_xlfn.IFNA(SUM((AS$3&gt;='Gastos com Pessoal'!$E$513:$E$522)*(AS$3&lt;='Gastos com Pessoal'!$F$513:$F$522)*(IF('Gastos com Pessoal'!$Y$513:$Y$522&lt;=AS$3,1,0))*OFFSET('Gastos com Pessoal'!$H$512,1,MATCH(4&amp;$B54,'Gastos com Pessoal'!$I$532:$AJ$532&amp;'Gastos com Pessoal'!$I$512:$AJ$512,0),10,1)),0)+_xlfn.IFNA(SUM((AS$3&gt;='Gastos com Pessoal'!$E$513:$E$522)*(AS$3&lt;='Gastos com Pessoal'!$F$513:$F$522)*(IF('Gastos com Pessoal'!$AE$513:$AE$522&lt;=AS$3,1,0))*OFFSET('Gastos com Pessoal'!$H$512,1,MATCH(5&amp;$B54,'Gastos com Pessoal'!$I$532:$AJ$532&amp;'Gastos com Pessoal'!$I$512:$AJ$512,0),10,1)),0)</f>
        <v>17332.25000000004</v>
      </c>
      <c r="AT54" s="188">
        <f t="array" aca="1" ref="AT54" ca="1">_xlfn.IFNA(SUM((AT$3&gt;='Gastos com Pessoal'!$E$7:$E$506)*(AT$3&lt;='Gastos com Pessoal'!$F$7:$F$506)*OFFSET('Encargos e Benefícios'!$D$5,1,MATCH($B54,'Encargos e Benefícios'!$E$5:$AB$5,0),500,1)),0)+_xlfn.IFNA(SUM((AT$3&gt;='Gastos com Pessoal'!$E$513:$E$522)*(AT$3&lt;='Gastos com Pessoal'!$F$513:$F$522)*OFFSET('Encargos e Benefícios'!$D$511,1,MATCH($B54,'Encargos e Benefícios'!$E$511:$AB$511,0),10,1)),0)+_xlfn.IFNA(SUM((AT$3&gt;='Gastos com Pessoal'!$E$7:$E$506)*(AT$3&lt;='Gastos com Pessoal'!$F$7:$F$506)*(IF('Gastos com Pessoal'!$G$7:$G$506&lt;=AT$3,1,0))*OFFSET('Gastos com Pessoal'!$H$6,1,MATCH(1&amp;$B54,'Gastos com Pessoal'!$I$532:$AJ$532&amp;'Gastos com Pessoal'!$I$6:$AJ$6,0),500,1)),0)+_xlfn.IFNA(SUM((AT$3&gt;='Gastos com Pessoal'!$E$7:$E$506)*(AT$3&lt;='Gastos com Pessoal'!$F$7:$F$506)*(IF('Gastos com Pessoal'!$M$7:$M$506&lt;=AT$3,1,0))*OFFSET('Gastos com Pessoal'!$H$6,1,MATCH(2&amp;$B54,'Gastos com Pessoal'!$I$532:$AJ$532&amp;'Gastos com Pessoal'!$I$6:$AJ$6,0),500,1)),0)+_xlfn.IFNA(SUM((AT$3&gt;='Gastos com Pessoal'!$E$7:$E$506)*(AT$3&lt;='Gastos com Pessoal'!$F$7:$F$506)*(IF('Gastos com Pessoal'!$S$7:$S$506&lt;=AT$3,1,0))*OFFSET('Gastos com Pessoal'!$H$6,1,MATCH(3&amp;$B54,'Gastos com Pessoal'!$I$532:$AJ$532&amp;'Gastos com Pessoal'!$I$6:$AJ$6,0),500,1)),0)+_xlfn.IFNA(SUM((AT$3&gt;='Gastos com Pessoal'!$E$7:$E$506)*(AT$3&lt;='Gastos com Pessoal'!$F$7:$F$506)*(IF('Gastos com Pessoal'!$Y$7:$Y$506&lt;=AT$3,1,0))*OFFSET('Gastos com Pessoal'!$H$6,1,MATCH(4&amp;$B54,'Gastos com Pessoal'!$I$532:$AJ$532&amp;'Gastos com Pessoal'!$I$6:$AJ$6,0),500,1)),0)+_xlfn.IFNA(SUM((AT$3&gt;='Gastos com Pessoal'!$E$7:$E$506)*(AT$3&lt;='Gastos com Pessoal'!$F$7:$F$506)*(IF('Gastos com Pessoal'!$AE$7:$AE$506&lt;=AT$3,1,0))*OFFSET('Gastos com Pessoal'!$H$6,1,MATCH(5&amp;$B54,'Gastos com Pessoal'!$I$532:$AJ$532&amp;'Gastos com Pessoal'!$I$6:$AJ$6,0),500,1)),0)+_xlfn.IFNA(SUM((AT$3&gt;='Gastos com Pessoal'!$E$513:$E$522)*(AT$3&lt;='Gastos com Pessoal'!$F$513:$F$522)*(IF('Gastos com Pessoal'!$G$513:$G$522&lt;=AT$3,1,0))*OFFSET('Gastos com Pessoal'!$H$512,1,MATCH(1&amp;$B54,'Gastos com Pessoal'!$I$532:$AJ$532&amp;'Gastos com Pessoal'!$I$512:$AJ$512,0),10,1)),0)+_xlfn.IFNA(SUM((AT$3&gt;='Gastos com Pessoal'!$E$513:$E$522)*(AT$3&lt;='Gastos com Pessoal'!$F$513:$F$522)*(IF('Gastos com Pessoal'!$M$513:$M$522&lt;=AT$3,1,0))*OFFSET('Gastos com Pessoal'!$H$512,1,MATCH(2&amp;$B54,'Gastos com Pessoal'!$I$532:$AJ$532&amp;'Gastos com Pessoal'!$I$512:$AJ$512,0),10,1)),0)+_xlfn.IFNA(SUM((AT$3&gt;='Gastos com Pessoal'!$E$513:$E$522)*(AT$3&lt;='Gastos com Pessoal'!$F$513:$F$522)*(IF('Gastos com Pessoal'!$S$513:$S$522&lt;=AT$3,1,0))*OFFSET('Gastos com Pessoal'!$H$512,1,MATCH(3&amp;$B54,'Gastos com Pessoal'!$I$532:$AJ$532&amp;'Gastos com Pessoal'!$I$512:$AJ$512,0),10,1)),0)+_xlfn.IFNA(SUM((AT$3&gt;='Gastos com Pessoal'!$E$513:$E$522)*(AT$3&lt;='Gastos com Pessoal'!$F$513:$F$522)*(IF('Gastos com Pessoal'!$Y$513:$Y$522&lt;=AT$3,1,0))*OFFSET('Gastos com Pessoal'!$H$512,1,MATCH(4&amp;$B54,'Gastos com Pessoal'!$I$532:$AJ$532&amp;'Gastos com Pessoal'!$I$512:$AJ$512,0),10,1)),0)+_xlfn.IFNA(SUM((AT$3&gt;='Gastos com Pessoal'!$E$513:$E$522)*(AT$3&lt;='Gastos com Pessoal'!$F$513:$F$522)*(IF('Gastos com Pessoal'!$AE$513:$AE$522&lt;=AT$3,1,0))*OFFSET('Gastos com Pessoal'!$H$512,1,MATCH(5&amp;$B54,'Gastos com Pessoal'!$I$532:$AJ$532&amp;'Gastos com Pessoal'!$I$512:$AJ$512,0),10,1)),0)</f>
        <v>17332.25000000004</v>
      </c>
      <c r="AU54" s="188">
        <f t="array" aca="1" ref="AU54" ca="1">_xlfn.IFNA(SUM((AU$3&gt;='Gastos com Pessoal'!$E$7:$E$506)*(AU$3&lt;='Gastos com Pessoal'!$F$7:$F$506)*OFFSET('Encargos e Benefícios'!$D$5,1,MATCH($B54,'Encargos e Benefícios'!$E$5:$AB$5,0),500,1)),0)+_xlfn.IFNA(SUM((AU$3&gt;='Gastos com Pessoal'!$E$513:$E$522)*(AU$3&lt;='Gastos com Pessoal'!$F$513:$F$522)*OFFSET('Encargos e Benefícios'!$D$511,1,MATCH($B54,'Encargos e Benefícios'!$E$511:$AB$511,0),10,1)),0)+_xlfn.IFNA(SUM((AU$3&gt;='Gastos com Pessoal'!$E$7:$E$506)*(AU$3&lt;='Gastos com Pessoal'!$F$7:$F$506)*(IF('Gastos com Pessoal'!$G$7:$G$506&lt;=AU$3,1,0))*OFFSET('Gastos com Pessoal'!$H$6,1,MATCH(1&amp;$B54,'Gastos com Pessoal'!$I$532:$AJ$532&amp;'Gastos com Pessoal'!$I$6:$AJ$6,0),500,1)),0)+_xlfn.IFNA(SUM((AU$3&gt;='Gastos com Pessoal'!$E$7:$E$506)*(AU$3&lt;='Gastos com Pessoal'!$F$7:$F$506)*(IF('Gastos com Pessoal'!$M$7:$M$506&lt;=AU$3,1,0))*OFFSET('Gastos com Pessoal'!$H$6,1,MATCH(2&amp;$B54,'Gastos com Pessoal'!$I$532:$AJ$532&amp;'Gastos com Pessoal'!$I$6:$AJ$6,0),500,1)),0)+_xlfn.IFNA(SUM((AU$3&gt;='Gastos com Pessoal'!$E$7:$E$506)*(AU$3&lt;='Gastos com Pessoal'!$F$7:$F$506)*(IF('Gastos com Pessoal'!$S$7:$S$506&lt;=AU$3,1,0))*OFFSET('Gastos com Pessoal'!$H$6,1,MATCH(3&amp;$B54,'Gastos com Pessoal'!$I$532:$AJ$532&amp;'Gastos com Pessoal'!$I$6:$AJ$6,0),500,1)),0)+_xlfn.IFNA(SUM((AU$3&gt;='Gastos com Pessoal'!$E$7:$E$506)*(AU$3&lt;='Gastos com Pessoal'!$F$7:$F$506)*(IF('Gastos com Pessoal'!$Y$7:$Y$506&lt;=AU$3,1,0))*OFFSET('Gastos com Pessoal'!$H$6,1,MATCH(4&amp;$B54,'Gastos com Pessoal'!$I$532:$AJ$532&amp;'Gastos com Pessoal'!$I$6:$AJ$6,0),500,1)),0)+_xlfn.IFNA(SUM((AU$3&gt;='Gastos com Pessoal'!$E$7:$E$506)*(AU$3&lt;='Gastos com Pessoal'!$F$7:$F$506)*(IF('Gastos com Pessoal'!$AE$7:$AE$506&lt;=AU$3,1,0))*OFFSET('Gastos com Pessoal'!$H$6,1,MATCH(5&amp;$B54,'Gastos com Pessoal'!$I$532:$AJ$532&amp;'Gastos com Pessoal'!$I$6:$AJ$6,0),500,1)),0)+_xlfn.IFNA(SUM((AU$3&gt;='Gastos com Pessoal'!$E$513:$E$522)*(AU$3&lt;='Gastos com Pessoal'!$F$513:$F$522)*(IF('Gastos com Pessoal'!$G$513:$G$522&lt;=AU$3,1,0))*OFFSET('Gastos com Pessoal'!$H$512,1,MATCH(1&amp;$B54,'Gastos com Pessoal'!$I$532:$AJ$532&amp;'Gastos com Pessoal'!$I$512:$AJ$512,0),10,1)),0)+_xlfn.IFNA(SUM((AU$3&gt;='Gastos com Pessoal'!$E$513:$E$522)*(AU$3&lt;='Gastos com Pessoal'!$F$513:$F$522)*(IF('Gastos com Pessoal'!$M$513:$M$522&lt;=AU$3,1,0))*OFFSET('Gastos com Pessoal'!$H$512,1,MATCH(2&amp;$B54,'Gastos com Pessoal'!$I$532:$AJ$532&amp;'Gastos com Pessoal'!$I$512:$AJ$512,0),10,1)),0)+_xlfn.IFNA(SUM((AU$3&gt;='Gastos com Pessoal'!$E$513:$E$522)*(AU$3&lt;='Gastos com Pessoal'!$F$513:$F$522)*(IF('Gastos com Pessoal'!$S$513:$S$522&lt;=AU$3,1,0))*OFFSET('Gastos com Pessoal'!$H$512,1,MATCH(3&amp;$B54,'Gastos com Pessoal'!$I$532:$AJ$532&amp;'Gastos com Pessoal'!$I$512:$AJ$512,0),10,1)),0)+_xlfn.IFNA(SUM((AU$3&gt;='Gastos com Pessoal'!$E$513:$E$522)*(AU$3&lt;='Gastos com Pessoal'!$F$513:$F$522)*(IF('Gastos com Pessoal'!$Y$513:$Y$522&lt;=AU$3,1,0))*OFFSET('Gastos com Pessoal'!$H$512,1,MATCH(4&amp;$B54,'Gastos com Pessoal'!$I$532:$AJ$532&amp;'Gastos com Pessoal'!$I$512:$AJ$512,0),10,1)),0)+_xlfn.IFNA(SUM((AU$3&gt;='Gastos com Pessoal'!$E$513:$E$522)*(AU$3&lt;='Gastos com Pessoal'!$F$513:$F$522)*(IF('Gastos com Pessoal'!$AE$513:$AE$522&lt;=AU$3,1,0))*OFFSET('Gastos com Pessoal'!$H$512,1,MATCH(5&amp;$B54,'Gastos com Pessoal'!$I$532:$AJ$532&amp;'Gastos com Pessoal'!$I$512:$AJ$512,0),10,1)),0)</f>
        <v>17332.25000000004</v>
      </c>
      <c r="AV54" s="188">
        <f t="array" aca="1" ref="AV54" ca="1">_xlfn.IFNA(SUM((AV$3&gt;='Gastos com Pessoal'!$E$7:$E$506)*(AV$3&lt;='Gastos com Pessoal'!$F$7:$F$506)*OFFSET('Encargos e Benefícios'!$D$5,1,MATCH($B54,'Encargos e Benefícios'!$E$5:$AB$5,0),500,1)),0)+_xlfn.IFNA(SUM((AV$3&gt;='Gastos com Pessoal'!$E$513:$E$522)*(AV$3&lt;='Gastos com Pessoal'!$F$513:$F$522)*OFFSET('Encargos e Benefícios'!$D$511,1,MATCH($B54,'Encargos e Benefícios'!$E$511:$AB$511,0),10,1)),0)+_xlfn.IFNA(SUM((AV$3&gt;='Gastos com Pessoal'!$E$7:$E$506)*(AV$3&lt;='Gastos com Pessoal'!$F$7:$F$506)*(IF('Gastos com Pessoal'!$G$7:$G$506&lt;=AV$3,1,0))*OFFSET('Gastos com Pessoal'!$H$6,1,MATCH(1&amp;$B54,'Gastos com Pessoal'!$I$532:$AJ$532&amp;'Gastos com Pessoal'!$I$6:$AJ$6,0),500,1)),0)+_xlfn.IFNA(SUM((AV$3&gt;='Gastos com Pessoal'!$E$7:$E$506)*(AV$3&lt;='Gastos com Pessoal'!$F$7:$F$506)*(IF('Gastos com Pessoal'!$M$7:$M$506&lt;=AV$3,1,0))*OFFSET('Gastos com Pessoal'!$H$6,1,MATCH(2&amp;$B54,'Gastos com Pessoal'!$I$532:$AJ$532&amp;'Gastos com Pessoal'!$I$6:$AJ$6,0),500,1)),0)+_xlfn.IFNA(SUM((AV$3&gt;='Gastos com Pessoal'!$E$7:$E$506)*(AV$3&lt;='Gastos com Pessoal'!$F$7:$F$506)*(IF('Gastos com Pessoal'!$S$7:$S$506&lt;=AV$3,1,0))*OFFSET('Gastos com Pessoal'!$H$6,1,MATCH(3&amp;$B54,'Gastos com Pessoal'!$I$532:$AJ$532&amp;'Gastos com Pessoal'!$I$6:$AJ$6,0),500,1)),0)+_xlfn.IFNA(SUM((AV$3&gt;='Gastos com Pessoal'!$E$7:$E$506)*(AV$3&lt;='Gastos com Pessoal'!$F$7:$F$506)*(IF('Gastos com Pessoal'!$Y$7:$Y$506&lt;=AV$3,1,0))*OFFSET('Gastos com Pessoal'!$H$6,1,MATCH(4&amp;$B54,'Gastos com Pessoal'!$I$532:$AJ$532&amp;'Gastos com Pessoal'!$I$6:$AJ$6,0),500,1)),0)+_xlfn.IFNA(SUM((AV$3&gt;='Gastos com Pessoal'!$E$7:$E$506)*(AV$3&lt;='Gastos com Pessoal'!$F$7:$F$506)*(IF('Gastos com Pessoal'!$AE$7:$AE$506&lt;=AV$3,1,0))*OFFSET('Gastos com Pessoal'!$H$6,1,MATCH(5&amp;$B54,'Gastos com Pessoal'!$I$532:$AJ$532&amp;'Gastos com Pessoal'!$I$6:$AJ$6,0),500,1)),0)+_xlfn.IFNA(SUM((AV$3&gt;='Gastos com Pessoal'!$E$513:$E$522)*(AV$3&lt;='Gastos com Pessoal'!$F$513:$F$522)*(IF('Gastos com Pessoal'!$G$513:$G$522&lt;=AV$3,1,0))*OFFSET('Gastos com Pessoal'!$H$512,1,MATCH(1&amp;$B54,'Gastos com Pessoal'!$I$532:$AJ$532&amp;'Gastos com Pessoal'!$I$512:$AJ$512,0),10,1)),0)+_xlfn.IFNA(SUM((AV$3&gt;='Gastos com Pessoal'!$E$513:$E$522)*(AV$3&lt;='Gastos com Pessoal'!$F$513:$F$522)*(IF('Gastos com Pessoal'!$M$513:$M$522&lt;=AV$3,1,0))*OFFSET('Gastos com Pessoal'!$H$512,1,MATCH(2&amp;$B54,'Gastos com Pessoal'!$I$532:$AJ$532&amp;'Gastos com Pessoal'!$I$512:$AJ$512,0),10,1)),0)+_xlfn.IFNA(SUM((AV$3&gt;='Gastos com Pessoal'!$E$513:$E$522)*(AV$3&lt;='Gastos com Pessoal'!$F$513:$F$522)*(IF('Gastos com Pessoal'!$S$513:$S$522&lt;=AV$3,1,0))*OFFSET('Gastos com Pessoal'!$H$512,1,MATCH(3&amp;$B54,'Gastos com Pessoal'!$I$532:$AJ$532&amp;'Gastos com Pessoal'!$I$512:$AJ$512,0),10,1)),0)+_xlfn.IFNA(SUM((AV$3&gt;='Gastos com Pessoal'!$E$513:$E$522)*(AV$3&lt;='Gastos com Pessoal'!$F$513:$F$522)*(IF('Gastos com Pessoal'!$Y$513:$Y$522&lt;=AV$3,1,0))*OFFSET('Gastos com Pessoal'!$H$512,1,MATCH(4&amp;$B54,'Gastos com Pessoal'!$I$532:$AJ$532&amp;'Gastos com Pessoal'!$I$512:$AJ$512,0),10,1)),0)+_xlfn.IFNA(SUM((AV$3&gt;='Gastos com Pessoal'!$E$513:$E$522)*(AV$3&lt;='Gastos com Pessoal'!$F$513:$F$522)*(IF('Gastos com Pessoal'!$AE$513:$AE$522&lt;=AV$3,1,0))*OFFSET('Gastos com Pessoal'!$H$512,1,MATCH(5&amp;$B54,'Gastos com Pessoal'!$I$532:$AJ$532&amp;'Gastos com Pessoal'!$I$512:$AJ$512,0),10,1)),0)</f>
        <v>17332.25000000004</v>
      </c>
      <c r="AW54" s="188">
        <f t="array" aca="1" ref="AW54" ca="1">_xlfn.IFNA(SUM((AW$3&gt;='Gastos com Pessoal'!$E$7:$E$506)*(AW$3&lt;='Gastos com Pessoal'!$F$7:$F$506)*OFFSET('Encargos e Benefícios'!$D$5,1,MATCH($B54,'Encargos e Benefícios'!$E$5:$AB$5,0),500,1)),0)+_xlfn.IFNA(SUM((AW$3&gt;='Gastos com Pessoal'!$E$513:$E$522)*(AW$3&lt;='Gastos com Pessoal'!$F$513:$F$522)*OFFSET('Encargos e Benefícios'!$D$511,1,MATCH($B54,'Encargos e Benefícios'!$E$511:$AB$511,0),10,1)),0)+_xlfn.IFNA(SUM((AW$3&gt;='Gastos com Pessoal'!$E$7:$E$506)*(AW$3&lt;='Gastos com Pessoal'!$F$7:$F$506)*(IF('Gastos com Pessoal'!$G$7:$G$506&lt;=AW$3,1,0))*OFFSET('Gastos com Pessoal'!$H$6,1,MATCH(1&amp;$B54,'Gastos com Pessoal'!$I$532:$AJ$532&amp;'Gastos com Pessoal'!$I$6:$AJ$6,0),500,1)),0)+_xlfn.IFNA(SUM((AW$3&gt;='Gastos com Pessoal'!$E$7:$E$506)*(AW$3&lt;='Gastos com Pessoal'!$F$7:$F$506)*(IF('Gastos com Pessoal'!$M$7:$M$506&lt;=AW$3,1,0))*OFFSET('Gastos com Pessoal'!$H$6,1,MATCH(2&amp;$B54,'Gastos com Pessoal'!$I$532:$AJ$532&amp;'Gastos com Pessoal'!$I$6:$AJ$6,0),500,1)),0)+_xlfn.IFNA(SUM((AW$3&gt;='Gastos com Pessoal'!$E$7:$E$506)*(AW$3&lt;='Gastos com Pessoal'!$F$7:$F$506)*(IF('Gastos com Pessoal'!$S$7:$S$506&lt;=AW$3,1,0))*OFFSET('Gastos com Pessoal'!$H$6,1,MATCH(3&amp;$B54,'Gastos com Pessoal'!$I$532:$AJ$532&amp;'Gastos com Pessoal'!$I$6:$AJ$6,0),500,1)),0)+_xlfn.IFNA(SUM((AW$3&gt;='Gastos com Pessoal'!$E$7:$E$506)*(AW$3&lt;='Gastos com Pessoal'!$F$7:$F$506)*(IF('Gastos com Pessoal'!$Y$7:$Y$506&lt;=AW$3,1,0))*OFFSET('Gastos com Pessoal'!$H$6,1,MATCH(4&amp;$B54,'Gastos com Pessoal'!$I$532:$AJ$532&amp;'Gastos com Pessoal'!$I$6:$AJ$6,0),500,1)),0)+_xlfn.IFNA(SUM((AW$3&gt;='Gastos com Pessoal'!$E$7:$E$506)*(AW$3&lt;='Gastos com Pessoal'!$F$7:$F$506)*(IF('Gastos com Pessoal'!$AE$7:$AE$506&lt;=AW$3,1,0))*OFFSET('Gastos com Pessoal'!$H$6,1,MATCH(5&amp;$B54,'Gastos com Pessoal'!$I$532:$AJ$532&amp;'Gastos com Pessoal'!$I$6:$AJ$6,0),500,1)),0)+_xlfn.IFNA(SUM((AW$3&gt;='Gastos com Pessoal'!$E$513:$E$522)*(AW$3&lt;='Gastos com Pessoal'!$F$513:$F$522)*(IF('Gastos com Pessoal'!$G$513:$G$522&lt;=AW$3,1,0))*OFFSET('Gastos com Pessoal'!$H$512,1,MATCH(1&amp;$B54,'Gastos com Pessoal'!$I$532:$AJ$532&amp;'Gastos com Pessoal'!$I$512:$AJ$512,0),10,1)),0)+_xlfn.IFNA(SUM((AW$3&gt;='Gastos com Pessoal'!$E$513:$E$522)*(AW$3&lt;='Gastos com Pessoal'!$F$513:$F$522)*(IF('Gastos com Pessoal'!$M$513:$M$522&lt;=AW$3,1,0))*OFFSET('Gastos com Pessoal'!$H$512,1,MATCH(2&amp;$B54,'Gastos com Pessoal'!$I$532:$AJ$532&amp;'Gastos com Pessoal'!$I$512:$AJ$512,0),10,1)),0)+_xlfn.IFNA(SUM((AW$3&gt;='Gastos com Pessoal'!$E$513:$E$522)*(AW$3&lt;='Gastos com Pessoal'!$F$513:$F$522)*(IF('Gastos com Pessoal'!$S$513:$S$522&lt;=AW$3,1,0))*OFFSET('Gastos com Pessoal'!$H$512,1,MATCH(3&amp;$B54,'Gastos com Pessoal'!$I$532:$AJ$532&amp;'Gastos com Pessoal'!$I$512:$AJ$512,0),10,1)),0)+_xlfn.IFNA(SUM((AW$3&gt;='Gastos com Pessoal'!$E$513:$E$522)*(AW$3&lt;='Gastos com Pessoal'!$F$513:$F$522)*(IF('Gastos com Pessoal'!$Y$513:$Y$522&lt;=AW$3,1,0))*OFFSET('Gastos com Pessoal'!$H$512,1,MATCH(4&amp;$B54,'Gastos com Pessoal'!$I$532:$AJ$532&amp;'Gastos com Pessoal'!$I$512:$AJ$512,0),10,1)),0)+_xlfn.IFNA(SUM((AW$3&gt;='Gastos com Pessoal'!$E$513:$E$522)*(AW$3&lt;='Gastos com Pessoal'!$F$513:$F$522)*(IF('Gastos com Pessoal'!$AE$513:$AE$522&lt;=AW$3,1,0))*OFFSET('Gastos com Pessoal'!$H$512,1,MATCH(5&amp;$B54,'Gastos com Pessoal'!$I$532:$AJ$532&amp;'Gastos com Pessoal'!$I$512:$AJ$512,0),10,1)),0)</f>
        <v>17332.25000000004</v>
      </c>
      <c r="AX54" s="188">
        <f t="array" aca="1" ref="AX54" ca="1">_xlfn.IFNA(SUM((AX$3&gt;='Gastos com Pessoal'!$E$7:$E$506)*(AX$3&lt;='Gastos com Pessoal'!$F$7:$F$506)*OFFSET('Encargos e Benefícios'!$D$5,1,MATCH($B54,'Encargos e Benefícios'!$E$5:$AB$5,0),500,1)),0)+_xlfn.IFNA(SUM((AX$3&gt;='Gastos com Pessoal'!$E$513:$E$522)*(AX$3&lt;='Gastos com Pessoal'!$F$513:$F$522)*OFFSET('Encargos e Benefícios'!$D$511,1,MATCH($B54,'Encargos e Benefícios'!$E$511:$AB$511,0),10,1)),0)+_xlfn.IFNA(SUM((AX$3&gt;='Gastos com Pessoal'!$E$7:$E$506)*(AX$3&lt;='Gastos com Pessoal'!$F$7:$F$506)*(IF('Gastos com Pessoal'!$G$7:$G$506&lt;=AX$3,1,0))*OFFSET('Gastos com Pessoal'!$H$6,1,MATCH(1&amp;$B54,'Gastos com Pessoal'!$I$532:$AJ$532&amp;'Gastos com Pessoal'!$I$6:$AJ$6,0),500,1)),0)+_xlfn.IFNA(SUM((AX$3&gt;='Gastos com Pessoal'!$E$7:$E$506)*(AX$3&lt;='Gastos com Pessoal'!$F$7:$F$506)*(IF('Gastos com Pessoal'!$M$7:$M$506&lt;=AX$3,1,0))*OFFSET('Gastos com Pessoal'!$H$6,1,MATCH(2&amp;$B54,'Gastos com Pessoal'!$I$532:$AJ$532&amp;'Gastos com Pessoal'!$I$6:$AJ$6,0),500,1)),0)+_xlfn.IFNA(SUM((AX$3&gt;='Gastos com Pessoal'!$E$7:$E$506)*(AX$3&lt;='Gastos com Pessoal'!$F$7:$F$506)*(IF('Gastos com Pessoal'!$S$7:$S$506&lt;=AX$3,1,0))*OFFSET('Gastos com Pessoal'!$H$6,1,MATCH(3&amp;$B54,'Gastos com Pessoal'!$I$532:$AJ$532&amp;'Gastos com Pessoal'!$I$6:$AJ$6,0),500,1)),0)+_xlfn.IFNA(SUM((AX$3&gt;='Gastos com Pessoal'!$E$7:$E$506)*(AX$3&lt;='Gastos com Pessoal'!$F$7:$F$506)*(IF('Gastos com Pessoal'!$Y$7:$Y$506&lt;=AX$3,1,0))*OFFSET('Gastos com Pessoal'!$H$6,1,MATCH(4&amp;$B54,'Gastos com Pessoal'!$I$532:$AJ$532&amp;'Gastos com Pessoal'!$I$6:$AJ$6,0),500,1)),0)+_xlfn.IFNA(SUM((AX$3&gt;='Gastos com Pessoal'!$E$7:$E$506)*(AX$3&lt;='Gastos com Pessoal'!$F$7:$F$506)*(IF('Gastos com Pessoal'!$AE$7:$AE$506&lt;=AX$3,1,0))*OFFSET('Gastos com Pessoal'!$H$6,1,MATCH(5&amp;$B54,'Gastos com Pessoal'!$I$532:$AJ$532&amp;'Gastos com Pessoal'!$I$6:$AJ$6,0),500,1)),0)+_xlfn.IFNA(SUM((AX$3&gt;='Gastos com Pessoal'!$E$513:$E$522)*(AX$3&lt;='Gastos com Pessoal'!$F$513:$F$522)*(IF('Gastos com Pessoal'!$G$513:$G$522&lt;=AX$3,1,0))*OFFSET('Gastos com Pessoal'!$H$512,1,MATCH(1&amp;$B54,'Gastos com Pessoal'!$I$532:$AJ$532&amp;'Gastos com Pessoal'!$I$512:$AJ$512,0),10,1)),0)+_xlfn.IFNA(SUM((AX$3&gt;='Gastos com Pessoal'!$E$513:$E$522)*(AX$3&lt;='Gastos com Pessoal'!$F$513:$F$522)*(IF('Gastos com Pessoal'!$M$513:$M$522&lt;=AX$3,1,0))*OFFSET('Gastos com Pessoal'!$H$512,1,MATCH(2&amp;$B54,'Gastos com Pessoal'!$I$532:$AJ$532&amp;'Gastos com Pessoal'!$I$512:$AJ$512,0),10,1)),0)+_xlfn.IFNA(SUM((AX$3&gt;='Gastos com Pessoal'!$E$513:$E$522)*(AX$3&lt;='Gastos com Pessoal'!$F$513:$F$522)*(IF('Gastos com Pessoal'!$S$513:$S$522&lt;=AX$3,1,0))*OFFSET('Gastos com Pessoal'!$H$512,1,MATCH(3&amp;$B54,'Gastos com Pessoal'!$I$532:$AJ$532&amp;'Gastos com Pessoal'!$I$512:$AJ$512,0),10,1)),0)+_xlfn.IFNA(SUM((AX$3&gt;='Gastos com Pessoal'!$E$513:$E$522)*(AX$3&lt;='Gastos com Pessoal'!$F$513:$F$522)*(IF('Gastos com Pessoal'!$Y$513:$Y$522&lt;=AX$3,1,0))*OFFSET('Gastos com Pessoal'!$H$512,1,MATCH(4&amp;$B54,'Gastos com Pessoal'!$I$532:$AJ$532&amp;'Gastos com Pessoal'!$I$512:$AJ$512,0),10,1)),0)+_xlfn.IFNA(SUM((AX$3&gt;='Gastos com Pessoal'!$E$513:$E$522)*(AX$3&lt;='Gastos com Pessoal'!$F$513:$F$522)*(IF('Gastos com Pessoal'!$AE$513:$AE$522&lt;=AX$3,1,0))*OFFSET('Gastos com Pessoal'!$H$512,1,MATCH(5&amp;$B54,'Gastos com Pessoal'!$I$532:$AJ$532&amp;'Gastos com Pessoal'!$I$512:$AJ$512,0),10,1)),0)</f>
        <v>0</v>
      </c>
      <c r="AY54" s="188">
        <f t="array" aca="1" ref="AY54" ca="1">_xlfn.IFNA(SUM((AY$3&gt;='Gastos com Pessoal'!$E$7:$E$506)*(AY$3&lt;='Gastos com Pessoal'!$F$7:$F$506)*OFFSET('Encargos e Benefícios'!$D$5,1,MATCH($B54,'Encargos e Benefícios'!$E$5:$AB$5,0),500,1)),0)+_xlfn.IFNA(SUM((AY$3&gt;='Gastos com Pessoal'!$E$513:$E$522)*(AY$3&lt;='Gastos com Pessoal'!$F$513:$F$522)*OFFSET('Encargos e Benefícios'!$D$511,1,MATCH($B54,'Encargos e Benefícios'!$E$511:$AB$511,0),10,1)),0)+_xlfn.IFNA(SUM((AY$3&gt;='Gastos com Pessoal'!$E$7:$E$506)*(AY$3&lt;='Gastos com Pessoal'!$F$7:$F$506)*(IF('Gastos com Pessoal'!$G$7:$G$506&lt;=AY$3,1,0))*OFFSET('Gastos com Pessoal'!$H$6,1,MATCH(1&amp;$B54,'Gastos com Pessoal'!$I$532:$AJ$532&amp;'Gastos com Pessoal'!$I$6:$AJ$6,0),500,1)),0)+_xlfn.IFNA(SUM((AY$3&gt;='Gastos com Pessoal'!$E$7:$E$506)*(AY$3&lt;='Gastos com Pessoal'!$F$7:$F$506)*(IF('Gastos com Pessoal'!$M$7:$M$506&lt;=AY$3,1,0))*OFFSET('Gastos com Pessoal'!$H$6,1,MATCH(2&amp;$B54,'Gastos com Pessoal'!$I$532:$AJ$532&amp;'Gastos com Pessoal'!$I$6:$AJ$6,0),500,1)),0)+_xlfn.IFNA(SUM((AY$3&gt;='Gastos com Pessoal'!$E$7:$E$506)*(AY$3&lt;='Gastos com Pessoal'!$F$7:$F$506)*(IF('Gastos com Pessoal'!$S$7:$S$506&lt;=AY$3,1,0))*OFFSET('Gastos com Pessoal'!$H$6,1,MATCH(3&amp;$B54,'Gastos com Pessoal'!$I$532:$AJ$532&amp;'Gastos com Pessoal'!$I$6:$AJ$6,0),500,1)),0)+_xlfn.IFNA(SUM((AY$3&gt;='Gastos com Pessoal'!$E$7:$E$506)*(AY$3&lt;='Gastos com Pessoal'!$F$7:$F$506)*(IF('Gastos com Pessoal'!$Y$7:$Y$506&lt;=AY$3,1,0))*OFFSET('Gastos com Pessoal'!$H$6,1,MATCH(4&amp;$B54,'Gastos com Pessoal'!$I$532:$AJ$532&amp;'Gastos com Pessoal'!$I$6:$AJ$6,0),500,1)),0)+_xlfn.IFNA(SUM((AY$3&gt;='Gastos com Pessoal'!$E$7:$E$506)*(AY$3&lt;='Gastos com Pessoal'!$F$7:$F$506)*(IF('Gastos com Pessoal'!$AE$7:$AE$506&lt;=AY$3,1,0))*OFFSET('Gastos com Pessoal'!$H$6,1,MATCH(5&amp;$B54,'Gastos com Pessoal'!$I$532:$AJ$532&amp;'Gastos com Pessoal'!$I$6:$AJ$6,0),500,1)),0)+_xlfn.IFNA(SUM((AY$3&gt;='Gastos com Pessoal'!$E$513:$E$522)*(AY$3&lt;='Gastos com Pessoal'!$F$513:$F$522)*(IF('Gastos com Pessoal'!$G$513:$G$522&lt;=AY$3,1,0))*OFFSET('Gastos com Pessoal'!$H$512,1,MATCH(1&amp;$B54,'Gastos com Pessoal'!$I$532:$AJ$532&amp;'Gastos com Pessoal'!$I$512:$AJ$512,0),10,1)),0)+_xlfn.IFNA(SUM((AY$3&gt;='Gastos com Pessoal'!$E$513:$E$522)*(AY$3&lt;='Gastos com Pessoal'!$F$513:$F$522)*(IF('Gastos com Pessoal'!$M$513:$M$522&lt;=AY$3,1,0))*OFFSET('Gastos com Pessoal'!$H$512,1,MATCH(2&amp;$B54,'Gastos com Pessoal'!$I$532:$AJ$532&amp;'Gastos com Pessoal'!$I$512:$AJ$512,0),10,1)),0)+_xlfn.IFNA(SUM((AY$3&gt;='Gastos com Pessoal'!$E$513:$E$522)*(AY$3&lt;='Gastos com Pessoal'!$F$513:$F$522)*(IF('Gastos com Pessoal'!$S$513:$S$522&lt;=AY$3,1,0))*OFFSET('Gastos com Pessoal'!$H$512,1,MATCH(3&amp;$B54,'Gastos com Pessoal'!$I$532:$AJ$532&amp;'Gastos com Pessoal'!$I$512:$AJ$512,0),10,1)),0)+_xlfn.IFNA(SUM((AY$3&gt;='Gastos com Pessoal'!$E$513:$E$522)*(AY$3&lt;='Gastos com Pessoal'!$F$513:$F$522)*(IF('Gastos com Pessoal'!$Y$513:$Y$522&lt;=AY$3,1,0))*OFFSET('Gastos com Pessoal'!$H$512,1,MATCH(4&amp;$B54,'Gastos com Pessoal'!$I$532:$AJ$532&amp;'Gastos com Pessoal'!$I$512:$AJ$512,0),10,1)),0)+_xlfn.IFNA(SUM((AY$3&gt;='Gastos com Pessoal'!$E$513:$E$522)*(AY$3&lt;='Gastos com Pessoal'!$F$513:$F$522)*(IF('Gastos com Pessoal'!$AE$513:$AE$522&lt;=AY$3,1,0))*OFFSET('Gastos com Pessoal'!$H$512,1,MATCH(5&amp;$B54,'Gastos com Pessoal'!$I$532:$AJ$532&amp;'Gastos com Pessoal'!$I$512:$AJ$512,0),10,1)),0)</f>
        <v>0</v>
      </c>
      <c r="AZ54" s="188">
        <f t="array" aca="1" ref="AZ54" ca="1">_xlfn.IFNA(SUM((AZ$3&gt;='Gastos com Pessoal'!$E$7:$E$506)*(AZ$3&lt;='Gastos com Pessoal'!$F$7:$F$506)*OFFSET('Encargos e Benefícios'!$D$5,1,MATCH($B54,'Encargos e Benefícios'!$E$5:$AB$5,0),500,1)),0)+_xlfn.IFNA(SUM((AZ$3&gt;='Gastos com Pessoal'!$E$513:$E$522)*(AZ$3&lt;='Gastos com Pessoal'!$F$513:$F$522)*OFFSET('Encargos e Benefícios'!$D$511,1,MATCH($B54,'Encargos e Benefícios'!$E$511:$AB$511,0),10,1)),0)+_xlfn.IFNA(SUM((AZ$3&gt;='Gastos com Pessoal'!$E$7:$E$506)*(AZ$3&lt;='Gastos com Pessoal'!$F$7:$F$506)*(IF('Gastos com Pessoal'!$G$7:$G$506&lt;=AZ$3,1,0))*OFFSET('Gastos com Pessoal'!$H$6,1,MATCH(1&amp;$B54,'Gastos com Pessoal'!$I$532:$AJ$532&amp;'Gastos com Pessoal'!$I$6:$AJ$6,0),500,1)),0)+_xlfn.IFNA(SUM((AZ$3&gt;='Gastos com Pessoal'!$E$7:$E$506)*(AZ$3&lt;='Gastos com Pessoal'!$F$7:$F$506)*(IF('Gastos com Pessoal'!$M$7:$M$506&lt;=AZ$3,1,0))*OFFSET('Gastos com Pessoal'!$H$6,1,MATCH(2&amp;$B54,'Gastos com Pessoal'!$I$532:$AJ$532&amp;'Gastos com Pessoal'!$I$6:$AJ$6,0),500,1)),0)+_xlfn.IFNA(SUM((AZ$3&gt;='Gastos com Pessoal'!$E$7:$E$506)*(AZ$3&lt;='Gastos com Pessoal'!$F$7:$F$506)*(IF('Gastos com Pessoal'!$S$7:$S$506&lt;=AZ$3,1,0))*OFFSET('Gastos com Pessoal'!$H$6,1,MATCH(3&amp;$B54,'Gastos com Pessoal'!$I$532:$AJ$532&amp;'Gastos com Pessoal'!$I$6:$AJ$6,0),500,1)),0)+_xlfn.IFNA(SUM((AZ$3&gt;='Gastos com Pessoal'!$E$7:$E$506)*(AZ$3&lt;='Gastos com Pessoal'!$F$7:$F$506)*(IF('Gastos com Pessoal'!$Y$7:$Y$506&lt;=AZ$3,1,0))*OFFSET('Gastos com Pessoal'!$H$6,1,MATCH(4&amp;$B54,'Gastos com Pessoal'!$I$532:$AJ$532&amp;'Gastos com Pessoal'!$I$6:$AJ$6,0),500,1)),0)+_xlfn.IFNA(SUM((AZ$3&gt;='Gastos com Pessoal'!$E$7:$E$506)*(AZ$3&lt;='Gastos com Pessoal'!$F$7:$F$506)*(IF('Gastos com Pessoal'!$AE$7:$AE$506&lt;=AZ$3,1,0))*OFFSET('Gastos com Pessoal'!$H$6,1,MATCH(5&amp;$B54,'Gastos com Pessoal'!$I$532:$AJ$532&amp;'Gastos com Pessoal'!$I$6:$AJ$6,0),500,1)),0)+_xlfn.IFNA(SUM((AZ$3&gt;='Gastos com Pessoal'!$E$513:$E$522)*(AZ$3&lt;='Gastos com Pessoal'!$F$513:$F$522)*(IF('Gastos com Pessoal'!$G$513:$G$522&lt;=AZ$3,1,0))*OFFSET('Gastos com Pessoal'!$H$512,1,MATCH(1&amp;$B54,'Gastos com Pessoal'!$I$532:$AJ$532&amp;'Gastos com Pessoal'!$I$512:$AJ$512,0),10,1)),0)+_xlfn.IFNA(SUM((AZ$3&gt;='Gastos com Pessoal'!$E$513:$E$522)*(AZ$3&lt;='Gastos com Pessoal'!$F$513:$F$522)*(IF('Gastos com Pessoal'!$M$513:$M$522&lt;=AZ$3,1,0))*OFFSET('Gastos com Pessoal'!$H$512,1,MATCH(2&amp;$B54,'Gastos com Pessoal'!$I$532:$AJ$532&amp;'Gastos com Pessoal'!$I$512:$AJ$512,0),10,1)),0)+_xlfn.IFNA(SUM((AZ$3&gt;='Gastos com Pessoal'!$E$513:$E$522)*(AZ$3&lt;='Gastos com Pessoal'!$F$513:$F$522)*(IF('Gastos com Pessoal'!$S$513:$S$522&lt;=AZ$3,1,0))*OFFSET('Gastos com Pessoal'!$H$512,1,MATCH(3&amp;$B54,'Gastos com Pessoal'!$I$532:$AJ$532&amp;'Gastos com Pessoal'!$I$512:$AJ$512,0),10,1)),0)+_xlfn.IFNA(SUM((AZ$3&gt;='Gastos com Pessoal'!$E$513:$E$522)*(AZ$3&lt;='Gastos com Pessoal'!$F$513:$F$522)*(IF('Gastos com Pessoal'!$Y$513:$Y$522&lt;=AZ$3,1,0))*OFFSET('Gastos com Pessoal'!$H$512,1,MATCH(4&amp;$B54,'Gastos com Pessoal'!$I$532:$AJ$532&amp;'Gastos com Pessoal'!$I$512:$AJ$512,0),10,1)),0)+_xlfn.IFNA(SUM((AZ$3&gt;='Gastos com Pessoal'!$E$513:$E$522)*(AZ$3&lt;='Gastos com Pessoal'!$F$513:$F$522)*(IF('Gastos com Pessoal'!$AE$513:$AE$522&lt;=AZ$3,1,0))*OFFSET('Gastos com Pessoal'!$H$512,1,MATCH(5&amp;$B54,'Gastos com Pessoal'!$I$532:$AJ$532&amp;'Gastos com Pessoal'!$I$512:$AJ$512,0),10,1)),0)</f>
        <v>0</v>
      </c>
      <c r="BA54" s="188">
        <f t="array" aca="1" ref="BA54" ca="1">_xlfn.IFNA(SUM((BA$3&gt;='Gastos com Pessoal'!$E$7:$E$506)*(BA$3&lt;='Gastos com Pessoal'!$F$7:$F$506)*OFFSET('Encargos e Benefícios'!$D$5,1,MATCH($B54,'Encargos e Benefícios'!$E$5:$AB$5,0),500,1)),0)+_xlfn.IFNA(SUM((BA$3&gt;='Gastos com Pessoal'!$E$513:$E$522)*(BA$3&lt;='Gastos com Pessoal'!$F$513:$F$522)*OFFSET('Encargos e Benefícios'!$D$511,1,MATCH($B54,'Encargos e Benefícios'!$E$511:$AB$511,0),10,1)),0)+_xlfn.IFNA(SUM((BA$3&gt;='Gastos com Pessoal'!$E$7:$E$506)*(BA$3&lt;='Gastos com Pessoal'!$F$7:$F$506)*(IF('Gastos com Pessoal'!$G$7:$G$506&lt;=BA$3,1,0))*OFFSET('Gastos com Pessoal'!$H$6,1,MATCH(1&amp;$B54,'Gastos com Pessoal'!$I$532:$AJ$532&amp;'Gastos com Pessoal'!$I$6:$AJ$6,0),500,1)),0)+_xlfn.IFNA(SUM((BA$3&gt;='Gastos com Pessoal'!$E$7:$E$506)*(BA$3&lt;='Gastos com Pessoal'!$F$7:$F$506)*(IF('Gastos com Pessoal'!$M$7:$M$506&lt;=BA$3,1,0))*OFFSET('Gastos com Pessoal'!$H$6,1,MATCH(2&amp;$B54,'Gastos com Pessoal'!$I$532:$AJ$532&amp;'Gastos com Pessoal'!$I$6:$AJ$6,0),500,1)),0)+_xlfn.IFNA(SUM((BA$3&gt;='Gastos com Pessoal'!$E$7:$E$506)*(BA$3&lt;='Gastos com Pessoal'!$F$7:$F$506)*(IF('Gastos com Pessoal'!$S$7:$S$506&lt;=BA$3,1,0))*OFFSET('Gastos com Pessoal'!$H$6,1,MATCH(3&amp;$B54,'Gastos com Pessoal'!$I$532:$AJ$532&amp;'Gastos com Pessoal'!$I$6:$AJ$6,0),500,1)),0)+_xlfn.IFNA(SUM((BA$3&gt;='Gastos com Pessoal'!$E$7:$E$506)*(BA$3&lt;='Gastos com Pessoal'!$F$7:$F$506)*(IF('Gastos com Pessoal'!$Y$7:$Y$506&lt;=BA$3,1,0))*OFFSET('Gastos com Pessoal'!$H$6,1,MATCH(4&amp;$B54,'Gastos com Pessoal'!$I$532:$AJ$532&amp;'Gastos com Pessoal'!$I$6:$AJ$6,0),500,1)),0)+_xlfn.IFNA(SUM((BA$3&gt;='Gastos com Pessoal'!$E$7:$E$506)*(BA$3&lt;='Gastos com Pessoal'!$F$7:$F$506)*(IF('Gastos com Pessoal'!$AE$7:$AE$506&lt;=BA$3,1,0))*OFFSET('Gastos com Pessoal'!$H$6,1,MATCH(5&amp;$B54,'Gastos com Pessoal'!$I$532:$AJ$532&amp;'Gastos com Pessoal'!$I$6:$AJ$6,0),500,1)),0)+_xlfn.IFNA(SUM((BA$3&gt;='Gastos com Pessoal'!$E$513:$E$522)*(BA$3&lt;='Gastos com Pessoal'!$F$513:$F$522)*(IF('Gastos com Pessoal'!$G$513:$G$522&lt;=BA$3,1,0))*OFFSET('Gastos com Pessoal'!$H$512,1,MATCH(1&amp;$B54,'Gastos com Pessoal'!$I$532:$AJ$532&amp;'Gastos com Pessoal'!$I$512:$AJ$512,0),10,1)),0)+_xlfn.IFNA(SUM((BA$3&gt;='Gastos com Pessoal'!$E$513:$E$522)*(BA$3&lt;='Gastos com Pessoal'!$F$513:$F$522)*(IF('Gastos com Pessoal'!$M$513:$M$522&lt;=BA$3,1,0))*OFFSET('Gastos com Pessoal'!$H$512,1,MATCH(2&amp;$B54,'Gastos com Pessoal'!$I$532:$AJ$532&amp;'Gastos com Pessoal'!$I$512:$AJ$512,0),10,1)),0)+_xlfn.IFNA(SUM((BA$3&gt;='Gastos com Pessoal'!$E$513:$E$522)*(BA$3&lt;='Gastos com Pessoal'!$F$513:$F$522)*(IF('Gastos com Pessoal'!$S$513:$S$522&lt;=BA$3,1,0))*OFFSET('Gastos com Pessoal'!$H$512,1,MATCH(3&amp;$B54,'Gastos com Pessoal'!$I$532:$AJ$532&amp;'Gastos com Pessoal'!$I$512:$AJ$512,0),10,1)),0)+_xlfn.IFNA(SUM((BA$3&gt;='Gastos com Pessoal'!$E$513:$E$522)*(BA$3&lt;='Gastos com Pessoal'!$F$513:$F$522)*(IF('Gastos com Pessoal'!$Y$513:$Y$522&lt;=BA$3,1,0))*OFFSET('Gastos com Pessoal'!$H$512,1,MATCH(4&amp;$B54,'Gastos com Pessoal'!$I$532:$AJ$532&amp;'Gastos com Pessoal'!$I$512:$AJ$512,0),10,1)),0)+_xlfn.IFNA(SUM((BA$3&gt;='Gastos com Pessoal'!$E$513:$E$522)*(BA$3&lt;='Gastos com Pessoal'!$F$513:$F$522)*(IF('Gastos com Pessoal'!$AE$513:$AE$522&lt;=BA$3,1,0))*OFFSET('Gastos com Pessoal'!$H$512,1,MATCH(5&amp;$B54,'Gastos com Pessoal'!$I$532:$AJ$532&amp;'Gastos com Pessoal'!$I$512:$AJ$512,0),10,1)),0)</f>
        <v>0</v>
      </c>
      <c r="BB54" s="188">
        <f t="array" aca="1" ref="BB54" ca="1">_xlfn.IFNA(SUM((BB$3&gt;='Gastos com Pessoal'!$E$7:$E$506)*(BB$3&lt;='Gastos com Pessoal'!$F$7:$F$506)*OFFSET('Encargos e Benefícios'!$D$5,1,MATCH($B54,'Encargos e Benefícios'!$E$5:$AB$5,0),500,1)),0)+_xlfn.IFNA(SUM((BB$3&gt;='Gastos com Pessoal'!$E$513:$E$522)*(BB$3&lt;='Gastos com Pessoal'!$F$513:$F$522)*OFFSET('Encargos e Benefícios'!$D$511,1,MATCH($B54,'Encargos e Benefícios'!$E$511:$AB$511,0),10,1)),0)+_xlfn.IFNA(SUM((BB$3&gt;='Gastos com Pessoal'!$E$7:$E$506)*(BB$3&lt;='Gastos com Pessoal'!$F$7:$F$506)*(IF('Gastos com Pessoal'!$G$7:$G$506&lt;=BB$3,1,0))*OFFSET('Gastos com Pessoal'!$H$6,1,MATCH(1&amp;$B54,'Gastos com Pessoal'!$I$532:$AJ$532&amp;'Gastos com Pessoal'!$I$6:$AJ$6,0),500,1)),0)+_xlfn.IFNA(SUM((BB$3&gt;='Gastos com Pessoal'!$E$7:$E$506)*(BB$3&lt;='Gastos com Pessoal'!$F$7:$F$506)*(IF('Gastos com Pessoal'!$M$7:$M$506&lt;=BB$3,1,0))*OFFSET('Gastos com Pessoal'!$H$6,1,MATCH(2&amp;$B54,'Gastos com Pessoal'!$I$532:$AJ$532&amp;'Gastos com Pessoal'!$I$6:$AJ$6,0),500,1)),0)+_xlfn.IFNA(SUM((BB$3&gt;='Gastos com Pessoal'!$E$7:$E$506)*(BB$3&lt;='Gastos com Pessoal'!$F$7:$F$506)*(IF('Gastos com Pessoal'!$S$7:$S$506&lt;=BB$3,1,0))*OFFSET('Gastos com Pessoal'!$H$6,1,MATCH(3&amp;$B54,'Gastos com Pessoal'!$I$532:$AJ$532&amp;'Gastos com Pessoal'!$I$6:$AJ$6,0),500,1)),0)+_xlfn.IFNA(SUM((BB$3&gt;='Gastos com Pessoal'!$E$7:$E$506)*(BB$3&lt;='Gastos com Pessoal'!$F$7:$F$506)*(IF('Gastos com Pessoal'!$Y$7:$Y$506&lt;=BB$3,1,0))*OFFSET('Gastos com Pessoal'!$H$6,1,MATCH(4&amp;$B54,'Gastos com Pessoal'!$I$532:$AJ$532&amp;'Gastos com Pessoal'!$I$6:$AJ$6,0),500,1)),0)+_xlfn.IFNA(SUM((BB$3&gt;='Gastos com Pessoal'!$E$7:$E$506)*(BB$3&lt;='Gastos com Pessoal'!$F$7:$F$506)*(IF('Gastos com Pessoal'!$AE$7:$AE$506&lt;=BB$3,1,0))*OFFSET('Gastos com Pessoal'!$H$6,1,MATCH(5&amp;$B54,'Gastos com Pessoal'!$I$532:$AJ$532&amp;'Gastos com Pessoal'!$I$6:$AJ$6,0),500,1)),0)+_xlfn.IFNA(SUM((BB$3&gt;='Gastos com Pessoal'!$E$513:$E$522)*(BB$3&lt;='Gastos com Pessoal'!$F$513:$F$522)*(IF('Gastos com Pessoal'!$G$513:$G$522&lt;=BB$3,1,0))*OFFSET('Gastos com Pessoal'!$H$512,1,MATCH(1&amp;$B54,'Gastos com Pessoal'!$I$532:$AJ$532&amp;'Gastos com Pessoal'!$I$512:$AJ$512,0),10,1)),0)+_xlfn.IFNA(SUM((BB$3&gt;='Gastos com Pessoal'!$E$513:$E$522)*(BB$3&lt;='Gastos com Pessoal'!$F$513:$F$522)*(IF('Gastos com Pessoal'!$M$513:$M$522&lt;=BB$3,1,0))*OFFSET('Gastos com Pessoal'!$H$512,1,MATCH(2&amp;$B54,'Gastos com Pessoal'!$I$532:$AJ$532&amp;'Gastos com Pessoal'!$I$512:$AJ$512,0),10,1)),0)+_xlfn.IFNA(SUM((BB$3&gt;='Gastos com Pessoal'!$E$513:$E$522)*(BB$3&lt;='Gastos com Pessoal'!$F$513:$F$522)*(IF('Gastos com Pessoal'!$S$513:$S$522&lt;=BB$3,1,0))*OFFSET('Gastos com Pessoal'!$H$512,1,MATCH(3&amp;$B54,'Gastos com Pessoal'!$I$532:$AJ$532&amp;'Gastos com Pessoal'!$I$512:$AJ$512,0),10,1)),0)+_xlfn.IFNA(SUM((BB$3&gt;='Gastos com Pessoal'!$E$513:$E$522)*(BB$3&lt;='Gastos com Pessoal'!$F$513:$F$522)*(IF('Gastos com Pessoal'!$Y$513:$Y$522&lt;=BB$3,1,0))*OFFSET('Gastos com Pessoal'!$H$512,1,MATCH(4&amp;$B54,'Gastos com Pessoal'!$I$532:$AJ$532&amp;'Gastos com Pessoal'!$I$512:$AJ$512,0),10,1)),0)+_xlfn.IFNA(SUM((BB$3&gt;='Gastos com Pessoal'!$E$513:$E$522)*(BB$3&lt;='Gastos com Pessoal'!$F$513:$F$522)*(IF('Gastos com Pessoal'!$AE$513:$AE$522&lt;=BB$3,1,0))*OFFSET('Gastos com Pessoal'!$H$512,1,MATCH(5&amp;$B54,'Gastos com Pessoal'!$I$532:$AJ$532&amp;'Gastos com Pessoal'!$I$512:$AJ$512,0),10,1)),0)</f>
        <v>0</v>
      </c>
      <c r="BC54" s="188">
        <f t="array" aca="1" ref="BC54" ca="1">_xlfn.IFNA(SUM((BC$3&gt;='Gastos com Pessoal'!$E$7:$E$506)*(BC$3&lt;='Gastos com Pessoal'!$F$7:$F$506)*OFFSET('Encargos e Benefícios'!$D$5,1,MATCH($B54,'Encargos e Benefícios'!$E$5:$AB$5,0),500,1)),0)+_xlfn.IFNA(SUM((BC$3&gt;='Gastos com Pessoal'!$E$513:$E$522)*(BC$3&lt;='Gastos com Pessoal'!$F$513:$F$522)*OFFSET('Encargos e Benefícios'!$D$511,1,MATCH($B54,'Encargos e Benefícios'!$E$511:$AB$511,0),10,1)),0)+_xlfn.IFNA(SUM((BC$3&gt;='Gastos com Pessoal'!$E$7:$E$506)*(BC$3&lt;='Gastos com Pessoal'!$F$7:$F$506)*(IF('Gastos com Pessoal'!$G$7:$G$506&lt;=BC$3,1,0))*OFFSET('Gastos com Pessoal'!$H$6,1,MATCH(1&amp;$B54,'Gastos com Pessoal'!$I$532:$AJ$532&amp;'Gastos com Pessoal'!$I$6:$AJ$6,0),500,1)),0)+_xlfn.IFNA(SUM((BC$3&gt;='Gastos com Pessoal'!$E$7:$E$506)*(BC$3&lt;='Gastos com Pessoal'!$F$7:$F$506)*(IF('Gastos com Pessoal'!$M$7:$M$506&lt;=BC$3,1,0))*OFFSET('Gastos com Pessoal'!$H$6,1,MATCH(2&amp;$B54,'Gastos com Pessoal'!$I$532:$AJ$532&amp;'Gastos com Pessoal'!$I$6:$AJ$6,0),500,1)),0)+_xlfn.IFNA(SUM((BC$3&gt;='Gastos com Pessoal'!$E$7:$E$506)*(BC$3&lt;='Gastos com Pessoal'!$F$7:$F$506)*(IF('Gastos com Pessoal'!$S$7:$S$506&lt;=BC$3,1,0))*OFFSET('Gastos com Pessoal'!$H$6,1,MATCH(3&amp;$B54,'Gastos com Pessoal'!$I$532:$AJ$532&amp;'Gastos com Pessoal'!$I$6:$AJ$6,0),500,1)),0)+_xlfn.IFNA(SUM((BC$3&gt;='Gastos com Pessoal'!$E$7:$E$506)*(BC$3&lt;='Gastos com Pessoal'!$F$7:$F$506)*(IF('Gastos com Pessoal'!$Y$7:$Y$506&lt;=BC$3,1,0))*OFFSET('Gastos com Pessoal'!$H$6,1,MATCH(4&amp;$B54,'Gastos com Pessoal'!$I$532:$AJ$532&amp;'Gastos com Pessoal'!$I$6:$AJ$6,0),500,1)),0)+_xlfn.IFNA(SUM((BC$3&gt;='Gastos com Pessoal'!$E$7:$E$506)*(BC$3&lt;='Gastos com Pessoal'!$F$7:$F$506)*(IF('Gastos com Pessoal'!$AE$7:$AE$506&lt;=BC$3,1,0))*OFFSET('Gastos com Pessoal'!$H$6,1,MATCH(5&amp;$B54,'Gastos com Pessoal'!$I$532:$AJ$532&amp;'Gastos com Pessoal'!$I$6:$AJ$6,0),500,1)),0)+_xlfn.IFNA(SUM((BC$3&gt;='Gastos com Pessoal'!$E$513:$E$522)*(BC$3&lt;='Gastos com Pessoal'!$F$513:$F$522)*(IF('Gastos com Pessoal'!$G$513:$G$522&lt;=BC$3,1,0))*OFFSET('Gastos com Pessoal'!$H$512,1,MATCH(1&amp;$B54,'Gastos com Pessoal'!$I$532:$AJ$532&amp;'Gastos com Pessoal'!$I$512:$AJ$512,0),10,1)),0)+_xlfn.IFNA(SUM((BC$3&gt;='Gastos com Pessoal'!$E$513:$E$522)*(BC$3&lt;='Gastos com Pessoal'!$F$513:$F$522)*(IF('Gastos com Pessoal'!$M$513:$M$522&lt;=BC$3,1,0))*OFFSET('Gastos com Pessoal'!$H$512,1,MATCH(2&amp;$B54,'Gastos com Pessoal'!$I$532:$AJ$532&amp;'Gastos com Pessoal'!$I$512:$AJ$512,0),10,1)),0)+_xlfn.IFNA(SUM((BC$3&gt;='Gastos com Pessoal'!$E$513:$E$522)*(BC$3&lt;='Gastos com Pessoal'!$F$513:$F$522)*(IF('Gastos com Pessoal'!$S$513:$S$522&lt;=BC$3,1,0))*OFFSET('Gastos com Pessoal'!$H$512,1,MATCH(3&amp;$B54,'Gastos com Pessoal'!$I$532:$AJ$532&amp;'Gastos com Pessoal'!$I$512:$AJ$512,0),10,1)),0)+_xlfn.IFNA(SUM((BC$3&gt;='Gastos com Pessoal'!$E$513:$E$522)*(BC$3&lt;='Gastos com Pessoal'!$F$513:$F$522)*(IF('Gastos com Pessoal'!$Y$513:$Y$522&lt;=BC$3,1,0))*OFFSET('Gastos com Pessoal'!$H$512,1,MATCH(4&amp;$B54,'Gastos com Pessoal'!$I$532:$AJ$532&amp;'Gastos com Pessoal'!$I$512:$AJ$512,0),10,1)),0)+_xlfn.IFNA(SUM((BC$3&gt;='Gastos com Pessoal'!$E$513:$E$522)*(BC$3&lt;='Gastos com Pessoal'!$F$513:$F$522)*(IF('Gastos com Pessoal'!$AE$513:$AE$522&lt;=BC$3,1,0))*OFFSET('Gastos com Pessoal'!$H$512,1,MATCH(5&amp;$B54,'Gastos com Pessoal'!$I$532:$AJ$532&amp;'Gastos com Pessoal'!$I$512:$AJ$512,0),10,1)),0)</f>
        <v>0</v>
      </c>
      <c r="BD54" s="188">
        <f t="array" aca="1" ref="BD54" ca="1">_xlfn.IFNA(SUM((BD$3&gt;='Gastos com Pessoal'!$E$7:$E$506)*(BD$3&lt;='Gastos com Pessoal'!$F$7:$F$506)*OFFSET('Encargos e Benefícios'!$D$5,1,MATCH($B54,'Encargos e Benefícios'!$E$5:$AB$5,0),500,1)),0)+_xlfn.IFNA(SUM((BD$3&gt;='Gastos com Pessoal'!$E$513:$E$522)*(BD$3&lt;='Gastos com Pessoal'!$F$513:$F$522)*OFFSET('Encargos e Benefícios'!$D$511,1,MATCH($B54,'Encargos e Benefícios'!$E$511:$AB$511,0),10,1)),0)+_xlfn.IFNA(SUM((BD$3&gt;='Gastos com Pessoal'!$E$7:$E$506)*(BD$3&lt;='Gastos com Pessoal'!$F$7:$F$506)*(IF('Gastos com Pessoal'!$G$7:$G$506&lt;=BD$3,1,0))*OFFSET('Gastos com Pessoal'!$H$6,1,MATCH(1&amp;$B54,'Gastos com Pessoal'!$I$532:$AJ$532&amp;'Gastos com Pessoal'!$I$6:$AJ$6,0),500,1)),0)+_xlfn.IFNA(SUM((BD$3&gt;='Gastos com Pessoal'!$E$7:$E$506)*(BD$3&lt;='Gastos com Pessoal'!$F$7:$F$506)*(IF('Gastos com Pessoal'!$M$7:$M$506&lt;=BD$3,1,0))*OFFSET('Gastos com Pessoal'!$H$6,1,MATCH(2&amp;$B54,'Gastos com Pessoal'!$I$532:$AJ$532&amp;'Gastos com Pessoal'!$I$6:$AJ$6,0),500,1)),0)+_xlfn.IFNA(SUM((BD$3&gt;='Gastos com Pessoal'!$E$7:$E$506)*(BD$3&lt;='Gastos com Pessoal'!$F$7:$F$506)*(IF('Gastos com Pessoal'!$S$7:$S$506&lt;=BD$3,1,0))*OFFSET('Gastos com Pessoal'!$H$6,1,MATCH(3&amp;$B54,'Gastos com Pessoal'!$I$532:$AJ$532&amp;'Gastos com Pessoal'!$I$6:$AJ$6,0),500,1)),0)+_xlfn.IFNA(SUM((BD$3&gt;='Gastos com Pessoal'!$E$7:$E$506)*(BD$3&lt;='Gastos com Pessoal'!$F$7:$F$506)*(IF('Gastos com Pessoal'!$Y$7:$Y$506&lt;=BD$3,1,0))*OFFSET('Gastos com Pessoal'!$H$6,1,MATCH(4&amp;$B54,'Gastos com Pessoal'!$I$532:$AJ$532&amp;'Gastos com Pessoal'!$I$6:$AJ$6,0),500,1)),0)+_xlfn.IFNA(SUM((BD$3&gt;='Gastos com Pessoal'!$E$7:$E$506)*(BD$3&lt;='Gastos com Pessoal'!$F$7:$F$506)*(IF('Gastos com Pessoal'!$AE$7:$AE$506&lt;=BD$3,1,0))*OFFSET('Gastos com Pessoal'!$H$6,1,MATCH(5&amp;$B54,'Gastos com Pessoal'!$I$532:$AJ$532&amp;'Gastos com Pessoal'!$I$6:$AJ$6,0),500,1)),0)+_xlfn.IFNA(SUM((BD$3&gt;='Gastos com Pessoal'!$E$513:$E$522)*(BD$3&lt;='Gastos com Pessoal'!$F$513:$F$522)*(IF('Gastos com Pessoal'!$G$513:$G$522&lt;=BD$3,1,0))*OFFSET('Gastos com Pessoal'!$H$512,1,MATCH(1&amp;$B54,'Gastos com Pessoal'!$I$532:$AJ$532&amp;'Gastos com Pessoal'!$I$512:$AJ$512,0),10,1)),0)+_xlfn.IFNA(SUM((BD$3&gt;='Gastos com Pessoal'!$E$513:$E$522)*(BD$3&lt;='Gastos com Pessoal'!$F$513:$F$522)*(IF('Gastos com Pessoal'!$M$513:$M$522&lt;=BD$3,1,0))*OFFSET('Gastos com Pessoal'!$H$512,1,MATCH(2&amp;$B54,'Gastos com Pessoal'!$I$532:$AJ$532&amp;'Gastos com Pessoal'!$I$512:$AJ$512,0),10,1)),0)+_xlfn.IFNA(SUM((BD$3&gt;='Gastos com Pessoal'!$E$513:$E$522)*(BD$3&lt;='Gastos com Pessoal'!$F$513:$F$522)*(IF('Gastos com Pessoal'!$S$513:$S$522&lt;=BD$3,1,0))*OFFSET('Gastos com Pessoal'!$H$512,1,MATCH(3&amp;$B54,'Gastos com Pessoal'!$I$532:$AJ$532&amp;'Gastos com Pessoal'!$I$512:$AJ$512,0),10,1)),0)+_xlfn.IFNA(SUM((BD$3&gt;='Gastos com Pessoal'!$E$513:$E$522)*(BD$3&lt;='Gastos com Pessoal'!$F$513:$F$522)*(IF('Gastos com Pessoal'!$Y$513:$Y$522&lt;=BD$3,1,0))*OFFSET('Gastos com Pessoal'!$H$512,1,MATCH(4&amp;$B54,'Gastos com Pessoal'!$I$532:$AJ$532&amp;'Gastos com Pessoal'!$I$512:$AJ$512,0),10,1)),0)+_xlfn.IFNA(SUM((BD$3&gt;='Gastos com Pessoal'!$E$513:$E$522)*(BD$3&lt;='Gastos com Pessoal'!$F$513:$F$522)*(IF('Gastos com Pessoal'!$AE$513:$AE$522&lt;=BD$3,1,0))*OFFSET('Gastos com Pessoal'!$H$512,1,MATCH(5&amp;$B54,'Gastos com Pessoal'!$I$532:$AJ$532&amp;'Gastos com Pessoal'!$I$512:$AJ$512,0),10,1)),0)</f>
        <v>0</v>
      </c>
      <c r="BE54" s="188">
        <f t="array" aca="1" ref="BE54" ca="1">_xlfn.IFNA(SUM((BE$3&gt;='Gastos com Pessoal'!$E$7:$E$506)*(BE$3&lt;='Gastos com Pessoal'!$F$7:$F$506)*OFFSET('Encargos e Benefícios'!$D$5,1,MATCH($B54,'Encargos e Benefícios'!$E$5:$AB$5,0),500,1)),0)+_xlfn.IFNA(SUM((BE$3&gt;='Gastos com Pessoal'!$E$513:$E$522)*(BE$3&lt;='Gastos com Pessoal'!$F$513:$F$522)*OFFSET('Encargos e Benefícios'!$D$511,1,MATCH($B54,'Encargos e Benefícios'!$E$511:$AB$511,0),10,1)),0)+_xlfn.IFNA(SUM((BE$3&gt;='Gastos com Pessoal'!$E$7:$E$506)*(BE$3&lt;='Gastos com Pessoal'!$F$7:$F$506)*(IF('Gastos com Pessoal'!$G$7:$G$506&lt;=BE$3,1,0))*OFFSET('Gastos com Pessoal'!$H$6,1,MATCH(1&amp;$B54,'Gastos com Pessoal'!$I$532:$AJ$532&amp;'Gastos com Pessoal'!$I$6:$AJ$6,0),500,1)),0)+_xlfn.IFNA(SUM((BE$3&gt;='Gastos com Pessoal'!$E$7:$E$506)*(BE$3&lt;='Gastos com Pessoal'!$F$7:$F$506)*(IF('Gastos com Pessoal'!$M$7:$M$506&lt;=BE$3,1,0))*OFFSET('Gastos com Pessoal'!$H$6,1,MATCH(2&amp;$B54,'Gastos com Pessoal'!$I$532:$AJ$532&amp;'Gastos com Pessoal'!$I$6:$AJ$6,0),500,1)),0)+_xlfn.IFNA(SUM((BE$3&gt;='Gastos com Pessoal'!$E$7:$E$506)*(BE$3&lt;='Gastos com Pessoal'!$F$7:$F$506)*(IF('Gastos com Pessoal'!$S$7:$S$506&lt;=BE$3,1,0))*OFFSET('Gastos com Pessoal'!$H$6,1,MATCH(3&amp;$B54,'Gastos com Pessoal'!$I$532:$AJ$532&amp;'Gastos com Pessoal'!$I$6:$AJ$6,0),500,1)),0)+_xlfn.IFNA(SUM((BE$3&gt;='Gastos com Pessoal'!$E$7:$E$506)*(BE$3&lt;='Gastos com Pessoal'!$F$7:$F$506)*(IF('Gastos com Pessoal'!$Y$7:$Y$506&lt;=BE$3,1,0))*OFFSET('Gastos com Pessoal'!$H$6,1,MATCH(4&amp;$B54,'Gastos com Pessoal'!$I$532:$AJ$532&amp;'Gastos com Pessoal'!$I$6:$AJ$6,0),500,1)),0)+_xlfn.IFNA(SUM((BE$3&gt;='Gastos com Pessoal'!$E$7:$E$506)*(BE$3&lt;='Gastos com Pessoal'!$F$7:$F$506)*(IF('Gastos com Pessoal'!$AE$7:$AE$506&lt;=BE$3,1,0))*OFFSET('Gastos com Pessoal'!$H$6,1,MATCH(5&amp;$B54,'Gastos com Pessoal'!$I$532:$AJ$532&amp;'Gastos com Pessoal'!$I$6:$AJ$6,0),500,1)),0)+_xlfn.IFNA(SUM((BE$3&gt;='Gastos com Pessoal'!$E$513:$E$522)*(BE$3&lt;='Gastos com Pessoal'!$F$513:$F$522)*(IF('Gastos com Pessoal'!$G$513:$G$522&lt;=BE$3,1,0))*OFFSET('Gastos com Pessoal'!$H$512,1,MATCH(1&amp;$B54,'Gastos com Pessoal'!$I$532:$AJ$532&amp;'Gastos com Pessoal'!$I$512:$AJ$512,0),10,1)),0)+_xlfn.IFNA(SUM((BE$3&gt;='Gastos com Pessoal'!$E$513:$E$522)*(BE$3&lt;='Gastos com Pessoal'!$F$513:$F$522)*(IF('Gastos com Pessoal'!$M$513:$M$522&lt;=BE$3,1,0))*OFFSET('Gastos com Pessoal'!$H$512,1,MATCH(2&amp;$B54,'Gastos com Pessoal'!$I$532:$AJ$532&amp;'Gastos com Pessoal'!$I$512:$AJ$512,0),10,1)),0)+_xlfn.IFNA(SUM((BE$3&gt;='Gastos com Pessoal'!$E$513:$E$522)*(BE$3&lt;='Gastos com Pessoal'!$F$513:$F$522)*(IF('Gastos com Pessoal'!$S$513:$S$522&lt;=BE$3,1,0))*OFFSET('Gastos com Pessoal'!$H$512,1,MATCH(3&amp;$B54,'Gastos com Pessoal'!$I$532:$AJ$532&amp;'Gastos com Pessoal'!$I$512:$AJ$512,0),10,1)),0)+_xlfn.IFNA(SUM((BE$3&gt;='Gastos com Pessoal'!$E$513:$E$522)*(BE$3&lt;='Gastos com Pessoal'!$F$513:$F$522)*(IF('Gastos com Pessoal'!$Y$513:$Y$522&lt;=BE$3,1,0))*OFFSET('Gastos com Pessoal'!$H$512,1,MATCH(4&amp;$B54,'Gastos com Pessoal'!$I$532:$AJ$532&amp;'Gastos com Pessoal'!$I$512:$AJ$512,0),10,1)),0)+_xlfn.IFNA(SUM((BE$3&gt;='Gastos com Pessoal'!$E$513:$E$522)*(BE$3&lt;='Gastos com Pessoal'!$F$513:$F$522)*(IF('Gastos com Pessoal'!$AE$513:$AE$522&lt;=BE$3,1,0))*OFFSET('Gastos com Pessoal'!$H$512,1,MATCH(5&amp;$B54,'Gastos com Pessoal'!$I$532:$AJ$532&amp;'Gastos com Pessoal'!$I$512:$AJ$512,0),10,1)),0)</f>
        <v>0</v>
      </c>
      <c r="BF54" s="188">
        <f t="array" aca="1" ref="BF54" ca="1">_xlfn.IFNA(SUM((BF$3&gt;='Gastos com Pessoal'!$E$7:$E$506)*(BF$3&lt;='Gastos com Pessoal'!$F$7:$F$506)*OFFSET('Encargos e Benefícios'!$D$5,1,MATCH($B54,'Encargos e Benefícios'!$E$5:$AB$5,0),500,1)),0)+_xlfn.IFNA(SUM((BF$3&gt;='Gastos com Pessoal'!$E$513:$E$522)*(BF$3&lt;='Gastos com Pessoal'!$F$513:$F$522)*OFFSET('Encargos e Benefícios'!$D$511,1,MATCH($B54,'Encargos e Benefícios'!$E$511:$AB$511,0),10,1)),0)+_xlfn.IFNA(SUM((BF$3&gt;='Gastos com Pessoal'!$E$7:$E$506)*(BF$3&lt;='Gastos com Pessoal'!$F$7:$F$506)*(IF('Gastos com Pessoal'!$G$7:$G$506&lt;=BF$3,1,0))*OFFSET('Gastos com Pessoal'!$H$6,1,MATCH(1&amp;$B54,'Gastos com Pessoal'!$I$532:$AJ$532&amp;'Gastos com Pessoal'!$I$6:$AJ$6,0),500,1)),0)+_xlfn.IFNA(SUM((BF$3&gt;='Gastos com Pessoal'!$E$7:$E$506)*(BF$3&lt;='Gastos com Pessoal'!$F$7:$F$506)*(IF('Gastos com Pessoal'!$M$7:$M$506&lt;=BF$3,1,0))*OFFSET('Gastos com Pessoal'!$H$6,1,MATCH(2&amp;$B54,'Gastos com Pessoal'!$I$532:$AJ$532&amp;'Gastos com Pessoal'!$I$6:$AJ$6,0),500,1)),0)+_xlfn.IFNA(SUM((BF$3&gt;='Gastos com Pessoal'!$E$7:$E$506)*(BF$3&lt;='Gastos com Pessoal'!$F$7:$F$506)*(IF('Gastos com Pessoal'!$S$7:$S$506&lt;=BF$3,1,0))*OFFSET('Gastos com Pessoal'!$H$6,1,MATCH(3&amp;$B54,'Gastos com Pessoal'!$I$532:$AJ$532&amp;'Gastos com Pessoal'!$I$6:$AJ$6,0),500,1)),0)+_xlfn.IFNA(SUM((BF$3&gt;='Gastos com Pessoal'!$E$7:$E$506)*(BF$3&lt;='Gastos com Pessoal'!$F$7:$F$506)*(IF('Gastos com Pessoal'!$Y$7:$Y$506&lt;=BF$3,1,0))*OFFSET('Gastos com Pessoal'!$H$6,1,MATCH(4&amp;$B54,'Gastos com Pessoal'!$I$532:$AJ$532&amp;'Gastos com Pessoal'!$I$6:$AJ$6,0),500,1)),0)+_xlfn.IFNA(SUM((BF$3&gt;='Gastos com Pessoal'!$E$7:$E$506)*(BF$3&lt;='Gastos com Pessoal'!$F$7:$F$506)*(IF('Gastos com Pessoal'!$AE$7:$AE$506&lt;=BF$3,1,0))*OFFSET('Gastos com Pessoal'!$H$6,1,MATCH(5&amp;$B54,'Gastos com Pessoal'!$I$532:$AJ$532&amp;'Gastos com Pessoal'!$I$6:$AJ$6,0),500,1)),0)+_xlfn.IFNA(SUM((BF$3&gt;='Gastos com Pessoal'!$E$513:$E$522)*(BF$3&lt;='Gastos com Pessoal'!$F$513:$F$522)*(IF('Gastos com Pessoal'!$G$513:$G$522&lt;=BF$3,1,0))*OFFSET('Gastos com Pessoal'!$H$512,1,MATCH(1&amp;$B54,'Gastos com Pessoal'!$I$532:$AJ$532&amp;'Gastos com Pessoal'!$I$512:$AJ$512,0),10,1)),0)+_xlfn.IFNA(SUM((BF$3&gt;='Gastos com Pessoal'!$E$513:$E$522)*(BF$3&lt;='Gastos com Pessoal'!$F$513:$F$522)*(IF('Gastos com Pessoal'!$M$513:$M$522&lt;=BF$3,1,0))*OFFSET('Gastos com Pessoal'!$H$512,1,MATCH(2&amp;$B54,'Gastos com Pessoal'!$I$532:$AJ$532&amp;'Gastos com Pessoal'!$I$512:$AJ$512,0),10,1)),0)+_xlfn.IFNA(SUM((BF$3&gt;='Gastos com Pessoal'!$E$513:$E$522)*(BF$3&lt;='Gastos com Pessoal'!$F$513:$F$522)*(IF('Gastos com Pessoal'!$S$513:$S$522&lt;=BF$3,1,0))*OFFSET('Gastos com Pessoal'!$H$512,1,MATCH(3&amp;$B54,'Gastos com Pessoal'!$I$532:$AJ$532&amp;'Gastos com Pessoal'!$I$512:$AJ$512,0),10,1)),0)+_xlfn.IFNA(SUM((BF$3&gt;='Gastos com Pessoal'!$E$513:$E$522)*(BF$3&lt;='Gastos com Pessoal'!$F$513:$F$522)*(IF('Gastos com Pessoal'!$Y$513:$Y$522&lt;=BF$3,1,0))*OFFSET('Gastos com Pessoal'!$H$512,1,MATCH(4&amp;$B54,'Gastos com Pessoal'!$I$532:$AJ$532&amp;'Gastos com Pessoal'!$I$512:$AJ$512,0),10,1)),0)+_xlfn.IFNA(SUM((BF$3&gt;='Gastos com Pessoal'!$E$513:$E$522)*(BF$3&lt;='Gastos com Pessoal'!$F$513:$F$522)*(IF('Gastos com Pessoal'!$AE$513:$AE$522&lt;=BF$3,1,0))*OFFSET('Gastos com Pessoal'!$H$512,1,MATCH(5&amp;$B54,'Gastos com Pessoal'!$I$532:$AJ$532&amp;'Gastos com Pessoal'!$I$512:$AJ$512,0),10,1)),0)</f>
        <v>0</v>
      </c>
      <c r="BG54" s="188">
        <f t="array" aca="1" ref="BG54" ca="1">_xlfn.IFNA(SUM((BG$3&gt;='Gastos com Pessoal'!$E$7:$E$506)*(BG$3&lt;='Gastos com Pessoal'!$F$7:$F$506)*OFFSET('Encargos e Benefícios'!$D$5,1,MATCH($B54,'Encargos e Benefícios'!$E$5:$AB$5,0),500,1)),0)+_xlfn.IFNA(SUM((BG$3&gt;='Gastos com Pessoal'!$E$513:$E$522)*(BG$3&lt;='Gastos com Pessoal'!$F$513:$F$522)*OFFSET('Encargos e Benefícios'!$D$511,1,MATCH($B54,'Encargos e Benefícios'!$E$511:$AB$511,0),10,1)),0)+_xlfn.IFNA(SUM((BG$3&gt;='Gastos com Pessoal'!$E$7:$E$506)*(BG$3&lt;='Gastos com Pessoal'!$F$7:$F$506)*(IF('Gastos com Pessoal'!$G$7:$G$506&lt;=BG$3,1,0))*OFFSET('Gastos com Pessoal'!$H$6,1,MATCH(1&amp;$B54,'Gastos com Pessoal'!$I$532:$AJ$532&amp;'Gastos com Pessoal'!$I$6:$AJ$6,0),500,1)),0)+_xlfn.IFNA(SUM((BG$3&gt;='Gastos com Pessoal'!$E$7:$E$506)*(BG$3&lt;='Gastos com Pessoal'!$F$7:$F$506)*(IF('Gastos com Pessoal'!$M$7:$M$506&lt;=BG$3,1,0))*OFFSET('Gastos com Pessoal'!$H$6,1,MATCH(2&amp;$B54,'Gastos com Pessoal'!$I$532:$AJ$532&amp;'Gastos com Pessoal'!$I$6:$AJ$6,0),500,1)),0)+_xlfn.IFNA(SUM((BG$3&gt;='Gastos com Pessoal'!$E$7:$E$506)*(BG$3&lt;='Gastos com Pessoal'!$F$7:$F$506)*(IF('Gastos com Pessoal'!$S$7:$S$506&lt;=BG$3,1,0))*OFFSET('Gastos com Pessoal'!$H$6,1,MATCH(3&amp;$B54,'Gastos com Pessoal'!$I$532:$AJ$532&amp;'Gastos com Pessoal'!$I$6:$AJ$6,0),500,1)),0)+_xlfn.IFNA(SUM((BG$3&gt;='Gastos com Pessoal'!$E$7:$E$506)*(BG$3&lt;='Gastos com Pessoal'!$F$7:$F$506)*(IF('Gastos com Pessoal'!$Y$7:$Y$506&lt;=BG$3,1,0))*OFFSET('Gastos com Pessoal'!$H$6,1,MATCH(4&amp;$B54,'Gastos com Pessoal'!$I$532:$AJ$532&amp;'Gastos com Pessoal'!$I$6:$AJ$6,0),500,1)),0)+_xlfn.IFNA(SUM((BG$3&gt;='Gastos com Pessoal'!$E$7:$E$506)*(BG$3&lt;='Gastos com Pessoal'!$F$7:$F$506)*(IF('Gastos com Pessoal'!$AE$7:$AE$506&lt;=BG$3,1,0))*OFFSET('Gastos com Pessoal'!$H$6,1,MATCH(5&amp;$B54,'Gastos com Pessoal'!$I$532:$AJ$532&amp;'Gastos com Pessoal'!$I$6:$AJ$6,0),500,1)),0)+_xlfn.IFNA(SUM((BG$3&gt;='Gastos com Pessoal'!$E$513:$E$522)*(BG$3&lt;='Gastos com Pessoal'!$F$513:$F$522)*(IF('Gastos com Pessoal'!$G$513:$G$522&lt;=BG$3,1,0))*OFFSET('Gastos com Pessoal'!$H$512,1,MATCH(1&amp;$B54,'Gastos com Pessoal'!$I$532:$AJ$532&amp;'Gastos com Pessoal'!$I$512:$AJ$512,0),10,1)),0)+_xlfn.IFNA(SUM((BG$3&gt;='Gastos com Pessoal'!$E$513:$E$522)*(BG$3&lt;='Gastos com Pessoal'!$F$513:$F$522)*(IF('Gastos com Pessoal'!$M$513:$M$522&lt;=BG$3,1,0))*OFFSET('Gastos com Pessoal'!$H$512,1,MATCH(2&amp;$B54,'Gastos com Pessoal'!$I$532:$AJ$532&amp;'Gastos com Pessoal'!$I$512:$AJ$512,0),10,1)),0)+_xlfn.IFNA(SUM((BG$3&gt;='Gastos com Pessoal'!$E$513:$E$522)*(BG$3&lt;='Gastos com Pessoal'!$F$513:$F$522)*(IF('Gastos com Pessoal'!$S$513:$S$522&lt;=BG$3,1,0))*OFFSET('Gastos com Pessoal'!$H$512,1,MATCH(3&amp;$B54,'Gastos com Pessoal'!$I$532:$AJ$532&amp;'Gastos com Pessoal'!$I$512:$AJ$512,0),10,1)),0)+_xlfn.IFNA(SUM((BG$3&gt;='Gastos com Pessoal'!$E$513:$E$522)*(BG$3&lt;='Gastos com Pessoal'!$F$513:$F$522)*(IF('Gastos com Pessoal'!$Y$513:$Y$522&lt;=BG$3,1,0))*OFFSET('Gastos com Pessoal'!$H$512,1,MATCH(4&amp;$B54,'Gastos com Pessoal'!$I$532:$AJ$532&amp;'Gastos com Pessoal'!$I$512:$AJ$512,0),10,1)),0)+_xlfn.IFNA(SUM((BG$3&gt;='Gastos com Pessoal'!$E$513:$E$522)*(BG$3&lt;='Gastos com Pessoal'!$F$513:$F$522)*(IF('Gastos com Pessoal'!$AE$513:$AE$522&lt;=BG$3,1,0))*OFFSET('Gastos com Pessoal'!$H$512,1,MATCH(5&amp;$B54,'Gastos com Pessoal'!$I$532:$AJ$532&amp;'Gastos com Pessoal'!$I$512:$AJ$512,0),10,1)),0)</f>
        <v>0</v>
      </c>
      <c r="BH54" s="188">
        <f t="array" aca="1" ref="BH54" ca="1">_xlfn.IFNA(SUM((BH$3&gt;='Gastos com Pessoal'!$E$7:$E$506)*(BH$3&lt;='Gastos com Pessoal'!$F$7:$F$506)*OFFSET('Encargos e Benefícios'!$D$5,1,MATCH($B54,'Encargos e Benefícios'!$E$5:$AB$5,0),500,1)),0)+_xlfn.IFNA(SUM((BH$3&gt;='Gastos com Pessoal'!$E$513:$E$522)*(BH$3&lt;='Gastos com Pessoal'!$F$513:$F$522)*OFFSET('Encargos e Benefícios'!$D$511,1,MATCH($B54,'Encargos e Benefícios'!$E$511:$AB$511,0),10,1)),0)+_xlfn.IFNA(SUM((BH$3&gt;='Gastos com Pessoal'!$E$7:$E$506)*(BH$3&lt;='Gastos com Pessoal'!$F$7:$F$506)*(IF('Gastos com Pessoal'!$G$7:$G$506&lt;=BH$3,1,0))*OFFSET('Gastos com Pessoal'!$H$6,1,MATCH(1&amp;$B54,'Gastos com Pessoal'!$I$532:$AJ$532&amp;'Gastos com Pessoal'!$I$6:$AJ$6,0),500,1)),0)+_xlfn.IFNA(SUM((BH$3&gt;='Gastos com Pessoal'!$E$7:$E$506)*(BH$3&lt;='Gastos com Pessoal'!$F$7:$F$506)*(IF('Gastos com Pessoal'!$M$7:$M$506&lt;=BH$3,1,0))*OFFSET('Gastos com Pessoal'!$H$6,1,MATCH(2&amp;$B54,'Gastos com Pessoal'!$I$532:$AJ$532&amp;'Gastos com Pessoal'!$I$6:$AJ$6,0),500,1)),0)+_xlfn.IFNA(SUM((BH$3&gt;='Gastos com Pessoal'!$E$7:$E$506)*(BH$3&lt;='Gastos com Pessoal'!$F$7:$F$506)*(IF('Gastos com Pessoal'!$S$7:$S$506&lt;=BH$3,1,0))*OFFSET('Gastos com Pessoal'!$H$6,1,MATCH(3&amp;$B54,'Gastos com Pessoal'!$I$532:$AJ$532&amp;'Gastos com Pessoal'!$I$6:$AJ$6,0),500,1)),0)+_xlfn.IFNA(SUM((BH$3&gt;='Gastos com Pessoal'!$E$7:$E$506)*(BH$3&lt;='Gastos com Pessoal'!$F$7:$F$506)*(IF('Gastos com Pessoal'!$Y$7:$Y$506&lt;=BH$3,1,0))*OFFSET('Gastos com Pessoal'!$H$6,1,MATCH(4&amp;$B54,'Gastos com Pessoal'!$I$532:$AJ$532&amp;'Gastos com Pessoal'!$I$6:$AJ$6,0),500,1)),0)+_xlfn.IFNA(SUM((BH$3&gt;='Gastos com Pessoal'!$E$7:$E$506)*(BH$3&lt;='Gastos com Pessoal'!$F$7:$F$506)*(IF('Gastos com Pessoal'!$AE$7:$AE$506&lt;=BH$3,1,0))*OFFSET('Gastos com Pessoal'!$H$6,1,MATCH(5&amp;$B54,'Gastos com Pessoal'!$I$532:$AJ$532&amp;'Gastos com Pessoal'!$I$6:$AJ$6,0),500,1)),0)+_xlfn.IFNA(SUM((BH$3&gt;='Gastos com Pessoal'!$E$513:$E$522)*(BH$3&lt;='Gastos com Pessoal'!$F$513:$F$522)*(IF('Gastos com Pessoal'!$G$513:$G$522&lt;=BH$3,1,0))*OFFSET('Gastos com Pessoal'!$H$512,1,MATCH(1&amp;$B54,'Gastos com Pessoal'!$I$532:$AJ$532&amp;'Gastos com Pessoal'!$I$512:$AJ$512,0),10,1)),0)+_xlfn.IFNA(SUM((BH$3&gt;='Gastos com Pessoal'!$E$513:$E$522)*(BH$3&lt;='Gastos com Pessoal'!$F$513:$F$522)*(IF('Gastos com Pessoal'!$M$513:$M$522&lt;=BH$3,1,0))*OFFSET('Gastos com Pessoal'!$H$512,1,MATCH(2&amp;$B54,'Gastos com Pessoal'!$I$532:$AJ$532&amp;'Gastos com Pessoal'!$I$512:$AJ$512,0),10,1)),0)+_xlfn.IFNA(SUM((BH$3&gt;='Gastos com Pessoal'!$E$513:$E$522)*(BH$3&lt;='Gastos com Pessoal'!$F$513:$F$522)*(IF('Gastos com Pessoal'!$S$513:$S$522&lt;=BH$3,1,0))*OFFSET('Gastos com Pessoal'!$H$512,1,MATCH(3&amp;$B54,'Gastos com Pessoal'!$I$532:$AJ$532&amp;'Gastos com Pessoal'!$I$512:$AJ$512,0),10,1)),0)+_xlfn.IFNA(SUM((BH$3&gt;='Gastos com Pessoal'!$E$513:$E$522)*(BH$3&lt;='Gastos com Pessoal'!$F$513:$F$522)*(IF('Gastos com Pessoal'!$Y$513:$Y$522&lt;=BH$3,1,0))*OFFSET('Gastos com Pessoal'!$H$512,1,MATCH(4&amp;$B54,'Gastos com Pessoal'!$I$532:$AJ$532&amp;'Gastos com Pessoal'!$I$512:$AJ$512,0),10,1)),0)+_xlfn.IFNA(SUM((BH$3&gt;='Gastos com Pessoal'!$E$513:$E$522)*(BH$3&lt;='Gastos com Pessoal'!$F$513:$F$522)*(IF('Gastos com Pessoal'!$AE$513:$AE$522&lt;=BH$3,1,0))*OFFSET('Gastos com Pessoal'!$H$512,1,MATCH(5&amp;$B54,'Gastos com Pessoal'!$I$532:$AJ$532&amp;'Gastos com Pessoal'!$I$512:$AJ$512,0),10,1)),0)</f>
        <v>0</v>
      </c>
      <c r="BI54" s="188">
        <f t="array" aca="1" ref="BI54" ca="1">_xlfn.IFNA(SUM((BI$3&gt;='Gastos com Pessoal'!$E$7:$E$506)*(BI$3&lt;='Gastos com Pessoal'!$F$7:$F$506)*OFFSET('Encargos e Benefícios'!$D$5,1,MATCH($B54,'Encargos e Benefícios'!$E$5:$AB$5,0),500,1)),0)+_xlfn.IFNA(SUM((BI$3&gt;='Gastos com Pessoal'!$E$513:$E$522)*(BI$3&lt;='Gastos com Pessoal'!$F$513:$F$522)*OFFSET('Encargos e Benefícios'!$D$511,1,MATCH($B54,'Encargos e Benefícios'!$E$511:$AB$511,0),10,1)),0)+_xlfn.IFNA(SUM((BI$3&gt;='Gastos com Pessoal'!$E$7:$E$506)*(BI$3&lt;='Gastos com Pessoal'!$F$7:$F$506)*(IF('Gastos com Pessoal'!$G$7:$G$506&lt;=BI$3,1,0))*OFFSET('Gastos com Pessoal'!$H$6,1,MATCH(1&amp;$B54,'Gastos com Pessoal'!$I$532:$AJ$532&amp;'Gastos com Pessoal'!$I$6:$AJ$6,0),500,1)),0)+_xlfn.IFNA(SUM((BI$3&gt;='Gastos com Pessoal'!$E$7:$E$506)*(BI$3&lt;='Gastos com Pessoal'!$F$7:$F$506)*(IF('Gastos com Pessoal'!$M$7:$M$506&lt;=BI$3,1,0))*OFFSET('Gastos com Pessoal'!$H$6,1,MATCH(2&amp;$B54,'Gastos com Pessoal'!$I$532:$AJ$532&amp;'Gastos com Pessoal'!$I$6:$AJ$6,0),500,1)),0)+_xlfn.IFNA(SUM((BI$3&gt;='Gastos com Pessoal'!$E$7:$E$506)*(BI$3&lt;='Gastos com Pessoal'!$F$7:$F$506)*(IF('Gastos com Pessoal'!$S$7:$S$506&lt;=BI$3,1,0))*OFFSET('Gastos com Pessoal'!$H$6,1,MATCH(3&amp;$B54,'Gastos com Pessoal'!$I$532:$AJ$532&amp;'Gastos com Pessoal'!$I$6:$AJ$6,0),500,1)),0)+_xlfn.IFNA(SUM((BI$3&gt;='Gastos com Pessoal'!$E$7:$E$506)*(BI$3&lt;='Gastos com Pessoal'!$F$7:$F$506)*(IF('Gastos com Pessoal'!$Y$7:$Y$506&lt;=BI$3,1,0))*OFFSET('Gastos com Pessoal'!$H$6,1,MATCH(4&amp;$B54,'Gastos com Pessoal'!$I$532:$AJ$532&amp;'Gastos com Pessoal'!$I$6:$AJ$6,0),500,1)),0)+_xlfn.IFNA(SUM((BI$3&gt;='Gastos com Pessoal'!$E$7:$E$506)*(BI$3&lt;='Gastos com Pessoal'!$F$7:$F$506)*(IF('Gastos com Pessoal'!$AE$7:$AE$506&lt;=BI$3,1,0))*OFFSET('Gastos com Pessoal'!$H$6,1,MATCH(5&amp;$B54,'Gastos com Pessoal'!$I$532:$AJ$532&amp;'Gastos com Pessoal'!$I$6:$AJ$6,0),500,1)),0)+_xlfn.IFNA(SUM((BI$3&gt;='Gastos com Pessoal'!$E$513:$E$522)*(BI$3&lt;='Gastos com Pessoal'!$F$513:$F$522)*(IF('Gastos com Pessoal'!$G$513:$G$522&lt;=BI$3,1,0))*OFFSET('Gastos com Pessoal'!$H$512,1,MATCH(1&amp;$B54,'Gastos com Pessoal'!$I$532:$AJ$532&amp;'Gastos com Pessoal'!$I$512:$AJ$512,0),10,1)),0)+_xlfn.IFNA(SUM((BI$3&gt;='Gastos com Pessoal'!$E$513:$E$522)*(BI$3&lt;='Gastos com Pessoal'!$F$513:$F$522)*(IF('Gastos com Pessoal'!$M$513:$M$522&lt;=BI$3,1,0))*OFFSET('Gastos com Pessoal'!$H$512,1,MATCH(2&amp;$B54,'Gastos com Pessoal'!$I$532:$AJ$532&amp;'Gastos com Pessoal'!$I$512:$AJ$512,0),10,1)),0)+_xlfn.IFNA(SUM((BI$3&gt;='Gastos com Pessoal'!$E$513:$E$522)*(BI$3&lt;='Gastos com Pessoal'!$F$513:$F$522)*(IF('Gastos com Pessoal'!$S$513:$S$522&lt;=BI$3,1,0))*OFFSET('Gastos com Pessoal'!$H$512,1,MATCH(3&amp;$B54,'Gastos com Pessoal'!$I$532:$AJ$532&amp;'Gastos com Pessoal'!$I$512:$AJ$512,0),10,1)),0)+_xlfn.IFNA(SUM((BI$3&gt;='Gastos com Pessoal'!$E$513:$E$522)*(BI$3&lt;='Gastos com Pessoal'!$F$513:$F$522)*(IF('Gastos com Pessoal'!$Y$513:$Y$522&lt;=BI$3,1,0))*OFFSET('Gastos com Pessoal'!$H$512,1,MATCH(4&amp;$B54,'Gastos com Pessoal'!$I$532:$AJ$532&amp;'Gastos com Pessoal'!$I$512:$AJ$512,0),10,1)),0)+_xlfn.IFNA(SUM((BI$3&gt;='Gastos com Pessoal'!$E$513:$E$522)*(BI$3&lt;='Gastos com Pessoal'!$F$513:$F$522)*(IF('Gastos com Pessoal'!$AE$513:$AE$522&lt;=BI$3,1,0))*OFFSET('Gastos com Pessoal'!$H$512,1,MATCH(5&amp;$B54,'Gastos com Pessoal'!$I$532:$AJ$532&amp;'Gastos com Pessoal'!$I$512:$AJ$512,0),10,1)),0)</f>
        <v>0</v>
      </c>
      <c r="BJ54" s="188">
        <f t="array" aca="1" ref="BJ54" ca="1">_xlfn.IFNA(SUM((BJ$3&gt;='Gastos com Pessoal'!$E$7:$E$506)*(BJ$3&lt;='Gastos com Pessoal'!$F$7:$F$506)*OFFSET('Encargos e Benefícios'!$D$5,1,MATCH($B54,'Encargos e Benefícios'!$E$5:$AB$5,0),500,1)),0)+_xlfn.IFNA(SUM((BJ$3&gt;='Gastos com Pessoal'!$E$513:$E$522)*(BJ$3&lt;='Gastos com Pessoal'!$F$513:$F$522)*OFFSET('Encargos e Benefícios'!$D$511,1,MATCH($B54,'Encargos e Benefícios'!$E$511:$AB$511,0),10,1)),0)+_xlfn.IFNA(SUM((BJ$3&gt;='Gastos com Pessoal'!$E$7:$E$506)*(BJ$3&lt;='Gastos com Pessoal'!$F$7:$F$506)*(IF('Gastos com Pessoal'!$G$7:$G$506&lt;=BJ$3,1,0))*OFFSET('Gastos com Pessoal'!$H$6,1,MATCH(1&amp;$B54,'Gastos com Pessoal'!$I$532:$AJ$532&amp;'Gastos com Pessoal'!$I$6:$AJ$6,0),500,1)),0)+_xlfn.IFNA(SUM((BJ$3&gt;='Gastos com Pessoal'!$E$7:$E$506)*(BJ$3&lt;='Gastos com Pessoal'!$F$7:$F$506)*(IF('Gastos com Pessoal'!$M$7:$M$506&lt;=BJ$3,1,0))*OFFSET('Gastos com Pessoal'!$H$6,1,MATCH(2&amp;$B54,'Gastos com Pessoal'!$I$532:$AJ$532&amp;'Gastos com Pessoal'!$I$6:$AJ$6,0),500,1)),0)+_xlfn.IFNA(SUM((BJ$3&gt;='Gastos com Pessoal'!$E$7:$E$506)*(BJ$3&lt;='Gastos com Pessoal'!$F$7:$F$506)*(IF('Gastos com Pessoal'!$S$7:$S$506&lt;=BJ$3,1,0))*OFFSET('Gastos com Pessoal'!$H$6,1,MATCH(3&amp;$B54,'Gastos com Pessoal'!$I$532:$AJ$532&amp;'Gastos com Pessoal'!$I$6:$AJ$6,0),500,1)),0)+_xlfn.IFNA(SUM((BJ$3&gt;='Gastos com Pessoal'!$E$7:$E$506)*(BJ$3&lt;='Gastos com Pessoal'!$F$7:$F$506)*(IF('Gastos com Pessoal'!$Y$7:$Y$506&lt;=BJ$3,1,0))*OFFSET('Gastos com Pessoal'!$H$6,1,MATCH(4&amp;$B54,'Gastos com Pessoal'!$I$532:$AJ$532&amp;'Gastos com Pessoal'!$I$6:$AJ$6,0),500,1)),0)+_xlfn.IFNA(SUM((BJ$3&gt;='Gastos com Pessoal'!$E$7:$E$506)*(BJ$3&lt;='Gastos com Pessoal'!$F$7:$F$506)*(IF('Gastos com Pessoal'!$AE$7:$AE$506&lt;=BJ$3,1,0))*OFFSET('Gastos com Pessoal'!$H$6,1,MATCH(5&amp;$B54,'Gastos com Pessoal'!$I$532:$AJ$532&amp;'Gastos com Pessoal'!$I$6:$AJ$6,0),500,1)),0)+_xlfn.IFNA(SUM((BJ$3&gt;='Gastos com Pessoal'!$E$513:$E$522)*(BJ$3&lt;='Gastos com Pessoal'!$F$513:$F$522)*(IF('Gastos com Pessoal'!$G$513:$G$522&lt;=BJ$3,1,0))*OFFSET('Gastos com Pessoal'!$H$512,1,MATCH(1&amp;$B54,'Gastos com Pessoal'!$I$532:$AJ$532&amp;'Gastos com Pessoal'!$I$512:$AJ$512,0),10,1)),0)+_xlfn.IFNA(SUM((BJ$3&gt;='Gastos com Pessoal'!$E$513:$E$522)*(BJ$3&lt;='Gastos com Pessoal'!$F$513:$F$522)*(IF('Gastos com Pessoal'!$M$513:$M$522&lt;=BJ$3,1,0))*OFFSET('Gastos com Pessoal'!$H$512,1,MATCH(2&amp;$B54,'Gastos com Pessoal'!$I$532:$AJ$532&amp;'Gastos com Pessoal'!$I$512:$AJ$512,0),10,1)),0)+_xlfn.IFNA(SUM((BJ$3&gt;='Gastos com Pessoal'!$E$513:$E$522)*(BJ$3&lt;='Gastos com Pessoal'!$F$513:$F$522)*(IF('Gastos com Pessoal'!$S$513:$S$522&lt;=BJ$3,1,0))*OFFSET('Gastos com Pessoal'!$H$512,1,MATCH(3&amp;$B54,'Gastos com Pessoal'!$I$532:$AJ$532&amp;'Gastos com Pessoal'!$I$512:$AJ$512,0),10,1)),0)+_xlfn.IFNA(SUM((BJ$3&gt;='Gastos com Pessoal'!$E$513:$E$522)*(BJ$3&lt;='Gastos com Pessoal'!$F$513:$F$522)*(IF('Gastos com Pessoal'!$Y$513:$Y$522&lt;=BJ$3,1,0))*OFFSET('Gastos com Pessoal'!$H$512,1,MATCH(4&amp;$B54,'Gastos com Pessoal'!$I$532:$AJ$532&amp;'Gastos com Pessoal'!$I$512:$AJ$512,0),10,1)),0)+_xlfn.IFNA(SUM((BJ$3&gt;='Gastos com Pessoal'!$E$513:$E$522)*(BJ$3&lt;='Gastos com Pessoal'!$F$513:$F$522)*(IF('Gastos com Pessoal'!$AE$513:$AE$522&lt;=BJ$3,1,0))*OFFSET('Gastos com Pessoal'!$H$512,1,MATCH(5&amp;$B54,'Gastos com Pessoal'!$I$532:$AJ$532&amp;'Gastos com Pessoal'!$I$512:$AJ$512,0),10,1)),0)</f>
        <v>0</v>
      </c>
      <c r="BK54" s="189">
        <f t="shared" ca="1" si="18"/>
        <v>792661.70000000147</v>
      </c>
      <c r="BL54" s="136">
        <f t="shared" ca="1" si="19"/>
        <v>2.7291327344446149E-3</v>
      </c>
    </row>
    <row r="55" spans="1:64" s="160" customFormat="1" ht="23.25" customHeight="1">
      <c r="A55" s="80" t="s">
        <v>192</v>
      </c>
      <c r="B55" s="81" t="s">
        <v>193</v>
      </c>
      <c r="C55" s="188">
        <f t="array" aca="1" ref="C55" ca="1">_xlfn.IFNA(SUM((C$3&gt;='Gastos com Pessoal'!$E$7:$E$506)*(C$3&lt;='Gastos com Pessoal'!$F$7:$F$506)*OFFSET('Encargos e Benefícios'!$D$5,1,MATCH($B55,'Encargos e Benefícios'!$E$5:$AB$5,0),500,1)),0)+_xlfn.IFNA(SUM((C$3&gt;='Gastos com Pessoal'!$E$513:$E$522)*(C$3&lt;='Gastos com Pessoal'!$F$513:$F$522)*OFFSET('Encargos e Benefícios'!$D$511,1,MATCH($B55,'Encargos e Benefícios'!$E$511:$AB$511,0),10,1)),0)+_xlfn.IFNA(SUM((C$3&gt;='Gastos com Pessoal'!$E$7:$E$506)*(C$3&lt;='Gastos com Pessoal'!$F$7:$F$506)*(IF('Gastos com Pessoal'!$G$7:$G$506&lt;=C$3,1,0))*OFFSET('Gastos com Pessoal'!$H$6,1,MATCH(1&amp;$B55,'Gastos com Pessoal'!$I$532:$AJ$532&amp;'Gastos com Pessoal'!$I$6:$AJ$6,0),500,1)),0)+_xlfn.IFNA(SUM((C$3&gt;='Gastos com Pessoal'!$E$7:$E$506)*(C$3&lt;='Gastos com Pessoal'!$F$7:$F$506)*(IF('Gastos com Pessoal'!$M$7:$M$506&lt;=C$3,1,0))*OFFSET('Gastos com Pessoal'!$H$6,1,MATCH(2&amp;$B55,'Gastos com Pessoal'!$I$532:$AJ$532&amp;'Gastos com Pessoal'!$I$6:$AJ$6,0),500,1)),0)+_xlfn.IFNA(SUM((C$3&gt;='Gastos com Pessoal'!$E$7:$E$506)*(C$3&lt;='Gastos com Pessoal'!$F$7:$F$506)*(IF('Gastos com Pessoal'!$S$7:$S$506&lt;=C$3,1,0))*OFFSET('Gastos com Pessoal'!$H$6,1,MATCH(3&amp;$B55,'Gastos com Pessoal'!$I$532:$AJ$532&amp;'Gastos com Pessoal'!$I$6:$AJ$6,0),500,1)),0)+_xlfn.IFNA(SUM((C$3&gt;='Gastos com Pessoal'!$E$7:$E$506)*(C$3&lt;='Gastos com Pessoal'!$F$7:$F$506)*(IF('Gastos com Pessoal'!$Y$7:$Y$506&lt;=C$3,1,0))*OFFSET('Gastos com Pessoal'!$H$6,1,MATCH(4&amp;$B55,'Gastos com Pessoal'!$I$532:$AJ$532&amp;'Gastos com Pessoal'!$I$6:$AJ$6,0),500,1)),0)+_xlfn.IFNA(SUM((C$3&gt;='Gastos com Pessoal'!$E$7:$E$506)*(C$3&lt;='Gastos com Pessoal'!$F$7:$F$506)*(IF('Gastos com Pessoal'!$AE$7:$AE$506&lt;=C$3,1,0))*OFFSET('Gastos com Pessoal'!$H$6,1,MATCH(5&amp;$B55,'Gastos com Pessoal'!$I$532:$AJ$532&amp;'Gastos com Pessoal'!$I$6:$AJ$6,0),500,1)),0)+_xlfn.IFNA(SUM((C$3&gt;='Gastos com Pessoal'!$E$513:$E$522)*(C$3&lt;='Gastos com Pessoal'!$F$513:$F$522)*(IF('Gastos com Pessoal'!$G$513:$G$522&lt;=C$3,1,0))*OFFSET('Gastos com Pessoal'!$H$512,1,MATCH(1&amp;$B55,'Gastos com Pessoal'!$I$532:$AJ$532&amp;'Gastos com Pessoal'!$I$512:$AJ$512,0),10,1)),0)+_xlfn.IFNA(SUM((C$3&gt;='Gastos com Pessoal'!$E$513:$E$522)*(C$3&lt;='Gastos com Pessoal'!$F$513:$F$522)*(IF('Gastos com Pessoal'!$M$513:$M$522&lt;=C$3,1,0))*OFFSET('Gastos com Pessoal'!$H$512,1,MATCH(2&amp;$B55,'Gastos com Pessoal'!$I$532:$AJ$532&amp;'Gastos com Pessoal'!$I$512:$AJ$512,0),10,1)),0)+_xlfn.IFNA(SUM((C$3&gt;='Gastos com Pessoal'!$E$513:$E$522)*(C$3&lt;='Gastos com Pessoal'!$F$513:$F$522)*(IF('Gastos com Pessoal'!$S$513:$S$522&lt;=C$3,1,0))*OFFSET('Gastos com Pessoal'!$H$512,1,MATCH(3&amp;$B55,'Gastos com Pessoal'!$I$532:$AJ$532&amp;'Gastos com Pessoal'!$I$512:$AJ$512,0),10,1)),0)+_xlfn.IFNA(SUM((C$3&gt;='Gastos com Pessoal'!$E$513:$E$522)*(C$3&lt;='Gastos com Pessoal'!$F$513:$F$522)*(IF('Gastos com Pessoal'!$Y$513:$Y$522&lt;=C$3,1,0))*OFFSET('Gastos com Pessoal'!$H$512,1,MATCH(4&amp;$B55,'Gastos com Pessoal'!$I$532:$AJ$532&amp;'Gastos com Pessoal'!$I$512:$AJ$512,0),10,1)),0)+_xlfn.IFNA(SUM((C$3&gt;='Gastos com Pessoal'!$E$513:$E$522)*(C$3&lt;='Gastos com Pessoal'!$F$513:$F$522)*(IF('Gastos com Pessoal'!$AE$513:$AE$522&lt;=C$3,1,0))*OFFSET('Gastos com Pessoal'!$H$512,1,MATCH(5&amp;$B55,'Gastos com Pessoal'!$I$532:$AJ$532&amp;'Gastos com Pessoal'!$I$512:$AJ$512,0),10,1)),0)</f>
        <v>0</v>
      </c>
      <c r="D55" s="188">
        <f t="array" aca="1" ref="D55" ca="1">_xlfn.IFNA(SUM((D$3&gt;='Gastos com Pessoal'!$E$7:$E$506)*(D$3&lt;='Gastos com Pessoal'!$F$7:$F$506)*OFFSET('Encargos e Benefícios'!$D$5,1,MATCH($B55,'Encargos e Benefícios'!$E$5:$AB$5,0),500,1)),0)+_xlfn.IFNA(SUM((D$3&gt;='Gastos com Pessoal'!$E$513:$E$522)*(D$3&lt;='Gastos com Pessoal'!$F$513:$F$522)*OFFSET('Encargos e Benefícios'!$D$511,1,MATCH($B55,'Encargos e Benefícios'!$E$511:$AB$511,0),10,1)),0)+_xlfn.IFNA(SUM((D$3&gt;='Gastos com Pessoal'!$E$7:$E$506)*(D$3&lt;='Gastos com Pessoal'!$F$7:$F$506)*(IF('Gastos com Pessoal'!$G$7:$G$506&lt;=D$3,1,0))*OFFSET('Gastos com Pessoal'!$H$6,1,MATCH(1&amp;$B55,'Gastos com Pessoal'!$I$532:$AJ$532&amp;'Gastos com Pessoal'!$I$6:$AJ$6,0),500,1)),0)+_xlfn.IFNA(SUM((D$3&gt;='Gastos com Pessoal'!$E$7:$E$506)*(D$3&lt;='Gastos com Pessoal'!$F$7:$F$506)*(IF('Gastos com Pessoal'!$M$7:$M$506&lt;=D$3,1,0))*OFFSET('Gastos com Pessoal'!$H$6,1,MATCH(2&amp;$B55,'Gastos com Pessoal'!$I$532:$AJ$532&amp;'Gastos com Pessoal'!$I$6:$AJ$6,0),500,1)),0)+_xlfn.IFNA(SUM((D$3&gt;='Gastos com Pessoal'!$E$7:$E$506)*(D$3&lt;='Gastos com Pessoal'!$F$7:$F$506)*(IF('Gastos com Pessoal'!$S$7:$S$506&lt;=D$3,1,0))*OFFSET('Gastos com Pessoal'!$H$6,1,MATCH(3&amp;$B55,'Gastos com Pessoal'!$I$532:$AJ$532&amp;'Gastos com Pessoal'!$I$6:$AJ$6,0),500,1)),0)+_xlfn.IFNA(SUM((D$3&gt;='Gastos com Pessoal'!$E$7:$E$506)*(D$3&lt;='Gastos com Pessoal'!$F$7:$F$506)*(IF('Gastos com Pessoal'!$Y$7:$Y$506&lt;=D$3,1,0))*OFFSET('Gastos com Pessoal'!$H$6,1,MATCH(4&amp;$B55,'Gastos com Pessoal'!$I$532:$AJ$532&amp;'Gastos com Pessoal'!$I$6:$AJ$6,0),500,1)),0)+_xlfn.IFNA(SUM((D$3&gt;='Gastos com Pessoal'!$E$7:$E$506)*(D$3&lt;='Gastos com Pessoal'!$F$7:$F$506)*(IF('Gastos com Pessoal'!$AE$7:$AE$506&lt;=D$3,1,0))*OFFSET('Gastos com Pessoal'!$H$6,1,MATCH(5&amp;$B55,'Gastos com Pessoal'!$I$532:$AJ$532&amp;'Gastos com Pessoal'!$I$6:$AJ$6,0),500,1)),0)+_xlfn.IFNA(SUM((D$3&gt;='Gastos com Pessoal'!$E$513:$E$522)*(D$3&lt;='Gastos com Pessoal'!$F$513:$F$522)*(IF('Gastos com Pessoal'!$G$513:$G$522&lt;=D$3,1,0))*OFFSET('Gastos com Pessoal'!$H$512,1,MATCH(1&amp;$B55,'Gastos com Pessoal'!$I$532:$AJ$532&amp;'Gastos com Pessoal'!$I$512:$AJ$512,0),10,1)),0)+_xlfn.IFNA(SUM((D$3&gt;='Gastos com Pessoal'!$E$513:$E$522)*(D$3&lt;='Gastos com Pessoal'!$F$513:$F$522)*(IF('Gastos com Pessoal'!$M$513:$M$522&lt;=D$3,1,0))*OFFSET('Gastos com Pessoal'!$H$512,1,MATCH(2&amp;$B55,'Gastos com Pessoal'!$I$532:$AJ$532&amp;'Gastos com Pessoal'!$I$512:$AJ$512,0),10,1)),0)+_xlfn.IFNA(SUM((D$3&gt;='Gastos com Pessoal'!$E$513:$E$522)*(D$3&lt;='Gastos com Pessoal'!$F$513:$F$522)*(IF('Gastos com Pessoal'!$S$513:$S$522&lt;=D$3,1,0))*OFFSET('Gastos com Pessoal'!$H$512,1,MATCH(3&amp;$B55,'Gastos com Pessoal'!$I$532:$AJ$532&amp;'Gastos com Pessoal'!$I$512:$AJ$512,0),10,1)),0)+_xlfn.IFNA(SUM((D$3&gt;='Gastos com Pessoal'!$E$513:$E$522)*(D$3&lt;='Gastos com Pessoal'!$F$513:$F$522)*(IF('Gastos com Pessoal'!$Y$513:$Y$522&lt;=D$3,1,0))*OFFSET('Gastos com Pessoal'!$H$512,1,MATCH(4&amp;$B55,'Gastos com Pessoal'!$I$532:$AJ$532&amp;'Gastos com Pessoal'!$I$512:$AJ$512,0),10,1)),0)+_xlfn.IFNA(SUM((D$3&gt;='Gastos com Pessoal'!$E$513:$E$522)*(D$3&lt;='Gastos com Pessoal'!$F$513:$F$522)*(IF('Gastos com Pessoal'!$AE$513:$AE$522&lt;=D$3,1,0))*OFFSET('Gastos com Pessoal'!$H$512,1,MATCH(5&amp;$B55,'Gastos com Pessoal'!$I$532:$AJ$532&amp;'Gastos com Pessoal'!$I$512:$AJ$512,0),10,1)),0)</f>
        <v>0</v>
      </c>
      <c r="E55" s="188">
        <f t="array" aca="1" ref="E55" ca="1">_xlfn.IFNA(SUM((E$3&gt;='Gastos com Pessoal'!$E$7:$E$506)*(E$3&lt;='Gastos com Pessoal'!$F$7:$F$506)*OFFSET('Encargos e Benefícios'!$D$5,1,MATCH($B55,'Encargos e Benefícios'!$E$5:$AB$5,0),500,1)),0)+_xlfn.IFNA(SUM((E$3&gt;='Gastos com Pessoal'!$E$513:$E$522)*(E$3&lt;='Gastos com Pessoal'!$F$513:$F$522)*OFFSET('Encargos e Benefícios'!$D$511,1,MATCH($B55,'Encargos e Benefícios'!$E$511:$AB$511,0),10,1)),0)+_xlfn.IFNA(SUM((E$3&gt;='Gastos com Pessoal'!$E$7:$E$506)*(E$3&lt;='Gastos com Pessoal'!$F$7:$F$506)*(IF('Gastos com Pessoal'!$G$7:$G$506&lt;=E$3,1,0))*OFFSET('Gastos com Pessoal'!$H$6,1,MATCH(1&amp;$B55,'Gastos com Pessoal'!$I$532:$AJ$532&amp;'Gastos com Pessoal'!$I$6:$AJ$6,0),500,1)),0)+_xlfn.IFNA(SUM((E$3&gt;='Gastos com Pessoal'!$E$7:$E$506)*(E$3&lt;='Gastos com Pessoal'!$F$7:$F$506)*(IF('Gastos com Pessoal'!$M$7:$M$506&lt;=E$3,1,0))*OFFSET('Gastos com Pessoal'!$H$6,1,MATCH(2&amp;$B55,'Gastos com Pessoal'!$I$532:$AJ$532&amp;'Gastos com Pessoal'!$I$6:$AJ$6,0),500,1)),0)+_xlfn.IFNA(SUM((E$3&gt;='Gastos com Pessoal'!$E$7:$E$506)*(E$3&lt;='Gastos com Pessoal'!$F$7:$F$506)*(IF('Gastos com Pessoal'!$S$7:$S$506&lt;=E$3,1,0))*OFFSET('Gastos com Pessoal'!$H$6,1,MATCH(3&amp;$B55,'Gastos com Pessoal'!$I$532:$AJ$532&amp;'Gastos com Pessoal'!$I$6:$AJ$6,0),500,1)),0)+_xlfn.IFNA(SUM((E$3&gt;='Gastos com Pessoal'!$E$7:$E$506)*(E$3&lt;='Gastos com Pessoal'!$F$7:$F$506)*(IF('Gastos com Pessoal'!$Y$7:$Y$506&lt;=E$3,1,0))*OFFSET('Gastos com Pessoal'!$H$6,1,MATCH(4&amp;$B55,'Gastos com Pessoal'!$I$532:$AJ$532&amp;'Gastos com Pessoal'!$I$6:$AJ$6,0),500,1)),0)+_xlfn.IFNA(SUM((E$3&gt;='Gastos com Pessoal'!$E$7:$E$506)*(E$3&lt;='Gastos com Pessoal'!$F$7:$F$506)*(IF('Gastos com Pessoal'!$AE$7:$AE$506&lt;=E$3,1,0))*OFFSET('Gastos com Pessoal'!$H$6,1,MATCH(5&amp;$B55,'Gastos com Pessoal'!$I$532:$AJ$532&amp;'Gastos com Pessoal'!$I$6:$AJ$6,0),500,1)),0)+_xlfn.IFNA(SUM((E$3&gt;='Gastos com Pessoal'!$E$513:$E$522)*(E$3&lt;='Gastos com Pessoal'!$F$513:$F$522)*(IF('Gastos com Pessoal'!$G$513:$G$522&lt;=E$3,1,0))*OFFSET('Gastos com Pessoal'!$H$512,1,MATCH(1&amp;$B55,'Gastos com Pessoal'!$I$532:$AJ$532&amp;'Gastos com Pessoal'!$I$512:$AJ$512,0),10,1)),0)+_xlfn.IFNA(SUM((E$3&gt;='Gastos com Pessoal'!$E$513:$E$522)*(E$3&lt;='Gastos com Pessoal'!$F$513:$F$522)*(IF('Gastos com Pessoal'!$M$513:$M$522&lt;=E$3,1,0))*OFFSET('Gastos com Pessoal'!$H$512,1,MATCH(2&amp;$B55,'Gastos com Pessoal'!$I$532:$AJ$532&amp;'Gastos com Pessoal'!$I$512:$AJ$512,0),10,1)),0)+_xlfn.IFNA(SUM((E$3&gt;='Gastos com Pessoal'!$E$513:$E$522)*(E$3&lt;='Gastos com Pessoal'!$F$513:$F$522)*(IF('Gastos com Pessoal'!$S$513:$S$522&lt;=E$3,1,0))*OFFSET('Gastos com Pessoal'!$H$512,1,MATCH(3&amp;$B55,'Gastos com Pessoal'!$I$532:$AJ$532&amp;'Gastos com Pessoal'!$I$512:$AJ$512,0),10,1)),0)+_xlfn.IFNA(SUM((E$3&gt;='Gastos com Pessoal'!$E$513:$E$522)*(E$3&lt;='Gastos com Pessoal'!$F$513:$F$522)*(IF('Gastos com Pessoal'!$Y$513:$Y$522&lt;=E$3,1,0))*OFFSET('Gastos com Pessoal'!$H$512,1,MATCH(4&amp;$B55,'Gastos com Pessoal'!$I$532:$AJ$532&amp;'Gastos com Pessoal'!$I$512:$AJ$512,0),10,1)),0)+_xlfn.IFNA(SUM((E$3&gt;='Gastos com Pessoal'!$E$513:$E$522)*(E$3&lt;='Gastos com Pessoal'!$F$513:$F$522)*(IF('Gastos com Pessoal'!$AE$513:$AE$522&lt;=E$3,1,0))*OFFSET('Gastos com Pessoal'!$H$512,1,MATCH(5&amp;$B55,'Gastos com Pessoal'!$I$532:$AJ$532&amp;'Gastos com Pessoal'!$I$512:$AJ$512,0),10,1)),0)</f>
        <v>0</v>
      </c>
      <c r="F55" s="188">
        <f t="array" aca="1" ref="F55" ca="1">_xlfn.IFNA(SUM((F$3&gt;='Gastos com Pessoal'!$E$7:$E$506)*(F$3&lt;='Gastos com Pessoal'!$F$7:$F$506)*OFFSET('Encargos e Benefícios'!$D$5,1,MATCH($B55,'Encargos e Benefícios'!$E$5:$AB$5,0),500,1)),0)+_xlfn.IFNA(SUM((F$3&gt;='Gastos com Pessoal'!$E$513:$E$522)*(F$3&lt;='Gastos com Pessoal'!$F$513:$F$522)*OFFSET('Encargos e Benefícios'!$D$511,1,MATCH($B55,'Encargos e Benefícios'!$E$511:$AB$511,0),10,1)),0)+_xlfn.IFNA(SUM((F$3&gt;='Gastos com Pessoal'!$E$7:$E$506)*(F$3&lt;='Gastos com Pessoal'!$F$7:$F$506)*(IF('Gastos com Pessoal'!$G$7:$G$506&lt;=F$3,1,0))*OFFSET('Gastos com Pessoal'!$H$6,1,MATCH(1&amp;$B55,'Gastos com Pessoal'!$I$532:$AJ$532&amp;'Gastos com Pessoal'!$I$6:$AJ$6,0),500,1)),0)+_xlfn.IFNA(SUM((F$3&gt;='Gastos com Pessoal'!$E$7:$E$506)*(F$3&lt;='Gastos com Pessoal'!$F$7:$F$506)*(IF('Gastos com Pessoal'!$M$7:$M$506&lt;=F$3,1,0))*OFFSET('Gastos com Pessoal'!$H$6,1,MATCH(2&amp;$B55,'Gastos com Pessoal'!$I$532:$AJ$532&amp;'Gastos com Pessoal'!$I$6:$AJ$6,0),500,1)),0)+_xlfn.IFNA(SUM((F$3&gt;='Gastos com Pessoal'!$E$7:$E$506)*(F$3&lt;='Gastos com Pessoal'!$F$7:$F$506)*(IF('Gastos com Pessoal'!$S$7:$S$506&lt;=F$3,1,0))*OFFSET('Gastos com Pessoal'!$H$6,1,MATCH(3&amp;$B55,'Gastos com Pessoal'!$I$532:$AJ$532&amp;'Gastos com Pessoal'!$I$6:$AJ$6,0),500,1)),0)+_xlfn.IFNA(SUM((F$3&gt;='Gastos com Pessoal'!$E$7:$E$506)*(F$3&lt;='Gastos com Pessoal'!$F$7:$F$506)*(IF('Gastos com Pessoal'!$Y$7:$Y$506&lt;=F$3,1,0))*OFFSET('Gastos com Pessoal'!$H$6,1,MATCH(4&amp;$B55,'Gastos com Pessoal'!$I$532:$AJ$532&amp;'Gastos com Pessoal'!$I$6:$AJ$6,0),500,1)),0)+_xlfn.IFNA(SUM((F$3&gt;='Gastos com Pessoal'!$E$7:$E$506)*(F$3&lt;='Gastos com Pessoal'!$F$7:$F$506)*(IF('Gastos com Pessoal'!$AE$7:$AE$506&lt;=F$3,1,0))*OFFSET('Gastos com Pessoal'!$H$6,1,MATCH(5&amp;$B55,'Gastos com Pessoal'!$I$532:$AJ$532&amp;'Gastos com Pessoal'!$I$6:$AJ$6,0),500,1)),0)+_xlfn.IFNA(SUM((F$3&gt;='Gastos com Pessoal'!$E$513:$E$522)*(F$3&lt;='Gastos com Pessoal'!$F$513:$F$522)*(IF('Gastos com Pessoal'!$G$513:$G$522&lt;=F$3,1,0))*OFFSET('Gastos com Pessoal'!$H$512,1,MATCH(1&amp;$B55,'Gastos com Pessoal'!$I$532:$AJ$532&amp;'Gastos com Pessoal'!$I$512:$AJ$512,0),10,1)),0)+_xlfn.IFNA(SUM((F$3&gt;='Gastos com Pessoal'!$E$513:$E$522)*(F$3&lt;='Gastos com Pessoal'!$F$513:$F$522)*(IF('Gastos com Pessoal'!$M$513:$M$522&lt;=F$3,1,0))*OFFSET('Gastos com Pessoal'!$H$512,1,MATCH(2&amp;$B55,'Gastos com Pessoal'!$I$532:$AJ$532&amp;'Gastos com Pessoal'!$I$512:$AJ$512,0),10,1)),0)+_xlfn.IFNA(SUM((F$3&gt;='Gastos com Pessoal'!$E$513:$E$522)*(F$3&lt;='Gastos com Pessoal'!$F$513:$F$522)*(IF('Gastos com Pessoal'!$S$513:$S$522&lt;=F$3,1,0))*OFFSET('Gastos com Pessoal'!$H$512,1,MATCH(3&amp;$B55,'Gastos com Pessoal'!$I$532:$AJ$532&amp;'Gastos com Pessoal'!$I$512:$AJ$512,0),10,1)),0)+_xlfn.IFNA(SUM((F$3&gt;='Gastos com Pessoal'!$E$513:$E$522)*(F$3&lt;='Gastos com Pessoal'!$F$513:$F$522)*(IF('Gastos com Pessoal'!$Y$513:$Y$522&lt;=F$3,1,0))*OFFSET('Gastos com Pessoal'!$H$512,1,MATCH(4&amp;$B55,'Gastos com Pessoal'!$I$532:$AJ$532&amp;'Gastos com Pessoal'!$I$512:$AJ$512,0),10,1)),0)+_xlfn.IFNA(SUM((F$3&gt;='Gastos com Pessoal'!$E$513:$E$522)*(F$3&lt;='Gastos com Pessoal'!$F$513:$F$522)*(IF('Gastos com Pessoal'!$AE$513:$AE$522&lt;=F$3,1,0))*OFFSET('Gastos com Pessoal'!$H$512,1,MATCH(5&amp;$B55,'Gastos com Pessoal'!$I$532:$AJ$532&amp;'Gastos com Pessoal'!$I$512:$AJ$512,0),10,1)),0)</f>
        <v>0</v>
      </c>
      <c r="G55" s="188">
        <f t="array" aca="1" ref="G55" ca="1">_xlfn.IFNA(SUM((G$3&gt;='Gastos com Pessoal'!$E$7:$E$506)*(G$3&lt;='Gastos com Pessoal'!$F$7:$F$506)*OFFSET('Encargos e Benefícios'!$D$5,1,MATCH($B55,'Encargos e Benefícios'!$E$5:$AB$5,0),500,1)),0)+_xlfn.IFNA(SUM((G$3&gt;='Gastos com Pessoal'!$E$513:$E$522)*(G$3&lt;='Gastos com Pessoal'!$F$513:$F$522)*OFFSET('Encargos e Benefícios'!$D$511,1,MATCH($B55,'Encargos e Benefícios'!$E$511:$AB$511,0),10,1)),0)+_xlfn.IFNA(SUM((G$3&gt;='Gastos com Pessoal'!$E$7:$E$506)*(G$3&lt;='Gastos com Pessoal'!$F$7:$F$506)*(IF('Gastos com Pessoal'!$G$7:$G$506&lt;=G$3,1,0))*OFFSET('Gastos com Pessoal'!$H$6,1,MATCH(1&amp;$B55,'Gastos com Pessoal'!$I$532:$AJ$532&amp;'Gastos com Pessoal'!$I$6:$AJ$6,0),500,1)),0)+_xlfn.IFNA(SUM((G$3&gt;='Gastos com Pessoal'!$E$7:$E$506)*(G$3&lt;='Gastos com Pessoal'!$F$7:$F$506)*(IF('Gastos com Pessoal'!$M$7:$M$506&lt;=G$3,1,0))*OFFSET('Gastos com Pessoal'!$H$6,1,MATCH(2&amp;$B55,'Gastos com Pessoal'!$I$532:$AJ$532&amp;'Gastos com Pessoal'!$I$6:$AJ$6,0),500,1)),0)+_xlfn.IFNA(SUM((G$3&gt;='Gastos com Pessoal'!$E$7:$E$506)*(G$3&lt;='Gastos com Pessoal'!$F$7:$F$506)*(IF('Gastos com Pessoal'!$S$7:$S$506&lt;=G$3,1,0))*OFFSET('Gastos com Pessoal'!$H$6,1,MATCH(3&amp;$B55,'Gastos com Pessoal'!$I$532:$AJ$532&amp;'Gastos com Pessoal'!$I$6:$AJ$6,0),500,1)),0)+_xlfn.IFNA(SUM((G$3&gt;='Gastos com Pessoal'!$E$7:$E$506)*(G$3&lt;='Gastos com Pessoal'!$F$7:$F$506)*(IF('Gastos com Pessoal'!$Y$7:$Y$506&lt;=G$3,1,0))*OFFSET('Gastos com Pessoal'!$H$6,1,MATCH(4&amp;$B55,'Gastos com Pessoal'!$I$532:$AJ$532&amp;'Gastos com Pessoal'!$I$6:$AJ$6,0),500,1)),0)+_xlfn.IFNA(SUM((G$3&gt;='Gastos com Pessoal'!$E$7:$E$506)*(G$3&lt;='Gastos com Pessoal'!$F$7:$F$506)*(IF('Gastos com Pessoal'!$AE$7:$AE$506&lt;=G$3,1,0))*OFFSET('Gastos com Pessoal'!$H$6,1,MATCH(5&amp;$B55,'Gastos com Pessoal'!$I$532:$AJ$532&amp;'Gastos com Pessoal'!$I$6:$AJ$6,0),500,1)),0)+_xlfn.IFNA(SUM((G$3&gt;='Gastos com Pessoal'!$E$513:$E$522)*(G$3&lt;='Gastos com Pessoal'!$F$513:$F$522)*(IF('Gastos com Pessoal'!$G$513:$G$522&lt;=G$3,1,0))*OFFSET('Gastos com Pessoal'!$H$512,1,MATCH(1&amp;$B55,'Gastos com Pessoal'!$I$532:$AJ$532&amp;'Gastos com Pessoal'!$I$512:$AJ$512,0),10,1)),0)+_xlfn.IFNA(SUM((G$3&gt;='Gastos com Pessoal'!$E$513:$E$522)*(G$3&lt;='Gastos com Pessoal'!$F$513:$F$522)*(IF('Gastos com Pessoal'!$M$513:$M$522&lt;=G$3,1,0))*OFFSET('Gastos com Pessoal'!$H$512,1,MATCH(2&amp;$B55,'Gastos com Pessoal'!$I$532:$AJ$532&amp;'Gastos com Pessoal'!$I$512:$AJ$512,0),10,1)),0)+_xlfn.IFNA(SUM((G$3&gt;='Gastos com Pessoal'!$E$513:$E$522)*(G$3&lt;='Gastos com Pessoal'!$F$513:$F$522)*(IF('Gastos com Pessoal'!$S$513:$S$522&lt;=G$3,1,0))*OFFSET('Gastos com Pessoal'!$H$512,1,MATCH(3&amp;$B55,'Gastos com Pessoal'!$I$532:$AJ$532&amp;'Gastos com Pessoal'!$I$512:$AJ$512,0),10,1)),0)+_xlfn.IFNA(SUM((G$3&gt;='Gastos com Pessoal'!$E$513:$E$522)*(G$3&lt;='Gastos com Pessoal'!$F$513:$F$522)*(IF('Gastos com Pessoal'!$Y$513:$Y$522&lt;=G$3,1,0))*OFFSET('Gastos com Pessoal'!$H$512,1,MATCH(4&amp;$B55,'Gastos com Pessoal'!$I$532:$AJ$532&amp;'Gastos com Pessoal'!$I$512:$AJ$512,0),10,1)),0)+_xlfn.IFNA(SUM((G$3&gt;='Gastos com Pessoal'!$E$513:$E$522)*(G$3&lt;='Gastos com Pessoal'!$F$513:$F$522)*(IF('Gastos com Pessoal'!$AE$513:$AE$522&lt;=G$3,1,0))*OFFSET('Gastos com Pessoal'!$H$512,1,MATCH(5&amp;$B55,'Gastos com Pessoal'!$I$532:$AJ$532&amp;'Gastos com Pessoal'!$I$512:$AJ$512,0),10,1)),0)</f>
        <v>0</v>
      </c>
      <c r="H55" s="188">
        <f t="array" aca="1" ref="H55" ca="1">_xlfn.IFNA(SUM((H$3&gt;='Gastos com Pessoal'!$E$7:$E$506)*(H$3&lt;='Gastos com Pessoal'!$F$7:$F$506)*OFFSET('Encargos e Benefícios'!$D$5,1,MATCH($B55,'Encargos e Benefícios'!$E$5:$AB$5,0),500,1)),0)+_xlfn.IFNA(SUM((H$3&gt;='Gastos com Pessoal'!$E$513:$E$522)*(H$3&lt;='Gastos com Pessoal'!$F$513:$F$522)*OFFSET('Encargos e Benefícios'!$D$511,1,MATCH($B55,'Encargos e Benefícios'!$E$511:$AB$511,0),10,1)),0)+_xlfn.IFNA(SUM((H$3&gt;='Gastos com Pessoal'!$E$7:$E$506)*(H$3&lt;='Gastos com Pessoal'!$F$7:$F$506)*(IF('Gastos com Pessoal'!$G$7:$G$506&lt;=H$3,1,0))*OFFSET('Gastos com Pessoal'!$H$6,1,MATCH(1&amp;$B55,'Gastos com Pessoal'!$I$532:$AJ$532&amp;'Gastos com Pessoal'!$I$6:$AJ$6,0),500,1)),0)+_xlfn.IFNA(SUM((H$3&gt;='Gastos com Pessoal'!$E$7:$E$506)*(H$3&lt;='Gastos com Pessoal'!$F$7:$F$506)*(IF('Gastos com Pessoal'!$M$7:$M$506&lt;=H$3,1,0))*OFFSET('Gastos com Pessoal'!$H$6,1,MATCH(2&amp;$B55,'Gastos com Pessoal'!$I$532:$AJ$532&amp;'Gastos com Pessoal'!$I$6:$AJ$6,0),500,1)),0)+_xlfn.IFNA(SUM((H$3&gt;='Gastos com Pessoal'!$E$7:$E$506)*(H$3&lt;='Gastos com Pessoal'!$F$7:$F$506)*(IF('Gastos com Pessoal'!$S$7:$S$506&lt;=H$3,1,0))*OFFSET('Gastos com Pessoal'!$H$6,1,MATCH(3&amp;$B55,'Gastos com Pessoal'!$I$532:$AJ$532&amp;'Gastos com Pessoal'!$I$6:$AJ$6,0),500,1)),0)+_xlfn.IFNA(SUM((H$3&gt;='Gastos com Pessoal'!$E$7:$E$506)*(H$3&lt;='Gastos com Pessoal'!$F$7:$F$506)*(IF('Gastos com Pessoal'!$Y$7:$Y$506&lt;=H$3,1,0))*OFFSET('Gastos com Pessoal'!$H$6,1,MATCH(4&amp;$B55,'Gastos com Pessoal'!$I$532:$AJ$532&amp;'Gastos com Pessoal'!$I$6:$AJ$6,0),500,1)),0)+_xlfn.IFNA(SUM((H$3&gt;='Gastos com Pessoal'!$E$7:$E$506)*(H$3&lt;='Gastos com Pessoal'!$F$7:$F$506)*(IF('Gastos com Pessoal'!$AE$7:$AE$506&lt;=H$3,1,0))*OFFSET('Gastos com Pessoal'!$H$6,1,MATCH(5&amp;$B55,'Gastos com Pessoal'!$I$532:$AJ$532&amp;'Gastos com Pessoal'!$I$6:$AJ$6,0),500,1)),0)+_xlfn.IFNA(SUM((H$3&gt;='Gastos com Pessoal'!$E$513:$E$522)*(H$3&lt;='Gastos com Pessoal'!$F$513:$F$522)*(IF('Gastos com Pessoal'!$G$513:$G$522&lt;=H$3,1,0))*OFFSET('Gastos com Pessoal'!$H$512,1,MATCH(1&amp;$B55,'Gastos com Pessoal'!$I$532:$AJ$532&amp;'Gastos com Pessoal'!$I$512:$AJ$512,0),10,1)),0)+_xlfn.IFNA(SUM((H$3&gt;='Gastos com Pessoal'!$E$513:$E$522)*(H$3&lt;='Gastos com Pessoal'!$F$513:$F$522)*(IF('Gastos com Pessoal'!$M$513:$M$522&lt;=H$3,1,0))*OFFSET('Gastos com Pessoal'!$H$512,1,MATCH(2&amp;$B55,'Gastos com Pessoal'!$I$532:$AJ$532&amp;'Gastos com Pessoal'!$I$512:$AJ$512,0),10,1)),0)+_xlfn.IFNA(SUM((H$3&gt;='Gastos com Pessoal'!$E$513:$E$522)*(H$3&lt;='Gastos com Pessoal'!$F$513:$F$522)*(IF('Gastos com Pessoal'!$S$513:$S$522&lt;=H$3,1,0))*OFFSET('Gastos com Pessoal'!$H$512,1,MATCH(3&amp;$B55,'Gastos com Pessoal'!$I$532:$AJ$532&amp;'Gastos com Pessoal'!$I$512:$AJ$512,0),10,1)),0)+_xlfn.IFNA(SUM((H$3&gt;='Gastos com Pessoal'!$E$513:$E$522)*(H$3&lt;='Gastos com Pessoal'!$F$513:$F$522)*(IF('Gastos com Pessoal'!$Y$513:$Y$522&lt;=H$3,1,0))*OFFSET('Gastos com Pessoal'!$H$512,1,MATCH(4&amp;$B55,'Gastos com Pessoal'!$I$532:$AJ$532&amp;'Gastos com Pessoal'!$I$512:$AJ$512,0),10,1)),0)+_xlfn.IFNA(SUM((H$3&gt;='Gastos com Pessoal'!$E$513:$E$522)*(H$3&lt;='Gastos com Pessoal'!$F$513:$F$522)*(IF('Gastos com Pessoal'!$AE$513:$AE$522&lt;=H$3,1,0))*OFFSET('Gastos com Pessoal'!$H$512,1,MATCH(5&amp;$B55,'Gastos com Pessoal'!$I$532:$AJ$532&amp;'Gastos com Pessoal'!$I$512:$AJ$512,0),10,1)),0)</f>
        <v>0</v>
      </c>
      <c r="I55" s="188">
        <f t="array" aca="1" ref="I55" ca="1">_xlfn.IFNA(SUM((I$3&gt;='Gastos com Pessoal'!$E$7:$E$506)*(I$3&lt;='Gastos com Pessoal'!$F$7:$F$506)*OFFSET('Encargos e Benefícios'!$D$5,1,MATCH($B55,'Encargos e Benefícios'!$E$5:$AB$5,0),500,1)),0)+_xlfn.IFNA(SUM((I$3&gt;='Gastos com Pessoal'!$E$513:$E$522)*(I$3&lt;='Gastos com Pessoal'!$F$513:$F$522)*OFFSET('Encargos e Benefícios'!$D$511,1,MATCH($B55,'Encargos e Benefícios'!$E$511:$AB$511,0),10,1)),0)+_xlfn.IFNA(SUM((I$3&gt;='Gastos com Pessoal'!$E$7:$E$506)*(I$3&lt;='Gastos com Pessoal'!$F$7:$F$506)*(IF('Gastos com Pessoal'!$G$7:$G$506&lt;=I$3,1,0))*OFFSET('Gastos com Pessoal'!$H$6,1,MATCH(1&amp;$B55,'Gastos com Pessoal'!$I$532:$AJ$532&amp;'Gastos com Pessoal'!$I$6:$AJ$6,0),500,1)),0)+_xlfn.IFNA(SUM((I$3&gt;='Gastos com Pessoal'!$E$7:$E$506)*(I$3&lt;='Gastos com Pessoal'!$F$7:$F$506)*(IF('Gastos com Pessoal'!$M$7:$M$506&lt;=I$3,1,0))*OFFSET('Gastos com Pessoal'!$H$6,1,MATCH(2&amp;$B55,'Gastos com Pessoal'!$I$532:$AJ$532&amp;'Gastos com Pessoal'!$I$6:$AJ$6,0),500,1)),0)+_xlfn.IFNA(SUM((I$3&gt;='Gastos com Pessoal'!$E$7:$E$506)*(I$3&lt;='Gastos com Pessoal'!$F$7:$F$506)*(IF('Gastos com Pessoal'!$S$7:$S$506&lt;=I$3,1,0))*OFFSET('Gastos com Pessoal'!$H$6,1,MATCH(3&amp;$B55,'Gastos com Pessoal'!$I$532:$AJ$532&amp;'Gastos com Pessoal'!$I$6:$AJ$6,0),500,1)),0)+_xlfn.IFNA(SUM((I$3&gt;='Gastos com Pessoal'!$E$7:$E$506)*(I$3&lt;='Gastos com Pessoal'!$F$7:$F$506)*(IF('Gastos com Pessoal'!$Y$7:$Y$506&lt;=I$3,1,0))*OFFSET('Gastos com Pessoal'!$H$6,1,MATCH(4&amp;$B55,'Gastos com Pessoal'!$I$532:$AJ$532&amp;'Gastos com Pessoal'!$I$6:$AJ$6,0),500,1)),0)+_xlfn.IFNA(SUM((I$3&gt;='Gastos com Pessoal'!$E$7:$E$506)*(I$3&lt;='Gastos com Pessoal'!$F$7:$F$506)*(IF('Gastos com Pessoal'!$AE$7:$AE$506&lt;=I$3,1,0))*OFFSET('Gastos com Pessoal'!$H$6,1,MATCH(5&amp;$B55,'Gastos com Pessoal'!$I$532:$AJ$532&amp;'Gastos com Pessoal'!$I$6:$AJ$6,0),500,1)),0)+_xlfn.IFNA(SUM((I$3&gt;='Gastos com Pessoal'!$E$513:$E$522)*(I$3&lt;='Gastos com Pessoal'!$F$513:$F$522)*(IF('Gastos com Pessoal'!$G$513:$G$522&lt;=I$3,1,0))*OFFSET('Gastos com Pessoal'!$H$512,1,MATCH(1&amp;$B55,'Gastos com Pessoal'!$I$532:$AJ$532&amp;'Gastos com Pessoal'!$I$512:$AJ$512,0),10,1)),0)+_xlfn.IFNA(SUM((I$3&gt;='Gastos com Pessoal'!$E$513:$E$522)*(I$3&lt;='Gastos com Pessoal'!$F$513:$F$522)*(IF('Gastos com Pessoal'!$M$513:$M$522&lt;=I$3,1,0))*OFFSET('Gastos com Pessoal'!$H$512,1,MATCH(2&amp;$B55,'Gastos com Pessoal'!$I$532:$AJ$532&amp;'Gastos com Pessoal'!$I$512:$AJ$512,0),10,1)),0)+_xlfn.IFNA(SUM((I$3&gt;='Gastos com Pessoal'!$E$513:$E$522)*(I$3&lt;='Gastos com Pessoal'!$F$513:$F$522)*(IF('Gastos com Pessoal'!$S$513:$S$522&lt;=I$3,1,0))*OFFSET('Gastos com Pessoal'!$H$512,1,MATCH(3&amp;$B55,'Gastos com Pessoal'!$I$532:$AJ$532&amp;'Gastos com Pessoal'!$I$512:$AJ$512,0),10,1)),0)+_xlfn.IFNA(SUM((I$3&gt;='Gastos com Pessoal'!$E$513:$E$522)*(I$3&lt;='Gastos com Pessoal'!$F$513:$F$522)*(IF('Gastos com Pessoal'!$Y$513:$Y$522&lt;=I$3,1,0))*OFFSET('Gastos com Pessoal'!$H$512,1,MATCH(4&amp;$B55,'Gastos com Pessoal'!$I$532:$AJ$532&amp;'Gastos com Pessoal'!$I$512:$AJ$512,0),10,1)),0)+_xlfn.IFNA(SUM((I$3&gt;='Gastos com Pessoal'!$E$513:$E$522)*(I$3&lt;='Gastos com Pessoal'!$F$513:$F$522)*(IF('Gastos com Pessoal'!$AE$513:$AE$522&lt;=I$3,1,0))*OFFSET('Gastos com Pessoal'!$H$512,1,MATCH(5&amp;$B55,'Gastos com Pessoal'!$I$532:$AJ$532&amp;'Gastos com Pessoal'!$I$512:$AJ$512,0),10,1)),0)</f>
        <v>0</v>
      </c>
      <c r="J55" s="188">
        <f t="array" aca="1" ref="J55" ca="1">_xlfn.IFNA(SUM((J$3&gt;='Gastos com Pessoal'!$E$7:$E$506)*(J$3&lt;='Gastos com Pessoal'!$F$7:$F$506)*OFFSET('Encargos e Benefícios'!$D$5,1,MATCH($B55,'Encargos e Benefícios'!$E$5:$AB$5,0),500,1)),0)+_xlfn.IFNA(SUM((J$3&gt;='Gastos com Pessoal'!$E$513:$E$522)*(J$3&lt;='Gastos com Pessoal'!$F$513:$F$522)*OFFSET('Encargos e Benefícios'!$D$511,1,MATCH($B55,'Encargos e Benefícios'!$E$511:$AB$511,0),10,1)),0)+_xlfn.IFNA(SUM((J$3&gt;='Gastos com Pessoal'!$E$7:$E$506)*(J$3&lt;='Gastos com Pessoal'!$F$7:$F$506)*(IF('Gastos com Pessoal'!$G$7:$G$506&lt;=J$3,1,0))*OFFSET('Gastos com Pessoal'!$H$6,1,MATCH(1&amp;$B55,'Gastos com Pessoal'!$I$532:$AJ$532&amp;'Gastos com Pessoal'!$I$6:$AJ$6,0),500,1)),0)+_xlfn.IFNA(SUM((J$3&gt;='Gastos com Pessoal'!$E$7:$E$506)*(J$3&lt;='Gastos com Pessoal'!$F$7:$F$506)*(IF('Gastos com Pessoal'!$M$7:$M$506&lt;=J$3,1,0))*OFFSET('Gastos com Pessoal'!$H$6,1,MATCH(2&amp;$B55,'Gastos com Pessoal'!$I$532:$AJ$532&amp;'Gastos com Pessoal'!$I$6:$AJ$6,0),500,1)),0)+_xlfn.IFNA(SUM((J$3&gt;='Gastos com Pessoal'!$E$7:$E$506)*(J$3&lt;='Gastos com Pessoal'!$F$7:$F$506)*(IF('Gastos com Pessoal'!$S$7:$S$506&lt;=J$3,1,0))*OFFSET('Gastos com Pessoal'!$H$6,1,MATCH(3&amp;$B55,'Gastos com Pessoal'!$I$532:$AJ$532&amp;'Gastos com Pessoal'!$I$6:$AJ$6,0),500,1)),0)+_xlfn.IFNA(SUM((J$3&gt;='Gastos com Pessoal'!$E$7:$E$506)*(J$3&lt;='Gastos com Pessoal'!$F$7:$F$506)*(IF('Gastos com Pessoal'!$Y$7:$Y$506&lt;=J$3,1,0))*OFFSET('Gastos com Pessoal'!$H$6,1,MATCH(4&amp;$B55,'Gastos com Pessoal'!$I$532:$AJ$532&amp;'Gastos com Pessoal'!$I$6:$AJ$6,0),500,1)),0)+_xlfn.IFNA(SUM((J$3&gt;='Gastos com Pessoal'!$E$7:$E$506)*(J$3&lt;='Gastos com Pessoal'!$F$7:$F$506)*(IF('Gastos com Pessoal'!$AE$7:$AE$506&lt;=J$3,1,0))*OFFSET('Gastos com Pessoal'!$H$6,1,MATCH(5&amp;$B55,'Gastos com Pessoal'!$I$532:$AJ$532&amp;'Gastos com Pessoal'!$I$6:$AJ$6,0),500,1)),0)+_xlfn.IFNA(SUM((J$3&gt;='Gastos com Pessoal'!$E$513:$E$522)*(J$3&lt;='Gastos com Pessoal'!$F$513:$F$522)*(IF('Gastos com Pessoal'!$G$513:$G$522&lt;=J$3,1,0))*OFFSET('Gastos com Pessoal'!$H$512,1,MATCH(1&amp;$B55,'Gastos com Pessoal'!$I$532:$AJ$532&amp;'Gastos com Pessoal'!$I$512:$AJ$512,0),10,1)),0)+_xlfn.IFNA(SUM((J$3&gt;='Gastos com Pessoal'!$E$513:$E$522)*(J$3&lt;='Gastos com Pessoal'!$F$513:$F$522)*(IF('Gastos com Pessoal'!$M$513:$M$522&lt;=J$3,1,0))*OFFSET('Gastos com Pessoal'!$H$512,1,MATCH(2&amp;$B55,'Gastos com Pessoal'!$I$532:$AJ$532&amp;'Gastos com Pessoal'!$I$512:$AJ$512,0),10,1)),0)+_xlfn.IFNA(SUM((J$3&gt;='Gastos com Pessoal'!$E$513:$E$522)*(J$3&lt;='Gastos com Pessoal'!$F$513:$F$522)*(IF('Gastos com Pessoal'!$S$513:$S$522&lt;=J$3,1,0))*OFFSET('Gastos com Pessoal'!$H$512,1,MATCH(3&amp;$B55,'Gastos com Pessoal'!$I$532:$AJ$532&amp;'Gastos com Pessoal'!$I$512:$AJ$512,0),10,1)),0)+_xlfn.IFNA(SUM((J$3&gt;='Gastos com Pessoal'!$E$513:$E$522)*(J$3&lt;='Gastos com Pessoal'!$F$513:$F$522)*(IF('Gastos com Pessoal'!$Y$513:$Y$522&lt;=J$3,1,0))*OFFSET('Gastos com Pessoal'!$H$512,1,MATCH(4&amp;$B55,'Gastos com Pessoal'!$I$532:$AJ$532&amp;'Gastos com Pessoal'!$I$512:$AJ$512,0),10,1)),0)+_xlfn.IFNA(SUM((J$3&gt;='Gastos com Pessoal'!$E$513:$E$522)*(J$3&lt;='Gastos com Pessoal'!$F$513:$F$522)*(IF('Gastos com Pessoal'!$AE$513:$AE$522&lt;=J$3,1,0))*OFFSET('Gastos com Pessoal'!$H$512,1,MATCH(5&amp;$B55,'Gastos com Pessoal'!$I$532:$AJ$532&amp;'Gastos com Pessoal'!$I$512:$AJ$512,0),10,1)),0)</f>
        <v>0</v>
      </c>
      <c r="K55" s="188">
        <f t="array" aca="1" ref="K55" ca="1">_xlfn.IFNA(SUM((K$3&gt;='Gastos com Pessoal'!$E$7:$E$506)*(K$3&lt;='Gastos com Pessoal'!$F$7:$F$506)*OFFSET('Encargos e Benefícios'!$D$5,1,MATCH($B55,'Encargos e Benefícios'!$E$5:$AB$5,0),500,1)),0)+_xlfn.IFNA(SUM((K$3&gt;='Gastos com Pessoal'!$E$513:$E$522)*(K$3&lt;='Gastos com Pessoal'!$F$513:$F$522)*OFFSET('Encargos e Benefícios'!$D$511,1,MATCH($B55,'Encargos e Benefícios'!$E$511:$AB$511,0),10,1)),0)+_xlfn.IFNA(SUM((K$3&gt;='Gastos com Pessoal'!$E$7:$E$506)*(K$3&lt;='Gastos com Pessoal'!$F$7:$F$506)*(IF('Gastos com Pessoal'!$G$7:$G$506&lt;=K$3,1,0))*OFFSET('Gastos com Pessoal'!$H$6,1,MATCH(1&amp;$B55,'Gastos com Pessoal'!$I$532:$AJ$532&amp;'Gastos com Pessoal'!$I$6:$AJ$6,0),500,1)),0)+_xlfn.IFNA(SUM((K$3&gt;='Gastos com Pessoal'!$E$7:$E$506)*(K$3&lt;='Gastos com Pessoal'!$F$7:$F$506)*(IF('Gastos com Pessoal'!$M$7:$M$506&lt;=K$3,1,0))*OFFSET('Gastos com Pessoal'!$H$6,1,MATCH(2&amp;$B55,'Gastos com Pessoal'!$I$532:$AJ$532&amp;'Gastos com Pessoal'!$I$6:$AJ$6,0),500,1)),0)+_xlfn.IFNA(SUM((K$3&gt;='Gastos com Pessoal'!$E$7:$E$506)*(K$3&lt;='Gastos com Pessoal'!$F$7:$F$506)*(IF('Gastos com Pessoal'!$S$7:$S$506&lt;=K$3,1,0))*OFFSET('Gastos com Pessoal'!$H$6,1,MATCH(3&amp;$B55,'Gastos com Pessoal'!$I$532:$AJ$532&amp;'Gastos com Pessoal'!$I$6:$AJ$6,0),500,1)),0)+_xlfn.IFNA(SUM((K$3&gt;='Gastos com Pessoal'!$E$7:$E$506)*(K$3&lt;='Gastos com Pessoal'!$F$7:$F$506)*(IF('Gastos com Pessoal'!$Y$7:$Y$506&lt;=K$3,1,0))*OFFSET('Gastos com Pessoal'!$H$6,1,MATCH(4&amp;$B55,'Gastos com Pessoal'!$I$532:$AJ$532&amp;'Gastos com Pessoal'!$I$6:$AJ$6,0),500,1)),0)+_xlfn.IFNA(SUM((K$3&gt;='Gastos com Pessoal'!$E$7:$E$506)*(K$3&lt;='Gastos com Pessoal'!$F$7:$F$506)*(IF('Gastos com Pessoal'!$AE$7:$AE$506&lt;=K$3,1,0))*OFFSET('Gastos com Pessoal'!$H$6,1,MATCH(5&amp;$B55,'Gastos com Pessoal'!$I$532:$AJ$532&amp;'Gastos com Pessoal'!$I$6:$AJ$6,0),500,1)),0)+_xlfn.IFNA(SUM((K$3&gt;='Gastos com Pessoal'!$E$513:$E$522)*(K$3&lt;='Gastos com Pessoal'!$F$513:$F$522)*(IF('Gastos com Pessoal'!$G$513:$G$522&lt;=K$3,1,0))*OFFSET('Gastos com Pessoal'!$H$512,1,MATCH(1&amp;$B55,'Gastos com Pessoal'!$I$532:$AJ$532&amp;'Gastos com Pessoal'!$I$512:$AJ$512,0),10,1)),0)+_xlfn.IFNA(SUM((K$3&gt;='Gastos com Pessoal'!$E$513:$E$522)*(K$3&lt;='Gastos com Pessoal'!$F$513:$F$522)*(IF('Gastos com Pessoal'!$M$513:$M$522&lt;=K$3,1,0))*OFFSET('Gastos com Pessoal'!$H$512,1,MATCH(2&amp;$B55,'Gastos com Pessoal'!$I$532:$AJ$532&amp;'Gastos com Pessoal'!$I$512:$AJ$512,0),10,1)),0)+_xlfn.IFNA(SUM((K$3&gt;='Gastos com Pessoal'!$E$513:$E$522)*(K$3&lt;='Gastos com Pessoal'!$F$513:$F$522)*(IF('Gastos com Pessoal'!$S$513:$S$522&lt;=K$3,1,0))*OFFSET('Gastos com Pessoal'!$H$512,1,MATCH(3&amp;$B55,'Gastos com Pessoal'!$I$532:$AJ$532&amp;'Gastos com Pessoal'!$I$512:$AJ$512,0),10,1)),0)+_xlfn.IFNA(SUM((K$3&gt;='Gastos com Pessoal'!$E$513:$E$522)*(K$3&lt;='Gastos com Pessoal'!$F$513:$F$522)*(IF('Gastos com Pessoal'!$Y$513:$Y$522&lt;=K$3,1,0))*OFFSET('Gastos com Pessoal'!$H$512,1,MATCH(4&amp;$B55,'Gastos com Pessoal'!$I$532:$AJ$532&amp;'Gastos com Pessoal'!$I$512:$AJ$512,0),10,1)),0)+_xlfn.IFNA(SUM((K$3&gt;='Gastos com Pessoal'!$E$513:$E$522)*(K$3&lt;='Gastos com Pessoal'!$F$513:$F$522)*(IF('Gastos com Pessoal'!$AE$513:$AE$522&lt;=K$3,1,0))*OFFSET('Gastos com Pessoal'!$H$512,1,MATCH(5&amp;$B55,'Gastos com Pessoal'!$I$532:$AJ$532&amp;'Gastos com Pessoal'!$I$512:$AJ$512,0),10,1)),0)</f>
        <v>0</v>
      </c>
      <c r="L55" s="188">
        <f t="array" aca="1" ref="L55" ca="1">_xlfn.IFNA(SUM((L$3&gt;='Gastos com Pessoal'!$E$7:$E$506)*(L$3&lt;='Gastos com Pessoal'!$F$7:$F$506)*OFFSET('Encargos e Benefícios'!$D$5,1,MATCH($B55,'Encargos e Benefícios'!$E$5:$AB$5,0),500,1)),0)+_xlfn.IFNA(SUM((L$3&gt;='Gastos com Pessoal'!$E$513:$E$522)*(L$3&lt;='Gastos com Pessoal'!$F$513:$F$522)*OFFSET('Encargos e Benefícios'!$D$511,1,MATCH($B55,'Encargos e Benefícios'!$E$511:$AB$511,0),10,1)),0)+_xlfn.IFNA(SUM((L$3&gt;='Gastos com Pessoal'!$E$7:$E$506)*(L$3&lt;='Gastos com Pessoal'!$F$7:$F$506)*(IF('Gastos com Pessoal'!$G$7:$G$506&lt;=L$3,1,0))*OFFSET('Gastos com Pessoal'!$H$6,1,MATCH(1&amp;$B55,'Gastos com Pessoal'!$I$532:$AJ$532&amp;'Gastos com Pessoal'!$I$6:$AJ$6,0),500,1)),0)+_xlfn.IFNA(SUM((L$3&gt;='Gastos com Pessoal'!$E$7:$E$506)*(L$3&lt;='Gastos com Pessoal'!$F$7:$F$506)*(IF('Gastos com Pessoal'!$M$7:$M$506&lt;=L$3,1,0))*OFFSET('Gastos com Pessoal'!$H$6,1,MATCH(2&amp;$B55,'Gastos com Pessoal'!$I$532:$AJ$532&amp;'Gastos com Pessoal'!$I$6:$AJ$6,0),500,1)),0)+_xlfn.IFNA(SUM((L$3&gt;='Gastos com Pessoal'!$E$7:$E$506)*(L$3&lt;='Gastos com Pessoal'!$F$7:$F$506)*(IF('Gastos com Pessoal'!$S$7:$S$506&lt;=L$3,1,0))*OFFSET('Gastos com Pessoal'!$H$6,1,MATCH(3&amp;$B55,'Gastos com Pessoal'!$I$532:$AJ$532&amp;'Gastos com Pessoal'!$I$6:$AJ$6,0),500,1)),0)+_xlfn.IFNA(SUM((L$3&gt;='Gastos com Pessoal'!$E$7:$E$506)*(L$3&lt;='Gastos com Pessoal'!$F$7:$F$506)*(IF('Gastos com Pessoal'!$Y$7:$Y$506&lt;=L$3,1,0))*OFFSET('Gastos com Pessoal'!$H$6,1,MATCH(4&amp;$B55,'Gastos com Pessoal'!$I$532:$AJ$532&amp;'Gastos com Pessoal'!$I$6:$AJ$6,0),500,1)),0)+_xlfn.IFNA(SUM((L$3&gt;='Gastos com Pessoal'!$E$7:$E$506)*(L$3&lt;='Gastos com Pessoal'!$F$7:$F$506)*(IF('Gastos com Pessoal'!$AE$7:$AE$506&lt;=L$3,1,0))*OFFSET('Gastos com Pessoal'!$H$6,1,MATCH(5&amp;$B55,'Gastos com Pessoal'!$I$532:$AJ$532&amp;'Gastos com Pessoal'!$I$6:$AJ$6,0),500,1)),0)+_xlfn.IFNA(SUM((L$3&gt;='Gastos com Pessoal'!$E$513:$E$522)*(L$3&lt;='Gastos com Pessoal'!$F$513:$F$522)*(IF('Gastos com Pessoal'!$G$513:$G$522&lt;=L$3,1,0))*OFFSET('Gastos com Pessoal'!$H$512,1,MATCH(1&amp;$B55,'Gastos com Pessoal'!$I$532:$AJ$532&amp;'Gastos com Pessoal'!$I$512:$AJ$512,0),10,1)),0)+_xlfn.IFNA(SUM((L$3&gt;='Gastos com Pessoal'!$E$513:$E$522)*(L$3&lt;='Gastos com Pessoal'!$F$513:$F$522)*(IF('Gastos com Pessoal'!$M$513:$M$522&lt;=L$3,1,0))*OFFSET('Gastos com Pessoal'!$H$512,1,MATCH(2&amp;$B55,'Gastos com Pessoal'!$I$532:$AJ$532&amp;'Gastos com Pessoal'!$I$512:$AJ$512,0),10,1)),0)+_xlfn.IFNA(SUM((L$3&gt;='Gastos com Pessoal'!$E$513:$E$522)*(L$3&lt;='Gastos com Pessoal'!$F$513:$F$522)*(IF('Gastos com Pessoal'!$S$513:$S$522&lt;=L$3,1,0))*OFFSET('Gastos com Pessoal'!$H$512,1,MATCH(3&amp;$B55,'Gastos com Pessoal'!$I$532:$AJ$532&amp;'Gastos com Pessoal'!$I$512:$AJ$512,0),10,1)),0)+_xlfn.IFNA(SUM((L$3&gt;='Gastos com Pessoal'!$E$513:$E$522)*(L$3&lt;='Gastos com Pessoal'!$F$513:$F$522)*(IF('Gastos com Pessoal'!$Y$513:$Y$522&lt;=L$3,1,0))*OFFSET('Gastos com Pessoal'!$H$512,1,MATCH(4&amp;$B55,'Gastos com Pessoal'!$I$532:$AJ$532&amp;'Gastos com Pessoal'!$I$512:$AJ$512,0),10,1)),0)+_xlfn.IFNA(SUM((L$3&gt;='Gastos com Pessoal'!$E$513:$E$522)*(L$3&lt;='Gastos com Pessoal'!$F$513:$F$522)*(IF('Gastos com Pessoal'!$AE$513:$AE$522&lt;=L$3,1,0))*OFFSET('Gastos com Pessoal'!$H$512,1,MATCH(5&amp;$B55,'Gastos com Pessoal'!$I$532:$AJ$532&amp;'Gastos com Pessoal'!$I$512:$AJ$512,0),10,1)),0)</f>
        <v>0</v>
      </c>
      <c r="M55" s="188">
        <f t="array" aca="1" ref="M55" ca="1">_xlfn.IFNA(SUM((M$3&gt;='Gastos com Pessoal'!$E$7:$E$506)*(M$3&lt;='Gastos com Pessoal'!$F$7:$F$506)*OFFSET('Encargos e Benefícios'!$D$5,1,MATCH($B55,'Encargos e Benefícios'!$E$5:$AB$5,0),500,1)),0)+_xlfn.IFNA(SUM((M$3&gt;='Gastos com Pessoal'!$E$513:$E$522)*(M$3&lt;='Gastos com Pessoal'!$F$513:$F$522)*OFFSET('Encargos e Benefícios'!$D$511,1,MATCH($B55,'Encargos e Benefícios'!$E$511:$AB$511,0),10,1)),0)+_xlfn.IFNA(SUM((M$3&gt;='Gastos com Pessoal'!$E$7:$E$506)*(M$3&lt;='Gastos com Pessoal'!$F$7:$F$506)*(IF('Gastos com Pessoal'!$G$7:$G$506&lt;=M$3,1,0))*OFFSET('Gastos com Pessoal'!$H$6,1,MATCH(1&amp;$B55,'Gastos com Pessoal'!$I$532:$AJ$532&amp;'Gastos com Pessoal'!$I$6:$AJ$6,0),500,1)),0)+_xlfn.IFNA(SUM((M$3&gt;='Gastos com Pessoal'!$E$7:$E$506)*(M$3&lt;='Gastos com Pessoal'!$F$7:$F$506)*(IF('Gastos com Pessoal'!$M$7:$M$506&lt;=M$3,1,0))*OFFSET('Gastos com Pessoal'!$H$6,1,MATCH(2&amp;$B55,'Gastos com Pessoal'!$I$532:$AJ$532&amp;'Gastos com Pessoal'!$I$6:$AJ$6,0),500,1)),0)+_xlfn.IFNA(SUM((M$3&gt;='Gastos com Pessoal'!$E$7:$E$506)*(M$3&lt;='Gastos com Pessoal'!$F$7:$F$506)*(IF('Gastos com Pessoal'!$S$7:$S$506&lt;=M$3,1,0))*OFFSET('Gastos com Pessoal'!$H$6,1,MATCH(3&amp;$B55,'Gastos com Pessoal'!$I$532:$AJ$532&amp;'Gastos com Pessoal'!$I$6:$AJ$6,0),500,1)),0)+_xlfn.IFNA(SUM((M$3&gt;='Gastos com Pessoal'!$E$7:$E$506)*(M$3&lt;='Gastos com Pessoal'!$F$7:$F$506)*(IF('Gastos com Pessoal'!$Y$7:$Y$506&lt;=M$3,1,0))*OFFSET('Gastos com Pessoal'!$H$6,1,MATCH(4&amp;$B55,'Gastos com Pessoal'!$I$532:$AJ$532&amp;'Gastos com Pessoal'!$I$6:$AJ$6,0),500,1)),0)+_xlfn.IFNA(SUM((M$3&gt;='Gastos com Pessoal'!$E$7:$E$506)*(M$3&lt;='Gastos com Pessoal'!$F$7:$F$506)*(IF('Gastos com Pessoal'!$AE$7:$AE$506&lt;=M$3,1,0))*OFFSET('Gastos com Pessoal'!$H$6,1,MATCH(5&amp;$B55,'Gastos com Pessoal'!$I$532:$AJ$532&amp;'Gastos com Pessoal'!$I$6:$AJ$6,0),500,1)),0)+_xlfn.IFNA(SUM((M$3&gt;='Gastos com Pessoal'!$E$513:$E$522)*(M$3&lt;='Gastos com Pessoal'!$F$513:$F$522)*(IF('Gastos com Pessoal'!$G$513:$G$522&lt;=M$3,1,0))*OFFSET('Gastos com Pessoal'!$H$512,1,MATCH(1&amp;$B55,'Gastos com Pessoal'!$I$532:$AJ$532&amp;'Gastos com Pessoal'!$I$512:$AJ$512,0),10,1)),0)+_xlfn.IFNA(SUM((M$3&gt;='Gastos com Pessoal'!$E$513:$E$522)*(M$3&lt;='Gastos com Pessoal'!$F$513:$F$522)*(IF('Gastos com Pessoal'!$M$513:$M$522&lt;=M$3,1,0))*OFFSET('Gastos com Pessoal'!$H$512,1,MATCH(2&amp;$B55,'Gastos com Pessoal'!$I$532:$AJ$532&amp;'Gastos com Pessoal'!$I$512:$AJ$512,0),10,1)),0)+_xlfn.IFNA(SUM((M$3&gt;='Gastos com Pessoal'!$E$513:$E$522)*(M$3&lt;='Gastos com Pessoal'!$F$513:$F$522)*(IF('Gastos com Pessoal'!$S$513:$S$522&lt;=M$3,1,0))*OFFSET('Gastos com Pessoal'!$H$512,1,MATCH(3&amp;$B55,'Gastos com Pessoal'!$I$532:$AJ$532&amp;'Gastos com Pessoal'!$I$512:$AJ$512,0),10,1)),0)+_xlfn.IFNA(SUM((M$3&gt;='Gastos com Pessoal'!$E$513:$E$522)*(M$3&lt;='Gastos com Pessoal'!$F$513:$F$522)*(IF('Gastos com Pessoal'!$Y$513:$Y$522&lt;=M$3,1,0))*OFFSET('Gastos com Pessoal'!$H$512,1,MATCH(4&amp;$B55,'Gastos com Pessoal'!$I$532:$AJ$532&amp;'Gastos com Pessoal'!$I$512:$AJ$512,0),10,1)),0)+_xlfn.IFNA(SUM((M$3&gt;='Gastos com Pessoal'!$E$513:$E$522)*(M$3&lt;='Gastos com Pessoal'!$F$513:$F$522)*(IF('Gastos com Pessoal'!$AE$513:$AE$522&lt;=M$3,1,0))*OFFSET('Gastos com Pessoal'!$H$512,1,MATCH(5&amp;$B55,'Gastos com Pessoal'!$I$532:$AJ$532&amp;'Gastos com Pessoal'!$I$512:$AJ$512,0),10,1)),0)</f>
        <v>0</v>
      </c>
      <c r="N55" s="188">
        <f t="array" aca="1" ref="N55" ca="1">_xlfn.IFNA(SUM((N$3&gt;='Gastos com Pessoal'!$E$7:$E$506)*(N$3&lt;='Gastos com Pessoal'!$F$7:$F$506)*OFFSET('Encargos e Benefícios'!$D$5,1,MATCH($B55,'Encargos e Benefícios'!$E$5:$AB$5,0),500,1)),0)+_xlfn.IFNA(SUM((N$3&gt;='Gastos com Pessoal'!$E$513:$E$522)*(N$3&lt;='Gastos com Pessoal'!$F$513:$F$522)*OFFSET('Encargos e Benefícios'!$D$511,1,MATCH($B55,'Encargos e Benefícios'!$E$511:$AB$511,0),10,1)),0)+_xlfn.IFNA(SUM((N$3&gt;='Gastos com Pessoal'!$E$7:$E$506)*(N$3&lt;='Gastos com Pessoal'!$F$7:$F$506)*(IF('Gastos com Pessoal'!$G$7:$G$506&lt;=N$3,1,0))*OFFSET('Gastos com Pessoal'!$H$6,1,MATCH(1&amp;$B55,'Gastos com Pessoal'!$I$532:$AJ$532&amp;'Gastos com Pessoal'!$I$6:$AJ$6,0),500,1)),0)+_xlfn.IFNA(SUM((N$3&gt;='Gastos com Pessoal'!$E$7:$E$506)*(N$3&lt;='Gastos com Pessoal'!$F$7:$F$506)*(IF('Gastos com Pessoal'!$M$7:$M$506&lt;=N$3,1,0))*OFFSET('Gastos com Pessoal'!$H$6,1,MATCH(2&amp;$B55,'Gastos com Pessoal'!$I$532:$AJ$532&amp;'Gastos com Pessoal'!$I$6:$AJ$6,0),500,1)),0)+_xlfn.IFNA(SUM((N$3&gt;='Gastos com Pessoal'!$E$7:$E$506)*(N$3&lt;='Gastos com Pessoal'!$F$7:$F$506)*(IF('Gastos com Pessoal'!$S$7:$S$506&lt;=N$3,1,0))*OFFSET('Gastos com Pessoal'!$H$6,1,MATCH(3&amp;$B55,'Gastos com Pessoal'!$I$532:$AJ$532&amp;'Gastos com Pessoal'!$I$6:$AJ$6,0),500,1)),0)+_xlfn.IFNA(SUM((N$3&gt;='Gastos com Pessoal'!$E$7:$E$506)*(N$3&lt;='Gastos com Pessoal'!$F$7:$F$506)*(IF('Gastos com Pessoal'!$Y$7:$Y$506&lt;=N$3,1,0))*OFFSET('Gastos com Pessoal'!$H$6,1,MATCH(4&amp;$B55,'Gastos com Pessoal'!$I$532:$AJ$532&amp;'Gastos com Pessoal'!$I$6:$AJ$6,0),500,1)),0)+_xlfn.IFNA(SUM((N$3&gt;='Gastos com Pessoal'!$E$7:$E$506)*(N$3&lt;='Gastos com Pessoal'!$F$7:$F$506)*(IF('Gastos com Pessoal'!$AE$7:$AE$506&lt;=N$3,1,0))*OFFSET('Gastos com Pessoal'!$H$6,1,MATCH(5&amp;$B55,'Gastos com Pessoal'!$I$532:$AJ$532&amp;'Gastos com Pessoal'!$I$6:$AJ$6,0),500,1)),0)+_xlfn.IFNA(SUM((N$3&gt;='Gastos com Pessoal'!$E$513:$E$522)*(N$3&lt;='Gastos com Pessoal'!$F$513:$F$522)*(IF('Gastos com Pessoal'!$G$513:$G$522&lt;=N$3,1,0))*OFFSET('Gastos com Pessoal'!$H$512,1,MATCH(1&amp;$B55,'Gastos com Pessoal'!$I$532:$AJ$532&amp;'Gastos com Pessoal'!$I$512:$AJ$512,0),10,1)),0)+_xlfn.IFNA(SUM((N$3&gt;='Gastos com Pessoal'!$E$513:$E$522)*(N$3&lt;='Gastos com Pessoal'!$F$513:$F$522)*(IF('Gastos com Pessoal'!$M$513:$M$522&lt;=N$3,1,0))*OFFSET('Gastos com Pessoal'!$H$512,1,MATCH(2&amp;$B55,'Gastos com Pessoal'!$I$532:$AJ$532&amp;'Gastos com Pessoal'!$I$512:$AJ$512,0),10,1)),0)+_xlfn.IFNA(SUM((N$3&gt;='Gastos com Pessoal'!$E$513:$E$522)*(N$3&lt;='Gastos com Pessoal'!$F$513:$F$522)*(IF('Gastos com Pessoal'!$S$513:$S$522&lt;=N$3,1,0))*OFFSET('Gastos com Pessoal'!$H$512,1,MATCH(3&amp;$B55,'Gastos com Pessoal'!$I$532:$AJ$532&amp;'Gastos com Pessoal'!$I$512:$AJ$512,0),10,1)),0)+_xlfn.IFNA(SUM((N$3&gt;='Gastos com Pessoal'!$E$513:$E$522)*(N$3&lt;='Gastos com Pessoal'!$F$513:$F$522)*(IF('Gastos com Pessoal'!$Y$513:$Y$522&lt;=N$3,1,0))*OFFSET('Gastos com Pessoal'!$H$512,1,MATCH(4&amp;$B55,'Gastos com Pessoal'!$I$532:$AJ$532&amp;'Gastos com Pessoal'!$I$512:$AJ$512,0),10,1)),0)+_xlfn.IFNA(SUM((N$3&gt;='Gastos com Pessoal'!$E$513:$E$522)*(N$3&lt;='Gastos com Pessoal'!$F$513:$F$522)*(IF('Gastos com Pessoal'!$AE$513:$AE$522&lt;=N$3,1,0))*OFFSET('Gastos com Pessoal'!$H$512,1,MATCH(5&amp;$B55,'Gastos com Pessoal'!$I$532:$AJ$532&amp;'Gastos com Pessoal'!$I$512:$AJ$512,0),10,1)),0)</f>
        <v>0</v>
      </c>
      <c r="O55" s="188">
        <f t="array" aca="1" ref="O55" ca="1">_xlfn.IFNA(SUM((O$3&gt;='Gastos com Pessoal'!$E$7:$E$506)*(O$3&lt;='Gastos com Pessoal'!$F$7:$F$506)*OFFSET('Encargos e Benefícios'!$D$5,1,MATCH($B55,'Encargos e Benefícios'!$E$5:$AB$5,0),500,1)),0)+_xlfn.IFNA(SUM((O$3&gt;='Gastos com Pessoal'!$E$513:$E$522)*(O$3&lt;='Gastos com Pessoal'!$F$513:$F$522)*OFFSET('Encargos e Benefícios'!$D$511,1,MATCH($B55,'Encargos e Benefícios'!$E$511:$AB$511,0),10,1)),0)+_xlfn.IFNA(SUM((O$3&gt;='Gastos com Pessoal'!$E$7:$E$506)*(O$3&lt;='Gastos com Pessoal'!$F$7:$F$506)*(IF('Gastos com Pessoal'!$G$7:$G$506&lt;=O$3,1,0))*OFFSET('Gastos com Pessoal'!$H$6,1,MATCH(1&amp;$B55,'Gastos com Pessoal'!$I$532:$AJ$532&amp;'Gastos com Pessoal'!$I$6:$AJ$6,0),500,1)),0)+_xlfn.IFNA(SUM((O$3&gt;='Gastos com Pessoal'!$E$7:$E$506)*(O$3&lt;='Gastos com Pessoal'!$F$7:$F$506)*(IF('Gastos com Pessoal'!$M$7:$M$506&lt;=O$3,1,0))*OFFSET('Gastos com Pessoal'!$H$6,1,MATCH(2&amp;$B55,'Gastos com Pessoal'!$I$532:$AJ$532&amp;'Gastos com Pessoal'!$I$6:$AJ$6,0),500,1)),0)+_xlfn.IFNA(SUM((O$3&gt;='Gastos com Pessoal'!$E$7:$E$506)*(O$3&lt;='Gastos com Pessoal'!$F$7:$F$506)*(IF('Gastos com Pessoal'!$S$7:$S$506&lt;=O$3,1,0))*OFFSET('Gastos com Pessoal'!$H$6,1,MATCH(3&amp;$B55,'Gastos com Pessoal'!$I$532:$AJ$532&amp;'Gastos com Pessoal'!$I$6:$AJ$6,0),500,1)),0)+_xlfn.IFNA(SUM((O$3&gt;='Gastos com Pessoal'!$E$7:$E$506)*(O$3&lt;='Gastos com Pessoal'!$F$7:$F$506)*(IF('Gastos com Pessoal'!$Y$7:$Y$506&lt;=O$3,1,0))*OFFSET('Gastos com Pessoal'!$H$6,1,MATCH(4&amp;$B55,'Gastos com Pessoal'!$I$532:$AJ$532&amp;'Gastos com Pessoal'!$I$6:$AJ$6,0),500,1)),0)+_xlfn.IFNA(SUM((O$3&gt;='Gastos com Pessoal'!$E$7:$E$506)*(O$3&lt;='Gastos com Pessoal'!$F$7:$F$506)*(IF('Gastos com Pessoal'!$AE$7:$AE$506&lt;=O$3,1,0))*OFFSET('Gastos com Pessoal'!$H$6,1,MATCH(5&amp;$B55,'Gastos com Pessoal'!$I$532:$AJ$532&amp;'Gastos com Pessoal'!$I$6:$AJ$6,0),500,1)),0)+_xlfn.IFNA(SUM((O$3&gt;='Gastos com Pessoal'!$E$513:$E$522)*(O$3&lt;='Gastos com Pessoal'!$F$513:$F$522)*(IF('Gastos com Pessoal'!$G$513:$G$522&lt;=O$3,1,0))*OFFSET('Gastos com Pessoal'!$H$512,1,MATCH(1&amp;$B55,'Gastos com Pessoal'!$I$532:$AJ$532&amp;'Gastos com Pessoal'!$I$512:$AJ$512,0),10,1)),0)+_xlfn.IFNA(SUM((O$3&gt;='Gastos com Pessoal'!$E$513:$E$522)*(O$3&lt;='Gastos com Pessoal'!$F$513:$F$522)*(IF('Gastos com Pessoal'!$M$513:$M$522&lt;=O$3,1,0))*OFFSET('Gastos com Pessoal'!$H$512,1,MATCH(2&amp;$B55,'Gastos com Pessoal'!$I$532:$AJ$532&amp;'Gastos com Pessoal'!$I$512:$AJ$512,0),10,1)),0)+_xlfn.IFNA(SUM((O$3&gt;='Gastos com Pessoal'!$E$513:$E$522)*(O$3&lt;='Gastos com Pessoal'!$F$513:$F$522)*(IF('Gastos com Pessoal'!$S$513:$S$522&lt;=O$3,1,0))*OFFSET('Gastos com Pessoal'!$H$512,1,MATCH(3&amp;$B55,'Gastos com Pessoal'!$I$532:$AJ$532&amp;'Gastos com Pessoal'!$I$512:$AJ$512,0),10,1)),0)+_xlfn.IFNA(SUM((O$3&gt;='Gastos com Pessoal'!$E$513:$E$522)*(O$3&lt;='Gastos com Pessoal'!$F$513:$F$522)*(IF('Gastos com Pessoal'!$Y$513:$Y$522&lt;=O$3,1,0))*OFFSET('Gastos com Pessoal'!$H$512,1,MATCH(4&amp;$B55,'Gastos com Pessoal'!$I$532:$AJ$532&amp;'Gastos com Pessoal'!$I$512:$AJ$512,0),10,1)),0)+_xlfn.IFNA(SUM((O$3&gt;='Gastos com Pessoal'!$E$513:$E$522)*(O$3&lt;='Gastos com Pessoal'!$F$513:$F$522)*(IF('Gastos com Pessoal'!$AE$513:$AE$522&lt;=O$3,1,0))*OFFSET('Gastos com Pessoal'!$H$512,1,MATCH(5&amp;$B55,'Gastos com Pessoal'!$I$532:$AJ$532&amp;'Gastos com Pessoal'!$I$512:$AJ$512,0),10,1)),0)</f>
        <v>0</v>
      </c>
      <c r="P55" s="188">
        <f t="array" aca="1" ref="P55" ca="1">_xlfn.IFNA(SUM((P$3&gt;='Gastos com Pessoal'!$E$7:$E$506)*(P$3&lt;='Gastos com Pessoal'!$F$7:$F$506)*OFFSET('Encargos e Benefícios'!$D$5,1,MATCH($B55,'Encargos e Benefícios'!$E$5:$AB$5,0),500,1)),0)+_xlfn.IFNA(SUM((P$3&gt;='Gastos com Pessoal'!$E$513:$E$522)*(P$3&lt;='Gastos com Pessoal'!$F$513:$F$522)*OFFSET('Encargos e Benefícios'!$D$511,1,MATCH($B55,'Encargos e Benefícios'!$E$511:$AB$511,0),10,1)),0)+_xlfn.IFNA(SUM((P$3&gt;='Gastos com Pessoal'!$E$7:$E$506)*(P$3&lt;='Gastos com Pessoal'!$F$7:$F$506)*(IF('Gastos com Pessoal'!$G$7:$G$506&lt;=P$3,1,0))*OFFSET('Gastos com Pessoal'!$H$6,1,MATCH(1&amp;$B55,'Gastos com Pessoal'!$I$532:$AJ$532&amp;'Gastos com Pessoal'!$I$6:$AJ$6,0),500,1)),0)+_xlfn.IFNA(SUM((P$3&gt;='Gastos com Pessoal'!$E$7:$E$506)*(P$3&lt;='Gastos com Pessoal'!$F$7:$F$506)*(IF('Gastos com Pessoal'!$M$7:$M$506&lt;=P$3,1,0))*OFFSET('Gastos com Pessoal'!$H$6,1,MATCH(2&amp;$B55,'Gastos com Pessoal'!$I$532:$AJ$532&amp;'Gastos com Pessoal'!$I$6:$AJ$6,0),500,1)),0)+_xlfn.IFNA(SUM((P$3&gt;='Gastos com Pessoal'!$E$7:$E$506)*(P$3&lt;='Gastos com Pessoal'!$F$7:$F$506)*(IF('Gastos com Pessoal'!$S$7:$S$506&lt;=P$3,1,0))*OFFSET('Gastos com Pessoal'!$H$6,1,MATCH(3&amp;$B55,'Gastos com Pessoal'!$I$532:$AJ$532&amp;'Gastos com Pessoal'!$I$6:$AJ$6,0),500,1)),0)+_xlfn.IFNA(SUM((P$3&gt;='Gastos com Pessoal'!$E$7:$E$506)*(P$3&lt;='Gastos com Pessoal'!$F$7:$F$506)*(IF('Gastos com Pessoal'!$Y$7:$Y$506&lt;=P$3,1,0))*OFFSET('Gastos com Pessoal'!$H$6,1,MATCH(4&amp;$B55,'Gastos com Pessoal'!$I$532:$AJ$532&amp;'Gastos com Pessoal'!$I$6:$AJ$6,0),500,1)),0)+_xlfn.IFNA(SUM((P$3&gt;='Gastos com Pessoal'!$E$7:$E$506)*(P$3&lt;='Gastos com Pessoal'!$F$7:$F$506)*(IF('Gastos com Pessoal'!$AE$7:$AE$506&lt;=P$3,1,0))*OFFSET('Gastos com Pessoal'!$H$6,1,MATCH(5&amp;$B55,'Gastos com Pessoal'!$I$532:$AJ$532&amp;'Gastos com Pessoal'!$I$6:$AJ$6,0),500,1)),0)+_xlfn.IFNA(SUM((P$3&gt;='Gastos com Pessoal'!$E$513:$E$522)*(P$3&lt;='Gastos com Pessoal'!$F$513:$F$522)*(IF('Gastos com Pessoal'!$G$513:$G$522&lt;=P$3,1,0))*OFFSET('Gastos com Pessoal'!$H$512,1,MATCH(1&amp;$B55,'Gastos com Pessoal'!$I$532:$AJ$532&amp;'Gastos com Pessoal'!$I$512:$AJ$512,0),10,1)),0)+_xlfn.IFNA(SUM((P$3&gt;='Gastos com Pessoal'!$E$513:$E$522)*(P$3&lt;='Gastos com Pessoal'!$F$513:$F$522)*(IF('Gastos com Pessoal'!$M$513:$M$522&lt;=P$3,1,0))*OFFSET('Gastos com Pessoal'!$H$512,1,MATCH(2&amp;$B55,'Gastos com Pessoal'!$I$532:$AJ$532&amp;'Gastos com Pessoal'!$I$512:$AJ$512,0),10,1)),0)+_xlfn.IFNA(SUM((P$3&gt;='Gastos com Pessoal'!$E$513:$E$522)*(P$3&lt;='Gastos com Pessoal'!$F$513:$F$522)*(IF('Gastos com Pessoal'!$S$513:$S$522&lt;=P$3,1,0))*OFFSET('Gastos com Pessoal'!$H$512,1,MATCH(3&amp;$B55,'Gastos com Pessoal'!$I$532:$AJ$532&amp;'Gastos com Pessoal'!$I$512:$AJ$512,0),10,1)),0)+_xlfn.IFNA(SUM((P$3&gt;='Gastos com Pessoal'!$E$513:$E$522)*(P$3&lt;='Gastos com Pessoal'!$F$513:$F$522)*(IF('Gastos com Pessoal'!$Y$513:$Y$522&lt;=P$3,1,0))*OFFSET('Gastos com Pessoal'!$H$512,1,MATCH(4&amp;$B55,'Gastos com Pessoal'!$I$532:$AJ$532&amp;'Gastos com Pessoal'!$I$512:$AJ$512,0),10,1)),0)+_xlfn.IFNA(SUM((P$3&gt;='Gastos com Pessoal'!$E$513:$E$522)*(P$3&lt;='Gastos com Pessoal'!$F$513:$F$522)*(IF('Gastos com Pessoal'!$AE$513:$AE$522&lt;=P$3,1,0))*OFFSET('Gastos com Pessoal'!$H$512,1,MATCH(5&amp;$B55,'Gastos com Pessoal'!$I$532:$AJ$532&amp;'Gastos com Pessoal'!$I$512:$AJ$512,0),10,1)),0)</f>
        <v>0</v>
      </c>
      <c r="Q55" s="188">
        <f t="array" aca="1" ref="Q55" ca="1">_xlfn.IFNA(SUM((Q$3&gt;='Gastos com Pessoal'!$E$7:$E$506)*(Q$3&lt;='Gastos com Pessoal'!$F$7:$F$506)*OFFSET('Encargos e Benefícios'!$D$5,1,MATCH($B55,'Encargos e Benefícios'!$E$5:$AB$5,0),500,1)),0)+_xlfn.IFNA(SUM((Q$3&gt;='Gastos com Pessoal'!$E$513:$E$522)*(Q$3&lt;='Gastos com Pessoal'!$F$513:$F$522)*OFFSET('Encargos e Benefícios'!$D$511,1,MATCH($B55,'Encargos e Benefícios'!$E$511:$AB$511,0),10,1)),0)+_xlfn.IFNA(SUM((Q$3&gt;='Gastos com Pessoal'!$E$7:$E$506)*(Q$3&lt;='Gastos com Pessoal'!$F$7:$F$506)*(IF('Gastos com Pessoal'!$G$7:$G$506&lt;=Q$3,1,0))*OFFSET('Gastos com Pessoal'!$H$6,1,MATCH(1&amp;$B55,'Gastos com Pessoal'!$I$532:$AJ$532&amp;'Gastos com Pessoal'!$I$6:$AJ$6,0),500,1)),0)+_xlfn.IFNA(SUM((Q$3&gt;='Gastos com Pessoal'!$E$7:$E$506)*(Q$3&lt;='Gastos com Pessoal'!$F$7:$F$506)*(IF('Gastos com Pessoal'!$M$7:$M$506&lt;=Q$3,1,0))*OFFSET('Gastos com Pessoal'!$H$6,1,MATCH(2&amp;$B55,'Gastos com Pessoal'!$I$532:$AJ$532&amp;'Gastos com Pessoal'!$I$6:$AJ$6,0),500,1)),0)+_xlfn.IFNA(SUM((Q$3&gt;='Gastos com Pessoal'!$E$7:$E$506)*(Q$3&lt;='Gastos com Pessoal'!$F$7:$F$506)*(IF('Gastos com Pessoal'!$S$7:$S$506&lt;=Q$3,1,0))*OFFSET('Gastos com Pessoal'!$H$6,1,MATCH(3&amp;$B55,'Gastos com Pessoal'!$I$532:$AJ$532&amp;'Gastos com Pessoal'!$I$6:$AJ$6,0),500,1)),0)+_xlfn.IFNA(SUM((Q$3&gt;='Gastos com Pessoal'!$E$7:$E$506)*(Q$3&lt;='Gastos com Pessoal'!$F$7:$F$506)*(IF('Gastos com Pessoal'!$Y$7:$Y$506&lt;=Q$3,1,0))*OFFSET('Gastos com Pessoal'!$H$6,1,MATCH(4&amp;$B55,'Gastos com Pessoal'!$I$532:$AJ$532&amp;'Gastos com Pessoal'!$I$6:$AJ$6,0),500,1)),0)+_xlfn.IFNA(SUM((Q$3&gt;='Gastos com Pessoal'!$E$7:$E$506)*(Q$3&lt;='Gastos com Pessoal'!$F$7:$F$506)*(IF('Gastos com Pessoal'!$AE$7:$AE$506&lt;=Q$3,1,0))*OFFSET('Gastos com Pessoal'!$H$6,1,MATCH(5&amp;$B55,'Gastos com Pessoal'!$I$532:$AJ$532&amp;'Gastos com Pessoal'!$I$6:$AJ$6,0),500,1)),0)+_xlfn.IFNA(SUM((Q$3&gt;='Gastos com Pessoal'!$E$513:$E$522)*(Q$3&lt;='Gastos com Pessoal'!$F$513:$F$522)*(IF('Gastos com Pessoal'!$G$513:$G$522&lt;=Q$3,1,0))*OFFSET('Gastos com Pessoal'!$H$512,1,MATCH(1&amp;$B55,'Gastos com Pessoal'!$I$532:$AJ$532&amp;'Gastos com Pessoal'!$I$512:$AJ$512,0),10,1)),0)+_xlfn.IFNA(SUM((Q$3&gt;='Gastos com Pessoal'!$E$513:$E$522)*(Q$3&lt;='Gastos com Pessoal'!$F$513:$F$522)*(IF('Gastos com Pessoal'!$M$513:$M$522&lt;=Q$3,1,0))*OFFSET('Gastos com Pessoal'!$H$512,1,MATCH(2&amp;$B55,'Gastos com Pessoal'!$I$532:$AJ$532&amp;'Gastos com Pessoal'!$I$512:$AJ$512,0),10,1)),0)+_xlfn.IFNA(SUM((Q$3&gt;='Gastos com Pessoal'!$E$513:$E$522)*(Q$3&lt;='Gastos com Pessoal'!$F$513:$F$522)*(IF('Gastos com Pessoal'!$S$513:$S$522&lt;=Q$3,1,0))*OFFSET('Gastos com Pessoal'!$H$512,1,MATCH(3&amp;$B55,'Gastos com Pessoal'!$I$532:$AJ$532&amp;'Gastos com Pessoal'!$I$512:$AJ$512,0),10,1)),0)+_xlfn.IFNA(SUM((Q$3&gt;='Gastos com Pessoal'!$E$513:$E$522)*(Q$3&lt;='Gastos com Pessoal'!$F$513:$F$522)*(IF('Gastos com Pessoal'!$Y$513:$Y$522&lt;=Q$3,1,0))*OFFSET('Gastos com Pessoal'!$H$512,1,MATCH(4&amp;$B55,'Gastos com Pessoal'!$I$532:$AJ$532&amp;'Gastos com Pessoal'!$I$512:$AJ$512,0),10,1)),0)+_xlfn.IFNA(SUM((Q$3&gt;='Gastos com Pessoal'!$E$513:$E$522)*(Q$3&lt;='Gastos com Pessoal'!$F$513:$F$522)*(IF('Gastos com Pessoal'!$AE$513:$AE$522&lt;=Q$3,1,0))*OFFSET('Gastos com Pessoal'!$H$512,1,MATCH(5&amp;$B55,'Gastos com Pessoal'!$I$532:$AJ$532&amp;'Gastos com Pessoal'!$I$512:$AJ$512,0),10,1)),0)</f>
        <v>0</v>
      </c>
      <c r="R55" s="188">
        <f t="array" aca="1" ref="R55" ca="1">_xlfn.IFNA(SUM((R$3&gt;='Gastos com Pessoal'!$E$7:$E$506)*(R$3&lt;='Gastos com Pessoal'!$F$7:$F$506)*OFFSET('Encargos e Benefícios'!$D$5,1,MATCH($B55,'Encargos e Benefícios'!$E$5:$AB$5,0),500,1)),0)+_xlfn.IFNA(SUM((R$3&gt;='Gastos com Pessoal'!$E$513:$E$522)*(R$3&lt;='Gastos com Pessoal'!$F$513:$F$522)*OFFSET('Encargos e Benefícios'!$D$511,1,MATCH($B55,'Encargos e Benefícios'!$E$511:$AB$511,0),10,1)),0)+_xlfn.IFNA(SUM((R$3&gt;='Gastos com Pessoal'!$E$7:$E$506)*(R$3&lt;='Gastos com Pessoal'!$F$7:$F$506)*(IF('Gastos com Pessoal'!$G$7:$G$506&lt;=R$3,1,0))*OFFSET('Gastos com Pessoal'!$H$6,1,MATCH(1&amp;$B55,'Gastos com Pessoal'!$I$532:$AJ$532&amp;'Gastos com Pessoal'!$I$6:$AJ$6,0),500,1)),0)+_xlfn.IFNA(SUM((R$3&gt;='Gastos com Pessoal'!$E$7:$E$506)*(R$3&lt;='Gastos com Pessoal'!$F$7:$F$506)*(IF('Gastos com Pessoal'!$M$7:$M$506&lt;=R$3,1,0))*OFFSET('Gastos com Pessoal'!$H$6,1,MATCH(2&amp;$B55,'Gastos com Pessoal'!$I$532:$AJ$532&amp;'Gastos com Pessoal'!$I$6:$AJ$6,0),500,1)),0)+_xlfn.IFNA(SUM((R$3&gt;='Gastos com Pessoal'!$E$7:$E$506)*(R$3&lt;='Gastos com Pessoal'!$F$7:$F$506)*(IF('Gastos com Pessoal'!$S$7:$S$506&lt;=R$3,1,0))*OFFSET('Gastos com Pessoal'!$H$6,1,MATCH(3&amp;$B55,'Gastos com Pessoal'!$I$532:$AJ$532&amp;'Gastos com Pessoal'!$I$6:$AJ$6,0),500,1)),0)+_xlfn.IFNA(SUM((R$3&gt;='Gastos com Pessoal'!$E$7:$E$506)*(R$3&lt;='Gastos com Pessoal'!$F$7:$F$506)*(IF('Gastos com Pessoal'!$Y$7:$Y$506&lt;=R$3,1,0))*OFFSET('Gastos com Pessoal'!$H$6,1,MATCH(4&amp;$B55,'Gastos com Pessoal'!$I$532:$AJ$532&amp;'Gastos com Pessoal'!$I$6:$AJ$6,0),500,1)),0)+_xlfn.IFNA(SUM((R$3&gt;='Gastos com Pessoal'!$E$7:$E$506)*(R$3&lt;='Gastos com Pessoal'!$F$7:$F$506)*(IF('Gastos com Pessoal'!$AE$7:$AE$506&lt;=R$3,1,0))*OFFSET('Gastos com Pessoal'!$H$6,1,MATCH(5&amp;$B55,'Gastos com Pessoal'!$I$532:$AJ$532&amp;'Gastos com Pessoal'!$I$6:$AJ$6,0),500,1)),0)+_xlfn.IFNA(SUM((R$3&gt;='Gastos com Pessoal'!$E$513:$E$522)*(R$3&lt;='Gastos com Pessoal'!$F$513:$F$522)*(IF('Gastos com Pessoal'!$G$513:$G$522&lt;=R$3,1,0))*OFFSET('Gastos com Pessoal'!$H$512,1,MATCH(1&amp;$B55,'Gastos com Pessoal'!$I$532:$AJ$532&amp;'Gastos com Pessoal'!$I$512:$AJ$512,0),10,1)),0)+_xlfn.IFNA(SUM((R$3&gt;='Gastos com Pessoal'!$E$513:$E$522)*(R$3&lt;='Gastos com Pessoal'!$F$513:$F$522)*(IF('Gastos com Pessoal'!$M$513:$M$522&lt;=R$3,1,0))*OFFSET('Gastos com Pessoal'!$H$512,1,MATCH(2&amp;$B55,'Gastos com Pessoal'!$I$532:$AJ$532&amp;'Gastos com Pessoal'!$I$512:$AJ$512,0),10,1)),0)+_xlfn.IFNA(SUM((R$3&gt;='Gastos com Pessoal'!$E$513:$E$522)*(R$3&lt;='Gastos com Pessoal'!$F$513:$F$522)*(IF('Gastos com Pessoal'!$S$513:$S$522&lt;=R$3,1,0))*OFFSET('Gastos com Pessoal'!$H$512,1,MATCH(3&amp;$B55,'Gastos com Pessoal'!$I$532:$AJ$532&amp;'Gastos com Pessoal'!$I$512:$AJ$512,0),10,1)),0)+_xlfn.IFNA(SUM((R$3&gt;='Gastos com Pessoal'!$E$513:$E$522)*(R$3&lt;='Gastos com Pessoal'!$F$513:$F$522)*(IF('Gastos com Pessoal'!$Y$513:$Y$522&lt;=R$3,1,0))*OFFSET('Gastos com Pessoal'!$H$512,1,MATCH(4&amp;$B55,'Gastos com Pessoal'!$I$532:$AJ$532&amp;'Gastos com Pessoal'!$I$512:$AJ$512,0),10,1)),0)+_xlfn.IFNA(SUM((R$3&gt;='Gastos com Pessoal'!$E$513:$E$522)*(R$3&lt;='Gastos com Pessoal'!$F$513:$F$522)*(IF('Gastos com Pessoal'!$AE$513:$AE$522&lt;=R$3,1,0))*OFFSET('Gastos com Pessoal'!$H$512,1,MATCH(5&amp;$B55,'Gastos com Pessoal'!$I$532:$AJ$532&amp;'Gastos com Pessoal'!$I$512:$AJ$512,0),10,1)),0)</f>
        <v>0</v>
      </c>
      <c r="S55" s="188">
        <f t="array" aca="1" ref="S55" ca="1">_xlfn.IFNA(SUM((S$3&gt;='Gastos com Pessoal'!$E$7:$E$506)*(S$3&lt;='Gastos com Pessoal'!$F$7:$F$506)*OFFSET('Encargos e Benefícios'!$D$5,1,MATCH($B55,'Encargos e Benefícios'!$E$5:$AB$5,0),500,1)),0)+_xlfn.IFNA(SUM((S$3&gt;='Gastos com Pessoal'!$E$513:$E$522)*(S$3&lt;='Gastos com Pessoal'!$F$513:$F$522)*OFFSET('Encargos e Benefícios'!$D$511,1,MATCH($B55,'Encargos e Benefícios'!$E$511:$AB$511,0),10,1)),0)+_xlfn.IFNA(SUM((S$3&gt;='Gastos com Pessoal'!$E$7:$E$506)*(S$3&lt;='Gastos com Pessoal'!$F$7:$F$506)*(IF('Gastos com Pessoal'!$G$7:$G$506&lt;=S$3,1,0))*OFFSET('Gastos com Pessoal'!$H$6,1,MATCH(1&amp;$B55,'Gastos com Pessoal'!$I$532:$AJ$532&amp;'Gastos com Pessoal'!$I$6:$AJ$6,0),500,1)),0)+_xlfn.IFNA(SUM((S$3&gt;='Gastos com Pessoal'!$E$7:$E$506)*(S$3&lt;='Gastos com Pessoal'!$F$7:$F$506)*(IF('Gastos com Pessoal'!$M$7:$M$506&lt;=S$3,1,0))*OFFSET('Gastos com Pessoal'!$H$6,1,MATCH(2&amp;$B55,'Gastos com Pessoal'!$I$532:$AJ$532&amp;'Gastos com Pessoal'!$I$6:$AJ$6,0),500,1)),0)+_xlfn.IFNA(SUM((S$3&gt;='Gastos com Pessoal'!$E$7:$E$506)*(S$3&lt;='Gastos com Pessoal'!$F$7:$F$506)*(IF('Gastos com Pessoal'!$S$7:$S$506&lt;=S$3,1,0))*OFFSET('Gastos com Pessoal'!$H$6,1,MATCH(3&amp;$B55,'Gastos com Pessoal'!$I$532:$AJ$532&amp;'Gastos com Pessoal'!$I$6:$AJ$6,0),500,1)),0)+_xlfn.IFNA(SUM((S$3&gt;='Gastos com Pessoal'!$E$7:$E$506)*(S$3&lt;='Gastos com Pessoal'!$F$7:$F$506)*(IF('Gastos com Pessoal'!$Y$7:$Y$506&lt;=S$3,1,0))*OFFSET('Gastos com Pessoal'!$H$6,1,MATCH(4&amp;$B55,'Gastos com Pessoal'!$I$532:$AJ$532&amp;'Gastos com Pessoal'!$I$6:$AJ$6,0),500,1)),0)+_xlfn.IFNA(SUM((S$3&gt;='Gastos com Pessoal'!$E$7:$E$506)*(S$3&lt;='Gastos com Pessoal'!$F$7:$F$506)*(IF('Gastos com Pessoal'!$AE$7:$AE$506&lt;=S$3,1,0))*OFFSET('Gastos com Pessoal'!$H$6,1,MATCH(5&amp;$B55,'Gastos com Pessoal'!$I$532:$AJ$532&amp;'Gastos com Pessoal'!$I$6:$AJ$6,0),500,1)),0)+_xlfn.IFNA(SUM((S$3&gt;='Gastos com Pessoal'!$E$513:$E$522)*(S$3&lt;='Gastos com Pessoal'!$F$513:$F$522)*(IF('Gastos com Pessoal'!$G$513:$G$522&lt;=S$3,1,0))*OFFSET('Gastos com Pessoal'!$H$512,1,MATCH(1&amp;$B55,'Gastos com Pessoal'!$I$532:$AJ$532&amp;'Gastos com Pessoal'!$I$512:$AJ$512,0),10,1)),0)+_xlfn.IFNA(SUM((S$3&gt;='Gastos com Pessoal'!$E$513:$E$522)*(S$3&lt;='Gastos com Pessoal'!$F$513:$F$522)*(IF('Gastos com Pessoal'!$M$513:$M$522&lt;=S$3,1,0))*OFFSET('Gastos com Pessoal'!$H$512,1,MATCH(2&amp;$B55,'Gastos com Pessoal'!$I$532:$AJ$532&amp;'Gastos com Pessoal'!$I$512:$AJ$512,0),10,1)),0)+_xlfn.IFNA(SUM((S$3&gt;='Gastos com Pessoal'!$E$513:$E$522)*(S$3&lt;='Gastos com Pessoal'!$F$513:$F$522)*(IF('Gastos com Pessoal'!$S$513:$S$522&lt;=S$3,1,0))*OFFSET('Gastos com Pessoal'!$H$512,1,MATCH(3&amp;$B55,'Gastos com Pessoal'!$I$532:$AJ$532&amp;'Gastos com Pessoal'!$I$512:$AJ$512,0),10,1)),0)+_xlfn.IFNA(SUM((S$3&gt;='Gastos com Pessoal'!$E$513:$E$522)*(S$3&lt;='Gastos com Pessoal'!$F$513:$F$522)*(IF('Gastos com Pessoal'!$Y$513:$Y$522&lt;=S$3,1,0))*OFFSET('Gastos com Pessoal'!$H$512,1,MATCH(4&amp;$B55,'Gastos com Pessoal'!$I$532:$AJ$532&amp;'Gastos com Pessoal'!$I$512:$AJ$512,0),10,1)),0)+_xlfn.IFNA(SUM((S$3&gt;='Gastos com Pessoal'!$E$513:$E$522)*(S$3&lt;='Gastos com Pessoal'!$F$513:$F$522)*(IF('Gastos com Pessoal'!$AE$513:$AE$522&lt;=S$3,1,0))*OFFSET('Gastos com Pessoal'!$H$512,1,MATCH(5&amp;$B55,'Gastos com Pessoal'!$I$532:$AJ$532&amp;'Gastos com Pessoal'!$I$512:$AJ$512,0),10,1)),0)</f>
        <v>0</v>
      </c>
      <c r="T55" s="188">
        <f t="array" aca="1" ref="T55" ca="1">_xlfn.IFNA(SUM((T$3&gt;='Gastos com Pessoal'!$E$7:$E$506)*(T$3&lt;='Gastos com Pessoal'!$F$7:$F$506)*OFFSET('Encargos e Benefícios'!$D$5,1,MATCH($B55,'Encargos e Benefícios'!$E$5:$AB$5,0),500,1)),0)+_xlfn.IFNA(SUM((T$3&gt;='Gastos com Pessoal'!$E$513:$E$522)*(T$3&lt;='Gastos com Pessoal'!$F$513:$F$522)*OFFSET('Encargos e Benefícios'!$D$511,1,MATCH($B55,'Encargos e Benefícios'!$E$511:$AB$511,0),10,1)),0)+_xlfn.IFNA(SUM((T$3&gt;='Gastos com Pessoal'!$E$7:$E$506)*(T$3&lt;='Gastos com Pessoal'!$F$7:$F$506)*(IF('Gastos com Pessoal'!$G$7:$G$506&lt;=T$3,1,0))*OFFSET('Gastos com Pessoal'!$H$6,1,MATCH(1&amp;$B55,'Gastos com Pessoal'!$I$532:$AJ$532&amp;'Gastos com Pessoal'!$I$6:$AJ$6,0),500,1)),0)+_xlfn.IFNA(SUM((T$3&gt;='Gastos com Pessoal'!$E$7:$E$506)*(T$3&lt;='Gastos com Pessoal'!$F$7:$F$506)*(IF('Gastos com Pessoal'!$M$7:$M$506&lt;=T$3,1,0))*OFFSET('Gastos com Pessoal'!$H$6,1,MATCH(2&amp;$B55,'Gastos com Pessoal'!$I$532:$AJ$532&amp;'Gastos com Pessoal'!$I$6:$AJ$6,0),500,1)),0)+_xlfn.IFNA(SUM((T$3&gt;='Gastos com Pessoal'!$E$7:$E$506)*(T$3&lt;='Gastos com Pessoal'!$F$7:$F$506)*(IF('Gastos com Pessoal'!$S$7:$S$506&lt;=T$3,1,0))*OFFSET('Gastos com Pessoal'!$H$6,1,MATCH(3&amp;$B55,'Gastos com Pessoal'!$I$532:$AJ$532&amp;'Gastos com Pessoal'!$I$6:$AJ$6,0),500,1)),0)+_xlfn.IFNA(SUM((T$3&gt;='Gastos com Pessoal'!$E$7:$E$506)*(T$3&lt;='Gastos com Pessoal'!$F$7:$F$506)*(IF('Gastos com Pessoal'!$Y$7:$Y$506&lt;=T$3,1,0))*OFFSET('Gastos com Pessoal'!$H$6,1,MATCH(4&amp;$B55,'Gastos com Pessoal'!$I$532:$AJ$532&amp;'Gastos com Pessoal'!$I$6:$AJ$6,0),500,1)),0)+_xlfn.IFNA(SUM((T$3&gt;='Gastos com Pessoal'!$E$7:$E$506)*(T$3&lt;='Gastos com Pessoal'!$F$7:$F$506)*(IF('Gastos com Pessoal'!$AE$7:$AE$506&lt;=T$3,1,0))*OFFSET('Gastos com Pessoal'!$H$6,1,MATCH(5&amp;$B55,'Gastos com Pessoal'!$I$532:$AJ$532&amp;'Gastos com Pessoal'!$I$6:$AJ$6,0),500,1)),0)+_xlfn.IFNA(SUM((T$3&gt;='Gastos com Pessoal'!$E$513:$E$522)*(T$3&lt;='Gastos com Pessoal'!$F$513:$F$522)*(IF('Gastos com Pessoal'!$G$513:$G$522&lt;=T$3,1,0))*OFFSET('Gastos com Pessoal'!$H$512,1,MATCH(1&amp;$B55,'Gastos com Pessoal'!$I$532:$AJ$532&amp;'Gastos com Pessoal'!$I$512:$AJ$512,0),10,1)),0)+_xlfn.IFNA(SUM((T$3&gt;='Gastos com Pessoal'!$E$513:$E$522)*(T$3&lt;='Gastos com Pessoal'!$F$513:$F$522)*(IF('Gastos com Pessoal'!$M$513:$M$522&lt;=T$3,1,0))*OFFSET('Gastos com Pessoal'!$H$512,1,MATCH(2&amp;$B55,'Gastos com Pessoal'!$I$532:$AJ$532&amp;'Gastos com Pessoal'!$I$512:$AJ$512,0),10,1)),0)+_xlfn.IFNA(SUM((T$3&gt;='Gastos com Pessoal'!$E$513:$E$522)*(T$3&lt;='Gastos com Pessoal'!$F$513:$F$522)*(IF('Gastos com Pessoal'!$S$513:$S$522&lt;=T$3,1,0))*OFFSET('Gastos com Pessoal'!$H$512,1,MATCH(3&amp;$B55,'Gastos com Pessoal'!$I$532:$AJ$532&amp;'Gastos com Pessoal'!$I$512:$AJ$512,0),10,1)),0)+_xlfn.IFNA(SUM((T$3&gt;='Gastos com Pessoal'!$E$513:$E$522)*(T$3&lt;='Gastos com Pessoal'!$F$513:$F$522)*(IF('Gastos com Pessoal'!$Y$513:$Y$522&lt;=T$3,1,0))*OFFSET('Gastos com Pessoal'!$H$512,1,MATCH(4&amp;$B55,'Gastos com Pessoal'!$I$532:$AJ$532&amp;'Gastos com Pessoal'!$I$512:$AJ$512,0),10,1)),0)+_xlfn.IFNA(SUM((T$3&gt;='Gastos com Pessoal'!$E$513:$E$522)*(T$3&lt;='Gastos com Pessoal'!$F$513:$F$522)*(IF('Gastos com Pessoal'!$AE$513:$AE$522&lt;=T$3,1,0))*OFFSET('Gastos com Pessoal'!$H$512,1,MATCH(5&amp;$B55,'Gastos com Pessoal'!$I$532:$AJ$532&amp;'Gastos com Pessoal'!$I$512:$AJ$512,0),10,1)),0)</f>
        <v>0</v>
      </c>
      <c r="U55" s="188">
        <f t="array" aca="1" ref="U55" ca="1">_xlfn.IFNA(SUM((U$3&gt;='Gastos com Pessoal'!$E$7:$E$506)*(U$3&lt;='Gastos com Pessoal'!$F$7:$F$506)*OFFSET('Encargos e Benefícios'!$D$5,1,MATCH($B55,'Encargos e Benefícios'!$E$5:$AB$5,0),500,1)),0)+_xlfn.IFNA(SUM((U$3&gt;='Gastos com Pessoal'!$E$513:$E$522)*(U$3&lt;='Gastos com Pessoal'!$F$513:$F$522)*OFFSET('Encargos e Benefícios'!$D$511,1,MATCH($B55,'Encargos e Benefícios'!$E$511:$AB$511,0),10,1)),0)+_xlfn.IFNA(SUM((U$3&gt;='Gastos com Pessoal'!$E$7:$E$506)*(U$3&lt;='Gastos com Pessoal'!$F$7:$F$506)*(IF('Gastos com Pessoal'!$G$7:$G$506&lt;=U$3,1,0))*OFFSET('Gastos com Pessoal'!$H$6,1,MATCH(1&amp;$B55,'Gastos com Pessoal'!$I$532:$AJ$532&amp;'Gastos com Pessoal'!$I$6:$AJ$6,0),500,1)),0)+_xlfn.IFNA(SUM((U$3&gt;='Gastos com Pessoal'!$E$7:$E$506)*(U$3&lt;='Gastos com Pessoal'!$F$7:$F$506)*(IF('Gastos com Pessoal'!$M$7:$M$506&lt;=U$3,1,0))*OFFSET('Gastos com Pessoal'!$H$6,1,MATCH(2&amp;$B55,'Gastos com Pessoal'!$I$532:$AJ$532&amp;'Gastos com Pessoal'!$I$6:$AJ$6,0),500,1)),0)+_xlfn.IFNA(SUM((U$3&gt;='Gastos com Pessoal'!$E$7:$E$506)*(U$3&lt;='Gastos com Pessoal'!$F$7:$F$506)*(IF('Gastos com Pessoal'!$S$7:$S$506&lt;=U$3,1,0))*OFFSET('Gastos com Pessoal'!$H$6,1,MATCH(3&amp;$B55,'Gastos com Pessoal'!$I$532:$AJ$532&amp;'Gastos com Pessoal'!$I$6:$AJ$6,0),500,1)),0)+_xlfn.IFNA(SUM((U$3&gt;='Gastos com Pessoal'!$E$7:$E$506)*(U$3&lt;='Gastos com Pessoal'!$F$7:$F$506)*(IF('Gastos com Pessoal'!$Y$7:$Y$506&lt;=U$3,1,0))*OFFSET('Gastos com Pessoal'!$H$6,1,MATCH(4&amp;$B55,'Gastos com Pessoal'!$I$532:$AJ$532&amp;'Gastos com Pessoal'!$I$6:$AJ$6,0),500,1)),0)+_xlfn.IFNA(SUM((U$3&gt;='Gastos com Pessoal'!$E$7:$E$506)*(U$3&lt;='Gastos com Pessoal'!$F$7:$F$506)*(IF('Gastos com Pessoal'!$AE$7:$AE$506&lt;=U$3,1,0))*OFFSET('Gastos com Pessoal'!$H$6,1,MATCH(5&amp;$B55,'Gastos com Pessoal'!$I$532:$AJ$532&amp;'Gastos com Pessoal'!$I$6:$AJ$6,0),500,1)),0)+_xlfn.IFNA(SUM((U$3&gt;='Gastos com Pessoal'!$E$513:$E$522)*(U$3&lt;='Gastos com Pessoal'!$F$513:$F$522)*(IF('Gastos com Pessoal'!$G$513:$G$522&lt;=U$3,1,0))*OFFSET('Gastos com Pessoal'!$H$512,1,MATCH(1&amp;$B55,'Gastos com Pessoal'!$I$532:$AJ$532&amp;'Gastos com Pessoal'!$I$512:$AJ$512,0),10,1)),0)+_xlfn.IFNA(SUM((U$3&gt;='Gastos com Pessoal'!$E$513:$E$522)*(U$3&lt;='Gastos com Pessoal'!$F$513:$F$522)*(IF('Gastos com Pessoal'!$M$513:$M$522&lt;=U$3,1,0))*OFFSET('Gastos com Pessoal'!$H$512,1,MATCH(2&amp;$B55,'Gastos com Pessoal'!$I$532:$AJ$532&amp;'Gastos com Pessoal'!$I$512:$AJ$512,0),10,1)),0)+_xlfn.IFNA(SUM((U$3&gt;='Gastos com Pessoal'!$E$513:$E$522)*(U$3&lt;='Gastos com Pessoal'!$F$513:$F$522)*(IF('Gastos com Pessoal'!$S$513:$S$522&lt;=U$3,1,0))*OFFSET('Gastos com Pessoal'!$H$512,1,MATCH(3&amp;$B55,'Gastos com Pessoal'!$I$532:$AJ$532&amp;'Gastos com Pessoal'!$I$512:$AJ$512,0),10,1)),0)+_xlfn.IFNA(SUM((U$3&gt;='Gastos com Pessoal'!$E$513:$E$522)*(U$3&lt;='Gastos com Pessoal'!$F$513:$F$522)*(IF('Gastos com Pessoal'!$Y$513:$Y$522&lt;=U$3,1,0))*OFFSET('Gastos com Pessoal'!$H$512,1,MATCH(4&amp;$B55,'Gastos com Pessoal'!$I$532:$AJ$532&amp;'Gastos com Pessoal'!$I$512:$AJ$512,0),10,1)),0)+_xlfn.IFNA(SUM((U$3&gt;='Gastos com Pessoal'!$E$513:$E$522)*(U$3&lt;='Gastos com Pessoal'!$F$513:$F$522)*(IF('Gastos com Pessoal'!$AE$513:$AE$522&lt;=U$3,1,0))*OFFSET('Gastos com Pessoal'!$H$512,1,MATCH(5&amp;$B55,'Gastos com Pessoal'!$I$532:$AJ$532&amp;'Gastos com Pessoal'!$I$512:$AJ$512,0),10,1)),0)</f>
        <v>0</v>
      </c>
      <c r="V55" s="188">
        <f t="array" aca="1" ref="V55" ca="1">_xlfn.IFNA(SUM((V$3&gt;='Gastos com Pessoal'!$E$7:$E$506)*(V$3&lt;='Gastos com Pessoal'!$F$7:$F$506)*OFFSET('Encargos e Benefícios'!$D$5,1,MATCH($B55,'Encargos e Benefícios'!$E$5:$AB$5,0),500,1)),0)+_xlfn.IFNA(SUM((V$3&gt;='Gastos com Pessoal'!$E$513:$E$522)*(V$3&lt;='Gastos com Pessoal'!$F$513:$F$522)*OFFSET('Encargos e Benefícios'!$D$511,1,MATCH($B55,'Encargos e Benefícios'!$E$511:$AB$511,0),10,1)),0)+_xlfn.IFNA(SUM((V$3&gt;='Gastos com Pessoal'!$E$7:$E$506)*(V$3&lt;='Gastos com Pessoal'!$F$7:$F$506)*(IF('Gastos com Pessoal'!$G$7:$G$506&lt;=V$3,1,0))*OFFSET('Gastos com Pessoal'!$H$6,1,MATCH(1&amp;$B55,'Gastos com Pessoal'!$I$532:$AJ$532&amp;'Gastos com Pessoal'!$I$6:$AJ$6,0),500,1)),0)+_xlfn.IFNA(SUM((V$3&gt;='Gastos com Pessoal'!$E$7:$E$506)*(V$3&lt;='Gastos com Pessoal'!$F$7:$F$506)*(IF('Gastos com Pessoal'!$M$7:$M$506&lt;=V$3,1,0))*OFFSET('Gastos com Pessoal'!$H$6,1,MATCH(2&amp;$B55,'Gastos com Pessoal'!$I$532:$AJ$532&amp;'Gastos com Pessoal'!$I$6:$AJ$6,0),500,1)),0)+_xlfn.IFNA(SUM((V$3&gt;='Gastos com Pessoal'!$E$7:$E$506)*(V$3&lt;='Gastos com Pessoal'!$F$7:$F$506)*(IF('Gastos com Pessoal'!$S$7:$S$506&lt;=V$3,1,0))*OFFSET('Gastos com Pessoal'!$H$6,1,MATCH(3&amp;$B55,'Gastos com Pessoal'!$I$532:$AJ$532&amp;'Gastos com Pessoal'!$I$6:$AJ$6,0),500,1)),0)+_xlfn.IFNA(SUM((V$3&gt;='Gastos com Pessoal'!$E$7:$E$506)*(V$3&lt;='Gastos com Pessoal'!$F$7:$F$506)*(IF('Gastos com Pessoal'!$Y$7:$Y$506&lt;=V$3,1,0))*OFFSET('Gastos com Pessoal'!$H$6,1,MATCH(4&amp;$B55,'Gastos com Pessoal'!$I$532:$AJ$532&amp;'Gastos com Pessoal'!$I$6:$AJ$6,0),500,1)),0)+_xlfn.IFNA(SUM((V$3&gt;='Gastos com Pessoal'!$E$7:$E$506)*(V$3&lt;='Gastos com Pessoal'!$F$7:$F$506)*(IF('Gastos com Pessoal'!$AE$7:$AE$506&lt;=V$3,1,0))*OFFSET('Gastos com Pessoal'!$H$6,1,MATCH(5&amp;$B55,'Gastos com Pessoal'!$I$532:$AJ$532&amp;'Gastos com Pessoal'!$I$6:$AJ$6,0),500,1)),0)+_xlfn.IFNA(SUM((V$3&gt;='Gastos com Pessoal'!$E$513:$E$522)*(V$3&lt;='Gastos com Pessoal'!$F$513:$F$522)*(IF('Gastos com Pessoal'!$G$513:$G$522&lt;=V$3,1,0))*OFFSET('Gastos com Pessoal'!$H$512,1,MATCH(1&amp;$B55,'Gastos com Pessoal'!$I$532:$AJ$532&amp;'Gastos com Pessoal'!$I$512:$AJ$512,0),10,1)),0)+_xlfn.IFNA(SUM((V$3&gt;='Gastos com Pessoal'!$E$513:$E$522)*(V$3&lt;='Gastos com Pessoal'!$F$513:$F$522)*(IF('Gastos com Pessoal'!$M$513:$M$522&lt;=V$3,1,0))*OFFSET('Gastos com Pessoal'!$H$512,1,MATCH(2&amp;$B55,'Gastos com Pessoal'!$I$532:$AJ$532&amp;'Gastos com Pessoal'!$I$512:$AJ$512,0),10,1)),0)+_xlfn.IFNA(SUM((V$3&gt;='Gastos com Pessoal'!$E$513:$E$522)*(V$3&lt;='Gastos com Pessoal'!$F$513:$F$522)*(IF('Gastos com Pessoal'!$S$513:$S$522&lt;=V$3,1,0))*OFFSET('Gastos com Pessoal'!$H$512,1,MATCH(3&amp;$B55,'Gastos com Pessoal'!$I$532:$AJ$532&amp;'Gastos com Pessoal'!$I$512:$AJ$512,0),10,1)),0)+_xlfn.IFNA(SUM((V$3&gt;='Gastos com Pessoal'!$E$513:$E$522)*(V$3&lt;='Gastos com Pessoal'!$F$513:$F$522)*(IF('Gastos com Pessoal'!$Y$513:$Y$522&lt;=V$3,1,0))*OFFSET('Gastos com Pessoal'!$H$512,1,MATCH(4&amp;$B55,'Gastos com Pessoal'!$I$532:$AJ$532&amp;'Gastos com Pessoal'!$I$512:$AJ$512,0),10,1)),0)+_xlfn.IFNA(SUM((V$3&gt;='Gastos com Pessoal'!$E$513:$E$522)*(V$3&lt;='Gastos com Pessoal'!$F$513:$F$522)*(IF('Gastos com Pessoal'!$AE$513:$AE$522&lt;=V$3,1,0))*OFFSET('Gastos com Pessoal'!$H$512,1,MATCH(5&amp;$B55,'Gastos com Pessoal'!$I$532:$AJ$532&amp;'Gastos com Pessoal'!$I$512:$AJ$512,0),10,1)),0)</f>
        <v>0</v>
      </c>
      <c r="W55" s="188">
        <f t="array" aca="1" ref="W55" ca="1">_xlfn.IFNA(SUM((W$3&gt;='Gastos com Pessoal'!$E$7:$E$506)*(W$3&lt;='Gastos com Pessoal'!$F$7:$F$506)*OFFSET('Encargos e Benefícios'!$D$5,1,MATCH($B55,'Encargos e Benefícios'!$E$5:$AB$5,0),500,1)),0)+_xlfn.IFNA(SUM((W$3&gt;='Gastos com Pessoal'!$E$513:$E$522)*(W$3&lt;='Gastos com Pessoal'!$F$513:$F$522)*OFFSET('Encargos e Benefícios'!$D$511,1,MATCH($B55,'Encargos e Benefícios'!$E$511:$AB$511,0),10,1)),0)+_xlfn.IFNA(SUM((W$3&gt;='Gastos com Pessoal'!$E$7:$E$506)*(W$3&lt;='Gastos com Pessoal'!$F$7:$F$506)*(IF('Gastos com Pessoal'!$G$7:$G$506&lt;=W$3,1,0))*OFFSET('Gastos com Pessoal'!$H$6,1,MATCH(1&amp;$B55,'Gastos com Pessoal'!$I$532:$AJ$532&amp;'Gastos com Pessoal'!$I$6:$AJ$6,0),500,1)),0)+_xlfn.IFNA(SUM((W$3&gt;='Gastos com Pessoal'!$E$7:$E$506)*(W$3&lt;='Gastos com Pessoal'!$F$7:$F$506)*(IF('Gastos com Pessoal'!$M$7:$M$506&lt;=W$3,1,0))*OFFSET('Gastos com Pessoal'!$H$6,1,MATCH(2&amp;$B55,'Gastos com Pessoal'!$I$532:$AJ$532&amp;'Gastos com Pessoal'!$I$6:$AJ$6,0),500,1)),0)+_xlfn.IFNA(SUM((W$3&gt;='Gastos com Pessoal'!$E$7:$E$506)*(W$3&lt;='Gastos com Pessoal'!$F$7:$F$506)*(IF('Gastos com Pessoal'!$S$7:$S$506&lt;=W$3,1,0))*OFFSET('Gastos com Pessoal'!$H$6,1,MATCH(3&amp;$B55,'Gastos com Pessoal'!$I$532:$AJ$532&amp;'Gastos com Pessoal'!$I$6:$AJ$6,0),500,1)),0)+_xlfn.IFNA(SUM((W$3&gt;='Gastos com Pessoal'!$E$7:$E$506)*(W$3&lt;='Gastos com Pessoal'!$F$7:$F$506)*(IF('Gastos com Pessoal'!$Y$7:$Y$506&lt;=W$3,1,0))*OFFSET('Gastos com Pessoal'!$H$6,1,MATCH(4&amp;$B55,'Gastos com Pessoal'!$I$532:$AJ$532&amp;'Gastos com Pessoal'!$I$6:$AJ$6,0),500,1)),0)+_xlfn.IFNA(SUM((W$3&gt;='Gastos com Pessoal'!$E$7:$E$506)*(W$3&lt;='Gastos com Pessoal'!$F$7:$F$506)*(IF('Gastos com Pessoal'!$AE$7:$AE$506&lt;=W$3,1,0))*OFFSET('Gastos com Pessoal'!$H$6,1,MATCH(5&amp;$B55,'Gastos com Pessoal'!$I$532:$AJ$532&amp;'Gastos com Pessoal'!$I$6:$AJ$6,0),500,1)),0)+_xlfn.IFNA(SUM((W$3&gt;='Gastos com Pessoal'!$E$513:$E$522)*(W$3&lt;='Gastos com Pessoal'!$F$513:$F$522)*(IF('Gastos com Pessoal'!$G$513:$G$522&lt;=W$3,1,0))*OFFSET('Gastos com Pessoal'!$H$512,1,MATCH(1&amp;$B55,'Gastos com Pessoal'!$I$532:$AJ$532&amp;'Gastos com Pessoal'!$I$512:$AJ$512,0),10,1)),0)+_xlfn.IFNA(SUM((W$3&gt;='Gastos com Pessoal'!$E$513:$E$522)*(W$3&lt;='Gastos com Pessoal'!$F$513:$F$522)*(IF('Gastos com Pessoal'!$M$513:$M$522&lt;=W$3,1,0))*OFFSET('Gastos com Pessoal'!$H$512,1,MATCH(2&amp;$B55,'Gastos com Pessoal'!$I$532:$AJ$532&amp;'Gastos com Pessoal'!$I$512:$AJ$512,0),10,1)),0)+_xlfn.IFNA(SUM((W$3&gt;='Gastos com Pessoal'!$E$513:$E$522)*(W$3&lt;='Gastos com Pessoal'!$F$513:$F$522)*(IF('Gastos com Pessoal'!$S$513:$S$522&lt;=W$3,1,0))*OFFSET('Gastos com Pessoal'!$H$512,1,MATCH(3&amp;$B55,'Gastos com Pessoal'!$I$532:$AJ$532&amp;'Gastos com Pessoal'!$I$512:$AJ$512,0),10,1)),0)+_xlfn.IFNA(SUM((W$3&gt;='Gastos com Pessoal'!$E$513:$E$522)*(W$3&lt;='Gastos com Pessoal'!$F$513:$F$522)*(IF('Gastos com Pessoal'!$Y$513:$Y$522&lt;=W$3,1,0))*OFFSET('Gastos com Pessoal'!$H$512,1,MATCH(4&amp;$B55,'Gastos com Pessoal'!$I$532:$AJ$532&amp;'Gastos com Pessoal'!$I$512:$AJ$512,0),10,1)),0)+_xlfn.IFNA(SUM((W$3&gt;='Gastos com Pessoal'!$E$513:$E$522)*(W$3&lt;='Gastos com Pessoal'!$F$513:$F$522)*(IF('Gastos com Pessoal'!$AE$513:$AE$522&lt;=W$3,1,0))*OFFSET('Gastos com Pessoal'!$H$512,1,MATCH(5&amp;$B55,'Gastos com Pessoal'!$I$532:$AJ$532&amp;'Gastos com Pessoal'!$I$512:$AJ$512,0),10,1)),0)</f>
        <v>0</v>
      </c>
      <c r="X55" s="188">
        <f t="array" aca="1" ref="X55" ca="1">_xlfn.IFNA(SUM((X$3&gt;='Gastos com Pessoal'!$E$7:$E$506)*(X$3&lt;='Gastos com Pessoal'!$F$7:$F$506)*OFFSET('Encargos e Benefícios'!$D$5,1,MATCH($B55,'Encargos e Benefícios'!$E$5:$AB$5,0),500,1)),0)+_xlfn.IFNA(SUM((X$3&gt;='Gastos com Pessoal'!$E$513:$E$522)*(X$3&lt;='Gastos com Pessoal'!$F$513:$F$522)*OFFSET('Encargos e Benefícios'!$D$511,1,MATCH($B55,'Encargos e Benefícios'!$E$511:$AB$511,0),10,1)),0)+_xlfn.IFNA(SUM((X$3&gt;='Gastos com Pessoal'!$E$7:$E$506)*(X$3&lt;='Gastos com Pessoal'!$F$7:$F$506)*(IF('Gastos com Pessoal'!$G$7:$G$506&lt;=X$3,1,0))*OFFSET('Gastos com Pessoal'!$H$6,1,MATCH(1&amp;$B55,'Gastos com Pessoal'!$I$532:$AJ$532&amp;'Gastos com Pessoal'!$I$6:$AJ$6,0),500,1)),0)+_xlfn.IFNA(SUM((X$3&gt;='Gastos com Pessoal'!$E$7:$E$506)*(X$3&lt;='Gastos com Pessoal'!$F$7:$F$506)*(IF('Gastos com Pessoal'!$M$7:$M$506&lt;=X$3,1,0))*OFFSET('Gastos com Pessoal'!$H$6,1,MATCH(2&amp;$B55,'Gastos com Pessoal'!$I$532:$AJ$532&amp;'Gastos com Pessoal'!$I$6:$AJ$6,0),500,1)),0)+_xlfn.IFNA(SUM((X$3&gt;='Gastos com Pessoal'!$E$7:$E$506)*(X$3&lt;='Gastos com Pessoal'!$F$7:$F$506)*(IF('Gastos com Pessoal'!$S$7:$S$506&lt;=X$3,1,0))*OFFSET('Gastos com Pessoal'!$H$6,1,MATCH(3&amp;$B55,'Gastos com Pessoal'!$I$532:$AJ$532&amp;'Gastos com Pessoal'!$I$6:$AJ$6,0),500,1)),0)+_xlfn.IFNA(SUM((X$3&gt;='Gastos com Pessoal'!$E$7:$E$506)*(X$3&lt;='Gastos com Pessoal'!$F$7:$F$506)*(IF('Gastos com Pessoal'!$Y$7:$Y$506&lt;=X$3,1,0))*OFFSET('Gastos com Pessoal'!$H$6,1,MATCH(4&amp;$B55,'Gastos com Pessoal'!$I$532:$AJ$532&amp;'Gastos com Pessoal'!$I$6:$AJ$6,0),500,1)),0)+_xlfn.IFNA(SUM((X$3&gt;='Gastos com Pessoal'!$E$7:$E$506)*(X$3&lt;='Gastos com Pessoal'!$F$7:$F$506)*(IF('Gastos com Pessoal'!$AE$7:$AE$506&lt;=X$3,1,0))*OFFSET('Gastos com Pessoal'!$H$6,1,MATCH(5&amp;$B55,'Gastos com Pessoal'!$I$532:$AJ$532&amp;'Gastos com Pessoal'!$I$6:$AJ$6,0),500,1)),0)+_xlfn.IFNA(SUM((X$3&gt;='Gastos com Pessoal'!$E$513:$E$522)*(X$3&lt;='Gastos com Pessoal'!$F$513:$F$522)*(IF('Gastos com Pessoal'!$G$513:$G$522&lt;=X$3,1,0))*OFFSET('Gastos com Pessoal'!$H$512,1,MATCH(1&amp;$B55,'Gastos com Pessoal'!$I$532:$AJ$532&amp;'Gastos com Pessoal'!$I$512:$AJ$512,0),10,1)),0)+_xlfn.IFNA(SUM((X$3&gt;='Gastos com Pessoal'!$E$513:$E$522)*(X$3&lt;='Gastos com Pessoal'!$F$513:$F$522)*(IF('Gastos com Pessoal'!$M$513:$M$522&lt;=X$3,1,0))*OFFSET('Gastos com Pessoal'!$H$512,1,MATCH(2&amp;$B55,'Gastos com Pessoal'!$I$532:$AJ$532&amp;'Gastos com Pessoal'!$I$512:$AJ$512,0),10,1)),0)+_xlfn.IFNA(SUM((X$3&gt;='Gastos com Pessoal'!$E$513:$E$522)*(X$3&lt;='Gastos com Pessoal'!$F$513:$F$522)*(IF('Gastos com Pessoal'!$S$513:$S$522&lt;=X$3,1,0))*OFFSET('Gastos com Pessoal'!$H$512,1,MATCH(3&amp;$B55,'Gastos com Pessoal'!$I$532:$AJ$532&amp;'Gastos com Pessoal'!$I$512:$AJ$512,0),10,1)),0)+_xlfn.IFNA(SUM((X$3&gt;='Gastos com Pessoal'!$E$513:$E$522)*(X$3&lt;='Gastos com Pessoal'!$F$513:$F$522)*(IF('Gastos com Pessoal'!$Y$513:$Y$522&lt;=X$3,1,0))*OFFSET('Gastos com Pessoal'!$H$512,1,MATCH(4&amp;$B55,'Gastos com Pessoal'!$I$532:$AJ$532&amp;'Gastos com Pessoal'!$I$512:$AJ$512,0),10,1)),0)+_xlfn.IFNA(SUM((X$3&gt;='Gastos com Pessoal'!$E$513:$E$522)*(X$3&lt;='Gastos com Pessoal'!$F$513:$F$522)*(IF('Gastos com Pessoal'!$AE$513:$AE$522&lt;=X$3,1,0))*OFFSET('Gastos com Pessoal'!$H$512,1,MATCH(5&amp;$B55,'Gastos com Pessoal'!$I$532:$AJ$532&amp;'Gastos com Pessoal'!$I$512:$AJ$512,0),10,1)),0)</f>
        <v>0</v>
      </c>
      <c r="Y55" s="188">
        <f t="array" aca="1" ref="Y55" ca="1">_xlfn.IFNA(SUM((Y$3&gt;='Gastos com Pessoal'!$E$7:$E$506)*(Y$3&lt;='Gastos com Pessoal'!$F$7:$F$506)*OFFSET('Encargos e Benefícios'!$D$5,1,MATCH($B55,'Encargos e Benefícios'!$E$5:$AB$5,0),500,1)),0)+_xlfn.IFNA(SUM((Y$3&gt;='Gastos com Pessoal'!$E$513:$E$522)*(Y$3&lt;='Gastos com Pessoal'!$F$513:$F$522)*OFFSET('Encargos e Benefícios'!$D$511,1,MATCH($B55,'Encargos e Benefícios'!$E$511:$AB$511,0),10,1)),0)+_xlfn.IFNA(SUM((Y$3&gt;='Gastos com Pessoal'!$E$7:$E$506)*(Y$3&lt;='Gastos com Pessoal'!$F$7:$F$506)*(IF('Gastos com Pessoal'!$G$7:$G$506&lt;=Y$3,1,0))*OFFSET('Gastos com Pessoal'!$H$6,1,MATCH(1&amp;$B55,'Gastos com Pessoal'!$I$532:$AJ$532&amp;'Gastos com Pessoal'!$I$6:$AJ$6,0),500,1)),0)+_xlfn.IFNA(SUM((Y$3&gt;='Gastos com Pessoal'!$E$7:$E$506)*(Y$3&lt;='Gastos com Pessoal'!$F$7:$F$506)*(IF('Gastos com Pessoal'!$M$7:$M$506&lt;=Y$3,1,0))*OFFSET('Gastos com Pessoal'!$H$6,1,MATCH(2&amp;$B55,'Gastos com Pessoal'!$I$532:$AJ$532&amp;'Gastos com Pessoal'!$I$6:$AJ$6,0),500,1)),0)+_xlfn.IFNA(SUM((Y$3&gt;='Gastos com Pessoal'!$E$7:$E$506)*(Y$3&lt;='Gastos com Pessoal'!$F$7:$F$506)*(IF('Gastos com Pessoal'!$S$7:$S$506&lt;=Y$3,1,0))*OFFSET('Gastos com Pessoal'!$H$6,1,MATCH(3&amp;$B55,'Gastos com Pessoal'!$I$532:$AJ$532&amp;'Gastos com Pessoal'!$I$6:$AJ$6,0),500,1)),0)+_xlfn.IFNA(SUM((Y$3&gt;='Gastos com Pessoal'!$E$7:$E$506)*(Y$3&lt;='Gastos com Pessoal'!$F$7:$F$506)*(IF('Gastos com Pessoal'!$Y$7:$Y$506&lt;=Y$3,1,0))*OFFSET('Gastos com Pessoal'!$H$6,1,MATCH(4&amp;$B55,'Gastos com Pessoal'!$I$532:$AJ$532&amp;'Gastos com Pessoal'!$I$6:$AJ$6,0),500,1)),0)+_xlfn.IFNA(SUM((Y$3&gt;='Gastos com Pessoal'!$E$7:$E$506)*(Y$3&lt;='Gastos com Pessoal'!$F$7:$F$506)*(IF('Gastos com Pessoal'!$AE$7:$AE$506&lt;=Y$3,1,0))*OFFSET('Gastos com Pessoal'!$H$6,1,MATCH(5&amp;$B55,'Gastos com Pessoal'!$I$532:$AJ$532&amp;'Gastos com Pessoal'!$I$6:$AJ$6,0),500,1)),0)+_xlfn.IFNA(SUM((Y$3&gt;='Gastos com Pessoal'!$E$513:$E$522)*(Y$3&lt;='Gastos com Pessoal'!$F$513:$F$522)*(IF('Gastos com Pessoal'!$G$513:$G$522&lt;=Y$3,1,0))*OFFSET('Gastos com Pessoal'!$H$512,1,MATCH(1&amp;$B55,'Gastos com Pessoal'!$I$532:$AJ$532&amp;'Gastos com Pessoal'!$I$512:$AJ$512,0),10,1)),0)+_xlfn.IFNA(SUM((Y$3&gt;='Gastos com Pessoal'!$E$513:$E$522)*(Y$3&lt;='Gastos com Pessoal'!$F$513:$F$522)*(IF('Gastos com Pessoal'!$M$513:$M$522&lt;=Y$3,1,0))*OFFSET('Gastos com Pessoal'!$H$512,1,MATCH(2&amp;$B55,'Gastos com Pessoal'!$I$532:$AJ$532&amp;'Gastos com Pessoal'!$I$512:$AJ$512,0),10,1)),0)+_xlfn.IFNA(SUM((Y$3&gt;='Gastos com Pessoal'!$E$513:$E$522)*(Y$3&lt;='Gastos com Pessoal'!$F$513:$F$522)*(IF('Gastos com Pessoal'!$S$513:$S$522&lt;=Y$3,1,0))*OFFSET('Gastos com Pessoal'!$H$512,1,MATCH(3&amp;$B55,'Gastos com Pessoal'!$I$532:$AJ$532&amp;'Gastos com Pessoal'!$I$512:$AJ$512,0),10,1)),0)+_xlfn.IFNA(SUM((Y$3&gt;='Gastos com Pessoal'!$E$513:$E$522)*(Y$3&lt;='Gastos com Pessoal'!$F$513:$F$522)*(IF('Gastos com Pessoal'!$Y$513:$Y$522&lt;=Y$3,1,0))*OFFSET('Gastos com Pessoal'!$H$512,1,MATCH(4&amp;$B55,'Gastos com Pessoal'!$I$532:$AJ$532&amp;'Gastos com Pessoal'!$I$512:$AJ$512,0),10,1)),0)+_xlfn.IFNA(SUM((Y$3&gt;='Gastos com Pessoal'!$E$513:$E$522)*(Y$3&lt;='Gastos com Pessoal'!$F$513:$F$522)*(IF('Gastos com Pessoal'!$AE$513:$AE$522&lt;=Y$3,1,0))*OFFSET('Gastos com Pessoal'!$H$512,1,MATCH(5&amp;$B55,'Gastos com Pessoal'!$I$532:$AJ$532&amp;'Gastos com Pessoal'!$I$512:$AJ$512,0),10,1)),0)</f>
        <v>0</v>
      </c>
      <c r="Z55" s="188">
        <f t="array" aca="1" ref="Z55" ca="1">_xlfn.IFNA(SUM((Z$3&gt;='Gastos com Pessoal'!$E$7:$E$506)*(Z$3&lt;='Gastos com Pessoal'!$F$7:$F$506)*OFFSET('Encargos e Benefícios'!$D$5,1,MATCH($B55,'Encargos e Benefícios'!$E$5:$AB$5,0),500,1)),0)+_xlfn.IFNA(SUM((Z$3&gt;='Gastos com Pessoal'!$E$513:$E$522)*(Z$3&lt;='Gastos com Pessoal'!$F$513:$F$522)*OFFSET('Encargos e Benefícios'!$D$511,1,MATCH($B55,'Encargos e Benefícios'!$E$511:$AB$511,0),10,1)),0)+_xlfn.IFNA(SUM((Z$3&gt;='Gastos com Pessoal'!$E$7:$E$506)*(Z$3&lt;='Gastos com Pessoal'!$F$7:$F$506)*(IF('Gastos com Pessoal'!$G$7:$G$506&lt;=Z$3,1,0))*OFFSET('Gastos com Pessoal'!$H$6,1,MATCH(1&amp;$B55,'Gastos com Pessoal'!$I$532:$AJ$532&amp;'Gastos com Pessoal'!$I$6:$AJ$6,0),500,1)),0)+_xlfn.IFNA(SUM((Z$3&gt;='Gastos com Pessoal'!$E$7:$E$506)*(Z$3&lt;='Gastos com Pessoal'!$F$7:$F$506)*(IF('Gastos com Pessoal'!$M$7:$M$506&lt;=Z$3,1,0))*OFFSET('Gastos com Pessoal'!$H$6,1,MATCH(2&amp;$B55,'Gastos com Pessoal'!$I$532:$AJ$532&amp;'Gastos com Pessoal'!$I$6:$AJ$6,0),500,1)),0)+_xlfn.IFNA(SUM((Z$3&gt;='Gastos com Pessoal'!$E$7:$E$506)*(Z$3&lt;='Gastos com Pessoal'!$F$7:$F$506)*(IF('Gastos com Pessoal'!$S$7:$S$506&lt;=Z$3,1,0))*OFFSET('Gastos com Pessoal'!$H$6,1,MATCH(3&amp;$B55,'Gastos com Pessoal'!$I$532:$AJ$532&amp;'Gastos com Pessoal'!$I$6:$AJ$6,0),500,1)),0)+_xlfn.IFNA(SUM((Z$3&gt;='Gastos com Pessoal'!$E$7:$E$506)*(Z$3&lt;='Gastos com Pessoal'!$F$7:$F$506)*(IF('Gastos com Pessoal'!$Y$7:$Y$506&lt;=Z$3,1,0))*OFFSET('Gastos com Pessoal'!$H$6,1,MATCH(4&amp;$B55,'Gastos com Pessoal'!$I$532:$AJ$532&amp;'Gastos com Pessoal'!$I$6:$AJ$6,0),500,1)),0)+_xlfn.IFNA(SUM((Z$3&gt;='Gastos com Pessoal'!$E$7:$E$506)*(Z$3&lt;='Gastos com Pessoal'!$F$7:$F$506)*(IF('Gastos com Pessoal'!$AE$7:$AE$506&lt;=Z$3,1,0))*OFFSET('Gastos com Pessoal'!$H$6,1,MATCH(5&amp;$B55,'Gastos com Pessoal'!$I$532:$AJ$532&amp;'Gastos com Pessoal'!$I$6:$AJ$6,0),500,1)),0)+_xlfn.IFNA(SUM((Z$3&gt;='Gastos com Pessoal'!$E$513:$E$522)*(Z$3&lt;='Gastos com Pessoal'!$F$513:$F$522)*(IF('Gastos com Pessoal'!$G$513:$G$522&lt;=Z$3,1,0))*OFFSET('Gastos com Pessoal'!$H$512,1,MATCH(1&amp;$B55,'Gastos com Pessoal'!$I$532:$AJ$532&amp;'Gastos com Pessoal'!$I$512:$AJ$512,0),10,1)),0)+_xlfn.IFNA(SUM((Z$3&gt;='Gastos com Pessoal'!$E$513:$E$522)*(Z$3&lt;='Gastos com Pessoal'!$F$513:$F$522)*(IF('Gastos com Pessoal'!$M$513:$M$522&lt;=Z$3,1,0))*OFFSET('Gastos com Pessoal'!$H$512,1,MATCH(2&amp;$B55,'Gastos com Pessoal'!$I$532:$AJ$532&amp;'Gastos com Pessoal'!$I$512:$AJ$512,0),10,1)),0)+_xlfn.IFNA(SUM((Z$3&gt;='Gastos com Pessoal'!$E$513:$E$522)*(Z$3&lt;='Gastos com Pessoal'!$F$513:$F$522)*(IF('Gastos com Pessoal'!$S$513:$S$522&lt;=Z$3,1,0))*OFFSET('Gastos com Pessoal'!$H$512,1,MATCH(3&amp;$B55,'Gastos com Pessoal'!$I$532:$AJ$532&amp;'Gastos com Pessoal'!$I$512:$AJ$512,0),10,1)),0)+_xlfn.IFNA(SUM((Z$3&gt;='Gastos com Pessoal'!$E$513:$E$522)*(Z$3&lt;='Gastos com Pessoal'!$F$513:$F$522)*(IF('Gastos com Pessoal'!$Y$513:$Y$522&lt;=Z$3,1,0))*OFFSET('Gastos com Pessoal'!$H$512,1,MATCH(4&amp;$B55,'Gastos com Pessoal'!$I$532:$AJ$532&amp;'Gastos com Pessoal'!$I$512:$AJ$512,0),10,1)),0)+_xlfn.IFNA(SUM((Z$3&gt;='Gastos com Pessoal'!$E$513:$E$522)*(Z$3&lt;='Gastos com Pessoal'!$F$513:$F$522)*(IF('Gastos com Pessoal'!$AE$513:$AE$522&lt;=Z$3,1,0))*OFFSET('Gastos com Pessoal'!$H$512,1,MATCH(5&amp;$B55,'Gastos com Pessoal'!$I$532:$AJ$532&amp;'Gastos com Pessoal'!$I$512:$AJ$512,0),10,1)),0)</f>
        <v>0</v>
      </c>
      <c r="AA55" s="188">
        <f t="array" aca="1" ref="AA55" ca="1">_xlfn.IFNA(SUM((AA$3&gt;='Gastos com Pessoal'!$E$7:$E$506)*(AA$3&lt;='Gastos com Pessoal'!$F$7:$F$506)*OFFSET('Encargos e Benefícios'!$D$5,1,MATCH($B55,'Encargos e Benefícios'!$E$5:$AB$5,0),500,1)),0)+_xlfn.IFNA(SUM((AA$3&gt;='Gastos com Pessoal'!$E$513:$E$522)*(AA$3&lt;='Gastos com Pessoal'!$F$513:$F$522)*OFFSET('Encargos e Benefícios'!$D$511,1,MATCH($B55,'Encargos e Benefícios'!$E$511:$AB$511,0),10,1)),0)+_xlfn.IFNA(SUM((AA$3&gt;='Gastos com Pessoal'!$E$7:$E$506)*(AA$3&lt;='Gastos com Pessoal'!$F$7:$F$506)*(IF('Gastos com Pessoal'!$G$7:$G$506&lt;=AA$3,1,0))*OFFSET('Gastos com Pessoal'!$H$6,1,MATCH(1&amp;$B55,'Gastos com Pessoal'!$I$532:$AJ$532&amp;'Gastos com Pessoal'!$I$6:$AJ$6,0),500,1)),0)+_xlfn.IFNA(SUM((AA$3&gt;='Gastos com Pessoal'!$E$7:$E$506)*(AA$3&lt;='Gastos com Pessoal'!$F$7:$F$506)*(IF('Gastos com Pessoal'!$M$7:$M$506&lt;=AA$3,1,0))*OFFSET('Gastos com Pessoal'!$H$6,1,MATCH(2&amp;$B55,'Gastos com Pessoal'!$I$532:$AJ$532&amp;'Gastos com Pessoal'!$I$6:$AJ$6,0),500,1)),0)+_xlfn.IFNA(SUM((AA$3&gt;='Gastos com Pessoal'!$E$7:$E$506)*(AA$3&lt;='Gastos com Pessoal'!$F$7:$F$506)*(IF('Gastos com Pessoal'!$S$7:$S$506&lt;=AA$3,1,0))*OFFSET('Gastos com Pessoal'!$H$6,1,MATCH(3&amp;$B55,'Gastos com Pessoal'!$I$532:$AJ$532&amp;'Gastos com Pessoal'!$I$6:$AJ$6,0),500,1)),0)+_xlfn.IFNA(SUM((AA$3&gt;='Gastos com Pessoal'!$E$7:$E$506)*(AA$3&lt;='Gastos com Pessoal'!$F$7:$F$506)*(IF('Gastos com Pessoal'!$Y$7:$Y$506&lt;=AA$3,1,0))*OFFSET('Gastos com Pessoal'!$H$6,1,MATCH(4&amp;$B55,'Gastos com Pessoal'!$I$532:$AJ$532&amp;'Gastos com Pessoal'!$I$6:$AJ$6,0),500,1)),0)+_xlfn.IFNA(SUM((AA$3&gt;='Gastos com Pessoal'!$E$7:$E$506)*(AA$3&lt;='Gastos com Pessoal'!$F$7:$F$506)*(IF('Gastos com Pessoal'!$AE$7:$AE$506&lt;=AA$3,1,0))*OFFSET('Gastos com Pessoal'!$H$6,1,MATCH(5&amp;$B55,'Gastos com Pessoal'!$I$532:$AJ$532&amp;'Gastos com Pessoal'!$I$6:$AJ$6,0),500,1)),0)+_xlfn.IFNA(SUM((AA$3&gt;='Gastos com Pessoal'!$E$513:$E$522)*(AA$3&lt;='Gastos com Pessoal'!$F$513:$F$522)*(IF('Gastos com Pessoal'!$G$513:$G$522&lt;=AA$3,1,0))*OFFSET('Gastos com Pessoal'!$H$512,1,MATCH(1&amp;$B55,'Gastos com Pessoal'!$I$532:$AJ$532&amp;'Gastos com Pessoal'!$I$512:$AJ$512,0),10,1)),0)+_xlfn.IFNA(SUM((AA$3&gt;='Gastos com Pessoal'!$E$513:$E$522)*(AA$3&lt;='Gastos com Pessoal'!$F$513:$F$522)*(IF('Gastos com Pessoal'!$M$513:$M$522&lt;=AA$3,1,0))*OFFSET('Gastos com Pessoal'!$H$512,1,MATCH(2&amp;$B55,'Gastos com Pessoal'!$I$532:$AJ$532&amp;'Gastos com Pessoal'!$I$512:$AJ$512,0),10,1)),0)+_xlfn.IFNA(SUM((AA$3&gt;='Gastos com Pessoal'!$E$513:$E$522)*(AA$3&lt;='Gastos com Pessoal'!$F$513:$F$522)*(IF('Gastos com Pessoal'!$S$513:$S$522&lt;=AA$3,1,0))*OFFSET('Gastos com Pessoal'!$H$512,1,MATCH(3&amp;$B55,'Gastos com Pessoal'!$I$532:$AJ$532&amp;'Gastos com Pessoal'!$I$512:$AJ$512,0),10,1)),0)+_xlfn.IFNA(SUM((AA$3&gt;='Gastos com Pessoal'!$E$513:$E$522)*(AA$3&lt;='Gastos com Pessoal'!$F$513:$F$522)*(IF('Gastos com Pessoal'!$Y$513:$Y$522&lt;=AA$3,1,0))*OFFSET('Gastos com Pessoal'!$H$512,1,MATCH(4&amp;$B55,'Gastos com Pessoal'!$I$532:$AJ$532&amp;'Gastos com Pessoal'!$I$512:$AJ$512,0),10,1)),0)+_xlfn.IFNA(SUM((AA$3&gt;='Gastos com Pessoal'!$E$513:$E$522)*(AA$3&lt;='Gastos com Pessoal'!$F$513:$F$522)*(IF('Gastos com Pessoal'!$AE$513:$AE$522&lt;=AA$3,1,0))*OFFSET('Gastos com Pessoal'!$H$512,1,MATCH(5&amp;$B55,'Gastos com Pessoal'!$I$532:$AJ$532&amp;'Gastos com Pessoal'!$I$512:$AJ$512,0),10,1)),0)</f>
        <v>0</v>
      </c>
      <c r="AB55" s="188">
        <f t="array" aca="1" ref="AB55" ca="1">_xlfn.IFNA(SUM((AB$3&gt;='Gastos com Pessoal'!$E$7:$E$506)*(AB$3&lt;='Gastos com Pessoal'!$F$7:$F$506)*OFFSET('Encargos e Benefícios'!$D$5,1,MATCH($B55,'Encargos e Benefícios'!$E$5:$AB$5,0),500,1)),0)+_xlfn.IFNA(SUM((AB$3&gt;='Gastos com Pessoal'!$E$513:$E$522)*(AB$3&lt;='Gastos com Pessoal'!$F$513:$F$522)*OFFSET('Encargos e Benefícios'!$D$511,1,MATCH($B55,'Encargos e Benefícios'!$E$511:$AB$511,0),10,1)),0)+_xlfn.IFNA(SUM((AB$3&gt;='Gastos com Pessoal'!$E$7:$E$506)*(AB$3&lt;='Gastos com Pessoal'!$F$7:$F$506)*(IF('Gastos com Pessoal'!$G$7:$G$506&lt;=AB$3,1,0))*OFFSET('Gastos com Pessoal'!$H$6,1,MATCH(1&amp;$B55,'Gastos com Pessoal'!$I$532:$AJ$532&amp;'Gastos com Pessoal'!$I$6:$AJ$6,0),500,1)),0)+_xlfn.IFNA(SUM((AB$3&gt;='Gastos com Pessoal'!$E$7:$E$506)*(AB$3&lt;='Gastos com Pessoal'!$F$7:$F$506)*(IF('Gastos com Pessoal'!$M$7:$M$506&lt;=AB$3,1,0))*OFFSET('Gastos com Pessoal'!$H$6,1,MATCH(2&amp;$B55,'Gastos com Pessoal'!$I$532:$AJ$532&amp;'Gastos com Pessoal'!$I$6:$AJ$6,0),500,1)),0)+_xlfn.IFNA(SUM((AB$3&gt;='Gastos com Pessoal'!$E$7:$E$506)*(AB$3&lt;='Gastos com Pessoal'!$F$7:$F$506)*(IF('Gastos com Pessoal'!$S$7:$S$506&lt;=AB$3,1,0))*OFFSET('Gastos com Pessoal'!$H$6,1,MATCH(3&amp;$B55,'Gastos com Pessoal'!$I$532:$AJ$532&amp;'Gastos com Pessoal'!$I$6:$AJ$6,0),500,1)),0)+_xlfn.IFNA(SUM((AB$3&gt;='Gastos com Pessoal'!$E$7:$E$506)*(AB$3&lt;='Gastos com Pessoal'!$F$7:$F$506)*(IF('Gastos com Pessoal'!$Y$7:$Y$506&lt;=AB$3,1,0))*OFFSET('Gastos com Pessoal'!$H$6,1,MATCH(4&amp;$B55,'Gastos com Pessoal'!$I$532:$AJ$532&amp;'Gastos com Pessoal'!$I$6:$AJ$6,0),500,1)),0)+_xlfn.IFNA(SUM((AB$3&gt;='Gastos com Pessoal'!$E$7:$E$506)*(AB$3&lt;='Gastos com Pessoal'!$F$7:$F$506)*(IF('Gastos com Pessoal'!$AE$7:$AE$506&lt;=AB$3,1,0))*OFFSET('Gastos com Pessoal'!$H$6,1,MATCH(5&amp;$B55,'Gastos com Pessoal'!$I$532:$AJ$532&amp;'Gastos com Pessoal'!$I$6:$AJ$6,0),500,1)),0)+_xlfn.IFNA(SUM((AB$3&gt;='Gastos com Pessoal'!$E$513:$E$522)*(AB$3&lt;='Gastos com Pessoal'!$F$513:$F$522)*(IF('Gastos com Pessoal'!$G$513:$G$522&lt;=AB$3,1,0))*OFFSET('Gastos com Pessoal'!$H$512,1,MATCH(1&amp;$B55,'Gastos com Pessoal'!$I$532:$AJ$532&amp;'Gastos com Pessoal'!$I$512:$AJ$512,0),10,1)),0)+_xlfn.IFNA(SUM((AB$3&gt;='Gastos com Pessoal'!$E$513:$E$522)*(AB$3&lt;='Gastos com Pessoal'!$F$513:$F$522)*(IF('Gastos com Pessoal'!$M$513:$M$522&lt;=AB$3,1,0))*OFFSET('Gastos com Pessoal'!$H$512,1,MATCH(2&amp;$B55,'Gastos com Pessoal'!$I$532:$AJ$532&amp;'Gastos com Pessoal'!$I$512:$AJ$512,0),10,1)),0)+_xlfn.IFNA(SUM((AB$3&gt;='Gastos com Pessoal'!$E$513:$E$522)*(AB$3&lt;='Gastos com Pessoal'!$F$513:$F$522)*(IF('Gastos com Pessoal'!$S$513:$S$522&lt;=AB$3,1,0))*OFFSET('Gastos com Pessoal'!$H$512,1,MATCH(3&amp;$B55,'Gastos com Pessoal'!$I$532:$AJ$532&amp;'Gastos com Pessoal'!$I$512:$AJ$512,0),10,1)),0)+_xlfn.IFNA(SUM((AB$3&gt;='Gastos com Pessoal'!$E$513:$E$522)*(AB$3&lt;='Gastos com Pessoal'!$F$513:$F$522)*(IF('Gastos com Pessoal'!$Y$513:$Y$522&lt;=AB$3,1,0))*OFFSET('Gastos com Pessoal'!$H$512,1,MATCH(4&amp;$B55,'Gastos com Pessoal'!$I$532:$AJ$532&amp;'Gastos com Pessoal'!$I$512:$AJ$512,0),10,1)),0)+_xlfn.IFNA(SUM((AB$3&gt;='Gastos com Pessoal'!$E$513:$E$522)*(AB$3&lt;='Gastos com Pessoal'!$F$513:$F$522)*(IF('Gastos com Pessoal'!$AE$513:$AE$522&lt;=AB$3,1,0))*OFFSET('Gastos com Pessoal'!$H$512,1,MATCH(5&amp;$B55,'Gastos com Pessoal'!$I$532:$AJ$532&amp;'Gastos com Pessoal'!$I$512:$AJ$512,0),10,1)),0)</f>
        <v>0</v>
      </c>
      <c r="AC55" s="188">
        <f t="array" aca="1" ref="AC55" ca="1">_xlfn.IFNA(SUM((AC$3&gt;='Gastos com Pessoal'!$E$7:$E$506)*(AC$3&lt;='Gastos com Pessoal'!$F$7:$F$506)*OFFSET('Encargos e Benefícios'!$D$5,1,MATCH($B55,'Encargos e Benefícios'!$E$5:$AB$5,0),500,1)),0)+_xlfn.IFNA(SUM((AC$3&gt;='Gastos com Pessoal'!$E$513:$E$522)*(AC$3&lt;='Gastos com Pessoal'!$F$513:$F$522)*OFFSET('Encargos e Benefícios'!$D$511,1,MATCH($B55,'Encargos e Benefícios'!$E$511:$AB$511,0),10,1)),0)+_xlfn.IFNA(SUM((AC$3&gt;='Gastos com Pessoal'!$E$7:$E$506)*(AC$3&lt;='Gastos com Pessoal'!$F$7:$F$506)*(IF('Gastos com Pessoal'!$G$7:$G$506&lt;=AC$3,1,0))*OFFSET('Gastos com Pessoal'!$H$6,1,MATCH(1&amp;$B55,'Gastos com Pessoal'!$I$532:$AJ$532&amp;'Gastos com Pessoal'!$I$6:$AJ$6,0),500,1)),0)+_xlfn.IFNA(SUM((AC$3&gt;='Gastos com Pessoal'!$E$7:$E$506)*(AC$3&lt;='Gastos com Pessoal'!$F$7:$F$506)*(IF('Gastos com Pessoal'!$M$7:$M$506&lt;=AC$3,1,0))*OFFSET('Gastos com Pessoal'!$H$6,1,MATCH(2&amp;$B55,'Gastos com Pessoal'!$I$532:$AJ$532&amp;'Gastos com Pessoal'!$I$6:$AJ$6,0),500,1)),0)+_xlfn.IFNA(SUM((AC$3&gt;='Gastos com Pessoal'!$E$7:$E$506)*(AC$3&lt;='Gastos com Pessoal'!$F$7:$F$506)*(IF('Gastos com Pessoal'!$S$7:$S$506&lt;=AC$3,1,0))*OFFSET('Gastos com Pessoal'!$H$6,1,MATCH(3&amp;$B55,'Gastos com Pessoal'!$I$532:$AJ$532&amp;'Gastos com Pessoal'!$I$6:$AJ$6,0),500,1)),0)+_xlfn.IFNA(SUM((AC$3&gt;='Gastos com Pessoal'!$E$7:$E$506)*(AC$3&lt;='Gastos com Pessoal'!$F$7:$F$506)*(IF('Gastos com Pessoal'!$Y$7:$Y$506&lt;=AC$3,1,0))*OFFSET('Gastos com Pessoal'!$H$6,1,MATCH(4&amp;$B55,'Gastos com Pessoal'!$I$532:$AJ$532&amp;'Gastos com Pessoal'!$I$6:$AJ$6,0),500,1)),0)+_xlfn.IFNA(SUM((AC$3&gt;='Gastos com Pessoal'!$E$7:$E$506)*(AC$3&lt;='Gastos com Pessoal'!$F$7:$F$506)*(IF('Gastos com Pessoal'!$AE$7:$AE$506&lt;=AC$3,1,0))*OFFSET('Gastos com Pessoal'!$H$6,1,MATCH(5&amp;$B55,'Gastos com Pessoal'!$I$532:$AJ$532&amp;'Gastos com Pessoal'!$I$6:$AJ$6,0),500,1)),0)+_xlfn.IFNA(SUM((AC$3&gt;='Gastos com Pessoal'!$E$513:$E$522)*(AC$3&lt;='Gastos com Pessoal'!$F$513:$F$522)*(IF('Gastos com Pessoal'!$G$513:$G$522&lt;=AC$3,1,0))*OFFSET('Gastos com Pessoal'!$H$512,1,MATCH(1&amp;$B55,'Gastos com Pessoal'!$I$532:$AJ$532&amp;'Gastos com Pessoal'!$I$512:$AJ$512,0),10,1)),0)+_xlfn.IFNA(SUM((AC$3&gt;='Gastos com Pessoal'!$E$513:$E$522)*(AC$3&lt;='Gastos com Pessoal'!$F$513:$F$522)*(IF('Gastos com Pessoal'!$M$513:$M$522&lt;=AC$3,1,0))*OFFSET('Gastos com Pessoal'!$H$512,1,MATCH(2&amp;$B55,'Gastos com Pessoal'!$I$532:$AJ$532&amp;'Gastos com Pessoal'!$I$512:$AJ$512,0),10,1)),0)+_xlfn.IFNA(SUM((AC$3&gt;='Gastos com Pessoal'!$E$513:$E$522)*(AC$3&lt;='Gastos com Pessoal'!$F$513:$F$522)*(IF('Gastos com Pessoal'!$S$513:$S$522&lt;=AC$3,1,0))*OFFSET('Gastos com Pessoal'!$H$512,1,MATCH(3&amp;$B55,'Gastos com Pessoal'!$I$532:$AJ$532&amp;'Gastos com Pessoal'!$I$512:$AJ$512,0),10,1)),0)+_xlfn.IFNA(SUM((AC$3&gt;='Gastos com Pessoal'!$E$513:$E$522)*(AC$3&lt;='Gastos com Pessoal'!$F$513:$F$522)*(IF('Gastos com Pessoal'!$Y$513:$Y$522&lt;=AC$3,1,0))*OFFSET('Gastos com Pessoal'!$H$512,1,MATCH(4&amp;$B55,'Gastos com Pessoal'!$I$532:$AJ$532&amp;'Gastos com Pessoal'!$I$512:$AJ$512,0),10,1)),0)+_xlfn.IFNA(SUM((AC$3&gt;='Gastos com Pessoal'!$E$513:$E$522)*(AC$3&lt;='Gastos com Pessoal'!$F$513:$F$522)*(IF('Gastos com Pessoal'!$AE$513:$AE$522&lt;=AC$3,1,0))*OFFSET('Gastos com Pessoal'!$H$512,1,MATCH(5&amp;$B55,'Gastos com Pessoal'!$I$532:$AJ$532&amp;'Gastos com Pessoal'!$I$512:$AJ$512,0),10,1)),0)</f>
        <v>0</v>
      </c>
      <c r="AD55" s="188">
        <f t="array" aca="1" ref="AD55" ca="1">_xlfn.IFNA(SUM((AD$3&gt;='Gastos com Pessoal'!$E$7:$E$506)*(AD$3&lt;='Gastos com Pessoal'!$F$7:$F$506)*OFFSET('Encargos e Benefícios'!$D$5,1,MATCH($B55,'Encargos e Benefícios'!$E$5:$AB$5,0),500,1)),0)+_xlfn.IFNA(SUM((AD$3&gt;='Gastos com Pessoal'!$E$513:$E$522)*(AD$3&lt;='Gastos com Pessoal'!$F$513:$F$522)*OFFSET('Encargos e Benefícios'!$D$511,1,MATCH($B55,'Encargos e Benefícios'!$E$511:$AB$511,0),10,1)),0)+_xlfn.IFNA(SUM((AD$3&gt;='Gastos com Pessoal'!$E$7:$E$506)*(AD$3&lt;='Gastos com Pessoal'!$F$7:$F$506)*(IF('Gastos com Pessoal'!$G$7:$G$506&lt;=AD$3,1,0))*OFFSET('Gastos com Pessoal'!$H$6,1,MATCH(1&amp;$B55,'Gastos com Pessoal'!$I$532:$AJ$532&amp;'Gastos com Pessoal'!$I$6:$AJ$6,0),500,1)),0)+_xlfn.IFNA(SUM((AD$3&gt;='Gastos com Pessoal'!$E$7:$E$506)*(AD$3&lt;='Gastos com Pessoal'!$F$7:$F$506)*(IF('Gastos com Pessoal'!$M$7:$M$506&lt;=AD$3,1,0))*OFFSET('Gastos com Pessoal'!$H$6,1,MATCH(2&amp;$B55,'Gastos com Pessoal'!$I$532:$AJ$532&amp;'Gastos com Pessoal'!$I$6:$AJ$6,0),500,1)),0)+_xlfn.IFNA(SUM((AD$3&gt;='Gastos com Pessoal'!$E$7:$E$506)*(AD$3&lt;='Gastos com Pessoal'!$F$7:$F$506)*(IF('Gastos com Pessoal'!$S$7:$S$506&lt;=AD$3,1,0))*OFFSET('Gastos com Pessoal'!$H$6,1,MATCH(3&amp;$B55,'Gastos com Pessoal'!$I$532:$AJ$532&amp;'Gastos com Pessoal'!$I$6:$AJ$6,0),500,1)),0)+_xlfn.IFNA(SUM((AD$3&gt;='Gastos com Pessoal'!$E$7:$E$506)*(AD$3&lt;='Gastos com Pessoal'!$F$7:$F$506)*(IF('Gastos com Pessoal'!$Y$7:$Y$506&lt;=AD$3,1,0))*OFFSET('Gastos com Pessoal'!$H$6,1,MATCH(4&amp;$B55,'Gastos com Pessoal'!$I$532:$AJ$532&amp;'Gastos com Pessoal'!$I$6:$AJ$6,0),500,1)),0)+_xlfn.IFNA(SUM((AD$3&gt;='Gastos com Pessoal'!$E$7:$E$506)*(AD$3&lt;='Gastos com Pessoal'!$F$7:$F$506)*(IF('Gastos com Pessoal'!$AE$7:$AE$506&lt;=AD$3,1,0))*OFFSET('Gastos com Pessoal'!$H$6,1,MATCH(5&amp;$B55,'Gastos com Pessoal'!$I$532:$AJ$532&amp;'Gastos com Pessoal'!$I$6:$AJ$6,0),500,1)),0)+_xlfn.IFNA(SUM((AD$3&gt;='Gastos com Pessoal'!$E$513:$E$522)*(AD$3&lt;='Gastos com Pessoal'!$F$513:$F$522)*(IF('Gastos com Pessoal'!$G$513:$G$522&lt;=AD$3,1,0))*OFFSET('Gastos com Pessoal'!$H$512,1,MATCH(1&amp;$B55,'Gastos com Pessoal'!$I$532:$AJ$532&amp;'Gastos com Pessoal'!$I$512:$AJ$512,0),10,1)),0)+_xlfn.IFNA(SUM((AD$3&gt;='Gastos com Pessoal'!$E$513:$E$522)*(AD$3&lt;='Gastos com Pessoal'!$F$513:$F$522)*(IF('Gastos com Pessoal'!$M$513:$M$522&lt;=AD$3,1,0))*OFFSET('Gastos com Pessoal'!$H$512,1,MATCH(2&amp;$B55,'Gastos com Pessoal'!$I$532:$AJ$532&amp;'Gastos com Pessoal'!$I$512:$AJ$512,0),10,1)),0)+_xlfn.IFNA(SUM((AD$3&gt;='Gastos com Pessoal'!$E$513:$E$522)*(AD$3&lt;='Gastos com Pessoal'!$F$513:$F$522)*(IF('Gastos com Pessoal'!$S$513:$S$522&lt;=AD$3,1,0))*OFFSET('Gastos com Pessoal'!$H$512,1,MATCH(3&amp;$B55,'Gastos com Pessoal'!$I$532:$AJ$532&amp;'Gastos com Pessoal'!$I$512:$AJ$512,0),10,1)),0)+_xlfn.IFNA(SUM((AD$3&gt;='Gastos com Pessoal'!$E$513:$E$522)*(AD$3&lt;='Gastos com Pessoal'!$F$513:$F$522)*(IF('Gastos com Pessoal'!$Y$513:$Y$522&lt;=AD$3,1,0))*OFFSET('Gastos com Pessoal'!$H$512,1,MATCH(4&amp;$B55,'Gastos com Pessoal'!$I$532:$AJ$532&amp;'Gastos com Pessoal'!$I$512:$AJ$512,0),10,1)),0)+_xlfn.IFNA(SUM((AD$3&gt;='Gastos com Pessoal'!$E$513:$E$522)*(AD$3&lt;='Gastos com Pessoal'!$F$513:$F$522)*(IF('Gastos com Pessoal'!$AE$513:$AE$522&lt;=AD$3,1,0))*OFFSET('Gastos com Pessoal'!$H$512,1,MATCH(5&amp;$B55,'Gastos com Pessoal'!$I$532:$AJ$532&amp;'Gastos com Pessoal'!$I$512:$AJ$512,0),10,1)),0)</f>
        <v>0</v>
      </c>
      <c r="AE55" s="188">
        <f t="array" aca="1" ref="AE55" ca="1">_xlfn.IFNA(SUM((AE$3&gt;='Gastos com Pessoal'!$E$7:$E$506)*(AE$3&lt;='Gastos com Pessoal'!$F$7:$F$506)*OFFSET('Encargos e Benefícios'!$D$5,1,MATCH($B55,'Encargos e Benefícios'!$E$5:$AB$5,0),500,1)),0)+_xlfn.IFNA(SUM((AE$3&gt;='Gastos com Pessoal'!$E$513:$E$522)*(AE$3&lt;='Gastos com Pessoal'!$F$513:$F$522)*OFFSET('Encargos e Benefícios'!$D$511,1,MATCH($B55,'Encargos e Benefícios'!$E$511:$AB$511,0),10,1)),0)+_xlfn.IFNA(SUM((AE$3&gt;='Gastos com Pessoal'!$E$7:$E$506)*(AE$3&lt;='Gastos com Pessoal'!$F$7:$F$506)*(IF('Gastos com Pessoal'!$G$7:$G$506&lt;=AE$3,1,0))*OFFSET('Gastos com Pessoal'!$H$6,1,MATCH(1&amp;$B55,'Gastos com Pessoal'!$I$532:$AJ$532&amp;'Gastos com Pessoal'!$I$6:$AJ$6,0),500,1)),0)+_xlfn.IFNA(SUM((AE$3&gt;='Gastos com Pessoal'!$E$7:$E$506)*(AE$3&lt;='Gastos com Pessoal'!$F$7:$F$506)*(IF('Gastos com Pessoal'!$M$7:$M$506&lt;=AE$3,1,0))*OFFSET('Gastos com Pessoal'!$H$6,1,MATCH(2&amp;$B55,'Gastos com Pessoal'!$I$532:$AJ$532&amp;'Gastos com Pessoal'!$I$6:$AJ$6,0),500,1)),0)+_xlfn.IFNA(SUM((AE$3&gt;='Gastos com Pessoal'!$E$7:$E$506)*(AE$3&lt;='Gastos com Pessoal'!$F$7:$F$506)*(IF('Gastos com Pessoal'!$S$7:$S$506&lt;=AE$3,1,0))*OFFSET('Gastos com Pessoal'!$H$6,1,MATCH(3&amp;$B55,'Gastos com Pessoal'!$I$532:$AJ$532&amp;'Gastos com Pessoal'!$I$6:$AJ$6,0),500,1)),0)+_xlfn.IFNA(SUM((AE$3&gt;='Gastos com Pessoal'!$E$7:$E$506)*(AE$3&lt;='Gastos com Pessoal'!$F$7:$F$506)*(IF('Gastos com Pessoal'!$Y$7:$Y$506&lt;=AE$3,1,0))*OFFSET('Gastos com Pessoal'!$H$6,1,MATCH(4&amp;$B55,'Gastos com Pessoal'!$I$532:$AJ$532&amp;'Gastos com Pessoal'!$I$6:$AJ$6,0),500,1)),0)+_xlfn.IFNA(SUM((AE$3&gt;='Gastos com Pessoal'!$E$7:$E$506)*(AE$3&lt;='Gastos com Pessoal'!$F$7:$F$506)*(IF('Gastos com Pessoal'!$AE$7:$AE$506&lt;=AE$3,1,0))*OFFSET('Gastos com Pessoal'!$H$6,1,MATCH(5&amp;$B55,'Gastos com Pessoal'!$I$532:$AJ$532&amp;'Gastos com Pessoal'!$I$6:$AJ$6,0),500,1)),0)+_xlfn.IFNA(SUM((AE$3&gt;='Gastos com Pessoal'!$E$513:$E$522)*(AE$3&lt;='Gastos com Pessoal'!$F$513:$F$522)*(IF('Gastos com Pessoal'!$G$513:$G$522&lt;=AE$3,1,0))*OFFSET('Gastos com Pessoal'!$H$512,1,MATCH(1&amp;$B55,'Gastos com Pessoal'!$I$532:$AJ$532&amp;'Gastos com Pessoal'!$I$512:$AJ$512,0),10,1)),0)+_xlfn.IFNA(SUM((AE$3&gt;='Gastos com Pessoal'!$E$513:$E$522)*(AE$3&lt;='Gastos com Pessoal'!$F$513:$F$522)*(IF('Gastos com Pessoal'!$M$513:$M$522&lt;=AE$3,1,0))*OFFSET('Gastos com Pessoal'!$H$512,1,MATCH(2&amp;$B55,'Gastos com Pessoal'!$I$532:$AJ$532&amp;'Gastos com Pessoal'!$I$512:$AJ$512,0),10,1)),0)+_xlfn.IFNA(SUM((AE$3&gt;='Gastos com Pessoal'!$E$513:$E$522)*(AE$3&lt;='Gastos com Pessoal'!$F$513:$F$522)*(IF('Gastos com Pessoal'!$S$513:$S$522&lt;=AE$3,1,0))*OFFSET('Gastos com Pessoal'!$H$512,1,MATCH(3&amp;$B55,'Gastos com Pessoal'!$I$532:$AJ$532&amp;'Gastos com Pessoal'!$I$512:$AJ$512,0),10,1)),0)+_xlfn.IFNA(SUM((AE$3&gt;='Gastos com Pessoal'!$E$513:$E$522)*(AE$3&lt;='Gastos com Pessoal'!$F$513:$F$522)*(IF('Gastos com Pessoal'!$Y$513:$Y$522&lt;=AE$3,1,0))*OFFSET('Gastos com Pessoal'!$H$512,1,MATCH(4&amp;$B55,'Gastos com Pessoal'!$I$532:$AJ$532&amp;'Gastos com Pessoal'!$I$512:$AJ$512,0),10,1)),0)+_xlfn.IFNA(SUM((AE$3&gt;='Gastos com Pessoal'!$E$513:$E$522)*(AE$3&lt;='Gastos com Pessoal'!$F$513:$F$522)*(IF('Gastos com Pessoal'!$AE$513:$AE$522&lt;=AE$3,1,0))*OFFSET('Gastos com Pessoal'!$H$512,1,MATCH(5&amp;$B55,'Gastos com Pessoal'!$I$532:$AJ$532&amp;'Gastos com Pessoal'!$I$512:$AJ$512,0),10,1)),0)</f>
        <v>0</v>
      </c>
      <c r="AF55" s="188">
        <f t="array" aca="1" ref="AF55" ca="1">_xlfn.IFNA(SUM((AF$3&gt;='Gastos com Pessoal'!$E$7:$E$506)*(AF$3&lt;='Gastos com Pessoal'!$F$7:$F$506)*OFFSET('Encargos e Benefícios'!$D$5,1,MATCH($B55,'Encargos e Benefícios'!$E$5:$AB$5,0),500,1)),0)+_xlfn.IFNA(SUM((AF$3&gt;='Gastos com Pessoal'!$E$513:$E$522)*(AF$3&lt;='Gastos com Pessoal'!$F$513:$F$522)*OFFSET('Encargos e Benefícios'!$D$511,1,MATCH($B55,'Encargos e Benefícios'!$E$511:$AB$511,0),10,1)),0)+_xlfn.IFNA(SUM((AF$3&gt;='Gastos com Pessoal'!$E$7:$E$506)*(AF$3&lt;='Gastos com Pessoal'!$F$7:$F$506)*(IF('Gastos com Pessoal'!$G$7:$G$506&lt;=AF$3,1,0))*OFFSET('Gastos com Pessoal'!$H$6,1,MATCH(1&amp;$B55,'Gastos com Pessoal'!$I$532:$AJ$532&amp;'Gastos com Pessoal'!$I$6:$AJ$6,0),500,1)),0)+_xlfn.IFNA(SUM((AF$3&gt;='Gastos com Pessoal'!$E$7:$E$506)*(AF$3&lt;='Gastos com Pessoal'!$F$7:$F$506)*(IF('Gastos com Pessoal'!$M$7:$M$506&lt;=AF$3,1,0))*OFFSET('Gastos com Pessoal'!$H$6,1,MATCH(2&amp;$B55,'Gastos com Pessoal'!$I$532:$AJ$532&amp;'Gastos com Pessoal'!$I$6:$AJ$6,0),500,1)),0)+_xlfn.IFNA(SUM((AF$3&gt;='Gastos com Pessoal'!$E$7:$E$506)*(AF$3&lt;='Gastos com Pessoal'!$F$7:$F$506)*(IF('Gastos com Pessoal'!$S$7:$S$506&lt;=AF$3,1,0))*OFFSET('Gastos com Pessoal'!$H$6,1,MATCH(3&amp;$B55,'Gastos com Pessoal'!$I$532:$AJ$532&amp;'Gastos com Pessoal'!$I$6:$AJ$6,0),500,1)),0)+_xlfn.IFNA(SUM((AF$3&gt;='Gastos com Pessoal'!$E$7:$E$506)*(AF$3&lt;='Gastos com Pessoal'!$F$7:$F$506)*(IF('Gastos com Pessoal'!$Y$7:$Y$506&lt;=AF$3,1,0))*OFFSET('Gastos com Pessoal'!$H$6,1,MATCH(4&amp;$B55,'Gastos com Pessoal'!$I$532:$AJ$532&amp;'Gastos com Pessoal'!$I$6:$AJ$6,0),500,1)),0)+_xlfn.IFNA(SUM((AF$3&gt;='Gastos com Pessoal'!$E$7:$E$506)*(AF$3&lt;='Gastos com Pessoal'!$F$7:$F$506)*(IF('Gastos com Pessoal'!$AE$7:$AE$506&lt;=AF$3,1,0))*OFFSET('Gastos com Pessoal'!$H$6,1,MATCH(5&amp;$B55,'Gastos com Pessoal'!$I$532:$AJ$532&amp;'Gastos com Pessoal'!$I$6:$AJ$6,0),500,1)),0)+_xlfn.IFNA(SUM((AF$3&gt;='Gastos com Pessoal'!$E$513:$E$522)*(AF$3&lt;='Gastos com Pessoal'!$F$513:$F$522)*(IF('Gastos com Pessoal'!$G$513:$G$522&lt;=AF$3,1,0))*OFFSET('Gastos com Pessoal'!$H$512,1,MATCH(1&amp;$B55,'Gastos com Pessoal'!$I$532:$AJ$532&amp;'Gastos com Pessoal'!$I$512:$AJ$512,0),10,1)),0)+_xlfn.IFNA(SUM((AF$3&gt;='Gastos com Pessoal'!$E$513:$E$522)*(AF$3&lt;='Gastos com Pessoal'!$F$513:$F$522)*(IF('Gastos com Pessoal'!$M$513:$M$522&lt;=AF$3,1,0))*OFFSET('Gastos com Pessoal'!$H$512,1,MATCH(2&amp;$B55,'Gastos com Pessoal'!$I$532:$AJ$532&amp;'Gastos com Pessoal'!$I$512:$AJ$512,0),10,1)),0)+_xlfn.IFNA(SUM((AF$3&gt;='Gastos com Pessoal'!$E$513:$E$522)*(AF$3&lt;='Gastos com Pessoal'!$F$513:$F$522)*(IF('Gastos com Pessoal'!$S$513:$S$522&lt;=AF$3,1,0))*OFFSET('Gastos com Pessoal'!$H$512,1,MATCH(3&amp;$B55,'Gastos com Pessoal'!$I$532:$AJ$532&amp;'Gastos com Pessoal'!$I$512:$AJ$512,0),10,1)),0)+_xlfn.IFNA(SUM((AF$3&gt;='Gastos com Pessoal'!$E$513:$E$522)*(AF$3&lt;='Gastos com Pessoal'!$F$513:$F$522)*(IF('Gastos com Pessoal'!$Y$513:$Y$522&lt;=AF$3,1,0))*OFFSET('Gastos com Pessoal'!$H$512,1,MATCH(4&amp;$B55,'Gastos com Pessoal'!$I$532:$AJ$532&amp;'Gastos com Pessoal'!$I$512:$AJ$512,0),10,1)),0)+_xlfn.IFNA(SUM((AF$3&gt;='Gastos com Pessoal'!$E$513:$E$522)*(AF$3&lt;='Gastos com Pessoal'!$F$513:$F$522)*(IF('Gastos com Pessoal'!$AE$513:$AE$522&lt;=AF$3,1,0))*OFFSET('Gastos com Pessoal'!$H$512,1,MATCH(5&amp;$B55,'Gastos com Pessoal'!$I$532:$AJ$532&amp;'Gastos com Pessoal'!$I$512:$AJ$512,0),10,1)),0)</f>
        <v>0</v>
      </c>
      <c r="AG55" s="188">
        <f t="array" aca="1" ref="AG55" ca="1">_xlfn.IFNA(SUM((AG$3&gt;='Gastos com Pessoal'!$E$7:$E$506)*(AG$3&lt;='Gastos com Pessoal'!$F$7:$F$506)*OFFSET('Encargos e Benefícios'!$D$5,1,MATCH($B55,'Encargos e Benefícios'!$E$5:$AB$5,0),500,1)),0)+_xlfn.IFNA(SUM((AG$3&gt;='Gastos com Pessoal'!$E$513:$E$522)*(AG$3&lt;='Gastos com Pessoal'!$F$513:$F$522)*OFFSET('Encargos e Benefícios'!$D$511,1,MATCH($B55,'Encargos e Benefícios'!$E$511:$AB$511,0),10,1)),0)+_xlfn.IFNA(SUM((AG$3&gt;='Gastos com Pessoal'!$E$7:$E$506)*(AG$3&lt;='Gastos com Pessoal'!$F$7:$F$506)*(IF('Gastos com Pessoal'!$G$7:$G$506&lt;=AG$3,1,0))*OFFSET('Gastos com Pessoal'!$H$6,1,MATCH(1&amp;$B55,'Gastos com Pessoal'!$I$532:$AJ$532&amp;'Gastos com Pessoal'!$I$6:$AJ$6,0),500,1)),0)+_xlfn.IFNA(SUM((AG$3&gt;='Gastos com Pessoal'!$E$7:$E$506)*(AG$3&lt;='Gastos com Pessoal'!$F$7:$F$506)*(IF('Gastos com Pessoal'!$M$7:$M$506&lt;=AG$3,1,0))*OFFSET('Gastos com Pessoal'!$H$6,1,MATCH(2&amp;$B55,'Gastos com Pessoal'!$I$532:$AJ$532&amp;'Gastos com Pessoal'!$I$6:$AJ$6,0),500,1)),0)+_xlfn.IFNA(SUM((AG$3&gt;='Gastos com Pessoal'!$E$7:$E$506)*(AG$3&lt;='Gastos com Pessoal'!$F$7:$F$506)*(IF('Gastos com Pessoal'!$S$7:$S$506&lt;=AG$3,1,0))*OFFSET('Gastos com Pessoal'!$H$6,1,MATCH(3&amp;$B55,'Gastos com Pessoal'!$I$532:$AJ$532&amp;'Gastos com Pessoal'!$I$6:$AJ$6,0),500,1)),0)+_xlfn.IFNA(SUM((AG$3&gt;='Gastos com Pessoal'!$E$7:$E$506)*(AG$3&lt;='Gastos com Pessoal'!$F$7:$F$506)*(IF('Gastos com Pessoal'!$Y$7:$Y$506&lt;=AG$3,1,0))*OFFSET('Gastos com Pessoal'!$H$6,1,MATCH(4&amp;$B55,'Gastos com Pessoal'!$I$532:$AJ$532&amp;'Gastos com Pessoal'!$I$6:$AJ$6,0),500,1)),0)+_xlfn.IFNA(SUM((AG$3&gt;='Gastos com Pessoal'!$E$7:$E$506)*(AG$3&lt;='Gastos com Pessoal'!$F$7:$F$506)*(IF('Gastos com Pessoal'!$AE$7:$AE$506&lt;=AG$3,1,0))*OFFSET('Gastos com Pessoal'!$H$6,1,MATCH(5&amp;$B55,'Gastos com Pessoal'!$I$532:$AJ$532&amp;'Gastos com Pessoal'!$I$6:$AJ$6,0),500,1)),0)+_xlfn.IFNA(SUM((AG$3&gt;='Gastos com Pessoal'!$E$513:$E$522)*(AG$3&lt;='Gastos com Pessoal'!$F$513:$F$522)*(IF('Gastos com Pessoal'!$G$513:$G$522&lt;=AG$3,1,0))*OFFSET('Gastos com Pessoal'!$H$512,1,MATCH(1&amp;$B55,'Gastos com Pessoal'!$I$532:$AJ$532&amp;'Gastos com Pessoal'!$I$512:$AJ$512,0),10,1)),0)+_xlfn.IFNA(SUM((AG$3&gt;='Gastos com Pessoal'!$E$513:$E$522)*(AG$3&lt;='Gastos com Pessoal'!$F$513:$F$522)*(IF('Gastos com Pessoal'!$M$513:$M$522&lt;=AG$3,1,0))*OFFSET('Gastos com Pessoal'!$H$512,1,MATCH(2&amp;$B55,'Gastos com Pessoal'!$I$532:$AJ$532&amp;'Gastos com Pessoal'!$I$512:$AJ$512,0),10,1)),0)+_xlfn.IFNA(SUM((AG$3&gt;='Gastos com Pessoal'!$E$513:$E$522)*(AG$3&lt;='Gastos com Pessoal'!$F$513:$F$522)*(IF('Gastos com Pessoal'!$S$513:$S$522&lt;=AG$3,1,0))*OFFSET('Gastos com Pessoal'!$H$512,1,MATCH(3&amp;$B55,'Gastos com Pessoal'!$I$532:$AJ$532&amp;'Gastos com Pessoal'!$I$512:$AJ$512,0),10,1)),0)+_xlfn.IFNA(SUM((AG$3&gt;='Gastos com Pessoal'!$E$513:$E$522)*(AG$3&lt;='Gastos com Pessoal'!$F$513:$F$522)*(IF('Gastos com Pessoal'!$Y$513:$Y$522&lt;=AG$3,1,0))*OFFSET('Gastos com Pessoal'!$H$512,1,MATCH(4&amp;$B55,'Gastos com Pessoal'!$I$532:$AJ$532&amp;'Gastos com Pessoal'!$I$512:$AJ$512,0),10,1)),0)+_xlfn.IFNA(SUM((AG$3&gt;='Gastos com Pessoal'!$E$513:$E$522)*(AG$3&lt;='Gastos com Pessoal'!$F$513:$F$522)*(IF('Gastos com Pessoal'!$AE$513:$AE$522&lt;=AG$3,1,0))*OFFSET('Gastos com Pessoal'!$H$512,1,MATCH(5&amp;$B55,'Gastos com Pessoal'!$I$532:$AJ$532&amp;'Gastos com Pessoal'!$I$512:$AJ$512,0),10,1)),0)</f>
        <v>0</v>
      </c>
      <c r="AH55" s="188">
        <f t="array" aca="1" ref="AH55" ca="1">_xlfn.IFNA(SUM((AH$3&gt;='Gastos com Pessoal'!$E$7:$E$506)*(AH$3&lt;='Gastos com Pessoal'!$F$7:$F$506)*OFFSET('Encargos e Benefícios'!$D$5,1,MATCH($B55,'Encargos e Benefícios'!$E$5:$AB$5,0),500,1)),0)+_xlfn.IFNA(SUM((AH$3&gt;='Gastos com Pessoal'!$E$513:$E$522)*(AH$3&lt;='Gastos com Pessoal'!$F$513:$F$522)*OFFSET('Encargos e Benefícios'!$D$511,1,MATCH($B55,'Encargos e Benefícios'!$E$511:$AB$511,0),10,1)),0)+_xlfn.IFNA(SUM((AH$3&gt;='Gastos com Pessoal'!$E$7:$E$506)*(AH$3&lt;='Gastos com Pessoal'!$F$7:$F$506)*(IF('Gastos com Pessoal'!$G$7:$G$506&lt;=AH$3,1,0))*OFFSET('Gastos com Pessoal'!$H$6,1,MATCH(1&amp;$B55,'Gastos com Pessoal'!$I$532:$AJ$532&amp;'Gastos com Pessoal'!$I$6:$AJ$6,0),500,1)),0)+_xlfn.IFNA(SUM((AH$3&gt;='Gastos com Pessoal'!$E$7:$E$506)*(AH$3&lt;='Gastos com Pessoal'!$F$7:$F$506)*(IF('Gastos com Pessoal'!$M$7:$M$506&lt;=AH$3,1,0))*OFFSET('Gastos com Pessoal'!$H$6,1,MATCH(2&amp;$B55,'Gastos com Pessoal'!$I$532:$AJ$532&amp;'Gastos com Pessoal'!$I$6:$AJ$6,0),500,1)),0)+_xlfn.IFNA(SUM((AH$3&gt;='Gastos com Pessoal'!$E$7:$E$506)*(AH$3&lt;='Gastos com Pessoal'!$F$7:$F$506)*(IF('Gastos com Pessoal'!$S$7:$S$506&lt;=AH$3,1,0))*OFFSET('Gastos com Pessoal'!$H$6,1,MATCH(3&amp;$B55,'Gastos com Pessoal'!$I$532:$AJ$532&amp;'Gastos com Pessoal'!$I$6:$AJ$6,0),500,1)),0)+_xlfn.IFNA(SUM((AH$3&gt;='Gastos com Pessoal'!$E$7:$E$506)*(AH$3&lt;='Gastos com Pessoal'!$F$7:$F$506)*(IF('Gastos com Pessoal'!$Y$7:$Y$506&lt;=AH$3,1,0))*OFFSET('Gastos com Pessoal'!$H$6,1,MATCH(4&amp;$B55,'Gastos com Pessoal'!$I$532:$AJ$532&amp;'Gastos com Pessoal'!$I$6:$AJ$6,0),500,1)),0)+_xlfn.IFNA(SUM((AH$3&gt;='Gastos com Pessoal'!$E$7:$E$506)*(AH$3&lt;='Gastos com Pessoal'!$F$7:$F$506)*(IF('Gastos com Pessoal'!$AE$7:$AE$506&lt;=AH$3,1,0))*OFFSET('Gastos com Pessoal'!$H$6,1,MATCH(5&amp;$B55,'Gastos com Pessoal'!$I$532:$AJ$532&amp;'Gastos com Pessoal'!$I$6:$AJ$6,0),500,1)),0)+_xlfn.IFNA(SUM((AH$3&gt;='Gastos com Pessoal'!$E$513:$E$522)*(AH$3&lt;='Gastos com Pessoal'!$F$513:$F$522)*(IF('Gastos com Pessoal'!$G$513:$G$522&lt;=AH$3,1,0))*OFFSET('Gastos com Pessoal'!$H$512,1,MATCH(1&amp;$B55,'Gastos com Pessoal'!$I$532:$AJ$532&amp;'Gastos com Pessoal'!$I$512:$AJ$512,0),10,1)),0)+_xlfn.IFNA(SUM((AH$3&gt;='Gastos com Pessoal'!$E$513:$E$522)*(AH$3&lt;='Gastos com Pessoal'!$F$513:$F$522)*(IF('Gastos com Pessoal'!$M$513:$M$522&lt;=AH$3,1,0))*OFFSET('Gastos com Pessoal'!$H$512,1,MATCH(2&amp;$B55,'Gastos com Pessoal'!$I$532:$AJ$532&amp;'Gastos com Pessoal'!$I$512:$AJ$512,0),10,1)),0)+_xlfn.IFNA(SUM((AH$3&gt;='Gastos com Pessoal'!$E$513:$E$522)*(AH$3&lt;='Gastos com Pessoal'!$F$513:$F$522)*(IF('Gastos com Pessoal'!$S$513:$S$522&lt;=AH$3,1,0))*OFFSET('Gastos com Pessoal'!$H$512,1,MATCH(3&amp;$B55,'Gastos com Pessoal'!$I$532:$AJ$532&amp;'Gastos com Pessoal'!$I$512:$AJ$512,0),10,1)),0)+_xlfn.IFNA(SUM((AH$3&gt;='Gastos com Pessoal'!$E$513:$E$522)*(AH$3&lt;='Gastos com Pessoal'!$F$513:$F$522)*(IF('Gastos com Pessoal'!$Y$513:$Y$522&lt;=AH$3,1,0))*OFFSET('Gastos com Pessoal'!$H$512,1,MATCH(4&amp;$B55,'Gastos com Pessoal'!$I$532:$AJ$532&amp;'Gastos com Pessoal'!$I$512:$AJ$512,0),10,1)),0)+_xlfn.IFNA(SUM((AH$3&gt;='Gastos com Pessoal'!$E$513:$E$522)*(AH$3&lt;='Gastos com Pessoal'!$F$513:$F$522)*(IF('Gastos com Pessoal'!$AE$513:$AE$522&lt;=AH$3,1,0))*OFFSET('Gastos com Pessoal'!$H$512,1,MATCH(5&amp;$B55,'Gastos com Pessoal'!$I$532:$AJ$532&amp;'Gastos com Pessoal'!$I$512:$AJ$512,0),10,1)),0)</f>
        <v>0</v>
      </c>
      <c r="AI55" s="188">
        <f t="array" aca="1" ref="AI55" ca="1">_xlfn.IFNA(SUM((AI$3&gt;='Gastos com Pessoal'!$E$7:$E$506)*(AI$3&lt;='Gastos com Pessoal'!$F$7:$F$506)*OFFSET('Encargos e Benefícios'!$D$5,1,MATCH($B55,'Encargos e Benefícios'!$E$5:$AB$5,0),500,1)),0)+_xlfn.IFNA(SUM((AI$3&gt;='Gastos com Pessoal'!$E$513:$E$522)*(AI$3&lt;='Gastos com Pessoal'!$F$513:$F$522)*OFFSET('Encargos e Benefícios'!$D$511,1,MATCH($B55,'Encargos e Benefícios'!$E$511:$AB$511,0),10,1)),0)+_xlfn.IFNA(SUM((AI$3&gt;='Gastos com Pessoal'!$E$7:$E$506)*(AI$3&lt;='Gastos com Pessoal'!$F$7:$F$506)*(IF('Gastos com Pessoal'!$G$7:$G$506&lt;=AI$3,1,0))*OFFSET('Gastos com Pessoal'!$H$6,1,MATCH(1&amp;$B55,'Gastos com Pessoal'!$I$532:$AJ$532&amp;'Gastos com Pessoal'!$I$6:$AJ$6,0),500,1)),0)+_xlfn.IFNA(SUM((AI$3&gt;='Gastos com Pessoal'!$E$7:$E$506)*(AI$3&lt;='Gastos com Pessoal'!$F$7:$F$506)*(IF('Gastos com Pessoal'!$M$7:$M$506&lt;=AI$3,1,0))*OFFSET('Gastos com Pessoal'!$H$6,1,MATCH(2&amp;$B55,'Gastos com Pessoal'!$I$532:$AJ$532&amp;'Gastos com Pessoal'!$I$6:$AJ$6,0),500,1)),0)+_xlfn.IFNA(SUM((AI$3&gt;='Gastos com Pessoal'!$E$7:$E$506)*(AI$3&lt;='Gastos com Pessoal'!$F$7:$F$506)*(IF('Gastos com Pessoal'!$S$7:$S$506&lt;=AI$3,1,0))*OFFSET('Gastos com Pessoal'!$H$6,1,MATCH(3&amp;$B55,'Gastos com Pessoal'!$I$532:$AJ$532&amp;'Gastos com Pessoal'!$I$6:$AJ$6,0),500,1)),0)+_xlfn.IFNA(SUM((AI$3&gt;='Gastos com Pessoal'!$E$7:$E$506)*(AI$3&lt;='Gastos com Pessoal'!$F$7:$F$506)*(IF('Gastos com Pessoal'!$Y$7:$Y$506&lt;=AI$3,1,0))*OFFSET('Gastos com Pessoal'!$H$6,1,MATCH(4&amp;$B55,'Gastos com Pessoal'!$I$532:$AJ$532&amp;'Gastos com Pessoal'!$I$6:$AJ$6,0),500,1)),0)+_xlfn.IFNA(SUM((AI$3&gt;='Gastos com Pessoal'!$E$7:$E$506)*(AI$3&lt;='Gastos com Pessoal'!$F$7:$F$506)*(IF('Gastos com Pessoal'!$AE$7:$AE$506&lt;=AI$3,1,0))*OFFSET('Gastos com Pessoal'!$H$6,1,MATCH(5&amp;$B55,'Gastos com Pessoal'!$I$532:$AJ$532&amp;'Gastos com Pessoal'!$I$6:$AJ$6,0),500,1)),0)+_xlfn.IFNA(SUM((AI$3&gt;='Gastos com Pessoal'!$E$513:$E$522)*(AI$3&lt;='Gastos com Pessoal'!$F$513:$F$522)*(IF('Gastos com Pessoal'!$G$513:$G$522&lt;=AI$3,1,0))*OFFSET('Gastos com Pessoal'!$H$512,1,MATCH(1&amp;$B55,'Gastos com Pessoal'!$I$532:$AJ$532&amp;'Gastos com Pessoal'!$I$512:$AJ$512,0),10,1)),0)+_xlfn.IFNA(SUM((AI$3&gt;='Gastos com Pessoal'!$E$513:$E$522)*(AI$3&lt;='Gastos com Pessoal'!$F$513:$F$522)*(IF('Gastos com Pessoal'!$M$513:$M$522&lt;=AI$3,1,0))*OFFSET('Gastos com Pessoal'!$H$512,1,MATCH(2&amp;$B55,'Gastos com Pessoal'!$I$532:$AJ$532&amp;'Gastos com Pessoal'!$I$512:$AJ$512,0),10,1)),0)+_xlfn.IFNA(SUM((AI$3&gt;='Gastos com Pessoal'!$E$513:$E$522)*(AI$3&lt;='Gastos com Pessoal'!$F$513:$F$522)*(IF('Gastos com Pessoal'!$S$513:$S$522&lt;=AI$3,1,0))*OFFSET('Gastos com Pessoal'!$H$512,1,MATCH(3&amp;$B55,'Gastos com Pessoal'!$I$532:$AJ$532&amp;'Gastos com Pessoal'!$I$512:$AJ$512,0),10,1)),0)+_xlfn.IFNA(SUM((AI$3&gt;='Gastos com Pessoal'!$E$513:$E$522)*(AI$3&lt;='Gastos com Pessoal'!$F$513:$F$522)*(IF('Gastos com Pessoal'!$Y$513:$Y$522&lt;=AI$3,1,0))*OFFSET('Gastos com Pessoal'!$H$512,1,MATCH(4&amp;$B55,'Gastos com Pessoal'!$I$532:$AJ$532&amp;'Gastos com Pessoal'!$I$512:$AJ$512,0),10,1)),0)+_xlfn.IFNA(SUM((AI$3&gt;='Gastos com Pessoal'!$E$513:$E$522)*(AI$3&lt;='Gastos com Pessoal'!$F$513:$F$522)*(IF('Gastos com Pessoal'!$AE$513:$AE$522&lt;=AI$3,1,0))*OFFSET('Gastos com Pessoal'!$H$512,1,MATCH(5&amp;$B55,'Gastos com Pessoal'!$I$532:$AJ$532&amp;'Gastos com Pessoal'!$I$512:$AJ$512,0),10,1)),0)</f>
        <v>0</v>
      </c>
      <c r="AJ55" s="188">
        <f t="array" aca="1" ref="AJ55" ca="1">_xlfn.IFNA(SUM((AJ$3&gt;='Gastos com Pessoal'!$E$7:$E$506)*(AJ$3&lt;='Gastos com Pessoal'!$F$7:$F$506)*OFFSET('Encargos e Benefícios'!$D$5,1,MATCH($B55,'Encargos e Benefícios'!$E$5:$AB$5,0),500,1)),0)+_xlfn.IFNA(SUM((AJ$3&gt;='Gastos com Pessoal'!$E$513:$E$522)*(AJ$3&lt;='Gastos com Pessoal'!$F$513:$F$522)*OFFSET('Encargos e Benefícios'!$D$511,1,MATCH($B55,'Encargos e Benefícios'!$E$511:$AB$511,0),10,1)),0)+_xlfn.IFNA(SUM((AJ$3&gt;='Gastos com Pessoal'!$E$7:$E$506)*(AJ$3&lt;='Gastos com Pessoal'!$F$7:$F$506)*(IF('Gastos com Pessoal'!$G$7:$G$506&lt;=AJ$3,1,0))*OFFSET('Gastos com Pessoal'!$H$6,1,MATCH(1&amp;$B55,'Gastos com Pessoal'!$I$532:$AJ$532&amp;'Gastos com Pessoal'!$I$6:$AJ$6,0),500,1)),0)+_xlfn.IFNA(SUM((AJ$3&gt;='Gastos com Pessoal'!$E$7:$E$506)*(AJ$3&lt;='Gastos com Pessoal'!$F$7:$F$506)*(IF('Gastos com Pessoal'!$M$7:$M$506&lt;=AJ$3,1,0))*OFFSET('Gastos com Pessoal'!$H$6,1,MATCH(2&amp;$B55,'Gastos com Pessoal'!$I$532:$AJ$532&amp;'Gastos com Pessoal'!$I$6:$AJ$6,0),500,1)),0)+_xlfn.IFNA(SUM((AJ$3&gt;='Gastos com Pessoal'!$E$7:$E$506)*(AJ$3&lt;='Gastos com Pessoal'!$F$7:$F$506)*(IF('Gastos com Pessoal'!$S$7:$S$506&lt;=AJ$3,1,0))*OFFSET('Gastos com Pessoal'!$H$6,1,MATCH(3&amp;$B55,'Gastos com Pessoal'!$I$532:$AJ$532&amp;'Gastos com Pessoal'!$I$6:$AJ$6,0),500,1)),0)+_xlfn.IFNA(SUM((AJ$3&gt;='Gastos com Pessoal'!$E$7:$E$506)*(AJ$3&lt;='Gastos com Pessoal'!$F$7:$F$506)*(IF('Gastos com Pessoal'!$Y$7:$Y$506&lt;=AJ$3,1,0))*OFFSET('Gastos com Pessoal'!$H$6,1,MATCH(4&amp;$B55,'Gastos com Pessoal'!$I$532:$AJ$532&amp;'Gastos com Pessoal'!$I$6:$AJ$6,0),500,1)),0)+_xlfn.IFNA(SUM((AJ$3&gt;='Gastos com Pessoal'!$E$7:$E$506)*(AJ$3&lt;='Gastos com Pessoal'!$F$7:$F$506)*(IF('Gastos com Pessoal'!$AE$7:$AE$506&lt;=AJ$3,1,0))*OFFSET('Gastos com Pessoal'!$H$6,1,MATCH(5&amp;$B55,'Gastos com Pessoal'!$I$532:$AJ$532&amp;'Gastos com Pessoal'!$I$6:$AJ$6,0),500,1)),0)+_xlfn.IFNA(SUM((AJ$3&gt;='Gastos com Pessoal'!$E$513:$E$522)*(AJ$3&lt;='Gastos com Pessoal'!$F$513:$F$522)*(IF('Gastos com Pessoal'!$G$513:$G$522&lt;=AJ$3,1,0))*OFFSET('Gastos com Pessoal'!$H$512,1,MATCH(1&amp;$B55,'Gastos com Pessoal'!$I$532:$AJ$532&amp;'Gastos com Pessoal'!$I$512:$AJ$512,0),10,1)),0)+_xlfn.IFNA(SUM((AJ$3&gt;='Gastos com Pessoal'!$E$513:$E$522)*(AJ$3&lt;='Gastos com Pessoal'!$F$513:$F$522)*(IF('Gastos com Pessoal'!$M$513:$M$522&lt;=AJ$3,1,0))*OFFSET('Gastos com Pessoal'!$H$512,1,MATCH(2&amp;$B55,'Gastos com Pessoal'!$I$532:$AJ$532&amp;'Gastos com Pessoal'!$I$512:$AJ$512,0),10,1)),0)+_xlfn.IFNA(SUM((AJ$3&gt;='Gastos com Pessoal'!$E$513:$E$522)*(AJ$3&lt;='Gastos com Pessoal'!$F$513:$F$522)*(IF('Gastos com Pessoal'!$S$513:$S$522&lt;=AJ$3,1,0))*OFFSET('Gastos com Pessoal'!$H$512,1,MATCH(3&amp;$B55,'Gastos com Pessoal'!$I$532:$AJ$532&amp;'Gastos com Pessoal'!$I$512:$AJ$512,0),10,1)),0)+_xlfn.IFNA(SUM((AJ$3&gt;='Gastos com Pessoal'!$E$513:$E$522)*(AJ$3&lt;='Gastos com Pessoal'!$F$513:$F$522)*(IF('Gastos com Pessoal'!$Y$513:$Y$522&lt;=AJ$3,1,0))*OFFSET('Gastos com Pessoal'!$H$512,1,MATCH(4&amp;$B55,'Gastos com Pessoal'!$I$532:$AJ$532&amp;'Gastos com Pessoal'!$I$512:$AJ$512,0),10,1)),0)+_xlfn.IFNA(SUM((AJ$3&gt;='Gastos com Pessoal'!$E$513:$E$522)*(AJ$3&lt;='Gastos com Pessoal'!$F$513:$F$522)*(IF('Gastos com Pessoal'!$AE$513:$AE$522&lt;=AJ$3,1,0))*OFFSET('Gastos com Pessoal'!$H$512,1,MATCH(5&amp;$B55,'Gastos com Pessoal'!$I$532:$AJ$532&amp;'Gastos com Pessoal'!$I$512:$AJ$512,0),10,1)),0)</f>
        <v>0</v>
      </c>
      <c r="AK55" s="188">
        <f t="array" aca="1" ref="AK55" ca="1">_xlfn.IFNA(SUM((AK$3&gt;='Gastos com Pessoal'!$E$7:$E$506)*(AK$3&lt;='Gastos com Pessoal'!$F$7:$F$506)*OFFSET('Encargos e Benefícios'!$D$5,1,MATCH($B55,'Encargos e Benefícios'!$E$5:$AB$5,0),500,1)),0)+_xlfn.IFNA(SUM((AK$3&gt;='Gastos com Pessoal'!$E$513:$E$522)*(AK$3&lt;='Gastos com Pessoal'!$F$513:$F$522)*OFFSET('Encargos e Benefícios'!$D$511,1,MATCH($B55,'Encargos e Benefícios'!$E$511:$AB$511,0),10,1)),0)+_xlfn.IFNA(SUM((AK$3&gt;='Gastos com Pessoal'!$E$7:$E$506)*(AK$3&lt;='Gastos com Pessoal'!$F$7:$F$506)*(IF('Gastos com Pessoal'!$G$7:$G$506&lt;=AK$3,1,0))*OFFSET('Gastos com Pessoal'!$H$6,1,MATCH(1&amp;$B55,'Gastos com Pessoal'!$I$532:$AJ$532&amp;'Gastos com Pessoal'!$I$6:$AJ$6,0),500,1)),0)+_xlfn.IFNA(SUM((AK$3&gt;='Gastos com Pessoal'!$E$7:$E$506)*(AK$3&lt;='Gastos com Pessoal'!$F$7:$F$506)*(IF('Gastos com Pessoal'!$M$7:$M$506&lt;=AK$3,1,0))*OFFSET('Gastos com Pessoal'!$H$6,1,MATCH(2&amp;$B55,'Gastos com Pessoal'!$I$532:$AJ$532&amp;'Gastos com Pessoal'!$I$6:$AJ$6,0),500,1)),0)+_xlfn.IFNA(SUM((AK$3&gt;='Gastos com Pessoal'!$E$7:$E$506)*(AK$3&lt;='Gastos com Pessoal'!$F$7:$F$506)*(IF('Gastos com Pessoal'!$S$7:$S$506&lt;=AK$3,1,0))*OFFSET('Gastos com Pessoal'!$H$6,1,MATCH(3&amp;$B55,'Gastos com Pessoal'!$I$532:$AJ$532&amp;'Gastos com Pessoal'!$I$6:$AJ$6,0),500,1)),0)+_xlfn.IFNA(SUM((AK$3&gt;='Gastos com Pessoal'!$E$7:$E$506)*(AK$3&lt;='Gastos com Pessoal'!$F$7:$F$506)*(IF('Gastos com Pessoal'!$Y$7:$Y$506&lt;=AK$3,1,0))*OFFSET('Gastos com Pessoal'!$H$6,1,MATCH(4&amp;$B55,'Gastos com Pessoal'!$I$532:$AJ$532&amp;'Gastos com Pessoal'!$I$6:$AJ$6,0),500,1)),0)+_xlfn.IFNA(SUM((AK$3&gt;='Gastos com Pessoal'!$E$7:$E$506)*(AK$3&lt;='Gastos com Pessoal'!$F$7:$F$506)*(IF('Gastos com Pessoal'!$AE$7:$AE$506&lt;=AK$3,1,0))*OFFSET('Gastos com Pessoal'!$H$6,1,MATCH(5&amp;$B55,'Gastos com Pessoal'!$I$532:$AJ$532&amp;'Gastos com Pessoal'!$I$6:$AJ$6,0),500,1)),0)+_xlfn.IFNA(SUM((AK$3&gt;='Gastos com Pessoal'!$E$513:$E$522)*(AK$3&lt;='Gastos com Pessoal'!$F$513:$F$522)*(IF('Gastos com Pessoal'!$G$513:$G$522&lt;=AK$3,1,0))*OFFSET('Gastos com Pessoal'!$H$512,1,MATCH(1&amp;$B55,'Gastos com Pessoal'!$I$532:$AJ$532&amp;'Gastos com Pessoal'!$I$512:$AJ$512,0),10,1)),0)+_xlfn.IFNA(SUM((AK$3&gt;='Gastos com Pessoal'!$E$513:$E$522)*(AK$3&lt;='Gastos com Pessoal'!$F$513:$F$522)*(IF('Gastos com Pessoal'!$M$513:$M$522&lt;=AK$3,1,0))*OFFSET('Gastos com Pessoal'!$H$512,1,MATCH(2&amp;$B55,'Gastos com Pessoal'!$I$532:$AJ$532&amp;'Gastos com Pessoal'!$I$512:$AJ$512,0),10,1)),0)+_xlfn.IFNA(SUM((AK$3&gt;='Gastos com Pessoal'!$E$513:$E$522)*(AK$3&lt;='Gastos com Pessoal'!$F$513:$F$522)*(IF('Gastos com Pessoal'!$S$513:$S$522&lt;=AK$3,1,0))*OFFSET('Gastos com Pessoal'!$H$512,1,MATCH(3&amp;$B55,'Gastos com Pessoal'!$I$532:$AJ$532&amp;'Gastos com Pessoal'!$I$512:$AJ$512,0),10,1)),0)+_xlfn.IFNA(SUM((AK$3&gt;='Gastos com Pessoal'!$E$513:$E$522)*(AK$3&lt;='Gastos com Pessoal'!$F$513:$F$522)*(IF('Gastos com Pessoal'!$Y$513:$Y$522&lt;=AK$3,1,0))*OFFSET('Gastos com Pessoal'!$H$512,1,MATCH(4&amp;$B55,'Gastos com Pessoal'!$I$532:$AJ$532&amp;'Gastos com Pessoal'!$I$512:$AJ$512,0),10,1)),0)+_xlfn.IFNA(SUM((AK$3&gt;='Gastos com Pessoal'!$E$513:$E$522)*(AK$3&lt;='Gastos com Pessoal'!$F$513:$F$522)*(IF('Gastos com Pessoal'!$AE$513:$AE$522&lt;=AK$3,1,0))*OFFSET('Gastos com Pessoal'!$H$512,1,MATCH(5&amp;$B55,'Gastos com Pessoal'!$I$532:$AJ$532&amp;'Gastos com Pessoal'!$I$512:$AJ$512,0),10,1)),0)</f>
        <v>0</v>
      </c>
      <c r="AL55" s="188">
        <f t="array" aca="1" ref="AL55" ca="1">_xlfn.IFNA(SUM((AL$3&gt;='Gastos com Pessoal'!$E$7:$E$506)*(AL$3&lt;='Gastos com Pessoal'!$F$7:$F$506)*OFFSET('Encargos e Benefícios'!$D$5,1,MATCH($B55,'Encargos e Benefícios'!$E$5:$AB$5,0),500,1)),0)+_xlfn.IFNA(SUM((AL$3&gt;='Gastos com Pessoal'!$E$513:$E$522)*(AL$3&lt;='Gastos com Pessoal'!$F$513:$F$522)*OFFSET('Encargos e Benefícios'!$D$511,1,MATCH($B55,'Encargos e Benefícios'!$E$511:$AB$511,0),10,1)),0)+_xlfn.IFNA(SUM((AL$3&gt;='Gastos com Pessoal'!$E$7:$E$506)*(AL$3&lt;='Gastos com Pessoal'!$F$7:$F$506)*(IF('Gastos com Pessoal'!$G$7:$G$506&lt;=AL$3,1,0))*OFFSET('Gastos com Pessoal'!$H$6,1,MATCH(1&amp;$B55,'Gastos com Pessoal'!$I$532:$AJ$532&amp;'Gastos com Pessoal'!$I$6:$AJ$6,0),500,1)),0)+_xlfn.IFNA(SUM((AL$3&gt;='Gastos com Pessoal'!$E$7:$E$506)*(AL$3&lt;='Gastos com Pessoal'!$F$7:$F$506)*(IF('Gastos com Pessoal'!$M$7:$M$506&lt;=AL$3,1,0))*OFFSET('Gastos com Pessoal'!$H$6,1,MATCH(2&amp;$B55,'Gastos com Pessoal'!$I$532:$AJ$532&amp;'Gastos com Pessoal'!$I$6:$AJ$6,0),500,1)),0)+_xlfn.IFNA(SUM((AL$3&gt;='Gastos com Pessoal'!$E$7:$E$506)*(AL$3&lt;='Gastos com Pessoal'!$F$7:$F$506)*(IF('Gastos com Pessoal'!$S$7:$S$506&lt;=AL$3,1,0))*OFFSET('Gastos com Pessoal'!$H$6,1,MATCH(3&amp;$B55,'Gastos com Pessoal'!$I$532:$AJ$532&amp;'Gastos com Pessoal'!$I$6:$AJ$6,0),500,1)),0)+_xlfn.IFNA(SUM((AL$3&gt;='Gastos com Pessoal'!$E$7:$E$506)*(AL$3&lt;='Gastos com Pessoal'!$F$7:$F$506)*(IF('Gastos com Pessoal'!$Y$7:$Y$506&lt;=AL$3,1,0))*OFFSET('Gastos com Pessoal'!$H$6,1,MATCH(4&amp;$B55,'Gastos com Pessoal'!$I$532:$AJ$532&amp;'Gastos com Pessoal'!$I$6:$AJ$6,0),500,1)),0)+_xlfn.IFNA(SUM((AL$3&gt;='Gastos com Pessoal'!$E$7:$E$506)*(AL$3&lt;='Gastos com Pessoal'!$F$7:$F$506)*(IF('Gastos com Pessoal'!$AE$7:$AE$506&lt;=AL$3,1,0))*OFFSET('Gastos com Pessoal'!$H$6,1,MATCH(5&amp;$B55,'Gastos com Pessoal'!$I$532:$AJ$532&amp;'Gastos com Pessoal'!$I$6:$AJ$6,0),500,1)),0)+_xlfn.IFNA(SUM((AL$3&gt;='Gastos com Pessoal'!$E$513:$E$522)*(AL$3&lt;='Gastos com Pessoal'!$F$513:$F$522)*(IF('Gastos com Pessoal'!$G$513:$G$522&lt;=AL$3,1,0))*OFFSET('Gastos com Pessoal'!$H$512,1,MATCH(1&amp;$B55,'Gastos com Pessoal'!$I$532:$AJ$532&amp;'Gastos com Pessoal'!$I$512:$AJ$512,0),10,1)),0)+_xlfn.IFNA(SUM((AL$3&gt;='Gastos com Pessoal'!$E$513:$E$522)*(AL$3&lt;='Gastos com Pessoal'!$F$513:$F$522)*(IF('Gastos com Pessoal'!$M$513:$M$522&lt;=AL$3,1,0))*OFFSET('Gastos com Pessoal'!$H$512,1,MATCH(2&amp;$B55,'Gastos com Pessoal'!$I$532:$AJ$532&amp;'Gastos com Pessoal'!$I$512:$AJ$512,0),10,1)),0)+_xlfn.IFNA(SUM((AL$3&gt;='Gastos com Pessoal'!$E$513:$E$522)*(AL$3&lt;='Gastos com Pessoal'!$F$513:$F$522)*(IF('Gastos com Pessoal'!$S$513:$S$522&lt;=AL$3,1,0))*OFFSET('Gastos com Pessoal'!$H$512,1,MATCH(3&amp;$B55,'Gastos com Pessoal'!$I$532:$AJ$532&amp;'Gastos com Pessoal'!$I$512:$AJ$512,0),10,1)),0)+_xlfn.IFNA(SUM((AL$3&gt;='Gastos com Pessoal'!$E$513:$E$522)*(AL$3&lt;='Gastos com Pessoal'!$F$513:$F$522)*(IF('Gastos com Pessoal'!$Y$513:$Y$522&lt;=AL$3,1,0))*OFFSET('Gastos com Pessoal'!$H$512,1,MATCH(4&amp;$B55,'Gastos com Pessoal'!$I$532:$AJ$532&amp;'Gastos com Pessoal'!$I$512:$AJ$512,0),10,1)),0)+_xlfn.IFNA(SUM((AL$3&gt;='Gastos com Pessoal'!$E$513:$E$522)*(AL$3&lt;='Gastos com Pessoal'!$F$513:$F$522)*(IF('Gastos com Pessoal'!$AE$513:$AE$522&lt;=AL$3,1,0))*OFFSET('Gastos com Pessoal'!$H$512,1,MATCH(5&amp;$B55,'Gastos com Pessoal'!$I$532:$AJ$532&amp;'Gastos com Pessoal'!$I$512:$AJ$512,0),10,1)),0)</f>
        <v>0</v>
      </c>
      <c r="AM55" s="188">
        <f t="array" aca="1" ref="AM55" ca="1">_xlfn.IFNA(SUM((AM$3&gt;='Gastos com Pessoal'!$E$7:$E$506)*(AM$3&lt;='Gastos com Pessoal'!$F$7:$F$506)*OFFSET('Encargos e Benefícios'!$D$5,1,MATCH($B55,'Encargos e Benefícios'!$E$5:$AB$5,0),500,1)),0)+_xlfn.IFNA(SUM((AM$3&gt;='Gastos com Pessoal'!$E$513:$E$522)*(AM$3&lt;='Gastos com Pessoal'!$F$513:$F$522)*OFFSET('Encargos e Benefícios'!$D$511,1,MATCH($B55,'Encargos e Benefícios'!$E$511:$AB$511,0),10,1)),0)+_xlfn.IFNA(SUM((AM$3&gt;='Gastos com Pessoal'!$E$7:$E$506)*(AM$3&lt;='Gastos com Pessoal'!$F$7:$F$506)*(IF('Gastos com Pessoal'!$G$7:$G$506&lt;=AM$3,1,0))*OFFSET('Gastos com Pessoal'!$H$6,1,MATCH(1&amp;$B55,'Gastos com Pessoal'!$I$532:$AJ$532&amp;'Gastos com Pessoal'!$I$6:$AJ$6,0),500,1)),0)+_xlfn.IFNA(SUM((AM$3&gt;='Gastos com Pessoal'!$E$7:$E$506)*(AM$3&lt;='Gastos com Pessoal'!$F$7:$F$506)*(IF('Gastos com Pessoal'!$M$7:$M$506&lt;=AM$3,1,0))*OFFSET('Gastos com Pessoal'!$H$6,1,MATCH(2&amp;$B55,'Gastos com Pessoal'!$I$532:$AJ$532&amp;'Gastos com Pessoal'!$I$6:$AJ$6,0),500,1)),0)+_xlfn.IFNA(SUM((AM$3&gt;='Gastos com Pessoal'!$E$7:$E$506)*(AM$3&lt;='Gastos com Pessoal'!$F$7:$F$506)*(IF('Gastos com Pessoal'!$S$7:$S$506&lt;=AM$3,1,0))*OFFSET('Gastos com Pessoal'!$H$6,1,MATCH(3&amp;$B55,'Gastos com Pessoal'!$I$532:$AJ$532&amp;'Gastos com Pessoal'!$I$6:$AJ$6,0),500,1)),0)+_xlfn.IFNA(SUM((AM$3&gt;='Gastos com Pessoal'!$E$7:$E$506)*(AM$3&lt;='Gastos com Pessoal'!$F$7:$F$506)*(IF('Gastos com Pessoal'!$Y$7:$Y$506&lt;=AM$3,1,0))*OFFSET('Gastos com Pessoal'!$H$6,1,MATCH(4&amp;$B55,'Gastos com Pessoal'!$I$532:$AJ$532&amp;'Gastos com Pessoal'!$I$6:$AJ$6,0),500,1)),0)+_xlfn.IFNA(SUM((AM$3&gt;='Gastos com Pessoal'!$E$7:$E$506)*(AM$3&lt;='Gastos com Pessoal'!$F$7:$F$506)*(IF('Gastos com Pessoal'!$AE$7:$AE$506&lt;=AM$3,1,0))*OFFSET('Gastos com Pessoal'!$H$6,1,MATCH(5&amp;$B55,'Gastos com Pessoal'!$I$532:$AJ$532&amp;'Gastos com Pessoal'!$I$6:$AJ$6,0),500,1)),0)+_xlfn.IFNA(SUM((AM$3&gt;='Gastos com Pessoal'!$E$513:$E$522)*(AM$3&lt;='Gastos com Pessoal'!$F$513:$F$522)*(IF('Gastos com Pessoal'!$G$513:$G$522&lt;=AM$3,1,0))*OFFSET('Gastos com Pessoal'!$H$512,1,MATCH(1&amp;$B55,'Gastos com Pessoal'!$I$532:$AJ$532&amp;'Gastos com Pessoal'!$I$512:$AJ$512,0),10,1)),0)+_xlfn.IFNA(SUM((AM$3&gt;='Gastos com Pessoal'!$E$513:$E$522)*(AM$3&lt;='Gastos com Pessoal'!$F$513:$F$522)*(IF('Gastos com Pessoal'!$M$513:$M$522&lt;=AM$3,1,0))*OFFSET('Gastos com Pessoal'!$H$512,1,MATCH(2&amp;$B55,'Gastos com Pessoal'!$I$532:$AJ$532&amp;'Gastos com Pessoal'!$I$512:$AJ$512,0),10,1)),0)+_xlfn.IFNA(SUM((AM$3&gt;='Gastos com Pessoal'!$E$513:$E$522)*(AM$3&lt;='Gastos com Pessoal'!$F$513:$F$522)*(IF('Gastos com Pessoal'!$S$513:$S$522&lt;=AM$3,1,0))*OFFSET('Gastos com Pessoal'!$H$512,1,MATCH(3&amp;$B55,'Gastos com Pessoal'!$I$532:$AJ$532&amp;'Gastos com Pessoal'!$I$512:$AJ$512,0),10,1)),0)+_xlfn.IFNA(SUM((AM$3&gt;='Gastos com Pessoal'!$E$513:$E$522)*(AM$3&lt;='Gastos com Pessoal'!$F$513:$F$522)*(IF('Gastos com Pessoal'!$Y$513:$Y$522&lt;=AM$3,1,0))*OFFSET('Gastos com Pessoal'!$H$512,1,MATCH(4&amp;$B55,'Gastos com Pessoal'!$I$532:$AJ$532&amp;'Gastos com Pessoal'!$I$512:$AJ$512,0),10,1)),0)+_xlfn.IFNA(SUM((AM$3&gt;='Gastos com Pessoal'!$E$513:$E$522)*(AM$3&lt;='Gastos com Pessoal'!$F$513:$F$522)*(IF('Gastos com Pessoal'!$AE$513:$AE$522&lt;=AM$3,1,0))*OFFSET('Gastos com Pessoal'!$H$512,1,MATCH(5&amp;$B55,'Gastos com Pessoal'!$I$532:$AJ$532&amp;'Gastos com Pessoal'!$I$512:$AJ$512,0),10,1)),0)</f>
        <v>0</v>
      </c>
      <c r="AN55" s="188">
        <f t="array" aca="1" ref="AN55" ca="1">_xlfn.IFNA(SUM((AN$3&gt;='Gastos com Pessoal'!$E$7:$E$506)*(AN$3&lt;='Gastos com Pessoal'!$F$7:$F$506)*OFFSET('Encargos e Benefícios'!$D$5,1,MATCH($B55,'Encargos e Benefícios'!$E$5:$AB$5,0),500,1)),0)+_xlfn.IFNA(SUM((AN$3&gt;='Gastos com Pessoal'!$E$513:$E$522)*(AN$3&lt;='Gastos com Pessoal'!$F$513:$F$522)*OFFSET('Encargos e Benefícios'!$D$511,1,MATCH($B55,'Encargos e Benefícios'!$E$511:$AB$511,0),10,1)),0)+_xlfn.IFNA(SUM((AN$3&gt;='Gastos com Pessoal'!$E$7:$E$506)*(AN$3&lt;='Gastos com Pessoal'!$F$7:$F$506)*(IF('Gastos com Pessoal'!$G$7:$G$506&lt;=AN$3,1,0))*OFFSET('Gastos com Pessoal'!$H$6,1,MATCH(1&amp;$B55,'Gastos com Pessoal'!$I$532:$AJ$532&amp;'Gastos com Pessoal'!$I$6:$AJ$6,0),500,1)),0)+_xlfn.IFNA(SUM((AN$3&gt;='Gastos com Pessoal'!$E$7:$E$506)*(AN$3&lt;='Gastos com Pessoal'!$F$7:$F$506)*(IF('Gastos com Pessoal'!$M$7:$M$506&lt;=AN$3,1,0))*OFFSET('Gastos com Pessoal'!$H$6,1,MATCH(2&amp;$B55,'Gastos com Pessoal'!$I$532:$AJ$532&amp;'Gastos com Pessoal'!$I$6:$AJ$6,0),500,1)),0)+_xlfn.IFNA(SUM((AN$3&gt;='Gastos com Pessoal'!$E$7:$E$506)*(AN$3&lt;='Gastos com Pessoal'!$F$7:$F$506)*(IF('Gastos com Pessoal'!$S$7:$S$506&lt;=AN$3,1,0))*OFFSET('Gastos com Pessoal'!$H$6,1,MATCH(3&amp;$B55,'Gastos com Pessoal'!$I$532:$AJ$532&amp;'Gastos com Pessoal'!$I$6:$AJ$6,0),500,1)),0)+_xlfn.IFNA(SUM((AN$3&gt;='Gastos com Pessoal'!$E$7:$E$506)*(AN$3&lt;='Gastos com Pessoal'!$F$7:$F$506)*(IF('Gastos com Pessoal'!$Y$7:$Y$506&lt;=AN$3,1,0))*OFFSET('Gastos com Pessoal'!$H$6,1,MATCH(4&amp;$B55,'Gastos com Pessoal'!$I$532:$AJ$532&amp;'Gastos com Pessoal'!$I$6:$AJ$6,0),500,1)),0)+_xlfn.IFNA(SUM((AN$3&gt;='Gastos com Pessoal'!$E$7:$E$506)*(AN$3&lt;='Gastos com Pessoal'!$F$7:$F$506)*(IF('Gastos com Pessoal'!$AE$7:$AE$506&lt;=AN$3,1,0))*OFFSET('Gastos com Pessoal'!$H$6,1,MATCH(5&amp;$B55,'Gastos com Pessoal'!$I$532:$AJ$532&amp;'Gastos com Pessoal'!$I$6:$AJ$6,0),500,1)),0)+_xlfn.IFNA(SUM((AN$3&gt;='Gastos com Pessoal'!$E$513:$E$522)*(AN$3&lt;='Gastos com Pessoal'!$F$513:$F$522)*(IF('Gastos com Pessoal'!$G$513:$G$522&lt;=AN$3,1,0))*OFFSET('Gastos com Pessoal'!$H$512,1,MATCH(1&amp;$B55,'Gastos com Pessoal'!$I$532:$AJ$532&amp;'Gastos com Pessoal'!$I$512:$AJ$512,0),10,1)),0)+_xlfn.IFNA(SUM((AN$3&gt;='Gastos com Pessoal'!$E$513:$E$522)*(AN$3&lt;='Gastos com Pessoal'!$F$513:$F$522)*(IF('Gastos com Pessoal'!$M$513:$M$522&lt;=AN$3,1,0))*OFFSET('Gastos com Pessoal'!$H$512,1,MATCH(2&amp;$B55,'Gastos com Pessoal'!$I$532:$AJ$532&amp;'Gastos com Pessoal'!$I$512:$AJ$512,0),10,1)),0)+_xlfn.IFNA(SUM((AN$3&gt;='Gastos com Pessoal'!$E$513:$E$522)*(AN$3&lt;='Gastos com Pessoal'!$F$513:$F$522)*(IF('Gastos com Pessoal'!$S$513:$S$522&lt;=AN$3,1,0))*OFFSET('Gastos com Pessoal'!$H$512,1,MATCH(3&amp;$B55,'Gastos com Pessoal'!$I$532:$AJ$532&amp;'Gastos com Pessoal'!$I$512:$AJ$512,0),10,1)),0)+_xlfn.IFNA(SUM((AN$3&gt;='Gastos com Pessoal'!$E$513:$E$522)*(AN$3&lt;='Gastos com Pessoal'!$F$513:$F$522)*(IF('Gastos com Pessoal'!$Y$513:$Y$522&lt;=AN$3,1,0))*OFFSET('Gastos com Pessoal'!$H$512,1,MATCH(4&amp;$B55,'Gastos com Pessoal'!$I$532:$AJ$532&amp;'Gastos com Pessoal'!$I$512:$AJ$512,0),10,1)),0)+_xlfn.IFNA(SUM((AN$3&gt;='Gastos com Pessoal'!$E$513:$E$522)*(AN$3&lt;='Gastos com Pessoal'!$F$513:$F$522)*(IF('Gastos com Pessoal'!$AE$513:$AE$522&lt;=AN$3,1,0))*OFFSET('Gastos com Pessoal'!$H$512,1,MATCH(5&amp;$B55,'Gastos com Pessoal'!$I$532:$AJ$532&amp;'Gastos com Pessoal'!$I$512:$AJ$512,0),10,1)),0)</f>
        <v>0</v>
      </c>
      <c r="AO55" s="188">
        <f t="array" aca="1" ref="AO55" ca="1">_xlfn.IFNA(SUM((AO$3&gt;='Gastos com Pessoal'!$E$7:$E$506)*(AO$3&lt;='Gastos com Pessoal'!$F$7:$F$506)*OFFSET('Encargos e Benefícios'!$D$5,1,MATCH($B55,'Encargos e Benefícios'!$E$5:$AB$5,0),500,1)),0)+_xlfn.IFNA(SUM((AO$3&gt;='Gastos com Pessoal'!$E$513:$E$522)*(AO$3&lt;='Gastos com Pessoal'!$F$513:$F$522)*OFFSET('Encargos e Benefícios'!$D$511,1,MATCH($B55,'Encargos e Benefícios'!$E$511:$AB$511,0),10,1)),0)+_xlfn.IFNA(SUM((AO$3&gt;='Gastos com Pessoal'!$E$7:$E$506)*(AO$3&lt;='Gastos com Pessoal'!$F$7:$F$506)*(IF('Gastos com Pessoal'!$G$7:$G$506&lt;=AO$3,1,0))*OFFSET('Gastos com Pessoal'!$H$6,1,MATCH(1&amp;$B55,'Gastos com Pessoal'!$I$532:$AJ$532&amp;'Gastos com Pessoal'!$I$6:$AJ$6,0),500,1)),0)+_xlfn.IFNA(SUM((AO$3&gt;='Gastos com Pessoal'!$E$7:$E$506)*(AO$3&lt;='Gastos com Pessoal'!$F$7:$F$506)*(IF('Gastos com Pessoal'!$M$7:$M$506&lt;=AO$3,1,0))*OFFSET('Gastos com Pessoal'!$H$6,1,MATCH(2&amp;$B55,'Gastos com Pessoal'!$I$532:$AJ$532&amp;'Gastos com Pessoal'!$I$6:$AJ$6,0),500,1)),0)+_xlfn.IFNA(SUM((AO$3&gt;='Gastos com Pessoal'!$E$7:$E$506)*(AO$3&lt;='Gastos com Pessoal'!$F$7:$F$506)*(IF('Gastos com Pessoal'!$S$7:$S$506&lt;=AO$3,1,0))*OFFSET('Gastos com Pessoal'!$H$6,1,MATCH(3&amp;$B55,'Gastos com Pessoal'!$I$532:$AJ$532&amp;'Gastos com Pessoal'!$I$6:$AJ$6,0),500,1)),0)+_xlfn.IFNA(SUM((AO$3&gt;='Gastos com Pessoal'!$E$7:$E$506)*(AO$3&lt;='Gastos com Pessoal'!$F$7:$F$506)*(IF('Gastos com Pessoal'!$Y$7:$Y$506&lt;=AO$3,1,0))*OFFSET('Gastos com Pessoal'!$H$6,1,MATCH(4&amp;$B55,'Gastos com Pessoal'!$I$532:$AJ$532&amp;'Gastos com Pessoal'!$I$6:$AJ$6,0),500,1)),0)+_xlfn.IFNA(SUM((AO$3&gt;='Gastos com Pessoal'!$E$7:$E$506)*(AO$3&lt;='Gastos com Pessoal'!$F$7:$F$506)*(IF('Gastos com Pessoal'!$AE$7:$AE$506&lt;=AO$3,1,0))*OFFSET('Gastos com Pessoal'!$H$6,1,MATCH(5&amp;$B55,'Gastos com Pessoal'!$I$532:$AJ$532&amp;'Gastos com Pessoal'!$I$6:$AJ$6,0),500,1)),0)+_xlfn.IFNA(SUM((AO$3&gt;='Gastos com Pessoal'!$E$513:$E$522)*(AO$3&lt;='Gastos com Pessoal'!$F$513:$F$522)*(IF('Gastos com Pessoal'!$G$513:$G$522&lt;=AO$3,1,0))*OFFSET('Gastos com Pessoal'!$H$512,1,MATCH(1&amp;$B55,'Gastos com Pessoal'!$I$532:$AJ$532&amp;'Gastos com Pessoal'!$I$512:$AJ$512,0),10,1)),0)+_xlfn.IFNA(SUM((AO$3&gt;='Gastos com Pessoal'!$E$513:$E$522)*(AO$3&lt;='Gastos com Pessoal'!$F$513:$F$522)*(IF('Gastos com Pessoal'!$M$513:$M$522&lt;=AO$3,1,0))*OFFSET('Gastos com Pessoal'!$H$512,1,MATCH(2&amp;$B55,'Gastos com Pessoal'!$I$532:$AJ$532&amp;'Gastos com Pessoal'!$I$512:$AJ$512,0),10,1)),0)+_xlfn.IFNA(SUM((AO$3&gt;='Gastos com Pessoal'!$E$513:$E$522)*(AO$3&lt;='Gastos com Pessoal'!$F$513:$F$522)*(IF('Gastos com Pessoal'!$S$513:$S$522&lt;=AO$3,1,0))*OFFSET('Gastos com Pessoal'!$H$512,1,MATCH(3&amp;$B55,'Gastos com Pessoal'!$I$532:$AJ$532&amp;'Gastos com Pessoal'!$I$512:$AJ$512,0),10,1)),0)+_xlfn.IFNA(SUM((AO$3&gt;='Gastos com Pessoal'!$E$513:$E$522)*(AO$3&lt;='Gastos com Pessoal'!$F$513:$F$522)*(IF('Gastos com Pessoal'!$Y$513:$Y$522&lt;=AO$3,1,0))*OFFSET('Gastos com Pessoal'!$H$512,1,MATCH(4&amp;$B55,'Gastos com Pessoal'!$I$532:$AJ$532&amp;'Gastos com Pessoal'!$I$512:$AJ$512,0),10,1)),0)+_xlfn.IFNA(SUM((AO$3&gt;='Gastos com Pessoal'!$E$513:$E$522)*(AO$3&lt;='Gastos com Pessoal'!$F$513:$F$522)*(IF('Gastos com Pessoal'!$AE$513:$AE$522&lt;=AO$3,1,0))*OFFSET('Gastos com Pessoal'!$H$512,1,MATCH(5&amp;$B55,'Gastos com Pessoal'!$I$532:$AJ$532&amp;'Gastos com Pessoal'!$I$512:$AJ$512,0),10,1)),0)</f>
        <v>0</v>
      </c>
      <c r="AP55" s="188">
        <f t="array" aca="1" ref="AP55" ca="1">_xlfn.IFNA(SUM((AP$3&gt;='Gastos com Pessoal'!$E$7:$E$506)*(AP$3&lt;='Gastos com Pessoal'!$F$7:$F$506)*OFFSET('Encargos e Benefícios'!$D$5,1,MATCH($B55,'Encargos e Benefícios'!$E$5:$AB$5,0),500,1)),0)+_xlfn.IFNA(SUM((AP$3&gt;='Gastos com Pessoal'!$E$513:$E$522)*(AP$3&lt;='Gastos com Pessoal'!$F$513:$F$522)*OFFSET('Encargos e Benefícios'!$D$511,1,MATCH($B55,'Encargos e Benefícios'!$E$511:$AB$511,0),10,1)),0)+_xlfn.IFNA(SUM((AP$3&gt;='Gastos com Pessoal'!$E$7:$E$506)*(AP$3&lt;='Gastos com Pessoal'!$F$7:$F$506)*(IF('Gastos com Pessoal'!$G$7:$G$506&lt;=AP$3,1,0))*OFFSET('Gastos com Pessoal'!$H$6,1,MATCH(1&amp;$B55,'Gastos com Pessoal'!$I$532:$AJ$532&amp;'Gastos com Pessoal'!$I$6:$AJ$6,0),500,1)),0)+_xlfn.IFNA(SUM((AP$3&gt;='Gastos com Pessoal'!$E$7:$E$506)*(AP$3&lt;='Gastos com Pessoal'!$F$7:$F$506)*(IF('Gastos com Pessoal'!$M$7:$M$506&lt;=AP$3,1,0))*OFFSET('Gastos com Pessoal'!$H$6,1,MATCH(2&amp;$B55,'Gastos com Pessoal'!$I$532:$AJ$532&amp;'Gastos com Pessoal'!$I$6:$AJ$6,0),500,1)),0)+_xlfn.IFNA(SUM((AP$3&gt;='Gastos com Pessoal'!$E$7:$E$506)*(AP$3&lt;='Gastos com Pessoal'!$F$7:$F$506)*(IF('Gastos com Pessoal'!$S$7:$S$506&lt;=AP$3,1,0))*OFFSET('Gastos com Pessoal'!$H$6,1,MATCH(3&amp;$B55,'Gastos com Pessoal'!$I$532:$AJ$532&amp;'Gastos com Pessoal'!$I$6:$AJ$6,0),500,1)),0)+_xlfn.IFNA(SUM((AP$3&gt;='Gastos com Pessoal'!$E$7:$E$506)*(AP$3&lt;='Gastos com Pessoal'!$F$7:$F$506)*(IF('Gastos com Pessoal'!$Y$7:$Y$506&lt;=AP$3,1,0))*OFFSET('Gastos com Pessoal'!$H$6,1,MATCH(4&amp;$B55,'Gastos com Pessoal'!$I$532:$AJ$532&amp;'Gastos com Pessoal'!$I$6:$AJ$6,0),500,1)),0)+_xlfn.IFNA(SUM((AP$3&gt;='Gastos com Pessoal'!$E$7:$E$506)*(AP$3&lt;='Gastos com Pessoal'!$F$7:$F$506)*(IF('Gastos com Pessoal'!$AE$7:$AE$506&lt;=AP$3,1,0))*OFFSET('Gastos com Pessoal'!$H$6,1,MATCH(5&amp;$B55,'Gastos com Pessoal'!$I$532:$AJ$532&amp;'Gastos com Pessoal'!$I$6:$AJ$6,0),500,1)),0)+_xlfn.IFNA(SUM((AP$3&gt;='Gastos com Pessoal'!$E$513:$E$522)*(AP$3&lt;='Gastos com Pessoal'!$F$513:$F$522)*(IF('Gastos com Pessoal'!$G$513:$G$522&lt;=AP$3,1,0))*OFFSET('Gastos com Pessoal'!$H$512,1,MATCH(1&amp;$B55,'Gastos com Pessoal'!$I$532:$AJ$532&amp;'Gastos com Pessoal'!$I$512:$AJ$512,0),10,1)),0)+_xlfn.IFNA(SUM((AP$3&gt;='Gastos com Pessoal'!$E$513:$E$522)*(AP$3&lt;='Gastos com Pessoal'!$F$513:$F$522)*(IF('Gastos com Pessoal'!$M$513:$M$522&lt;=AP$3,1,0))*OFFSET('Gastos com Pessoal'!$H$512,1,MATCH(2&amp;$B55,'Gastos com Pessoal'!$I$532:$AJ$532&amp;'Gastos com Pessoal'!$I$512:$AJ$512,0),10,1)),0)+_xlfn.IFNA(SUM((AP$3&gt;='Gastos com Pessoal'!$E$513:$E$522)*(AP$3&lt;='Gastos com Pessoal'!$F$513:$F$522)*(IF('Gastos com Pessoal'!$S$513:$S$522&lt;=AP$3,1,0))*OFFSET('Gastos com Pessoal'!$H$512,1,MATCH(3&amp;$B55,'Gastos com Pessoal'!$I$532:$AJ$532&amp;'Gastos com Pessoal'!$I$512:$AJ$512,0),10,1)),0)+_xlfn.IFNA(SUM((AP$3&gt;='Gastos com Pessoal'!$E$513:$E$522)*(AP$3&lt;='Gastos com Pessoal'!$F$513:$F$522)*(IF('Gastos com Pessoal'!$Y$513:$Y$522&lt;=AP$3,1,0))*OFFSET('Gastos com Pessoal'!$H$512,1,MATCH(4&amp;$B55,'Gastos com Pessoal'!$I$532:$AJ$532&amp;'Gastos com Pessoal'!$I$512:$AJ$512,0),10,1)),0)+_xlfn.IFNA(SUM((AP$3&gt;='Gastos com Pessoal'!$E$513:$E$522)*(AP$3&lt;='Gastos com Pessoal'!$F$513:$F$522)*(IF('Gastos com Pessoal'!$AE$513:$AE$522&lt;=AP$3,1,0))*OFFSET('Gastos com Pessoal'!$H$512,1,MATCH(5&amp;$B55,'Gastos com Pessoal'!$I$532:$AJ$532&amp;'Gastos com Pessoal'!$I$512:$AJ$512,0),10,1)),0)</f>
        <v>0</v>
      </c>
      <c r="AQ55" s="188">
        <f t="array" aca="1" ref="AQ55" ca="1">_xlfn.IFNA(SUM((AQ$3&gt;='Gastos com Pessoal'!$E$7:$E$506)*(AQ$3&lt;='Gastos com Pessoal'!$F$7:$F$506)*OFFSET('Encargos e Benefícios'!$D$5,1,MATCH($B55,'Encargos e Benefícios'!$E$5:$AB$5,0),500,1)),0)+_xlfn.IFNA(SUM((AQ$3&gt;='Gastos com Pessoal'!$E$513:$E$522)*(AQ$3&lt;='Gastos com Pessoal'!$F$513:$F$522)*OFFSET('Encargos e Benefícios'!$D$511,1,MATCH($B55,'Encargos e Benefícios'!$E$511:$AB$511,0),10,1)),0)+_xlfn.IFNA(SUM((AQ$3&gt;='Gastos com Pessoal'!$E$7:$E$506)*(AQ$3&lt;='Gastos com Pessoal'!$F$7:$F$506)*(IF('Gastos com Pessoal'!$G$7:$G$506&lt;=AQ$3,1,0))*OFFSET('Gastos com Pessoal'!$H$6,1,MATCH(1&amp;$B55,'Gastos com Pessoal'!$I$532:$AJ$532&amp;'Gastos com Pessoal'!$I$6:$AJ$6,0),500,1)),0)+_xlfn.IFNA(SUM((AQ$3&gt;='Gastos com Pessoal'!$E$7:$E$506)*(AQ$3&lt;='Gastos com Pessoal'!$F$7:$F$506)*(IF('Gastos com Pessoal'!$M$7:$M$506&lt;=AQ$3,1,0))*OFFSET('Gastos com Pessoal'!$H$6,1,MATCH(2&amp;$B55,'Gastos com Pessoal'!$I$532:$AJ$532&amp;'Gastos com Pessoal'!$I$6:$AJ$6,0),500,1)),0)+_xlfn.IFNA(SUM((AQ$3&gt;='Gastos com Pessoal'!$E$7:$E$506)*(AQ$3&lt;='Gastos com Pessoal'!$F$7:$F$506)*(IF('Gastos com Pessoal'!$S$7:$S$506&lt;=AQ$3,1,0))*OFFSET('Gastos com Pessoal'!$H$6,1,MATCH(3&amp;$B55,'Gastos com Pessoal'!$I$532:$AJ$532&amp;'Gastos com Pessoal'!$I$6:$AJ$6,0),500,1)),0)+_xlfn.IFNA(SUM((AQ$3&gt;='Gastos com Pessoal'!$E$7:$E$506)*(AQ$3&lt;='Gastos com Pessoal'!$F$7:$F$506)*(IF('Gastos com Pessoal'!$Y$7:$Y$506&lt;=AQ$3,1,0))*OFFSET('Gastos com Pessoal'!$H$6,1,MATCH(4&amp;$B55,'Gastos com Pessoal'!$I$532:$AJ$532&amp;'Gastos com Pessoal'!$I$6:$AJ$6,0),500,1)),0)+_xlfn.IFNA(SUM((AQ$3&gt;='Gastos com Pessoal'!$E$7:$E$506)*(AQ$3&lt;='Gastos com Pessoal'!$F$7:$F$506)*(IF('Gastos com Pessoal'!$AE$7:$AE$506&lt;=AQ$3,1,0))*OFFSET('Gastos com Pessoal'!$H$6,1,MATCH(5&amp;$B55,'Gastos com Pessoal'!$I$532:$AJ$532&amp;'Gastos com Pessoal'!$I$6:$AJ$6,0),500,1)),0)+_xlfn.IFNA(SUM((AQ$3&gt;='Gastos com Pessoal'!$E$513:$E$522)*(AQ$3&lt;='Gastos com Pessoal'!$F$513:$F$522)*(IF('Gastos com Pessoal'!$G$513:$G$522&lt;=AQ$3,1,0))*OFFSET('Gastos com Pessoal'!$H$512,1,MATCH(1&amp;$B55,'Gastos com Pessoal'!$I$532:$AJ$532&amp;'Gastos com Pessoal'!$I$512:$AJ$512,0),10,1)),0)+_xlfn.IFNA(SUM((AQ$3&gt;='Gastos com Pessoal'!$E$513:$E$522)*(AQ$3&lt;='Gastos com Pessoal'!$F$513:$F$522)*(IF('Gastos com Pessoal'!$M$513:$M$522&lt;=AQ$3,1,0))*OFFSET('Gastos com Pessoal'!$H$512,1,MATCH(2&amp;$B55,'Gastos com Pessoal'!$I$532:$AJ$532&amp;'Gastos com Pessoal'!$I$512:$AJ$512,0),10,1)),0)+_xlfn.IFNA(SUM((AQ$3&gt;='Gastos com Pessoal'!$E$513:$E$522)*(AQ$3&lt;='Gastos com Pessoal'!$F$513:$F$522)*(IF('Gastos com Pessoal'!$S$513:$S$522&lt;=AQ$3,1,0))*OFFSET('Gastos com Pessoal'!$H$512,1,MATCH(3&amp;$B55,'Gastos com Pessoal'!$I$532:$AJ$532&amp;'Gastos com Pessoal'!$I$512:$AJ$512,0),10,1)),0)+_xlfn.IFNA(SUM((AQ$3&gt;='Gastos com Pessoal'!$E$513:$E$522)*(AQ$3&lt;='Gastos com Pessoal'!$F$513:$F$522)*(IF('Gastos com Pessoal'!$Y$513:$Y$522&lt;=AQ$3,1,0))*OFFSET('Gastos com Pessoal'!$H$512,1,MATCH(4&amp;$B55,'Gastos com Pessoal'!$I$532:$AJ$532&amp;'Gastos com Pessoal'!$I$512:$AJ$512,0),10,1)),0)+_xlfn.IFNA(SUM((AQ$3&gt;='Gastos com Pessoal'!$E$513:$E$522)*(AQ$3&lt;='Gastos com Pessoal'!$F$513:$F$522)*(IF('Gastos com Pessoal'!$AE$513:$AE$522&lt;=AQ$3,1,0))*OFFSET('Gastos com Pessoal'!$H$512,1,MATCH(5&amp;$B55,'Gastos com Pessoal'!$I$532:$AJ$532&amp;'Gastos com Pessoal'!$I$512:$AJ$512,0),10,1)),0)</f>
        <v>0</v>
      </c>
      <c r="AR55" s="188">
        <f t="array" aca="1" ref="AR55" ca="1">_xlfn.IFNA(SUM((AR$3&gt;='Gastos com Pessoal'!$E$7:$E$506)*(AR$3&lt;='Gastos com Pessoal'!$F$7:$F$506)*OFFSET('Encargos e Benefícios'!$D$5,1,MATCH($B55,'Encargos e Benefícios'!$E$5:$AB$5,0),500,1)),0)+_xlfn.IFNA(SUM((AR$3&gt;='Gastos com Pessoal'!$E$513:$E$522)*(AR$3&lt;='Gastos com Pessoal'!$F$513:$F$522)*OFFSET('Encargos e Benefícios'!$D$511,1,MATCH($B55,'Encargos e Benefícios'!$E$511:$AB$511,0),10,1)),0)+_xlfn.IFNA(SUM((AR$3&gt;='Gastos com Pessoal'!$E$7:$E$506)*(AR$3&lt;='Gastos com Pessoal'!$F$7:$F$506)*(IF('Gastos com Pessoal'!$G$7:$G$506&lt;=AR$3,1,0))*OFFSET('Gastos com Pessoal'!$H$6,1,MATCH(1&amp;$B55,'Gastos com Pessoal'!$I$532:$AJ$532&amp;'Gastos com Pessoal'!$I$6:$AJ$6,0),500,1)),0)+_xlfn.IFNA(SUM((AR$3&gt;='Gastos com Pessoal'!$E$7:$E$506)*(AR$3&lt;='Gastos com Pessoal'!$F$7:$F$506)*(IF('Gastos com Pessoal'!$M$7:$M$506&lt;=AR$3,1,0))*OFFSET('Gastos com Pessoal'!$H$6,1,MATCH(2&amp;$B55,'Gastos com Pessoal'!$I$532:$AJ$532&amp;'Gastos com Pessoal'!$I$6:$AJ$6,0),500,1)),0)+_xlfn.IFNA(SUM((AR$3&gt;='Gastos com Pessoal'!$E$7:$E$506)*(AR$3&lt;='Gastos com Pessoal'!$F$7:$F$506)*(IF('Gastos com Pessoal'!$S$7:$S$506&lt;=AR$3,1,0))*OFFSET('Gastos com Pessoal'!$H$6,1,MATCH(3&amp;$B55,'Gastos com Pessoal'!$I$532:$AJ$532&amp;'Gastos com Pessoal'!$I$6:$AJ$6,0),500,1)),0)+_xlfn.IFNA(SUM((AR$3&gt;='Gastos com Pessoal'!$E$7:$E$506)*(AR$3&lt;='Gastos com Pessoal'!$F$7:$F$506)*(IF('Gastos com Pessoal'!$Y$7:$Y$506&lt;=AR$3,1,0))*OFFSET('Gastos com Pessoal'!$H$6,1,MATCH(4&amp;$B55,'Gastos com Pessoal'!$I$532:$AJ$532&amp;'Gastos com Pessoal'!$I$6:$AJ$6,0),500,1)),0)+_xlfn.IFNA(SUM((AR$3&gt;='Gastos com Pessoal'!$E$7:$E$506)*(AR$3&lt;='Gastos com Pessoal'!$F$7:$F$506)*(IF('Gastos com Pessoal'!$AE$7:$AE$506&lt;=AR$3,1,0))*OFFSET('Gastos com Pessoal'!$H$6,1,MATCH(5&amp;$B55,'Gastos com Pessoal'!$I$532:$AJ$532&amp;'Gastos com Pessoal'!$I$6:$AJ$6,0),500,1)),0)+_xlfn.IFNA(SUM((AR$3&gt;='Gastos com Pessoal'!$E$513:$E$522)*(AR$3&lt;='Gastos com Pessoal'!$F$513:$F$522)*(IF('Gastos com Pessoal'!$G$513:$G$522&lt;=AR$3,1,0))*OFFSET('Gastos com Pessoal'!$H$512,1,MATCH(1&amp;$B55,'Gastos com Pessoal'!$I$532:$AJ$532&amp;'Gastos com Pessoal'!$I$512:$AJ$512,0),10,1)),0)+_xlfn.IFNA(SUM((AR$3&gt;='Gastos com Pessoal'!$E$513:$E$522)*(AR$3&lt;='Gastos com Pessoal'!$F$513:$F$522)*(IF('Gastos com Pessoal'!$M$513:$M$522&lt;=AR$3,1,0))*OFFSET('Gastos com Pessoal'!$H$512,1,MATCH(2&amp;$B55,'Gastos com Pessoal'!$I$532:$AJ$532&amp;'Gastos com Pessoal'!$I$512:$AJ$512,0),10,1)),0)+_xlfn.IFNA(SUM((AR$3&gt;='Gastos com Pessoal'!$E$513:$E$522)*(AR$3&lt;='Gastos com Pessoal'!$F$513:$F$522)*(IF('Gastos com Pessoal'!$S$513:$S$522&lt;=AR$3,1,0))*OFFSET('Gastos com Pessoal'!$H$512,1,MATCH(3&amp;$B55,'Gastos com Pessoal'!$I$532:$AJ$532&amp;'Gastos com Pessoal'!$I$512:$AJ$512,0),10,1)),0)+_xlfn.IFNA(SUM((AR$3&gt;='Gastos com Pessoal'!$E$513:$E$522)*(AR$3&lt;='Gastos com Pessoal'!$F$513:$F$522)*(IF('Gastos com Pessoal'!$Y$513:$Y$522&lt;=AR$3,1,0))*OFFSET('Gastos com Pessoal'!$H$512,1,MATCH(4&amp;$B55,'Gastos com Pessoal'!$I$532:$AJ$532&amp;'Gastos com Pessoal'!$I$512:$AJ$512,0),10,1)),0)+_xlfn.IFNA(SUM((AR$3&gt;='Gastos com Pessoal'!$E$513:$E$522)*(AR$3&lt;='Gastos com Pessoal'!$F$513:$F$522)*(IF('Gastos com Pessoal'!$AE$513:$AE$522&lt;=AR$3,1,0))*OFFSET('Gastos com Pessoal'!$H$512,1,MATCH(5&amp;$B55,'Gastos com Pessoal'!$I$532:$AJ$532&amp;'Gastos com Pessoal'!$I$512:$AJ$512,0),10,1)),0)</f>
        <v>0</v>
      </c>
      <c r="AS55" s="188">
        <f t="array" aca="1" ref="AS55" ca="1">_xlfn.IFNA(SUM((AS$3&gt;='Gastos com Pessoal'!$E$7:$E$506)*(AS$3&lt;='Gastos com Pessoal'!$F$7:$F$506)*OFFSET('Encargos e Benefícios'!$D$5,1,MATCH($B55,'Encargos e Benefícios'!$E$5:$AB$5,0),500,1)),0)+_xlfn.IFNA(SUM((AS$3&gt;='Gastos com Pessoal'!$E$513:$E$522)*(AS$3&lt;='Gastos com Pessoal'!$F$513:$F$522)*OFFSET('Encargos e Benefícios'!$D$511,1,MATCH($B55,'Encargos e Benefícios'!$E$511:$AB$511,0),10,1)),0)+_xlfn.IFNA(SUM((AS$3&gt;='Gastos com Pessoal'!$E$7:$E$506)*(AS$3&lt;='Gastos com Pessoal'!$F$7:$F$506)*(IF('Gastos com Pessoal'!$G$7:$G$506&lt;=AS$3,1,0))*OFFSET('Gastos com Pessoal'!$H$6,1,MATCH(1&amp;$B55,'Gastos com Pessoal'!$I$532:$AJ$532&amp;'Gastos com Pessoal'!$I$6:$AJ$6,0),500,1)),0)+_xlfn.IFNA(SUM((AS$3&gt;='Gastos com Pessoal'!$E$7:$E$506)*(AS$3&lt;='Gastos com Pessoal'!$F$7:$F$506)*(IF('Gastos com Pessoal'!$M$7:$M$506&lt;=AS$3,1,0))*OFFSET('Gastos com Pessoal'!$H$6,1,MATCH(2&amp;$B55,'Gastos com Pessoal'!$I$532:$AJ$532&amp;'Gastos com Pessoal'!$I$6:$AJ$6,0),500,1)),0)+_xlfn.IFNA(SUM((AS$3&gt;='Gastos com Pessoal'!$E$7:$E$506)*(AS$3&lt;='Gastos com Pessoal'!$F$7:$F$506)*(IF('Gastos com Pessoal'!$S$7:$S$506&lt;=AS$3,1,0))*OFFSET('Gastos com Pessoal'!$H$6,1,MATCH(3&amp;$B55,'Gastos com Pessoal'!$I$532:$AJ$532&amp;'Gastos com Pessoal'!$I$6:$AJ$6,0),500,1)),0)+_xlfn.IFNA(SUM((AS$3&gt;='Gastos com Pessoal'!$E$7:$E$506)*(AS$3&lt;='Gastos com Pessoal'!$F$7:$F$506)*(IF('Gastos com Pessoal'!$Y$7:$Y$506&lt;=AS$3,1,0))*OFFSET('Gastos com Pessoal'!$H$6,1,MATCH(4&amp;$B55,'Gastos com Pessoal'!$I$532:$AJ$532&amp;'Gastos com Pessoal'!$I$6:$AJ$6,0),500,1)),0)+_xlfn.IFNA(SUM((AS$3&gt;='Gastos com Pessoal'!$E$7:$E$506)*(AS$3&lt;='Gastos com Pessoal'!$F$7:$F$506)*(IF('Gastos com Pessoal'!$AE$7:$AE$506&lt;=AS$3,1,0))*OFFSET('Gastos com Pessoal'!$H$6,1,MATCH(5&amp;$B55,'Gastos com Pessoal'!$I$532:$AJ$532&amp;'Gastos com Pessoal'!$I$6:$AJ$6,0),500,1)),0)+_xlfn.IFNA(SUM((AS$3&gt;='Gastos com Pessoal'!$E$513:$E$522)*(AS$3&lt;='Gastos com Pessoal'!$F$513:$F$522)*(IF('Gastos com Pessoal'!$G$513:$G$522&lt;=AS$3,1,0))*OFFSET('Gastos com Pessoal'!$H$512,1,MATCH(1&amp;$B55,'Gastos com Pessoal'!$I$532:$AJ$532&amp;'Gastos com Pessoal'!$I$512:$AJ$512,0),10,1)),0)+_xlfn.IFNA(SUM((AS$3&gt;='Gastos com Pessoal'!$E$513:$E$522)*(AS$3&lt;='Gastos com Pessoal'!$F$513:$F$522)*(IF('Gastos com Pessoal'!$M$513:$M$522&lt;=AS$3,1,0))*OFFSET('Gastos com Pessoal'!$H$512,1,MATCH(2&amp;$B55,'Gastos com Pessoal'!$I$532:$AJ$532&amp;'Gastos com Pessoal'!$I$512:$AJ$512,0),10,1)),0)+_xlfn.IFNA(SUM((AS$3&gt;='Gastos com Pessoal'!$E$513:$E$522)*(AS$3&lt;='Gastos com Pessoal'!$F$513:$F$522)*(IF('Gastos com Pessoal'!$S$513:$S$522&lt;=AS$3,1,0))*OFFSET('Gastos com Pessoal'!$H$512,1,MATCH(3&amp;$B55,'Gastos com Pessoal'!$I$532:$AJ$532&amp;'Gastos com Pessoal'!$I$512:$AJ$512,0),10,1)),0)+_xlfn.IFNA(SUM((AS$3&gt;='Gastos com Pessoal'!$E$513:$E$522)*(AS$3&lt;='Gastos com Pessoal'!$F$513:$F$522)*(IF('Gastos com Pessoal'!$Y$513:$Y$522&lt;=AS$3,1,0))*OFFSET('Gastos com Pessoal'!$H$512,1,MATCH(4&amp;$B55,'Gastos com Pessoal'!$I$532:$AJ$532&amp;'Gastos com Pessoal'!$I$512:$AJ$512,0),10,1)),0)+_xlfn.IFNA(SUM((AS$3&gt;='Gastos com Pessoal'!$E$513:$E$522)*(AS$3&lt;='Gastos com Pessoal'!$F$513:$F$522)*(IF('Gastos com Pessoal'!$AE$513:$AE$522&lt;=AS$3,1,0))*OFFSET('Gastos com Pessoal'!$H$512,1,MATCH(5&amp;$B55,'Gastos com Pessoal'!$I$532:$AJ$532&amp;'Gastos com Pessoal'!$I$512:$AJ$512,0),10,1)),0)</f>
        <v>0</v>
      </c>
      <c r="AT55" s="188">
        <f t="array" aca="1" ref="AT55" ca="1">_xlfn.IFNA(SUM((AT$3&gt;='Gastos com Pessoal'!$E$7:$E$506)*(AT$3&lt;='Gastos com Pessoal'!$F$7:$F$506)*OFFSET('Encargos e Benefícios'!$D$5,1,MATCH($B55,'Encargos e Benefícios'!$E$5:$AB$5,0),500,1)),0)+_xlfn.IFNA(SUM((AT$3&gt;='Gastos com Pessoal'!$E$513:$E$522)*(AT$3&lt;='Gastos com Pessoal'!$F$513:$F$522)*OFFSET('Encargos e Benefícios'!$D$511,1,MATCH($B55,'Encargos e Benefícios'!$E$511:$AB$511,0),10,1)),0)+_xlfn.IFNA(SUM((AT$3&gt;='Gastos com Pessoal'!$E$7:$E$506)*(AT$3&lt;='Gastos com Pessoal'!$F$7:$F$506)*(IF('Gastos com Pessoal'!$G$7:$G$506&lt;=AT$3,1,0))*OFFSET('Gastos com Pessoal'!$H$6,1,MATCH(1&amp;$B55,'Gastos com Pessoal'!$I$532:$AJ$532&amp;'Gastos com Pessoal'!$I$6:$AJ$6,0),500,1)),0)+_xlfn.IFNA(SUM((AT$3&gt;='Gastos com Pessoal'!$E$7:$E$506)*(AT$3&lt;='Gastos com Pessoal'!$F$7:$F$506)*(IF('Gastos com Pessoal'!$M$7:$M$506&lt;=AT$3,1,0))*OFFSET('Gastos com Pessoal'!$H$6,1,MATCH(2&amp;$B55,'Gastos com Pessoal'!$I$532:$AJ$532&amp;'Gastos com Pessoal'!$I$6:$AJ$6,0),500,1)),0)+_xlfn.IFNA(SUM((AT$3&gt;='Gastos com Pessoal'!$E$7:$E$506)*(AT$3&lt;='Gastos com Pessoal'!$F$7:$F$506)*(IF('Gastos com Pessoal'!$S$7:$S$506&lt;=AT$3,1,0))*OFFSET('Gastos com Pessoal'!$H$6,1,MATCH(3&amp;$B55,'Gastos com Pessoal'!$I$532:$AJ$532&amp;'Gastos com Pessoal'!$I$6:$AJ$6,0),500,1)),0)+_xlfn.IFNA(SUM((AT$3&gt;='Gastos com Pessoal'!$E$7:$E$506)*(AT$3&lt;='Gastos com Pessoal'!$F$7:$F$506)*(IF('Gastos com Pessoal'!$Y$7:$Y$506&lt;=AT$3,1,0))*OFFSET('Gastos com Pessoal'!$H$6,1,MATCH(4&amp;$B55,'Gastos com Pessoal'!$I$532:$AJ$532&amp;'Gastos com Pessoal'!$I$6:$AJ$6,0),500,1)),0)+_xlfn.IFNA(SUM((AT$3&gt;='Gastos com Pessoal'!$E$7:$E$506)*(AT$3&lt;='Gastos com Pessoal'!$F$7:$F$506)*(IF('Gastos com Pessoal'!$AE$7:$AE$506&lt;=AT$3,1,0))*OFFSET('Gastos com Pessoal'!$H$6,1,MATCH(5&amp;$B55,'Gastos com Pessoal'!$I$532:$AJ$532&amp;'Gastos com Pessoal'!$I$6:$AJ$6,0),500,1)),0)+_xlfn.IFNA(SUM((AT$3&gt;='Gastos com Pessoal'!$E$513:$E$522)*(AT$3&lt;='Gastos com Pessoal'!$F$513:$F$522)*(IF('Gastos com Pessoal'!$G$513:$G$522&lt;=AT$3,1,0))*OFFSET('Gastos com Pessoal'!$H$512,1,MATCH(1&amp;$B55,'Gastos com Pessoal'!$I$532:$AJ$532&amp;'Gastos com Pessoal'!$I$512:$AJ$512,0),10,1)),0)+_xlfn.IFNA(SUM((AT$3&gt;='Gastos com Pessoal'!$E$513:$E$522)*(AT$3&lt;='Gastos com Pessoal'!$F$513:$F$522)*(IF('Gastos com Pessoal'!$M$513:$M$522&lt;=AT$3,1,0))*OFFSET('Gastos com Pessoal'!$H$512,1,MATCH(2&amp;$B55,'Gastos com Pessoal'!$I$532:$AJ$532&amp;'Gastos com Pessoal'!$I$512:$AJ$512,0),10,1)),0)+_xlfn.IFNA(SUM((AT$3&gt;='Gastos com Pessoal'!$E$513:$E$522)*(AT$3&lt;='Gastos com Pessoal'!$F$513:$F$522)*(IF('Gastos com Pessoal'!$S$513:$S$522&lt;=AT$3,1,0))*OFFSET('Gastos com Pessoal'!$H$512,1,MATCH(3&amp;$B55,'Gastos com Pessoal'!$I$532:$AJ$532&amp;'Gastos com Pessoal'!$I$512:$AJ$512,0),10,1)),0)+_xlfn.IFNA(SUM((AT$3&gt;='Gastos com Pessoal'!$E$513:$E$522)*(AT$3&lt;='Gastos com Pessoal'!$F$513:$F$522)*(IF('Gastos com Pessoal'!$Y$513:$Y$522&lt;=AT$3,1,0))*OFFSET('Gastos com Pessoal'!$H$512,1,MATCH(4&amp;$B55,'Gastos com Pessoal'!$I$532:$AJ$532&amp;'Gastos com Pessoal'!$I$512:$AJ$512,0),10,1)),0)+_xlfn.IFNA(SUM((AT$3&gt;='Gastos com Pessoal'!$E$513:$E$522)*(AT$3&lt;='Gastos com Pessoal'!$F$513:$F$522)*(IF('Gastos com Pessoal'!$AE$513:$AE$522&lt;=AT$3,1,0))*OFFSET('Gastos com Pessoal'!$H$512,1,MATCH(5&amp;$B55,'Gastos com Pessoal'!$I$532:$AJ$532&amp;'Gastos com Pessoal'!$I$512:$AJ$512,0),10,1)),0)</f>
        <v>0</v>
      </c>
      <c r="AU55" s="188">
        <f t="array" aca="1" ref="AU55" ca="1">_xlfn.IFNA(SUM((AU$3&gt;='Gastos com Pessoal'!$E$7:$E$506)*(AU$3&lt;='Gastos com Pessoal'!$F$7:$F$506)*OFFSET('Encargos e Benefícios'!$D$5,1,MATCH($B55,'Encargos e Benefícios'!$E$5:$AB$5,0),500,1)),0)+_xlfn.IFNA(SUM((AU$3&gt;='Gastos com Pessoal'!$E$513:$E$522)*(AU$3&lt;='Gastos com Pessoal'!$F$513:$F$522)*OFFSET('Encargos e Benefícios'!$D$511,1,MATCH($B55,'Encargos e Benefícios'!$E$511:$AB$511,0),10,1)),0)+_xlfn.IFNA(SUM((AU$3&gt;='Gastos com Pessoal'!$E$7:$E$506)*(AU$3&lt;='Gastos com Pessoal'!$F$7:$F$506)*(IF('Gastos com Pessoal'!$G$7:$G$506&lt;=AU$3,1,0))*OFFSET('Gastos com Pessoal'!$H$6,1,MATCH(1&amp;$B55,'Gastos com Pessoal'!$I$532:$AJ$532&amp;'Gastos com Pessoal'!$I$6:$AJ$6,0),500,1)),0)+_xlfn.IFNA(SUM((AU$3&gt;='Gastos com Pessoal'!$E$7:$E$506)*(AU$3&lt;='Gastos com Pessoal'!$F$7:$F$506)*(IF('Gastos com Pessoal'!$M$7:$M$506&lt;=AU$3,1,0))*OFFSET('Gastos com Pessoal'!$H$6,1,MATCH(2&amp;$B55,'Gastos com Pessoal'!$I$532:$AJ$532&amp;'Gastos com Pessoal'!$I$6:$AJ$6,0),500,1)),0)+_xlfn.IFNA(SUM((AU$3&gt;='Gastos com Pessoal'!$E$7:$E$506)*(AU$3&lt;='Gastos com Pessoal'!$F$7:$F$506)*(IF('Gastos com Pessoal'!$S$7:$S$506&lt;=AU$3,1,0))*OFFSET('Gastos com Pessoal'!$H$6,1,MATCH(3&amp;$B55,'Gastos com Pessoal'!$I$532:$AJ$532&amp;'Gastos com Pessoal'!$I$6:$AJ$6,0),500,1)),0)+_xlfn.IFNA(SUM((AU$3&gt;='Gastos com Pessoal'!$E$7:$E$506)*(AU$3&lt;='Gastos com Pessoal'!$F$7:$F$506)*(IF('Gastos com Pessoal'!$Y$7:$Y$506&lt;=AU$3,1,0))*OFFSET('Gastos com Pessoal'!$H$6,1,MATCH(4&amp;$B55,'Gastos com Pessoal'!$I$532:$AJ$532&amp;'Gastos com Pessoal'!$I$6:$AJ$6,0),500,1)),0)+_xlfn.IFNA(SUM((AU$3&gt;='Gastos com Pessoal'!$E$7:$E$506)*(AU$3&lt;='Gastos com Pessoal'!$F$7:$F$506)*(IF('Gastos com Pessoal'!$AE$7:$AE$506&lt;=AU$3,1,0))*OFFSET('Gastos com Pessoal'!$H$6,1,MATCH(5&amp;$B55,'Gastos com Pessoal'!$I$532:$AJ$532&amp;'Gastos com Pessoal'!$I$6:$AJ$6,0),500,1)),0)+_xlfn.IFNA(SUM((AU$3&gt;='Gastos com Pessoal'!$E$513:$E$522)*(AU$3&lt;='Gastos com Pessoal'!$F$513:$F$522)*(IF('Gastos com Pessoal'!$G$513:$G$522&lt;=AU$3,1,0))*OFFSET('Gastos com Pessoal'!$H$512,1,MATCH(1&amp;$B55,'Gastos com Pessoal'!$I$532:$AJ$532&amp;'Gastos com Pessoal'!$I$512:$AJ$512,0),10,1)),0)+_xlfn.IFNA(SUM((AU$3&gt;='Gastos com Pessoal'!$E$513:$E$522)*(AU$3&lt;='Gastos com Pessoal'!$F$513:$F$522)*(IF('Gastos com Pessoal'!$M$513:$M$522&lt;=AU$3,1,0))*OFFSET('Gastos com Pessoal'!$H$512,1,MATCH(2&amp;$B55,'Gastos com Pessoal'!$I$532:$AJ$532&amp;'Gastos com Pessoal'!$I$512:$AJ$512,0),10,1)),0)+_xlfn.IFNA(SUM((AU$3&gt;='Gastos com Pessoal'!$E$513:$E$522)*(AU$3&lt;='Gastos com Pessoal'!$F$513:$F$522)*(IF('Gastos com Pessoal'!$S$513:$S$522&lt;=AU$3,1,0))*OFFSET('Gastos com Pessoal'!$H$512,1,MATCH(3&amp;$B55,'Gastos com Pessoal'!$I$532:$AJ$532&amp;'Gastos com Pessoal'!$I$512:$AJ$512,0),10,1)),0)+_xlfn.IFNA(SUM((AU$3&gt;='Gastos com Pessoal'!$E$513:$E$522)*(AU$3&lt;='Gastos com Pessoal'!$F$513:$F$522)*(IF('Gastos com Pessoal'!$Y$513:$Y$522&lt;=AU$3,1,0))*OFFSET('Gastos com Pessoal'!$H$512,1,MATCH(4&amp;$B55,'Gastos com Pessoal'!$I$532:$AJ$532&amp;'Gastos com Pessoal'!$I$512:$AJ$512,0),10,1)),0)+_xlfn.IFNA(SUM((AU$3&gt;='Gastos com Pessoal'!$E$513:$E$522)*(AU$3&lt;='Gastos com Pessoal'!$F$513:$F$522)*(IF('Gastos com Pessoal'!$AE$513:$AE$522&lt;=AU$3,1,0))*OFFSET('Gastos com Pessoal'!$H$512,1,MATCH(5&amp;$B55,'Gastos com Pessoal'!$I$532:$AJ$532&amp;'Gastos com Pessoal'!$I$512:$AJ$512,0),10,1)),0)</f>
        <v>0</v>
      </c>
      <c r="AV55" s="188">
        <f t="array" aca="1" ref="AV55" ca="1">_xlfn.IFNA(SUM((AV$3&gt;='Gastos com Pessoal'!$E$7:$E$506)*(AV$3&lt;='Gastos com Pessoal'!$F$7:$F$506)*OFFSET('Encargos e Benefícios'!$D$5,1,MATCH($B55,'Encargos e Benefícios'!$E$5:$AB$5,0),500,1)),0)+_xlfn.IFNA(SUM((AV$3&gt;='Gastos com Pessoal'!$E$513:$E$522)*(AV$3&lt;='Gastos com Pessoal'!$F$513:$F$522)*OFFSET('Encargos e Benefícios'!$D$511,1,MATCH($B55,'Encargos e Benefícios'!$E$511:$AB$511,0),10,1)),0)+_xlfn.IFNA(SUM((AV$3&gt;='Gastos com Pessoal'!$E$7:$E$506)*(AV$3&lt;='Gastos com Pessoal'!$F$7:$F$506)*(IF('Gastos com Pessoal'!$G$7:$G$506&lt;=AV$3,1,0))*OFFSET('Gastos com Pessoal'!$H$6,1,MATCH(1&amp;$B55,'Gastos com Pessoal'!$I$532:$AJ$532&amp;'Gastos com Pessoal'!$I$6:$AJ$6,0),500,1)),0)+_xlfn.IFNA(SUM((AV$3&gt;='Gastos com Pessoal'!$E$7:$E$506)*(AV$3&lt;='Gastos com Pessoal'!$F$7:$F$506)*(IF('Gastos com Pessoal'!$M$7:$M$506&lt;=AV$3,1,0))*OFFSET('Gastos com Pessoal'!$H$6,1,MATCH(2&amp;$B55,'Gastos com Pessoal'!$I$532:$AJ$532&amp;'Gastos com Pessoal'!$I$6:$AJ$6,0),500,1)),0)+_xlfn.IFNA(SUM((AV$3&gt;='Gastos com Pessoal'!$E$7:$E$506)*(AV$3&lt;='Gastos com Pessoal'!$F$7:$F$506)*(IF('Gastos com Pessoal'!$S$7:$S$506&lt;=AV$3,1,0))*OFFSET('Gastos com Pessoal'!$H$6,1,MATCH(3&amp;$B55,'Gastos com Pessoal'!$I$532:$AJ$532&amp;'Gastos com Pessoal'!$I$6:$AJ$6,0),500,1)),0)+_xlfn.IFNA(SUM((AV$3&gt;='Gastos com Pessoal'!$E$7:$E$506)*(AV$3&lt;='Gastos com Pessoal'!$F$7:$F$506)*(IF('Gastos com Pessoal'!$Y$7:$Y$506&lt;=AV$3,1,0))*OFFSET('Gastos com Pessoal'!$H$6,1,MATCH(4&amp;$B55,'Gastos com Pessoal'!$I$532:$AJ$532&amp;'Gastos com Pessoal'!$I$6:$AJ$6,0),500,1)),0)+_xlfn.IFNA(SUM((AV$3&gt;='Gastos com Pessoal'!$E$7:$E$506)*(AV$3&lt;='Gastos com Pessoal'!$F$7:$F$506)*(IF('Gastos com Pessoal'!$AE$7:$AE$506&lt;=AV$3,1,0))*OFFSET('Gastos com Pessoal'!$H$6,1,MATCH(5&amp;$B55,'Gastos com Pessoal'!$I$532:$AJ$532&amp;'Gastos com Pessoal'!$I$6:$AJ$6,0),500,1)),0)+_xlfn.IFNA(SUM((AV$3&gt;='Gastos com Pessoal'!$E$513:$E$522)*(AV$3&lt;='Gastos com Pessoal'!$F$513:$F$522)*(IF('Gastos com Pessoal'!$G$513:$G$522&lt;=AV$3,1,0))*OFFSET('Gastos com Pessoal'!$H$512,1,MATCH(1&amp;$B55,'Gastos com Pessoal'!$I$532:$AJ$532&amp;'Gastos com Pessoal'!$I$512:$AJ$512,0),10,1)),0)+_xlfn.IFNA(SUM((AV$3&gt;='Gastos com Pessoal'!$E$513:$E$522)*(AV$3&lt;='Gastos com Pessoal'!$F$513:$F$522)*(IF('Gastos com Pessoal'!$M$513:$M$522&lt;=AV$3,1,0))*OFFSET('Gastos com Pessoal'!$H$512,1,MATCH(2&amp;$B55,'Gastos com Pessoal'!$I$532:$AJ$532&amp;'Gastos com Pessoal'!$I$512:$AJ$512,0),10,1)),0)+_xlfn.IFNA(SUM((AV$3&gt;='Gastos com Pessoal'!$E$513:$E$522)*(AV$3&lt;='Gastos com Pessoal'!$F$513:$F$522)*(IF('Gastos com Pessoal'!$S$513:$S$522&lt;=AV$3,1,0))*OFFSET('Gastos com Pessoal'!$H$512,1,MATCH(3&amp;$B55,'Gastos com Pessoal'!$I$532:$AJ$532&amp;'Gastos com Pessoal'!$I$512:$AJ$512,0),10,1)),0)+_xlfn.IFNA(SUM((AV$3&gt;='Gastos com Pessoal'!$E$513:$E$522)*(AV$3&lt;='Gastos com Pessoal'!$F$513:$F$522)*(IF('Gastos com Pessoal'!$Y$513:$Y$522&lt;=AV$3,1,0))*OFFSET('Gastos com Pessoal'!$H$512,1,MATCH(4&amp;$B55,'Gastos com Pessoal'!$I$532:$AJ$532&amp;'Gastos com Pessoal'!$I$512:$AJ$512,0),10,1)),0)+_xlfn.IFNA(SUM((AV$3&gt;='Gastos com Pessoal'!$E$513:$E$522)*(AV$3&lt;='Gastos com Pessoal'!$F$513:$F$522)*(IF('Gastos com Pessoal'!$AE$513:$AE$522&lt;=AV$3,1,0))*OFFSET('Gastos com Pessoal'!$H$512,1,MATCH(5&amp;$B55,'Gastos com Pessoal'!$I$532:$AJ$532&amp;'Gastos com Pessoal'!$I$512:$AJ$512,0),10,1)),0)</f>
        <v>0</v>
      </c>
      <c r="AW55" s="188">
        <f t="array" aca="1" ref="AW55" ca="1">_xlfn.IFNA(SUM((AW$3&gt;='Gastos com Pessoal'!$E$7:$E$506)*(AW$3&lt;='Gastos com Pessoal'!$F$7:$F$506)*OFFSET('Encargos e Benefícios'!$D$5,1,MATCH($B55,'Encargos e Benefícios'!$E$5:$AB$5,0),500,1)),0)+_xlfn.IFNA(SUM((AW$3&gt;='Gastos com Pessoal'!$E$513:$E$522)*(AW$3&lt;='Gastos com Pessoal'!$F$513:$F$522)*OFFSET('Encargos e Benefícios'!$D$511,1,MATCH($B55,'Encargos e Benefícios'!$E$511:$AB$511,0),10,1)),0)+_xlfn.IFNA(SUM((AW$3&gt;='Gastos com Pessoal'!$E$7:$E$506)*(AW$3&lt;='Gastos com Pessoal'!$F$7:$F$506)*(IF('Gastos com Pessoal'!$G$7:$G$506&lt;=AW$3,1,0))*OFFSET('Gastos com Pessoal'!$H$6,1,MATCH(1&amp;$B55,'Gastos com Pessoal'!$I$532:$AJ$532&amp;'Gastos com Pessoal'!$I$6:$AJ$6,0),500,1)),0)+_xlfn.IFNA(SUM((AW$3&gt;='Gastos com Pessoal'!$E$7:$E$506)*(AW$3&lt;='Gastos com Pessoal'!$F$7:$F$506)*(IF('Gastos com Pessoal'!$M$7:$M$506&lt;=AW$3,1,0))*OFFSET('Gastos com Pessoal'!$H$6,1,MATCH(2&amp;$B55,'Gastos com Pessoal'!$I$532:$AJ$532&amp;'Gastos com Pessoal'!$I$6:$AJ$6,0),500,1)),0)+_xlfn.IFNA(SUM((AW$3&gt;='Gastos com Pessoal'!$E$7:$E$506)*(AW$3&lt;='Gastos com Pessoal'!$F$7:$F$506)*(IF('Gastos com Pessoal'!$S$7:$S$506&lt;=AW$3,1,0))*OFFSET('Gastos com Pessoal'!$H$6,1,MATCH(3&amp;$B55,'Gastos com Pessoal'!$I$532:$AJ$532&amp;'Gastos com Pessoal'!$I$6:$AJ$6,0),500,1)),0)+_xlfn.IFNA(SUM((AW$3&gt;='Gastos com Pessoal'!$E$7:$E$506)*(AW$3&lt;='Gastos com Pessoal'!$F$7:$F$506)*(IF('Gastos com Pessoal'!$Y$7:$Y$506&lt;=AW$3,1,0))*OFFSET('Gastos com Pessoal'!$H$6,1,MATCH(4&amp;$B55,'Gastos com Pessoal'!$I$532:$AJ$532&amp;'Gastos com Pessoal'!$I$6:$AJ$6,0),500,1)),0)+_xlfn.IFNA(SUM((AW$3&gt;='Gastos com Pessoal'!$E$7:$E$506)*(AW$3&lt;='Gastos com Pessoal'!$F$7:$F$506)*(IF('Gastos com Pessoal'!$AE$7:$AE$506&lt;=AW$3,1,0))*OFFSET('Gastos com Pessoal'!$H$6,1,MATCH(5&amp;$B55,'Gastos com Pessoal'!$I$532:$AJ$532&amp;'Gastos com Pessoal'!$I$6:$AJ$6,0),500,1)),0)+_xlfn.IFNA(SUM((AW$3&gt;='Gastos com Pessoal'!$E$513:$E$522)*(AW$3&lt;='Gastos com Pessoal'!$F$513:$F$522)*(IF('Gastos com Pessoal'!$G$513:$G$522&lt;=AW$3,1,0))*OFFSET('Gastos com Pessoal'!$H$512,1,MATCH(1&amp;$B55,'Gastos com Pessoal'!$I$532:$AJ$532&amp;'Gastos com Pessoal'!$I$512:$AJ$512,0),10,1)),0)+_xlfn.IFNA(SUM((AW$3&gt;='Gastos com Pessoal'!$E$513:$E$522)*(AW$3&lt;='Gastos com Pessoal'!$F$513:$F$522)*(IF('Gastos com Pessoal'!$M$513:$M$522&lt;=AW$3,1,0))*OFFSET('Gastos com Pessoal'!$H$512,1,MATCH(2&amp;$B55,'Gastos com Pessoal'!$I$532:$AJ$532&amp;'Gastos com Pessoal'!$I$512:$AJ$512,0),10,1)),0)+_xlfn.IFNA(SUM((AW$3&gt;='Gastos com Pessoal'!$E$513:$E$522)*(AW$3&lt;='Gastos com Pessoal'!$F$513:$F$522)*(IF('Gastos com Pessoal'!$S$513:$S$522&lt;=AW$3,1,0))*OFFSET('Gastos com Pessoal'!$H$512,1,MATCH(3&amp;$B55,'Gastos com Pessoal'!$I$532:$AJ$532&amp;'Gastos com Pessoal'!$I$512:$AJ$512,0),10,1)),0)+_xlfn.IFNA(SUM((AW$3&gt;='Gastos com Pessoal'!$E$513:$E$522)*(AW$3&lt;='Gastos com Pessoal'!$F$513:$F$522)*(IF('Gastos com Pessoal'!$Y$513:$Y$522&lt;=AW$3,1,0))*OFFSET('Gastos com Pessoal'!$H$512,1,MATCH(4&amp;$B55,'Gastos com Pessoal'!$I$532:$AJ$532&amp;'Gastos com Pessoal'!$I$512:$AJ$512,0),10,1)),0)+_xlfn.IFNA(SUM((AW$3&gt;='Gastos com Pessoal'!$E$513:$E$522)*(AW$3&lt;='Gastos com Pessoal'!$F$513:$F$522)*(IF('Gastos com Pessoal'!$AE$513:$AE$522&lt;=AW$3,1,0))*OFFSET('Gastos com Pessoal'!$H$512,1,MATCH(5&amp;$B55,'Gastos com Pessoal'!$I$532:$AJ$532&amp;'Gastos com Pessoal'!$I$512:$AJ$512,0),10,1)),0)</f>
        <v>0</v>
      </c>
      <c r="AX55" s="188">
        <f t="array" aca="1" ref="AX55" ca="1">_xlfn.IFNA(SUM((AX$3&gt;='Gastos com Pessoal'!$E$7:$E$506)*(AX$3&lt;='Gastos com Pessoal'!$F$7:$F$506)*OFFSET('Encargos e Benefícios'!$D$5,1,MATCH($B55,'Encargos e Benefícios'!$E$5:$AB$5,0),500,1)),0)+_xlfn.IFNA(SUM((AX$3&gt;='Gastos com Pessoal'!$E$513:$E$522)*(AX$3&lt;='Gastos com Pessoal'!$F$513:$F$522)*OFFSET('Encargos e Benefícios'!$D$511,1,MATCH($B55,'Encargos e Benefícios'!$E$511:$AB$511,0),10,1)),0)+_xlfn.IFNA(SUM((AX$3&gt;='Gastos com Pessoal'!$E$7:$E$506)*(AX$3&lt;='Gastos com Pessoal'!$F$7:$F$506)*(IF('Gastos com Pessoal'!$G$7:$G$506&lt;=AX$3,1,0))*OFFSET('Gastos com Pessoal'!$H$6,1,MATCH(1&amp;$B55,'Gastos com Pessoal'!$I$532:$AJ$532&amp;'Gastos com Pessoal'!$I$6:$AJ$6,0),500,1)),0)+_xlfn.IFNA(SUM((AX$3&gt;='Gastos com Pessoal'!$E$7:$E$506)*(AX$3&lt;='Gastos com Pessoal'!$F$7:$F$506)*(IF('Gastos com Pessoal'!$M$7:$M$506&lt;=AX$3,1,0))*OFFSET('Gastos com Pessoal'!$H$6,1,MATCH(2&amp;$B55,'Gastos com Pessoal'!$I$532:$AJ$532&amp;'Gastos com Pessoal'!$I$6:$AJ$6,0),500,1)),0)+_xlfn.IFNA(SUM((AX$3&gt;='Gastos com Pessoal'!$E$7:$E$506)*(AX$3&lt;='Gastos com Pessoal'!$F$7:$F$506)*(IF('Gastos com Pessoal'!$S$7:$S$506&lt;=AX$3,1,0))*OFFSET('Gastos com Pessoal'!$H$6,1,MATCH(3&amp;$B55,'Gastos com Pessoal'!$I$532:$AJ$532&amp;'Gastos com Pessoal'!$I$6:$AJ$6,0),500,1)),0)+_xlfn.IFNA(SUM((AX$3&gt;='Gastos com Pessoal'!$E$7:$E$506)*(AX$3&lt;='Gastos com Pessoal'!$F$7:$F$506)*(IF('Gastos com Pessoal'!$Y$7:$Y$506&lt;=AX$3,1,0))*OFFSET('Gastos com Pessoal'!$H$6,1,MATCH(4&amp;$B55,'Gastos com Pessoal'!$I$532:$AJ$532&amp;'Gastos com Pessoal'!$I$6:$AJ$6,0),500,1)),0)+_xlfn.IFNA(SUM((AX$3&gt;='Gastos com Pessoal'!$E$7:$E$506)*(AX$3&lt;='Gastos com Pessoal'!$F$7:$F$506)*(IF('Gastos com Pessoal'!$AE$7:$AE$506&lt;=AX$3,1,0))*OFFSET('Gastos com Pessoal'!$H$6,1,MATCH(5&amp;$B55,'Gastos com Pessoal'!$I$532:$AJ$532&amp;'Gastos com Pessoal'!$I$6:$AJ$6,0),500,1)),0)+_xlfn.IFNA(SUM((AX$3&gt;='Gastos com Pessoal'!$E$513:$E$522)*(AX$3&lt;='Gastos com Pessoal'!$F$513:$F$522)*(IF('Gastos com Pessoal'!$G$513:$G$522&lt;=AX$3,1,0))*OFFSET('Gastos com Pessoal'!$H$512,1,MATCH(1&amp;$B55,'Gastos com Pessoal'!$I$532:$AJ$532&amp;'Gastos com Pessoal'!$I$512:$AJ$512,0),10,1)),0)+_xlfn.IFNA(SUM((AX$3&gt;='Gastos com Pessoal'!$E$513:$E$522)*(AX$3&lt;='Gastos com Pessoal'!$F$513:$F$522)*(IF('Gastos com Pessoal'!$M$513:$M$522&lt;=AX$3,1,0))*OFFSET('Gastos com Pessoal'!$H$512,1,MATCH(2&amp;$B55,'Gastos com Pessoal'!$I$532:$AJ$532&amp;'Gastos com Pessoal'!$I$512:$AJ$512,0),10,1)),0)+_xlfn.IFNA(SUM((AX$3&gt;='Gastos com Pessoal'!$E$513:$E$522)*(AX$3&lt;='Gastos com Pessoal'!$F$513:$F$522)*(IF('Gastos com Pessoal'!$S$513:$S$522&lt;=AX$3,1,0))*OFFSET('Gastos com Pessoal'!$H$512,1,MATCH(3&amp;$B55,'Gastos com Pessoal'!$I$532:$AJ$532&amp;'Gastos com Pessoal'!$I$512:$AJ$512,0),10,1)),0)+_xlfn.IFNA(SUM((AX$3&gt;='Gastos com Pessoal'!$E$513:$E$522)*(AX$3&lt;='Gastos com Pessoal'!$F$513:$F$522)*(IF('Gastos com Pessoal'!$Y$513:$Y$522&lt;=AX$3,1,0))*OFFSET('Gastos com Pessoal'!$H$512,1,MATCH(4&amp;$B55,'Gastos com Pessoal'!$I$532:$AJ$532&amp;'Gastos com Pessoal'!$I$512:$AJ$512,0),10,1)),0)+_xlfn.IFNA(SUM((AX$3&gt;='Gastos com Pessoal'!$E$513:$E$522)*(AX$3&lt;='Gastos com Pessoal'!$F$513:$F$522)*(IF('Gastos com Pessoal'!$AE$513:$AE$522&lt;=AX$3,1,0))*OFFSET('Gastos com Pessoal'!$H$512,1,MATCH(5&amp;$B55,'Gastos com Pessoal'!$I$532:$AJ$532&amp;'Gastos com Pessoal'!$I$512:$AJ$512,0),10,1)),0)</f>
        <v>0</v>
      </c>
      <c r="AY55" s="188">
        <f t="array" aca="1" ref="AY55" ca="1">_xlfn.IFNA(SUM((AY$3&gt;='Gastos com Pessoal'!$E$7:$E$506)*(AY$3&lt;='Gastos com Pessoal'!$F$7:$F$506)*OFFSET('Encargos e Benefícios'!$D$5,1,MATCH($B55,'Encargos e Benefícios'!$E$5:$AB$5,0),500,1)),0)+_xlfn.IFNA(SUM((AY$3&gt;='Gastos com Pessoal'!$E$513:$E$522)*(AY$3&lt;='Gastos com Pessoal'!$F$513:$F$522)*OFFSET('Encargos e Benefícios'!$D$511,1,MATCH($B55,'Encargos e Benefícios'!$E$511:$AB$511,0),10,1)),0)+_xlfn.IFNA(SUM((AY$3&gt;='Gastos com Pessoal'!$E$7:$E$506)*(AY$3&lt;='Gastos com Pessoal'!$F$7:$F$506)*(IF('Gastos com Pessoal'!$G$7:$G$506&lt;=AY$3,1,0))*OFFSET('Gastos com Pessoal'!$H$6,1,MATCH(1&amp;$B55,'Gastos com Pessoal'!$I$532:$AJ$532&amp;'Gastos com Pessoal'!$I$6:$AJ$6,0),500,1)),0)+_xlfn.IFNA(SUM((AY$3&gt;='Gastos com Pessoal'!$E$7:$E$506)*(AY$3&lt;='Gastos com Pessoal'!$F$7:$F$506)*(IF('Gastos com Pessoal'!$M$7:$M$506&lt;=AY$3,1,0))*OFFSET('Gastos com Pessoal'!$H$6,1,MATCH(2&amp;$B55,'Gastos com Pessoal'!$I$532:$AJ$532&amp;'Gastos com Pessoal'!$I$6:$AJ$6,0),500,1)),0)+_xlfn.IFNA(SUM((AY$3&gt;='Gastos com Pessoal'!$E$7:$E$506)*(AY$3&lt;='Gastos com Pessoal'!$F$7:$F$506)*(IF('Gastos com Pessoal'!$S$7:$S$506&lt;=AY$3,1,0))*OFFSET('Gastos com Pessoal'!$H$6,1,MATCH(3&amp;$B55,'Gastos com Pessoal'!$I$532:$AJ$532&amp;'Gastos com Pessoal'!$I$6:$AJ$6,0),500,1)),0)+_xlfn.IFNA(SUM((AY$3&gt;='Gastos com Pessoal'!$E$7:$E$506)*(AY$3&lt;='Gastos com Pessoal'!$F$7:$F$506)*(IF('Gastos com Pessoal'!$Y$7:$Y$506&lt;=AY$3,1,0))*OFFSET('Gastos com Pessoal'!$H$6,1,MATCH(4&amp;$B55,'Gastos com Pessoal'!$I$532:$AJ$532&amp;'Gastos com Pessoal'!$I$6:$AJ$6,0),500,1)),0)+_xlfn.IFNA(SUM((AY$3&gt;='Gastos com Pessoal'!$E$7:$E$506)*(AY$3&lt;='Gastos com Pessoal'!$F$7:$F$506)*(IF('Gastos com Pessoal'!$AE$7:$AE$506&lt;=AY$3,1,0))*OFFSET('Gastos com Pessoal'!$H$6,1,MATCH(5&amp;$B55,'Gastos com Pessoal'!$I$532:$AJ$532&amp;'Gastos com Pessoal'!$I$6:$AJ$6,0),500,1)),0)+_xlfn.IFNA(SUM((AY$3&gt;='Gastos com Pessoal'!$E$513:$E$522)*(AY$3&lt;='Gastos com Pessoal'!$F$513:$F$522)*(IF('Gastos com Pessoal'!$G$513:$G$522&lt;=AY$3,1,0))*OFFSET('Gastos com Pessoal'!$H$512,1,MATCH(1&amp;$B55,'Gastos com Pessoal'!$I$532:$AJ$532&amp;'Gastos com Pessoal'!$I$512:$AJ$512,0),10,1)),0)+_xlfn.IFNA(SUM((AY$3&gt;='Gastos com Pessoal'!$E$513:$E$522)*(AY$3&lt;='Gastos com Pessoal'!$F$513:$F$522)*(IF('Gastos com Pessoal'!$M$513:$M$522&lt;=AY$3,1,0))*OFFSET('Gastos com Pessoal'!$H$512,1,MATCH(2&amp;$B55,'Gastos com Pessoal'!$I$532:$AJ$532&amp;'Gastos com Pessoal'!$I$512:$AJ$512,0),10,1)),0)+_xlfn.IFNA(SUM((AY$3&gt;='Gastos com Pessoal'!$E$513:$E$522)*(AY$3&lt;='Gastos com Pessoal'!$F$513:$F$522)*(IF('Gastos com Pessoal'!$S$513:$S$522&lt;=AY$3,1,0))*OFFSET('Gastos com Pessoal'!$H$512,1,MATCH(3&amp;$B55,'Gastos com Pessoal'!$I$532:$AJ$532&amp;'Gastos com Pessoal'!$I$512:$AJ$512,0),10,1)),0)+_xlfn.IFNA(SUM((AY$3&gt;='Gastos com Pessoal'!$E$513:$E$522)*(AY$3&lt;='Gastos com Pessoal'!$F$513:$F$522)*(IF('Gastos com Pessoal'!$Y$513:$Y$522&lt;=AY$3,1,0))*OFFSET('Gastos com Pessoal'!$H$512,1,MATCH(4&amp;$B55,'Gastos com Pessoal'!$I$532:$AJ$532&amp;'Gastos com Pessoal'!$I$512:$AJ$512,0),10,1)),0)+_xlfn.IFNA(SUM((AY$3&gt;='Gastos com Pessoal'!$E$513:$E$522)*(AY$3&lt;='Gastos com Pessoal'!$F$513:$F$522)*(IF('Gastos com Pessoal'!$AE$513:$AE$522&lt;=AY$3,1,0))*OFFSET('Gastos com Pessoal'!$H$512,1,MATCH(5&amp;$B55,'Gastos com Pessoal'!$I$532:$AJ$532&amp;'Gastos com Pessoal'!$I$512:$AJ$512,0),10,1)),0)</f>
        <v>0</v>
      </c>
      <c r="AZ55" s="188">
        <f t="array" aca="1" ref="AZ55" ca="1">_xlfn.IFNA(SUM((AZ$3&gt;='Gastos com Pessoal'!$E$7:$E$506)*(AZ$3&lt;='Gastos com Pessoal'!$F$7:$F$506)*OFFSET('Encargos e Benefícios'!$D$5,1,MATCH($B55,'Encargos e Benefícios'!$E$5:$AB$5,0),500,1)),0)+_xlfn.IFNA(SUM((AZ$3&gt;='Gastos com Pessoal'!$E$513:$E$522)*(AZ$3&lt;='Gastos com Pessoal'!$F$513:$F$522)*OFFSET('Encargos e Benefícios'!$D$511,1,MATCH($B55,'Encargos e Benefícios'!$E$511:$AB$511,0),10,1)),0)+_xlfn.IFNA(SUM((AZ$3&gt;='Gastos com Pessoal'!$E$7:$E$506)*(AZ$3&lt;='Gastos com Pessoal'!$F$7:$F$506)*(IF('Gastos com Pessoal'!$G$7:$G$506&lt;=AZ$3,1,0))*OFFSET('Gastos com Pessoal'!$H$6,1,MATCH(1&amp;$B55,'Gastos com Pessoal'!$I$532:$AJ$532&amp;'Gastos com Pessoal'!$I$6:$AJ$6,0),500,1)),0)+_xlfn.IFNA(SUM((AZ$3&gt;='Gastos com Pessoal'!$E$7:$E$506)*(AZ$3&lt;='Gastos com Pessoal'!$F$7:$F$506)*(IF('Gastos com Pessoal'!$M$7:$M$506&lt;=AZ$3,1,0))*OFFSET('Gastos com Pessoal'!$H$6,1,MATCH(2&amp;$B55,'Gastos com Pessoal'!$I$532:$AJ$532&amp;'Gastos com Pessoal'!$I$6:$AJ$6,0),500,1)),0)+_xlfn.IFNA(SUM((AZ$3&gt;='Gastos com Pessoal'!$E$7:$E$506)*(AZ$3&lt;='Gastos com Pessoal'!$F$7:$F$506)*(IF('Gastos com Pessoal'!$S$7:$S$506&lt;=AZ$3,1,0))*OFFSET('Gastos com Pessoal'!$H$6,1,MATCH(3&amp;$B55,'Gastos com Pessoal'!$I$532:$AJ$532&amp;'Gastos com Pessoal'!$I$6:$AJ$6,0),500,1)),0)+_xlfn.IFNA(SUM((AZ$3&gt;='Gastos com Pessoal'!$E$7:$E$506)*(AZ$3&lt;='Gastos com Pessoal'!$F$7:$F$506)*(IF('Gastos com Pessoal'!$Y$7:$Y$506&lt;=AZ$3,1,0))*OFFSET('Gastos com Pessoal'!$H$6,1,MATCH(4&amp;$B55,'Gastos com Pessoal'!$I$532:$AJ$532&amp;'Gastos com Pessoal'!$I$6:$AJ$6,0),500,1)),0)+_xlfn.IFNA(SUM((AZ$3&gt;='Gastos com Pessoal'!$E$7:$E$506)*(AZ$3&lt;='Gastos com Pessoal'!$F$7:$F$506)*(IF('Gastos com Pessoal'!$AE$7:$AE$506&lt;=AZ$3,1,0))*OFFSET('Gastos com Pessoal'!$H$6,1,MATCH(5&amp;$B55,'Gastos com Pessoal'!$I$532:$AJ$532&amp;'Gastos com Pessoal'!$I$6:$AJ$6,0),500,1)),0)+_xlfn.IFNA(SUM((AZ$3&gt;='Gastos com Pessoal'!$E$513:$E$522)*(AZ$3&lt;='Gastos com Pessoal'!$F$513:$F$522)*(IF('Gastos com Pessoal'!$G$513:$G$522&lt;=AZ$3,1,0))*OFFSET('Gastos com Pessoal'!$H$512,1,MATCH(1&amp;$B55,'Gastos com Pessoal'!$I$532:$AJ$532&amp;'Gastos com Pessoal'!$I$512:$AJ$512,0),10,1)),0)+_xlfn.IFNA(SUM((AZ$3&gt;='Gastos com Pessoal'!$E$513:$E$522)*(AZ$3&lt;='Gastos com Pessoal'!$F$513:$F$522)*(IF('Gastos com Pessoal'!$M$513:$M$522&lt;=AZ$3,1,0))*OFFSET('Gastos com Pessoal'!$H$512,1,MATCH(2&amp;$B55,'Gastos com Pessoal'!$I$532:$AJ$532&amp;'Gastos com Pessoal'!$I$512:$AJ$512,0),10,1)),0)+_xlfn.IFNA(SUM((AZ$3&gt;='Gastos com Pessoal'!$E$513:$E$522)*(AZ$3&lt;='Gastos com Pessoal'!$F$513:$F$522)*(IF('Gastos com Pessoal'!$S$513:$S$522&lt;=AZ$3,1,0))*OFFSET('Gastos com Pessoal'!$H$512,1,MATCH(3&amp;$B55,'Gastos com Pessoal'!$I$532:$AJ$532&amp;'Gastos com Pessoal'!$I$512:$AJ$512,0),10,1)),0)+_xlfn.IFNA(SUM((AZ$3&gt;='Gastos com Pessoal'!$E$513:$E$522)*(AZ$3&lt;='Gastos com Pessoal'!$F$513:$F$522)*(IF('Gastos com Pessoal'!$Y$513:$Y$522&lt;=AZ$3,1,0))*OFFSET('Gastos com Pessoal'!$H$512,1,MATCH(4&amp;$B55,'Gastos com Pessoal'!$I$532:$AJ$532&amp;'Gastos com Pessoal'!$I$512:$AJ$512,0),10,1)),0)+_xlfn.IFNA(SUM((AZ$3&gt;='Gastos com Pessoal'!$E$513:$E$522)*(AZ$3&lt;='Gastos com Pessoal'!$F$513:$F$522)*(IF('Gastos com Pessoal'!$AE$513:$AE$522&lt;=AZ$3,1,0))*OFFSET('Gastos com Pessoal'!$H$512,1,MATCH(5&amp;$B55,'Gastos com Pessoal'!$I$532:$AJ$532&amp;'Gastos com Pessoal'!$I$512:$AJ$512,0),10,1)),0)</f>
        <v>0</v>
      </c>
      <c r="BA55" s="188">
        <f t="array" aca="1" ref="BA55" ca="1">_xlfn.IFNA(SUM((BA$3&gt;='Gastos com Pessoal'!$E$7:$E$506)*(BA$3&lt;='Gastos com Pessoal'!$F$7:$F$506)*OFFSET('Encargos e Benefícios'!$D$5,1,MATCH($B55,'Encargos e Benefícios'!$E$5:$AB$5,0),500,1)),0)+_xlfn.IFNA(SUM((BA$3&gt;='Gastos com Pessoal'!$E$513:$E$522)*(BA$3&lt;='Gastos com Pessoal'!$F$513:$F$522)*OFFSET('Encargos e Benefícios'!$D$511,1,MATCH($B55,'Encargos e Benefícios'!$E$511:$AB$511,0),10,1)),0)+_xlfn.IFNA(SUM((BA$3&gt;='Gastos com Pessoal'!$E$7:$E$506)*(BA$3&lt;='Gastos com Pessoal'!$F$7:$F$506)*(IF('Gastos com Pessoal'!$G$7:$G$506&lt;=BA$3,1,0))*OFFSET('Gastos com Pessoal'!$H$6,1,MATCH(1&amp;$B55,'Gastos com Pessoal'!$I$532:$AJ$532&amp;'Gastos com Pessoal'!$I$6:$AJ$6,0),500,1)),0)+_xlfn.IFNA(SUM((BA$3&gt;='Gastos com Pessoal'!$E$7:$E$506)*(BA$3&lt;='Gastos com Pessoal'!$F$7:$F$506)*(IF('Gastos com Pessoal'!$M$7:$M$506&lt;=BA$3,1,0))*OFFSET('Gastos com Pessoal'!$H$6,1,MATCH(2&amp;$B55,'Gastos com Pessoal'!$I$532:$AJ$532&amp;'Gastos com Pessoal'!$I$6:$AJ$6,0),500,1)),0)+_xlfn.IFNA(SUM((BA$3&gt;='Gastos com Pessoal'!$E$7:$E$506)*(BA$3&lt;='Gastos com Pessoal'!$F$7:$F$506)*(IF('Gastos com Pessoal'!$S$7:$S$506&lt;=BA$3,1,0))*OFFSET('Gastos com Pessoal'!$H$6,1,MATCH(3&amp;$B55,'Gastos com Pessoal'!$I$532:$AJ$532&amp;'Gastos com Pessoal'!$I$6:$AJ$6,0),500,1)),0)+_xlfn.IFNA(SUM((BA$3&gt;='Gastos com Pessoal'!$E$7:$E$506)*(BA$3&lt;='Gastos com Pessoal'!$F$7:$F$506)*(IF('Gastos com Pessoal'!$Y$7:$Y$506&lt;=BA$3,1,0))*OFFSET('Gastos com Pessoal'!$H$6,1,MATCH(4&amp;$B55,'Gastos com Pessoal'!$I$532:$AJ$532&amp;'Gastos com Pessoal'!$I$6:$AJ$6,0),500,1)),0)+_xlfn.IFNA(SUM((BA$3&gt;='Gastos com Pessoal'!$E$7:$E$506)*(BA$3&lt;='Gastos com Pessoal'!$F$7:$F$506)*(IF('Gastos com Pessoal'!$AE$7:$AE$506&lt;=BA$3,1,0))*OFFSET('Gastos com Pessoal'!$H$6,1,MATCH(5&amp;$B55,'Gastos com Pessoal'!$I$532:$AJ$532&amp;'Gastos com Pessoal'!$I$6:$AJ$6,0),500,1)),0)+_xlfn.IFNA(SUM((BA$3&gt;='Gastos com Pessoal'!$E$513:$E$522)*(BA$3&lt;='Gastos com Pessoal'!$F$513:$F$522)*(IF('Gastos com Pessoal'!$G$513:$G$522&lt;=BA$3,1,0))*OFFSET('Gastos com Pessoal'!$H$512,1,MATCH(1&amp;$B55,'Gastos com Pessoal'!$I$532:$AJ$532&amp;'Gastos com Pessoal'!$I$512:$AJ$512,0),10,1)),0)+_xlfn.IFNA(SUM((BA$3&gt;='Gastos com Pessoal'!$E$513:$E$522)*(BA$3&lt;='Gastos com Pessoal'!$F$513:$F$522)*(IF('Gastos com Pessoal'!$M$513:$M$522&lt;=BA$3,1,0))*OFFSET('Gastos com Pessoal'!$H$512,1,MATCH(2&amp;$B55,'Gastos com Pessoal'!$I$532:$AJ$532&amp;'Gastos com Pessoal'!$I$512:$AJ$512,0),10,1)),0)+_xlfn.IFNA(SUM((BA$3&gt;='Gastos com Pessoal'!$E$513:$E$522)*(BA$3&lt;='Gastos com Pessoal'!$F$513:$F$522)*(IF('Gastos com Pessoal'!$S$513:$S$522&lt;=BA$3,1,0))*OFFSET('Gastos com Pessoal'!$H$512,1,MATCH(3&amp;$B55,'Gastos com Pessoal'!$I$532:$AJ$532&amp;'Gastos com Pessoal'!$I$512:$AJ$512,0),10,1)),0)+_xlfn.IFNA(SUM((BA$3&gt;='Gastos com Pessoal'!$E$513:$E$522)*(BA$3&lt;='Gastos com Pessoal'!$F$513:$F$522)*(IF('Gastos com Pessoal'!$Y$513:$Y$522&lt;=BA$3,1,0))*OFFSET('Gastos com Pessoal'!$H$512,1,MATCH(4&amp;$B55,'Gastos com Pessoal'!$I$532:$AJ$532&amp;'Gastos com Pessoal'!$I$512:$AJ$512,0),10,1)),0)+_xlfn.IFNA(SUM((BA$3&gt;='Gastos com Pessoal'!$E$513:$E$522)*(BA$3&lt;='Gastos com Pessoal'!$F$513:$F$522)*(IF('Gastos com Pessoal'!$AE$513:$AE$522&lt;=BA$3,1,0))*OFFSET('Gastos com Pessoal'!$H$512,1,MATCH(5&amp;$B55,'Gastos com Pessoal'!$I$532:$AJ$532&amp;'Gastos com Pessoal'!$I$512:$AJ$512,0),10,1)),0)</f>
        <v>0</v>
      </c>
      <c r="BB55" s="188">
        <f t="array" aca="1" ref="BB55" ca="1">_xlfn.IFNA(SUM((BB$3&gt;='Gastos com Pessoal'!$E$7:$E$506)*(BB$3&lt;='Gastos com Pessoal'!$F$7:$F$506)*OFFSET('Encargos e Benefícios'!$D$5,1,MATCH($B55,'Encargos e Benefícios'!$E$5:$AB$5,0),500,1)),0)+_xlfn.IFNA(SUM((BB$3&gt;='Gastos com Pessoal'!$E$513:$E$522)*(BB$3&lt;='Gastos com Pessoal'!$F$513:$F$522)*OFFSET('Encargos e Benefícios'!$D$511,1,MATCH($B55,'Encargos e Benefícios'!$E$511:$AB$511,0),10,1)),0)+_xlfn.IFNA(SUM((BB$3&gt;='Gastos com Pessoal'!$E$7:$E$506)*(BB$3&lt;='Gastos com Pessoal'!$F$7:$F$506)*(IF('Gastos com Pessoal'!$G$7:$G$506&lt;=BB$3,1,0))*OFFSET('Gastos com Pessoal'!$H$6,1,MATCH(1&amp;$B55,'Gastos com Pessoal'!$I$532:$AJ$532&amp;'Gastos com Pessoal'!$I$6:$AJ$6,0),500,1)),0)+_xlfn.IFNA(SUM((BB$3&gt;='Gastos com Pessoal'!$E$7:$E$506)*(BB$3&lt;='Gastos com Pessoal'!$F$7:$F$506)*(IF('Gastos com Pessoal'!$M$7:$M$506&lt;=BB$3,1,0))*OFFSET('Gastos com Pessoal'!$H$6,1,MATCH(2&amp;$B55,'Gastos com Pessoal'!$I$532:$AJ$532&amp;'Gastos com Pessoal'!$I$6:$AJ$6,0),500,1)),0)+_xlfn.IFNA(SUM((BB$3&gt;='Gastos com Pessoal'!$E$7:$E$506)*(BB$3&lt;='Gastos com Pessoal'!$F$7:$F$506)*(IF('Gastos com Pessoal'!$S$7:$S$506&lt;=BB$3,1,0))*OFFSET('Gastos com Pessoal'!$H$6,1,MATCH(3&amp;$B55,'Gastos com Pessoal'!$I$532:$AJ$532&amp;'Gastos com Pessoal'!$I$6:$AJ$6,0),500,1)),0)+_xlfn.IFNA(SUM((BB$3&gt;='Gastos com Pessoal'!$E$7:$E$506)*(BB$3&lt;='Gastos com Pessoal'!$F$7:$F$506)*(IF('Gastos com Pessoal'!$Y$7:$Y$506&lt;=BB$3,1,0))*OFFSET('Gastos com Pessoal'!$H$6,1,MATCH(4&amp;$B55,'Gastos com Pessoal'!$I$532:$AJ$532&amp;'Gastos com Pessoal'!$I$6:$AJ$6,0),500,1)),0)+_xlfn.IFNA(SUM((BB$3&gt;='Gastos com Pessoal'!$E$7:$E$506)*(BB$3&lt;='Gastos com Pessoal'!$F$7:$F$506)*(IF('Gastos com Pessoal'!$AE$7:$AE$506&lt;=BB$3,1,0))*OFFSET('Gastos com Pessoal'!$H$6,1,MATCH(5&amp;$B55,'Gastos com Pessoal'!$I$532:$AJ$532&amp;'Gastos com Pessoal'!$I$6:$AJ$6,0),500,1)),0)+_xlfn.IFNA(SUM((BB$3&gt;='Gastos com Pessoal'!$E$513:$E$522)*(BB$3&lt;='Gastos com Pessoal'!$F$513:$F$522)*(IF('Gastos com Pessoal'!$G$513:$G$522&lt;=BB$3,1,0))*OFFSET('Gastos com Pessoal'!$H$512,1,MATCH(1&amp;$B55,'Gastos com Pessoal'!$I$532:$AJ$532&amp;'Gastos com Pessoal'!$I$512:$AJ$512,0),10,1)),0)+_xlfn.IFNA(SUM((BB$3&gt;='Gastos com Pessoal'!$E$513:$E$522)*(BB$3&lt;='Gastos com Pessoal'!$F$513:$F$522)*(IF('Gastos com Pessoal'!$M$513:$M$522&lt;=BB$3,1,0))*OFFSET('Gastos com Pessoal'!$H$512,1,MATCH(2&amp;$B55,'Gastos com Pessoal'!$I$532:$AJ$532&amp;'Gastos com Pessoal'!$I$512:$AJ$512,0),10,1)),0)+_xlfn.IFNA(SUM((BB$3&gt;='Gastos com Pessoal'!$E$513:$E$522)*(BB$3&lt;='Gastos com Pessoal'!$F$513:$F$522)*(IF('Gastos com Pessoal'!$S$513:$S$522&lt;=BB$3,1,0))*OFFSET('Gastos com Pessoal'!$H$512,1,MATCH(3&amp;$B55,'Gastos com Pessoal'!$I$532:$AJ$532&amp;'Gastos com Pessoal'!$I$512:$AJ$512,0),10,1)),0)+_xlfn.IFNA(SUM((BB$3&gt;='Gastos com Pessoal'!$E$513:$E$522)*(BB$3&lt;='Gastos com Pessoal'!$F$513:$F$522)*(IF('Gastos com Pessoal'!$Y$513:$Y$522&lt;=BB$3,1,0))*OFFSET('Gastos com Pessoal'!$H$512,1,MATCH(4&amp;$B55,'Gastos com Pessoal'!$I$532:$AJ$532&amp;'Gastos com Pessoal'!$I$512:$AJ$512,0),10,1)),0)+_xlfn.IFNA(SUM((BB$3&gt;='Gastos com Pessoal'!$E$513:$E$522)*(BB$3&lt;='Gastos com Pessoal'!$F$513:$F$522)*(IF('Gastos com Pessoal'!$AE$513:$AE$522&lt;=BB$3,1,0))*OFFSET('Gastos com Pessoal'!$H$512,1,MATCH(5&amp;$B55,'Gastos com Pessoal'!$I$532:$AJ$532&amp;'Gastos com Pessoal'!$I$512:$AJ$512,0),10,1)),0)</f>
        <v>0</v>
      </c>
      <c r="BC55" s="188">
        <f t="array" aca="1" ref="BC55" ca="1">_xlfn.IFNA(SUM((BC$3&gt;='Gastos com Pessoal'!$E$7:$E$506)*(BC$3&lt;='Gastos com Pessoal'!$F$7:$F$506)*OFFSET('Encargos e Benefícios'!$D$5,1,MATCH($B55,'Encargos e Benefícios'!$E$5:$AB$5,0),500,1)),0)+_xlfn.IFNA(SUM((BC$3&gt;='Gastos com Pessoal'!$E$513:$E$522)*(BC$3&lt;='Gastos com Pessoal'!$F$513:$F$522)*OFFSET('Encargos e Benefícios'!$D$511,1,MATCH($B55,'Encargos e Benefícios'!$E$511:$AB$511,0),10,1)),0)+_xlfn.IFNA(SUM((BC$3&gt;='Gastos com Pessoal'!$E$7:$E$506)*(BC$3&lt;='Gastos com Pessoal'!$F$7:$F$506)*(IF('Gastos com Pessoal'!$G$7:$G$506&lt;=BC$3,1,0))*OFFSET('Gastos com Pessoal'!$H$6,1,MATCH(1&amp;$B55,'Gastos com Pessoal'!$I$532:$AJ$532&amp;'Gastos com Pessoal'!$I$6:$AJ$6,0),500,1)),0)+_xlfn.IFNA(SUM((BC$3&gt;='Gastos com Pessoal'!$E$7:$E$506)*(BC$3&lt;='Gastos com Pessoal'!$F$7:$F$506)*(IF('Gastos com Pessoal'!$M$7:$M$506&lt;=BC$3,1,0))*OFFSET('Gastos com Pessoal'!$H$6,1,MATCH(2&amp;$B55,'Gastos com Pessoal'!$I$532:$AJ$532&amp;'Gastos com Pessoal'!$I$6:$AJ$6,0),500,1)),0)+_xlfn.IFNA(SUM((BC$3&gt;='Gastos com Pessoal'!$E$7:$E$506)*(BC$3&lt;='Gastos com Pessoal'!$F$7:$F$506)*(IF('Gastos com Pessoal'!$S$7:$S$506&lt;=BC$3,1,0))*OFFSET('Gastos com Pessoal'!$H$6,1,MATCH(3&amp;$B55,'Gastos com Pessoal'!$I$532:$AJ$532&amp;'Gastos com Pessoal'!$I$6:$AJ$6,0),500,1)),0)+_xlfn.IFNA(SUM((BC$3&gt;='Gastos com Pessoal'!$E$7:$E$506)*(BC$3&lt;='Gastos com Pessoal'!$F$7:$F$506)*(IF('Gastos com Pessoal'!$Y$7:$Y$506&lt;=BC$3,1,0))*OFFSET('Gastos com Pessoal'!$H$6,1,MATCH(4&amp;$B55,'Gastos com Pessoal'!$I$532:$AJ$532&amp;'Gastos com Pessoal'!$I$6:$AJ$6,0),500,1)),0)+_xlfn.IFNA(SUM((BC$3&gt;='Gastos com Pessoal'!$E$7:$E$506)*(BC$3&lt;='Gastos com Pessoal'!$F$7:$F$506)*(IF('Gastos com Pessoal'!$AE$7:$AE$506&lt;=BC$3,1,0))*OFFSET('Gastos com Pessoal'!$H$6,1,MATCH(5&amp;$B55,'Gastos com Pessoal'!$I$532:$AJ$532&amp;'Gastos com Pessoal'!$I$6:$AJ$6,0),500,1)),0)+_xlfn.IFNA(SUM((BC$3&gt;='Gastos com Pessoal'!$E$513:$E$522)*(BC$3&lt;='Gastos com Pessoal'!$F$513:$F$522)*(IF('Gastos com Pessoal'!$G$513:$G$522&lt;=BC$3,1,0))*OFFSET('Gastos com Pessoal'!$H$512,1,MATCH(1&amp;$B55,'Gastos com Pessoal'!$I$532:$AJ$532&amp;'Gastos com Pessoal'!$I$512:$AJ$512,0),10,1)),0)+_xlfn.IFNA(SUM((BC$3&gt;='Gastos com Pessoal'!$E$513:$E$522)*(BC$3&lt;='Gastos com Pessoal'!$F$513:$F$522)*(IF('Gastos com Pessoal'!$M$513:$M$522&lt;=BC$3,1,0))*OFFSET('Gastos com Pessoal'!$H$512,1,MATCH(2&amp;$B55,'Gastos com Pessoal'!$I$532:$AJ$532&amp;'Gastos com Pessoal'!$I$512:$AJ$512,0),10,1)),0)+_xlfn.IFNA(SUM((BC$3&gt;='Gastos com Pessoal'!$E$513:$E$522)*(BC$3&lt;='Gastos com Pessoal'!$F$513:$F$522)*(IF('Gastos com Pessoal'!$S$513:$S$522&lt;=BC$3,1,0))*OFFSET('Gastos com Pessoal'!$H$512,1,MATCH(3&amp;$B55,'Gastos com Pessoal'!$I$532:$AJ$532&amp;'Gastos com Pessoal'!$I$512:$AJ$512,0),10,1)),0)+_xlfn.IFNA(SUM((BC$3&gt;='Gastos com Pessoal'!$E$513:$E$522)*(BC$3&lt;='Gastos com Pessoal'!$F$513:$F$522)*(IF('Gastos com Pessoal'!$Y$513:$Y$522&lt;=BC$3,1,0))*OFFSET('Gastos com Pessoal'!$H$512,1,MATCH(4&amp;$B55,'Gastos com Pessoal'!$I$532:$AJ$532&amp;'Gastos com Pessoal'!$I$512:$AJ$512,0),10,1)),0)+_xlfn.IFNA(SUM((BC$3&gt;='Gastos com Pessoal'!$E$513:$E$522)*(BC$3&lt;='Gastos com Pessoal'!$F$513:$F$522)*(IF('Gastos com Pessoal'!$AE$513:$AE$522&lt;=BC$3,1,0))*OFFSET('Gastos com Pessoal'!$H$512,1,MATCH(5&amp;$B55,'Gastos com Pessoal'!$I$532:$AJ$532&amp;'Gastos com Pessoal'!$I$512:$AJ$512,0),10,1)),0)</f>
        <v>0</v>
      </c>
      <c r="BD55" s="188">
        <f t="array" aca="1" ref="BD55" ca="1">_xlfn.IFNA(SUM((BD$3&gt;='Gastos com Pessoal'!$E$7:$E$506)*(BD$3&lt;='Gastos com Pessoal'!$F$7:$F$506)*OFFSET('Encargos e Benefícios'!$D$5,1,MATCH($B55,'Encargos e Benefícios'!$E$5:$AB$5,0),500,1)),0)+_xlfn.IFNA(SUM((BD$3&gt;='Gastos com Pessoal'!$E$513:$E$522)*(BD$3&lt;='Gastos com Pessoal'!$F$513:$F$522)*OFFSET('Encargos e Benefícios'!$D$511,1,MATCH($B55,'Encargos e Benefícios'!$E$511:$AB$511,0),10,1)),0)+_xlfn.IFNA(SUM((BD$3&gt;='Gastos com Pessoal'!$E$7:$E$506)*(BD$3&lt;='Gastos com Pessoal'!$F$7:$F$506)*(IF('Gastos com Pessoal'!$G$7:$G$506&lt;=BD$3,1,0))*OFFSET('Gastos com Pessoal'!$H$6,1,MATCH(1&amp;$B55,'Gastos com Pessoal'!$I$532:$AJ$532&amp;'Gastos com Pessoal'!$I$6:$AJ$6,0),500,1)),0)+_xlfn.IFNA(SUM((BD$3&gt;='Gastos com Pessoal'!$E$7:$E$506)*(BD$3&lt;='Gastos com Pessoal'!$F$7:$F$506)*(IF('Gastos com Pessoal'!$M$7:$M$506&lt;=BD$3,1,0))*OFFSET('Gastos com Pessoal'!$H$6,1,MATCH(2&amp;$B55,'Gastos com Pessoal'!$I$532:$AJ$532&amp;'Gastos com Pessoal'!$I$6:$AJ$6,0),500,1)),0)+_xlfn.IFNA(SUM((BD$3&gt;='Gastos com Pessoal'!$E$7:$E$506)*(BD$3&lt;='Gastos com Pessoal'!$F$7:$F$506)*(IF('Gastos com Pessoal'!$S$7:$S$506&lt;=BD$3,1,0))*OFFSET('Gastos com Pessoal'!$H$6,1,MATCH(3&amp;$B55,'Gastos com Pessoal'!$I$532:$AJ$532&amp;'Gastos com Pessoal'!$I$6:$AJ$6,0),500,1)),0)+_xlfn.IFNA(SUM((BD$3&gt;='Gastos com Pessoal'!$E$7:$E$506)*(BD$3&lt;='Gastos com Pessoal'!$F$7:$F$506)*(IF('Gastos com Pessoal'!$Y$7:$Y$506&lt;=BD$3,1,0))*OFFSET('Gastos com Pessoal'!$H$6,1,MATCH(4&amp;$B55,'Gastos com Pessoal'!$I$532:$AJ$532&amp;'Gastos com Pessoal'!$I$6:$AJ$6,0),500,1)),0)+_xlfn.IFNA(SUM((BD$3&gt;='Gastos com Pessoal'!$E$7:$E$506)*(BD$3&lt;='Gastos com Pessoal'!$F$7:$F$506)*(IF('Gastos com Pessoal'!$AE$7:$AE$506&lt;=BD$3,1,0))*OFFSET('Gastos com Pessoal'!$H$6,1,MATCH(5&amp;$B55,'Gastos com Pessoal'!$I$532:$AJ$532&amp;'Gastos com Pessoal'!$I$6:$AJ$6,0),500,1)),0)+_xlfn.IFNA(SUM((BD$3&gt;='Gastos com Pessoal'!$E$513:$E$522)*(BD$3&lt;='Gastos com Pessoal'!$F$513:$F$522)*(IF('Gastos com Pessoal'!$G$513:$G$522&lt;=BD$3,1,0))*OFFSET('Gastos com Pessoal'!$H$512,1,MATCH(1&amp;$B55,'Gastos com Pessoal'!$I$532:$AJ$532&amp;'Gastos com Pessoal'!$I$512:$AJ$512,0),10,1)),0)+_xlfn.IFNA(SUM((BD$3&gt;='Gastos com Pessoal'!$E$513:$E$522)*(BD$3&lt;='Gastos com Pessoal'!$F$513:$F$522)*(IF('Gastos com Pessoal'!$M$513:$M$522&lt;=BD$3,1,0))*OFFSET('Gastos com Pessoal'!$H$512,1,MATCH(2&amp;$B55,'Gastos com Pessoal'!$I$532:$AJ$532&amp;'Gastos com Pessoal'!$I$512:$AJ$512,0),10,1)),0)+_xlfn.IFNA(SUM((BD$3&gt;='Gastos com Pessoal'!$E$513:$E$522)*(BD$3&lt;='Gastos com Pessoal'!$F$513:$F$522)*(IF('Gastos com Pessoal'!$S$513:$S$522&lt;=BD$3,1,0))*OFFSET('Gastos com Pessoal'!$H$512,1,MATCH(3&amp;$B55,'Gastos com Pessoal'!$I$532:$AJ$532&amp;'Gastos com Pessoal'!$I$512:$AJ$512,0),10,1)),0)+_xlfn.IFNA(SUM((BD$3&gt;='Gastos com Pessoal'!$E$513:$E$522)*(BD$3&lt;='Gastos com Pessoal'!$F$513:$F$522)*(IF('Gastos com Pessoal'!$Y$513:$Y$522&lt;=BD$3,1,0))*OFFSET('Gastos com Pessoal'!$H$512,1,MATCH(4&amp;$B55,'Gastos com Pessoal'!$I$532:$AJ$532&amp;'Gastos com Pessoal'!$I$512:$AJ$512,0),10,1)),0)+_xlfn.IFNA(SUM((BD$3&gt;='Gastos com Pessoal'!$E$513:$E$522)*(BD$3&lt;='Gastos com Pessoal'!$F$513:$F$522)*(IF('Gastos com Pessoal'!$AE$513:$AE$522&lt;=BD$3,1,0))*OFFSET('Gastos com Pessoal'!$H$512,1,MATCH(5&amp;$B55,'Gastos com Pessoal'!$I$532:$AJ$532&amp;'Gastos com Pessoal'!$I$512:$AJ$512,0),10,1)),0)</f>
        <v>0</v>
      </c>
      <c r="BE55" s="188">
        <f t="array" aca="1" ref="BE55" ca="1">_xlfn.IFNA(SUM((BE$3&gt;='Gastos com Pessoal'!$E$7:$E$506)*(BE$3&lt;='Gastos com Pessoal'!$F$7:$F$506)*OFFSET('Encargos e Benefícios'!$D$5,1,MATCH($B55,'Encargos e Benefícios'!$E$5:$AB$5,0),500,1)),0)+_xlfn.IFNA(SUM((BE$3&gt;='Gastos com Pessoal'!$E$513:$E$522)*(BE$3&lt;='Gastos com Pessoal'!$F$513:$F$522)*OFFSET('Encargos e Benefícios'!$D$511,1,MATCH($B55,'Encargos e Benefícios'!$E$511:$AB$511,0),10,1)),0)+_xlfn.IFNA(SUM((BE$3&gt;='Gastos com Pessoal'!$E$7:$E$506)*(BE$3&lt;='Gastos com Pessoal'!$F$7:$F$506)*(IF('Gastos com Pessoal'!$G$7:$G$506&lt;=BE$3,1,0))*OFFSET('Gastos com Pessoal'!$H$6,1,MATCH(1&amp;$B55,'Gastos com Pessoal'!$I$532:$AJ$532&amp;'Gastos com Pessoal'!$I$6:$AJ$6,0),500,1)),0)+_xlfn.IFNA(SUM((BE$3&gt;='Gastos com Pessoal'!$E$7:$E$506)*(BE$3&lt;='Gastos com Pessoal'!$F$7:$F$506)*(IF('Gastos com Pessoal'!$M$7:$M$506&lt;=BE$3,1,0))*OFFSET('Gastos com Pessoal'!$H$6,1,MATCH(2&amp;$B55,'Gastos com Pessoal'!$I$532:$AJ$532&amp;'Gastos com Pessoal'!$I$6:$AJ$6,0),500,1)),0)+_xlfn.IFNA(SUM((BE$3&gt;='Gastos com Pessoal'!$E$7:$E$506)*(BE$3&lt;='Gastos com Pessoal'!$F$7:$F$506)*(IF('Gastos com Pessoal'!$S$7:$S$506&lt;=BE$3,1,0))*OFFSET('Gastos com Pessoal'!$H$6,1,MATCH(3&amp;$B55,'Gastos com Pessoal'!$I$532:$AJ$532&amp;'Gastos com Pessoal'!$I$6:$AJ$6,0),500,1)),0)+_xlfn.IFNA(SUM((BE$3&gt;='Gastos com Pessoal'!$E$7:$E$506)*(BE$3&lt;='Gastos com Pessoal'!$F$7:$F$506)*(IF('Gastos com Pessoal'!$Y$7:$Y$506&lt;=BE$3,1,0))*OFFSET('Gastos com Pessoal'!$H$6,1,MATCH(4&amp;$B55,'Gastos com Pessoal'!$I$532:$AJ$532&amp;'Gastos com Pessoal'!$I$6:$AJ$6,0),500,1)),0)+_xlfn.IFNA(SUM((BE$3&gt;='Gastos com Pessoal'!$E$7:$E$506)*(BE$3&lt;='Gastos com Pessoal'!$F$7:$F$506)*(IF('Gastos com Pessoal'!$AE$7:$AE$506&lt;=BE$3,1,0))*OFFSET('Gastos com Pessoal'!$H$6,1,MATCH(5&amp;$B55,'Gastos com Pessoal'!$I$532:$AJ$532&amp;'Gastos com Pessoal'!$I$6:$AJ$6,0),500,1)),0)+_xlfn.IFNA(SUM((BE$3&gt;='Gastos com Pessoal'!$E$513:$E$522)*(BE$3&lt;='Gastos com Pessoal'!$F$513:$F$522)*(IF('Gastos com Pessoal'!$G$513:$G$522&lt;=BE$3,1,0))*OFFSET('Gastos com Pessoal'!$H$512,1,MATCH(1&amp;$B55,'Gastos com Pessoal'!$I$532:$AJ$532&amp;'Gastos com Pessoal'!$I$512:$AJ$512,0),10,1)),0)+_xlfn.IFNA(SUM((BE$3&gt;='Gastos com Pessoal'!$E$513:$E$522)*(BE$3&lt;='Gastos com Pessoal'!$F$513:$F$522)*(IF('Gastos com Pessoal'!$M$513:$M$522&lt;=BE$3,1,0))*OFFSET('Gastos com Pessoal'!$H$512,1,MATCH(2&amp;$B55,'Gastos com Pessoal'!$I$532:$AJ$532&amp;'Gastos com Pessoal'!$I$512:$AJ$512,0),10,1)),0)+_xlfn.IFNA(SUM((BE$3&gt;='Gastos com Pessoal'!$E$513:$E$522)*(BE$3&lt;='Gastos com Pessoal'!$F$513:$F$522)*(IF('Gastos com Pessoal'!$S$513:$S$522&lt;=BE$3,1,0))*OFFSET('Gastos com Pessoal'!$H$512,1,MATCH(3&amp;$B55,'Gastos com Pessoal'!$I$532:$AJ$532&amp;'Gastos com Pessoal'!$I$512:$AJ$512,0),10,1)),0)+_xlfn.IFNA(SUM((BE$3&gt;='Gastos com Pessoal'!$E$513:$E$522)*(BE$3&lt;='Gastos com Pessoal'!$F$513:$F$522)*(IF('Gastos com Pessoal'!$Y$513:$Y$522&lt;=BE$3,1,0))*OFFSET('Gastos com Pessoal'!$H$512,1,MATCH(4&amp;$B55,'Gastos com Pessoal'!$I$532:$AJ$532&amp;'Gastos com Pessoal'!$I$512:$AJ$512,0),10,1)),0)+_xlfn.IFNA(SUM((BE$3&gt;='Gastos com Pessoal'!$E$513:$E$522)*(BE$3&lt;='Gastos com Pessoal'!$F$513:$F$522)*(IF('Gastos com Pessoal'!$AE$513:$AE$522&lt;=BE$3,1,0))*OFFSET('Gastos com Pessoal'!$H$512,1,MATCH(5&amp;$B55,'Gastos com Pessoal'!$I$532:$AJ$532&amp;'Gastos com Pessoal'!$I$512:$AJ$512,0),10,1)),0)</f>
        <v>0</v>
      </c>
      <c r="BF55" s="188">
        <f t="array" aca="1" ref="BF55" ca="1">_xlfn.IFNA(SUM((BF$3&gt;='Gastos com Pessoal'!$E$7:$E$506)*(BF$3&lt;='Gastos com Pessoal'!$F$7:$F$506)*OFFSET('Encargos e Benefícios'!$D$5,1,MATCH($B55,'Encargos e Benefícios'!$E$5:$AB$5,0),500,1)),0)+_xlfn.IFNA(SUM((BF$3&gt;='Gastos com Pessoal'!$E$513:$E$522)*(BF$3&lt;='Gastos com Pessoal'!$F$513:$F$522)*OFFSET('Encargos e Benefícios'!$D$511,1,MATCH($B55,'Encargos e Benefícios'!$E$511:$AB$511,0),10,1)),0)+_xlfn.IFNA(SUM((BF$3&gt;='Gastos com Pessoal'!$E$7:$E$506)*(BF$3&lt;='Gastos com Pessoal'!$F$7:$F$506)*(IF('Gastos com Pessoal'!$G$7:$G$506&lt;=BF$3,1,0))*OFFSET('Gastos com Pessoal'!$H$6,1,MATCH(1&amp;$B55,'Gastos com Pessoal'!$I$532:$AJ$532&amp;'Gastos com Pessoal'!$I$6:$AJ$6,0),500,1)),0)+_xlfn.IFNA(SUM((BF$3&gt;='Gastos com Pessoal'!$E$7:$E$506)*(BF$3&lt;='Gastos com Pessoal'!$F$7:$F$506)*(IF('Gastos com Pessoal'!$M$7:$M$506&lt;=BF$3,1,0))*OFFSET('Gastos com Pessoal'!$H$6,1,MATCH(2&amp;$B55,'Gastos com Pessoal'!$I$532:$AJ$532&amp;'Gastos com Pessoal'!$I$6:$AJ$6,0),500,1)),0)+_xlfn.IFNA(SUM((BF$3&gt;='Gastos com Pessoal'!$E$7:$E$506)*(BF$3&lt;='Gastos com Pessoal'!$F$7:$F$506)*(IF('Gastos com Pessoal'!$S$7:$S$506&lt;=BF$3,1,0))*OFFSET('Gastos com Pessoal'!$H$6,1,MATCH(3&amp;$B55,'Gastos com Pessoal'!$I$532:$AJ$532&amp;'Gastos com Pessoal'!$I$6:$AJ$6,0),500,1)),0)+_xlfn.IFNA(SUM((BF$3&gt;='Gastos com Pessoal'!$E$7:$E$506)*(BF$3&lt;='Gastos com Pessoal'!$F$7:$F$506)*(IF('Gastos com Pessoal'!$Y$7:$Y$506&lt;=BF$3,1,0))*OFFSET('Gastos com Pessoal'!$H$6,1,MATCH(4&amp;$B55,'Gastos com Pessoal'!$I$532:$AJ$532&amp;'Gastos com Pessoal'!$I$6:$AJ$6,0),500,1)),0)+_xlfn.IFNA(SUM((BF$3&gt;='Gastos com Pessoal'!$E$7:$E$506)*(BF$3&lt;='Gastos com Pessoal'!$F$7:$F$506)*(IF('Gastos com Pessoal'!$AE$7:$AE$506&lt;=BF$3,1,0))*OFFSET('Gastos com Pessoal'!$H$6,1,MATCH(5&amp;$B55,'Gastos com Pessoal'!$I$532:$AJ$532&amp;'Gastos com Pessoal'!$I$6:$AJ$6,0),500,1)),0)+_xlfn.IFNA(SUM((BF$3&gt;='Gastos com Pessoal'!$E$513:$E$522)*(BF$3&lt;='Gastos com Pessoal'!$F$513:$F$522)*(IF('Gastos com Pessoal'!$G$513:$G$522&lt;=BF$3,1,0))*OFFSET('Gastos com Pessoal'!$H$512,1,MATCH(1&amp;$B55,'Gastos com Pessoal'!$I$532:$AJ$532&amp;'Gastos com Pessoal'!$I$512:$AJ$512,0),10,1)),0)+_xlfn.IFNA(SUM((BF$3&gt;='Gastos com Pessoal'!$E$513:$E$522)*(BF$3&lt;='Gastos com Pessoal'!$F$513:$F$522)*(IF('Gastos com Pessoal'!$M$513:$M$522&lt;=BF$3,1,0))*OFFSET('Gastos com Pessoal'!$H$512,1,MATCH(2&amp;$B55,'Gastos com Pessoal'!$I$532:$AJ$532&amp;'Gastos com Pessoal'!$I$512:$AJ$512,0),10,1)),0)+_xlfn.IFNA(SUM((BF$3&gt;='Gastos com Pessoal'!$E$513:$E$522)*(BF$3&lt;='Gastos com Pessoal'!$F$513:$F$522)*(IF('Gastos com Pessoal'!$S$513:$S$522&lt;=BF$3,1,0))*OFFSET('Gastos com Pessoal'!$H$512,1,MATCH(3&amp;$B55,'Gastos com Pessoal'!$I$532:$AJ$532&amp;'Gastos com Pessoal'!$I$512:$AJ$512,0),10,1)),0)+_xlfn.IFNA(SUM((BF$3&gt;='Gastos com Pessoal'!$E$513:$E$522)*(BF$3&lt;='Gastos com Pessoal'!$F$513:$F$522)*(IF('Gastos com Pessoal'!$Y$513:$Y$522&lt;=BF$3,1,0))*OFFSET('Gastos com Pessoal'!$H$512,1,MATCH(4&amp;$B55,'Gastos com Pessoal'!$I$532:$AJ$532&amp;'Gastos com Pessoal'!$I$512:$AJ$512,0),10,1)),0)+_xlfn.IFNA(SUM((BF$3&gt;='Gastos com Pessoal'!$E$513:$E$522)*(BF$3&lt;='Gastos com Pessoal'!$F$513:$F$522)*(IF('Gastos com Pessoal'!$AE$513:$AE$522&lt;=BF$3,1,0))*OFFSET('Gastos com Pessoal'!$H$512,1,MATCH(5&amp;$B55,'Gastos com Pessoal'!$I$532:$AJ$532&amp;'Gastos com Pessoal'!$I$512:$AJ$512,0),10,1)),0)</f>
        <v>0</v>
      </c>
      <c r="BG55" s="188">
        <f t="array" aca="1" ref="BG55" ca="1">_xlfn.IFNA(SUM((BG$3&gt;='Gastos com Pessoal'!$E$7:$E$506)*(BG$3&lt;='Gastos com Pessoal'!$F$7:$F$506)*OFFSET('Encargos e Benefícios'!$D$5,1,MATCH($B55,'Encargos e Benefícios'!$E$5:$AB$5,0),500,1)),0)+_xlfn.IFNA(SUM((BG$3&gt;='Gastos com Pessoal'!$E$513:$E$522)*(BG$3&lt;='Gastos com Pessoal'!$F$513:$F$522)*OFFSET('Encargos e Benefícios'!$D$511,1,MATCH($B55,'Encargos e Benefícios'!$E$511:$AB$511,0),10,1)),0)+_xlfn.IFNA(SUM((BG$3&gt;='Gastos com Pessoal'!$E$7:$E$506)*(BG$3&lt;='Gastos com Pessoal'!$F$7:$F$506)*(IF('Gastos com Pessoal'!$G$7:$G$506&lt;=BG$3,1,0))*OFFSET('Gastos com Pessoal'!$H$6,1,MATCH(1&amp;$B55,'Gastos com Pessoal'!$I$532:$AJ$532&amp;'Gastos com Pessoal'!$I$6:$AJ$6,0),500,1)),0)+_xlfn.IFNA(SUM((BG$3&gt;='Gastos com Pessoal'!$E$7:$E$506)*(BG$3&lt;='Gastos com Pessoal'!$F$7:$F$506)*(IF('Gastos com Pessoal'!$M$7:$M$506&lt;=BG$3,1,0))*OFFSET('Gastos com Pessoal'!$H$6,1,MATCH(2&amp;$B55,'Gastos com Pessoal'!$I$532:$AJ$532&amp;'Gastos com Pessoal'!$I$6:$AJ$6,0),500,1)),0)+_xlfn.IFNA(SUM((BG$3&gt;='Gastos com Pessoal'!$E$7:$E$506)*(BG$3&lt;='Gastos com Pessoal'!$F$7:$F$506)*(IF('Gastos com Pessoal'!$S$7:$S$506&lt;=BG$3,1,0))*OFFSET('Gastos com Pessoal'!$H$6,1,MATCH(3&amp;$B55,'Gastos com Pessoal'!$I$532:$AJ$532&amp;'Gastos com Pessoal'!$I$6:$AJ$6,0),500,1)),0)+_xlfn.IFNA(SUM((BG$3&gt;='Gastos com Pessoal'!$E$7:$E$506)*(BG$3&lt;='Gastos com Pessoal'!$F$7:$F$506)*(IF('Gastos com Pessoal'!$Y$7:$Y$506&lt;=BG$3,1,0))*OFFSET('Gastos com Pessoal'!$H$6,1,MATCH(4&amp;$B55,'Gastos com Pessoal'!$I$532:$AJ$532&amp;'Gastos com Pessoal'!$I$6:$AJ$6,0),500,1)),0)+_xlfn.IFNA(SUM((BG$3&gt;='Gastos com Pessoal'!$E$7:$E$506)*(BG$3&lt;='Gastos com Pessoal'!$F$7:$F$506)*(IF('Gastos com Pessoal'!$AE$7:$AE$506&lt;=BG$3,1,0))*OFFSET('Gastos com Pessoal'!$H$6,1,MATCH(5&amp;$B55,'Gastos com Pessoal'!$I$532:$AJ$532&amp;'Gastos com Pessoal'!$I$6:$AJ$6,0),500,1)),0)+_xlfn.IFNA(SUM((BG$3&gt;='Gastos com Pessoal'!$E$513:$E$522)*(BG$3&lt;='Gastos com Pessoal'!$F$513:$F$522)*(IF('Gastos com Pessoal'!$G$513:$G$522&lt;=BG$3,1,0))*OFFSET('Gastos com Pessoal'!$H$512,1,MATCH(1&amp;$B55,'Gastos com Pessoal'!$I$532:$AJ$532&amp;'Gastos com Pessoal'!$I$512:$AJ$512,0),10,1)),0)+_xlfn.IFNA(SUM((BG$3&gt;='Gastos com Pessoal'!$E$513:$E$522)*(BG$3&lt;='Gastos com Pessoal'!$F$513:$F$522)*(IF('Gastos com Pessoal'!$M$513:$M$522&lt;=BG$3,1,0))*OFFSET('Gastos com Pessoal'!$H$512,1,MATCH(2&amp;$B55,'Gastos com Pessoal'!$I$532:$AJ$532&amp;'Gastos com Pessoal'!$I$512:$AJ$512,0),10,1)),0)+_xlfn.IFNA(SUM((BG$3&gt;='Gastos com Pessoal'!$E$513:$E$522)*(BG$3&lt;='Gastos com Pessoal'!$F$513:$F$522)*(IF('Gastos com Pessoal'!$S$513:$S$522&lt;=BG$3,1,0))*OFFSET('Gastos com Pessoal'!$H$512,1,MATCH(3&amp;$B55,'Gastos com Pessoal'!$I$532:$AJ$532&amp;'Gastos com Pessoal'!$I$512:$AJ$512,0),10,1)),0)+_xlfn.IFNA(SUM((BG$3&gt;='Gastos com Pessoal'!$E$513:$E$522)*(BG$3&lt;='Gastos com Pessoal'!$F$513:$F$522)*(IF('Gastos com Pessoal'!$Y$513:$Y$522&lt;=BG$3,1,0))*OFFSET('Gastos com Pessoal'!$H$512,1,MATCH(4&amp;$B55,'Gastos com Pessoal'!$I$532:$AJ$532&amp;'Gastos com Pessoal'!$I$512:$AJ$512,0),10,1)),0)+_xlfn.IFNA(SUM((BG$3&gt;='Gastos com Pessoal'!$E$513:$E$522)*(BG$3&lt;='Gastos com Pessoal'!$F$513:$F$522)*(IF('Gastos com Pessoal'!$AE$513:$AE$522&lt;=BG$3,1,0))*OFFSET('Gastos com Pessoal'!$H$512,1,MATCH(5&amp;$B55,'Gastos com Pessoal'!$I$532:$AJ$532&amp;'Gastos com Pessoal'!$I$512:$AJ$512,0),10,1)),0)</f>
        <v>0</v>
      </c>
      <c r="BH55" s="188">
        <f t="array" aca="1" ref="BH55" ca="1">_xlfn.IFNA(SUM((BH$3&gt;='Gastos com Pessoal'!$E$7:$E$506)*(BH$3&lt;='Gastos com Pessoal'!$F$7:$F$506)*OFFSET('Encargos e Benefícios'!$D$5,1,MATCH($B55,'Encargos e Benefícios'!$E$5:$AB$5,0),500,1)),0)+_xlfn.IFNA(SUM((BH$3&gt;='Gastos com Pessoal'!$E$513:$E$522)*(BH$3&lt;='Gastos com Pessoal'!$F$513:$F$522)*OFFSET('Encargos e Benefícios'!$D$511,1,MATCH($B55,'Encargos e Benefícios'!$E$511:$AB$511,0),10,1)),0)+_xlfn.IFNA(SUM((BH$3&gt;='Gastos com Pessoal'!$E$7:$E$506)*(BH$3&lt;='Gastos com Pessoal'!$F$7:$F$506)*(IF('Gastos com Pessoal'!$G$7:$G$506&lt;=BH$3,1,0))*OFFSET('Gastos com Pessoal'!$H$6,1,MATCH(1&amp;$B55,'Gastos com Pessoal'!$I$532:$AJ$532&amp;'Gastos com Pessoal'!$I$6:$AJ$6,0),500,1)),0)+_xlfn.IFNA(SUM((BH$3&gt;='Gastos com Pessoal'!$E$7:$E$506)*(BH$3&lt;='Gastos com Pessoal'!$F$7:$F$506)*(IF('Gastos com Pessoal'!$M$7:$M$506&lt;=BH$3,1,0))*OFFSET('Gastos com Pessoal'!$H$6,1,MATCH(2&amp;$B55,'Gastos com Pessoal'!$I$532:$AJ$532&amp;'Gastos com Pessoal'!$I$6:$AJ$6,0),500,1)),0)+_xlfn.IFNA(SUM((BH$3&gt;='Gastos com Pessoal'!$E$7:$E$506)*(BH$3&lt;='Gastos com Pessoal'!$F$7:$F$506)*(IF('Gastos com Pessoal'!$S$7:$S$506&lt;=BH$3,1,0))*OFFSET('Gastos com Pessoal'!$H$6,1,MATCH(3&amp;$B55,'Gastos com Pessoal'!$I$532:$AJ$532&amp;'Gastos com Pessoal'!$I$6:$AJ$6,0),500,1)),0)+_xlfn.IFNA(SUM((BH$3&gt;='Gastos com Pessoal'!$E$7:$E$506)*(BH$3&lt;='Gastos com Pessoal'!$F$7:$F$506)*(IF('Gastos com Pessoal'!$Y$7:$Y$506&lt;=BH$3,1,0))*OFFSET('Gastos com Pessoal'!$H$6,1,MATCH(4&amp;$B55,'Gastos com Pessoal'!$I$532:$AJ$532&amp;'Gastos com Pessoal'!$I$6:$AJ$6,0),500,1)),0)+_xlfn.IFNA(SUM((BH$3&gt;='Gastos com Pessoal'!$E$7:$E$506)*(BH$3&lt;='Gastos com Pessoal'!$F$7:$F$506)*(IF('Gastos com Pessoal'!$AE$7:$AE$506&lt;=BH$3,1,0))*OFFSET('Gastos com Pessoal'!$H$6,1,MATCH(5&amp;$B55,'Gastos com Pessoal'!$I$532:$AJ$532&amp;'Gastos com Pessoal'!$I$6:$AJ$6,0),500,1)),0)+_xlfn.IFNA(SUM((BH$3&gt;='Gastos com Pessoal'!$E$513:$E$522)*(BH$3&lt;='Gastos com Pessoal'!$F$513:$F$522)*(IF('Gastos com Pessoal'!$G$513:$G$522&lt;=BH$3,1,0))*OFFSET('Gastos com Pessoal'!$H$512,1,MATCH(1&amp;$B55,'Gastos com Pessoal'!$I$532:$AJ$532&amp;'Gastos com Pessoal'!$I$512:$AJ$512,0),10,1)),0)+_xlfn.IFNA(SUM((BH$3&gt;='Gastos com Pessoal'!$E$513:$E$522)*(BH$3&lt;='Gastos com Pessoal'!$F$513:$F$522)*(IF('Gastos com Pessoal'!$M$513:$M$522&lt;=BH$3,1,0))*OFFSET('Gastos com Pessoal'!$H$512,1,MATCH(2&amp;$B55,'Gastos com Pessoal'!$I$532:$AJ$532&amp;'Gastos com Pessoal'!$I$512:$AJ$512,0),10,1)),0)+_xlfn.IFNA(SUM((BH$3&gt;='Gastos com Pessoal'!$E$513:$E$522)*(BH$3&lt;='Gastos com Pessoal'!$F$513:$F$522)*(IF('Gastos com Pessoal'!$S$513:$S$522&lt;=BH$3,1,0))*OFFSET('Gastos com Pessoal'!$H$512,1,MATCH(3&amp;$B55,'Gastos com Pessoal'!$I$532:$AJ$532&amp;'Gastos com Pessoal'!$I$512:$AJ$512,0),10,1)),0)+_xlfn.IFNA(SUM((BH$3&gt;='Gastos com Pessoal'!$E$513:$E$522)*(BH$3&lt;='Gastos com Pessoal'!$F$513:$F$522)*(IF('Gastos com Pessoal'!$Y$513:$Y$522&lt;=BH$3,1,0))*OFFSET('Gastos com Pessoal'!$H$512,1,MATCH(4&amp;$B55,'Gastos com Pessoal'!$I$532:$AJ$532&amp;'Gastos com Pessoal'!$I$512:$AJ$512,0),10,1)),0)+_xlfn.IFNA(SUM((BH$3&gt;='Gastos com Pessoal'!$E$513:$E$522)*(BH$3&lt;='Gastos com Pessoal'!$F$513:$F$522)*(IF('Gastos com Pessoal'!$AE$513:$AE$522&lt;=BH$3,1,0))*OFFSET('Gastos com Pessoal'!$H$512,1,MATCH(5&amp;$B55,'Gastos com Pessoal'!$I$532:$AJ$532&amp;'Gastos com Pessoal'!$I$512:$AJ$512,0),10,1)),0)</f>
        <v>0</v>
      </c>
      <c r="BI55" s="188">
        <f t="array" aca="1" ref="BI55" ca="1">_xlfn.IFNA(SUM((BI$3&gt;='Gastos com Pessoal'!$E$7:$E$506)*(BI$3&lt;='Gastos com Pessoal'!$F$7:$F$506)*OFFSET('Encargos e Benefícios'!$D$5,1,MATCH($B55,'Encargos e Benefícios'!$E$5:$AB$5,0),500,1)),0)+_xlfn.IFNA(SUM((BI$3&gt;='Gastos com Pessoal'!$E$513:$E$522)*(BI$3&lt;='Gastos com Pessoal'!$F$513:$F$522)*OFFSET('Encargos e Benefícios'!$D$511,1,MATCH($B55,'Encargos e Benefícios'!$E$511:$AB$511,0),10,1)),0)+_xlfn.IFNA(SUM((BI$3&gt;='Gastos com Pessoal'!$E$7:$E$506)*(BI$3&lt;='Gastos com Pessoal'!$F$7:$F$506)*(IF('Gastos com Pessoal'!$G$7:$G$506&lt;=BI$3,1,0))*OFFSET('Gastos com Pessoal'!$H$6,1,MATCH(1&amp;$B55,'Gastos com Pessoal'!$I$532:$AJ$532&amp;'Gastos com Pessoal'!$I$6:$AJ$6,0),500,1)),0)+_xlfn.IFNA(SUM((BI$3&gt;='Gastos com Pessoal'!$E$7:$E$506)*(BI$3&lt;='Gastos com Pessoal'!$F$7:$F$506)*(IF('Gastos com Pessoal'!$M$7:$M$506&lt;=BI$3,1,0))*OFFSET('Gastos com Pessoal'!$H$6,1,MATCH(2&amp;$B55,'Gastos com Pessoal'!$I$532:$AJ$532&amp;'Gastos com Pessoal'!$I$6:$AJ$6,0),500,1)),0)+_xlfn.IFNA(SUM((BI$3&gt;='Gastos com Pessoal'!$E$7:$E$506)*(BI$3&lt;='Gastos com Pessoal'!$F$7:$F$506)*(IF('Gastos com Pessoal'!$S$7:$S$506&lt;=BI$3,1,0))*OFFSET('Gastos com Pessoal'!$H$6,1,MATCH(3&amp;$B55,'Gastos com Pessoal'!$I$532:$AJ$532&amp;'Gastos com Pessoal'!$I$6:$AJ$6,0),500,1)),0)+_xlfn.IFNA(SUM((BI$3&gt;='Gastos com Pessoal'!$E$7:$E$506)*(BI$3&lt;='Gastos com Pessoal'!$F$7:$F$506)*(IF('Gastos com Pessoal'!$Y$7:$Y$506&lt;=BI$3,1,0))*OFFSET('Gastos com Pessoal'!$H$6,1,MATCH(4&amp;$B55,'Gastos com Pessoal'!$I$532:$AJ$532&amp;'Gastos com Pessoal'!$I$6:$AJ$6,0),500,1)),0)+_xlfn.IFNA(SUM((BI$3&gt;='Gastos com Pessoal'!$E$7:$E$506)*(BI$3&lt;='Gastos com Pessoal'!$F$7:$F$506)*(IF('Gastos com Pessoal'!$AE$7:$AE$506&lt;=BI$3,1,0))*OFFSET('Gastos com Pessoal'!$H$6,1,MATCH(5&amp;$B55,'Gastos com Pessoal'!$I$532:$AJ$532&amp;'Gastos com Pessoal'!$I$6:$AJ$6,0),500,1)),0)+_xlfn.IFNA(SUM((BI$3&gt;='Gastos com Pessoal'!$E$513:$E$522)*(BI$3&lt;='Gastos com Pessoal'!$F$513:$F$522)*(IF('Gastos com Pessoal'!$G$513:$G$522&lt;=BI$3,1,0))*OFFSET('Gastos com Pessoal'!$H$512,1,MATCH(1&amp;$B55,'Gastos com Pessoal'!$I$532:$AJ$532&amp;'Gastos com Pessoal'!$I$512:$AJ$512,0),10,1)),0)+_xlfn.IFNA(SUM((BI$3&gt;='Gastos com Pessoal'!$E$513:$E$522)*(BI$3&lt;='Gastos com Pessoal'!$F$513:$F$522)*(IF('Gastos com Pessoal'!$M$513:$M$522&lt;=BI$3,1,0))*OFFSET('Gastos com Pessoal'!$H$512,1,MATCH(2&amp;$B55,'Gastos com Pessoal'!$I$532:$AJ$532&amp;'Gastos com Pessoal'!$I$512:$AJ$512,0),10,1)),0)+_xlfn.IFNA(SUM((BI$3&gt;='Gastos com Pessoal'!$E$513:$E$522)*(BI$3&lt;='Gastos com Pessoal'!$F$513:$F$522)*(IF('Gastos com Pessoal'!$S$513:$S$522&lt;=BI$3,1,0))*OFFSET('Gastos com Pessoal'!$H$512,1,MATCH(3&amp;$B55,'Gastos com Pessoal'!$I$532:$AJ$532&amp;'Gastos com Pessoal'!$I$512:$AJ$512,0),10,1)),0)+_xlfn.IFNA(SUM((BI$3&gt;='Gastos com Pessoal'!$E$513:$E$522)*(BI$3&lt;='Gastos com Pessoal'!$F$513:$F$522)*(IF('Gastos com Pessoal'!$Y$513:$Y$522&lt;=BI$3,1,0))*OFFSET('Gastos com Pessoal'!$H$512,1,MATCH(4&amp;$B55,'Gastos com Pessoal'!$I$532:$AJ$532&amp;'Gastos com Pessoal'!$I$512:$AJ$512,0),10,1)),0)+_xlfn.IFNA(SUM((BI$3&gt;='Gastos com Pessoal'!$E$513:$E$522)*(BI$3&lt;='Gastos com Pessoal'!$F$513:$F$522)*(IF('Gastos com Pessoal'!$AE$513:$AE$522&lt;=BI$3,1,0))*OFFSET('Gastos com Pessoal'!$H$512,1,MATCH(5&amp;$B55,'Gastos com Pessoal'!$I$532:$AJ$532&amp;'Gastos com Pessoal'!$I$512:$AJ$512,0),10,1)),0)</f>
        <v>0</v>
      </c>
      <c r="BJ55" s="188">
        <f t="array" aca="1" ref="BJ55" ca="1">_xlfn.IFNA(SUM((BJ$3&gt;='Gastos com Pessoal'!$E$7:$E$506)*(BJ$3&lt;='Gastos com Pessoal'!$F$7:$F$506)*OFFSET('Encargos e Benefícios'!$D$5,1,MATCH($B55,'Encargos e Benefícios'!$E$5:$AB$5,0),500,1)),0)+_xlfn.IFNA(SUM((BJ$3&gt;='Gastos com Pessoal'!$E$513:$E$522)*(BJ$3&lt;='Gastos com Pessoal'!$F$513:$F$522)*OFFSET('Encargos e Benefícios'!$D$511,1,MATCH($B55,'Encargos e Benefícios'!$E$511:$AB$511,0),10,1)),0)+_xlfn.IFNA(SUM((BJ$3&gt;='Gastos com Pessoal'!$E$7:$E$506)*(BJ$3&lt;='Gastos com Pessoal'!$F$7:$F$506)*(IF('Gastos com Pessoal'!$G$7:$G$506&lt;=BJ$3,1,0))*OFFSET('Gastos com Pessoal'!$H$6,1,MATCH(1&amp;$B55,'Gastos com Pessoal'!$I$532:$AJ$532&amp;'Gastos com Pessoal'!$I$6:$AJ$6,0),500,1)),0)+_xlfn.IFNA(SUM((BJ$3&gt;='Gastos com Pessoal'!$E$7:$E$506)*(BJ$3&lt;='Gastos com Pessoal'!$F$7:$F$506)*(IF('Gastos com Pessoal'!$M$7:$M$506&lt;=BJ$3,1,0))*OFFSET('Gastos com Pessoal'!$H$6,1,MATCH(2&amp;$B55,'Gastos com Pessoal'!$I$532:$AJ$532&amp;'Gastos com Pessoal'!$I$6:$AJ$6,0),500,1)),0)+_xlfn.IFNA(SUM((BJ$3&gt;='Gastos com Pessoal'!$E$7:$E$506)*(BJ$3&lt;='Gastos com Pessoal'!$F$7:$F$506)*(IF('Gastos com Pessoal'!$S$7:$S$506&lt;=BJ$3,1,0))*OFFSET('Gastos com Pessoal'!$H$6,1,MATCH(3&amp;$B55,'Gastos com Pessoal'!$I$532:$AJ$532&amp;'Gastos com Pessoal'!$I$6:$AJ$6,0),500,1)),0)+_xlfn.IFNA(SUM((BJ$3&gt;='Gastos com Pessoal'!$E$7:$E$506)*(BJ$3&lt;='Gastos com Pessoal'!$F$7:$F$506)*(IF('Gastos com Pessoal'!$Y$7:$Y$506&lt;=BJ$3,1,0))*OFFSET('Gastos com Pessoal'!$H$6,1,MATCH(4&amp;$B55,'Gastos com Pessoal'!$I$532:$AJ$532&amp;'Gastos com Pessoal'!$I$6:$AJ$6,0),500,1)),0)+_xlfn.IFNA(SUM((BJ$3&gt;='Gastos com Pessoal'!$E$7:$E$506)*(BJ$3&lt;='Gastos com Pessoal'!$F$7:$F$506)*(IF('Gastos com Pessoal'!$AE$7:$AE$506&lt;=BJ$3,1,0))*OFFSET('Gastos com Pessoal'!$H$6,1,MATCH(5&amp;$B55,'Gastos com Pessoal'!$I$532:$AJ$532&amp;'Gastos com Pessoal'!$I$6:$AJ$6,0),500,1)),0)+_xlfn.IFNA(SUM((BJ$3&gt;='Gastos com Pessoal'!$E$513:$E$522)*(BJ$3&lt;='Gastos com Pessoal'!$F$513:$F$522)*(IF('Gastos com Pessoal'!$G$513:$G$522&lt;=BJ$3,1,0))*OFFSET('Gastos com Pessoal'!$H$512,1,MATCH(1&amp;$B55,'Gastos com Pessoal'!$I$532:$AJ$532&amp;'Gastos com Pessoal'!$I$512:$AJ$512,0),10,1)),0)+_xlfn.IFNA(SUM((BJ$3&gt;='Gastos com Pessoal'!$E$513:$E$522)*(BJ$3&lt;='Gastos com Pessoal'!$F$513:$F$522)*(IF('Gastos com Pessoal'!$M$513:$M$522&lt;=BJ$3,1,0))*OFFSET('Gastos com Pessoal'!$H$512,1,MATCH(2&amp;$B55,'Gastos com Pessoal'!$I$532:$AJ$532&amp;'Gastos com Pessoal'!$I$512:$AJ$512,0),10,1)),0)+_xlfn.IFNA(SUM((BJ$3&gt;='Gastos com Pessoal'!$E$513:$E$522)*(BJ$3&lt;='Gastos com Pessoal'!$F$513:$F$522)*(IF('Gastos com Pessoal'!$S$513:$S$522&lt;=BJ$3,1,0))*OFFSET('Gastos com Pessoal'!$H$512,1,MATCH(3&amp;$B55,'Gastos com Pessoal'!$I$532:$AJ$532&amp;'Gastos com Pessoal'!$I$512:$AJ$512,0),10,1)),0)+_xlfn.IFNA(SUM((BJ$3&gt;='Gastos com Pessoal'!$E$513:$E$522)*(BJ$3&lt;='Gastos com Pessoal'!$F$513:$F$522)*(IF('Gastos com Pessoal'!$Y$513:$Y$522&lt;=BJ$3,1,0))*OFFSET('Gastos com Pessoal'!$H$512,1,MATCH(4&amp;$B55,'Gastos com Pessoal'!$I$532:$AJ$532&amp;'Gastos com Pessoal'!$I$512:$AJ$512,0),10,1)),0)+_xlfn.IFNA(SUM((BJ$3&gt;='Gastos com Pessoal'!$E$513:$E$522)*(BJ$3&lt;='Gastos com Pessoal'!$F$513:$F$522)*(IF('Gastos com Pessoal'!$AE$513:$AE$522&lt;=BJ$3,1,0))*OFFSET('Gastos com Pessoal'!$H$512,1,MATCH(5&amp;$B55,'Gastos com Pessoal'!$I$532:$AJ$532&amp;'Gastos com Pessoal'!$I$512:$AJ$512,0),10,1)),0)</f>
        <v>0</v>
      </c>
      <c r="BK55" s="189">
        <f t="shared" ca="1" si="18"/>
        <v>0</v>
      </c>
      <c r="BL55" s="136">
        <f t="shared" ca="1" si="19"/>
        <v>0</v>
      </c>
    </row>
    <row r="56" spans="1:64" s="160" customFormat="1" ht="23.25" customHeight="1">
      <c r="A56" s="80" t="s">
        <v>194</v>
      </c>
      <c r="B56" s="220" t="s">
        <v>195</v>
      </c>
      <c r="C56" s="188">
        <f t="array" aca="1" ref="C56" ca="1">_xlfn.IFNA(SUM((C$3&gt;='Gastos com Pessoal'!$E$7:$E$506)*(C$3&lt;='Gastos com Pessoal'!$F$7:$F$506)*OFFSET('Encargos e Benefícios'!$D$5,1,MATCH($B56,'Encargos e Benefícios'!$E$5:$AB$5,0),500,1)),0)+_xlfn.IFNA(SUM((C$3&gt;='Gastos com Pessoal'!$E$513:$E$522)*(C$3&lt;='Gastos com Pessoal'!$F$513:$F$522)*OFFSET('Encargos e Benefícios'!$D$511,1,MATCH($B56,'Encargos e Benefícios'!$E$511:$AB$511,0),10,1)),0)+_xlfn.IFNA(SUM((C$3&gt;='Gastos com Pessoal'!$E$7:$E$506)*(C$3&lt;='Gastos com Pessoal'!$F$7:$F$506)*(IF('Gastos com Pessoal'!$G$7:$G$506&lt;=C$3,1,0))*OFFSET('Gastos com Pessoal'!$H$6,1,MATCH(1&amp;$B56,'Gastos com Pessoal'!$I$532:$AJ$532&amp;'Gastos com Pessoal'!$I$6:$AJ$6,0),500,1)),0)+_xlfn.IFNA(SUM((C$3&gt;='Gastos com Pessoal'!$E$7:$E$506)*(C$3&lt;='Gastos com Pessoal'!$F$7:$F$506)*(IF('Gastos com Pessoal'!$M$7:$M$506&lt;=C$3,1,0))*OFFSET('Gastos com Pessoal'!$H$6,1,MATCH(2&amp;$B56,'Gastos com Pessoal'!$I$532:$AJ$532&amp;'Gastos com Pessoal'!$I$6:$AJ$6,0),500,1)),0)+_xlfn.IFNA(SUM((C$3&gt;='Gastos com Pessoal'!$E$7:$E$506)*(C$3&lt;='Gastos com Pessoal'!$F$7:$F$506)*(IF('Gastos com Pessoal'!$S$7:$S$506&lt;=C$3,1,0))*OFFSET('Gastos com Pessoal'!$H$6,1,MATCH(3&amp;$B56,'Gastos com Pessoal'!$I$532:$AJ$532&amp;'Gastos com Pessoal'!$I$6:$AJ$6,0),500,1)),0)+_xlfn.IFNA(SUM((C$3&gt;='Gastos com Pessoal'!$E$7:$E$506)*(C$3&lt;='Gastos com Pessoal'!$F$7:$F$506)*(IF('Gastos com Pessoal'!$Y$7:$Y$506&lt;=C$3,1,0))*OFFSET('Gastos com Pessoal'!$H$6,1,MATCH(4&amp;$B56,'Gastos com Pessoal'!$I$532:$AJ$532&amp;'Gastos com Pessoal'!$I$6:$AJ$6,0),500,1)),0)+_xlfn.IFNA(SUM((C$3&gt;='Gastos com Pessoal'!$E$7:$E$506)*(C$3&lt;='Gastos com Pessoal'!$F$7:$F$506)*(IF('Gastos com Pessoal'!$AE$7:$AE$506&lt;=C$3,1,0))*OFFSET('Gastos com Pessoal'!$H$6,1,MATCH(5&amp;$B56,'Gastos com Pessoal'!$I$532:$AJ$532&amp;'Gastos com Pessoal'!$I$6:$AJ$6,0),500,1)),0)+_xlfn.IFNA(SUM((C$3&gt;='Gastos com Pessoal'!$E$513:$E$522)*(C$3&lt;='Gastos com Pessoal'!$F$513:$F$522)*(IF('Gastos com Pessoal'!$G$513:$G$522&lt;=C$3,1,0))*OFFSET('Gastos com Pessoal'!$H$512,1,MATCH(1&amp;$B56,'Gastos com Pessoal'!$I$532:$AJ$532&amp;'Gastos com Pessoal'!$I$512:$AJ$512,0),10,1)),0)+_xlfn.IFNA(SUM((C$3&gt;='Gastos com Pessoal'!$E$513:$E$522)*(C$3&lt;='Gastos com Pessoal'!$F$513:$F$522)*(IF('Gastos com Pessoal'!$M$513:$M$522&lt;=C$3,1,0))*OFFSET('Gastos com Pessoal'!$H$512,1,MATCH(2&amp;$B56,'Gastos com Pessoal'!$I$532:$AJ$532&amp;'Gastos com Pessoal'!$I$512:$AJ$512,0),10,1)),0)+_xlfn.IFNA(SUM((C$3&gt;='Gastos com Pessoal'!$E$513:$E$522)*(C$3&lt;='Gastos com Pessoal'!$F$513:$F$522)*(IF('Gastos com Pessoal'!$S$513:$S$522&lt;=C$3,1,0))*OFFSET('Gastos com Pessoal'!$H$512,1,MATCH(3&amp;$B56,'Gastos com Pessoal'!$I$532:$AJ$532&amp;'Gastos com Pessoal'!$I$512:$AJ$512,0),10,1)),0)+_xlfn.IFNA(SUM((C$3&gt;='Gastos com Pessoal'!$E$513:$E$522)*(C$3&lt;='Gastos com Pessoal'!$F$513:$F$522)*(IF('Gastos com Pessoal'!$Y$513:$Y$522&lt;=C$3,1,0))*OFFSET('Gastos com Pessoal'!$H$512,1,MATCH(4&amp;$B56,'Gastos com Pessoal'!$I$532:$AJ$532&amp;'Gastos com Pessoal'!$I$512:$AJ$512,0),10,1)),0)+_xlfn.IFNA(SUM((C$3&gt;='Gastos com Pessoal'!$E$513:$E$522)*(C$3&lt;='Gastos com Pessoal'!$F$513:$F$522)*(IF('Gastos com Pessoal'!$AE$513:$AE$522&lt;=C$3,1,0))*OFFSET('Gastos com Pessoal'!$H$512,1,MATCH(5&amp;$B56,'Gastos com Pessoal'!$I$532:$AJ$532&amp;'Gastos com Pessoal'!$I$512:$AJ$512,0),10,1)),0)</f>
        <v>128950.11999999944</v>
      </c>
      <c r="D56" s="188">
        <f t="array" aca="1" ref="D56" ca="1">_xlfn.IFNA(SUM((D$3&gt;='Gastos com Pessoal'!$E$7:$E$506)*(D$3&lt;='Gastos com Pessoal'!$F$7:$F$506)*OFFSET('Encargos e Benefícios'!$D$5,1,MATCH($B56,'Encargos e Benefícios'!$E$5:$AB$5,0),500,1)),0)+_xlfn.IFNA(SUM((D$3&gt;='Gastos com Pessoal'!$E$513:$E$522)*(D$3&lt;='Gastos com Pessoal'!$F$513:$F$522)*OFFSET('Encargos e Benefícios'!$D$511,1,MATCH($B56,'Encargos e Benefícios'!$E$511:$AB$511,0),10,1)),0)+_xlfn.IFNA(SUM((D$3&gt;='Gastos com Pessoal'!$E$7:$E$506)*(D$3&lt;='Gastos com Pessoal'!$F$7:$F$506)*(IF('Gastos com Pessoal'!$G$7:$G$506&lt;=D$3,1,0))*OFFSET('Gastos com Pessoal'!$H$6,1,MATCH(1&amp;$B56,'Gastos com Pessoal'!$I$532:$AJ$532&amp;'Gastos com Pessoal'!$I$6:$AJ$6,0),500,1)),0)+_xlfn.IFNA(SUM((D$3&gt;='Gastos com Pessoal'!$E$7:$E$506)*(D$3&lt;='Gastos com Pessoal'!$F$7:$F$506)*(IF('Gastos com Pessoal'!$M$7:$M$506&lt;=D$3,1,0))*OFFSET('Gastos com Pessoal'!$H$6,1,MATCH(2&amp;$B56,'Gastos com Pessoal'!$I$532:$AJ$532&amp;'Gastos com Pessoal'!$I$6:$AJ$6,0),500,1)),0)+_xlfn.IFNA(SUM((D$3&gt;='Gastos com Pessoal'!$E$7:$E$506)*(D$3&lt;='Gastos com Pessoal'!$F$7:$F$506)*(IF('Gastos com Pessoal'!$S$7:$S$506&lt;=D$3,1,0))*OFFSET('Gastos com Pessoal'!$H$6,1,MATCH(3&amp;$B56,'Gastos com Pessoal'!$I$532:$AJ$532&amp;'Gastos com Pessoal'!$I$6:$AJ$6,0),500,1)),0)+_xlfn.IFNA(SUM((D$3&gt;='Gastos com Pessoal'!$E$7:$E$506)*(D$3&lt;='Gastos com Pessoal'!$F$7:$F$506)*(IF('Gastos com Pessoal'!$Y$7:$Y$506&lt;=D$3,1,0))*OFFSET('Gastos com Pessoal'!$H$6,1,MATCH(4&amp;$B56,'Gastos com Pessoal'!$I$532:$AJ$532&amp;'Gastos com Pessoal'!$I$6:$AJ$6,0),500,1)),0)+_xlfn.IFNA(SUM((D$3&gt;='Gastos com Pessoal'!$E$7:$E$506)*(D$3&lt;='Gastos com Pessoal'!$F$7:$F$506)*(IF('Gastos com Pessoal'!$AE$7:$AE$506&lt;=D$3,1,0))*OFFSET('Gastos com Pessoal'!$H$6,1,MATCH(5&amp;$B56,'Gastos com Pessoal'!$I$532:$AJ$532&amp;'Gastos com Pessoal'!$I$6:$AJ$6,0),500,1)),0)+_xlfn.IFNA(SUM((D$3&gt;='Gastos com Pessoal'!$E$513:$E$522)*(D$3&lt;='Gastos com Pessoal'!$F$513:$F$522)*(IF('Gastos com Pessoal'!$G$513:$G$522&lt;=D$3,1,0))*OFFSET('Gastos com Pessoal'!$H$512,1,MATCH(1&amp;$B56,'Gastos com Pessoal'!$I$532:$AJ$532&amp;'Gastos com Pessoal'!$I$512:$AJ$512,0),10,1)),0)+_xlfn.IFNA(SUM((D$3&gt;='Gastos com Pessoal'!$E$513:$E$522)*(D$3&lt;='Gastos com Pessoal'!$F$513:$F$522)*(IF('Gastos com Pessoal'!$M$513:$M$522&lt;=D$3,1,0))*OFFSET('Gastos com Pessoal'!$H$512,1,MATCH(2&amp;$B56,'Gastos com Pessoal'!$I$532:$AJ$532&amp;'Gastos com Pessoal'!$I$512:$AJ$512,0),10,1)),0)+_xlfn.IFNA(SUM((D$3&gt;='Gastos com Pessoal'!$E$513:$E$522)*(D$3&lt;='Gastos com Pessoal'!$F$513:$F$522)*(IF('Gastos com Pessoal'!$S$513:$S$522&lt;=D$3,1,0))*OFFSET('Gastos com Pessoal'!$H$512,1,MATCH(3&amp;$B56,'Gastos com Pessoal'!$I$532:$AJ$532&amp;'Gastos com Pessoal'!$I$512:$AJ$512,0),10,1)),0)+_xlfn.IFNA(SUM((D$3&gt;='Gastos com Pessoal'!$E$513:$E$522)*(D$3&lt;='Gastos com Pessoal'!$F$513:$F$522)*(IF('Gastos com Pessoal'!$Y$513:$Y$522&lt;=D$3,1,0))*OFFSET('Gastos com Pessoal'!$H$512,1,MATCH(4&amp;$B56,'Gastos com Pessoal'!$I$532:$AJ$532&amp;'Gastos com Pessoal'!$I$512:$AJ$512,0),10,1)),0)+_xlfn.IFNA(SUM((D$3&gt;='Gastos com Pessoal'!$E$513:$E$522)*(D$3&lt;='Gastos com Pessoal'!$F$513:$F$522)*(IF('Gastos com Pessoal'!$AE$513:$AE$522&lt;=D$3,1,0))*OFFSET('Gastos com Pessoal'!$H$512,1,MATCH(5&amp;$B56,'Gastos com Pessoal'!$I$532:$AJ$532&amp;'Gastos com Pessoal'!$I$512:$AJ$512,0),10,1)),0)</f>
        <v>129411.47999999943</v>
      </c>
      <c r="E56" s="188">
        <f t="array" aca="1" ref="E56" ca="1">_xlfn.IFNA(SUM((E$3&gt;='Gastos com Pessoal'!$E$7:$E$506)*(E$3&lt;='Gastos com Pessoal'!$F$7:$F$506)*OFFSET('Encargos e Benefícios'!$D$5,1,MATCH($B56,'Encargos e Benefícios'!$E$5:$AB$5,0),500,1)),0)+_xlfn.IFNA(SUM((E$3&gt;='Gastos com Pessoal'!$E$513:$E$522)*(E$3&lt;='Gastos com Pessoal'!$F$513:$F$522)*OFFSET('Encargos e Benefícios'!$D$511,1,MATCH($B56,'Encargos e Benefícios'!$E$511:$AB$511,0),10,1)),0)+_xlfn.IFNA(SUM((E$3&gt;='Gastos com Pessoal'!$E$7:$E$506)*(E$3&lt;='Gastos com Pessoal'!$F$7:$F$506)*(IF('Gastos com Pessoal'!$G$7:$G$506&lt;=E$3,1,0))*OFFSET('Gastos com Pessoal'!$H$6,1,MATCH(1&amp;$B56,'Gastos com Pessoal'!$I$532:$AJ$532&amp;'Gastos com Pessoal'!$I$6:$AJ$6,0),500,1)),0)+_xlfn.IFNA(SUM((E$3&gt;='Gastos com Pessoal'!$E$7:$E$506)*(E$3&lt;='Gastos com Pessoal'!$F$7:$F$506)*(IF('Gastos com Pessoal'!$M$7:$M$506&lt;=E$3,1,0))*OFFSET('Gastos com Pessoal'!$H$6,1,MATCH(2&amp;$B56,'Gastos com Pessoal'!$I$532:$AJ$532&amp;'Gastos com Pessoal'!$I$6:$AJ$6,0),500,1)),0)+_xlfn.IFNA(SUM((E$3&gt;='Gastos com Pessoal'!$E$7:$E$506)*(E$3&lt;='Gastos com Pessoal'!$F$7:$F$506)*(IF('Gastos com Pessoal'!$S$7:$S$506&lt;=E$3,1,0))*OFFSET('Gastos com Pessoal'!$H$6,1,MATCH(3&amp;$B56,'Gastos com Pessoal'!$I$532:$AJ$532&amp;'Gastos com Pessoal'!$I$6:$AJ$6,0),500,1)),0)+_xlfn.IFNA(SUM((E$3&gt;='Gastos com Pessoal'!$E$7:$E$506)*(E$3&lt;='Gastos com Pessoal'!$F$7:$F$506)*(IF('Gastos com Pessoal'!$Y$7:$Y$506&lt;=E$3,1,0))*OFFSET('Gastos com Pessoal'!$H$6,1,MATCH(4&amp;$B56,'Gastos com Pessoal'!$I$532:$AJ$532&amp;'Gastos com Pessoal'!$I$6:$AJ$6,0),500,1)),0)+_xlfn.IFNA(SUM((E$3&gt;='Gastos com Pessoal'!$E$7:$E$506)*(E$3&lt;='Gastos com Pessoal'!$F$7:$F$506)*(IF('Gastos com Pessoal'!$AE$7:$AE$506&lt;=E$3,1,0))*OFFSET('Gastos com Pessoal'!$H$6,1,MATCH(5&amp;$B56,'Gastos com Pessoal'!$I$532:$AJ$532&amp;'Gastos com Pessoal'!$I$6:$AJ$6,0),500,1)),0)+_xlfn.IFNA(SUM((E$3&gt;='Gastos com Pessoal'!$E$513:$E$522)*(E$3&lt;='Gastos com Pessoal'!$F$513:$F$522)*(IF('Gastos com Pessoal'!$G$513:$G$522&lt;=E$3,1,0))*OFFSET('Gastos com Pessoal'!$H$512,1,MATCH(1&amp;$B56,'Gastos com Pessoal'!$I$532:$AJ$532&amp;'Gastos com Pessoal'!$I$512:$AJ$512,0),10,1)),0)+_xlfn.IFNA(SUM((E$3&gt;='Gastos com Pessoal'!$E$513:$E$522)*(E$3&lt;='Gastos com Pessoal'!$F$513:$F$522)*(IF('Gastos com Pessoal'!$M$513:$M$522&lt;=E$3,1,0))*OFFSET('Gastos com Pessoal'!$H$512,1,MATCH(2&amp;$B56,'Gastos com Pessoal'!$I$532:$AJ$532&amp;'Gastos com Pessoal'!$I$512:$AJ$512,0),10,1)),0)+_xlfn.IFNA(SUM((E$3&gt;='Gastos com Pessoal'!$E$513:$E$522)*(E$3&lt;='Gastos com Pessoal'!$F$513:$F$522)*(IF('Gastos com Pessoal'!$S$513:$S$522&lt;=E$3,1,0))*OFFSET('Gastos com Pessoal'!$H$512,1,MATCH(3&amp;$B56,'Gastos com Pessoal'!$I$532:$AJ$532&amp;'Gastos com Pessoal'!$I$512:$AJ$512,0),10,1)),0)+_xlfn.IFNA(SUM((E$3&gt;='Gastos com Pessoal'!$E$513:$E$522)*(E$3&lt;='Gastos com Pessoal'!$F$513:$F$522)*(IF('Gastos com Pessoal'!$Y$513:$Y$522&lt;=E$3,1,0))*OFFSET('Gastos com Pessoal'!$H$512,1,MATCH(4&amp;$B56,'Gastos com Pessoal'!$I$532:$AJ$532&amp;'Gastos com Pessoal'!$I$512:$AJ$512,0),10,1)),0)+_xlfn.IFNA(SUM((E$3&gt;='Gastos com Pessoal'!$E$513:$E$522)*(E$3&lt;='Gastos com Pessoal'!$F$513:$F$522)*(IF('Gastos com Pessoal'!$AE$513:$AE$522&lt;=E$3,1,0))*OFFSET('Gastos com Pessoal'!$H$512,1,MATCH(5&amp;$B56,'Gastos com Pessoal'!$I$532:$AJ$532&amp;'Gastos com Pessoal'!$I$512:$AJ$512,0),10,1)),0)</f>
        <v>136562.55999999933</v>
      </c>
      <c r="F56" s="188">
        <f t="array" aca="1" ref="F56" ca="1">_xlfn.IFNA(SUM((F$3&gt;='Gastos com Pessoal'!$E$7:$E$506)*(F$3&lt;='Gastos com Pessoal'!$F$7:$F$506)*OFFSET('Encargos e Benefícios'!$D$5,1,MATCH($B56,'Encargos e Benefícios'!$E$5:$AB$5,0),500,1)),0)+_xlfn.IFNA(SUM((F$3&gt;='Gastos com Pessoal'!$E$513:$E$522)*(F$3&lt;='Gastos com Pessoal'!$F$513:$F$522)*OFFSET('Encargos e Benefícios'!$D$511,1,MATCH($B56,'Encargos e Benefícios'!$E$511:$AB$511,0),10,1)),0)+_xlfn.IFNA(SUM((F$3&gt;='Gastos com Pessoal'!$E$7:$E$506)*(F$3&lt;='Gastos com Pessoal'!$F$7:$F$506)*(IF('Gastos com Pessoal'!$G$7:$G$506&lt;=F$3,1,0))*OFFSET('Gastos com Pessoal'!$H$6,1,MATCH(1&amp;$B56,'Gastos com Pessoal'!$I$532:$AJ$532&amp;'Gastos com Pessoal'!$I$6:$AJ$6,0),500,1)),0)+_xlfn.IFNA(SUM((F$3&gt;='Gastos com Pessoal'!$E$7:$E$506)*(F$3&lt;='Gastos com Pessoal'!$F$7:$F$506)*(IF('Gastos com Pessoal'!$M$7:$M$506&lt;=F$3,1,0))*OFFSET('Gastos com Pessoal'!$H$6,1,MATCH(2&amp;$B56,'Gastos com Pessoal'!$I$532:$AJ$532&amp;'Gastos com Pessoal'!$I$6:$AJ$6,0),500,1)),0)+_xlfn.IFNA(SUM((F$3&gt;='Gastos com Pessoal'!$E$7:$E$506)*(F$3&lt;='Gastos com Pessoal'!$F$7:$F$506)*(IF('Gastos com Pessoal'!$S$7:$S$506&lt;=F$3,1,0))*OFFSET('Gastos com Pessoal'!$H$6,1,MATCH(3&amp;$B56,'Gastos com Pessoal'!$I$532:$AJ$532&amp;'Gastos com Pessoal'!$I$6:$AJ$6,0),500,1)),0)+_xlfn.IFNA(SUM((F$3&gt;='Gastos com Pessoal'!$E$7:$E$506)*(F$3&lt;='Gastos com Pessoal'!$F$7:$F$506)*(IF('Gastos com Pessoal'!$Y$7:$Y$506&lt;=F$3,1,0))*OFFSET('Gastos com Pessoal'!$H$6,1,MATCH(4&amp;$B56,'Gastos com Pessoal'!$I$532:$AJ$532&amp;'Gastos com Pessoal'!$I$6:$AJ$6,0),500,1)),0)+_xlfn.IFNA(SUM((F$3&gt;='Gastos com Pessoal'!$E$7:$E$506)*(F$3&lt;='Gastos com Pessoal'!$F$7:$F$506)*(IF('Gastos com Pessoal'!$AE$7:$AE$506&lt;=F$3,1,0))*OFFSET('Gastos com Pessoal'!$H$6,1,MATCH(5&amp;$B56,'Gastos com Pessoal'!$I$532:$AJ$532&amp;'Gastos com Pessoal'!$I$6:$AJ$6,0),500,1)),0)+_xlfn.IFNA(SUM((F$3&gt;='Gastos com Pessoal'!$E$513:$E$522)*(F$3&lt;='Gastos com Pessoal'!$F$513:$F$522)*(IF('Gastos com Pessoal'!$G$513:$G$522&lt;=F$3,1,0))*OFFSET('Gastos com Pessoal'!$H$512,1,MATCH(1&amp;$B56,'Gastos com Pessoal'!$I$532:$AJ$532&amp;'Gastos com Pessoal'!$I$512:$AJ$512,0),10,1)),0)+_xlfn.IFNA(SUM((F$3&gt;='Gastos com Pessoal'!$E$513:$E$522)*(F$3&lt;='Gastos com Pessoal'!$F$513:$F$522)*(IF('Gastos com Pessoal'!$M$513:$M$522&lt;=F$3,1,0))*OFFSET('Gastos com Pessoal'!$H$512,1,MATCH(2&amp;$B56,'Gastos com Pessoal'!$I$532:$AJ$532&amp;'Gastos com Pessoal'!$I$512:$AJ$512,0),10,1)),0)+_xlfn.IFNA(SUM((F$3&gt;='Gastos com Pessoal'!$E$513:$E$522)*(F$3&lt;='Gastos com Pessoal'!$F$513:$F$522)*(IF('Gastos com Pessoal'!$S$513:$S$522&lt;=F$3,1,0))*OFFSET('Gastos com Pessoal'!$H$512,1,MATCH(3&amp;$B56,'Gastos com Pessoal'!$I$532:$AJ$532&amp;'Gastos com Pessoal'!$I$512:$AJ$512,0),10,1)),0)+_xlfn.IFNA(SUM((F$3&gt;='Gastos com Pessoal'!$E$513:$E$522)*(F$3&lt;='Gastos com Pessoal'!$F$513:$F$522)*(IF('Gastos com Pessoal'!$Y$513:$Y$522&lt;=F$3,1,0))*OFFSET('Gastos com Pessoal'!$H$512,1,MATCH(4&amp;$B56,'Gastos com Pessoal'!$I$532:$AJ$532&amp;'Gastos com Pessoal'!$I$512:$AJ$512,0),10,1)),0)+_xlfn.IFNA(SUM((F$3&gt;='Gastos com Pessoal'!$E$513:$E$522)*(F$3&lt;='Gastos com Pessoal'!$F$513:$F$522)*(IF('Gastos com Pessoal'!$AE$513:$AE$522&lt;=F$3,1,0))*OFFSET('Gastos com Pessoal'!$H$512,1,MATCH(5&amp;$B56,'Gastos com Pessoal'!$I$532:$AJ$532&amp;'Gastos com Pessoal'!$I$512:$AJ$512,0),10,1)),0)</f>
        <v>137023.91999999931</v>
      </c>
      <c r="G56" s="188">
        <f t="array" aca="1" ref="G56" ca="1">_xlfn.IFNA(SUM((G$3&gt;='Gastos com Pessoal'!$E$7:$E$506)*(G$3&lt;='Gastos com Pessoal'!$F$7:$F$506)*OFFSET('Encargos e Benefícios'!$D$5,1,MATCH($B56,'Encargos e Benefícios'!$E$5:$AB$5,0),500,1)),0)+_xlfn.IFNA(SUM((G$3&gt;='Gastos com Pessoal'!$E$513:$E$522)*(G$3&lt;='Gastos com Pessoal'!$F$513:$F$522)*OFFSET('Encargos e Benefícios'!$D$511,1,MATCH($B56,'Encargos e Benefícios'!$E$511:$AB$511,0),10,1)),0)+_xlfn.IFNA(SUM((G$3&gt;='Gastos com Pessoal'!$E$7:$E$506)*(G$3&lt;='Gastos com Pessoal'!$F$7:$F$506)*(IF('Gastos com Pessoal'!$G$7:$G$506&lt;=G$3,1,0))*OFFSET('Gastos com Pessoal'!$H$6,1,MATCH(1&amp;$B56,'Gastos com Pessoal'!$I$532:$AJ$532&amp;'Gastos com Pessoal'!$I$6:$AJ$6,0),500,1)),0)+_xlfn.IFNA(SUM((G$3&gt;='Gastos com Pessoal'!$E$7:$E$506)*(G$3&lt;='Gastos com Pessoal'!$F$7:$F$506)*(IF('Gastos com Pessoal'!$M$7:$M$506&lt;=G$3,1,0))*OFFSET('Gastos com Pessoal'!$H$6,1,MATCH(2&amp;$B56,'Gastos com Pessoal'!$I$532:$AJ$532&amp;'Gastos com Pessoal'!$I$6:$AJ$6,0),500,1)),0)+_xlfn.IFNA(SUM((G$3&gt;='Gastos com Pessoal'!$E$7:$E$506)*(G$3&lt;='Gastos com Pessoal'!$F$7:$F$506)*(IF('Gastos com Pessoal'!$S$7:$S$506&lt;=G$3,1,0))*OFFSET('Gastos com Pessoal'!$H$6,1,MATCH(3&amp;$B56,'Gastos com Pessoal'!$I$532:$AJ$532&amp;'Gastos com Pessoal'!$I$6:$AJ$6,0),500,1)),0)+_xlfn.IFNA(SUM((G$3&gt;='Gastos com Pessoal'!$E$7:$E$506)*(G$3&lt;='Gastos com Pessoal'!$F$7:$F$506)*(IF('Gastos com Pessoal'!$Y$7:$Y$506&lt;=G$3,1,0))*OFFSET('Gastos com Pessoal'!$H$6,1,MATCH(4&amp;$B56,'Gastos com Pessoal'!$I$532:$AJ$532&amp;'Gastos com Pessoal'!$I$6:$AJ$6,0),500,1)),0)+_xlfn.IFNA(SUM((G$3&gt;='Gastos com Pessoal'!$E$7:$E$506)*(G$3&lt;='Gastos com Pessoal'!$F$7:$F$506)*(IF('Gastos com Pessoal'!$AE$7:$AE$506&lt;=G$3,1,0))*OFFSET('Gastos com Pessoal'!$H$6,1,MATCH(5&amp;$B56,'Gastos com Pessoal'!$I$532:$AJ$532&amp;'Gastos com Pessoal'!$I$6:$AJ$6,0),500,1)),0)+_xlfn.IFNA(SUM((G$3&gt;='Gastos com Pessoal'!$E$513:$E$522)*(G$3&lt;='Gastos com Pessoal'!$F$513:$F$522)*(IF('Gastos com Pessoal'!$G$513:$G$522&lt;=G$3,1,0))*OFFSET('Gastos com Pessoal'!$H$512,1,MATCH(1&amp;$B56,'Gastos com Pessoal'!$I$532:$AJ$532&amp;'Gastos com Pessoal'!$I$512:$AJ$512,0),10,1)),0)+_xlfn.IFNA(SUM((G$3&gt;='Gastos com Pessoal'!$E$513:$E$522)*(G$3&lt;='Gastos com Pessoal'!$F$513:$F$522)*(IF('Gastos com Pessoal'!$M$513:$M$522&lt;=G$3,1,0))*OFFSET('Gastos com Pessoal'!$H$512,1,MATCH(2&amp;$B56,'Gastos com Pessoal'!$I$532:$AJ$532&amp;'Gastos com Pessoal'!$I$512:$AJ$512,0),10,1)),0)+_xlfn.IFNA(SUM((G$3&gt;='Gastos com Pessoal'!$E$513:$E$522)*(G$3&lt;='Gastos com Pessoal'!$F$513:$F$522)*(IF('Gastos com Pessoal'!$S$513:$S$522&lt;=G$3,1,0))*OFFSET('Gastos com Pessoal'!$H$512,1,MATCH(3&amp;$B56,'Gastos com Pessoal'!$I$532:$AJ$532&amp;'Gastos com Pessoal'!$I$512:$AJ$512,0),10,1)),0)+_xlfn.IFNA(SUM((G$3&gt;='Gastos com Pessoal'!$E$513:$E$522)*(G$3&lt;='Gastos com Pessoal'!$F$513:$F$522)*(IF('Gastos com Pessoal'!$Y$513:$Y$522&lt;=G$3,1,0))*OFFSET('Gastos com Pessoal'!$H$512,1,MATCH(4&amp;$B56,'Gastos com Pessoal'!$I$532:$AJ$532&amp;'Gastos com Pessoal'!$I$512:$AJ$512,0),10,1)),0)+_xlfn.IFNA(SUM((G$3&gt;='Gastos com Pessoal'!$E$513:$E$522)*(G$3&lt;='Gastos com Pessoal'!$F$513:$F$522)*(IF('Gastos com Pessoal'!$AE$513:$AE$522&lt;=G$3,1,0))*OFFSET('Gastos com Pessoal'!$H$512,1,MATCH(5&amp;$B56,'Gastos com Pessoal'!$I$532:$AJ$532&amp;'Gastos com Pessoal'!$I$512:$AJ$512,0),10,1)),0)</f>
        <v>137023.91999999931</v>
      </c>
      <c r="H56" s="188">
        <f t="array" aca="1" ref="H56" ca="1">_xlfn.IFNA(SUM((H$3&gt;='Gastos com Pessoal'!$E$7:$E$506)*(H$3&lt;='Gastos com Pessoal'!$F$7:$F$506)*OFFSET('Encargos e Benefícios'!$D$5,1,MATCH($B56,'Encargos e Benefícios'!$E$5:$AB$5,0),500,1)),0)+_xlfn.IFNA(SUM((H$3&gt;='Gastos com Pessoal'!$E$513:$E$522)*(H$3&lt;='Gastos com Pessoal'!$F$513:$F$522)*OFFSET('Encargos e Benefícios'!$D$511,1,MATCH($B56,'Encargos e Benefícios'!$E$511:$AB$511,0),10,1)),0)+_xlfn.IFNA(SUM((H$3&gt;='Gastos com Pessoal'!$E$7:$E$506)*(H$3&lt;='Gastos com Pessoal'!$F$7:$F$506)*(IF('Gastos com Pessoal'!$G$7:$G$506&lt;=H$3,1,0))*OFFSET('Gastos com Pessoal'!$H$6,1,MATCH(1&amp;$B56,'Gastos com Pessoal'!$I$532:$AJ$532&amp;'Gastos com Pessoal'!$I$6:$AJ$6,0),500,1)),0)+_xlfn.IFNA(SUM((H$3&gt;='Gastos com Pessoal'!$E$7:$E$506)*(H$3&lt;='Gastos com Pessoal'!$F$7:$F$506)*(IF('Gastos com Pessoal'!$M$7:$M$506&lt;=H$3,1,0))*OFFSET('Gastos com Pessoal'!$H$6,1,MATCH(2&amp;$B56,'Gastos com Pessoal'!$I$532:$AJ$532&amp;'Gastos com Pessoal'!$I$6:$AJ$6,0),500,1)),0)+_xlfn.IFNA(SUM((H$3&gt;='Gastos com Pessoal'!$E$7:$E$506)*(H$3&lt;='Gastos com Pessoal'!$F$7:$F$506)*(IF('Gastos com Pessoal'!$S$7:$S$506&lt;=H$3,1,0))*OFFSET('Gastos com Pessoal'!$H$6,1,MATCH(3&amp;$B56,'Gastos com Pessoal'!$I$532:$AJ$532&amp;'Gastos com Pessoal'!$I$6:$AJ$6,0),500,1)),0)+_xlfn.IFNA(SUM((H$3&gt;='Gastos com Pessoal'!$E$7:$E$506)*(H$3&lt;='Gastos com Pessoal'!$F$7:$F$506)*(IF('Gastos com Pessoal'!$Y$7:$Y$506&lt;=H$3,1,0))*OFFSET('Gastos com Pessoal'!$H$6,1,MATCH(4&amp;$B56,'Gastos com Pessoal'!$I$532:$AJ$532&amp;'Gastos com Pessoal'!$I$6:$AJ$6,0),500,1)),0)+_xlfn.IFNA(SUM((H$3&gt;='Gastos com Pessoal'!$E$7:$E$506)*(H$3&lt;='Gastos com Pessoal'!$F$7:$F$506)*(IF('Gastos com Pessoal'!$AE$7:$AE$506&lt;=H$3,1,0))*OFFSET('Gastos com Pessoal'!$H$6,1,MATCH(5&amp;$B56,'Gastos com Pessoal'!$I$532:$AJ$532&amp;'Gastos com Pessoal'!$I$6:$AJ$6,0),500,1)),0)+_xlfn.IFNA(SUM((H$3&gt;='Gastos com Pessoal'!$E$513:$E$522)*(H$3&lt;='Gastos com Pessoal'!$F$513:$F$522)*(IF('Gastos com Pessoal'!$G$513:$G$522&lt;=H$3,1,0))*OFFSET('Gastos com Pessoal'!$H$512,1,MATCH(1&amp;$B56,'Gastos com Pessoal'!$I$532:$AJ$532&amp;'Gastos com Pessoal'!$I$512:$AJ$512,0),10,1)),0)+_xlfn.IFNA(SUM((H$3&gt;='Gastos com Pessoal'!$E$513:$E$522)*(H$3&lt;='Gastos com Pessoal'!$F$513:$F$522)*(IF('Gastos com Pessoal'!$M$513:$M$522&lt;=H$3,1,0))*OFFSET('Gastos com Pessoal'!$H$512,1,MATCH(2&amp;$B56,'Gastos com Pessoal'!$I$532:$AJ$532&amp;'Gastos com Pessoal'!$I$512:$AJ$512,0),10,1)),0)+_xlfn.IFNA(SUM((H$3&gt;='Gastos com Pessoal'!$E$513:$E$522)*(H$3&lt;='Gastos com Pessoal'!$F$513:$F$522)*(IF('Gastos com Pessoal'!$S$513:$S$522&lt;=H$3,1,0))*OFFSET('Gastos com Pessoal'!$H$512,1,MATCH(3&amp;$B56,'Gastos com Pessoal'!$I$532:$AJ$532&amp;'Gastos com Pessoal'!$I$512:$AJ$512,0),10,1)),0)+_xlfn.IFNA(SUM((H$3&gt;='Gastos com Pessoal'!$E$513:$E$522)*(H$3&lt;='Gastos com Pessoal'!$F$513:$F$522)*(IF('Gastos com Pessoal'!$Y$513:$Y$522&lt;=H$3,1,0))*OFFSET('Gastos com Pessoal'!$H$512,1,MATCH(4&amp;$B56,'Gastos com Pessoal'!$I$532:$AJ$532&amp;'Gastos com Pessoal'!$I$512:$AJ$512,0),10,1)),0)+_xlfn.IFNA(SUM((H$3&gt;='Gastos com Pessoal'!$E$513:$E$522)*(H$3&lt;='Gastos com Pessoal'!$F$513:$F$522)*(IF('Gastos com Pessoal'!$AE$513:$AE$522&lt;=H$3,1,0))*OFFSET('Gastos com Pessoal'!$H$512,1,MATCH(5&amp;$B56,'Gastos com Pessoal'!$I$532:$AJ$532&amp;'Gastos com Pessoal'!$I$512:$AJ$512,0),10,1)),0)</f>
        <v>144174.99999999921</v>
      </c>
      <c r="I56" s="188">
        <f t="array" aca="1" ref="I56" ca="1">_xlfn.IFNA(SUM((I$3&gt;='Gastos com Pessoal'!$E$7:$E$506)*(I$3&lt;='Gastos com Pessoal'!$F$7:$F$506)*OFFSET('Encargos e Benefícios'!$D$5,1,MATCH($B56,'Encargos e Benefícios'!$E$5:$AB$5,0),500,1)),0)+_xlfn.IFNA(SUM((I$3&gt;='Gastos com Pessoal'!$E$513:$E$522)*(I$3&lt;='Gastos com Pessoal'!$F$513:$F$522)*OFFSET('Encargos e Benefícios'!$D$511,1,MATCH($B56,'Encargos e Benefícios'!$E$511:$AB$511,0),10,1)),0)+_xlfn.IFNA(SUM((I$3&gt;='Gastos com Pessoal'!$E$7:$E$506)*(I$3&lt;='Gastos com Pessoal'!$F$7:$F$506)*(IF('Gastos com Pessoal'!$G$7:$G$506&lt;=I$3,1,0))*OFFSET('Gastos com Pessoal'!$H$6,1,MATCH(1&amp;$B56,'Gastos com Pessoal'!$I$532:$AJ$532&amp;'Gastos com Pessoal'!$I$6:$AJ$6,0),500,1)),0)+_xlfn.IFNA(SUM((I$3&gt;='Gastos com Pessoal'!$E$7:$E$506)*(I$3&lt;='Gastos com Pessoal'!$F$7:$F$506)*(IF('Gastos com Pessoal'!$M$7:$M$506&lt;=I$3,1,0))*OFFSET('Gastos com Pessoal'!$H$6,1,MATCH(2&amp;$B56,'Gastos com Pessoal'!$I$532:$AJ$532&amp;'Gastos com Pessoal'!$I$6:$AJ$6,0),500,1)),0)+_xlfn.IFNA(SUM((I$3&gt;='Gastos com Pessoal'!$E$7:$E$506)*(I$3&lt;='Gastos com Pessoal'!$F$7:$F$506)*(IF('Gastos com Pessoal'!$S$7:$S$506&lt;=I$3,1,0))*OFFSET('Gastos com Pessoal'!$H$6,1,MATCH(3&amp;$B56,'Gastos com Pessoal'!$I$532:$AJ$532&amp;'Gastos com Pessoal'!$I$6:$AJ$6,0),500,1)),0)+_xlfn.IFNA(SUM((I$3&gt;='Gastos com Pessoal'!$E$7:$E$506)*(I$3&lt;='Gastos com Pessoal'!$F$7:$F$506)*(IF('Gastos com Pessoal'!$Y$7:$Y$506&lt;=I$3,1,0))*OFFSET('Gastos com Pessoal'!$H$6,1,MATCH(4&amp;$B56,'Gastos com Pessoal'!$I$532:$AJ$532&amp;'Gastos com Pessoal'!$I$6:$AJ$6,0),500,1)),0)+_xlfn.IFNA(SUM((I$3&gt;='Gastos com Pessoal'!$E$7:$E$506)*(I$3&lt;='Gastos com Pessoal'!$F$7:$F$506)*(IF('Gastos com Pessoal'!$AE$7:$AE$506&lt;=I$3,1,0))*OFFSET('Gastos com Pessoal'!$H$6,1,MATCH(5&amp;$B56,'Gastos com Pessoal'!$I$532:$AJ$532&amp;'Gastos com Pessoal'!$I$6:$AJ$6,0),500,1)),0)+_xlfn.IFNA(SUM((I$3&gt;='Gastos com Pessoal'!$E$513:$E$522)*(I$3&lt;='Gastos com Pessoal'!$F$513:$F$522)*(IF('Gastos com Pessoal'!$G$513:$G$522&lt;=I$3,1,0))*OFFSET('Gastos com Pessoal'!$H$512,1,MATCH(1&amp;$B56,'Gastos com Pessoal'!$I$532:$AJ$532&amp;'Gastos com Pessoal'!$I$512:$AJ$512,0),10,1)),0)+_xlfn.IFNA(SUM((I$3&gt;='Gastos com Pessoal'!$E$513:$E$522)*(I$3&lt;='Gastos com Pessoal'!$F$513:$F$522)*(IF('Gastos com Pessoal'!$M$513:$M$522&lt;=I$3,1,0))*OFFSET('Gastos com Pessoal'!$H$512,1,MATCH(2&amp;$B56,'Gastos com Pessoal'!$I$532:$AJ$532&amp;'Gastos com Pessoal'!$I$512:$AJ$512,0),10,1)),0)+_xlfn.IFNA(SUM((I$3&gt;='Gastos com Pessoal'!$E$513:$E$522)*(I$3&lt;='Gastos com Pessoal'!$F$513:$F$522)*(IF('Gastos com Pessoal'!$S$513:$S$522&lt;=I$3,1,0))*OFFSET('Gastos com Pessoal'!$H$512,1,MATCH(3&amp;$B56,'Gastos com Pessoal'!$I$532:$AJ$532&amp;'Gastos com Pessoal'!$I$512:$AJ$512,0),10,1)),0)+_xlfn.IFNA(SUM((I$3&gt;='Gastos com Pessoal'!$E$513:$E$522)*(I$3&lt;='Gastos com Pessoal'!$F$513:$F$522)*(IF('Gastos com Pessoal'!$Y$513:$Y$522&lt;=I$3,1,0))*OFFSET('Gastos com Pessoal'!$H$512,1,MATCH(4&amp;$B56,'Gastos com Pessoal'!$I$532:$AJ$532&amp;'Gastos com Pessoal'!$I$512:$AJ$512,0),10,1)),0)+_xlfn.IFNA(SUM((I$3&gt;='Gastos com Pessoal'!$E$513:$E$522)*(I$3&lt;='Gastos com Pessoal'!$F$513:$F$522)*(IF('Gastos com Pessoal'!$AE$513:$AE$522&lt;=I$3,1,0))*OFFSET('Gastos com Pessoal'!$H$512,1,MATCH(5&amp;$B56,'Gastos com Pessoal'!$I$532:$AJ$532&amp;'Gastos com Pessoal'!$I$512:$AJ$512,0),10,1)),0)</f>
        <v>144663.27999999921</v>
      </c>
      <c r="J56" s="188">
        <f t="array" aca="1" ref="J56" ca="1">_xlfn.IFNA(SUM((J$3&gt;='Gastos com Pessoal'!$E$7:$E$506)*(J$3&lt;='Gastos com Pessoal'!$F$7:$F$506)*OFFSET('Encargos e Benefícios'!$D$5,1,MATCH($B56,'Encargos e Benefícios'!$E$5:$AB$5,0),500,1)),0)+_xlfn.IFNA(SUM((J$3&gt;='Gastos com Pessoal'!$E$513:$E$522)*(J$3&lt;='Gastos com Pessoal'!$F$513:$F$522)*OFFSET('Encargos e Benefícios'!$D$511,1,MATCH($B56,'Encargos e Benefícios'!$E$511:$AB$511,0),10,1)),0)+_xlfn.IFNA(SUM((J$3&gt;='Gastos com Pessoal'!$E$7:$E$506)*(J$3&lt;='Gastos com Pessoal'!$F$7:$F$506)*(IF('Gastos com Pessoal'!$G$7:$G$506&lt;=J$3,1,0))*OFFSET('Gastos com Pessoal'!$H$6,1,MATCH(1&amp;$B56,'Gastos com Pessoal'!$I$532:$AJ$532&amp;'Gastos com Pessoal'!$I$6:$AJ$6,0),500,1)),0)+_xlfn.IFNA(SUM((J$3&gt;='Gastos com Pessoal'!$E$7:$E$506)*(J$3&lt;='Gastos com Pessoal'!$F$7:$F$506)*(IF('Gastos com Pessoal'!$M$7:$M$506&lt;=J$3,1,0))*OFFSET('Gastos com Pessoal'!$H$6,1,MATCH(2&amp;$B56,'Gastos com Pessoal'!$I$532:$AJ$532&amp;'Gastos com Pessoal'!$I$6:$AJ$6,0),500,1)),0)+_xlfn.IFNA(SUM((J$3&gt;='Gastos com Pessoal'!$E$7:$E$506)*(J$3&lt;='Gastos com Pessoal'!$F$7:$F$506)*(IF('Gastos com Pessoal'!$S$7:$S$506&lt;=J$3,1,0))*OFFSET('Gastos com Pessoal'!$H$6,1,MATCH(3&amp;$B56,'Gastos com Pessoal'!$I$532:$AJ$532&amp;'Gastos com Pessoal'!$I$6:$AJ$6,0),500,1)),0)+_xlfn.IFNA(SUM((J$3&gt;='Gastos com Pessoal'!$E$7:$E$506)*(J$3&lt;='Gastos com Pessoal'!$F$7:$F$506)*(IF('Gastos com Pessoal'!$Y$7:$Y$506&lt;=J$3,1,0))*OFFSET('Gastos com Pessoal'!$H$6,1,MATCH(4&amp;$B56,'Gastos com Pessoal'!$I$532:$AJ$532&amp;'Gastos com Pessoal'!$I$6:$AJ$6,0),500,1)),0)+_xlfn.IFNA(SUM((J$3&gt;='Gastos com Pessoal'!$E$7:$E$506)*(J$3&lt;='Gastos com Pessoal'!$F$7:$F$506)*(IF('Gastos com Pessoal'!$AE$7:$AE$506&lt;=J$3,1,0))*OFFSET('Gastos com Pessoal'!$H$6,1,MATCH(5&amp;$B56,'Gastos com Pessoal'!$I$532:$AJ$532&amp;'Gastos com Pessoal'!$I$6:$AJ$6,0),500,1)),0)+_xlfn.IFNA(SUM((J$3&gt;='Gastos com Pessoal'!$E$513:$E$522)*(J$3&lt;='Gastos com Pessoal'!$F$513:$F$522)*(IF('Gastos com Pessoal'!$G$513:$G$522&lt;=J$3,1,0))*OFFSET('Gastos com Pessoal'!$H$512,1,MATCH(1&amp;$B56,'Gastos com Pessoal'!$I$532:$AJ$532&amp;'Gastos com Pessoal'!$I$512:$AJ$512,0),10,1)),0)+_xlfn.IFNA(SUM((J$3&gt;='Gastos com Pessoal'!$E$513:$E$522)*(J$3&lt;='Gastos com Pessoal'!$F$513:$F$522)*(IF('Gastos com Pessoal'!$M$513:$M$522&lt;=J$3,1,0))*OFFSET('Gastos com Pessoal'!$H$512,1,MATCH(2&amp;$B56,'Gastos com Pessoal'!$I$532:$AJ$532&amp;'Gastos com Pessoal'!$I$512:$AJ$512,0),10,1)),0)+_xlfn.IFNA(SUM((J$3&gt;='Gastos com Pessoal'!$E$513:$E$522)*(J$3&lt;='Gastos com Pessoal'!$F$513:$F$522)*(IF('Gastos com Pessoal'!$S$513:$S$522&lt;=J$3,1,0))*OFFSET('Gastos com Pessoal'!$H$512,1,MATCH(3&amp;$B56,'Gastos com Pessoal'!$I$532:$AJ$532&amp;'Gastos com Pessoal'!$I$512:$AJ$512,0),10,1)),0)+_xlfn.IFNA(SUM((J$3&gt;='Gastos com Pessoal'!$E$513:$E$522)*(J$3&lt;='Gastos com Pessoal'!$F$513:$F$522)*(IF('Gastos com Pessoal'!$Y$513:$Y$522&lt;=J$3,1,0))*OFFSET('Gastos com Pessoal'!$H$512,1,MATCH(4&amp;$B56,'Gastos com Pessoal'!$I$532:$AJ$532&amp;'Gastos com Pessoal'!$I$512:$AJ$512,0),10,1)),0)+_xlfn.IFNA(SUM((J$3&gt;='Gastos com Pessoal'!$E$513:$E$522)*(J$3&lt;='Gastos com Pessoal'!$F$513:$F$522)*(IF('Gastos com Pessoal'!$AE$513:$AE$522&lt;=J$3,1,0))*OFFSET('Gastos com Pessoal'!$H$512,1,MATCH(5&amp;$B56,'Gastos com Pessoal'!$I$532:$AJ$532&amp;'Gastos com Pessoal'!$I$512:$AJ$512,0),10,1)),0)</f>
        <v>144663.27999999921</v>
      </c>
      <c r="K56" s="188">
        <f t="array" aca="1" ref="K56" ca="1">_xlfn.IFNA(SUM((K$3&gt;='Gastos com Pessoal'!$E$7:$E$506)*(K$3&lt;='Gastos com Pessoal'!$F$7:$F$506)*OFFSET('Encargos e Benefícios'!$D$5,1,MATCH($B56,'Encargos e Benefícios'!$E$5:$AB$5,0),500,1)),0)+_xlfn.IFNA(SUM((K$3&gt;='Gastos com Pessoal'!$E$513:$E$522)*(K$3&lt;='Gastos com Pessoal'!$F$513:$F$522)*OFFSET('Encargos e Benefícios'!$D$511,1,MATCH($B56,'Encargos e Benefícios'!$E$511:$AB$511,0),10,1)),0)+_xlfn.IFNA(SUM((K$3&gt;='Gastos com Pessoal'!$E$7:$E$506)*(K$3&lt;='Gastos com Pessoal'!$F$7:$F$506)*(IF('Gastos com Pessoal'!$G$7:$G$506&lt;=K$3,1,0))*OFFSET('Gastos com Pessoal'!$H$6,1,MATCH(1&amp;$B56,'Gastos com Pessoal'!$I$532:$AJ$532&amp;'Gastos com Pessoal'!$I$6:$AJ$6,0),500,1)),0)+_xlfn.IFNA(SUM((K$3&gt;='Gastos com Pessoal'!$E$7:$E$506)*(K$3&lt;='Gastos com Pessoal'!$F$7:$F$506)*(IF('Gastos com Pessoal'!$M$7:$M$506&lt;=K$3,1,0))*OFFSET('Gastos com Pessoal'!$H$6,1,MATCH(2&amp;$B56,'Gastos com Pessoal'!$I$532:$AJ$532&amp;'Gastos com Pessoal'!$I$6:$AJ$6,0),500,1)),0)+_xlfn.IFNA(SUM((K$3&gt;='Gastos com Pessoal'!$E$7:$E$506)*(K$3&lt;='Gastos com Pessoal'!$F$7:$F$506)*(IF('Gastos com Pessoal'!$S$7:$S$506&lt;=K$3,1,0))*OFFSET('Gastos com Pessoal'!$H$6,1,MATCH(3&amp;$B56,'Gastos com Pessoal'!$I$532:$AJ$532&amp;'Gastos com Pessoal'!$I$6:$AJ$6,0),500,1)),0)+_xlfn.IFNA(SUM((K$3&gt;='Gastos com Pessoal'!$E$7:$E$506)*(K$3&lt;='Gastos com Pessoal'!$F$7:$F$506)*(IF('Gastos com Pessoal'!$Y$7:$Y$506&lt;=K$3,1,0))*OFFSET('Gastos com Pessoal'!$H$6,1,MATCH(4&amp;$B56,'Gastos com Pessoal'!$I$532:$AJ$532&amp;'Gastos com Pessoal'!$I$6:$AJ$6,0),500,1)),0)+_xlfn.IFNA(SUM((K$3&gt;='Gastos com Pessoal'!$E$7:$E$506)*(K$3&lt;='Gastos com Pessoal'!$F$7:$F$506)*(IF('Gastos com Pessoal'!$AE$7:$AE$506&lt;=K$3,1,0))*OFFSET('Gastos com Pessoal'!$H$6,1,MATCH(5&amp;$B56,'Gastos com Pessoal'!$I$532:$AJ$532&amp;'Gastos com Pessoal'!$I$6:$AJ$6,0),500,1)),0)+_xlfn.IFNA(SUM((K$3&gt;='Gastos com Pessoal'!$E$513:$E$522)*(K$3&lt;='Gastos com Pessoal'!$F$513:$F$522)*(IF('Gastos com Pessoal'!$G$513:$G$522&lt;=K$3,1,0))*OFFSET('Gastos com Pessoal'!$H$512,1,MATCH(1&amp;$B56,'Gastos com Pessoal'!$I$532:$AJ$532&amp;'Gastos com Pessoal'!$I$512:$AJ$512,0),10,1)),0)+_xlfn.IFNA(SUM((K$3&gt;='Gastos com Pessoal'!$E$513:$E$522)*(K$3&lt;='Gastos com Pessoal'!$F$513:$F$522)*(IF('Gastos com Pessoal'!$M$513:$M$522&lt;=K$3,1,0))*OFFSET('Gastos com Pessoal'!$H$512,1,MATCH(2&amp;$B56,'Gastos com Pessoal'!$I$532:$AJ$532&amp;'Gastos com Pessoal'!$I$512:$AJ$512,0),10,1)),0)+_xlfn.IFNA(SUM((K$3&gt;='Gastos com Pessoal'!$E$513:$E$522)*(K$3&lt;='Gastos com Pessoal'!$F$513:$F$522)*(IF('Gastos com Pessoal'!$S$513:$S$522&lt;=K$3,1,0))*OFFSET('Gastos com Pessoal'!$H$512,1,MATCH(3&amp;$B56,'Gastos com Pessoal'!$I$532:$AJ$532&amp;'Gastos com Pessoal'!$I$512:$AJ$512,0),10,1)),0)+_xlfn.IFNA(SUM((K$3&gt;='Gastos com Pessoal'!$E$513:$E$522)*(K$3&lt;='Gastos com Pessoal'!$F$513:$F$522)*(IF('Gastos com Pessoal'!$Y$513:$Y$522&lt;=K$3,1,0))*OFFSET('Gastos com Pessoal'!$H$512,1,MATCH(4&amp;$B56,'Gastos com Pessoal'!$I$532:$AJ$532&amp;'Gastos com Pessoal'!$I$512:$AJ$512,0),10,1)),0)+_xlfn.IFNA(SUM((K$3&gt;='Gastos com Pessoal'!$E$513:$E$522)*(K$3&lt;='Gastos com Pessoal'!$F$513:$F$522)*(IF('Gastos com Pessoal'!$AE$513:$AE$522&lt;=K$3,1,0))*OFFSET('Gastos com Pessoal'!$H$512,1,MATCH(5&amp;$B56,'Gastos com Pessoal'!$I$532:$AJ$532&amp;'Gastos com Pessoal'!$I$512:$AJ$512,0),10,1)),0)</f>
        <v>152231.61999999915</v>
      </c>
      <c r="L56" s="188">
        <f t="array" aca="1" ref="L56" ca="1">_xlfn.IFNA(SUM((L$3&gt;='Gastos com Pessoal'!$E$7:$E$506)*(L$3&lt;='Gastos com Pessoal'!$F$7:$F$506)*OFFSET('Encargos e Benefícios'!$D$5,1,MATCH($B56,'Encargos e Benefícios'!$E$5:$AB$5,0),500,1)),0)+_xlfn.IFNA(SUM((L$3&gt;='Gastos com Pessoal'!$E$513:$E$522)*(L$3&lt;='Gastos com Pessoal'!$F$513:$F$522)*OFFSET('Encargos e Benefícios'!$D$511,1,MATCH($B56,'Encargos e Benefícios'!$E$511:$AB$511,0),10,1)),0)+_xlfn.IFNA(SUM((L$3&gt;='Gastos com Pessoal'!$E$7:$E$506)*(L$3&lt;='Gastos com Pessoal'!$F$7:$F$506)*(IF('Gastos com Pessoal'!$G$7:$G$506&lt;=L$3,1,0))*OFFSET('Gastos com Pessoal'!$H$6,1,MATCH(1&amp;$B56,'Gastos com Pessoal'!$I$532:$AJ$532&amp;'Gastos com Pessoal'!$I$6:$AJ$6,0),500,1)),0)+_xlfn.IFNA(SUM((L$3&gt;='Gastos com Pessoal'!$E$7:$E$506)*(L$3&lt;='Gastos com Pessoal'!$F$7:$F$506)*(IF('Gastos com Pessoal'!$M$7:$M$506&lt;=L$3,1,0))*OFFSET('Gastos com Pessoal'!$H$6,1,MATCH(2&amp;$B56,'Gastos com Pessoal'!$I$532:$AJ$532&amp;'Gastos com Pessoal'!$I$6:$AJ$6,0),500,1)),0)+_xlfn.IFNA(SUM((L$3&gt;='Gastos com Pessoal'!$E$7:$E$506)*(L$3&lt;='Gastos com Pessoal'!$F$7:$F$506)*(IF('Gastos com Pessoal'!$S$7:$S$506&lt;=L$3,1,0))*OFFSET('Gastos com Pessoal'!$H$6,1,MATCH(3&amp;$B56,'Gastos com Pessoal'!$I$532:$AJ$532&amp;'Gastos com Pessoal'!$I$6:$AJ$6,0),500,1)),0)+_xlfn.IFNA(SUM((L$3&gt;='Gastos com Pessoal'!$E$7:$E$506)*(L$3&lt;='Gastos com Pessoal'!$F$7:$F$506)*(IF('Gastos com Pessoal'!$Y$7:$Y$506&lt;=L$3,1,0))*OFFSET('Gastos com Pessoal'!$H$6,1,MATCH(4&amp;$B56,'Gastos com Pessoal'!$I$532:$AJ$532&amp;'Gastos com Pessoal'!$I$6:$AJ$6,0),500,1)),0)+_xlfn.IFNA(SUM((L$3&gt;='Gastos com Pessoal'!$E$7:$E$506)*(L$3&lt;='Gastos com Pessoal'!$F$7:$F$506)*(IF('Gastos com Pessoal'!$AE$7:$AE$506&lt;=L$3,1,0))*OFFSET('Gastos com Pessoal'!$H$6,1,MATCH(5&amp;$B56,'Gastos com Pessoal'!$I$532:$AJ$532&amp;'Gastos com Pessoal'!$I$6:$AJ$6,0),500,1)),0)+_xlfn.IFNA(SUM((L$3&gt;='Gastos com Pessoal'!$E$513:$E$522)*(L$3&lt;='Gastos com Pessoal'!$F$513:$F$522)*(IF('Gastos com Pessoal'!$G$513:$G$522&lt;=L$3,1,0))*OFFSET('Gastos com Pessoal'!$H$512,1,MATCH(1&amp;$B56,'Gastos com Pessoal'!$I$532:$AJ$532&amp;'Gastos com Pessoal'!$I$512:$AJ$512,0),10,1)),0)+_xlfn.IFNA(SUM((L$3&gt;='Gastos com Pessoal'!$E$513:$E$522)*(L$3&lt;='Gastos com Pessoal'!$F$513:$F$522)*(IF('Gastos com Pessoal'!$M$513:$M$522&lt;=L$3,1,0))*OFFSET('Gastos com Pessoal'!$H$512,1,MATCH(2&amp;$B56,'Gastos com Pessoal'!$I$532:$AJ$532&amp;'Gastos com Pessoal'!$I$512:$AJ$512,0),10,1)),0)+_xlfn.IFNA(SUM((L$3&gt;='Gastos com Pessoal'!$E$513:$E$522)*(L$3&lt;='Gastos com Pessoal'!$F$513:$F$522)*(IF('Gastos com Pessoal'!$S$513:$S$522&lt;=L$3,1,0))*OFFSET('Gastos com Pessoal'!$H$512,1,MATCH(3&amp;$B56,'Gastos com Pessoal'!$I$532:$AJ$532&amp;'Gastos com Pessoal'!$I$512:$AJ$512,0),10,1)),0)+_xlfn.IFNA(SUM((L$3&gt;='Gastos com Pessoal'!$E$513:$E$522)*(L$3&lt;='Gastos com Pessoal'!$F$513:$F$522)*(IF('Gastos com Pessoal'!$Y$513:$Y$522&lt;=L$3,1,0))*OFFSET('Gastos com Pessoal'!$H$512,1,MATCH(4&amp;$B56,'Gastos com Pessoal'!$I$532:$AJ$532&amp;'Gastos com Pessoal'!$I$512:$AJ$512,0),10,1)),0)+_xlfn.IFNA(SUM((L$3&gt;='Gastos com Pessoal'!$E$513:$E$522)*(L$3&lt;='Gastos com Pessoal'!$F$513:$F$522)*(IF('Gastos com Pessoal'!$AE$513:$AE$522&lt;=L$3,1,0))*OFFSET('Gastos com Pessoal'!$H$512,1,MATCH(5&amp;$B56,'Gastos com Pessoal'!$I$532:$AJ$532&amp;'Gastos com Pessoal'!$I$512:$AJ$512,0),10,1)),0)</f>
        <v>152719.89999999915</v>
      </c>
      <c r="M56" s="188">
        <f t="array" aca="1" ref="M56" ca="1">_xlfn.IFNA(SUM((M$3&gt;='Gastos com Pessoal'!$E$7:$E$506)*(M$3&lt;='Gastos com Pessoal'!$F$7:$F$506)*OFFSET('Encargos e Benefícios'!$D$5,1,MATCH($B56,'Encargos e Benefícios'!$E$5:$AB$5,0),500,1)),0)+_xlfn.IFNA(SUM((M$3&gt;='Gastos com Pessoal'!$E$513:$E$522)*(M$3&lt;='Gastos com Pessoal'!$F$513:$F$522)*OFFSET('Encargos e Benefícios'!$D$511,1,MATCH($B56,'Encargos e Benefícios'!$E$511:$AB$511,0),10,1)),0)+_xlfn.IFNA(SUM((M$3&gt;='Gastos com Pessoal'!$E$7:$E$506)*(M$3&lt;='Gastos com Pessoal'!$F$7:$F$506)*(IF('Gastos com Pessoal'!$G$7:$G$506&lt;=M$3,1,0))*OFFSET('Gastos com Pessoal'!$H$6,1,MATCH(1&amp;$B56,'Gastos com Pessoal'!$I$532:$AJ$532&amp;'Gastos com Pessoal'!$I$6:$AJ$6,0),500,1)),0)+_xlfn.IFNA(SUM((M$3&gt;='Gastos com Pessoal'!$E$7:$E$506)*(M$3&lt;='Gastos com Pessoal'!$F$7:$F$506)*(IF('Gastos com Pessoal'!$M$7:$M$506&lt;=M$3,1,0))*OFFSET('Gastos com Pessoal'!$H$6,1,MATCH(2&amp;$B56,'Gastos com Pessoal'!$I$532:$AJ$532&amp;'Gastos com Pessoal'!$I$6:$AJ$6,0),500,1)),0)+_xlfn.IFNA(SUM((M$3&gt;='Gastos com Pessoal'!$E$7:$E$506)*(M$3&lt;='Gastos com Pessoal'!$F$7:$F$506)*(IF('Gastos com Pessoal'!$S$7:$S$506&lt;=M$3,1,0))*OFFSET('Gastos com Pessoal'!$H$6,1,MATCH(3&amp;$B56,'Gastos com Pessoal'!$I$532:$AJ$532&amp;'Gastos com Pessoal'!$I$6:$AJ$6,0),500,1)),0)+_xlfn.IFNA(SUM((M$3&gt;='Gastos com Pessoal'!$E$7:$E$506)*(M$3&lt;='Gastos com Pessoal'!$F$7:$F$506)*(IF('Gastos com Pessoal'!$Y$7:$Y$506&lt;=M$3,1,0))*OFFSET('Gastos com Pessoal'!$H$6,1,MATCH(4&amp;$B56,'Gastos com Pessoal'!$I$532:$AJ$532&amp;'Gastos com Pessoal'!$I$6:$AJ$6,0),500,1)),0)+_xlfn.IFNA(SUM((M$3&gt;='Gastos com Pessoal'!$E$7:$E$506)*(M$3&lt;='Gastos com Pessoal'!$F$7:$F$506)*(IF('Gastos com Pessoal'!$AE$7:$AE$506&lt;=M$3,1,0))*OFFSET('Gastos com Pessoal'!$H$6,1,MATCH(5&amp;$B56,'Gastos com Pessoal'!$I$532:$AJ$532&amp;'Gastos com Pessoal'!$I$6:$AJ$6,0),500,1)),0)+_xlfn.IFNA(SUM((M$3&gt;='Gastos com Pessoal'!$E$513:$E$522)*(M$3&lt;='Gastos com Pessoal'!$F$513:$F$522)*(IF('Gastos com Pessoal'!$G$513:$G$522&lt;=M$3,1,0))*OFFSET('Gastos com Pessoal'!$H$512,1,MATCH(1&amp;$B56,'Gastos com Pessoal'!$I$532:$AJ$532&amp;'Gastos com Pessoal'!$I$512:$AJ$512,0),10,1)),0)+_xlfn.IFNA(SUM((M$3&gt;='Gastos com Pessoal'!$E$513:$E$522)*(M$3&lt;='Gastos com Pessoal'!$F$513:$F$522)*(IF('Gastos com Pessoal'!$M$513:$M$522&lt;=M$3,1,0))*OFFSET('Gastos com Pessoal'!$H$512,1,MATCH(2&amp;$B56,'Gastos com Pessoal'!$I$532:$AJ$532&amp;'Gastos com Pessoal'!$I$512:$AJ$512,0),10,1)),0)+_xlfn.IFNA(SUM((M$3&gt;='Gastos com Pessoal'!$E$513:$E$522)*(M$3&lt;='Gastos com Pessoal'!$F$513:$F$522)*(IF('Gastos com Pessoal'!$S$513:$S$522&lt;=M$3,1,0))*OFFSET('Gastos com Pessoal'!$H$512,1,MATCH(3&amp;$B56,'Gastos com Pessoal'!$I$532:$AJ$532&amp;'Gastos com Pessoal'!$I$512:$AJ$512,0),10,1)),0)+_xlfn.IFNA(SUM((M$3&gt;='Gastos com Pessoal'!$E$513:$E$522)*(M$3&lt;='Gastos com Pessoal'!$F$513:$F$522)*(IF('Gastos com Pessoal'!$Y$513:$Y$522&lt;=M$3,1,0))*OFFSET('Gastos com Pessoal'!$H$512,1,MATCH(4&amp;$B56,'Gastos com Pessoal'!$I$532:$AJ$532&amp;'Gastos com Pessoal'!$I$512:$AJ$512,0),10,1)),0)+_xlfn.IFNA(SUM((M$3&gt;='Gastos com Pessoal'!$E$513:$E$522)*(M$3&lt;='Gastos com Pessoal'!$F$513:$F$522)*(IF('Gastos com Pessoal'!$AE$513:$AE$522&lt;=M$3,1,0))*OFFSET('Gastos com Pessoal'!$H$512,1,MATCH(5&amp;$B56,'Gastos com Pessoal'!$I$532:$AJ$532&amp;'Gastos com Pessoal'!$I$512:$AJ$512,0),10,1)),0)</f>
        <v>152719.89999999915</v>
      </c>
      <c r="N56" s="188">
        <f t="array" aca="1" ref="N56" ca="1">_xlfn.IFNA(SUM((N$3&gt;='Gastos com Pessoal'!$E$7:$E$506)*(N$3&lt;='Gastos com Pessoal'!$F$7:$F$506)*OFFSET('Encargos e Benefícios'!$D$5,1,MATCH($B56,'Encargos e Benefícios'!$E$5:$AB$5,0),500,1)),0)+_xlfn.IFNA(SUM((N$3&gt;='Gastos com Pessoal'!$E$513:$E$522)*(N$3&lt;='Gastos com Pessoal'!$F$513:$F$522)*OFFSET('Encargos e Benefícios'!$D$511,1,MATCH($B56,'Encargos e Benefícios'!$E$511:$AB$511,0),10,1)),0)+_xlfn.IFNA(SUM((N$3&gt;='Gastos com Pessoal'!$E$7:$E$506)*(N$3&lt;='Gastos com Pessoal'!$F$7:$F$506)*(IF('Gastos com Pessoal'!$G$7:$G$506&lt;=N$3,1,0))*OFFSET('Gastos com Pessoal'!$H$6,1,MATCH(1&amp;$B56,'Gastos com Pessoal'!$I$532:$AJ$532&amp;'Gastos com Pessoal'!$I$6:$AJ$6,0),500,1)),0)+_xlfn.IFNA(SUM((N$3&gt;='Gastos com Pessoal'!$E$7:$E$506)*(N$3&lt;='Gastos com Pessoal'!$F$7:$F$506)*(IF('Gastos com Pessoal'!$M$7:$M$506&lt;=N$3,1,0))*OFFSET('Gastos com Pessoal'!$H$6,1,MATCH(2&amp;$B56,'Gastos com Pessoal'!$I$532:$AJ$532&amp;'Gastos com Pessoal'!$I$6:$AJ$6,0),500,1)),0)+_xlfn.IFNA(SUM((N$3&gt;='Gastos com Pessoal'!$E$7:$E$506)*(N$3&lt;='Gastos com Pessoal'!$F$7:$F$506)*(IF('Gastos com Pessoal'!$S$7:$S$506&lt;=N$3,1,0))*OFFSET('Gastos com Pessoal'!$H$6,1,MATCH(3&amp;$B56,'Gastos com Pessoal'!$I$532:$AJ$532&amp;'Gastos com Pessoal'!$I$6:$AJ$6,0),500,1)),0)+_xlfn.IFNA(SUM((N$3&gt;='Gastos com Pessoal'!$E$7:$E$506)*(N$3&lt;='Gastos com Pessoal'!$F$7:$F$506)*(IF('Gastos com Pessoal'!$Y$7:$Y$506&lt;=N$3,1,0))*OFFSET('Gastos com Pessoal'!$H$6,1,MATCH(4&amp;$B56,'Gastos com Pessoal'!$I$532:$AJ$532&amp;'Gastos com Pessoal'!$I$6:$AJ$6,0),500,1)),0)+_xlfn.IFNA(SUM((N$3&gt;='Gastos com Pessoal'!$E$7:$E$506)*(N$3&lt;='Gastos com Pessoal'!$F$7:$F$506)*(IF('Gastos com Pessoal'!$AE$7:$AE$506&lt;=N$3,1,0))*OFFSET('Gastos com Pessoal'!$H$6,1,MATCH(5&amp;$B56,'Gastos com Pessoal'!$I$532:$AJ$532&amp;'Gastos com Pessoal'!$I$6:$AJ$6,0),500,1)),0)+_xlfn.IFNA(SUM((N$3&gt;='Gastos com Pessoal'!$E$513:$E$522)*(N$3&lt;='Gastos com Pessoal'!$F$513:$F$522)*(IF('Gastos com Pessoal'!$G$513:$G$522&lt;=N$3,1,0))*OFFSET('Gastos com Pessoal'!$H$512,1,MATCH(1&amp;$B56,'Gastos com Pessoal'!$I$532:$AJ$532&amp;'Gastos com Pessoal'!$I$512:$AJ$512,0),10,1)),0)+_xlfn.IFNA(SUM((N$3&gt;='Gastos com Pessoal'!$E$513:$E$522)*(N$3&lt;='Gastos com Pessoal'!$F$513:$F$522)*(IF('Gastos com Pessoal'!$M$513:$M$522&lt;=N$3,1,0))*OFFSET('Gastos com Pessoal'!$H$512,1,MATCH(2&amp;$B56,'Gastos com Pessoal'!$I$532:$AJ$532&amp;'Gastos com Pessoal'!$I$512:$AJ$512,0),10,1)),0)+_xlfn.IFNA(SUM((N$3&gt;='Gastos com Pessoal'!$E$513:$E$522)*(N$3&lt;='Gastos com Pessoal'!$F$513:$F$522)*(IF('Gastos com Pessoal'!$S$513:$S$522&lt;=N$3,1,0))*OFFSET('Gastos com Pessoal'!$H$512,1,MATCH(3&amp;$B56,'Gastos com Pessoal'!$I$532:$AJ$532&amp;'Gastos com Pessoal'!$I$512:$AJ$512,0),10,1)),0)+_xlfn.IFNA(SUM((N$3&gt;='Gastos com Pessoal'!$E$513:$E$522)*(N$3&lt;='Gastos com Pessoal'!$F$513:$F$522)*(IF('Gastos com Pessoal'!$Y$513:$Y$522&lt;=N$3,1,0))*OFFSET('Gastos com Pessoal'!$H$512,1,MATCH(4&amp;$B56,'Gastos com Pessoal'!$I$532:$AJ$532&amp;'Gastos com Pessoal'!$I$512:$AJ$512,0),10,1)),0)+_xlfn.IFNA(SUM((N$3&gt;='Gastos com Pessoal'!$E$513:$E$522)*(N$3&lt;='Gastos com Pessoal'!$F$513:$F$522)*(IF('Gastos com Pessoal'!$AE$513:$AE$522&lt;=N$3,1,0))*OFFSET('Gastos com Pessoal'!$H$512,1,MATCH(5&amp;$B56,'Gastos com Pessoal'!$I$532:$AJ$532&amp;'Gastos com Pessoal'!$I$512:$AJ$512,0),10,1)),0)</f>
        <v>160288.23999999909</v>
      </c>
      <c r="O56" s="188">
        <f t="array" aca="1" ref="O56" ca="1">_xlfn.IFNA(SUM((O$3&gt;='Gastos com Pessoal'!$E$7:$E$506)*(O$3&lt;='Gastos com Pessoal'!$F$7:$F$506)*OFFSET('Encargos e Benefícios'!$D$5,1,MATCH($B56,'Encargos e Benefícios'!$E$5:$AB$5,0),500,1)),0)+_xlfn.IFNA(SUM((O$3&gt;='Gastos com Pessoal'!$E$513:$E$522)*(O$3&lt;='Gastos com Pessoal'!$F$513:$F$522)*OFFSET('Encargos e Benefícios'!$D$511,1,MATCH($B56,'Encargos e Benefícios'!$E$511:$AB$511,0),10,1)),0)+_xlfn.IFNA(SUM((O$3&gt;='Gastos com Pessoal'!$E$7:$E$506)*(O$3&lt;='Gastos com Pessoal'!$F$7:$F$506)*(IF('Gastos com Pessoal'!$G$7:$G$506&lt;=O$3,1,0))*OFFSET('Gastos com Pessoal'!$H$6,1,MATCH(1&amp;$B56,'Gastos com Pessoal'!$I$532:$AJ$532&amp;'Gastos com Pessoal'!$I$6:$AJ$6,0),500,1)),0)+_xlfn.IFNA(SUM((O$3&gt;='Gastos com Pessoal'!$E$7:$E$506)*(O$3&lt;='Gastos com Pessoal'!$F$7:$F$506)*(IF('Gastos com Pessoal'!$M$7:$M$506&lt;=O$3,1,0))*OFFSET('Gastos com Pessoal'!$H$6,1,MATCH(2&amp;$B56,'Gastos com Pessoal'!$I$532:$AJ$532&amp;'Gastos com Pessoal'!$I$6:$AJ$6,0),500,1)),0)+_xlfn.IFNA(SUM((O$3&gt;='Gastos com Pessoal'!$E$7:$E$506)*(O$3&lt;='Gastos com Pessoal'!$F$7:$F$506)*(IF('Gastos com Pessoal'!$S$7:$S$506&lt;=O$3,1,0))*OFFSET('Gastos com Pessoal'!$H$6,1,MATCH(3&amp;$B56,'Gastos com Pessoal'!$I$532:$AJ$532&amp;'Gastos com Pessoal'!$I$6:$AJ$6,0),500,1)),0)+_xlfn.IFNA(SUM((O$3&gt;='Gastos com Pessoal'!$E$7:$E$506)*(O$3&lt;='Gastos com Pessoal'!$F$7:$F$506)*(IF('Gastos com Pessoal'!$Y$7:$Y$506&lt;=O$3,1,0))*OFFSET('Gastos com Pessoal'!$H$6,1,MATCH(4&amp;$B56,'Gastos com Pessoal'!$I$532:$AJ$532&amp;'Gastos com Pessoal'!$I$6:$AJ$6,0),500,1)),0)+_xlfn.IFNA(SUM((O$3&gt;='Gastos com Pessoal'!$E$7:$E$506)*(O$3&lt;='Gastos com Pessoal'!$F$7:$F$506)*(IF('Gastos com Pessoal'!$AE$7:$AE$506&lt;=O$3,1,0))*OFFSET('Gastos com Pessoal'!$H$6,1,MATCH(5&amp;$B56,'Gastos com Pessoal'!$I$532:$AJ$532&amp;'Gastos com Pessoal'!$I$6:$AJ$6,0),500,1)),0)+_xlfn.IFNA(SUM((O$3&gt;='Gastos com Pessoal'!$E$513:$E$522)*(O$3&lt;='Gastos com Pessoal'!$F$513:$F$522)*(IF('Gastos com Pessoal'!$G$513:$G$522&lt;=O$3,1,0))*OFFSET('Gastos com Pessoal'!$H$512,1,MATCH(1&amp;$B56,'Gastos com Pessoal'!$I$532:$AJ$532&amp;'Gastos com Pessoal'!$I$512:$AJ$512,0),10,1)),0)+_xlfn.IFNA(SUM((O$3&gt;='Gastos com Pessoal'!$E$513:$E$522)*(O$3&lt;='Gastos com Pessoal'!$F$513:$F$522)*(IF('Gastos com Pessoal'!$M$513:$M$522&lt;=O$3,1,0))*OFFSET('Gastos com Pessoal'!$H$512,1,MATCH(2&amp;$B56,'Gastos com Pessoal'!$I$532:$AJ$532&amp;'Gastos com Pessoal'!$I$512:$AJ$512,0),10,1)),0)+_xlfn.IFNA(SUM((O$3&gt;='Gastos com Pessoal'!$E$513:$E$522)*(O$3&lt;='Gastos com Pessoal'!$F$513:$F$522)*(IF('Gastos com Pessoal'!$S$513:$S$522&lt;=O$3,1,0))*OFFSET('Gastos com Pessoal'!$H$512,1,MATCH(3&amp;$B56,'Gastos com Pessoal'!$I$532:$AJ$532&amp;'Gastos com Pessoal'!$I$512:$AJ$512,0),10,1)),0)+_xlfn.IFNA(SUM((O$3&gt;='Gastos com Pessoal'!$E$513:$E$522)*(O$3&lt;='Gastos com Pessoal'!$F$513:$F$522)*(IF('Gastos com Pessoal'!$Y$513:$Y$522&lt;=O$3,1,0))*OFFSET('Gastos com Pessoal'!$H$512,1,MATCH(4&amp;$B56,'Gastos com Pessoal'!$I$532:$AJ$532&amp;'Gastos com Pessoal'!$I$512:$AJ$512,0),10,1)),0)+_xlfn.IFNA(SUM((O$3&gt;='Gastos com Pessoal'!$E$513:$E$522)*(O$3&lt;='Gastos com Pessoal'!$F$513:$F$522)*(IF('Gastos com Pessoal'!$AE$513:$AE$522&lt;=O$3,1,0))*OFFSET('Gastos com Pessoal'!$H$512,1,MATCH(5&amp;$B56,'Gastos com Pessoal'!$I$532:$AJ$532&amp;'Gastos com Pessoal'!$I$512:$AJ$512,0),10,1)),0)</f>
        <v>160288.23999999909</v>
      </c>
      <c r="P56" s="188">
        <f t="array" aca="1" ref="P56" ca="1">_xlfn.IFNA(SUM((P$3&gt;='Gastos com Pessoal'!$E$7:$E$506)*(P$3&lt;='Gastos com Pessoal'!$F$7:$F$506)*OFFSET('Encargos e Benefícios'!$D$5,1,MATCH($B56,'Encargos e Benefícios'!$E$5:$AB$5,0),500,1)),0)+_xlfn.IFNA(SUM((P$3&gt;='Gastos com Pessoal'!$E$513:$E$522)*(P$3&lt;='Gastos com Pessoal'!$F$513:$F$522)*OFFSET('Encargos e Benefícios'!$D$511,1,MATCH($B56,'Encargos e Benefícios'!$E$511:$AB$511,0),10,1)),0)+_xlfn.IFNA(SUM((P$3&gt;='Gastos com Pessoal'!$E$7:$E$506)*(P$3&lt;='Gastos com Pessoal'!$F$7:$F$506)*(IF('Gastos com Pessoal'!$G$7:$G$506&lt;=P$3,1,0))*OFFSET('Gastos com Pessoal'!$H$6,1,MATCH(1&amp;$B56,'Gastos com Pessoal'!$I$532:$AJ$532&amp;'Gastos com Pessoal'!$I$6:$AJ$6,0),500,1)),0)+_xlfn.IFNA(SUM((P$3&gt;='Gastos com Pessoal'!$E$7:$E$506)*(P$3&lt;='Gastos com Pessoal'!$F$7:$F$506)*(IF('Gastos com Pessoal'!$M$7:$M$506&lt;=P$3,1,0))*OFFSET('Gastos com Pessoal'!$H$6,1,MATCH(2&amp;$B56,'Gastos com Pessoal'!$I$532:$AJ$532&amp;'Gastos com Pessoal'!$I$6:$AJ$6,0),500,1)),0)+_xlfn.IFNA(SUM((P$3&gt;='Gastos com Pessoal'!$E$7:$E$506)*(P$3&lt;='Gastos com Pessoal'!$F$7:$F$506)*(IF('Gastos com Pessoal'!$S$7:$S$506&lt;=P$3,1,0))*OFFSET('Gastos com Pessoal'!$H$6,1,MATCH(3&amp;$B56,'Gastos com Pessoal'!$I$532:$AJ$532&amp;'Gastos com Pessoal'!$I$6:$AJ$6,0),500,1)),0)+_xlfn.IFNA(SUM((P$3&gt;='Gastos com Pessoal'!$E$7:$E$506)*(P$3&lt;='Gastos com Pessoal'!$F$7:$F$506)*(IF('Gastos com Pessoal'!$Y$7:$Y$506&lt;=P$3,1,0))*OFFSET('Gastos com Pessoal'!$H$6,1,MATCH(4&amp;$B56,'Gastos com Pessoal'!$I$532:$AJ$532&amp;'Gastos com Pessoal'!$I$6:$AJ$6,0),500,1)),0)+_xlfn.IFNA(SUM((P$3&gt;='Gastos com Pessoal'!$E$7:$E$506)*(P$3&lt;='Gastos com Pessoal'!$F$7:$F$506)*(IF('Gastos com Pessoal'!$AE$7:$AE$506&lt;=P$3,1,0))*OFFSET('Gastos com Pessoal'!$H$6,1,MATCH(5&amp;$B56,'Gastos com Pessoal'!$I$532:$AJ$532&amp;'Gastos com Pessoal'!$I$6:$AJ$6,0),500,1)),0)+_xlfn.IFNA(SUM((P$3&gt;='Gastos com Pessoal'!$E$513:$E$522)*(P$3&lt;='Gastos com Pessoal'!$F$513:$F$522)*(IF('Gastos com Pessoal'!$G$513:$G$522&lt;=P$3,1,0))*OFFSET('Gastos com Pessoal'!$H$512,1,MATCH(1&amp;$B56,'Gastos com Pessoal'!$I$532:$AJ$532&amp;'Gastos com Pessoal'!$I$512:$AJ$512,0),10,1)),0)+_xlfn.IFNA(SUM((P$3&gt;='Gastos com Pessoal'!$E$513:$E$522)*(P$3&lt;='Gastos com Pessoal'!$F$513:$F$522)*(IF('Gastos com Pessoal'!$M$513:$M$522&lt;=P$3,1,0))*OFFSET('Gastos com Pessoal'!$H$512,1,MATCH(2&amp;$B56,'Gastos com Pessoal'!$I$532:$AJ$532&amp;'Gastos com Pessoal'!$I$512:$AJ$512,0),10,1)),0)+_xlfn.IFNA(SUM((P$3&gt;='Gastos com Pessoal'!$E$513:$E$522)*(P$3&lt;='Gastos com Pessoal'!$F$513:$F$522)*(IF('Gastos com Pessoal'!$S$513:$S$522&lt;=P$3,1,0))*OFFSET('Gastos com Pessoal'!$H$512,1,MATCH(3&amp;$B56,'Gastos com Pessoal'!$I$532:$AJ$532&amp;'Gastos com Pessoal'!$I$512:$AJ$512,0),10,1)),0)+_xlfn.IFNA(SUM((P$3&gt;='Gastos com Pessoal'!$E$513:$E$522)*(P$3&lt;='Gastos com Pessoal'!$F$513:$F$522)*(IF('Gastos com Pessoal'!$Y$513:$Y$522&lt;=P$3,1,0))*OFFSET('Gastos com Pessoal'!$H$512,1,MATCH(4&amp;$B56,'Gastos com Pessoal'!$I$532:$AJ$532&amp;'Gastos com Pessoal'!$I$512:$AJ$512,0),10,1)),0)+_xlfn.IFNA(SUM((P$3&gt;='Gastos com Pessoal'!$E$513:$E$522)*(P$3&lt;='Gastos com Pessoal'!$F$513:$F$522)*(IF('Gastos com Pessoal'!$AE$513:$AE$522&lt;=P$3,1,0))*OFFSET('Gastos com Pessoal'!$H$512,1,MATCH(5&amp;$B56,'Gastos com Pessoal'!$I$532:$AJ$532&amp;'Gastos com Pessoal'!$I$512:$AJ$512,0),10,1)),0)</f>
        <v>160288.23999999909</v>
      </c>
      <c r="Q56" s="188">
        <f t="array" aca="1" ref="Q56" ca="1">_xlfn.IFNA(SUM((Q$3&gt;='Gastos com Pessoal'!$E$7:$E$506)*(Q$3&lt;='Gastos com Pessoal'!$F$7:$F$506)*OFFSET('Encargos e Benefícios'!$D$5,1,MATCH($B56,'Encargos e Benefícios'!$E$5:$AB$5,0),500,1)),0)+_xlfn.IFNA(SUM((Q$3&gt;='Gastos com Pessoal'!$E$513:$E$522)*(Q$3&lt;='Gastos com Pessoal'!$F$513:$F$522)*OFFSET('Encargos e Benefícios'!$D$511,1,MATCH($B56,'Encargos e Benefícios'!$E$511:$AB$511,0),10,1)),0)+_xlfn.IFNA(SUM((Q$3&gt;='Gastos com Pessoal'!$E$7:$E$506)*(Q$3&lt;='Gastos com Pessoal'!$F$7:$F$506)*(IF('Gastos com Pessoal'!$G$7:$G$506&lt;=Q$3,1,0))*OFFSET('Gastos com Pessoal'!$H$6,1,MATCH(1&amp;$B56,'Gastos com Pessoal'!$I$532:$AJ$532&amp;'Gastos com Pessoal'!$I$6:$AJ$6,0),500,1)),0)+_xlfn.IFNA(SUM((Q$3&gt;='Gastos com Pessoal'!$E$7:$E$506)*(Q$3&lt;='Gastos com Pessoal'!$F$7:$F$506)*(IF('Gastos com Pessoal'!$M$7:$M$506&lt;=Q$3,1,0))*OFFSET('Gastos com Pessoal'!$H$6,1,MATCH(2&amp;$B56,'Gastos com Pessoal'!$I$532:$AJ$532&amp;'Gastos com Pessoal'!$I$6:$AJ$6,0),500,1)),0)+_xlfn.IFNA(SUM((Q$3&gt;='Gastos com Pessoal'!$E$7:$E$506)*(Q$3&lt;='Gastos com Pessoal'!$F$7:$F$506)*(IF('Gastos com Pessoal'!$S$7:$S$506&lt;=Q$3,1,0))*OFFSET('Gastos com Pessoal'!$H$6,1,MATCH(3&amp;$B56,'Gastos com Pessoal'!$I$532:$AJ$532&amp;'Gastos com Pessoal'!$I$6:$AJ$6,0),500,1)),0)+_xlfn.IFNA(SUM((Q$3&gt;='Gastos com Pessoal'!$E$7:$E$506)*(Q$3&lt;='Gastos com Pessoal'!$F$7:$F$506)*(IF('Gastos com Pessoal'!$Y$7:$Y$506&lt;=Q$3,1,0))*OFFSET('Gastos com Pessoal'!$H$6,1,MATCH(4&amp;$B56,'Gastos com Pessoal'!$I$532:$AJ$532&amp;'Gastos com Pessoal'!$I$6:$AJ$6,0),500,1)),0)+_xlfn.IFNA(SUM((Q$3&gt;='Gastos com Pessoal'!$E$7:$E$506)*(Q$3&lt;='Gastos com Pessoal'!$F$7:$F$506)*(IF('Gastos com Pessoal'!$AE$7:$AE$506&lt;=Q$3,1,0))*OFFSET('Gastos com Pessoal'!$H$6,1,MATCH(5&amp;$B56,'Gastos com Pessoal'!$I$532:$AJ$532&amp;'Gastos com Pessoal'!$I$6:$AJ$6,0),500,1)),0)+_xlfn.IFNA(SUM((Q$3&gt;='Gastos com Pessoal'!$E$513:$E$522)*(Q$3&lt;='Gastos com Pessoal'!$F$513:$F$522)*(IF('Gastos com Pessoal'!$G$513:$G$522&lt;=Q$3,1,0))*OFFSET('Gastos com Pessoal'!$H$512,1,MATCH(1&amp;$B56,'Gastos com Pessoal'!$I$532:$AJ$532&amp;'Gastos com Pessoal'!$I$512:$AJ$512,0),10,1)),0)+_xlfn.IFNA(SUM((Q$3&gt;='Gastos com Pessoal'!$E$513:$E$522)*(Q$3&lt;='Gastos com Pessoal'!$F$513:$F$522)*(IF('Gastos com Pessoal'!$M$513:$M$522&lt;=Q$3,1,0))*OFFSET('Gastos com Pessoal'!$H$512,1,MATCH(2&amp;$B56,'Gastos com Pessoal'!$I$532:$AJ$532&amp;'Gastos com Pessoal'!$I$512:$AJ$512,0),10,1)),0)+_xlfn.IFNA(SUM((Q$3&gt;='Gastos com Pessoal'!$E$513:$E$522)*(Q$3&lt;='Gastos com Pessoal'!$F$513:$F$522)*(IF('Gastos com Pessoal'!$S$513:$S$522&lt;=Q$3,1,0))*OFFSET('Gastos com Pessoal'!$H$512,1,MATCH(3&amp;$B56,'Gastos com Pessoal'!$I$532:$AJ$532&amp;'Gastos com Pessoal'!$I$512:$AJ$512,0),10,1)),0)+_xlfn.IFNA(SUM((Q$3&gt;='Gastos com Pessoal'!$E$513:$E$522)*(Q$3&lt;='Gastos com Pessoal'!$F$513:$F$522)*(IF('Gastos com Pessoal'!$Y$513:$Y$522&lt;=Q$3,1,0))*OFFSET('Gastos com Pessoal'!$H$512,1,MATCH(4&amp;$B56,'Gastos com Pessoal'!$I$532:$AJ$532&amp;'Gastos com Pessoal'!$I$512:$AJ$512,0),10,1)),0)+_xlfn.IFNA(SUM((Q$3&gt;='Gastos com Pessoal'!$E$513:$E$522)*(Q$3&lt;='Gastos com Pessoal'!$F$513:$F$522)*(IF('Gastos com Pessoal'!$AE$513:$AE$522&lt;=Q$3,1,0))*OFFSET('Gastos com Pessoal'!$H$512,1,MATCH(5&amp;$B56,'Gastos com Pessoal'!$I$532:$AJ$532&amp;'Gastos com Pessoal'!$I$512:$AJ$512,0),10,1)),0)</f>
        <v>160288.23999999909</v>
      </c>
      <c r="R56" s="188">
        <f t="array" aca="1" ref="R56" ca="1">_xlfn.IFNA(SUM((R$3&gt;='Gastos com Pessoal'!$E$7:$E$506)*(R$3&lt;='Gastos com Pessoal'!$F$7:$F$506)*OFFSET('Encargos e Benefícios'!$D$5,1,MATCH($B56,'Encargos e Benefícios'!$E$5:$AB$5,0),500,1)),0)+_xlfn.IFNA(SUM((R$3&gt;='Gastos com Pessoal'!$E$513:$E$522)*(R$3&lt;='Gastos com Pessoal'!$F$513:$F$522)*OFFSET('Encargos e Benefícios'!$D$511,1,MATCH($B56,'Encargos e Benefícios'!$E$511:$AB$511,0),10,1)),0)+_xlfn.IFNA(SUM((R$3&gt;='Gastos com Pessoal'!$E$7:$E$506)*(R$3&lt;='Gastos com Pessoal'!$F$7:$F$506)*(IF('Gastos com Pessoal'!$G$7:$G$506&lt;=R$3,1,0))*OFFSET('Gastos com Pessoal'!$H$6,1,MATCH(1&amp;$B56,'Gastos com Pessoal'!$I$532:$AJ$532&amp;'Gastos com Pessoal'!$I$6:$AJ$6,0),500,1)),0)+_xlfn.IFNA(SUM((R$3&gt;='Gastos com Pessoal'!$E$7:$E$506)*(R$3&lt;='Gastos com Pessoal'!$F$7:$F$506)*(IF('Gastos com Pessoal'!$M$7:$M$506&lt;=R$3,1,0))*OFFSET('Gastos com Pessoal'!$H$6,1,MATCH(2&amp;$B56,'Gastos com Pessoal'!$I$532:$AJ$532&amp;'Gastos com Pessoal'!$I$6:$AJ$6,0),500,1)),0)+_xlfn.IFNA(SUM((R$3&gt;='Gastos com Pessoal'!$E$7:$E$506)*(R$3&lt;='Gastos com Pessoal'!$F$7:$F$506)*(IF('Gastos com Pessoal'!$S$7:$S$506&lt;=R$3,1,0))*OFFSET('Gastos com Pessoal'!$H$6,1,MATCH(3&amp;$B56,'Gastos com Pessoal'!$I$532:$AJ$532&amp;'Gastos com Pessoal'!$I$6:$AJ$6,0),500,1)),0)+_xlfn.IFNA(SUM((R$3&gt;='Gastos com Pessoal'!$E$7:$E$506)*(R$3&lt;='Gastos com Pessoal'!$F$7:$F$506)*(IF('Gastos com Pessoal'!$Y$7:$Y$506&lt;=R$3,1,0))*OFFSET('Gastos com Pessoal'!$H$6,1,MATCH(4&amp;$B56,'Gastos com Pessoal'!$I$532:$AJ$532&amp;'Gastos com Pessoal'!$I$6:$AJ$6,0),500,1)),0)+_xlfn.IFNA(SUM((R$3&gt;='Gastos com Pessoal'!$E$7:$E$506)*(R$3&lt;='Gastos com Pessoal'!$F$7:$F$506)*(IF('Gastos com Pessoal'!$AE$7:$AE$506&lt;=R$3,1,0))*OFFSET('Gastos com Pessoal'!$H$6,1,MATCH(5&amp;$B56,'Gastos com Pessoal'!$I$532:$AJ$532&amp;'Gastos com Pessoal'!$I$6:$AJ$6,0),500,1)),0)+_xlfn.IFNA(SUM((R$3&gt;='Gastos com Pessoal'!$E$513:$E$522)*(R$3&lt;='Gastos com Pessoal'!$F$513:$F$522)*(IF('Gastos com Pessoal'!$G$513:$G$522&lt;=R$3,1,0))*OFFSET('Gastos com Pessoal'!$H$512,1,MATCH(1&amp;$B56,'Gastos com Pessoal'!$I$532:$AJ$532&amp;'Gastos com Pessoal'!$I$512:$AJ$512,0),10,1)),0)+_xlfn.IFNA(SUM((R$3&gt;='Gastos com Pessoal'!$E$513:$E$522)*(R$3&lt;='Gastos com Pessoal'!$F$513:$F$522)*(IF('Gastos com Pessoal'!$M$513:$M$522&lt;=R$3,1,0))*OFFSET('Gastos com Pessoal'!$H$512,1,MATCH(2&amp;$B56,'Gastos com Pessoal'!$I$532:$AJ$532&amp;'Gastos com Pessoal'!$I$512:$AJ$512,0),10,1)),0)+_xlfn.IFNA(SUM((R$3&gt;='Gastos com Pessoal'!$E$513:$E$522)*(R$3&lt;='Gastos com Pessoal'!$F$513:$F$522)*(IF('Gastos com Pessoal'!$S$513:$S$522&lt;=R$3,1,0))*OFFSET('Gastos com Pessoal'!$H$512,1,MATCH(3&amp;$B56,'Gastos com Pessoal'!$I$532:$AJ$532&amp;'Gastos com Pessoal'!$I$512:$AJ$512,0),10,1)),0)+_xlfn.IFNA(SUM((R$3&gt;='Gastos com Pessoal'!$E$513:$E$522)*(R$3&lt;='Gastos com Pessoal'!$F$513:$F$522)*(IF('Gastos com Pessoal'!$Y$513:$Y$522&lt;=R$3,1,0))*OFFSET('Gastos com Pessoal'!$H$512,1,MATCH(4&amp;$B56,'Gastos com Pessoal'!$I$532:$AJ$532&amp;'Gastos com Pessoal'!$I$512:$AJ$512,0),10,1)),0)+_xlfn.IFNA(SUM((R$3&gt;='Gastos com Pessoal'!$E$513:$E$522)*(R$3&lt;='Gastos com Pessoal'!$F$513:$F$522)*(IF('Gastos com Pessoal'!$AE$513:$AE$522&lt;=R$3,1,0))*OFFSET('Gastos com Pessoal'!$H$512,1,MATCH(5&amp;$B56,'Gastos com Pessoal'!$I$532:$AJ$532&amp;'Gastos com Pessoal'!$I$512:$AJ$512,0),10,1)),0)</f>
        <v>160288.23999999909</v>
      </c>
      <c r="S56" s="188">
        <f t="array" aca="1" ref="S56" ca="1">_xlfn.IFNA(SUM((S$3&gt;='Gastos com Pessoal'!$E$7:$E$506)*(S$3&lt;='Gastos com Pessoal'!$F$7:$F$506)*OFFSET('Encargos e Benefícios'!$D$5,1,MATCH($B56,'Encargos e Benefícios'!$E$5:$AB$5,0),500,1)),0)+_xlfn.IFNA(SUM((S$3&gt;='Gastos com Pessoal'!$E$513:$E$522)*(S$3&lt;='Gastos com Pessoal'!$F$513:$F$522)*OFFSET('Encargos e Benefícios'!$D$511,1,MATCH($B56,'Encargos e Benefícios'!$E$511:$AB$511,0),10,1)),0)+_xlfn.IFNA(SUM((S$3&gt;='Gastos com Pessoal'!$E$7:$E$506)*(S$3&lt;='Gastos com Pessoal'!$F$7:$F$506)*(IF('Gastos com Pessoal'!$G$7:$G$506&lt;=S$3,1,0))*OFFSET('Gastos com Pessoal'!$H$6,1,MATCH(1&amp;$B56,'Gastos com Pessoal'!$I$532:$AJ$532&amp;'Gastos com Pessoal'!$I$6:$AJ$6,0),500,1)),0)+_xlfn.IFNA(SUM((S$3&gt;='Gastos com Pessoal'!$E$7:$E$506)*(S$3&lt;='Gastos com Pessoal'!$F$7:$F$506)*(IF('Gastos com Pessoal'!$M$7:$M$506&lt;=S$3,1,0))*OFFSET('Gastos com Pessoal'!$H$6,1,MATCH(2&amp;$B56,'Gastos com Pessoal'!$I$532:$AJ$532&amp;'Gastos com Pessoal'!$I$6:$AJ$6,0),500,1)),0)+_xlfn.IFNA(SUM((S$3&gt;='Gastos com Pessoal'!$E$7:$E$506)*(S$3&lt;='Gastos com Pessoal'!$F$7:$F$506)*(IF('Gastos com Pessoal'!$S$7:$S$506&lt;=S$3,1,0))*OFFSET('Gastos com Pessoal'!$H$6,1,MATCH(3&amp;$B56,'Gastos com Pessoal'!$I$532:$AJ$532&amp;'Gastos com Pessoal'!$I$6:$AJ$6,0),500,1)),0)+_xlfn.IFNA(SUM((S$3&gt;='Gastos com Pessoal'!$E$7:$E$506)*(S$3&lt;='Gastos com Pessoal'!$F$7:$F$506)*(IF('Gastos com Pessoal'!$Y$7:$Y$506&lt;=S$3,1,0))*OFFSET('Gastos com Pessoal'!$H$6,1,MATCH(4&amp;$B56,'Gastos com Pessoal'!$I$532:$AJ$532&amp;'Gastos com Pessoal'!$I$6:$AJ$6,0),500,1)),0)+_xlfn.IFNA(SUM((S$3&gt;='Gastos com Pessoal'!$E$7:$E$506)*(S$3&lt;='Gastos com Pessoal'!$F$7:$F$506)*(IF('Gastos com Pessoal'!$AE$7:$AE$506&lt;=S$3,1,0))*OFFSET('Gastos com Pessoal'!$H$6,1,MATCH(5&amp;$B56,'Gastos com Pessoal'!$I$532:$AJ$532&amp;'Gastos com Pessoal'!$I$6:$AJ$6,0),500,1)),0)+_xlfn.IFNA(SUM((S$3&gt;='Gastos com Pessoal'!$E$513:$E$522)*(S$3&lt;='Gastos com Pessoal'!$F$513:$F$522)*(IF('Gastos com Pessoal'!$G$513:$G$522&lt;=S$3,1,0))*OFFSET('Gastos com Pessoal'!$H$512,1,MATCH(1&amp;$B56,'Gastos com Pessoal'!$I$532:$AJ$532&amp;'Gastos com Pessoal'!$I$512:$AJ$512,0),10,1)),0)+_xlfn.IFNA(SUM((S$3&gt;='Gastos com Pessoal'!$E$513:$E$522)*(S$3&lt;='Gastos com Pessoal'!$F$513:$F$522)*(IF('Gastos com Pessoal'!$M$513:$M$522&lt;=S$3,1,0))*OFFSET('Gastos com Pessoal'!$H$512,1,MATCH(2&amp;$B56,'Gastos com Pessoal'!$I$532:$AJ$532&amp;'Gastos com Pessoal'!$I$512:$AJ$512,0),10,1)),0)+_xlfn.IFNA(SUM((S$3&gt;='Gastos com Pessoal'!$E$513:$E$522)*(S$3&lt;='Gastos com Pessoal'!$F$513:$F$522)*(IF('Gastos com Pessoal'!$S$513:$S$522&lt;=S$3,1,0))*OFFSET('Gastos com Pessoal'!$H$512,1,MATCH(3&amp;$B56,'Gastos com Pessoal'!$I$532:$AJ$532&amp;'Gastos com Pessoal'!$I$512:$AJ$512,0),10,1)),0)+_xlfn.IFNA(SUM((S$3&gt;='Gastos com Pessoal'!$E$513:$E$522)*(S$3&lt;='Gastos com Pessoal'!$F$513:$F$522)*(IF('Gastos com Pessoal'!$Y$513:$Y$522&lt;=S$3,1,0))*OFFSET('Gastos com Pessoal'!$H$512,1,MATCH(4&amp;$B56,'Gastos com Pessoal'!$I$532:$AJ$532&amp;'Gastos com Pessoal'!$I$512:$AJ$512,0),10,1)),0)+_xlfn.IFNA(SUM((S$3&gt;='Gastos com Pessoal'!$E$513:$E$522)*(S$3&lt;='Gastos com Pessoal'!$F$513:$F$522)*(IF('Gastos com Pessoal'!$AE$513:$AE$522&lt;=S$3,1,0))*OFFSET('Gastos com Pessoal'!$H$512,1,MATCH(5&amp;$B56,'Gastos com Pessoal'!$I$532:$AJ$532&amp;'Gastos com Pessoal'!$I$512:$AJ$512,0),10,1)),0)</f>
        <v>160288.23999999909</v>
      </c>
      <c r="T56" s="188">
        <f t="array" aca="1" ref="T56" ca="1">_xlfn.IFNA(SUM((T$3&gt;='Gastos com Pessoal'!$E$7:$E$506)*(T$3&lt;='Gastos com Pessoal'!$F$7:$F$506)*OFFSET('Encargos e Benefícios'!$D$5,1,MATCH($B56,'Encargos e Benefícios'!$E$5:$AB$5,0),500,1)),0)+_xlfn.IFNA(SUM((T$3&gt;='Gastos com Pessoal'!$E$513:$E$522)*(T$3&lt;='Gastos com Pessoal'!$F$513:$F$522)*OFFSET('Encargos e Benefícios'!$D$511,1,MATCH($B56,'Encargos e Benefícios'!$E$511:$AB$511,0),10,1)),0)+_xlfn.IFNA(SUM((T$3&gt;='Gastos com Pessoal'!$E$7:$E$506)*(T$3&lt;='Gastos com Pessoal'!$F$7:$F$506)*(IF('Gastos com Pessoal'!$G$7:$G$506&lt;=T$3,1,0))*OFFSET('Gastos com Pessoal'!$H$6,1,MATCH(1&amp;$B56,'Gastos com Pessoal'!$I$532:$AJ$532&amp;'Gastos com Pessoal'!$I$6:$AJ$6,0),500,1)),0)+_xlfn.IFNA(SUM((T$3&gt;='Gastos com Pessoal'!$E$7:$E$506)*(T$3&lt;='Gastos com Pessoal'!$F$7:$F$506)*(IF('Gastos com Pessoal'!$M$7:$M$506&lt;=T$3,1,0))*OFFSET('Gastos com Pessoal'!$H$6,1,MATCH(2&amp;$B56,'Gastos com Pessoal'!$I$532:$AJ$532&amp;'Gastos com Pessoal'!$I$6:$AJ$6,0),500,1)),0)+_xlfn.IFNA(SUM((T$3&gt;='Gastos com Pessoal'!$E$7:$E$506)*(T$3&lt;='Gastos com Pessoal'!$F$7:$F$506)*(IF('Gastos com Pessoal'!$S$7:$S$506&lt;=T$3,1,0))*OFFSET('Gastos com Pessoal'!$H$6,1,MATCH(3&amp;$B56,'Gastos com Pessoal'!$I$532:$AJ$532&amp;'Gastos com Pessoal'!$I$6:$AJ$6,0),500,1)),0)+_xlfn.IFNA(SUM((T$3&gt;='Gastos com Pessoal'!$E$7:$E$506)*(T$3&lt;='Gastos com Pessoal'!$F$7:$F$506)*(IF('Gastos com Pessoal'!$Y$7:$Y$506&lt;=T$3,1,0))*OFFSET('Gastos com Pessoal'!$H$6,1,MATCH(4&amp;$B56,'Gastos com Pessoal'!$I$532:$AJ$532&amp;'Gastos com Pessoal'!$I$6:$AJ$6,0),500,1)),0)+_xlfn.IFNA(SUM((T$3&gt;='Gastos com Pessoal'!$E$7:$E$506)*(T$3&lt;='Gastos com Pessoal'!$F$7:$F$506)*(IF('Gastos com Pessoal'!$AE$7:$AE$506&lt;=T$3,1,0))*OFFSET('Gastos com Pessoal'!$H$6,1,MATCH(5&amp;$B56,'Gastos com Pessoal'!$I$532:$AJ$532&amp;'Gastos com Pessoal'!$I$6:$AJ$6,0),500,1)),0)+_xlfn.IFNA(SUM((T$3&gt;='Gastos com Pessoal'!$E$513:$E$522)*(T$3&lt;='Gastos com Pessoal'!$F$513:$F$522)*(IF('Gastos com Pessoal'!$G$513:$G$522&lt;=T$3,1,0))*OFFSET('Gastos com Pessoal'!$H$512,1,MATCH(1&amp;$B56,'Gastos com Pessoal'!$I$532:$AJ$532&amp;'Gastos com Pessoal'!$I$512:$AJ$512,0),10,1)),0)+_xlfn.IFNA(SUM((T$3&gt;='Gastos com Pessoal'!$E$513:$E$522)*(T$3&lt;='Gastos com Pessoal'!$F$513:$F$522)*(IF('Gastos com Pessoal'!$M$513:$M$522&lt;=T$3,1,0))*OFFSET('Gastos com Pessoal'!$H$512,1,MATCH(2&amp;$B56,'Gastos com Pessoal'!$I$532:$AJ$532&amp;'Gastos com Pessoal'!$I$512:$AJ$512,0),10,1)),0)+_xlfn.IFNA(SUM((T$3&gt;='Gastos com Pessoal'!$E$513:$E$522)*(T$3&lt;='Gastos com Pessoal'!$F$513:$F$522)*(IF('Gastos com Pessoal'!$S$513:$S$522&lt;=T$3,1,0))*OFFSET('Gastos com Pessoal'!$H$512,1,MATCH(3&amp;$B56,'Gastos com Pessoal'!$I$532:$AJ$532&amp;'Gastos com Pessoal'!$I$512:$AJ$512,0),10,1)),0)+_xlfn.IFNA(SUM((T$3&gt;='Gastos com Pessoal'!$E$513:$E$522)*(T$3&lt;='Gastos com Pessoal'!$F$513:$F$522)*(IF('Gastos com Pessoal'!$Y$513:$Y$522&lt;=T$3,1,0))*OFFSET('Gastos com Pessoal'!$H$512,1,MATCH(4&amp;$B56,'Gastos com Pessoal'!$I$532:$AJ$532&amp;'Gastos com Pessoal'!$I$512:$AJ$512,0),10,1)),0)+_xlfn.IFNA(SUM((T$3&gt;='Gastos com Pessoal'!$E$513:$E$522)*(T$3&lt;='Gastos com Pessoal'!$F$513:$F$522)*(IF('Gastos com Pessoal'!$AE$513:$AE$522&lt;=T$3,1,0))*OFFSET('Gastos com Pessoal'!$H$512,1,MATCH(5&amp;$B56,'Gastos com Pessoal'!$I$532:$AJ$532&amp;'Gastos com Pessoal'!$I$512:$AJ$512,0),10,1)),0)</f>
        <v>160288.23999999909</v>
      </c>
      <c r="U56" s="188">
        <f t="array" aca="1" ref="U56" ca="1">_xlfn.IFNA(SUM((U$3&gt;='Gastos com Pessoal'!$E$7:$E$506)*(U$3&lt;='Gastos com Pessoal'!$F$7:$F$506)*OFFSET('Encargos e Benefícios'!$D$5,1,MATCH($B56,'Encargos e Benefícios'!$E$5:$AB$5,0),500,1)),0)+_xlfn.IFNA(SUM((U$3&gt;='Gastos com Pessoal'!$E$513:$E$522)*(U$3&lt;='Gastos com Pessoal'!$F$513:$F$522)*OFFSET('Encargos e Benefícios'!$D$511,1,MATCH($B56,'Encargos e Benefícios'!$E$511:$AB$511,0),10,1)),0)+_xlfn.IFNA(SUM((U$3&gt;='Gastos com Pessoal'!$E$7:$E$506)*(U$3&lt;='Gastos com Pessoal'!$F$7:$F$506)*(IF('Gastos com Pessoal'!$G$7:$G$506&lt;=U$3,1,0))*OFFSET('Gastos com Pessoal'!$H$6,1,MATCH(1&amp;$B56,'Gastos com Pessoal'!$I$532:$AJ$532&amp;'Gastos com Pessoal'!$I$6:$AJ$6,0),500,1)),0)+_xlfn.IFNA(SUM((U$3&gt;='Gastos com Pessoal'!$E$7:$E$506)*(U$3&lt;='Gastos com Pessoal'!$F$7:$F$506)*(IF('Gastos com Pessoal'!$M$7:$M$506&lt;=U$3,1,0))*OFFSET('Gastos com Pessoal'!$H$6,1,MATCH(2&amp;$B56,'Gastos com Pessoal'!$I$532:$AJ$532&amp;'Gastos com Pessoal'!$I$6:$AJ$6,0),500,1)),0)+_xlfn.IFNA(SUM((U$3&gt;='Gastos com Pessoal'!$E$7:$E$506)*(U$3&lt;='Gastos com Pessoal'!$F$7:$F$506)*(IF('Gastos com Pessoal'!$S$7:$S$506&lt;=U$3,1,0))*OFFSET('Gastos com Pessoal'!$H$6,1,MATCH(3&amp;$B56,'Gastos com Pessoal'!$I$532:$AJ$532&amp;'Gastos com Pessoal'!$I$6:$AJ$6,0),500,1)),0)+_xlfn.IFNA(SUM((U$3&gt;='Gastos com Pessoal'!$E$7:$E$506)*(U$3&lt;='Gastos com Pessoal'!$F$7:$F$506)*(IF('Gastos com Pessoal'!$Y$7:$Y$506&lt;=U$3,1,0))*OFFSET('Gastos com Pessoal'!$H$6,1,MATCH(4&amp;$B56,'Gastos com Pessoal'!$I$532:$AJ$532&amp;'Gastos com Pessoal'!$I$6:$AJ$6,0),500,1)),0)+_xlfn.IFNA(SUM((U$3&gt;='Gastos com Pessoal'!$E$7:$E$506)*(U$3&lt;='Gastos com Pessoal'!$F$7:$F$506)*(IF('Gastos com Pessoal'!$AE$7:$AE$506&lt;=U$3,1,0))*OFFSET('Gastos com Pessoal'!$H$6,1,MATCH(5&amp;$B56,'Gastos com Pessoal'!$I$532:$AJ$532&amp;'Gastos com Pessoal'!$I$6:$AJ$6,0),500,1)),0)+_xlfn.IFNA(SUM((U$3&gt;='Gastos com Pessoal'!$E$513:$E$522)*(U$3&lt;='Gastos com Pessoal'!$F$513:$F$522)*(IF('Gastos com Pessoal'!$G$513:$G$522&lt;=U$3,1,0))*OFFSET('Gastos com Pessoal'!$H$512,1,MATCH(1&amp;$B56,'Gastos com Pessoal'!$I$532:$AJ$532&amp;'Gastos com Pessoal'!$I$512:$AJ$512,0),10,1)),0)+_xlfn.IFNA(SUM((U$3&gt;='Gastos com Pessoal'!$E$513:$E$522)*(U$3&lt;='Gastos com Pessoal'!$F$513:$F$522)*(IF('Gastos com Pessoal'!$M$513:$M$522&lt;=U$3,1,0))*OFFSET('Gastos com Pessoal'!$H$512,1,MATCH(2&amp;$B56,'Gastos com Pessoal'!$I$532:$AJ$532&amp;'Gastos com Pessoal'!$I$512:$AJ$512,0),10,1)),0)+_xlfn.IFNA(SUM((U$3&gt;='Gastos com Pessoal'!$E$513:$E$522)*(U$3&lt;='Gastos com Pessoal'!$F$513:$F$522)*(IF('Gastos com Pessoal'!$S$513:$S$522&lt;=U$3,1,0))*OFFSET('Gastos com Pessoal'!$H$512,1,MATCH(3&amp;$B56,'Gastos com Pessoal'!$I$532:$AJ$532&amp;'Gastos com Pessoal'!$I$512:$AJ$512,0),10,1)),0)+_xlfn.IFNA(SUM((U$3&gt;='Gastos com Pessoal'!$E$513:$E$522)*(U$3&lt;='Gastos com Pessoal'!$F$513:$F$522)*(IF('Gastos com Pessoal'!$Y$513:$Y$522&lt;=U$3,1,0))*OFFSET('Gastos com Pessoal'!$H$512,1,MATCH(4&amp;$B56,'Gastos com Pessoal'!$I$532:$AJ$532&amp;'Gastos com Pessoal'!$I$512:$AJ$512,0),10,1)),0)+_xlfn.IFNA(SUM((U$3&gt;='Gastos com Pessoal'!$E$513:$E$522)*(U$3&lt;='Gastos com Pessoal'!$F$513:$F$522)*(IF('Gastos com Pessoal'!$AE$513:$AE$522&lt;=U$3,1,0))*OFFSET('Gastos com Pessoal'!$H$512,1,MATCH(5&amp;$B56,'Gastos com Pessoal'!$I$532:$AJ$532&amp;'Gastos com Pessoal'!$I$512:$AJ$512,0),10,1)),0)</f>
        <v>160288.23999999909</v>
      </c>
      <c r="V56" s="188">
        <f t="array" aca="1" ref="V56" ca="1">_xlfn.IFNA(SUM((V$3&gt;='Gastos com Pessoal'!$E$7:$E$506)*(V$3&lt;='Gastos com Pessoal'!$F$7:$F$506)*OFFSET('Encargos e Benefícios'!$D$5,1,MATCH($B56,'Encargos e Benefícios'!$E$5:$AB$5,0),500,1)),0)+_xlfn.IFNA(SUM((V$3&gt;='Gastos com Pessoal'!$E$513:$E$522)*(V$3&lt;='Gastos com Pessoal'!$F$513:$F$522)*OFFSET('Encargos e Benefícios'!$D$511,1,MATCH($B56,'Encargos e Benefícios'!$E$511:$AB$511,0),10,1)),0)+_xlfn.IFNA(SUM((V$3&gt;='Gastos com Pessoal'!$E$7:$E$506)*(V$3&lt;='Gastos com Pessoal'!$F$7:$F$506)*(IF('Gastos com Pessoal'!$G$7:$G$506&lt;=V$3,1,0))*OFFSET('Gastos com Pessoal'!$H$6,1,MATCH(1&amp;$B56,'Gastos com Pessoal'!$I$532:$AJ$532&amp;'Gastos com Pessoal'!$I$6:$AJ$6,0),500,1)),0)+_xlfn.IFNA(SUM((V$3&gt;='Gastos com Pessoal'!$E$7:$E$506)*(V$3&lt;='Gastos com Pessoal'!$F$7:$F$506)*(IF('Gastos com Pessoal'!$M$7:$M$506&lt;=V$3,1,0))*OFFSET('Gastos com Pessoal'!$H$6,1,MATCH(2&amp;$B56,'Gastos com Pessoal'!$I$532:$AJ$532&amp;'Gastos com Pessoal'!$I$6:$AJ$6,0),500,1)),0)+_xlfn.IFNA(SUM((V$3&gt;='Gastos com Pessoal'!$E$7:$E$506)*(V$3&lt;='Gastos com Pessoal'!$F$7:$F$506)*(IF('Gastos com Pessoal'!$S$7:$S$506&lt;=V$3,1,0))*OFFSET('Gastos com Pessoal'!$H$6,1,MATCH(3&amp;$B56,'Gastos com Pessoal'!$I$532:$AJ$532&amp;'Gastos com Pessoal'!$I$6:$AJ$6,0),500,1)),0)+_xlfn.IFNA(SUM((V$3&gt;='Gastos com Pessoal'!$E$7:$E$506)*(V$3&lt;='Gastos com Pessoal'!$F$7:$F$506)*(IF('Gastos com Pessoal'!$Y$7:$Y$506&lt;=V$3,1,0))*OFFSET('Gastos com Pessoal'!$H$6,1,MATCH(4&amp;$B56,'Gastos com Pessoal'!$I$532:$AJ$532&amp;'Gastos com Pessoal'!$I$6:$AJ$6,0),500,1)),0)+_xlfn.IFNA(SUM((V$3&gt;='Gastos com Pessoal'!$E$7:$E$506)*(V$3&lt;='Gastos com Pessoal'!$F$7:$F$506)*(IF('Gastos com Pessoal'!$AE$7:$AE$506&lt;=V$3,1,0))*OFFSET('Gastos com Pessoal'!$H$6,1,MATCH(5&amp;$B56,'Gastos com Pessoal'!$I$532:$AJ$532&amp;'Gastos com Pessoal'!$I$6:$AJ$6,0),500,1)),0)+_xlfn.IFNA(SUM((V$3&gt;='Gastos com Pessoal'!$E$513:$E$522)*(V$3&lt;='Gastos com Pessoal'!$F$513:$F$522)*(IF('Gastos com Pessoal'!$G$513:$G$522&lt;=V$3,1,0))*OFFSET('Gastos com Pessoal'!$H$512,1,MATCH(1&amp;$B56,'Gastos com Pessoal'!$I$532:$AJ$532&amp;'Gastos com Pessoal'!$I$512:$AJ$512,0),10,1)),0)+_xlfn.IFNA(SUM((V$3&gt;='Gastos com Pessoal'!$E$513:$E$522)*(V$3&lt;='Gastos com Pessoal'!$F$513:$F$522)*(IF('Gastos com Pessoal'!$M$513:$M$522&lt;=V$3,1,0))*OFFSET('Gastos com Pessoal'!$H$512,1,MATCH(2&amp;$B56,'Gastos com Pessoal'!$I$532:$AJ$532&amp;'Gastos com Pessoal'!$I$512:$AJ$512,0),10,1)),0)+_xlfn.IFNA(SUM((V$3&gt;='Gastos com Pessoal'!$E$513:$E$522)*(V$3&lt;='Gastos com Pessoal'!$F$513:$F$522)*(IF('Gastos com Pessoal'!$S$513:$S$522&lt;=V$3,1,0))*OFFSET('Gastos com Pessoal'!$H$512,1,MATCH(3&amp;$B56,'Gastos com Pessoal'!$I$532:$AJ$532&amp;'Gastos com Pessoal'!$I$512:$AJ$512,0),10,1)),0)+_xlfn.IFNA(SUM((V$3&gt;='Gastos com Pessoal'!$E$513:$E$522)*(V$3&lt;='Gastos com Pessoal'!$F$513:$F$522)*(IF('Gastos com Pessoal'!$Y$513:$Y$522&lt;=V$3,1,0))*OFFSET('Gastos com Pessoal'!$H$512,1,MATCH(4&amp;$B56,'Gastos com Pessoal'!$I$532:$AJ$532&amp;'Gastos com Pessoal'!$I$512:$AJ$512,0),10,1)),0)+_xlfn.IFNA(SUM((V$3&gt;='Gastos com Pessoal'!$E$513:$E$522)*(V$3&lt;='Gastos com Pessoal'!$F$513:$F$522)*(IF('Gastos com Pessoal'!$AE$513:$AE$522&lt;=V$3,1,0))*OFFSET('Gastos com Pessoal'!$H$512,1,MATCH(5&amp;$B56,'Gastos com Pessoal'!$I$532:$AJ$532&amp;'Gastos com Pessoal'!$I$512:$AJ$512,0),10,1)),0)</f>
        <v>160288.23999999909</v>
      </c>
      <c r="W56" s="188">
        <f t="array" aca="1" ref="W56" ca="1">_xlfn.IFNA(SUM((W$3&gt;='Gastos com Pessoal'!$E$7:$E$506)*(W$3&lt;='Gastos com Pessoal'!$F$7:$F$506)*OFFSET('Encargos e Benefícios'!$D$5,1,MATCH($B56,'Encargos e Benefícios'!$E$5:$AB$5,0),500,1)),0)+_xlfn.IFNA(SUM((W$3&gt;='Gastos com Pessoal'!$E$513:$E$522)*(W$3&lt;='Gastos com Pessoal'!$F$513:$F$522)*OFFSET('Encargos e Benefícios'!$D$511,1,MATCH($B56,'Encargos e Benefícios'!$E$511:$AB$511,0),10,1)),0)+_xlfn.IFNA(SUM((W$3&gt;='Gastos com Pessoal'!$E$7:$E$506)*(W$3&lt;='Gastos com Pessoal'!$F$7:$F$506)*(IF('Gastos com Pessoal'!$G$7:$G$506&lt;=W$3,1,0))*OFFSET('Gastos com Pessoal'!$H$6,1,MATCH(1&amp;$B56,'Gastos com Pessoal'!$I$532:$AJ$532&amp;'Gastos com Pessoal'!$I$6:$AJ$6,0),500,1)),0)+_xlfn.IFNA(SUM((W$3&gt;='Gastos com Pessoal'!$E$7:$E$506)*(W$3&lt;='Gastos com Pessoal'!$F$7:$F$506)*(IF('Gastos com Pessoal'!$M$7:$M$506&lt;=W$3,1,0))*OFFSET('Gastos com Pessoal'!$H$6,1,MATCH(2&amp;$B56,'Gastos com Pessoal'!$I$532:$AJ$532&amp;'Gastos com Pessoal'!$I$6:$AJ$6,0),500,1)),0)+_xlfn.IFNA(SUM((W$3&gt;='Gastos com Pessoal'!$E$7:$E$506)*(W$3&lt;='Gastos com Pessoal'!$F$7:$F$506)*(IF('Gastos com Pessoal'!$S$7:$S$506&lt;=W$3,1,0))*OFFSET('Gastos com Pessoal'!$H$6,1,MATCH(3&amp;$B56,'Gastos com Pessoal'!$I$532:$AJ$532&amp;'Gastos com Pessoal'!$I$6:$AJ$6,0),500,1)),0)+_xlfn.IFNA(SUM((W$3&gt;='Gastos com Pessoal'!$E$7:$E$506)*(W$3&lt;='Gastos com Pessoal'!$F$7:$F$506)*(IF('Gastos com Pessoal'!$Y$7:$Y$506&lt;=W$3,1,0))*OFFSET('Gastos com Pessoal'!$H$6,1,MATCH(4&amp;$B56,'Gastos com Pessoal'!$I$532:$AJ$532&amp;'Gastos com Pessoal'!$I$6:$AJ$6,0),500,1)),0)+_xlfn.IFNA(SUM((W$3&gt;='Gastos com Pessoal'!$E$7:$E$506)*(W$3&lt;='Gastos com Pessoal'!$F$7:$F$506)*(IF('Gastos com Pessoal'!$AE$7:$AE$506&lt;=W$3,1,0))*OFFSET('Gastos com Pessoal'!$H$6,1,MATCH(5&amp;$B56,'Gastos com Pessoal'!$I$532:$AJ$532&amp;'Gastos com Pessoal'!$I$6:$AJ$6,0),500,1)),0)+_xlfn.IFNA(SUM((W$3&gt;='Gastos com Pessoal'!$E$513:$E$522)*(W$3&lt;='Gastos com Pessoal'!$F$513:$F$522)*(IF('Gastos com Pessoal'!$G$513:$G$522&lt;=W$3,1,0))*OFFSET('Gastos com Pessoal'!$H$512,1,MATCH(1&amp;$B56,'Gastos com Pessoal'!$I$532:$AJ$532&amp;'Gastos com Pessoal'!$I$512:$AJ$512,0),10,1)),0)+_xlfn.IFNA(SUM((W$3&gt;='Gastos com Pessoal'!$E$513:$E$522)*(W$3&lt;='Gastos com Pessoal'!$F$513:$F$522)*(IF('Gastos com Pessoal'!$M$513:$M$522&lt;=W$3,1,0))*OFFSET('Gastos com Pessoal'!$H$512,1,MATCH(2&amp;$B56,'Gastos com Pessoal'!$I$532:$AJ$532&amp;'Gastos com Pessoal'!$I$512:$AJ$512,0),10,1)),0)+_xlfn.IFNA(SUM((W$3&gt;='Gastos com Pessoal'!$E$513:$E$522)*(W$3&lt;='Gastos com Pessoal'!$F$513:$F$522)*(IF('Gastos com Pessoal'!$S$513:$S$522&lt;=W$3,1,0))*OFFSET('Gastos com Pessoal'!$H$512,1,MATCH(3&amp;$B56,'Gastos com Pessoal'!$I$532:$AJ$532&amp;'Gastos com Pessoal'!$I$512:$AJ$512,0),10,1)),0)+_xlfn.IFNA(SUM((W$3&gt;='Gastos com Pessoal'!$E$513:$E$522)*(W$3&lt;='Gastos com Pessoal'!$F$513:$F$522)*(IF('Gastos com Pessoal'!$Y$513:$Y$522&lt;=W$3,1,0))*OFFSET('Gastos com Pessoal'!$H$512,1,MATCH(4&amp;$B56,'Gastos com Pessoal'!$I$532:$AJ$532&amp;'Gastos com Pessoal'!$I$512:$AJ$512,0),10,1)),0)+_xlfn.IFNA(SUM((W$3&gt;='Gastos com Pessoal'!$E$513:$E$522)*(W$3&lt;='Gastos com Pessoal'!$F$513:$F$522)*(IF('Gastos com Pessoal'!$AE$513:$AE$522&lt;=W$3,1,0))*OFFSET('Gastos com Pessoal'!$H$512,1,MATCH(5&amp;$B56,'Gastos com Pessoal'!$I$532:$AJ$532&amp;'Gastos com Pessoal'!$I$512:$AJ$512,0),10,1)),0)</f>
        <v>160288.23999999909</v>
      </c>
      <c r="X56" s="188">
        <f t="array" aca="1" ref="X56" ca="1">_xlfn.IFNA(SUM((X$3&gt;='Gastos com Pessoal'!$E$7:$E$506)*(X$3&lt;='Gastos com Pessoal'!$F$7:$F$506)*OFFSET('Encargos e Benefícios'!$D$5,1,MATCH($B56,'Encargos e Benefícios'!$E$5:$AB$5,0),500,1)),0)+_xlfn.IFNA(SUM((X$3&gt;='Gastos com Pessoal'!$E$513:$E$522)*(X$3&lt;='Gastos com Pessoal'!$F$513:$F$522)*OFFSET('Encargos e Benefícios'!$D$511,1,MATCH($B56,'Encargos e Benefícios'!$E$511:$AB$511,0),10,1)),0)+_xlfn.IFNA(SUM((X$3&gt;='Gastos com Pessoal'!$E$7:$E$506)*(X$3&lt;='Gastos com Pessoal'!$F$7:$F$506)*(IF('Gastos com Pessoal'!$G$7:$G$506&lt;=X$3,1,0))*OFFSET('Gastos com Pessoal'!$H$6,1,MATCH(1&amp;$B56,'Gastos com Pessoal'!$I$532:$AJ$532&amp;'Gastos com Pessoal'!$I$6:$AJ$6,0),500,1)),0)+_xlfn.IFNA(SUM((X$3&gt;='Gastos com Pessoal'!$E$7:$E$506)*(X$3&lt;='Gastos com Pessoal'!$F$7:$F$506)*(IF('Gastos com Pessoal'!$M$7:$M$506&lt;=X$3,1,0))*OFFSET('Gastos com Pessoal'!$H$6,1,MATCH(2&amp;$B56,'Gastos com Pessoal'!$I$532:$AJ$532&amp;'Gastos com Pessoal'!$I$6:$AJ$6,0),500,1)),0)+_xlfn.IFNA(SUM((X$3&gt;='Gastos com Pessoal'!$E$7:$E$506)*(X$3&lt;='Gastos com Pessoal'!$F$7:$F$506)*(IF('Gastos com Pessoal'!$S$7:$S$506&lt;=X$3,1,0))*OFFSET('Gastos com Pessoal'!$H$6,1,MATCH(3&amp;$B56,'Gastos com Pessoal'!$I$532:$AJ$532&amp;'Gastos com Pessoal'!$I$6:$AJ$6,0),500,1)),0)+_xlfn.IFNA(SUM((X$3&gt;='Gastos com Pessoal'!$E$7:$E$506)*(X$3&lt;='Gastos com Pessoal'!$F$7:$F$506)*(IF('Gastos com Pessoal'!$Y$7:$Y$506&lt;=X$3,1,0))*OFFSET('Gastos com Pessoal'!$H$6,1,MATCH(4&amp;$B56,'Gastos com Pessoal'!$I$532:$AJ$532&amp;'Gastos com Pessoal'!$I$6:$AJ$6,0),500,1)),0)+_xlfn.IFNA(SUM((X$3&gt;='Gastos com Pessoal'!$E$7:$E$506)*(X$3&lt;='Gastos com Pessoal'!$F$7:$F$506)*(IF('Gastos com Pessoal'!$AE$7:$AE$506&lt;=X$3,1,0))*OFFSET('Gastos com Pessoal'!$H$6,1,MATCH(5&amp;$B56,'Gastos com Pessoal'!$I$532:$AJ$532&amp;'Gastos com Pessoal'!$I$6:$AJ$6,0),500,1)),0)+_xlfn.IFNA(SUM((X$3&gt;='Gastos com Pessoal'!$E$513:$E$522)*(X$3&lt;='Gastos com Pessoal'!$F$513:$F$522)*(IF('Gastos com Pessoal'!$G$513:$G$522&lt;=X$3,1,0))*OFFSET('Gastos com Pessoal'!$H$512,1,MATCH(1&amp;$B56,'Gastos com Pessoal'!$I$532:$AJ$532&amp;'Gastos com Pessoal'!$I$512:$AJ$512,0),10,1)),0)+_xlfn.IFNA(SUM((X$3&gt;='Gastos com Pessoal'!$E$513:$E$522)*(X$3&lt;='Gastos com Pessoal'!$F$513:$F$522)*(IF('Gastos com Pessoal'!$M$513:$M$522&lt;=X$3,1,0))*OFFSET('Gastos com Pessoal'!$H$512,1,MATCH(2&amp;$B56,'Gastos com Pessoal'!$I$532:$AJ$532&amp;'Gastos com Pessoal'!$I$512:$AJ$512,0),10,1)),0)+_xlfn.IFNA(SUM((X$3&gt;='Gastos com Pessoal'!$E$513:$E$522)*(X$3&lt;='Gastos com Pessoal'!$F$513:$F$522)*(IF('Gastos com Pessoal'!$S$513:$S$522&lt;=X$3,1,0))*OFFSET('Gastos com Pessoal'!$H$512,1,MATCH(3&amp;$B56,'Gastos com Pessoal'!$I$532:$AJ$532&amp;'Gastos com Pessoal'!$I$512:$AJ$512,0),10,1)),0)+_xlfn.IFNA(SUM((X$3&gt;='Gastos com Pessoal'!$E$513:$E$522)*(X$3&lt;='Gastos com Pessoal'!$F$513:$F$522)*(IF('Gastos com Pessoal'!$Y$513:$Y$522&lt;=X$3,1,0))*OFFSET('Gastos com Pessoal'!$H$512,1,MATCH(4&amp;$B56,'Gastos com Pessoal'!$I$532:$AJ$532&amp;'Gastos com Pessoal'!$I$512:$AJ$512,0),10,1)),0)+_xlfn.IFNA(SUM((X$3&gt;='Gastos com Pessoal'!$E$513:$E$522)*(X$3&lt;='Gastos com Pessoal'!$F$513:$F$522)*(IF('Gastos com Pessoal'!$AE$513:$AE$522&lt;=X$3,1,0))*OFFSET('Gastos com Pessoal'!$H$512,1,MATCH(5&amp;$B56,'Gastos com Pessoal'!$I$532:$AJ$532&amp;'Gastos com Pessoal'!$I$512:$AJ$512,0),10,1)),0)</f>
        <v>160288.23999999909</v>
      </c>
      <c r="Y56" s="188">
        <f t="array" aca="1" ref="Y56" ca="1">_xlfn.IFNA(SUM((Y$3&gt;='Gastos com Pessoal'!$E$7:$E$506)*(Y$3&lt;='Gastos com Pessoal'!$F$7:$F$506)*OFFSET('Encargos e Benefícios'!$D$5,1,MATCH($B56,'Encargos e Benefícios'!$E$5:$AB$5,0),500,1)),0)+_xlfn.IFNA(SUM((Y$3&gt;='Gastos com Pessoal'!$E$513:$E$522)*(Y$3&lt;='Gastos com Pessoal'!$F$513:$F$522)*OFFSET('Encargos e Benefícios'!$D$511,1,MATCH($B56,'Encargos e Benefícios'!$E$511:$AB$511,0),10,1)),0)+_xlfn.IFNA(SUM((Y$3&gt;='Gastos com Pessoal'!$E$7:$E$506)*(Y$3&lt;='Gastos com Pessoal'!$F$7:$F$506)*(IF('Gastos com Pessoal'!$G$7:$G$506&lt;=Y$3,1,0))*OFFSET('Gastos com Pessoal'!$H$6,1,MATCH(1&amp;$B56,'Gastos com Pessoal'!$I$532:$AJ$532&amp;'Gastos com Pessoal'!$I$6:$AJ$6,0),500,1)),0)+_xlfn.IFNA(SUM((Y$3&gt;='Gastos com Pessoal'!$E$7:$E$506)*(Y$3&lt;='Gastos com Pessoal'!$F$7:$F$506)*(IF('Gastos com Pessoal'!$M$7:$M$506&lt;=Y$3,1,0))*OFFSET('Gastos com Pessoal'!$H$6,1,MATCH(2&amp;$B56,'Gastos com Pessoal'!$I$532:$AJ$532&amp;'Gastos com Pessoal'!$I$6:$AJ$6,0),500,1)),0)+_xlfn.IFNA(SUM((Y$3&gt;='Gastos com Pessoal'!$E$7:$E$506)*(Y$3&lt;='Gastos com Pessoal'!$F$7:$F$506)*(IF('Gastos com Pessoal'!$S$7:$S$506&lt;=Y$3,1,0))*OFFSET('Gastos com Pessoal'!$H$6,1,MATCH(3&amp;$B56,'Gastos com Pessoal'!$I$532:$AJ$532&amp;'Gastos com Pessoal'!$I$6:$AJ$6,0),500,1)),0)+_xlfn.IFNA(SUM((Y$3&gt;='Gastos com Pessoal'!$E$7:$E$506)*(Y$3&lt;='Gastos com Pessoal'!$F$7:$F$506)*(IF('Gastos com Pessoal'!$Y$7:$Y$506&lt;=Y$3,1,0))*OFFSET('Gastos com Pessoal'!$H$6,1,MATCH(4&amp;$B56,'Gastos com Pessoal'!$I$532:$AJ$532&amp;'Gastos com Pessoal'!$I$6:$AJ$6,0),500,1)),0)+_xlfn.IFNA(SUM((Y$3&gt;='Gastos com Pessoal'!$E$7:$E$506)*(Y$3&lt;='Gastos com Pessoal'!$F$7:$F$506)*(IF('Gastos com Pessoal'!$AE$7:$AE$506&lt;=Y$3,1,0))*OFFSET('Gastos com Pessoal'!$H$6,1,MATCH(5&amp;$B56,'Gastos com Pessoal'!$I$532:$AJ$532&amp;'Gastos com Pessoal'!$I$6:$AJ$6,0),500,1)),0)+_xlfn.IFNA(SUM((Y$3&gt;='Gastos com Pessoal'!$E$513:$E$522)*(Y$3&lt;='Gastos com Pessoal'!$F$513:$F$522)*(IF('Gastos com Pessoal'!$G$513:$G$522&lt;=Y$3,1,0))*OFFSET('Gastos com Pessoal'!$H$512,1,MATCH(1&amp;$B56,'Gastos com Pessoal'!$I$532:$AJ$532&amp;'Gastos com Pessoal'!$I$512:$AJ$512,0),10,1)),0)+_xlfn.IFNA(SUM((Y$3&gt;='Gastos com Pessoal'!$E$513:$E$522)*(Y$3&lt;='Gastos com Pessoal'!$F$513:$F$522)*(IF('Gastos com Pessoal'!$M$513:$M$522&lt;=Y$3,1,0))*OFFSET('Gastos com Pessoal'!$H$512,1,MATCH(2&amp;$B56,'Gastos com Pessoal'!$I$532:$AJ$532&amp;'Gastos com Pessoal'!$I$512:$AJ$512,0),10,1)),0)+_xlfn.IFNA(SUM((Y$3&gt;='Gastos com Pessoal'!$E$513:$E$522)*(Y$3&lt;='Gastos com Pessoal'!$F$513:$F$522)*(IF('Gastos com Pessoal'!$S$513:$S$522&lt;=Y$3,1,0))*OFFSET('Gastos com Pessoal'!$H$512,1,MATCH(3&amp;$B56,'Gastos com Pessoal'!$I$532:$AJ$532&amp;'Gastos com Pessoal'!$I$512:$AJ$512,0),10,1)),0)+_xlfn.IFNA(SUM((Y$3&gt;='Gastos com Pessoal'!$E$513:$E$522)*(Y$3&lt;='Gastos com Pessoal'!$F$513:$F$522)*(IF('Gastos com Pessoal'!$Y$513:$Y$522&lt;=Y$3,1,0))*OFFSET('Gastos com Pessoal'!$H$512,1,MATCH(4&amp;$B56,'Gastos com Pessoal'!$I$532:$AJ$532&amp;'Gastos com Pessoal'!$I$512:$AJ$512,0),10,1)),0)+_xlfn.IFNA(SUM((Y$3&gt;='Gastos com Pessoal'!$E$513:$E$522)*(Y$3&lt;='Gastos com Pessoal'!$F$513:$F$522)*(IF('Gastos com Pessoal'!$AE$513:$AE$522&lt;=Y$3,1,0))*OFFSET('Gastos com Pessoal'!$H$512,1,MATCH(5&amp;$B56,'Gastos com Pessoal'!$I$532:$AJ$532&amp;'Gastos com Pessoal'!$I$512:$AJ$512,0),10,1)),0)</f>
        <v>160288.23999999909</v>
      </c>
      <c r="Z56" s="188">
        <f t="array" aca="1" ref="Z56" ca="1">_xlfn.IFNA(SUM((Z$3&gt;='Gastos com Pessoal'!$E$7:$E$506)*(Z$3&lt;='Gastos com Pessoal'!$F$7:$F$506)*OFFSET('Encargos e Benefícios'!$D$5,1,MATCH($B56,'Encargos e Benefícios'!$E$5:$AB$5,0),500,1)),0)+_xlfn.IFNA(SUM((Z$3&gt;='Gastos com Pessoal'!$E$513:$E$522)*(Z$3&lt;='Gastos com Pessoal'!$F$513:$F$522)*OFFSET('Encargos e Benefícios'!$D$511,1,MATCH($B56,'Encargos e Benefícios'!$E$511:$AB$511,0),10,1)),0)+_xlfn.IFNA(SUM((Z$3&gt;='Gastos com Pessoal'!$E$7:$E$506)*(Z$3&lt;='Gastos com Pessoal'!$F$7:$F$506)*(IF('Gastos com Pessoal'!$G$7:$G$506&lt;=Z$3,1,0))*OFFSET('Gastos com Pessoal'!$H$6,1,MATCH(1&amp;$B56,'Gastos com Pessoal'!$I$532:$AJ$532&amp;'Gastos com Pessoal'!$I$6:$AJ$6,0),500,1)),0)+_xlfn.IFNA(SUM((Z$3&gt;='Gastos com Pessoal'!$E$7:$E$506)*(Z$3&lt;='Gastos com Pessoal'!$F$7:$F$506)*(IF('Gastos com Pessoal'!$M$7:$M$506&lt;=Z$3,1,0))*OFFSET('Gastos com Pessoal'!$H$6,1,MATCH(2&amp;$B56,'Gastos com Pessoal'!$I$532:$AJ$532&amp;'Gastos com Pessoal'!$I$6:$AJ$6,0),500,1)),0)+_xlfn.IFNA(SUM((Z$3&gt;='Gastos com Pessoal'!$E$7:$E$506)*(Z$3&lt;='Gastos com Pessoal'!$F$7:$F$506)*(IF('Gastos com Pessoal'!$S$7:$S$506&lt;=Z$3,1,0))*OFFSET('Gastos com Pessoal'!$H$6,1,MATCH(3&amp;$B56,'Gastos com Pessoal'!$I$532:$AJ$532&amp;'Gastos com Pessoal'!$I$6:$AJ$6,0),500,1)),0)+_xlfn.IFNA(SUM((Z$3&gt;='Gastos com Pessoal'!$E$7:$E$506)*(Z$3&lt;='Gastos com Pessoal'!$F$7:$F$506)*(IF('Gastos com Pessoal'!$Y$7:$Y$506&lt;=Z$3,1,0))*OFFSET('Gastos com Pessoal'!$H$6,1,MATCH(4&amp;$B56,'Gastos com Pessoal'!$I$532:$AJ$532&amp;'Gastos com Pessoal'!$I$6:$AJ$6,0),500,1)),0)+_xlfn.IFNA(SUM((Z$3&gt;='Gastos com Pessoal'!$E$7:$E$506)*(Z$3&lt;='Gastos com Pessoal'!$F$7:$F$506)*(IF('Gastos com Pessoal'!$AE$7:$AE$506&lt;=Z$3,1,0))*OFFSET('Gastos com Pessoal'!$H$6,1,MATCH(5&amp;$B56,'Gastos com Pessoal'!$I$532:$AJ$532&amp;'Gastos com Pessoal'!$I$6:$AJ$6,0),500,1)),0)+_xlfn.IFNA(SUM((Z$3&gt;='Gastos com Pessoal'!$E$513:$E$522)*(Z$3&lt;='Gastos com Pessoal'!$F$513:$F$522)*(IF('Gastos com Pessoal'!$G$513:$G$522&lt;=Z$3,1,0))*OFFSET('Gastos com Pessoal'!$H$512,1,MATCH(1&amp;$B56,'Gastos com Pessoal'!$I$532:$AJ$532&amp;'Gastos com Pessoal'!$I$512:$AJ$512,0),10,1)),0)+_xlfn.IFNA(SUM((Z$3&gt;='Gastos com Pessoal'!$E$513:$E$522)*(Z$3&lt;='Gastos com Pessoal'!$F$513:$F$522)*(IF('Gastos com Pessoal'!$M$513:$M$522&lt;=Z$3,1,0))*OFFSET('Gastos com Pessoal'!$H$512,1,MATCH(2&amp;$B56,'Gastos com Pessoal'!$I$532:$AJ$532&amp;'Gastos com Pessoal'!$I$512:$AJ$512,0),10,1)),0)+_xlfn.IFNA(SUM((Z$3&gt;='Gastos com Pessoal'!$E$513:$E$522)*(Z$3&lt;='Gastos com Pessoal'!$F$513:$F$522)*(IF('Gastos com Pessoal'!$S$513:$S$522&lt;=Z$3,1,0))*OFFSET('Gastos com Pessoal'!$H$512,1,MATCH(3&amp;$B56,'Gastos com Pessoal'!$I$532:$AJ$532&amp;'Gastos com Pessoal'!$I$512:$AJ$512,0),10,1)),0)+_xlfn.IFNA(SUM((Z$3&gt;='Gastos com Pessoal'!$E$513:$E$522)*(Z$3&lt;='Gastos com Pessoal'!$F$513:$F$522)*(IF('Gastos com Pessoal'!$Y$513:$Y$522&lt;=Z$3,1,0))*OFFSET('Gastos com Pessoal'!$H$512,1,MATCH(4&amp;$B56,'Gastos com Pessoal'!$I$532:$AJ$532&amp;'Gastos com Pessoal'!$I$512:$AJ$512,0),10,1)),0)+_xlfn.IFNA(SUM((Z$3&gt;='Gastos com Pessoal'!$E$513:$E$522)*(Z$3&lt;='Gastos com Pessoal'!$F$513:$F$522)*(IF('Gastos com Pessoal'!$AE$513:$AE$522&lt;=Z$3,1,0))*OFFSET('Gastos com Pessoal'!$H$512,1,MATCH(5&amp;$B56,'Gastos com Pessoal'!$I$532:$AJ$532&amp;'Gastos com Pessoal'!$I$512:$AJ$512,0),10,1)),0)</f>
        <v>160288.23999999909</v>
      </c>
      <c r="AA56" s="188">
        <f t="array" aca="1" ref="AA56" ca="1">_xlfn.IFNA(SUM((AA$3&gt;='Gastos com Pessoal'!$E$7:$E$506)*(AA$3&lt;='Gastos com Pessoal'!$F$7:$F$506)*OFFSET('Encargos e Benefícios'!$D$5,1,MATCH($B56,'Encargos e Benefícios'!$E$5:$AB$5,0),500,1)),0)+_xlfn.IFNA(SUM((AA$3&gt;='Gastos com Pessoal'!$E$513:$E$522)*(AA$3&lt;='Gastos com Pessoal'!$F$513:$F$522)*OFFSET('Encargos e Benefícios'!$D$511,1,MATCH($B56,'Encargos e Benefícios'!$E$511:$AB$511,0),10,1)),0)+_xlfn.IFNA(SUM((AA$3&gt;='Gastos com Pessoal'!$E$7:$E$506)*(AA$3&lt;='Gastos com Pessoal'!$F$7:$F$506)*(IF('Gastos com Pessoal'!$G$7:$G$506&lt;=AA$3,1,0))*OFFSET('Gastos com Pessoal'!$H$6,1,MATCH(1&amp;$B56,'Gastos com Pessoal'!$I$532:$AJ$532&amp;'Gastos com Pessoal'!$I$6:$AJ$6,0),500,1)),0)+_xlfn.IFNA(SUM((AA$3&gt;='Gastos com Pessoal'!$E$7:$E$506)*(AA$3&lt;='Gastos com Pessoal'!$F$7:$F$506)*(IF('Gastos com Pessoal'!$M$7:$M$506&lt;=AA$3,1,0))*OFFSET('Gastos com Pessoal'!$H$6,1,MATCH(2&amp;$B56,'Gastos com Pessoal'!$I$532:$AJ$532&amp;'Gastos com Pessoal'!$I$6:$AJ$6,0),500,1)),0)+_xlfn.IFNA(SUM((AA$3&gt;='Gastos com Pessoal'!$E$7:$E$506)*(AA$3&lt;='Gastos com Pessoal'!$F$7:$F$506)*(IF('Gastos com Pessoal'!$S$7:$S$506&lt;=AA$3,1,0))*OFFSET('Gastos com Pessoal'!$H$6,1,MATCH(3&amp;$B56,'Gastos com Pessoal'!$I$532:$AJ$532&amp;'Gastos com Pessoal'!$I$6:$AJ$6,0),500,1)),0)+_xlfn.IFNA(SUM((AA$3&gt;='Gastos com Pessoal'!$E$7:$E$506)*(AA$3&lt;='Gastos com Pessoal'!$F$7:$F$506)*(IF('Gastos com Pessoal'!$Y$7:$Y$506&lt;=AA$3,1,0))*OFFSET('Gastos com Pessoal'!$H$6,1,MATCH(4&amp;$B56,'Gastos com Pessoal'!$I$532:$AJ$532&amp;'Gastos com Pessoal'!$I$6:$AJ$6,0),500,1)),0)+_xlfn.IFNA(SUM((AA$3&gt;='Gastos com Pessoal'!$E$7:$E$506)*(AA$3&lt;='Gastos com Pessoal'!$F$7:$F$506)*(IF('Gastos com Pessoal'!$AE$7:$AE$506&lt;=AA$3,1,0))*OFFSET('Gastos com Pessoal'!$H$6,1,MATCH(5&amp;$B56,'Gastos com Pessoal'!$I$532:$AJ$532&amp;'Gastos com Pessoal'!$I$6:$AJ$6,0),500,1)),0)+_xlfn.IFNA(SUM((AA$3&gt;='Gastos com Pessoal'!$E$513:$E$522)*(AA$3&lt;='Gastos com Pessoal'!$F$513:$F$522)*(IF('Gastos com Pessoal'!$G$513:$G$522&lt;=AA$3,1,0))*OFFSET('Gastos com Pessoal'!$H$512,1,MATCH(1&amp;$B56,'Gastos com Pessoal'!$I$532:$AJ$532&amp;'Gastos com Pessoal'!$I$512:$AJ$512,0),10,1)),0)+_xlfn.IFNA(SUM((AA$3&gt;='Gastos com Pessoal'!$E$513:$E$522)*(AA$3&lt;='Gastos com Pessoal'!$F$513:$F$522)*(IF('Gastos com Pessoal'!$M$513:$M$522&lt;=AA$3,1,0))*OFFSET('Gastos com Pessoal'!$H$512,1,MATCH(2&amp;$B56,'Gastos com Pessoal'!$I$532:$AJ$532&amp;'Gastos com Pessoal'!$I$512:$AJ$512,0),10,1)),0)+_xlfn.IFNA(SUM((AA$3&gt;='Gastos com Pessoal'!$E$513:$E$522)*(AA$3&lt;='Gastos com Pessoal'!$F$513:$F$522)*(IF('Gastos com Pessoal'!$S$513:$S$522&lt;=AA$3,1,0))*OFFSET('Gastos com Pessoal'!$H$512,1,MATCH(3&amp;$B56,'Gastos com Pessoal'!$I$532:$AJ$532&amp;'Gastos com Pessoal'!$I$512:$AJ$512,0),10,1)),0)+_xlfn.IFNA(SUM((AA$3&gt;='Gastos com Pessoal'!$E$513:$E$522)*(AA$3&lt;='Gastos com Pessoal'!$F$513:$F$522)*(IF('Gastos com Pessoal'!$Y$513:$Y$522&lt;=AA$3,1,0))*OFFSET('Gastos com Pessoal'!$H$512,1,MATCH(4&amp;$B56,'Gastos com Pessoal'!$I$532:$AJ$532&amp;'Gastos com Pessoal'!$I$512:$AJ$512,0),10,1)),0)+_xlfn.IFNA(SUM((AA$3&gt;='Gastos com Pessoal'!$E$513:$E$522)*(AA$3&lt;='Gastos com Pessoal'!$F$513:$F$522)*(IF('Gastos com Pessoal'!$AE$513:$AE$522&lt;=AA$3,1,0))*OFFSET('Gastos com Pessoal'!$H$512,1,MATCH(5&amp;$B56,'Gastos com Pessoal'!$I$532:$AJ$532&amp;'Gastos com Pessoal'!$I$512:$AJ$512,0),10,1)),0)</f>
        <v>160288.23999999909</v>
      </c>
      <c r="AB56" s="188">
        <f t="array" aca="1" ref="AB56" ca="1">_xlfn.IFNA(SUM((AB$3&gt;='Gastos com Pessoal'!$E$7:$E$506)*(AB$3&lt;='Gastos com Pessoal'!$F$7:$F$506)*OFFSET('Encargos e Benefícios'!$D$5,1,MATCH($B56,'Encargos e Benefícios'!$E$5:$AB$5,0),500,1)),0)+_xlfn.IFNA(SUM((AB$3&gt;='Gastos com Pessoal'!$E$513:$E$522)*(AB$3&lt;='Gastos com Pessoal'!$F$513:$F$522)*OFFSET('Encargos e Benefícios'!$D$511,1,MATCH($B56,'Encargos e Benefícios'!$E$511:$AB$511,0),10,1)),0)+_xlfn.IFNA(SUM((AB$3&gt;='Gastos com Pessoal'!$E$7:$E$506)*(AB$3&lt;='Gastos com Pessoal'!$F$7:$F$506)*(IF('Gastos com Pessoal'!$G$7:$G$506&lt;=AB$3,1,0))*OFFSET('Gastos com Pessoal'!$H$6,1,MATCH(1&amp;$B56,'Gastos com Pessoal'!$I$532:$AJ$532&amp;'Gastos com Pessoal'!$I$6:$AJ$6,0),500,1)),0)+_xlfn.IFNA(SUM((AB$3&gt;='Gastos com Pessoal'!$E$7:$E$506)*(AB$3&lt;='Gastos com Pessoal'!$F$7:$F$506)*(IF('Gastos com Pessoal'!$M$7:$M$506&lt;=AB$3,1,0))*OFFSET('Gastos com Pessoal'!$H$6,1,MATCH(2&amp;$B56,'Gastos com Pessoal'!$I$532:$AJ$532&amp;'Gastos com Pessoal'!$I$6:$AJ$6,0),500,1)),0)+_xlfn.IFNA(SUM((AB$3&gt;='Gastos com Pessoal'!$E$7:$E$506)*(AB$3&lt;='Gastos com Pessoal'!$F$7:$F$506)*(IF('Gastos com Pessoal'!$S$7:$S$506&lt;=AB$3,1,0))*OFFSET('Gastos com Pessoal'!$H$6,1,MATCH(3&amp;$B56,'Gastos com Pessoal'!$I$532:$AJ$532&amp;'Gastos com Pessoal'!$I$6:$AJ$6,0),500,1)),0)+_xlfn.IFNA(SUM((AB$3&gt;='Gastos com Pessoal'!$E$7:$E$506)*(AB$3&lt;='Gastos com Pessoal'!$F$7:$F$506)*(IF('Gastos com Pessoal'!$Y$7:$Y$506&lt;=AB$3,1,0))*OFFSET('Gastos com Pessoal'!$H$6,1,MATCH(4&amp;$B56,'Gastos com Pessoal'!$I$532:$AJ$532&amp;'Gastos com Pessoal'!$I$6:$AJ$6,0),500,1)),0)+_xlfn.IFNA(SUM((AB$3&gt;='Gastos com Pessoal'!$E$7:$E$506)*(AB$3&lt;='Gastos com Pessoal'!$F$7:$F$506)*(IF('Gastos com Pessoal'!$AE$7:$AE$506&lt;=AB$3,1,0))*OFFSET('Gastos com Pessoal'!$H$6,1,MATCH(5&amp;$B56,'Gastos com Pessoal'!$I$532:$AJ$532&amp;'Gastos com Pessoal'!$I$6:$AJ$6,0),500,1)),0)+_xlfn.IFNA(SUM((AB$3&gt;='Gastos com Pessoal'!$E$513:$E$522)*(AB$3&lt;='Gastos com Pessoal'!$F$513:$F$522)*(IF('Gastos com Pessoal'!$G$513:$G$522&lt;=AB$3,1,0))*OFFSET('Gastos com Pessoal'!$H$512,1,MATCH(1&amp;$B56,'Gastos com Pessoal'!$I$532:$AJ$532&amp;'Gastos com Pessoal'!$I$512:$AJ$512,0),10,1)),0)+_xlfn.IFNA(SUM((AB$3&gt;='Gastos com Pessoal'!$E$513:$E$522)*(AB$3&lt;='Gastos com Pessoal'!$F$513:$F$522)*(IF('Gastos com Pessoal'!$M$513:$M$522&lt;=AB$3,1,0))*OFFSET('Gastos com Pessoal'!$H$512,1,MATCH(2&amp;$B56,'Gastos com Pessoal'!$I$532:$AJ$532&amp;'Gastos com Pessoal'!$I$512:$AJ$512,0),10,1)),0)+_xlfn.IFNA(SUM((AB$3&gt;='Gastos com Pessoal'!$E$513:$E$522)*(AB$3&lt;='Gastos com Pessoal'!$F$513:$F$522)*(IF('Gastos com Pessoal'!$S$513:$S$522&lt;=AB$3,1,0))*OFFSET('Gastos com Pessoal'!$H$512,1,MATCH(3&amp;$B56,'Gastos com Pessoal'!$I$532:$AJ$532&amp;'Gastos com Pessoal'!$I$512:$AJ$512,0),10,1)),0)+_xlfn.IFNA(SUM((AB$3&gt;='Gastos com Pessoal'!$E$513:$E$522)*(AB$3&lt;='Gastos com Pessoal'!$F$513:$F$522)*(IF('Gastos com Pessoal'!$Y$513:$Y$522&lt;=AB$3,1,0))*OFFSET('Gastos com Pessoal'!$H$512,1,MATCH(4&amp;$B56,'Gastos com Pessoal'!$I$532:$AJ$532&amp;'Gastos com Pessoal'!$I$512:$AJ$512,0),10,1)),0)+_xlfn.IFNA(SUM((AB$3&gt;='Gastos com Pessoal'!$E$513:$E$522)*(AB$3&lt;='Gastos com Pessoal'!$F$513:$F$522)*(IF('Gastos com Pessoal'!$AE$513:$AE$522&lt;=AB$3,1,0))*OFFSET('Gastos com Pessoal'!$H$512,1,MATCH(5&amp;$B56,'Gastos com Pessoal'!$I$532:$AJ$532&amp;'Gastos com Pessoal'!$I$512:$AJ$512,0),10,1)),0)</f>
        <v>160288.23999999909</v>
      </c>
      <c r="AC56" s="188">
        <f t="array" aca="1" ref="AC56" ca="1">_xlfn.IFNA(SUM((AC$3&gt;='Gastos com Pessoal'!$E$7:$E$506)*(AC$3&lt;='Gastos com Pessoal'!$F$7:$F$506)*OFFSET('Encargos e Benefícios'!$D$5,1,MATCH($B56,'Encargos e Benefícios'!$E$5:$AB$5,0),500,1)),0)+_xlfn.IFNA(SUM((AC$3&gt;='Gastos com Pessoal'!$E$513:$E$522)*(AC$3&lt;='Gastos com Pessoal'!$F$513:$F$522)*OFFSET('Encargos e Benefícios'!$D$511,1,MATCH($B56,'Encargos e Benefícios'!$E$511:$AB$511,0),10,1)),0)+_xlfn.IFNA(SUM((AC$3&gt;='Gastos com Pessoal'!$E$7:$E$506)*(AC$3&lt;='Gastos com Pessoal'!$F$7:$F$506)*(IF('Gastos com Pessoal'!$G$7:$G$506&lt;=AC$3,1,0))*OFFSET('Gastos com Pessoal'!$H$6,1,MATCH(1&amp;$B56,'Gastos com Pessoal'!$I$532:$AJ$532&amp;'Gastos com Pessoal'!$I$6:$AJ$6,0),500,1)),0)+_xlfn.IFNA(SUM((AC$3&gt;='Gastos com Pessoal'!$E$7:$E$506)*(AC$3&lt;='Gastos com Pessoal'!$F$7:$F$506)*(IF('Gastos com Pessoal'!$M$7:$M$506&lt;=AC$3,1,0))*OFFSET('Gastos com Pessoal'!$H$6,1,MATCH(2&amp;$B56,'Gastos com Pessoal'!$I$532:$AJ$532&amp;'Gastos com Pessoal'!$I$6:$AJ$6,0),500,1)),0)+_xlfn.IFNA(SUM((AC$3&gt;='Gastos com Pessoal'!$E$7:$E$506)*(AC$3&lt;='Gastos com Pessoal'!$F$7:$F$506)*(IF('Gastos com Pessoal'!$S$7:$S$506&lt;=AC$3,1,0))*OFFSET('Gastos com Pessoal'!$H$6,1,MATCH(3&amp;$B56,'Gastos com Pessoal'!$I$532:$AJ$532&amp;'Gastos com Pessoal'!$I$6:$AJ$6,0),500,1)),0)+_xlfn.IFNA(SUM((AC$3&gt;='Gastos com Pessoal'!$E$7:$E$506)*(AC$3&lt;='Gastos com Pessoal'!$F$7:$F$506)*(IF('Gastos com Pessoal'!$Y$7:$Y$506&lt;=AC$3,1,0))*OFFSET('Gastos com Pessoal'!$H$6,1,MATCH(4&amp;$B56,'Gastos com Pessoal'!$I$532:$AJ$532&amp;'Gastos com Pessoal'!$I$6:$AJ$6,0),500,1)),0)+_xlfn.IFNA(SUM((AC$3&gt;='Gastos com Pessoal'!$E$7:$E$506)*(AC$3&lt;='Gastos com Pessoal'!$F$7:$F$506)*(IF('Gastos com Pessoal'!$AE$7:$AE$506&lt;=AC$3,1,0))*OFFSET('Gastos com Pessoal'!$H$6,1,MATCH(5&amp;$B56,'Gastos com Pessoal'!$I$532:$AJ$532&amp;'Gastos com Pessoal'!$I$6:$AJ$6,0),500,1)),0)+_xlfn.IFNA(SUM((AC$3&gt;='Gastos com Pessoal'!$E$513:$E$522)*(AC$3&lt;='Gastos com Pessoal'!$F$513:$F$522)*(IF('Gastos com Pessoal'!$G$513:$G$522&lt;=AC$3,1,0))*OFFSET('Gastos com Pessoal'!$H$512,1,MATCH(1&amp;$B56,'Gastos com Pessoal'!$I$532:$AJ$532&amp;'Gastos com Pessoal'!$I$512:$AJ$512,0),10,1)),0)+_xlfn.IFNA(SUM((AC$3&gt;='Gastos com Pessoal'!$E$513:$E$522)*(AC$3&lt;='Gastos com Pessoal'!$F$513:$F$522)*(IF('Gastos com Pessoal'!$M$513:$M$522&lt;=AC$3,1,0))*OFFSET('Gastos com Pessoal'!$H$512,1,MATCH(2&amp;$B56,'Gastos com Pessoal'!$I$532:$AJ$532&amp;'Gastos com Pessoal'!$I$512:$AJ$512,0),10,1)),0)+_xlfn.IFNA(SUM((AC$3&gt;='Gastos com Pessoal'!$E$513:$E$522)*(AC$3&lt;='Gastos com Pessoal'!$F$513:$F$522)*(IF('Gastos com Pessoal'!$S$513:$S$522&lt;=AC$3,1,0))*OFFSET('Gastos com Pessoal'!$H$512,1,MATCH(3&amp;$B56,'Gastos com Pessoal'!$I$532:$AJ$532&amp;'Gastos com Pessoal'!$I$512:$AJ$512,0),10,1)),0)+_xlfn.IFNA(SUM((AC$3&gt;='Gastos com Pessoal'!$E$513:$E$522)*(AC$3&lt;='Gastos com Pessoal'!$F$513:$F$522)*(IF('Gastos com Pessoal'!$Y$513:$Y$522&lt;=AC$3,1,0))*OFFSET('Gastos com Pessoal'!$H$512,1,MATCH(4&amp;$B56,'Gastos com Pessoal'!$I$532:$AJ$532&amp;'Gastos com Pessoal'!$I$512:$AJ$512,0),10,1)),0)+_xlfn.IFNA(SUM((AC$3&gt;='Gastos com Pessoal'!$E$513:$E$522)*(AC$3&lt;='Gastos com Pessoal'!$F$513:$F$522)*(IF('Gastos com Pessoal'!$AE$513:$AE$522&lt;=AC$3,1,0))*OFFSET('Gastos com Pessoal'!$H$512,1,MATCH(5&amp;$B56,'Gastos com Pessoal'!$I$532:$AJ$532&amp;'Gastos com Pessoal'!$I$512:$AJ$512,0),10,1)),0)</f>
        <v>160288.23999999909</v>
      </c>
      <c r="AD56" s="188">
        <f t="array" aca="1" ref="AD56" ca="1">_xlfn.IFNA(SUM((AD$3&gt;='Gastos com Pessoal'!$E$7:$E$506)*(AD$3&lt;='Gastos com Pessoal'!$F$7:$F$506)*OFFSET('Encargos e Benefícios'!$D$5,1,MATCH($B56,'Encargos e Benefícios'!$E$5:$AB$5,0),500,1)),0)+_xlfn.IFNA(SUM((AD$3&gt;='Gastos com Pessoal'!$E$513:$E$522)*(AD$3&lt;='Gastos com Pessoal'!$F$513:$F$522)*OFFSET('Encargos e Benefícios'!$D$511,1,MATCH($B56,'Encargos e Benefícios'!$E$511:$AB$511,0),10,1)),0)+_xlfn.IFNA(SUM((AD$3&gt;='Gastos com Pessoal'!$E$7:$E$506)*(AD$3&lt;='Gastos com Pessoal'!$F$7:$F$506)*(IF('Gastos com Pessoal'!$G$7:$G$506&lt;=AD$3,1,0))*OFFSET('Gastos com Pessoal'!$H$6,1,MATCH(1&amp;$B56,'Gastos com Pessoal'!$I$532:$AJ$532&amp;'Gastos com Pessoal'!$I$6:$AJ$6,0),500,1)),0)+_xlfn.IFNA(SUM((AD$3&gt;='Gastos com Pessoal'!$E$7:$E$506)*(AD$3&lt;='Gastos com Pessoal'!$F$7:$F$506)*(IF('Gastos com Pessoal'!$M$7:$M$506&lt;=AD$3,1,0))*OFFSET('Gastos com Pessoal'!$H$6,1,MATCH(2&amp;$B56,'Gastos com Pessoal'!$I$532:$AJ$532&amp;'Gastos com Pessoal'!$I$6:$AJ$6,0),500,1)),0)+_xlfn.IFNA(SUM((AD$3&gt;='Gastos com Pessoal'!$E$7:$E$506)*(AD$3&lt;='Gastos com Pessoal'!$F$7:$F$506)*(IF('Gastos com Pessoal'!$S$7:$S$506&lt;=AD$3,1,0))*OFFSET('Gastos com Pessoal'!$H$6,1,MATCH(3&amp;$B56,'Gastos com Pessoal'!$I$532:$AJ$532&amp;'Gastos com Pessoal'!$I$6:$AJ$6,0),500,1)),0)+_xlfn.IFNA(SUM((AD$3&gt;='Gastos com Pessoal'!$E$7:$E$506)*(AD$3&lt;='Gastos com Pessoal'!$F$7:$F$506)*(IF('Gastos com Pessoal'!$Y$7:$Y$506&lt;=AD$3,1,0))*OFFSET('Gastos com Pessoal'!$H$6,1,MATCH(4&amp;$B56,'Gastos com Pessoal'!$I$532:$AJ$532&amp;'Gastos com Pessoal'!$I$6:$AJ$6,0),500,1)),0)+_xlfn.IFNA(SUM((AD$3&gt;='Gastos com Pessoal'!$E$7:$E$506)*(AD$3&lt;='Gastos com Pessoal'!$F$7:$F$506)*(IF('Gastos com Pessoal'!$AE$7:$AE$506&lt;=AD$3,1,0))*OFFSET('Gastos com Pessoal'!$H$6,1,MATCH(5&amp;$B56,'Gastos com Pessoal'!$I$532:$AJ$532&amp;'Gastos com Pessoal'!$I$6:$AJ$6,0),500,1)),0)+_xlfn.IFNA(SUM((AD$3&gt;='Gastos com Pessoal'!$E$513:$E$522)*(AD$3&lt;='Gastos com Pessoal'!$F$513:$F$522)*(IF('Gastos com Pessoal'!$G$513:$G$522&lt;=AD$3,1,0))*OFFSET('Gastos com Pessoal'!$H$512,1,MATCH(1&amp;$B56,'Gastos com Pessoal'!$I$532:$AJ$532&amp;'Gastos com Pessoal'!$I$512:$AJ$512,0),10,1)),0)+_xlfn.IFNA(SUM((AD$3&gt;='Gastos com Pessoal'!$E$513:$E$522)*(AD$3&lt;='Gastos com Pessoal'!$F$513:$F$522)*(IF('Gastos com Pessoal'!$M$513:$M$522&lt;=AD$3,1,0))*OFFSET('Gastos com Pessoal'!$H$512,1,MATCH(2&amp;$B56,'Gastos com Pessoal'!$I$532:$AJ$532&amp;'Gastos com Pessoal'!$I$512:$AJ$512,0),10,1)),0)+_xlfn.IFNA(SUM((AD$3&gt;='Gastos com Pessoal'!$E$513:$E$522)*(AD$3&lt;='Gastos com Pessoal'!$F$513:$F$522)*(IF('Gastos com Pessoal'!$S$513:$S$522&lt;=AD$3,1,0))*OFFSET('Gastos com Pessoal'!$H$512,1,MATCH(3&amp;$B56,'Gastos com Pessoal'!$I$532:$AJ$532&amp;'Gastos com Pessoal'!$I$512:$AJ$512,0),10,1)),0)+_xlfn.IFNA(SUM((AD$3&gt;='Gastos com Pessoal'!$E$513:$E$522)*(AD$3&lt;='Gastos com Pessoal'!$F$513:$F$522)*(IF('Gastos com Pessoal'!$Y$513:$Y$522&lt;=AD$3,1,0))*OFFSET('Gastos com Pessoal'!$H$512,1,MATCH(4&amp;$B56,'Gastos com Pessoal'!$I$532:$AJ$532&amp;'Gastos com Pessoal'!$I$512:$AJ$512,0),10,1)),0)+_xlfn.IFNA(SUM((AD$3&gt;='Gastos com Pessoal'!$E$513:$E$522)*(AD$3&lt;='Gastos com Pessoal'!$F$513:$F$522)*(IF('Gastos com Pessoal'!$AE$513:$AE$522&lt;=AD$3,1,0))*OFFSET('Gastos com Pessoal'!$H$512,1,MATCH(5&amp;$B56,'Gastos com Pessoal'!$I$532:$AJ$532&amp;'Gastos com Pessoal'!$I$512:$AJ$512,0),10,1)),0)</f>
        <v>160288.23999999909</v>
      </c>
      <c r="AE56" s="188">
        <f t="array" aca="1" ref="AE56" ca="1">_xlfn.IFNA(SUM((AE$3&gt;='Gastos com Pessoal'!$E$7:$E$506)*(AE$3&lt;='Gastos com Pessoal'!$F$7:$F$506)*OFFSET('Encargos e Benefícios'!$D$5,1,MATCH($B56,'Encargos e Benefícios'!$E$5:$AB$5,0),500,1)),0)+_xlfn.IFNA(SUM((AE$3&gt;='Gastos com Pessoal'!$E$513:$E$522)*(AE$3&lt;='Gastos com Pessoal'!$F$513:$F$522)*OFFSET('Encargos e Benefícios'!$D$511,1,MATCH($B56,'Encargos e Benefícios'!$E$511:$AB$511,0),10,1)),0)+_xlfn.IFNA(SUM((AE$3&gt;='Gastos com Pessoal'!$E$7:$E$506)*(AE$3&lt;='Gastos com Pessoal'!$F$7:$F$506)*(IF('Gastos com Pessoal'!$G$7:$G$506&lt;=AE$3,1,0))*OFFSET('Gastos com Pessoal'!$H$6,1,MATCH(1&amp;$B56,'Gastos com Pessoal'!$I$532:$AJ$532&amp;'Gastos com Pessoal'!$I$6:$AJ$6,0),500,1)),0)+_xlfn.IFNA(SUM((AE$3&gt;='Gastos com Pessoal'!$E$7:$E$506)*(AE$3&lt;='Gastos com Pessoal'!$F$7:$F$506)*(IF('Gastos com Pessoal'!$M$7:$M$506&lt;=AE$3,1,0))*OFFSET('Gastos com Pessoal'!$H$6,1,MATCH(2&amp;$B56,'Gastos com Pessoal'!$I$532:$AJ$532&amp;'Gastos com Pessoal'!$I$6:$AJ$6,0),500,1)),0)+_xlfn.IFNA(SUM((AE$3&gt;='Gastos com Pessoal'!$E$7:$E$506)*(AE$3&lt;='Gastos com Pessoal'!$F$7:$F$506)*(IF('Gastos com Pessoal'!$S$7:$S$506&lt;=AE$3,1,0))*OFFSET('Gastos com Pessoal'!$H$6,1,MATCH(3&amp;$B56,'Gastos com Pessoal'!$I$532:$AJ$532&amp;'Gastos com Pessoal'!$I$6:$AJ$6,0),500,1)),0)+_xlfn.IFNA(SUM((AE$3&gt;='Gastos com Pessoal'!$E$7:$E$506)*(AE$3&lt;='Gastos com Pessoal'!$F$7:$F$506)*(IF('Gastos com Pessoal'!$Y$7:$Y$506&lt;=AE$3,1,0))*OFFSET('Gastos com Pessoal'!$H$6,1,MATCH(4&amp;$B56,'Gastos com Pessoal'!$I$532:$AJ$532&amp;'Gastos com Pessoal'!$I$6:$AJ$6,0),500,1)),0)+_xlfn.IFNA(SUM((AE$3&gt;='Gastos com Pessoal'!$E$7:$E$506)*(AE$3&lt;='Gastos com Pessoal'!$F$7:$F$506)*(IF('Gastos com Pessoal'!$AE$7:$AE$506&lt;=AE$3,1,0))*OFFSET('Gastos com Pessoal'!$H$6,1,MATCH(5&amp;$B56,'Gastos com Pessoal'!$I$532:$AJ$532&amp;'Gastos com Pessoal'!$I$6:$AJ$6,0),500,1)),0)+_xlfn.IFNA(SUM((AE$3&gt;='Gastos com Pessoal'!$E$513:$E$522)*(AE$3&lt;='Gastos com Pessoal'!$F$513:$F$522)*(IF('Gastos com Pessoal'!$G$513:$G$522&lt;=AE$3,1,0))*OFFSET('Gastos com Pessoal'!$H$512,1,MATCH(1&amp;$B56,'Gastos com Pessoal'!$I$532:$AJ$532&amp;'Gastos com Pessoal'!$I$512:$AJ$512,0),10,1)),0)+_xlfn.IFNA(SUM((AE$3&gt;='Gastos com Pessoal'!$E$513:$E$522)*(AE$3&lt;='Gastos com Pessoal'!$F$513:$F$522)*(IF('Gastos com Pessoal'!$M$513:$M$522&lt;=AE$3,1,0))*OFFSET('Gastos com Pessoal'!$H$512,1,MATCH(2&amp;$B56,'Gastos com Pessoal'!$I$532:$AJ$532&amp;'Gastos com Pessoal'!$I$512:$AJ$512,0),10,1)),0)+_xlfn.IFNA(SUM((AE$3&gt;='Gastos com Pessoal'!$E$513:$E$522)*(AE$3&lt;='Gastos com Pessoal'!$F$513:$F$522)*(IF('Gastos com Pessoal'!$S$513:$S$522&lt;=AE$3,1,0))*OFFSET('Gastos com Pessoal'!$H$512,1,MATCH(3&amp;$B56,'Gastos com Pessoal'!$I$532:$AJ$532&amp;'Gastos com Pessoal'!$I$512:$AJ$512,0),10,1)),0)+_xlfn.IFNA(SUM((AE$3&gt;='Gastos com Pessoal'!$E$513:$E$522)*(AE$3&lt;='Gastos com Pessoal'!$F$513:$F$522)*(IF('Gastos com Pessoal'!$Y$513:$Y$522&lt;=AE$3,1,0))*OFFSET('Gastos com Pessoal'!$H$512,1,MATCH(4&amp;$B56,'Gastos com Pessoal'!$I$532:$AJ$532&amp;'Gastos com Pessoal'!$I$512:$AJ$512,0),10,1)),0)+_xlfn.IFNA(SUM((AE$3&gt;='Gastos com Pessoal'!$E$513:$E$522)*(AE$3&lt;='Gastos com Pessoal'!$F$513:$F$522)*(IF('Gastos com Pessoal'!$AE$513:$AE$522&lt;=AE$3,1,0))*OFFSET('Gastos com Pessoal'!$H$512,1,MATCH(5&amp;$B56,'Gastos com Pessoal'!$I$532:$AJ$532&amp;'Gastos com Pessoal'!$I$512:$AJ$512,0),10,1)),0)</f>
        <v>160288.23999999909</v>
      </c>
      <c r="AF56" s="188">
        <f t="array" aca="1" ref="AF56" ca="1">_xlfn.IFNA(SUM((AF$3&gt;='Gastos com Pessoal'!$E$7:$E$506)*(AF$3&lt;='Gastos com Pessoal'!$F$7:$F$506)*OFFSET('Encargos e Benefícios'!$D$5,1,MATCH($B56,'Encargos e Benefícios'!$E$5:$AB$5,0),500,1)),0)+_xlfn.IFNA(SUM((AF$3&gt;='Gastos com Pessoal'!$E$513:$E$522)*(AF$3&lt;='Gastos com Pessoal'!$F$513:$F$522)*OFFSET('Encargos e Benefícios'!$D$511,1,MATCH($B56,'Encargos e Benefícios'!$E$511:$AB$511,0),10,1)),0)+_xlfn.IFNA(SUM((AF$3&gt;='Gastos com Pessoal'!$E$7:$E$506)*(AF$3&lt;='Gastos com Pessoal'!$F$7:$F$506)*(IF('Gastos com Pessoal'!$G$7:$G$506&lt;=AF$3,1,0))*OFFSET('Gastos com Pessoal'!$H$6,1,MATCH(1&amp;$B56,'Gastos com Pessoal'!$I$532:$AJ$532&amp;'Gastos com Pessoal'!$I$6:$AJ$6,0),500,1)),0)+_xlfn.IFNA(SUM((AF$3&gt;='Gastos com Pessoal'!$E$7:$E$506)*(AF$3&lt;='Gastos com Pessoal'!$F$7:$F$506)*(IF('Gastos com Pessoal'!$M$7:$M$506&lt;=AF$3,1,0))*OFFSET('Gastos com Pessoal'!$H$6,1,MATCH(2&amp;$B56,'Gastos com Pessoal'!$I$532:$AJ$532&amp;'Gastos com Pessoal'!$I$6:$AJ$6,0),500,1)),0)+_xlfn.IFNA(SUM((AF$3&gt;='Gastos com Pessoal'!$E$7:$E$506)*(AF$3&lt;='Gastos com Pessoal'!$F$7:$F$506)*(IF('Gastos com Pessoal'!$S$7:$S$506&lt;=AF$3,1,0))*OFFSET('Gastos com Pessoal'!$H$6,1,MATCH(3&amp;$B56,'Gastos com Pessoal'!$I$532:$AJ$532&amp;'Gastos com Pessoal'!$I$6:$AJ$6,0),500,1)),0)+_xlfn.IFNA(SUM((AF$3&gt;='Gastos com Pessoal'!$E$7:$E$506)*(AF$3&lt;='Gastos com Pessoal'!$F$7:$F$506)*(IF('Gastos com Pessoal'!$Y$7:$Y$506&lt;=AF$3,1,0))*OFFSET('Gastos com Pessoal'!$H$6,1,MATCH(4&amp;$B56,'Gastos com Pessoal'!$I$532:$AJ$532&amp;'Gastos com Pessoal'!$I$6:$AJ$6,0),500,1)),0)+_xlfn.IFNA(SUM((AF$3&gt;='Gastos com Pessoal'!$E$7:$E$506)*(AF$3&lt;='Gastos com Pessoal'!$F$7:$F$506)*(IF('Gastos com Pessoal'!$AE$7:$AE$506&lt;=AF$3,1,0))*OFFSET('Gastos com Pessoal'!$H$6,1,MATCH(5&amp;$B56,'Gastos com Pessoal'!$I$532:$AJ$532&amp;'Gastos com Pessoal'!$I$6:$AJ$6,0),500,1)),0)+_xlfn.IFNA(SUM((AF$3&gt;='Gastos com Pessoal'!$E$513:$E$522)*(AF$3&lt;='Gastos com Pessoal'!$F$513:$F$522)*(IF('Gastos com Pessoal'!$G$513:$G$522&lt;=AF$3,1,0))*OFFSET('Gastos com Pessoal'!$H$512,1,MATCH(1&amp;$B56,'Gastos com Pessoal'!$I$532:$AJ$532&amp;'Gastos com Pessoal'!$I$512:$AJ$512,0),10,1)),0)+_xlfn.IFNA(SUM((AF$3&gt;='Gastos com Pessoal'!$E$513:$E$522)*(AF$3&lt;='Gastos com Pessoal'!$F$513:$F$522)*(IF('Gastos com Pessoal'!$M$513:$M$522&lt;=AF$3,1,0))*OFFSET('Gastos com Pessoal'!$H$512,1,MATCH(2&amp;$B56,'Gastos com Pessoal'!$I$532:$AJ$532&amp;'Gastos com Pessoal'!$I$512:$AJ$512,0),10,1)),0)+_xlfn.IFNA(SUM((AF$3&gt;='Gastos com Pessoal'!$E$513:$E$522)*(AF$3&lt;='Gastos com Pessoal'!$F$513:$F$522)*(IF('Gastos com Pessoal'!$S$513:$S$522&lt;=AF$3,1,0))*OFFSET('Gastos com Pessoal'!$H$512,1,MATCH(3&amp;$B56,'Gastos com Pessoal'!$I$532:$AJ$532&amp;'Gastos com Pessoal'!$I$512:$AJ$512,0),10,1)),0)+_xlfn.IFNA(SUM((AF$3&gt;='Gastos com Pessoal'!$E$513:$E$522)*(AF$3&lt;='Gastos com Pessoal'!$F$513:$F$522)*(IF('Gastos com Pessoal'!$Y$513:$Y$522&lt;=AF$3,1,0))*OFFSET('Gastos com Pessoal'!$H$512,1,MATCH(4&amp;$B56,'Gastos com Pessoal'!$I$532:$AJ$532&amp;'Gastos com Pessoal'!$I$512:$AJ$512,0),10,1)),0)+_xlfn.IFNA(SUM((AF$3&gt;='Gastos com Pessoal'!$E$513:$E$522)*(AF$3&lt;='Gastos com Pessoal'!$F$513:$F$522)*(IF('Gastos com Pessoal'!$AE$513:$AE$522&lt;=AF$3,1,0))*OFFSET('Gastos com Pessoal'!$H$512,1,MATCH(5&amp;$B56,'Gastos com Pessoal'!$I$532:$AJ$532&amp;'Gastos com Pessoal'!$I$512:$AJ$512,0),10,1)),0)</f>
        <v>160288.23999999909</v>
      </c>
      <c r="AG56" s="188">
        <f t="array" aca="1" ref="AG56" ca="1">_xlfn.IFNA(SUM((AG$3&gt;='Gastos com Pessoal'!$E$7:$E$506)*(AG$3&lt;='Gastos com Pessoal'!$F$7:$F$506)*OFFSET('Encargos e Benefícios'!$D$5,1,MATCH($B56,'Encargos e Benefícios'!$E$5:$AB$5,0),500,1)),0)+_xlfn.IFNA(SUM((AG$3&gt;='Gastos com Pessoal'!$E$513:$E$522)*(AG$3&lt;='Gastos com Pessoal'!$F$513:$F$522)*OFFSET('Encargos e Benefícios'!$D$511,1,MATCH($B56,'Encargos e Benefícios'!$E$511:$AB$511,0),10,1)),0)+_xlfn.IFNA(SUM((AG$3&gt;='Gastos com Pessoal'!$E$7:$E$506)*(AG$3&lt;='Gastos com Pessoal'!$F$7:$F$506)*(IF('Gastos com Pessoal'!$G$7:$G$506&lt;=AG$3,1,0))*OFFSET('Gastos com Pessoal'!$H$6,1,MATCH(1&amp;$B56,'Gastos com Pessoal'!$I$532:$AJ$532&amp;'Gastos com Pessoal'!$I$6:$AJ$6,0),500,1)),0)+_xlfn.IFNA(SUM((AG$3&gt;='Gastos com Pessoal'!$E$7:$E$506)*(AG$3&lt;='Gastos com Pessoal'!$F$7:$F$506)*(IF('Gastos com Pessoal'!$M$7:$M$506&lt;=AG$3,1,0))*OFFSET('Gastos com Pessoal'!$H$6,1,MATCH(2&amp;$B56,'Gastos com Pessoal'!$I$532:$AJ$532&amp;'Gastos com Pessoal'!$I$6:$AJ$6,0),500,1)),0)+_xlfn.IFNA(SUM((AG$3&gt;='Gastos com Pessoal'!$E$7:$E$506)*(AG$3&lt;='Gastos com Pessoal'!$F$7:$F$506)*(IF('Gastos com Pessoal'!$S$7:$S$506&lt;=AG$3,1,0))*OFFSET('Gastos com Pessoal'!$H$6,1,MATCH(3&amp;$B56,'Gastos com Pessoal'!$I$532:$AJ$532&amp;'Gastos com Pessoal'!$I$6:$AJ$6,0),500,1)),0)+_xlfn.IFNA(SUM((AG$3&gt;='Gastos com Pessoal'!$E$7:$E$506)*(AG$3&lt;='Gastos com Pessoal'!$F$7:$F$506)*(IF('Gastos com Pessoal'!$Y$7:$Y$506&lt;=AG$3,1,0))*OFFSET('Gastos com Pessoal'!$H$6,1,MATCH(4&amp;$B56,'Gastos com Pessoal'!$I$532:$AJ$532&amp;'Gastos com Pessoal'!$I$6:$AJ$6,0),500,1)),0)+_xlfn.IFNA(SUM((AG$3&gt;='Gastos com Pessoal'!$E$7:$E$506)*(AG$3&lt;='Gastos com Pessoal'!$F$7:$F$506)*(IF('Gastos com Pessoal'!$AE$7:$AE$506&lt;=AG$3,1,0))*OFFSET('Gastos com Pessoal'!$H$6,1,MATCH(5&amp;$B56,'Gastos com Pessoal'!$I$532:$AJ$532&amp;'Gastos com Pessoal'!$I$6:$AJ$6,0),500,1)),0)+_xlfn.IFNA(SUM((AG$3&gt;='Gastos com Pessoal'!$E$513:$E$522)*(AG$3&lt;='Gastos com Pessoal'!$F$513:$F$522)*(IF('Gastos com Pessoal'!$G$513:$G$522&lt;=AG$3,1,0))*OFFSET('Gastos com Pessoal'!$H$512,1,MATCH(1&amp;$B56,'Gastos com Pessoal'!$I$532:$AJ$532&amp;'Gastos com Pessoal'!$I$512:$AJ$512,0),10,1)),0)+_xlfn.IFNA(SUM((AG$3&gt;='Gastos com Pessoal'!$E$513:$E$522)*(AG$3&lt;='Gastos com Pessoal'!$F$513:$F$522)*(IF('Gastos com Pessoal'!$M$513:$M$522&lt;=AG$3,1,0))*OFFSET('Gastos com Pessoal'!$H$512,1,MATCH(2&amp;$B56,'Gastos com Pessoal'!$I$532:$AJ$532&amp;'Gastos com Pessoal'!$I$512:$AJ$512,0),10,1)),0)+_xlfn.IFNA(SUM((AG$3&gt;='Gastos com Pessoal'!$E$513:$E$522)*(AG$3&lt;='Gastos com Pessoal'!$F$513:$F$522)*(IF('Gastos com Pessoal'!$S$513:$S$522&lt;=AG$3,1,0))*OFFSET('Gastos com Pessoal'!$H$512,1,MATCH(3&amp;$B56,'Gastos com Pessoal'!$I$532:$AJ$532&amp;'Gastos com Pessoal'!$I$512:$AJ$512,0),10,1)),0)+_xlfn.IFNA(SUM((AG$3&gt;='Gastos com Pessoal'!$E$513:$E$522)*(AG$3&lt;='Gastos com Pessoal'!$F$513:$F$522)*(IF('Gastos com Pessoal'!$Y$513:$Y$522&lt;=AG$3,1,0))*OFFSET('Gastos com Pessoal'!$H$512,1,MATCH(4&amp;$B56,'Gastos com Pessoal'!$I$532:$AJ$532&amp;'Gastos com Pessoal'!$I$512:$AJ$512,0),10,1)),0)+_xlfn.IFNA(SUM((AG$3&gt;='Gastos com Pessoal'!$E$513:$E$522)*(AG$3&lt;='Gastos com Pessoal'!$F$513:$F$522)*(IF('Gastos com Pessoal'!$AE$513:$AE$522&lt;=AG$3,1,0))*OFFSET('Gastos com Pessoal'!$H$512,1,MATCH(5&amp;$B56,'Gastos com Pessoal'!$I$532:$AJ$532&amp;'Gastos com Pessoal'!$I$512:$AJ$512,0),10,1)),0)</f>
        <v>160288.23999999909</v>
      </c>
      <c r="AH56" s="188">
        <f t="array" aca="1" ref="AH56" ca="1">_xlfn.IFNA(SUM((AH$3&gt;='Gastos com Pessoal'!$E$7:$E$506)*(AH$3&lt;='Gastos com Pessoal'!$F$7:$F$506)*OFFSET('Encargos e Benefícios'!$D$5,1,MATCH($B56,'Encargos e Benefícios'!$E$5:$AB$5,0),500,1)),0)+_xlfn.IFNA(SUM((AH$3&gt;='Gastos com Pessoal'!$E$513:$E$522)*(AH$3&lt;='Gastos com Pessoal'!$F$513:$F$522)*OFFSET('Encargos e Benefícios'!$D$511,1,MATCH($B56,'Encargos e Benefícios'!$E$511:$AB$511,0),10,1)),0)+_xlfn.IFNA(SUM((AH$3&gt;='Gastos com Pessoal'!$E$7:$E$506)*(AH$3&lt;='Gastos com Pessoal'!$F$7:$F$506)*(IF('Gastos com Pessoal'!$G$7:$G$506&lt;=AH$3,1,0))*OFFSET('Gastos com Pessoal'!$H$6,1,MATCH(1&amp;$B56,'Gastos com Pessoal'!$I$532:$AJ$532&amp;'Gastos com Pessoal'!$I$6:$AJ$6,0),500,1)),0)+_xlfn.IFNA(SUM((AH$3&gt;='Gastos com Pessoal'!$E$7:$E$506)*(AH$3&lt;='Gastos com Pessoal'!$F$7:$F$506)*(IF('Gastos com Pessoal'!$M$7:$M$506&lt;=AH$3,1,0))*OFFSET('Gastos com Pessoal'!$H$6,1,MATCH(2&amp;$B56,'Gastos com Pessoal'!$I$532:$AJ$532&amp;'Gastos com Pessoal'!$I$6:$AJ$6,0),500,1)),0)+_xlfn.IFNA(SUM((AH$3&gt;='Gastos com Pessoal'!$E$7:$E$506)*(AH$3&lt;='Gastos com Pessoal'!$F$7:$F$506)*(IF('Gastos com Pessoal'!$S$7:$S$506&lt;=AH$3,1,0))*OFFSET('Gastos com Pessoal'!$H$6,1,MATCH(3&amp;$B56,'Gastos com Pessoal'!$I$532:$AJ$532&amp;'Gastos com Pessoal'!$I$6:$AJ$6,0),500,1)),0)+_xlfn.IFNA(SUM((AH$3&gt;='Gastos com Pessoal'!$E$7:$E$506)*(AH$3&lt;='Gastos com Pessoal'!$F$7:$F$506)*(IF('Gastos com Pessoal'!$Y$7:$Y$506&lt;=AH$3,1,0))*OFFSET('Gastos com Pessoal'!$H$6,1,MATCH(4&amp;$B56,'Gastos com Pessoal'!$I$532:$AJ$532&amp;'Gastos com Pessoal'!$I$6:$AJ$6,0),500,1)),0)+_xlfn.IFNA(SUM((AH$3&gt;='Gastos com Pessoal'!$E$7:$E$506)*(AH$3&lt;='Gastos com Pessoal'!$F$7:$F$506)*(IF('Gastos com Pessoal'!$AE$7:$AE$506&lt;=AH$3,1,0))*OFFSET('Gastos com Pessoal'!$H$6,1,MATCH(5&amp;$B56,'Gastos com Pessoal'!$I$532:$AJ$532&amp;'Gastos com Pessoal'!$I$6:$AJ$6,0),500,1)),0)+_xlfn.IFNA(SUM((AH$3&gt;='Gastos com Pessoal'!$E$513:$E$522)*(AH$3&lt;='Gastos com Pessoal'!$F$513:$F$522)*(IF('Gastos com Pessoal'!$G$513:$G$522&lt;=AH$3,1,0))*OFFSET('Gastos com Pessoal'!$H$512,1,MATCH(1&amp;$B56,'Gastos com Pessoal'!$I$532:$AJ$532&amp;'Gastos com Pessoal'!$I$512:$AJ$512,0),10,1)),0)+_xlfn.IFNA(SUM((AH$3&gt;='Gastos com Pessoal'!$E$513:$E$522)*(AH$3&lt;='Gastos com Pessoal'!$F$513:$F$522)*(IF('Gastos com Pessoal'!$M$513:$M$522&lt;=AH$3,1,0))*OFFSET('Gastos com Pessoal'!$H$512,1,MATCH(2&amp;$B56,'Gastos com Pessoal'!$I$532:$AJ$532&amp;'Gastos com Pessoal'!$I$512:$AJ$512,0),10,1)),0)+_xlfn.IFNA(SUM((AH$3&gt;='Gastos com Pessoal'!$E$513:$E$522)*(AH$3&lt;='Gastos com Pessoal'!$F$513:$F$522)*(IF('Gastos com Pessoal'!$S$513:$S$522&lt;=AH$3,1,0))*OFFSET('Gastos com Pessoal'!$H$512,1,MATCH(3&amp;$B56,'Gastos com Pessoal'!$I$532:$AJ$532&amp;'Gastos com Pessoal'!$I$512:$AJ$512,0),10,1)),0)+_xlfn.IFNA(SUM((AH$3&gt;='Gastos com Pessoal'!$E$513:$E$522)*(AH$3&lt;='Gastos com Pessoal'!$F$513:$F$522)*(IF('Gastos com Pessoal'!$Y$513:$Y$522&lt;=AH$3,1,0))*OFFSET('Gastos com Pessoal'!$H$512,1,MATCH(4&amp;$B56,'Gastos com Pessoal'!$I$532:$AJ$532&amp;'Gastos com Pessoal'!$I$512:$AJ$512,0),10,1)),0)+_xlfn.IFNA(SUM((AH$3&gt;='Gastos com Pessoal'!$E$513:$E$522)*(AH$3&lt;='Gastos com Pessoal'!$F$513:$F$522)*(IF('Gastos com Pessoal'!$AE$513:$AE$522&lt;=AH$3,1,0))*OFFSET('Gastos com Pessoal'!$H$512,1,MATCH(5&amp;$B56,'Gastos com Pessoal'!$I$532:$AJ$532&amp;'Gastos com Pessoal'!$I$512:$AJ$512,0),10,1)),0)</f>
        <v>160288.23999999909</v>
      </c>
      <c r="AI56" s="188">
        <f t="array" aca="1" ref="AI56" ca="1">_xlfn.IFNA(SUM((AI$3&gt;='Gastos com Pessoal'!$E$7:$E$506)*(AI$3&lt;='Gastos com Pessoal'!$F$7:$F$506)*OFFSET('Encargos e Benefícios'!$D$5,1,MATCH($B56,'Encargos e Benefícios'!$E$5:$AB$5,0),500,1)),0)+_xlfn.IFNA(SUM((AI$3&gt;='Gastos com Pessoal'!$E$513:$E$522)*(AI$3&lt;='Gastos com Pessoal'!$F$513:$F$522)*OFFSET('Encargos e Benefícios'!$D$511,1,MATCH($B56,'Encargos e Benefícios'!$E$511:$AB$511,0),10,1)),0)+_xlfn.IFNA(SUM((AI$3&gt;='Gastos com Pessoal'!$E$7:$E$506)*(AI$3&lt;='Gastos com Pessoal'!$F$7:$F$506)*(IF('Gastos com Pessoal'!$G$7:$G$506&lt;=AI$3,1,0))*OFFSET('Gastos com Pessoal'!$H$6,1,MATCH(1&amp;$B56,'Gastos com Pessoal'!$I$532:$AJ$532&amp;'Gastos com Pessoal'!$I$6:$AJ$6,0),500,1)),0)+_xlfn.IFNA(SUM((AI$3&gt;='Gastos com Pessoal'!$E$7:$E$506)*(AI$3&lt;='Gastos com Pessoal'!$F$7:$F$506)*(IF('Gastos com Pessoal'!$M$7:$M$506&lt;=AI$3,1,0))*OFFSET('Gastos com Pessoal'!$H$6,1,MATCH(2&amp;$B56,'Gastos com Pessoal'!$I$532:$AJ$532&amp;'Gastos com Pessoal'!$I$6:$AJ$6,0),500,1)),0)+_xlfn.IFNA(SUM((AI$3&gt;='Gastos com Pessoal'!$E$7:$E$506)*(AI$3&lt;='Gastos com Pessoal'!$F$7:$F$506)*(IF('Gastos com Pessoal'!$S$7:$S$506&lt;=AI$3,1,0))*OFFSET('Gastos com Pessoal'!$H$6,1,MATCH(3&amp;$B56,'Gastos com Pessoal'!$I$532:$AJ$532&amp;'Gastos com Pessoal'!$I$6:$AJ$6,0),500,1)),0)+_xlfn.IFNA(SUM((AI$3&gt;='Gastos com Pessoal'!$E$7:$E$506)*(AI$3&lt;='Gastos com Pessoal'!$F$7:$F$506)*(IF('Gastos com Pessoal'!$Y$7:$Y$506&lt;=AI$3,1,0))*OFFSET('Gastos com Pessoal'!$H$6,1,MATCH(4&amp;$B56,'Gastos com Pessoal'!$I$532:$AJ$532&amp;'Gastos com Pessoal'!$I$6:$AJ$6,0),500,1)),0)+_xlfn.IFNA(SUM((AI$3&gt;='Gastos com Pessoal'!$E$7:$E$506)*(AI$3&lt;='Gastos com Pessoal'!$F$7:$F$506)*(IF('Gastos com Pessoal'!$AE$7:$AE$506&lt;=AI$3,1,0))*OFFSET('Gastos com Pessoal'!$H$6,1,MATCH(5&amp;$B56,'Gastos com Pessoal'!$I$532:$AJ$532&amp;'Gastos com Pessoal'!$I$6:$AJ$6,0),500,1)),0)+_xlfn.IFNA(SUM((AI$3&gt;='Gastos com Pessoal'!$E$513:$E$522)*(AI$3&lt;='Gastos com Pessoal'!$F$513:$F$522)*(IF('Gastos com Pessoal'!$G$513:$G$522&lt;=AI$3,1,0))*OFFSET('Gastos com Pessoal'!$H$512,1,MATCH(1&amp;$B56,'Gastos com Pessoal'!$I$532:$AJ$532&amp;'Gastos com Pessoal'!$I$512:$AJ$512,0),10,1)),0)+_xlfn.IFNA(SUM((AI$3&gt;='Gastos com Pessoal'!$E$513:$E$522)*(AI$3&lt;='Gastos com Pessoal'!$F$513:$F$522)*(IF('Gastos com Pessoal'!$M$513:$M$522&lt;=AI$3,1,0))*OFFSET('Gastos com Pessoal'!$H$512,1,MATCH(2&amp;$B56,'Gastos com Pessoal'!$I$532:$AJ$532&amp;'Gastos com Pessoal'!$I$512:$AJ$512,0),10,1)),0)+_xlfn.IFNA(SUM((AI$3&gt;='Gastos com Pessoal'!$E$513:$E$522)*(AI$3&lt;='Gastos com Pessoal'!$F$513:$F$522)*(IF('Gastos com Pessoal'!$S$513:$S$522&lt;=AI$3,1,0))*OFFSET('Gastos com Pessoal'!$H$512,1,MATCH(3&amp;$B56,'Gastos com Pessoal'!$I$532:$AJ$532&amp;'Gastos com Pessoal'!$I$512:$AJ$512,0),10,1)),0)+_xlfn.IFNA(SUM((AI$3&gt;='Gastos com Pessoal'!$E$513:$E$522)*(AI$3&lt;='Gastos com Pessoal'!$F$513:$F$522)*(IF('Gastos com Pessoal'!$Y$513:$Y$522&lt;=AI$3,1,0))*OFFSET('Gastos com Pessoal'!$H$512,1,MATCH(4&amp;$B56,'Gastos com Pessoal'!$I$532:$AJ$532&amp;'Gastos com Pessoal'!$I$512:$AJ$512,0),10,1)),0)+_xlfn.IFNA(SUM((AI$3&gt;='Gastos com Pessoal'!$E$513:$E$522)*(AI$3&lt;='Gastos com Pessoal'!$F$513:$F$522)*(IF('Gastos com Pessoal'!$AE$513:$AE$522&lt;=AI$3,1,0))*OFFSET('Gastos com Pessoal'!$H$512,1,MATCH(5&amp;$B56,'Gastos com Pessoal'!$I$532:$AJ$532&amp;'Gastos com Pessoal'!$I$512:$AJ$512,0),10,1)),0)</f>
        <v>160288.23999999909</v>
      </c>
      <c r="AJ56" s="188">
        <f t="array" aca="1" ref="AJ56" ca="1">_xlfn.IFNA(SUM((AJ$3&gt;='Gastos com Pessoal'!$E$7:$E$506)*(AJ$3&lt;='Gastos com Pessoal'!$F$7:$F$506)*OFFSET('Encargos e Benefícios'!$D$5,1,MATCH($B56,'Encargos e Benefícios'!$E$5:$AB$5,0),500,1)),0)+_xlfn.IFNA(SUM((AJ$3&gt;='Gastos com Pessoal'!$E$513:$E$522)*(AJ$3&lt;='Gastos com Pessoal'!$F$513:$F$522)*OFFSET('Encargos e Benefícios'!$D$511,1,MATCH($B56,'Encargos e Benefícios'!$E$511:$AB$511,0),10,1)),0)+_xlfn.IFNA(SUM((AJ$3&gt;='Gastos com Pessoal'!$E$7:$E$506)*(AJ$3&lt;='Gastos com Pessoal'!$F$7:$F$506)*(IF('Gastos com Pessoal'!$G$7:$G$506&lt;=AJ$3,1,0))*OFFSET('Gastos com Pessoal'!$H$6,1,MATCH(1&amp;$B56,'Gastos com Pessoal'!$I$532:$AJ$532&amp;'Gastos com Pessoal'!$I$6:$AJ$6,0),500,1)),0)+_xlfn.IFNA(SUM((AJ$3&gt;='Gastos com Pessoal'!$E$7:$E$506)*(AJ$3&lt;='Gastos com Pessoal'!$F$7:$F$506)*(IF('Gastos com Pessoal'!$M$7:$M$506&lt;=AJ$3,1,0))*OFFSET('Gastos com Pessoal'!$H$6,1,MATCH(2&amp;$B56,'Gastos com Pessoal'!$I$532:$AJ$532&amp;'Gastos com Pessoal'!$I$6:$AJ$6,0),500,1)),0)+_xlfn.IFNA(SUM((AJ$3&gt;='Gastos com Pessoal'!$E$7:$E$506)*(AJ$3&lt;='Gastos com Pessoal'!$F$7:$F$506)*(IF('Gastos com Pessoal'!$S$7:$S$506&lt;=AJ$3,1,0))*OFFSET('Gastos com Pessoal'!$H$6,1,MATCH(3&amp;$B56,'Gastos com Pessoal'!$I$532:$AJ$532&amp;'Gastos com Pessoal'!$I$6:$AJ$6,0),500,1)),0)+_xlfn.IFNA(SUM((AJ$3&gt;='Gastos com Pessoal'!$E$7:$E$506)*(AJ$3&lt;='Gastos com Pessoal'!$F$7:$F$506)*(IF('Gastos com Pessoal'!$Y$7:$Y$506&lt;=AJ$3,1,0))*OFFSET('Gastos com Pessoal'!$H$6,1,MATCH(4&amp;$B56,'Gastos com Pessoal'!$I$532:$AJ$532&amp;'Gastos com Pessoal'!$I$6:$AJ$6,0),500,1)),0)+_xlfn.IFNA(SUM((AJ$3&gt;='Gastos com Pessoal'!$E$7:$E$506)*(AJ$3&lt;='Gastos com Pessoal'!$F$7:$F$506)*(IF('Gastos com Pessoal'!$AE$7:$AE$506&lt;=AJ$3,1,0))*OFFSET('Gastos com Pessoal'!$H$6,1,MATCH(5&amp;$B56,'Gastos com Pessoal'!$I$532:$AJ$532&amp;'Gastos com Pessoal'!$I$6:$AJ$6,0),500,1)),0)+_xlfn.IFNA(SUM((AJ$3&gt;='Gastos com Pessoal'!$E$513:$E$522)*(AJ$3&lt;='Gastos com Pessoal'!$F$513:$F$522)*(IF('Gastos com Pessoal'!$G$513:$G$522&lt;=AJ$3,1,0))*OFFSET('Gastos com Pessoal'!$H$512,1,MATCH(1&amp;$B56,'Gastos com Pessoal'!$I$532:$AJ$532&amp;'Gastos com Pessoal'!$I$512:$AJ$512,0),10,1)),0)+_xlfn.IFNA(SUM((AJ$3&gt;='Gastos com Pessoal'!$E$513:$E$522)*(AJ$3&lt;='Gastos com Pessoal'!$F$513:$F$522)*(IF('Gastos com Pessoal'!$M$513:$M$522&lt;=AJ$3,1,0))*OFFSET('Gastos com Pessoal'!$H$512,1,MATCH(2&amp;$B56,'Gastos com Pessoal'!$I$532:$AJ$532&amp;'Gastos com Pessoal'!$I$512:$AJ$512,0),10,1)),0)+_xlfn.IFNA(SUM((AJ$3&gt;='Gastos com Pessoal'!$E$513:$E$522)*(AJ$3&lt;='Gastos com Pessoal'!$F$513:$F$522)*(IF('Gastos com Pessoal'!$S$513:$S$522&lt;=AJ$3,1,0))*OFFSET('Gastos com Pessoal'!$H$512,1,MATCH(3&amp;$B56,'Gastos com Pessoal'!$I$532:$AJ$532&amp;'Gastos com Pessoal'!$I$512:$AJ$512,0),10,1)),0)+_xlfn.IFNA(SUM((AJ$3&gt;='Gastos com Pessoal'!$E$513:$E$522)*(AJ$3&lt;='Gastos com Pessoal'!$F$513:$F$522)*(IF('Gastos com Pessoal'!$Y$513:$Y$522&lt;=AJ$3,1,0))*OFFSET('Gastos com Pessoal'!$H$512,1,MATCH(4&amp;$B56,'Gastos com Pessoal'!$I$532:$AJ$532&amp;'Gastos com Pessoal'!$I$512:$AJ$512,0),10,1)),0)+_xlfn.IFNA(SUM((AJ$3&gt;='Gastos com Pessoal'!$E$513:$E$522)*(AJ$3&lt;='Gastos com Pessoal'!$F$513:$F$522)*(IF('Gastos com Pessoal'!$AE$513:$AE$522&lt;=AJ$3,1,0))*OFFSET('Gastos com Pessoal'!$H$512,1,MATCH(5&amp;$B56,'Gastos com Pessoal'!$I$532:$AJ$532&amp;'Gastos com Pessoal'!$I$512:$AJ$512,0),10,1)),0)</f>
        <v>160288.23999999909</v>
      </c>
      <c r="AK56" s="188">
        <f t="array" aca="1" ref="AK56" ca="1">_xlfn.IFNA(SUM((AK$3&gt;='Gastos com Pessoal'!$E$7:$E$506)*(AK$3&lt;='Gastos com Pessoal'!$F$7:$F$506)*OFFSET('Encargos e Benefícios'!$D$5,1,MATCH($B56,'Encargos e Benefícios'!$E$5:$AB$5,0),500,1)),0)+_xlfn.IFNA(SUM((AK$3&gt;='Gastos com Pessoal'!$E$513:$E$522)*(AK$3&lt;='Gastos com Pessoal'!$F$513:$F$522)*OFFSET('Encargos e Benefícios'!$D$511,1,MATCH($B56,'Encargos e Benefícios'!$E$511:$AB$511,0),10,1)),0)+_xlfn.IFNA(SUM((AK$3&gt;='Gastos com Pessoal'!$E$7:$E$506)*(AK$3&lt;='Gastos com Pessoal'!$F$7:$F$506)*(IF('Gastos com Pessoal'!$G$7:$G$506&lt;=AK$3,1,0))*OFFSET('Gastos com Pessoal'!$H$6,1,MATCH(1&amp;$B56,'Gastos com Pessoal'!$I$532:$AJ$532&amp;'Gastos com Pessoal'!$I$6:$AJ$6,0),500,1)),0)+_xlfn.IFNA(SUM((AK$3&gt;='Gastos com Pessoal'!$E$7:$E$506)*(AK$3&lt;='Gastos com Pessoal'!$F$7:$F$506)*(IF('Gastos com Pessoal'!$M$7:$M$506&lt;=AK$3,1,0))*OFFSET('Gastos com Pessoal'!$H$6,1,MATCH(2&amp;$B56,'Gastos com Pessoal'!$I$532:$AJ$532&amp;'Gastos com Pessoal'!$I$6:$AJ$6,0),500,1)),0)+_xlfn.IFNA(SUM((AK$3&gt;='Gastos com Pessoal'!$E$7:$E$506)*(AK$3&lt;='Gastos com Pessoal'!$F$7:$F$506)*(IF('Gastos com Pessoal'!$S$7:$S$506&lt;=AK$3,1,0))*OFFSET('Gastos com Pessoal'!$H$6,1,MATCH(3&amp;$B56,'Gastos com Pessoal'!$I$532:$AJ$532&amp;'Gastos com Pessoal'!$I$6:$AJ$6,0),500,1)),0)+_xlfn.IFNA(SUM((AK$3&gt;='Gastos com Pessoal'!$E$7:$E$506)*(AK$3&lt;='Gastos com Pessoal'!$F$7:$F$506)*(IF('Gastos com Pessoal'!$Y$7:$Y$506&lt;=AK$3,1,0))*OFFSET('Gastos com Pessoal'!$H$6,1,MATCH(4&amp;$B56,'Gastos com Pessoal'!$I$532:$AJ$532&amp;'Gastos com Pessoal'!$I$6:$AJ$6,0),500,1)),0)+_xlfn.IFNA(SUM((AK$3&gt;='Gastos com Pessoal'!$E$7:$E$506)*(AK$3&lt;='Gastos com Pessoal'!$F$7:$F$506)*(IF('Gastos com Pessoal'!$AE$7:$AE$506&lt;=AK$3,1,0))*OFFSET('Gastos com Pessoal'!$H$6,1,MATCH(5&amp;$B56,'Gastos com Pessoal'!$I$532:$AJ$532&amp;'Gastos com Pessoal'!$I$6:$AJ$6,0),500,1)),0)+_xlfn.IFNA(SUM((AK$3&gt;='Gastos com Pessoal'!$E$513:$E$522)*(AK$3&lt;='Gastos com Pessoal'!$F$513:$F$522)*(IF('Gastos com Pessoal'!$G$513:$G$522&lt;=AK$3,1,0))*OFFSET('Gastos com Pessoal'!$H$512,1,MATCH(1&amp;$B56,'Gastos com Pessoal'!$I$532:$AJ$532&amp;'Gastos com Pessoal'!$I$512:$AJ$512,0),10,1)),0)+_xlfn.IFNA(SUM((AK$3&gt;='Gastos com Pessoal'!$E$513:$E$522)*(AK$3&lt;='Gastos com Pessoal'!$F$513:$F$522)*(IF('Gastos com Pessoal'!$M$513:$M$522&lt;=AK$3,1,0))*OFFSET('Gastos com Pessoal'!$H$512,1,MATCH(2&amp;$B56,'Gastos com Pessoal'!$I$532:$AJ$532&amp;'Gastos com Pessoal'!$I$512:$AJ$512,0),10,1)),0)+_xlfn.IFNA(SUM((AK$3&gt;='Gastos com Pessoal'!$E$513:$E$522)*(AK$3&lt;='Gastos com Pessoal'!$F$513:$F$522)*(IF('Gastos com Pessoal'!$S$513:$S$522&lt;=AK$3,1,0))*OFFSET('Gastos com Pessoal'!$H$512,1,MATCH(3&amp;$B56,'Gastos com Pessoal'!$I$532:$AJ$532&amp;'Gastos com Pessoal'!$I$512:$AJ$512,0),10,1)),0)+_xlfn.IFNA(SUM((AK$3&gt;='Gastos com Pessoal'!$E$513:$E$522)*(AK$3&lt;='Gastos com Pessoal'!$F$513:$F$522)*(IF('Gastos com Pessoal'!$Y$513:$Y$522&lt;=AK$3,1,0))*OFFSET('Gastos com Pessoal'!$H$512,1,MATCH(4&amp;$B56,'Gastos com Pessoal'!$I$532:$AJ$532&amp;'Gastos com Pessoal'!$I$512:$AJ$512,0),10,1)),0)+_xlfn.IFNA(SUM((AK$3&gt;='Gastos com Pessoal'!$E$513:$E$522)*(AK$3&lt;='Gastos com Pessoal'!$F$513:$F$522)*(IF('Gastos com Pessoal'!$AE$513:$AE$522&lt;=AK$3,1,0))*OFFSET('Gastos com Pessoal'!$H$512,1,MATCH(5&amp;$B56,'Gastos com Pessoal'!$I$532:$AJ$532&amp;'Gastos com Pessoal'!$I$512:$AJ$512,0),10,1)),0)</f>
        <v>160288.23999999909</v>
      </c>
      <c r="AL56" s="188">
        <f t="array" aca="1" ref="AL56" ca="1">_xlfn.IFNA(SUM((AL$3&gt;='Gastos com Pessoal'!$E$7:$E$506)*(AL$3&lt;='Gastos com Pessoal'!$F$7:$F$506)*OFFSET('Encargos e Benefícios'!$D$5,1,MATCH($B56,'Encargos e Benefícios'!$E$5:$AB$5,0),500,1)),0)+_xlfn.IFNA(SUM((AL$3&gt;='Gastos com Pessoal'!$E$513:$E$522)*(AL$3&lt;='Gastos com Pessoal'!$F$513:$F$522)*OFFSET('Encargos e Benefícios'!$D$511,1,MATCH($B56,'Encargos e Benefícios'!$E$511:$AB$511,0),10,1)),0)+_xlfn.IFNA(SUM((AL$3&gt;='Gastos com Pessoal'!$E$7:$E$506)*(AL$3&lt;='Gastos com Pessoal'!$F$7:$F$506)*(IF('Gastos com Pessoal'!$G$7:$G$506&lt;=AL$3,1,0))*OFFSET('Gastos com Pessoal'!$H$6,1,MATCH(1&amp;$B56,'Gastos com Pessoal'!$I$532:$AJ$532&amp;'Gastos com Pessoal'!$I$6:$AJ$6,0),500,1)),0)+_xlfn.IFNA(SUM((AL$3&gt;='Gastos com Pessoal'!$E$7:$E$506)*(AL$3&lt;='Gastos com Pessoal'!$F$7:$F$506)*(IF('Gastos com Pessoal'!$M$7:$M$506&lt;=AL$3,1,0))*OFFSET('Gastos com Pessoal'!$H$6,1,MATCH(2&amp;$B56,'Gastos com Pessoal'!$I$532:$AJ$532&amp;'Gastos com Pessoal'!$I$6:$AJ$6,0),500,1)),0)+_xlfn.IFNA(SUM((AL$3&gt;='Gastos com Pessoal'!$E$7:$E$506)*(AL$3&lt;='Gastos com Pessoal'!$F$7:$F$506)*(IF('Gastos com Pessoal'!$S$7:$S$506&lt;=AL$3,1,0))*OFFSET('Gastos com Pessoal'!$H$6,1,MATCH(3&amp;$B56,'Gastos com Pessoal'!$I$532:$AJ$532&amp;'Gastos com Pessoal'!$I$6:$AJ$6,0),500,1)),0)+_xlfn.IFNA(SUM((AL$3&gt;='Gastos com Pessoal'!$E$7:$E$506)*(AL$3&lt;='Gastos com Pessoal'!$F$7:$F$506)*(IF('Gastos com Pessoal'!$Y$7:$Y$506&lt;=AL$3,1,0))*OFFSET('Gastos com Pessoal'!$H$6,1,MATCH(4&amp;$B56,'Gastos com Pessoal'!$I$532:$AJ$532&amp;'Gastos com Pessoal'!$I$6:$AJ$6,0),500,1)),0)+_xlfn.IFNA(SUM((AL$3&gt;='Gastos com Pessoal'!$E$7:$E$506)*(AL$3&lt;='Gastos com Pessoal'!$F$7:$F$506)*(IF('Gastos com Pessoal'!$AE$7:$AE$506&lt;=AL$3,1,0))*OFFSET('Gastos com Pessoal'!$H$6,1,MATCH(5&amp;$B56,'Gastos com Pessoal'!$I$532:$AJ$532&amp;'Gastos com Pessoal'!$I$6:$AJ$6,0),500,1)),0)+_xlfn.IFNA(SUM((AL$3&gt;='Gastos com Pessoal'!$E$513:$E$522)*(AL$3&lt;='Gastos com Pessoal'!$F$513:$F$522)*(IF('Gastos com Pessoal'!$G$513:$G$522&lt;=AL$3,1,0))*OFFSET('Gastos com Pessoal'!$H$512,1,MATCH(1&amp;$B56,'Gastos com Pessoal'!$I$532:$AJ$532&amp;'Gastos com Pessoal'!$I$512:$AJ$512,0),10,1)),0)+_xlfn.IFNA(SUM((AL$3&gt;='Gastos com Pessoal'!$E$513:$E$522)*(AL$3&lt;='Gastos com Pessoal'!$F$513:$F$522)*(IF('Gastos com Pessoal'!$M$513:$M$522&lt;=AL$3,1,0))*OFFSET('Gastos com Pessoal'!$H$512,1,MATCH(2&amp;$B56,'Gastos com Pessoal'!$I$532:$AJ$532&amp;'Gastos com Pessoal'!$I$512:$AJ$512,0),10,1)),0)+_xlfn.IFNA(SUM((AL$3&gt;='Gastos com Pessoal'!$E$513:$E$522)*(AL$3&lt;='Gastos com Pessoal'!$F$513:$F$522)*(IF('Gastos com Pessoal'!$S$513:$S$522&lt;=AL$3,1,0))*OFFSET('Gastos com Pessoal'!$H$512,1,MATCH(3&amp;$B56,'Gastos com Pessoal'!$I$532:$AJ$532&amp;'Gastos com Pessoal'!$I$512:$AJ$512,0),10,1)),0)+_xlfn.IFNA(SUM((AL$3&gt;='Gastos com Pessoal'!$E$513:$E$522)*(AL$3&lt;='Gastos com Pessoal'!$F$513:$F$522)*(IF('Gastos com Pessoal'!$Y$513:$Y$522&lt;=AL$3,1,0))*OFFSET('Gastos com Pessoal'!$H$512,1,MATCH(4&amp;$B56,'Gastos com Pessoal'!$I$532:$AJ$532&amp;'Gastos com Pessoal'!$I$512:$AJ$512,0),10,1)),0)+_xlfn.IFNA(SUM((AL$3&gt;='Gastos com Pessoal'!$E$513:$E$522)*(AL$3&lt;='Gastos com Pessoal'!$F$513:$F$522)*(IF('Gastos com Pessoal'!$AE$513:$AE$522&lt;=AL$3,1,0))*OFFSET('Gastos com Pessoal'!$H$512,1,MATCH(5&amp;$B56,'Gastos com Pessoal'!$I$532:$AJ$532&amp;'Gastos com Pessoal'!$I$512:$AJ$512,0),10,1)),0)</f>
        <v>160288.23999999909</v>
      </c>
      <c r="AM56" s="188">
        <f t="array" aca="1" ref="AM56" ca="1">_xlfn.IFNA(SUM((AM$3&gt;='Gastos com Pessoal'!$E$7:$E$506)*(AM$3&lt;='Gastos com Pessoal'!$F$7:$F$506)*OFFSET('Encargos e Benefícios'!$D$5,1,MATCH($B56,'Encargos e Benefícios'!$E$5:$AB$5,0),500,1)),0)+_xlfn.IFNA(SUM((AM$3&gt;='Gastos com Pessoal'!$E$513:$E$522)*(AM$3&lt;='Gastos com Pessoal'!$F$513:$F$522)*OFFSET('Encargos e Benefícios'!$D$511,1,MATCH($B56,'Encargos e Benefícios'!$E$511:$AB$511,0),10,1)),0)+_xlfn.IFNA(SUM((AM$3&gt;='Gastos com Pessoal'!$E$7:$E$506)*(AM$3&lt;='Gastos com Pessoal'!$F$7:$F$506)*(IF('Gastos com Pessoal'!$G$7:$G$506&lt;=AM$3,1,0))*OFFSET('Gastos com Pessoal'!$H$6,1,MATCH(1&amp;$B56,'Gastos com Pessoal'!$I$532:$AJ$532&amp;'Gastos com Pessoal'!$I$6:$AJ$6,0),500,1)),0)+_xlfn.IFNA(SUM((AM$3&gt;='Gastos com Pessoal'!$E$7:$E$506)*(AM$3&lt;='Gastos com Pessoal'!$F$7:$F$506)*(IF('Gastos com Pessoal'!$M$7:$M$506&lt;=AM$3,1,0))*OFFSET('Gastos com Pessoal'!$H$6,1,MATCH(2&amp;$B56,'Gastos com Pessoal'!$I$532:$AJ$532&amp;'Gastos com Pessoal'!$I$6:$AJ$6,0),500,1)),0)+_xlfn.IFNA(SUM((AM$3&gt;='Gastos com Pessoal'!$E$7:$E$506)*(AM$3&lt;='Gastos com Pessoal'!$F$7:$F$506)*(IF('Gastos com Pessoal'!$S$7:$S$506&lt;=AM$3,1,0))*OFFSET('Gastos com Pessoal'!$H$6,1,MATCH(3&amp;$B56,'Gastos com Pessoal'!$I$532:$AJ$532&amp;'Gastos com Pessoal'!$I$6:$AJ$6,0),500,1)),0)+_xlfn.IFNA(SUM((AM$3&gt;='Gastos com Pessoal'!$E$7:$E$506)*(AM$3&lt;='Gastos com Pessoal'!$F$7:$F$506)*(IF('Gastos com Pessoal'!$Y$7:$Y$506&lt;=AM$3,1,0))*OFFSET('Gastos com Pessoal'!$H$6,1,MATCH(4&amp;$B56,'Gastos com Pessoal'!$I$532:$AJ$532&amp;'Gastos com Pessoal'!$I$6:$AJ$6,0),500,1)),0)+_xlfn.IFNA(SUM((AM$3&gt;='Gastos com Pessoal'!$E$7:$E$506)*(AM$3&lt;='Gastos com Pessoal'!$F$7:$F$506)*(IF('Gastos com Pessoal'!$AE$7:$AE$506&lt;=AM$3,1,0))*OFFSET('Gastos com Pessoal'!$H$6,1,MATCH(5&amp;$B56,'Gastos com Pessoal'!$I$532:$AJ$532&amp;'Gastos com Pessoal'!$I$6:$AJ$6,0),500,1)),0)+_xlfn.IFNA(SUM((AM$3&gt;='Gastos com Pessoal'!$E$513:$E$522)*(AM$3&lt;='Gastos com Pessoal'!$F$513:$F$522)*(IF('Gastos com Pessoal'!$G$513:$G$522&lt;=AM$3,1,0))*OFFSET('Gastos com Pessoal'!$H$512,1,MATCH(1&amp;$B56,'Gastos com Pessoal'!$I$532:$AJ$532&amp;'Gastos com Pessoal'!$I$512:$AJ$512,0),10,1)),0)+_xlfn.IFNA(SUM((AM$3&gt;='Gastos com Pessoal'!$E$513:$E$522)*(AM$3&lt;='Gastos com Pessoal'!$F$513:$F$522)*(IF('Gastos com Pessoal'!$M$513:$M$522&lt;=AM$3,1,0))*OFFSET('Gastos com Pessoal'!$H$512,1,MATCH(2&amp;$B56,'Gastos com Pessoal'!$I$532:$AJ$532&amp;'Gastos com Pessoal'!$I$512:$AJ$512,0),10,1)),0)+_xlfn.IFNA(SUM((AM$3&gt;='Gastos com Pessoal'!$E$513:$E$522)*(AM$3&lt;='Gastos com Pessoal'!$F$513:$F$522)*(IF('Gastos com Pessoal'!$S$513:$S$522&lt;=AM$3,1,0))*OFFSET('Gastos com Pessoal'!$H$512,1,MATCH(3&amp;$B56,'Gastos com Pessoal'!$I$532:$AJ$532&amp;'Gastos com Pessoal'!$I$512:$AJ$512,0),10,1)),0)+_xlfn.IFNA(SUM((AM$3&gt;='Gastos com Pessoal'!$E$513:$E$522)*(AM$3&lt;='Gastos com Pessoal'!$F$513:$F$522)*(IF('Gastos com Pessoal'!$Y$513:$Y$522&lt;=AM$3,1,0))*OFFSET('Gastos com Pessoal'!$H$512,1,MATCH(4&amp;$B56,'Gastos com Pessoal'!$I$532:$AJ$532&amp;'Gastos com Pessoal'!$I$512:$AJ$512,0),10,1)),0)+_xlfn.IFNA(SUM((AM$3&gt;='Gastos com Pessoal'!$E$513:$E$522)*(AM$3&lt;='Gastos com Pessoal'!$F$513:$F$522)*(IF('Gastos com Pessoal'!$AE$513:$AE$522&lt;=AM$3,1,0))*OFFSET('Gastos com Pessoal'!$H$512,1,MATCH(5&amp;$B56,'Gastos com Pessoal'!$I$532:$AJ$532&amp;'Gastos com Pessoal'!$I$512:$AJ$512,0),10,1)),0)</f>
        <v>160288.23999999909</v>
      </c>
      <c r="AN56" s="188">
        <f t="array" aca="1" ref="AN56" ca="1">_xlfn.IFNA(SUM((AN$3&gt;='Gastos com Pessoal'!$E$7:$E$506)*(AN$3&lt;='Gastos com Pessoal'!$F$7:$F$506)*OFFSET('Encargos e Benefícios'!$D$5,1,MATCH($B56,'Encargos e Benefícios'!$E$5:$AB$5,0),500,1)),0)+_xlfn.IFNA(SUM((AN$3&gt;='Gastos com Pessoal'!$E$513:$E$522)*(AN$3&lt;='Gastos com Pessoal'!$F$513:$F$522)*OFFSET('Encargos e Benefícios'!$D$511,1,MATCH($B56,'Encargos e Benefícios'!$E$511:$AB$511,0),10,1)),0)+_xlfn.IFNA(SUM((AN$3&gt;='Gastos com Pessoal'!$E$7:$E$506)*(AN$3&lt;='Gastos com Pessoal'!$F$7:$F$506)*(IF('Gastos com Pessoal'!$G$7:$G$506&lt;=AN$3,1,0))*OFFSET('Gastos com Pessoal'!$H$6,1,MATCH(1&amp;$B56,'Gastos com Pessoal'!$I$532:$AJ$532&amp;'Gastos com Pessoal'!$I$6:$AJ$6,0),500,1)),0)+_xlfn.IFNA(SUM((AN$3&gt;='Gastos com Pessoal'!$E$7:$E$506)*(AN$3&lt;='Gastos com Pessoal'!$F$7:$F$506)*(IF('Gastos com Pessoal'!$M$7:$M$506&lt;=AN$3,1,0))*OFFSET('Gastos com Pessoal'!$H$6,1,MATCH(2&amp;$B56,'Gastos com Pessoal'!$I$532:$AJ$532&amp;'Gastos com Pessoal'!$I$6:$AJ$6,0),500,1)),0)+_xlfn.IFNA(SUM((AN$3&gt;='Gastos com Pessoal'!$E$7:$E$506)*(AN$3&lt;='Gastos com Pessoal'!$F$7:$F$506)*(IF('Gastos com Pessoal'!$S$7:$S$506&lt;=AN$3,1,0))*OFFSET('Gastos com Pessoal'!$H$6,1,MATCH(3&amp;$B56,'Gastos com Pessoal'!$I$532:$AJ$532&amp;'Gastos com Pessoal'!$I$6:$AJ$6,0),500,1)),0)+_xlfn.IFNA(SUM((AN$3&gt;='Gastos com Pessoal'!$E$7:$E$506)*(AN$3&lt;='Gastos com Pessoal'!$F$7:$F$506)*(IF('Gastos com Pessoal'!$Y$7:$Y$506&lt;=AN$3,1,0))*OFFSET('Gastos com Pessoal'!$H$6,1,MATCH(4&amp;$B56,'Gastos com Pessoal'!$I$532:$AJ$532&amp;'Gastos com Pessoal'!$I$6:$AJ$6,0),500,1)),0)+_xlfn.IFNA(SUM((AN$3&gt;='Gastos com Pessoal'!$E$7:$E$506)*(AN$3&lt;='Gastos com Pessoal'!$F$7:$F$506)*(IF('Gastos com Pessoal'!$AE$7:$AE$506&lt;=AN$3,1,0))*OFFSET('Gastos com Pessoal'!$H$6,1,MATCH(5&amp;$B56,'Gastos com Pessoal'!$I$532:$AJ$532&amp;'Gastos com Pessoal'!$I$6:$AJ$6,0),500,1)),0)+_xlfn.IFNA(SUM((AN$3&gt;='Gastos com Pessoal'!$E$513:$E$522)*(AN$3&lt;='Gastos com Pessoal'!$F$513:$F$522)*(IF('Gastos com Pessoal'!$G$513:$G$522&lt;=AN$3,1,0))*OFFSET('Gastos com Pessoal'!$H$512,1,MATCH(1&amp;$B56,'Gastos com Pessoal'!$I$532:$AJ$532&amp;'Gastos com Pessoal'!$I$512:$AJ$512,0),10,1)),0)+_xlfn.IFNA(SUM((AN$3&gt;='Gastos com Pessoal'!$E$513:$E$522)*(AN$3&lt;='Gastos com Pessoal'!$F$513:$F$522)*(IF('Gastos com Pessoal'!$M$513:$M$522&lt;=AN$3,1,0))*OFFSET('Gastos com Pessoal'!$H$512,1,MATCH(2&amp;$B56,'Gastos com Pessoal'!$I$532:$AJ$532&amp;'Gastos com Pessoal'!$I$512:$AJ$512,0),10,1)),0)+_xlfn.IFNA(SUM((AN$3&gt;='Gastos com Pessoal'!$E$513:$E$522)*(AN$3&lt;='Gastos com Pessoal'!$F$513:$F$522)*(IF('Gastos com Pessoal'!$S$513:$S$522&lt;=AN$3,1,0))*OFFSET('Gastos com Pessoal'!$H$512,1,MATCH(3&amp;$B56,'Gastos com Pessoal'!$I$532:$AJ$532&amp;'Gastos com Pessoal'!$I$512:$AJ$512,0),10,1)),0)+_xlfn.IFNA(SUM((AN$3&gt;='Gastos com Pessoal'!$E$513:$E$522)*(AN$3&lt;='Gastos com Pessoal'!$F$513:$F$522)*(IF('Gastos com Pessoal'!$Y$513:$Y$522&lt;=AN$3,1,0))*OFFSET('Gastos com Pessoal'!$H$512,1,MATCH(4&amp;$B56,'Gastos com Pessoal'!$I$532:$AJ$532&amp;'Gastos com Pessoal'!$I$512:$AJ$512,0),10,1)),0)+_xlfn.IFNA(SUM((AN$3&gt;='Gastos com Pessoal'!$E$513:$E$522)*(AN$3&lt;='Gastos com Pessoal'!$F$513:$F$522)*(IF('Gastos com Pessoal'!$AE$513:$AE$522&lt;=AN$3,1,0))*OFFSET('Gastos com Pessoal'!$H$512,1,MATCH(5&amp;$B56,'Gastos com Pessoal'!$I$532:$AJ$532&amp;'Gastos com Pessoal'!$I$512:$AJ$512,0),10,1)),0)</f>
        <v>160288.23999999909</v>
      </c>
      <c r="AO56" s="188">
        <f t="array" aca="1" ref="AO56" ca="1">_xlfn.IFNA(SUM((AO$3&gt;='Gastos com Pessoal'!$E$7:$E$506)*(AO$3&lt;='Gastos com Pessoal'!$F$7:$F$506)*OFFSET('Encargos e Benefícios'!$D$5,1,MATCH($B56,'Encargos e Benefícios'!$E$5:$AB$5,0),500,1)),0)+_xlfn.IFNA(SUM((AO$3&gt;='Gastos com Pessoal'!$E$513:$E$522)*(AO$3&lt;='Gastos com Pessoal'!$F$513:$F$522)*OFFSET('Encargos e Benefícios'!$D$511,1,MATCH($B56,'Encargos e Benefícios'!$E$511:$AB$511,0),10,1)),0)+_xlfn.IFNA(SUM((AO$3&gt;='Gastos com Pessoal'!$E$7:$E$506)*(AO$3&lt;='Gastos com Pessoal'!$F$7:$F$506)*(IF('Gastos com Pessoal'!$G$7:$G$506&lt;=AO$3,1,0))*OFFSET('Gastos com Pessoal'!$H$6,1,MATCH(1&amp;$B56,'Gastos com Pessoal'!$I$532:$AJ$532&amp;'Gastos com Pessoal'!$I$6:$AJ$6,0),500,1)),0)+_xlfn.IFNA(SUM((AO$3&gt;='Gastos com Pessoal'!$E$7:$E$506)*(AO$3&lt;='Gastos com Pessoal'!$F$7:$F$506)*(IF('Gastos com Pessoal'!$M$7:$M$506&lt;=AO$3,1,0))*OFFSET('Gastos com Pessoal'!$H$6,1,MATCH(2&amp;$B56,'Gastos com Pessoal'!$I$532:$AJ$532&amp;'Gastos com Pessoal'!$I$6:$AJ$6,0),500,1)),0)+_xlfn.IFNA(SUM((AO$3&gt;='Gastos com Pessoal'!$E$7:$E$506)*(AO$3&lt;='Gastos com Pessoal'!$F$7:$F$506)*(IF('Gastos com Pessoal'!$S$7:$S$506&lt;=AO$3,1,0))*OFFSET('Gastos com Pessoal'!$H$6,1,MATCH(3&amp;$B56,'Gastos com Pessoal'!$I$532:$AJ$532&amp;'Gastos com Pessoal'!$I$6:$AJ$6,0),500,1)),0)+_xlfn.IFNA(SUM((AO$3&gt;='Gastos com Pessoal'!$E$7:$E$506)*(AO$3&lt;='Gastos com Pessoal'!$F$7:$F$506)*(IF('Gastos com Pessoal'!$Y$7:$Y$506&lt;=AO$3,1,0))*OFFSET('Gastos com Pessoal'!$H$6,1,MATCH(4&amp;$B56,'Gastos com Pessoal'!$I$532:$AJ$532&amp;'Gastos com Pessoal'!$I$6:$AJ$6,0),500,1)),0)+_xlfn.IFNA(SUM((AO$3&gt;='Gastos com Pessoal'!$E$7:$E$506)*(AO$3&lt;='Gastos com Pessoal'!$F$7:$F$506)*(IF('Gastos com Pessoal'!$AE$7:$AE$506&lt;=AO$3,1,0))*OFFSET('Gastos com Pessoal'!$H$6,1,MATCH(5&amp;$B56,'Gastos com Pessoal'!$I$532:$AJ$532&amp;'Gastos com Pessoal'!$I$6:$AJ$6,0),500,1)),0)+_xlfn.IFNA(SUM((AO$3&gt;='Gastos com Pessoal'!$E$513:$E$522)*(AO$3&lt;='Gastos com Pessoal'!$F$513:$F$522)*(IF('Gastos com Pessoal'!$G$513:$G$522&lt;=AO$3,1,0))*OFFSET('Gastos com Pessoal'!$H$512,1,MATCH(1&amp;$B56,'Gastos com Pessoal'!$I$532:$AJ$532&amp;'Gastos com Pessoal'!$I$512:$AJ$512,0),10,1)),0)+_xlfn.IFNA(SUM((AO$3&gt;='Gastos com Pessoal'!$E$513:$E$522)*(AO$3&lt;='Gastos com Pessoal'!$F$513:$F$522)*(IF('Gastos com Pessoal'!$M$513:$M$522&lt;=AO$3,1,0))*OFFSET('Gastos com Pessoal'!$H$512,1,MATCH(2&amp;$B56,'Gastos com Pessoal'!$I$532:$AJ$532&amp;'Gastos com Pessoal'!$I$512:$AJ$512,0),10,1)),0)+_xlfn.IFNA(SUM((AO$3&gt;='Gastos com Pessoal'!$E$513:$E$522)*(AO$3&lt;='Gastos com Pessoal'!$F$513:$F$522)*(IF('Gastos com Pessoal'!$S$513:$S$522&lt;=AO$3,1,0))*OFFSET('Gastos com Pessoal'!$H$512,1,MATCH(3&amp;$B56,'Gastos com Pessoal'!$I$532:$AJ$532&amp;'Gastos com Pessoal'!$I$512:$AJ$512,0),10,1)),0)+_xlfn.IFNA(SUM((AO$3&gt;='Gastos com Pessoal'!$E$513:$E$522)*(AO$3&lt;='Gastos com Pessoal'!$F$513:$F$522)*(IF('Gastos com Pessoal'!$Y$513:$Y$522&lt;=AO$3,1,0))*OFFSET('Gastos com Pessoal'!$H$512,1,MATCH(4&amp;$B56,'Gastos com Pessoal'!$I$532:$AJ$532&amp;'Gastos com Pessoal'!$I$512:$AJ$512,0),10,1)),0)+_xlfn.IFNA(SUM((AO$3&gt;='Gastos com Pessoal'!$E$513:$E$522)*(AO$3&lt;='Gastos com Pessoal'!$F$513:$F$522)*(IF('Gastos com Pessoal'!$AE$513:$AE$522&lt;=AO$3,1,0))*OFFSET('Gastos com Pessoal'!$H$512,1,MATCH(5&amp;$B56,'Gastos com Pessoal'!$I$532:$AJ$532&amp;'Gastos com Pessoal'!$I$512:$AJ$512,0),10,1)),0)</f>
        <v>160288.23999999909</v>
      </c>
      <c r="AP56" s="188">
        <f t="array" aca="1" ref="AP56" ca="1">_xlfn.IFNA(SUM((AP$3&gt;='Gastos com Pessoal'!$E$7:$E$506)*(AP$3&lt;='Gastos com Pessoal'!$F$7:$F$506)*OFFSET('Encargos e Benefícios'!$D$5,1,MATCH($B56,'Encargos e Benefícios'!$E$5:$AB$5,0),500,1)),0)+_xlfn.IFNA(SUM((AP$3&gt;='Gastos com Pessoal'!$E$513:$E$522)*(AP$3&lt;='Gastos com Pessoal'!$F$513:$F$522)*OFFSET('Encargos e Benefícios'!$D$511,1,MATCH($B56,'Encargos e Benefícios'!$E$511:$AB$511,0),10,1)),0)+_xlfn.IFNA(SUM((AP$3&gt;='Gastos com Pessoal'!$E$7:$E$506)*(AP$3&lt;='Gastos com Pessoal'!$F$7:$F$506)*(IF('Gastos com Pessoal'!$G$7:$G$506&lt;=AP$3,1,0))*OFFSET('Gastos com Pessoal'!$H$6,1,MATCH(1&amp;$B56,'Gastos com Pessoal'!$I$532:$AJ$532&amp;'Gastos com Pessoal'!$I$6:$AJ$6,0),500,1)),0)+_xlfn.IFNA(SUM((AP$3&gt;='Gastos com Pessoal'!$E$7:$E$506)*(AP$3&lt;='Gastos com Pessoal'!$F$7:$F$506)*(IF('Gastos com Pessoal'!$M$7:$M$506&lt;=AP$3,1,0))*OFFSET('Gastos com Pessoal'!$H$6,1,MATCH(2&amp;$B56,'Gastos com Pessoal'!$I$532:$AJ$532&amp;'Gastos com Pessoal'!$I$6:$AJ$6,0),500,1)),0)+_xlfn.IFNA(SUM((AP$3&gt;='Gastos com Pessoal'!$E$7:$E$506)*(AP$3&lt;='Gastos com Pessoal'!$F$7:$F$506)*(IF('Gastos com Pessoal'!$S$7:$S$506&lt;=AP$3,1,0))*OFFSET('Gastos com Pessoal'!$H$6,1,MATCH(3&amp;$B56,'Gastos com Pessoal'!$I$532:$AJ$532&amp;'Gastos com Pessoal'!$I$6:$AJ$6,0),500,1)),0)+_xlfn.IFNA(SUM((AP$3&gt;='Gastos com Pessoal'!$E$7:$E$506)*(AP$3&lt;='Gastos com Pessoal'!$F$7:$F$506)*(IF('Gastos com Pessoal'!$Y$7:$Y$506&lt;=AP$3,1,0))*OFFSET('Gastos com Pessoal'!$H$6,1,MATCH(4&amp;$B56,'Gastos com Pessoal'!$I$532:$AJ$532&amp;'Gastos com Pessoal'!$I$6:$AJ$6,0),500,1)),0)+_xlfn.IFNA(SUM((AP$3&gt;='Gastos com Pessoal'!$E$7:$E$506)*(AP$3&lt;='Gastos com Pessoal'!$F$7:$F$506)*(IF('Gastos com Pessoal'!$AE$7:$AE$506&lt;=AP$3,1,0))*OFFSET('Gastos com Pessoal'!$H$6,1,MATCH(5&amp;$B56,'Gastos com Pessoal'!$I$532:$AJ$532&amp;'Gastos com Pessoal'!$I$6:$AJ$6,0),500,1)),0)+_xlfn.IFNA(SUM((AP$3&gt;='Gastos com Pessoal'!$E$513:$E$522)*(AP$3&lt;='Gastos com Pessoal'!$F$513:$F$522)*(IF('Gastos com Pessoal'!$G$513:$G$522&lt;=AP$3,1,0))*OFFSET('Gastos com Pessoal'!$H$512,1,MATCH(1&amp;$B56,'Gastos com Pessoal'!$I$532:$AJ$532&amp;'Gastos com Pessoal'!$I$512:$AJ$512,0),10,1)),0)+_xlfn.IFNA(SUM((AP$3&gt;='Gastos com Pessoal'!$E$513:$E$522)*(AP$3&lt;='Gastos com Pessoal'!$F$513:$F$522)*(IF('Gastos com Pessoal'!$M$513:$M$522&lt;=AP$3,1,0))*OFFSET('Gastos com Pessoal'!$H$512,1,MATCH(2&amp;$B56,'Gastos com Pessoal'!$I$532:$AJ$532&amp;'Gastos com Pessoal'!$I$512:$AJ$512,0),10,1)),0)+_xlfn.IFNA(SUM((AP$3&gt;='Gastos com Pessoal'!$E$513:$E$522)*(AP$3&lt;='Gastos com Pessoal'!$F$513:$F$522)*(IF('Gastos com Pessoal'!$S$513:$S$522&lt;=AP$3,1,0))*OFFSET('Gastos com Pessoal'!$H$512,1,MATCH(3&amp;$B56,'Gastos com Pessoal'!$I$532:$AJ$532&amp;'Gastos com Pessoal'!$I$512:$AJ$512,0),10,1)),0)+_xlfn.IFNA(SUM((AP$3&gt;='Gastos com Pessoal'!$E$513:$E$522)*(AP$3&lt;='Gastos com Pessoal'!$F$513:$F$522)*(IF('Gastos com Pessoal'!$Y$513:$Y$522&lt;=AP$3,1,0))*OFFSET('Gastos com Pessoal'!$H$512,1,MATCH(4&amp;$B56,'Gastos com Pessoal'!$I$532:$AJ$532&amp;'Gastos com Pessoal'!$I$512:$AJ$512,0),10,1)),0)+_xlfn.IFNA(SUM((AP$3&gt;='Gastos com Pessoal'!$E$513:$E$522)*(AP$3&lt;='Gastos com Pessoal'!$F$513:$F$522)*(IF('Gastos com Pessoal'!$AE$513:$AE$522&lt;=AP$3,1,0))*OFFSET('Gastos com Pessoal'!$H$512,1,MATCH(5&amp;$B56,'Gastos com Pessoal'!$I$532:$AJ$532&amp;'Gastos com Pessoal'!$I$512:$AJ$512,0),10,1)),0)</f>
        <v>160288.23999999909</v>
      </c>
      <c r="AQ56" s="188">
        <f t="array" aca="1" ref="AQ56" ca="1">_xlfn.IFNA(SUM((AQ$3&gt;='Gastos com Pessoal'!$E$7:$E$506)*(AQ$3&lt;='Gastos com Pessoal'!$F$7:$F$506)*OFFSET('Encargos e Benefícios'!$D$5,1,MATCH($B56,'Encargos e Benefícios'!$E$5:$AB$5,0),500,1)),0)+_xlfn.IFNA(SUM((AQ$3&gt;='Gastos com Pessoal'!$E$513:$E$522)*(AQ$3&lt;='Gastos com Pessoal'!$F$513:$F$522)*OFFSET('Encargos e Benefícios'!$D$511,1,MATCH($B56,'Encargos e Benefícios'!$E$511:$AB$511,0),10,1)),0)+_xlfn.IFNA(SUM((AQ$3&gt;='Gastos com Pessoal'!$E$7:$E$506)*(AQ$3&lt;='Gastos com Pessoal'!$F$7:$F$506)*(IF('Gastos com Pessoal'!$G$7:$G$506&lt;=AQ$3,1,0))*OFFSET('Gastos com Pessoal'!$H$6,1,MATCH(1&amp;$B56,'Gastos com Pessoal'!$I$532:$AJ$532&amp;'Gastos com Pessoal'!$I$6:$AJ$6,0),500,1)),0)+_xlfn.IFNA(SUM((AQ$3&gt;='Gastos com Pessoal'!$E$7:$E$506)*(AQ$3&lt;='Gastos com Pessoal'!$F$7:$F$506)*(IF('Gastos com Pessoal'!$M$7:$M$506&lt;=AQ$3,1,0))*OFFSET('Gastos com Pessoal'!$H$6,1,MATCH(2&amp;$B56,'Gastos com Pessoal'!$I$532:$AJ$532&amp;'Gastos com Pessoal'!$I$6:$AJ$6,0),500,1)),0)+_xlfn.IFNA(SUM((AQ$3&gt;='Gastos com Pessoal'!$E$7:$E$506)*(AQ$3&lt;='Gastos com Pessoal'!$F$7:$F$506)*(IF('Gastos com Pessoal'!$S$7:$S$506&lt;=AQ$3,1,0))*OFFSET('Gastos com Pessoal'!$H$6,1,MATCH(3&amp;$B56,'Gastos com Pessoal'!$I$532:$AJ$532&amp;'Gastos com Pessoal'!$I$6:$AJ$6,0),500,1)),0)+_xlfn.IFNA(SUM((AQ$3&gt;='Gastos com Pessoal'!$E$7:$E$506)*(AQ$3&lt;='Gastos com Pessoal'!$F$7:$F$506)*(IF('Gastos com Pessoal'!$Y$7:$Y$506&lt;=AQ$3,1,0))*OFFSET('Gastos com Pessoal'!$H$6,1,MATCH(4&amp;$B56,'Gastos com Pessoal'!$I$532:$AJ$532&amp;'Gastos com Pessoal'!$I$6:$AJ$6,0),500,1)),0)+_xlfn.IFNA(SUM((AQ$3&gt;='Gastos com Pessoal'!$E$7:$E$506)*(AQ$3&lt;='Gastos com Pessoal'!$F$7:$F$506)*(IF('Gastos com Pessoal'!$AE$7:$AE$506&lt;=AQ$3,1,0))*OFFSET('Gastos com Pessoal'!$H$6,1,MATCH(5&amp;$B56,'Gastos com Pessoal'!$I$532:$AJ$532&amp;'Gastos com Pessoal'!$I$6:$AJ$6,0),500,1)),0)+_xlfn.IFNA(SUM((AQ$3&gt;='Gastos com Pessoal'!$E$513:$E$522)*(AQ$3&lt;='Gastos com Pessoal'!$F$513:$F$522)*(IF('Gastos com Pessoal'!$G$513:$G$522&lt;=AQ$3,1,0))*OFFSET('Gastos com Pessoal'!$H$512,1,MATCH(1&amp;$B56,'Gastos com Pessoal'!$I$532:$AJ$532&amp;'Gastos com Pessoal'!$I$512:$AJ$512,0),10,1)),0)+_xlfn.IFNA(SUM((AQ$3&gt;='Gastos com Pessoal'!$E$513:$E$522)*(AQ$3&lt;='Gastos com Pessoal'!$F$513:$F$522)*(IF('Gastos com Pessoal'!$M$513:$M$522&lt;=AQ$3,1,0))*OFFSET('Gastos com Pessoal'!$H$512,1,MATCH(2&amp;$B56,'Gastos com Pessoal'!$I$532:$AJ$532&amp;'Gastos com Pessoal'!$I$512:$AJ$512,0),10,1)),0)+_xlfn.IFNA(SUM((AQ$3&gt;='Gastos com Pessoal'!$E$513:$E$522)*(AQ$3&lt;='Gastos com Pessoal'!$F$513:$F$522)*(IF('Gastos com Pessoal'!$S$513:$S$522&lt;=AQ$3,1,0))*OFFSET('Gastos com Pessoal'!$H$512,1,MATCH(3&amp;$B56,'Gastos com Pessoal'!$I$532:$AJ$532&amp;'Gastos com Pessoal'!$I$512:$AJ$512,0),10,1)),0)+_xlfn.IFNA(SUM((AQ$3&gt;='Gastos com Pessoal'!$E$513:$E$522)*(AQ$3&lt;='Gastos com Pessoal'!$F$513:$F$522)*(IF('Gastos com Pessoal'!$Y$513:$Y$522&lt;=AQ$3,1,0))*OFFSET('Gastos com Pessoal'!$H$512,1,MATCH(4&amp;$B56,'Gastos com Pessoal'!$I$532:$AJ$532&amp;'Gastos com Pessoal'!$I$512:$AJ$512,0),10,1)),0)+_xlfn.IFNA(SUM((AQ$3&gt;='Gastos com Pessoal'!$E$513:$E$522)*(AQ$3&lt;='Gastos com Pessoal'!$F$513:$F$522)*(IF('Gastos com Pessoal'!$AE$513:$AE$522&lt;=AQ$3,1,0))*OFFSET('Gastos com Pessoal'!$H$512,1,MATCH(5&amp;$B56,'Gastos com Pessoal'!$I$532:$AJ$532&amp;'Gastos com Pessoal'!$I$512:$AJ$512,0),10,1)),0)</f>
        <v>160288.23999999909</v>
      </c>
      <c r="AR56" s="188">
        <f t="array" aca="1" ref="AR56" ca="1">_xlfn.IFNA(SUM((AR$3&gt;='Gastos com Pessoal'!$E$7:$E$506)*(AR$3&lt;='Gastos com Pessoal'!$F$7:$F$506)*OFFSET('Encargos e Benefícios'!$D$5,1,MATCH($B56,'Encargos e Benefícios'!$E$5:$AB$5,0),500,1)),0)+_xlfn.IFNA(SUM((AR$3&gt;='Gastos com Pessoal'!$E$513:$E$522)*(AR$3&lt;='Gastos com Pessoal'!$F$513:$F$522)*OFFSET('Encargos e Benefícios'!$D$511,1,MATCH($B56,'Encargos e Benefícios'!$E$511:$AB$511,0),10,1)),0)+_xlfn.IFNA(SUM((AR$3&gt;='Gastos com Pessoal'!$E$7:$E$506)*(AR$3&lt;='Gastos com Pessoal'!$F$7:$F$506)*(IF('Gastos com Pessoal'!$G$7:$G$506&lt;=AR$3,1,0))*OFFSET('Gastos com Pessoal'!$H$6,1,MATCH(1&amp;$B56,'Gastos com Pessoal'!$I$532:$AJ$532&amp;'Gastos com Pessoal'!$I$6:$AJ$6,0),500,1)),0)+_xlfn.IFNA(SUM((AR$3&gt;='Gastos com Pessoal'!$E$7:$E$506)*(AR$3&lt;='Gastos com Pessoal'!$F$7:$F$506)*(IF('Gastos com Pessoal'!$M$7:$M$506&lt;=AR$3,1,0))*OFFSET('Gastos com Pessoal'!$H$6,1,MATCH(2&amp;$B56,'Gastos com Pessoal'!$I$532:$AJ$532&amp;'Gastos com Pessoal'!$I$6:$AJ$6,0),500,1)),0)+_xlfn.IFNA(SUM((AR$3&gt;='Gastos com Pessoal'!$E$7:$E$506)*(AR$3&lt;='Gastos com Pessoal'!$F$7:$F$506)*(IF('Gastos com Pessoal'!$S$7:$S$506&lt;=AR$3,1,0))*OFFSET('Gastos com Pessoal'!$H$6,1,MATCH(3&amp;$B56,'Gastos com Pessoal'!$I$532:$AJ$532&amp;'Gastos com Pessoal'!$I$6:$AJ$6,0),500,1)),0)+_xlfn.IFNA(SUM((AR$3&gt;='Gastos com Pessoal'!$E$7:$E$506)*(AR$3&lt;='Gastos com Pessoal'!$F$7:$F$506)*(IF('Gastos com Pessoal'!$Y$7:$Y$506&lt;=AR$3,1,0))*OFFSET('Gastos com Pessoal'!$H$6,1,MATCH(4&amp;$B56,'Gastos com Pessoal'!$I$532:$AJ$532&amp;'Gastos com Pessoal'!$I$6:$AJ$6,0),500,1)),0)+_xlfn.IFNA(SUM((AR$3&gt;='Gastos com Pessoal'!$E$7:$E$506)*(AR$3&lt;='Gastos com Pessoal'!$F$7:$F$506)*(IF('Gastos com Pessoal'!$AE$7:$AE$506&lt;=AR$3,1,0))*OFFSET('Gastos com Pessoal'!$H$6,1,MATCH(5&amp;$B56,'Gastos com Pessoal'!$I$532:$AJ$532&amp;'Gastos com Pessoal'!$I$6:$AJ$6,0),500,1)),0)+_xlfn.IFNA(SUM((AR$3&gt;='Gastos com Pessoal'!$E$513:$E$522)*(AR$3&lt;='Gastos com Pessoal'!$F$513:$F$522)*(IF('Gastos com Pessoal'!$G$513:$G$522&lt;=AR$3,1,0))*OFFSET('Gastos com Pessoal'!$H$512,1,MATCH(1&amp;$B56,'Gastos com Pessoal'!$I$532:$AJ$532&amp;'Gastos com Pessoal'!$I$512:$AJ$512,0),10,1)),0)+_xlfn.IFNA(SUM((AR$3&gt;='Gastos com Pessoal'!$E$513:$E$522)*(AR$3&lt;='Gastos com Pessoal'!$F$513:$F$522)*(IF('Gastos com Pessoal'!$M$513:$M$522&lt;=AR$3,1,0))*OFFSET('Gastos com Pessoal'!$H$512,1,MATCH(2&amp;$B56,'Gastos com Pessoal'!$I$532:$AJ$532&amp;'Gastos com Pessoal'!$I$512:$AJ$512,0),10,1)),0)+_xlfn.IFNA(SUM((AR$3&gt;='Gastos com Pessoal'!$E$513:$E$522)*(AR$3&lt;='Gastos com Pessoal'!$F$513:$F$522)*(IF('Gastos com Pessoal'!$S$513:$S$522&lt;=AR$3,1,0))*OFFSET('Gastos com Pessoal'!$H$512,1,MATCH(3&amp;$B56,'Gastos com Pessoal'!$I$532:$AJ$532&amp;'Gastos com Pessoal'!$I$512:$AJ$512,0),10,1)),0)+_xlfn.IFNA(SUM((AR$3&gt;='Gastos com Pessoal'!$E$513:$E$522)*(AR$3&lt;='Gastos com Pessoal'!$F$513:$F$522)*(IF('Gastos com Pessoal'!$Y$513:$Y$522&lt;=AR$3,1,0))*OFFSET('Gastos com Pessoal'!$H$512,1,MATCH(4&amp;$B56,'Gastos com Pessoal'!$I$532:$AJ$532&amp;'Gastos com Pessoal'!$I$512:$AJ$512,0),10,1)),0)+_xlfn.IFNA(SUM((AR$3&gt;='Gastos com Pessoal'!$E$513:$E$522)*(AR$3&lt;='Gastos com Pessoal'!$F$513:$F$522)*(IF('Gastos com Pessoal'!$AE$513:$AE$522&lt;=AR$3,1,0))*OFFSET('Gastos com Pessoal'!$H$512,1,MATCH(5&amp;$B56,'Gastos com Pessoal'!$I$532:$AJ$532&amp;'Gastos com Pessoal'!$I$512:$AJ$512,0),10,1)),0)</f>
        <v>160288.23999999909</v>
      </c>
      <c r="AS56" s="188">
        <f t="array" aca="1" ref="AS56" ca="1">_xlfn.IFNA(SUM((AS$3&gt;='Gastos com Pessoal'!$E$7:$E$506)*(AS$3&lt;='Gastos com Pessoal'!$F$7:$F$506)*OFFSET('Encargos e Benefícios'!$D$5,1,MATCH($B56,'Encargos e Benefícios'!$E$5:$AB$5,0),500,1)),0)+_xlfn.IFNA(SUM((AS$3&gt;='Gastos com Pessoal'!$E$513:$E$522)*(AS$3&lt;='Gastos com Pessoal'!$F$513:$F$522)*OFFSET('Encargos e Benefícios'!$D$511,1,MATCH($B56,'Encargos e Benefícios'!$E$511:$AB$511,0),10,1)),0)+_xlfn.IFNA(SUM((AS$3&gt;='Gastos com Pessoal'!$E$7:$E$506)*(AS$3&lt;='Gastos com Pessoal'!$F$7:$F$506)*(IF('Gastos com Pessoal'!$G$7:$G$506&lt;=AS$3,1,0))*OFFSET('Gastos com Pessoal'!$H$6,1,MATCH(1&amp;$B56,'Gastos com Pessoal'!$I$532:$AJ$532&amp;'Gastos com Pessoal'!$I$6:$AJ$6,0),500,1)),0)+_xlfn.IFNA(SUM((AS$3&gt;='Gastos com Pessoal'!$E$7:$E$506)*(AS$3&lt;='Gastos com Pessoal'!$F$7:$F$506)*(IF('Gastos com Pessoal'!$M$7:$M$506&lt;=AS$3,1,0))*OFFSET('Gastos com Pessoal'!$H$6,1,MATCH(2&amp;$B56,'Gastos com Pessoal'!$I$532:$AJ$532&amp;'Gastos com Pessoal'!$I$6:$AJ$6,0),500,1)),0)+_xlfn.IFNA(SUM((AS$3&gt;='Gastos com Pessoal'!$E$7:$E$506)*(AS$3&lt;='Gastos com Pessoal'!$F$7:$F$506)*(IF('Gastos com Pessoal'!$S$7:$S$506&lt;=AS$3,1,0))*OFFSET('Gastos com Pessoal'!$H$6,1,MATCH(3&amp;$B56,'Gastos com Pessoal'!$I$532:$AJ$532&amp;'Gastos com Pessoal'!$I$6:$AJ$6,0),500,1)),0)+_xlfn.IFNA(SUM((AS$3&gt;='Gastos com Pessoal'!$E$7:$E$506)*(AS$3&lt;='Gastos com Pessoal'!$F$7:$F$506)*(IF('Gastos com Pessoal'!$Y$7:$Y$506&lt;=AS$3,1,0))*OFFSET('Gastos com Pessoal'!$H$6,1,MATCH(4&amp;$B56,'Gastos com Pessoal'!$I$532:$AJ$532&amp;'Gastos com Pessoal'!$I$6:$AJ$6,0),500,1)),0)+_xlfn.IFNA(SUM((AS$3&gt;='Gastos com Pessoal'!$E$7:$E$506)*(AS$3&lt;='Gastos com Pessoal'!$F$7:$F$506)*(IF('Gastos com Pessoal'!$AE$7:$AE$506&lt;=AS$3,1,0))*OFFSET('Gastos com Pessoal'!$H$6,1,MATCH(5&amp;$B56,'Gastos com Pessoal'!$I$532:$AJ$532&amp;'Gastos com Pessoal'!$I$6:$AJ$6,0),500,1)),0)+_xlfn.IFNA(SUM((AS$3&gt;='Gastos com Pessoal'!$E$513:$E$522)*(AS$3&lt;='Gastos com Pessoal'!$F$513:$F$522)*(IF('Gastos com Pessoal'!$G$513:$G$522&lt;=AS$3,1,0))*OFFSET('Gastos com Pessoal'!$H$512,1,MATCH(1&amp;$B56,'Gastos com Pessoal'!$I$532:$AJ$532&amp;'Gastos com Pessoal'!$I$512:$AJ$512,0),10,1)),0)+_xlfn.IFNA(SUM((AS$3&gt;='Gastos com Pessoal'!$E$513:$E$522)*(AS$3&lt;='Gastos com Pessoal'!$F$513:$F$522)*(IF('Gastos com Pessoal'!$M$513:$M$522&lt;=AS$3,1,0))*OFFSET('Gastos com Pessoal'!$H$512,1,MATCH(2&amp;$B56,'Gastos com Pessoal'!$I$532:$AJ$532&amp;'Gastos com Pessoal'!$I$512:$AJ$512,0),10,1)),0)+_xlfn.IFNA(SUM((AS$3&gt;='Gastos com Pessoal'!$E$513:$E$522)*(AS$3&lt;='Gastos com Pessoal'!$F$513:$F$522)*(IF('Gastos com Pessoal'!$S$513:$S$522&lt;=AS$3,1,0))*OFFSET('Gastos com Pessoal'!$H$512,1,MATCH(3&amp;$B56,'Gastos com Pessoal'!$I$532:$AJ$532&amp;'Gastos com Pessoal'!$I$512:$AJ$512,0),10,1)),0)+_xlfn.IFNA(SUM((AS$3&gt;='Gastos com Pessoal'!$E$513:$E$522)*(AS$3&lt;='Gastos com Pessoal'!$F$513:$F$522)*(IF('Gastos com Pessoal'!$Y$513:$Y$522&lt;=AS$3,1,0))*OFFSET('Gastos com Pessoal'!$H$512,1,MATCH(4&amp;$B56,'Gastos com Pessoal'!$I$532:$AJ$532&amp;'Gastos com Pessoal'!$I$512:$AJ$512,0),10,1)),0)+_xlfn.IFNA(SUM((AS$3&gt;='Gastos com Pessoal'!$E$513:$E$522)*(AS$3&lt;='Gastos com Pessoal'!$F$513:$F$522)*(IF('Gastos com Pessoal'!$AE$513:$AE$522&lt;=AS$3,1,0))*OFFSET('Gastos com Pessoal'!$H$512,1,MATCH(5&amp;$B56,'Gastos com Pessoal'!$I$532:$AJ$532&amp;'Gastos com Pessoal'!$I$512:$AJ$512,0),10,1)),0)</f>
        <v>160288.23999999909</v>
      </c>
      <c r="AT56" s="188">
        <f t="array" aca="1" ref="AT56" ca="1">_xlfn.IFNA(SUM((AT$3&gt;='Gastos com Pessoal'!$E$7:$E$506)*(AT$3&lt;='Gastos com Pessoal'!$F$7:$F$506)*OFFSET('Encargos e Benefícios'!$D$5,1,MATCH($B56,'Encargos e Benefícios'!$E$5:$AB$5,0),500,1)),0)+_xlfn.IFNA(SUM((AT$3&gt;='Gastos com Pessoal'!$E$513:$E$522)*(AT$3&lt;='Gastos com Pessoal'!$F$513:$F$522)*OFFSET('Encargos e Benefícios'!$D$511,1,MATCH($B56,'Encargos e Benefícios'!$E$511:$AB$511,0),10,1)),0)+_xlfn.IFNA(SUM((AT$3&gt;='Gastos com Pessoal'!$E$7:$E$506)*(AT$3&lt;='Gastos com Pessoal'!$F$7:$F$506)*(IF('Gastos com Pessoal'!$G$7:$G$506&lt;=AT$3,1,0))*OFFSET('Gastos com Pessoal'!$H$6,1,MATCH(1&amp;$B56,'Gastos com Pessoal'!$I$532:$AJ$532&amp;'Gastos com Pessoal'!$I$6:$AJ$6,0),500,1)),0)+_xlfn.IFNA(SUM((AT$3&gt;='Gastos com Pessoal'!$E$7:$E$506)*(AT$3&lt;='Gastos com Pessoal'!$F$7:$F$506)*(IF('Gastos com Pessoal'!$M$7:$M$506&lt;=AT$3,1,0))*OFFSET('Gastos com Pessoal'!$H$6,1,MATCH(2&amp;$B56,'Gastos com Pessoal'!$I$532:$AJ$532&amp;'Gastos com Pessoal'!$I$6:$AJ$6,0),500,1)),0)+_xlfn.IFNA(SUM((AT$3&gt;='Gastos com Pessoal'!$E$7:$E$506)*(AT$3&lt;='Gastos com Pessoal'!$F$7:$F$506)*(IF('Gastos com Pessoal'!$S$7:$S$506&lt;=AT$3,1,0))*OFFSET('Gastos com Pessoal'!$H$6,1,MATCH(3&amp;$B56,'Gastos com Pessoal'!$I$532:$AJ$532&amp;'Gastos com Pessoal'!$I$6:$AJ$6,0),500,1)),0)+_xlfn.IFNA(SUM((AT$3&gt;='Gastos com Pessoal'!$E$7:$E$506)*(AT$3&lt;='Gastos com Pessoal'!$F$7:$F$506)*(IF('Gastos com Pessoal'!$Y$7:$Y$506&lt;=AT$3,1,0))*OFFSET('Gastos com Pessoal'!$H$6,1,MATCH(4&amp;$B56,'Gastos com Pessoal'!$I$532:$AJ$532&amp;'Gastos com Pessoal'!$I$6:$AJ$6,0),500,1)),0)+_xlfn.IFNA(SUM((AT$3&gt;='Gastos com Pessoal'!$E$7:$E$506)*(AT$3&lt;='Gastos com Pessoal'!$F$7:$F$506)*(IF('Gastos com Pessoal'!$AE$7:$AE$506&lt;=AT$3,1,0))*OFFSET('Gastos com Pessoal'!$H$6,1,MATCH(5&amp;$B56,'Gastos com Pessoal'!$I$532:$AJ$532&amp;'Gastos com Pessoal'!$I$6:$AJ$6,0),500,1)),0)+_xlfn.IFNA(SUM((AT$3&gt;='Gastos com Pessoal'!$E$513:$E$522)*(AT$3&lt;='Gastos com Pessoal'!$F$513:$F$522)*(IF('Gastos com Pessoal'!$G$513:$G$522&lt;=AT$3,1,0))*OFFSET('Gastos com Pessoal'!$H$512,1,MATCH(1&amp;$B56,'Gastos com Pessoal'!$I$532:$AJ$532&amp;'Gastos com Pessoal'!$I$512:$AJ$512,0),10,1)),0)+_xlfn.IFNA(SUM((AT$3&gt;='Gastos com Pessoal'!$E$513:$E$522)*(AT$3&lt;='Gastos com Pessoal'!$F$513:$F$522)*(IF('Gastos com Pessoal'!$M$513:$M$522&lt;=AT$3,1,0))*OFFSET('Gastos com Pessoal'!$H$512,1,MATCH(2&amp;$B56,'Gastos com Pessoal'!$I$532:$AJ$532&amp;'Gastos com Pessoal'!$I$512:$AJ$512,0),10,1)),0)+_xlfn.IFNA(SUM((AT$3&gt;='Gastos com Pessoal'!$E$513:$E$522)*(AT$3&lt;='Gastos com Pessoal'!$F$513:$F$522)*(IF('Gastos com Pessoal'!$S$513:$S$522&lt;=AT$3,1,0))*OFFSET('Gastos com Pessoal'!$H$512,1,MATCH(3&amp;$B56,'Gastos com Pessoal'!$I$532:$AJ$532&amp;'Gastos com Pessoal'!$I$512:$AJ$512,0),10,1)),0)+_xlfn.IFNA(SUM((AT$3&gt;='Gastos com Pessoal'!$E$513:$E$522)*(AT$3&lt;='Gastos com Pessoal'!$F$513:$F$522)*(IF('Gastos com Pessoal'!$Y$513:$Y$522&lt;=AT$3,1,0))*OFFSET('Gastos com Pessoal'!$H$512,1,MATCH(4&amp;$B56,'Gastos com Pessoal'!$I$532:$AJ$532&amp;'Gastos com Pessoal'!$I$512:$AJ$512,0),10,1)),0)+_xlfn.IFNA(SUM((AT$3&gt;='Gastos com Pessoal'!$E$513:$E$522)*(AT$3&lt;='Gastos com Pessoal'!$F$513:$F$522)*(IF('Gastos com Pessoal'!$AE$513:$AE$522&lt;=AT$3,1,0))*OFFSET('Gastos com Pessoal'!$H$512,1,MATCH(5&amp;$B56,'Gastos com Pessoal'!$I$532:$AJ$532&amp;'Gastos com Pessoal'!$I$512:$AJ$512,0),10,1)),0)</f>
        <v>160288.23999999909</v>
      </c>
      <c r="AU56" s="188">
        <f t="array" aca="1" ref="AU56" ca="1">_xlfn.IFNA(SUM((AU$3&gt;='Gastos com Pessoal'!$E$7:$E$506)*(AU$3&lt;='Gastos com Pessoal'!$F$7:$F$506)*OFFSET('Encargos e Benefícios'!$D$5,1,MATCH($B56,'Encargos e Benefícios'!$E$5:$AB$5,0),500,1)),0)+_xlfn.IFNA(SUM((AU$3&gt;='Gastos com Pessoal'!$E$513:$E$522)*(AU$3&lt;='Gastos com Pessoal'!$F$513:$F$522)*OFFSET('Encargos e Benefícios'!$D$511,1,MATCH($B56,'Encargos e Benefícios'!$E$511:$AB$511,0),10,1)),0)+_xlfn.IFNA(SUM((AU$3&gt;='Gastos com Pessoal'!$E$7:$E$506)*(AU$3&lt;='Gastos com Pessoal'!$F$7:$F$506)*(IF('Gastos com Pessoal'!$G$7:$G$506&lt;=AU$3,1,0))*OFFSET('Gastos com Pessoal'!$H$6,1,MATCH(1&amp;$B56,'Gastos com Pessoal'!$I$532:$AJ$532&amp;'Gastos com Pessoal'!$I$6:$AJ$6,0),500,1)),0)+_xlfn.IFNA(SUM((AU$3&gt;='Gastos com Pessoal'!$E$7:$E$506)*(AU$3&lt;='Gastos com Pessoal'!$F$7:$F$506)*(IF('Gastos com Pessoal'!$M$7:$M$506&lt;=AU$3,1,0))*OFFSET('Gastos com Pessoal'!$H$6,1,MATCH(2&amp;$B56,'Gastos com Pessoal'!$I$532:$AJ$532&amp;'Gastos com Pessoal'!$I$6:$AJ$6,0),500,1)),0)+_xlfn.IFNA(SUM((AU$3&gt;='Gastos com Pessoal'!$E$7:$E$506)*(AU$3&lt;='Gastos com Pessoal'!$F$7:$F$506)*(IF('Gastos com Pessoal'!$S$7:$S$506&lt;=AU$3,1,0))*OFFSET('Gastos com Pessoal'!$H$6,1,MATCH(3&amp;$B56,'Gastos com Pessoal'!$I$532:$AJ$532&amp;'Gastos com Pessoal'!$I$6:$AJ$6,0),500,1)),0)+_xlfn.IFNA(SUM((AU$3&gt;='Gastos com Pessoal'!$E$7:$E$506)*(AU$3&lt;='Gastos com Pessoal'!$F$7:$F$506)*(IF('Gastos com Pessoal'!$Y$7:$Y$506&lt;=AU$3,1,0))*OFFSET('Gastos com Pessoal'!$H$6,1,MATCH(4&amp;$B56,'Gastos com Pessoal'!$I$532:$AJ$532&amp;'Gastos com Pessoal'!$I$6:$AJ$6,0),500,1)),0)+_xlfn.IFNA(SUM((AU$3&gt;='Gastos com Pessoal'!$E$7:$E$506)*(AU$3&lt;='Gastos com Pessoal'!$F$7:$F$506)*(IF('Gastos com Pessoal'!$AE$7:$AE$506&lt;=AU$3,1,0))*OFFSET('Gastos com Pessoal'!$H$6,1,MATCH(5&amp;$B56,'Gastos com Pessoal'!$I$532:$AJ$532&amp;'Gastos com Pessoal'!$I$6:$AJ$6,0),500,1)),0)+_xlfn.IFNA(SUM((AU$3&gt;='Gastos com Pessoal'!$E$513:$E$522)*(AU$3&lt;='Gastos com Pessoal'!$F$513:$F$522)*(IF('Gastos com Pessoal'!$G$513:$G$522&lt;=AU$3,1,0))*OFFSET('Gastos com Pessoal'!$H$512,1,MATCH(1&amp;$B56,'Gastos com Pessoal'!$I$532:$AJ$532&amp;'Gastos com Pessoal'!$I$512:$AJ$512,0),10,1)),0)+_xlfn.IFNA(SUM((AU$3&gt;='Gastos com Pessoal'!$E$513:$E$522)*(AU$3&lt;='Gastos com Pessoal'!$F$513:$F$522)*(IF('Gastos com Pessoal'!$M$513:$M$522&lt;=AU$3,1,0))*OFFSET('Gastos com Pessoal'!$H$512,1,MATCH(2&amp;$B56,'Gastos com Pessoal'!$I$532:$AJ$532&amp;'Gastos com Pessoal'!$I$512:$AJ$512,0),10,1)),0)+_xlfn.IFNA(SUM((AU$3&gt;='Gastos com Pessoal'!$E$513:$E$522)*(AU$3&lt;='Gastos com Pessoal'!$F$513:$F$522)*(IF('Gastos com Pessoal'!$S$513:$S$522&lt;=AU$3,1,0))*OFFSET('Gastos com Pessoal'!$H$512,1,MATCH(3&amp;$B56,'Gastos com Pessoal'!$I$532:$AJ$532&amp;'Gastos com Pessoal'!$I$512:$AJ$512,0),10,1)),0)+_xlfn.IFNA(SUM((AU$3&gt;='Gastos com Pessoal'!$E$513:$E$522)*(AU$3&lt;='Gastos com Pessoal'!$F$513:$F$522)*(IF('Gastos com Pessoal'!$Y$513:$Y$522&lt;=AU$3,1,0))*OFFSET('Gastos com Pessoal'!$H$512,1,MATCH(4&amp;$B56,'Gastos com Pessoal'!$I$532:$AJ$532&amp;'Gastos com Pessoal'!$I$512:$AJ$512,0),10,1)),0)+_xlfn.IFNA(SUM((AU$3&gt;='Gastos com Pessoal'!$E$513:$E$522)*(AU$3&lt;='Gastos com Pessoal'!$F$513:$F$522)*(IF('Gastos com Pessoal'!$AE$513:$AE$522&lt;=AU$3,1,0))*OFFSET('Gastos com Pessoal'!$H$512,1,MATCH(5&amp;$B56,'Gastos com Pessoal'!$I$532:$AJ$532&amp;'Gastos com Pessoal'!$I$512:$AJ$512,0),10,1)),0)</f>
        <v>160288.23999999909</v>
      </c>
      <c r="AV56" s="188">
        <f t="array" aca="1" ref="AV56" ca="1">_xlfn.IFNA(SUM((AV$3&gt;='Gastos com Pessoal'!$E$7:$E$506)*(AV$3&lt;='Gastos com Pessoal'!$F$7:$F$506)*OFFSET('Encargos e Benefícios'!$D$5,1,MATCH($B56,'Encargos e Benefícios'!$E$5:$AB$5,0),500,1)),0)+_xlfn.IFNA(SUM((AV$3&gt;='Gastos com Pessoal'!$E$513:$E$522)*(AV$3&lt;='Gastos com Pessoal'!$F$513:$F$522)*OFFSET('Encargos e Benefícios'!$D$511,1,MATCH($B56,'Encargos e Benefícios'!$E$511:$AB$511,0),10,1)),0)+_xlfn.IFNA(SUM((AV$3&gt;='Gastos com Pessoal'!$E$7:$E$506)*(AV$3&lt;='Gastos com Pessoal'!$F$7:$F$506)*(IF('Gastos com Pessoal'!$G$7:$G$506&lt;=AV$3,1,0))*OFFSET('Gastos com Pessoal'!$H$6,1,MATCH(1&amp;$B56,'Gastos com Pessoal'!$I$532:$AJ$532&amp;'Gastos com Pessoal'!$I$6:$AJ$6,0),500,1)),0)+_xlfn.IFNA(SUM((AV$3&gt;='Gastos com Pessoal'!$E$7:$E$506)*(AV$3&lt;='Gastos com Pessoal'!$F$7:$F$506)*(IF('Gastos com Pessoal'!$M$7:$M$506&lt;=AV$3,1,0))*OFFSET('Gastos com Pessoal'!$H$6,1,MATCH(2&amp;$B56,'Gastos com Pessoal'!$I$532:$AJ$532&amp;'Gastos com Pessoal'!$I$6:$AJ$6,0),500,1)),0)+_xlfn.IFNA(SUM((AV$3&gt;='Gastos com Pessoal'!$E$7:$E$506)*(AV$3&lt;='Gastos com Pessoal'!$F$7:$F$506)*(IF('Gastos com Pessoal'!$S$7:$S$506&lt;=AV$3,1,0))*OFFSET('Gastos com Pessoal'!$H$6,1,MATCH(3&amp;$B56,'Gastos com Pessoal'!$I$532:$AJ$532&amp;'Gastos com Pessoal'!$I$6:$AJ$6,0),500,1)),0)+_xlfn.IFNA(SUM((AV$3&gt;='Gastos com Pessoal'!$E$7:$E$506)*(AV$3&lt;='Gastos com Pessoal'!$F$7:$F$506)*(IF('Gastos com Pessoal'!$Y$7:$Y$506&lt;=AV$3,1,0))*OFFSET('Gastos com Pessoal'!$H$6,1,MATCH(4&amp;$B56,'Gastos com Pessoal'!$I$532:$AJ$532&amp;'Gastos com Pessoal'!$I$6:$AJ$6,0),500,1)),0)+_xlfn.IFNA(SUM((AV$3&gt;='Gastos com Pessoal'!$E$7:$E$506)*(AV$3&lt;='Gastos com Pessoal'!$F$7:$F$506)*(IF('Gastos com Pessoal'!$AE$7:$AE$506&lt;=AV$3,1,0))*OFFSET('Gastos com Pessoal'!$H$6,1,MATCH(5&amp;$B56,'Gastos com Pessoal'!$I$532:$AJ$532&amp;'Gastos com Pessoal'!$I$6:$AJ$6,0),500,1)),0)+_xlfn.IFNA(SUM((AV$3&gt;='Gastos com Pessoal'!$E$513:$E$522)*(AV$3&lt;='Gastos com Pessoal'!$F$513:$F$522)*(IF('Gastos com Pessoal'!$G$513:$G$522&lt;=AV$3,1,0))*OFFSET('Gastos com Pessoal'!$H$512,1,MATCH(1&amp;$B56,'Gastos com Pessoal'!$I$532:$AJ$532&amp;'Gastos com Pessoal'!$I$512:$AJ$512,0),10,1)),0)+_xlfn.IFNA(SUM((AV$3&gt;='Gastos com Pessoal'!$E$513:$E$522)*(AV$3&lt;='Gastos com Pessoal'!$F$513:$F$522)*(IF('Gastos com Pessoal'!$M$513:$M$522&lt;=AV$3,1,0))*OFFSET('Gastos com Pessoal'!$H$512,1,MATCH(2&amp;$B56,'Gastos com Pessoal'!$I$532:$AJ$532&amp;'Gastos com Pessoal'!$I$512:$AJ$512,0),10,1)),0)+_xlfn.IFNA(SUM((AV$3&gt;='Gastos com Pessoal'!$E$513:$E$522)*(AV$3&lt;='Gastos com Pessoal'!$F$513:$F$522)*(IF('Gastos com Pessoal'!$S$513:$S$522&lt;=AV$3,1,0))*OFFSET('Gastos com Pessoal'!$H$512,1,MATCH(3&amp;$B56,'Gastos com Pessoal'!$I$532:$AJ$532&amp;'Gastos com Pessoal'!$I$512:$AJ$512,0),10,1)),0)+_xlfn.IFNA(SUM((AV$3&gt;='Gastos com Pessoal'!$E$513:$E$522)*(AV$3&lt;='Gastos com Pessoal'!$F$513:$F$522)*(IF('Gastos com Pessoal'!$Y$513:$Y$522&lt;=AV$3,1,0))*OFFSET('Gastos com Pessoal'!$H$512,1,MATCH(4&amp;$B56,'Gastos com Pessoal'!$I$532:$AJ$532&amp;'Gastos com Pessoal'!$I$512:$AJ$512,0),10,1)),0)+_xlfn.IFNA(SUM((AV$3&gt;='Gastos com Pessoal'!$E$513:$E$522)*(AV$3&lt;='Gastos com Pessoal'!$F$513:$F$522)*(IF('Gastos com Pessoal'!$AE$513:$AE$522&lt;=AV$3,1,0))*OFFSET('Gastos com Pessoal'!$H$512,1,MATCH(5&amp;$B56,'Gastos com Pessoal'!$I$532:$AJ$532&amp;'Gastos com Pessoal'!$I$512:$AJ$512,0),10,1)),0)</f>
        <v>160288.23999999909</v>
      </c>
      <c r="AW56" s="188">
        <f t="array" aca="1" ref="AW56" ca="1">_xlfn.IFNA(SUM((AW$3&gt;='Gastos com Pessoal'!$E$7:$E$506)*(AW$3&lt;='Gastos com Pessoal'!$F$7:$F$506)*OFFSET('Encargos e Benefícios'!$D$5,1,MATCH($B56,'Encargos e Benefícios'!$E$5:$AB$5,0),500,1)),0)+_xlfn.IFNA(SUM((AW$3&gt;='Gastos com Pessoal'!$E$513:$E$522)*(AW$3&lt;='Gastos com Pessoal'!$F$513:$F$522)*OFFSET('Encargos e Benefícios'!$D$511,1,MATCH($B56,'Encargos e Benefícios'!$E$511:$AB$511,0),10,1)),0)+_xlfn.IFNA(SUM((AW$3&gt;='Gastos com Pessoal'!$E$7:$E$506)*(AW$3&lt;='Gastos com Pessoal'!$F$7:$F$506)*(IF('Gastos com Pessoal'!$G$7:$G$506&lt;=AW$3,1,0))*OFFSET('Gastos com Pessoal'!$H$6,1,MATCH(1&amp;$B56,'Gastos com Pessoal'!$I$532:$AJ$532&amp;'Gastos com Pessoal'!$I$6:$AJ$6,0),500,1)),0)+_xlfn.IFNA(SUM((AW$3&gt;='Gastos com Pessoal'!$E$7:$E$506)*(AW$3&lt;='Gastos com Pessoal'!$F$7:$F$506)*(IF('Gastos com Pessoal'!$M$7:$M$506&lt;=AW$3,1,0))*OFFSET('Gastos com Pessoal'!$H$6,1,MATCH(2&amp;$B56,'Gastos com Pessoal'!$I$532:$AJ$532&amp;'Gastos com Pessoal'!$I$6:$AJ$6,0),500,1)),0)+_xlfn.IFNA(SUM((AW$3&gt;='Gastos com Pessoal'!$E$7:$E$506)*(AW$3&lt;='Gastos com Pessoal'!$F$7:$F$506)*(IF('Gastos com Pessoal'!$S$7:$S$506&lt;=AW$3,1,0))*OFFSET('Gastos com Pessoal'!$H$6,1,MATCH(3&amp;$B56,'Gastos com Pessoal'!$I$532:$AJ$532&amp;'Gastos com Pessoal'!$I$6:$AJ$6,0),500,1)),0)+_xlfn.IFNA(SUM((AW$3&gt;='Gastos com Pessoal'!$E$7:$E$506)*(AW$3&lt;='Gastos com Pessoal'!$F$7:$F$506)*(IF('Gastos com Pessoal'!$Y$7:$Y$506&lt;=AW$3,1,0))*OFFSET('Gastos com Pessoal'!$H$6,1,MATCH(4&amp;$B56,'Gastos com Pessoal'!$I$532:$AJ$532&amp;'Gastos com Pessoal'!$I$6:$AJ$6,0),500,1)),0)+_xlfn.IFNA(SUM((AW$3&gt;='Gastos com Pessoal'!$E$7:$E$506)*(AW$3&lt;='Gastos com Pessoal'!$F$7:$F$506)*(IF('Gastos com Pessoal'!$AE$7:$AE$506&lt;=AW$3,1,0))*OFFSET('Gastos com Pessoal'!$H$6,1,MATCH(5&amp;$B56,'Gastos com Pessoal'!$I$532:$AJ$532&amp;'Gastos com Pessoal'!$I$6:$AJ$6,0),500,1)),0)+_xlfn.IFNA(SUM((AW$3&gt;='Gastos com Pessoal'!$E$513:$E$522)*(AW$3&lt;='Gastos com Pessoal'!$F$513:$F$522)*(IF('Gastos com Pessoal'!$G$513:$G$522&lt;=AW$3,1,0))*OFFSET('Gastos com Pessoal'!$H$512,1,MATCH(1&amp;$B56,'Gastos com Pessoal'!$I$532:$AJ$532&amp;'Gastos com Pessoal'!$I$512:$AJ$512,0),10,1)),0)+_xlfn.IFNA(SUM((AW$3&gt;='Gastos com Pessoal'!$E$513:$E$522)*(AW$3&lt;='Gastos com Pessoal'!$F$513:$F$522)*(IF('Gastos com Pessoal'!$M$513:$M$522&lt;=AW$3,1,0))*OFFSET('Gastos com Pessoal'!$H$512,1,MATCH(2&amp;$B56,'Gastos com Pessoal'!$I$532:$AJ$532&amp;'Gastos com Pessoal'!$I$512:$AJ$512,0),10,1)),0)+_xlfn.IFNA(SUM((AW$3&gt;='Gastos com Pessoal'!$E$513:$E$522)*(AW$3&lt;='Gastos com Pessoal'!$F$513:$F$522)*(IF('Gastos com Pessoal'!$S$513:$S$522&lt;=AW$3,1,0))*OFFSET('Gastos com Pessoal'!$H$512,1,MATCH(3&amp;$B56,'Gastos com Pessoal'!$I$532:$AJ$532&amp;'Gastos com Pessoal'!$I$512:$AJ$512,0),10,1)),0)+_xlfn.IFNA(SUM((AW$3&gt;='Gastos com Pessoal'!$E$513:$E$522)*(AW$3&lt;='Gastos com Pessoal'!$F$513:$F$522)*(IF('Gastos com Pessoal'!$Y$513:$Y$522&lt;=AW$3,1,0))*OFFSET('Gastos com Pessoal'!$H$512,1,MATCH(4&amp;$B56,'Gastos com Pessoal'!$I$532:$AJ$532&amp;'Gastos com Pessoal'!$I$512:$AJ$512,0),10,1)),0)+_xlfn.IFNA(SUM((AW$3&gt;='Gastos com Pessoal'!$E$513:$E$522)*(AW$3&lt;='Gastos com Pessoal'!$F$513:$F$522)*(IF('Gastos com Pessoal'!$AE$513:$AE$522&lt;=AW$3,1,0))*OFFSET('Gastos com Pessoal'!$H$512,1,MATCH(5&amp;$B56,'Gastos com Pessoal'!$I$532:$AJ$532&amp;'Gastos com Pessoal'!$I$512:$AJ$512,0),10,1)),0)</f>
        <v>160288.23999999909</v>
      </c>
      <c r="AX56" s="188">
        <f t="array" aca="1" ref="AX56" ca="1">_xlfn.IFNA(SUM((AX$3&gt;='Gastos com Pessoal'!$E$7:$E$506)*(AX$3&lt;='Gastos com Pessoal'!$F$7:$F$506)*OFFSET('Encargos e Benefícios'!$D$5,1,MATCH($B56,'Encargos e Benefícios'!$E$5:$AB$5,0),500,1)),0)+_xlfn.IFNA(SUM((AX$3&gt;='Gastos com Pessoal'!$E$513:$E$522)*(AX$3&lt;='Gastos com Pessoal'!$F$513:$F$522)*OFFSET('Encargos e Benefícios'!$D$511,1,MATCH($B56,'Encargos e Benefícios'!$E$511:$AB$511,0),10,1)),0)+_xlfn.IFNA(SUM((AX$3&gt;='Gastos com Pessoal'!$E$7:$E$506)*(AX$3&lt;='Gastos com Pessoal'!$F$7:$F$506)*(IF('Gastos com Pessoal'!$G$7:$G$506&lt;=AX$3,1,0))*OFFSET('Gastos com Pessoal'!$H$6,1,MATCH(1&amp;$B56,'Gastos com Pessoal'!$I$532:$AJ$532&amp;'Gastos com Pessoal'!$I$6:$AJ$6,0),500,1)),0)+_xlfn.IFNA(SUM((AX$3&gt;='Gastos com Pessoal'!$E$7:$E$506)*(AX$3&lt;='Gastos com Pessoal'!$F$7:$F$506)*(IF('Gastos com Pessoal'!$M$7:$M$506&lt;=AX$3,1,0))*OFFSET('Gastos com Pessoal'!$H$6,1,MATCH(2&amp;$B56,'Gastos com Pessoal'!$I$532:$AJ$532&amp;'Gastos com Pessoal'!$I$6:$AJ$6,0),500,1)),0)+_xlfn.IFNA(SUM((AX$3&gt;='Gastos com Pessoal'!$E$7:$E$506)*(AX$3&lt;='Gastos com Pessoal'!$F$7:$F$506)*(IF('Gastos com Pessoal'!$S$7:$S$506&lt;=AX$3,1,0))*OFFSET('Gastos com Pessoal'!$H$6,1,MATCH(3&amp;$B56,'Gastos com Pessoal'!$I$532:$AJ$532&amp;'Gastos com Pessoal'!$I$6:$AJ$6,0),500,1)),0)+_xlfn.IFNA(SUM((AX$3&gt;='Gastos com Pessoal'!$E$7:$E$506)*(AX$3&lt;='Gastos com Pessoal'!$F$7:$F$506)*(IF('Gastos com Pessoal'!$Y$7:$Y$506&lt;=AX$3,1,0))*OFFSET('Gastos com Pessoal'!$H$6,1,MATCH(4&amp;$B56,'Gastos com Pessoal'!$I$532:$AJ$532&amp;'Gastos com Pessoal'!$I$6:$AJ$6,0),500,1)),0)+_xlfn.IFNA(SUM((AX$3&gt;='Gastos com Pessoal'!$E$7:$E$506)*(AX$3&lt;='Gastos com Pessoal'!$F$7:$F$506)*(IF('Gastos com Pessoal'!$AE$7:$AE$506&lt;=AX$3,1,0))*OFFSET('Gastos com Pessoal'!$H$6,1,MATCH(5&amp;$B56,'Gastos com Pessoal'!$I$532:$AJ$532&amp;'Gastos com Pessoal'!$I$6:$AJ$6,0),500,1)),0)+_xlfn.IFNA(SUM((AX$3&gt;='Gastos com Pessoal'!$E$513:$E$522)*(AX$3&lt;='Gastos com Pessoal'!$F$513:$F$522)*(IF('Gastos com Pessoal'!$G$513:$G$522&lt;=AX$3,1,0))*OFFSET('Gastos com Pessoal'!$H$512,1,MATCH(1&amp;$B56,'Gastos com Pessoal'!$I$532:$AJ$532&amp;'Gastos com Pessoal'!$I$512:$AJ$512,0),10,1)),0)+_xlfn.IFNA(SUM((AX$3&gt;='Gastos com Pessoal'!$E$513:$E$522)*(AX$3&lt;='Gastos com Pessoal'!$F$513:$F$522)*(IF('Gastos com Pessoal'!$M$513:$M$522&lt;=AX$3,1,0))*OFFSET('Gastos com Pessoal'!$H$512,1,MATCH(2&amp;$B56,'Gastos com Pessoal'!$I$532:$AJ$532&amp;'Gastos com Pessoal'!$I$512:$AJ$512,0),10,1)),0)+_xlfn.IFNA(SUM((AX$3&gt;='Gastos com Pessoal'!$E$513:$E$522)*(AX$3&lt;='Gastos com Pessoal'!$F$513:$F$522)*(IF('Gastos com Pessoal'!$S$513:$S$522&lt;=AX$3,1,0))*OFFSET('Gastos com Pessoal'!$H$512,1,MATCH(3&amp;$B56,'Gastos com Pessoal'!$I$532:$AJ$532&amp;'Gastos com Pessoal'!$I$512:$AJ$512,0),10,1)),0)+_xlfn.IFNA(SUM((AX$3&gt;='Gastos com Pessoal'!$E$513:$E$522)*(AX$3&lt;='Gastos com Pessoal'!$F$513:$F$522)*(IF('Gastos com Pessoal'!$Y$513:$Y$522&lt;=AX$3,1,0))*OFFSET('Gastos com Pessoal'!$H$512,1,MATCH(4&amp;$B56,'Gastos com Pessoal'!$I$532:$AJ$532&amp;'Gastos com Pessoal'!$I$512:$AJ$512,0),10,1)),0)+_xlfn.IFNA(SUM((AX$3&gt;='Gastos com Pessoal'!$E$513:$E$522)*(AX$3&lt;='Gastos com Pessoal'!$F$513:$F$522)*(IF('Gastos com Pessoal'!$AE$513:$AE$522&lt;=AX$3,1,0))*OFFSET('Gastos com Pessoal'!$H$512,1,MATCH(5&amp;$B56,'Gastos com Pessoal'!$I$532:$AJ$532&amp;'Gastos com Pessoal'!$I$512:$AJ$512,0),10,1)),0)</f>
        <v>0</v>
      </c>
      <c r="AY56" s="188">
        <f t="array" aca="1" ref="AY56" ca="1">_xlfn.IFNA(SUM((AY$3&gt;='Gastos com Pessoal'!$E$7:$E$506)*(AY$3&lt;='Gastos com Pessoal'!$F$7:$F$506)*OFFSET('Encargos e Benefícios'!$D$5,1,MATCH($B56,'Encargos e Benefícios'!$E$5:$AB$5,0),500,1)),0)+_xlfn.IFNA(SUM((AY$3&gt;='Gastos com Pessoal'!$E$513:$E$522)*(AY$3&lt;='Gastos com Pessoal'!$F$513:$F$522)*OFFSET('Encargos e Benefícios'!$D$511,1,MATCH($B56,'Encargos e Benefícios'!$E$511:$AB$511,0),10,1)),0)+_xlfn.IFNA(SUM((AY$3&gt;='Gastos com Pessoal'!$E$7:$E$506)*(AY$3&lt;='Gastos com Pessoal'!$F$7:$F$506)*(IF('Gastos com Pessoal'!$G$7:$G$506&lt;=AY$3,1,0))*OFFSET('Gastos com Pessoal'!$H$6,1,MATCH(1&amp;$B56,'Gastos com Pessoal'!$I$532:$AJ$532&amp;'Gastos com Pessoal'!$I$6:$AJ$6,0),500,1)),0)+_xlfn.IFNA(SUM((AY$3&gt;='Gastos com Pessoal'!$E$7:$E$506)*(AY$3&lt;='Gastos com Pessoal'!$F$7:$F$506)*(IF('Gastos com Pessoal'!$M$7:$M$506&lt;=AY$3,1,0))*OFFSET('Gastos com Pessoal'!$H$6,1,MATCH(2&amp;$B56,'Gastos com Pessoal'!$I$532:$AJ$532&amp;'Gastos com Pessoal'!$I$6:$AJ$6,0),500,1)),0)+_xlfn.IFNA(SUM((AY$3&gt;='Gastos com Pessoal'!$E$7:$E$506)*(AY$3&lt;='Gastos com Pessoal'!$F$7:$F$506)*(IF('Gastos com Pessoal'!$S$7:$S$506&lt;=AY$3,1,0))*OFFSET('Gastos com Pessoal'!$H$6,1,MATCH(3&amp;$B56,'Gastos com Pessoal'!$I$532:$AJ$532&amp;'Gastos com Pessoal'!$I$6:$AJ$6,0),500,1)),0)+_xlfn.IFNA(SUM((AY$3&gt;='Gastos com Pessoal'!$E$7:$E$506)*(AY$3&lt;='Gastos com Pessoal'!$F$7:$F$506)*(IF('Gastos com Pessoal'!$Y$7:$Y$506&lt;=AY$3,1,0))*OFFSET('Gastos com Pessoal'!$H$6,1,MATCH(4&amp;$B56,'Gastos com Pessoal'!$I$532:$AJ$532&amp;'Gastos com Pessoal'!$I$6:$AJ$6,0),500,1)),0)+_xlfn.IFNA(SUM((AY$3&gt;='Gastos com Pessoal'!$E$7:$E$506)*(AY$3&lt;='Gastos com Pessoal'!$F$7:$F$506)*(IF('Gastos com Pessoal'!$AE$7:$AE$506&lt;=AY$3,1,0))*OFFSET('Gastos com Pessoal'!$H$6,1,MATCH(5&amp;$B56,'Gastos com Pessoal'!$I$532:$AJ$532&amp;'Gastos com Pessoal'!$I$6:$AJ$6,0),500,1)),0)+_xlfn.IFNA(SUM((AY$3&gt;='Gastos com Pessoal'!$E$513:$E$522)*(AY$3&lt;='Gastos com Pessoal'!$F$513:$F$522)*(IF('Gastos com Pessoal'!$G$513:$G$522&lt;=AY$3,1,0))*OFFSET('Gastos com Pessoal'!$H$512,1,MATCH(1&amp;$B56,'Gastos com Pessoal'!$I$532:$AJ$532&amp;'Gastos com Pessoal'!$I$512:$AJ$512,0),10,1)),0)+_xlfn.IFNA(SUM((AY$3&gt;='Gastos com Pessoal'!$E$513:$E$522)*(AY$3&lt;='Gastos com Pessoal'!$F$513:$F$522)*(IF('Gastos com Pessoal'!$M$513:$M$522&lt;=AY$3,1,0))*OFFSET('Gastos com Pessoal'!$H$512,1,MATCH(2&amp;$B56,'Gastos com Pessoal'!$I$532:$AJ$532&amp;'Gastos com Pessoal'!$I$512:$AJ$512,0),10,1)),0)+_xlfn.IFNA(SUM((AY$3&gt;='Gastos com Pessoal'!$E$513:$E$522)*(AY$3&lt;='Gastos com Pessoal'!$F$513:$F$522)*(IF('Gastos com Pessoal'!$S$513:$S$522&lt;=AY$3,1,0))*OFFSET('Gastos com Pessoal'!$H$512,1,MATCH(3&amp;$B56,'Gastos com Pessoal'!$I$532:$AJ$532&amp;'Gastos com Pessoal'!$I$512:$AJ$512,0),10,1)),0)+_xlfn.IFNA(SUM((AY$3&gt;='Gastos com Pessoal'!$E$513:$E$522)*(AY$3&lt;='Gastos com Pessoal'!$F$513:$F$522)*(IF('Gastos com Pessoal'!$Y$513:$Y$522&lt;=AY$3,1,0))*OFFSET('Gastos com Pessoal'!$H$512,1,MATCH(4&amp;$B56,'Gastos com Pessoal'!$I$532:$AJ$532&amp;'Gastos com Pessoal'!$I$512:$AJ$512,0),10,1)),0)+_xlfn.IFNA(SUM((AY$3&gt;='Gastos com Pessoal'!$E$513:$E$522)*(AY$3&lt;='Gastos com Pessoal'!$F$513:$F$522)*(IF('Gastos com Pessoal'!$AE$513:$AE$522&lt;=AY$3,1,0))*OFFSET('Gastos com Pessoal'!$H$512,1,MATCH(5&amp;$B56,'Gastos com Pessoal'!$I$532:$AJ$532&amp;'Gastos com Pessoal'!$I$512:$AJ$512,0),10,1)),0)</f>
        <v>0</v>
      </c>
      <c r="AZ56" s="188">
        <f t="array" aca="1" ref="AZ56" ca="1">_xlfn.IFNA(SUM((AZ$3&gt;='Gastos com Pessoal'!$E$7:$E$506)*(AZ$3&lt;='Gastos com Pessoal'!$F$7:$F$506)*OFFSET('Encargos e Benefícios'!$D$5,1,MATCH($B56,'Encargos e Benefícios'!$E$5:$AB$5,0),500,1)),0)+_xlfn.IFNA(SUM((AZ$3&gt;='Gastos com Pessoal'!$E$513:$E$522)*(AZ$3&lt;='Gastos com Pessoal'!$F$513:$F$522)*OFFSET('Encargos e Benefícios'!$D$511,1,MATCH($B56,'Encargos e Benefícios'!$E$511:$AB$511,0),10,1)),0)+_xlfn.IFNA(SUM((AZ$3&gt;='Gastos com Pessoal'!$E$7:$E$506)*(AZ$3&lt;='Gastos com Pessoal'!$F$7:$F$506)*(IF('Gastos com Pessoal'!$G$7:$G$506&lt;=AZ$3,1,0))*OFFSET('Gastos com Pessoal'!$H$6,1,MATCH(1&amp;$B56,'Gastos com Pessoal'!$I$532:$AJ$532&amp;'Gastos com Pessoal'!$I$6:$AJ$6,0),500,1)),0)+_xlfn.IFNA(SUM((AZ$3&gt;='Gastos com Pessoal'!$E$7:$E$506)*(AZ$3&lt;='Gastos com Pessoal'!$F$7:$F$506)*(IF('Gastos com Pessoal'!$M$7:$M$506&lt;=AZ$3,1,0))*OFFSET('Gastos com Pessoal'!$H$6,1,MATCH(2&amp;$B56,'Gastos com Pessoal'!$I$532:$AJ$532&amp;'Gastos com Pessoal'!$I$6:$AJ$6,0),500,1)),0)+_xlfn.IFNA(SUM((AZ$3&gt;='Gastos com Pessoal'!$E$7:$E$506)*(AZ$3&lt;='Gastos com Pessoal'!$F$7:$F$506)*(IF('Gastos com Pessoal'!$S$7:$S$506&lt;=AZ$3,1,0))*OFFSET('Gastos com Pessoal'!$H$6,1,MATCH(3&amp;$B56,'Gastos com Pessoal'!$I$532:$AJ$532&amp;'Gastos com Pessoal'!$I$6:$AJ$6,0),500,1)),0)+_xlfn.IFNA(SUM((AZ$3&gt;='Gastos com Pessoal'!$E$7:$E$506)*(AZ$3&lt;='Gastos com Pessoal'!$F$7:$F$506)*(IF('Gastos com Pessoal'!$Y$7:$Y$506&lt;=AZ$3,1,0))*OFFSET('Gastos com Pessoal'!$H$6,1,MATCH(4&amp;$B56,'Gastos com Pessoal'!$I$532:$AJ$532&amp;'Gastos com Pessoal'!$I$6:$AJ$6,0),500,1)),0)+_xlfn.IFNA(SUM((AZ$3&gt;='Gastos com Pessoal'!$E$7:$E$506)*(AZ$3&lt;='Gastos com Pessoal'!$F$7:$F$506)*(IF('Gastos com Pessoal'!$AE$7:$AE$506&lt;=AZ$3,1,0))*OFFSET('Gastos com Pessoal'!$H$6,1,MATCH(5&amp;$B56,'Gastos com Pessoal'!$I$532:$AJ$532&amp;'Gastos com Pessoal'!$I$6:$AJ$6,0),500,1)),0)+_xlfn.IFNA(SUM((AZ$3&gt;='Gastos com Pessoal'!$E$513:$E$522)*(AZ$3&lt;='Gastos com Pessoal'!$F$513:$F$522)*(IF('Gastos com Pessoal'!$G$513:$G$522&lt;=AZ$3,1,0))*OFFSET('Gastos com Pessoal'!$H$512,1,MATCH(1&amp;$B56,'Gastos com Pessoal'!$I$532:$AJ$532&amp;'Gastos com Pessoal'!$I$512:$AJ$512,0),10,1)),0)+_xlfn.IFNA(SUM((AZ$3&gt;='Gastos com Pessoal'!$E$513:$E$522)*(AZ$3&lt;='Gastos com Pessoal'!$F$513:$F$522)*(IF('Gastos com Pessoal'!$M$513:$M$522&lt;=AZ$3,1,0))*OFFSET('Gastos com Pessoal'!$H$512,1,MATCH(2&amp;$B56,'Gastos com Pessoal'!$I$532:$AJ$532&amp;'Gastos com Pessoal'!$I$512:$AJ$512,0),10,1)),0)+_xlfn.IFNA(SUM((AZ$3&gt;='Gastos com Pessoal'!$E$513:$E$522)*(AZ$3&lt;='Gastos com Pessoal'!$F$513:$F$522)*(IF('Gastos com Pessoal'!$S$513:$S$522&lt;=AZ$3,1,0))*OFFSET('Gastos com Pessoal'!$H$512,1,MATCH(3&amp;$B56,'Gastos com Pessoal'!$I$532:$AJ$532&amp;'Gastos com Pessoal'!$I$512:$AJ$512,0),10,1)),0)+_xlfn.IFNA(SUM((AZ$3&gt;='Gastos com Pessoal'!$E$513:$E$522)*(AZ$3&lt;='Gastos com Pessoal'!$F$513:$F$522)*(IF('Gastos com Pessoal'!$Y$513:$Y$522&lt;=AZ$3,1,0))*OFFSET('Gastos com Pessoal'!$H$512,1,MATCH(4&amp;$B56,'Gastos com Pessoal'!$I$532:$AJ$532&amp;'Gastos com Pessoal'!$I$512:$AJ$512,0),10,1)),0)+_xlfn.IFNA(SUM((AZ$3&gt;='Gastos com Pessoal'!$E$513:$E$522)*(AZ$3&lt;='Gastos com Pessoal'!$F$513:$F$522)*(IF('Gastos com Pessoal'!$AE$513:$AE$522&lt;=AZ$3,1,0))*OFFSET('Gastos com Pessoal'!$H$512,1,MATCH(5&amp;$B56,'Gastos com Pessoal'!$I$532:$AJ$532&amp;'Gastos com Pessoal'!$I$512:$AJ$512,0),10,1)),0)</f>
        <v>0</v>
      </c>
      <c r="BA56" s="188">
        <f t="array" aca="1" ref="BA56" ca="1">_xlfn.IFNA(SUM((BA$3&gt;='Gastos com Pessoal'!$E$7:$E$506)*(BA$3&lt;='Gastos com Pessoal'!$F$7:$F$506)*OFFSET('Encargos e Benefícios'!$D$5,1,MATCH($B56,'Encargos e Benefícios'!$E$5:$AB$5,0),500,1)),0)+_xlfn.IFNA(SUM((BA$3&gt;='Gastos com Pessoal'!$E$513:$E$522)*(BA$3&lt;='Gastos com Pessoal'!$F$513:$F$522)*OFFSET('Encargos e Benefícios'!$D$511,1,MATCH($B56,'Encargos e Benefícios'!$E$511:$AB$511,0),10,1)),0)+_xlfn.IFNA(SUM((BA$3&gt;='Gastos com Pessoal'!$E$7:$E$506)*(BA$3&lt;='Gastos com Pessoal'!$F$7:$F$506)*(IF('Gastos com Pessoal'!$G$7:$G$506&lt;=BA$3,1,0))*OFFSET('Gastos com Pessoal'!$H$6,1,MATCH(1&amp;$B56,'Gastos com Pessoal'!$I$532:$AJ$532&amp;'Gastos com Pessoal'!$I$6:$AJ$6,0),500,1)),0)+_xlfn.IFNA(SUM((BA$3&gt;='Gastos com Pessoal'!$E$7:$E$506)*(BA$3&lt;='Gastos com Pessoal'!$F$7:$F$506)*(IF('Gastos com Pessoal'!$M$7:$M$506&lt;=BA$3,1,0))*OFFSET('Gastos com Pessoal'!$H$6,1,MATCH(2&amp;$B56,'Gastos com Pessoal'!$I$532:$AJ$532&amp;'Gastos com Pessoal'!$I$6:$AJ$6,0),500,1)),0)+_xlfn.IFNA(SUM((BA$3&gt;='Gastos com Pessoal'!$E$7:$E$506)*(BA$3&lt;='Gastos com Pessoal'!$F$7:$F$506)*(IF('Gastos com Pessoal'!$S$7:$S$506&lt;=BA$3,1,0))*OFFSET('Gastos com Pessoal'!$H$6,1,MATCH(3&amp;$B56,'Gastos com Pessoal'!$I$532:$AJ$532&amp;'Gastos com Pessoal'!$I$6:$AJ$6,0),500,1)),0)+_xlfn.IFNA(SUM((BA$3&gt;='Gastos com Pessoal'!$E$7:$E$506)*(BA$3&lt;='Gastos com Pessoal'!$F$7:$F$506)*(IF('Gastos com Pessoal'!$Y$7:$Y$506&lt;=BA$3,1,0))*OFFSET('Gastos com Pessoal'!$H$6,1,MATCH(4&amp;$B56,'Gastos com Pessoal'!$I$532:$AJ$532&amp;'Gastos com Pessoal'!$I$6:$AJ$6,0),500,1)),0)+_xlfn.IFNA(SUM((BA$3&gt;='Gastos com Pessoal'!$E$7:$E$506)*(BA$3&lt;='Gastos com Pessoal'!$F$7:$F$506)*(IF('Gastos com Pessoal'!$AE$7:$AE$506&lt;=BA$3,1,0))*OFFSET('Gastos com Pessoal'!$H$6,1,MATCH(5&amp;$B56,'Gastos com Pessoal'!$I$532:$AJ$532&amp;'Gastos com Pessoal'!$I$6:$AJ$6,0),500,1)),0)+_xlfn.IFNA(SUM((BA$3&gt;='Gastos com Pessoal'!$E$513:$E$522)*(BA$3&lt;='Gastos com Pessoal'!$F$513:$F$522)*(IF('Gastos com Pessoal'!$G$513:$G$522&lt;=BA$3,1,0))*OFFSET('Gastos com Pessoal'!$H$512,1,MATCH(1&amp;$B56,'Gastos com Pessoal'!$I$532:$AJ$532&amp;'Gastos com Pessoal'!$I$512:$AJ$512,0),10,1)),0)+_xlfn.IFNA(SUM((BA$3&gt;='Gastos com Pessoal'!$E$513:$E$522)*(BA$3&lt;='Gastos com Pessoal'!$F$513:$F$522)*(IF('Gastos com Pessoal'!$M$513:$M$522&lt;=BA$3,1,0))*OFFSET('Gastos com Pessoal'!$H$512,1,MATCH(2&amp;$B56,'Gastos com Pessoal'!$I$532:$AJ$532&amp;'Gastos com Pessoal'!$I$512:$AJ$512,0),10,1)),0)+_xlfn.IFNA(SUM((BA$3&gt;='Gastos com Pessoal'!$E$513:$E$522)*(BA$3&lt;='Gastos com Pessoal'!$F$513:$F$522)*(IF('Gastos com Pessoal'!$S$513:$S$522&lt;=BA$3,1,0))*OFFSET('Gastos com Pessoal'!$H$512,1,MATCH(3&amp;$B56,'Gastos com Pessoal'!$I$532:$AJ$532&amp;'Gastos com Pessoal'!$I$512:$AJ$512,0),10,1)),0)+_xlfn.IFNA(SUM((BA$3&gt;='Gastos com Pessoal'!$E$513:$E$522)*(BA$3&lt;='Gastos com Pessoal'!$F$513:$F$522)*(IF('Gastos com Pessoal'!$Y$513:$Y$522&lt;=BA$3,1,0))*OFFSET('Gastos com Pessoal'!$H$512,1,MATCH(4&amp;$B56,'Gastos com Pessoal'!$I$532:$AJ$532&amp;'Gastos com Pessoal'!$I$512:$AJ$512,0),10,1)),0)+_xlfn.IFNA(SUM((BA$3&gt;='Gastos com Pessoal'!$E$513:$E$522)*(BA$3&lt;='Gastos com Pessoal'!$F$513:$F$522)*(IF('Gastos com Pessoal'!$AE$513:$AE$522&lt;=BA$3,1,0))*OFFSET('Gastos com Pessoal'!$H$512,1,MATCH(5&amp;$B56,'Gastos com Pessoal'!$I$532:$AJ$532&amp;'Gastos com Pessoal'!$I$512:$AJ$512,0),10,1)),0)</f>
        <v>0</v>
      </c>
      <c r="BB56" s="188">
        <f t="array" aca="1" ref="BB56" ca="1">_xlfn.IFNA(SUM((BB$3&gt;='Gastos com Pessoal'!$E$7:$E$506)*(BB$3&lt;='Gastos com Pessoal'!$F$7:$F$506)*OFFSET('Encargos e Benefícios'!$D$5,1,MATCH($B56,'Encargos e Benefícios'!$E$5:$AB$5,0),500,1)),0)+_xlfn.IFNA(SUM((BB$3&gt;='Gastos com Pessoal'!$E$513:$E$522)*(BB$3&lt;='Gastos com Pessoal'!$F$513:$F$522)*OFFSET('Encargos e Benefícios'!$D$511,1,MATCH($B56,'Encargos e Benefícios'!$E$511:$AB$511,0),10,1)),0)+_xlfn.IFNA(SUM((BB$3&gt;='Gastos com Pessoal'!$E$7:$E$506)*(BB$3&lt;='Gastos com Pessoal'!$F$7:$F$506)*(IF('Gastos com Pessoal'!$G$7:$G$506&lt;=BB$3,1,0))*OFFSET('Gastos com Pessoal'!$H$6,1,MATCH(1&amp;$B56,'Gastos com Pessoal'!$I$532:$AJ$532&amp;'Gastos com Pessoal'!$I$6:$AJ$6,0),500,1)),0)+_xlfn.IFNA(SUM((BB$3&gt;='Gastos com Pessoal'!$E$7:$E$506)*(BB$3&lt;='Gastos com Pessoal'!$F$7:$F$506)*(IF('Gastos com Pessoal'!$M$7:$M$506&lt;=BB$3,1,0))*OFFSET('Gastos com Pessoal'!$H$6,1,MATCH(2&amp;$B56,'Gastos com Pessoal'!$I$532:$AJ$532&amp;'Gastos com Pessoal'!$I$6:$AJ$6,0),500,1)),0)+_xlfn.IFNA(SUM((BB$3&gt;='Gastos com Pessoal'!$E$7:$E$506)*(BB$3&lt;='Gastos com Pessoal'!$F$7:$F$506)*(IF('Gastos com Pessoal'!$S$7:$S$506&lt;=BB$3,1,0))*OFFSET('Gastos com Pessoal'!$H$6,1,MATCH(3&amp;$B56,'Gastos com Pessoal'!$I$532:$AJ$532&amp;'Gastos com Pessoal'!$I$6:$AJ$6,0),500,1)),0)+_xlfn.IFNA(SUM((BB$3&gt;='Gastos com Pessoal'!$E$7:$E$506)*(BB$3&lt;='Gastos com Pessoal'!$F$7:$F$506)*(IF('Gastos com Pessoal'!$Y$7:$Y$506&lt;=BB$3,1,0))*OFFSET('Gastos com Pessoal'!$H$6,1,MATCH(4&amp;$B56,'Gastos com Pessoal'!$I$532:$AJ$532&amp;'Gastos com Pessoal'!$I$6:$AJ$6,0),500,1)),0)+_xlfn.IFNA(SUM((BB$3&gt;='Gastos com Pessoal'!$E$7:$E$506)*(BB$3&lt;='Gastos com Pessoal'!$F$7:$F$506)*(IF('Gastos com Pessoal'!$AE$7:$AE$506&lt;=BB$3,1,0))*OFFSET('Gastos com Pessoal'!$H$6,1,MATCH(5&amp;$B56,'Gastos com Pessoal'!$I$532:$AJ$532&amp;'Gastos com Pessoal'!$I$6:$AJ$6,0),500,1)),0)+_xlfn.IFNA(SUM((BB$3&gt;='Gastos com Pessoal'!$E$513:$E$522)*(BB$3&lt;='Gastos com Pessoal'!$F$513:$F$522)*(IF('Gastos com Pessoal'!$G$513:$G$522&lt;=BB$3,1,0))*OFFSET('Gastos com Pessoal'!$H$512,1,MATCH(1&amp;$B56,'Gastos com Pessoal'!$I$532:$AJ$532&amp;'Gastos com Pessoal'!$I$512:$AJ$512,0),10,1)),0)+_xlfn.IFNA(SUM((BB$3&gt;='Gastos com Pessoal'!$E$513:$E$522)*(BB$3&lt;='Gastos com Pessoal'!$F$513:$F$522)*(IF('Gastos com Pessoal'!$M$513:$M$522&lt;=BB$3,1,0))*OFFSET('Gastos com Pessoal'!$H$512,1,MATCH(2&amp;$B56,'Gastos com Pessoal'!$I$532:$AJ$532&amp;'Gastos com Pessoal'!$I$512:$AJ$512,0),10,1)),0)+_xlfn.IFNA(SUM((BB$3&gt;='Gastos com Pessoal'!$E$513:$E$522)*(BB$3&lt;='Gastos com Pessoal'!$F$513:$F$522)*(IF('Gastos com Pessoal'!$S$513:$S$522&lt;=BB$3,1,0))*OFFSET('Gastos com Pessoal'!$H$512,1,MATCH(3&amp;$B56,'Gastos com Pessoal'!$I$532:$AJ$532&amp;'Gastos com Pessoal'!$I$512:$AJ$512,0),10,1)),0)+_xlfn.IFNA(SUM((BB$3&gt;='Gastos com Pessoal'!$E$513:$E$522)*(BB$3&lt;='Gastos com Pessoal'!$F$513:$F$522)*(IF('Gastos com Pessoal'!$Y$513:$Y$522&lt;=BB$3,1,0))*OFFSET('Gastos com Pessoal'!$H$512,1,MATCH(4&amp;$B56,'Gastos com Pessoal'!$I$532:$AJ$532&amp;'Gastos com Pessoal'!$I$512:$AJ$512,0),10,1)),0)+_xlfn.IFNA(SUM((BB$3&gt;='Gastos com Pessoal'!$E$513:$E$522)*(BB$3&lt;='Gastos com Pessoal'!$F$513:$F$522)*(IF('Gastos com Pessoal'!$AE$513:$AE$522&lt;=BB$3,1,0))*OFFSET('Gastos com Pessoal'!$H$512,1,MATCH(5&amp;$B56,'Gastos com Pessoal'!$I$532:$AJ$532&amp;'Gastos com Pessoal'!$I$512:$AJ$512,0),10,1)),0)</f>
        <v>0</v>
      </c>
      <c r="BC56" s="188">
        <f t="array" aca="1" ref="BC56" ca="1">_xlfn.IFNA(SUM((BC$3&gt;='Gastos com Pessoal'!$E$7:$E$506)*(BC$3&lt;='Gastos com Pessoal'!$F$7:$F$506)*OFFSET('Encargos e Benefícios'!$D$5,1,MATCH($B56,'Encargos e Benefícios'!$E$5:$AB$5,0),500,1)),0)+_xlfn.IFNA(SUM((BC$3&gt;='Gastos com Pessoal'!$E$513:$E$522)*(BC$3&lt;='Gastos com Pessoal'!$F$513:$F$522)*OFFSET('Encargos e Benefícios'!$D$511,1,MATCH($B56,'Encargos e Benefícios'!$E$511:$AB$511,0),10,1)),0)+_xlfn.IFNA(SUM((BC$3&gt;='Gastos com Pessoal'!$E$7:$E$506)*(BC$3&lt;='Gastos com Pessoal'!$F$7:$F$506)*(IF('Gastos com Pessoal'!$G$7:$G$506&lt;=BC$3,1,0))*OFFSET('Gastos com Pessoal'!$H$6,1,MATCH(1&amp;$B56,'Gastos com Pessoal'!$I$532:$AJ$532&amp;'Gastos com Pessoal'!$I$6:$AJ$6,0),500,1)),0)+_xlfn.IFNA(SUM((BC$3&gt;='Gastos com Pessoal'!$E$7:$E$506)*(BC$3&lt;='Gastos com Pessoal'!$F$7:$F$506)*(IF('Gastos com Pessoal'!$M$7:$M$506&lt;=BC$3,1,0))*OFFSET('Gastos com Pessoal'!$H$6,1,MATCH(2&amp;$B56,'Gastos com Pessoal'!$I$532:$AJ$532&amp;'Gastos com Pessoal'!$I$6:$AJ$6,0),500,1)),0)+_xlfn.IFNA(SUM((BC$3&gt;='Gastos com Pessoal'!$E$7:$E$506)*(BC$3&lt;='Gastos com Pessoal'!$F$7:$F$506)*(IF('Gastos com Pessoal'!$S$7:$S$506&lt;=BC$3,1,0))*OFFSET('Gastos com Pessoal'!$H$6,1,MATCH(3&amp;$B56,'Gastos com Pessoal'!$I$532:$AJ$532&amp;'Gastos com Pessoal'!$I$6:$AJ$6,0),500,1)),0)+_xlfn.IFNA(SUM((BC$3&gt;='Gastos com Pessoal'!$E$7:$E$506)*(BC$3&lt;='Gastos com Pessoal'!$F$7:$F$506)*(IF('Gastos com Pessoal'!$Y$7:$Y$506&lt;=BC$3,1,0))*OFFSET('Gastos com Pessoal'!$H$6,1,MATCH(4&amp;$B56,'Gastos com Pessoal'!$I$532:$AJ$532&amp;'Gastos com Pessoal'!$I$6:$AJ$6,0),500,1)),0)+_xlfn.IFNA(SUM((BC$3&gt;='Gastos com Pessoal'!$E$7:$E$506)*(BC$3&lt;='Gastos com Pessoal'!$F$7:$F$506)*(IF('Gastos com Pessoal'!$AE$7:$AE$506&lt;=BC$3,1,0))*OFFSET('Gastos com Pessoal'!$H$6,1,MATCH(5&amp;$B56,'Gastos com Pessoal'!$I$532:$AJ$532&amp;'Gastos com Pessoal'!$I$6:$AJ$6,0),500,1)),0)+_xlfn.IFNA(SUM((BC$3&gt;='Gastos com Pessoal'!$E$513:$E$522)*(BC$3&lt;='Gastos com Pessoal'!$F$513:$F$522)*(IF('Gastos com Pessoal'!$G$513:$G$522&lt;=BC$3,1,0))*OFFSET('Gastos com Pessoal'!$H$512,1,MATCH(1&amp;$B56,'Gastos com Pessoal'!$I$532:$AJ$532&amp;'Gastos com Pessoal'!$I$512:$AJ$512,0),10,1)),0)+_xlfn.IFNA(SUM((BC$3&gt;='Gastos com Pessoal'!$E$513:$E$522)*(BC$3&lt;='Gastos com Pessoal'!$F$513:$F$522)*(IF('Gastos com Pessoal'!$M$513:$M$522&lt;=BC$3,1,0))*OFFSET('Gastos com Pessoal'!$H$512,1,MATCH(2&amp;$B56,'Gastos com Pessoal'!$I$532:$AJ$532&amp;'Gastos com Pessoal'!$I$512:$AJ$512,0),10,1)),0)+_xlfn.IFNA(SUM((BC$3&gt;='Gastos com Pessoal'!$E$513:$E$522)*(BC$3&lt;='Gastos com Pessoal'!$F$513:$F$522)*(IF('Gastos com Pessoal'!$S$513:$S$522&lt;=BC$3,1,0))*OFFSET('Gastos com Pessoal'!$H$512,1,MATCH(3&amp;$B56,'Gastos com Pessoal'!$I$532:$AJ$532&amp;'Gastos com Pessoal'!$I$512:$AJ$512,0),10,1)),0)+_xlfn.IFNA(SUM((BC$3&gt;='Gastos com Pessoal'!$E$513:$E$522)*(BC$3&lt;='Gastos com Pessoal'!$F$513:$F$522)*(IF('Gastos com Pessoal'!$Y$513:$Y$522&lt;=BC$3,1,0))*OFFSET('Gastos com Pessoal'!$H$512,1,MATCH(4&amp;$B56,'Gastos com Pessoal'!$I$532:$AJ$532&amp;'Gastos com Pessoal'!$I$512:$AJ$512,0),10,1)),0)+_xlfn.IFNA(SUM((BC$3&gt;='Gastos com Pessoal'!$E$513:$E$522)*(BC$3&lt;='Gastos com Pessoal'!$F$513:$F$522)*(IF('Gastos com Pessoal'!$AE$513:$AE$522&lt;=BC$3,1,0))*OFFSET('Gastos com Pessoal'!$H$512,1,MATCH(5&amp;$B56,'Gastos com Pessoal'!$I$532:$AJ$532&amp;'Gastos com Pessoal'!$I$512:$AJ$512,0),10,1)),0)</f>
        <v>0</v>
      </c>
      <c r="BD56" s="188">
        <f t="array" aca="1" ref="BD56" ca="1">_xlfn.IFNA(SUM((BD$3&gt;='Gastos com Pessoal'!$E$7:$E$506)*(BD$3&lt;='Gastos com Pessoal'!$F$7:$F$506)*OFFSET('Encargos e Benefícios'!$D$5,1,MATCH($B56,'Encargos e Benefícios'!$E$5:$AB$5,0),500,1)),0)+_xlfn.IFNA(SUM((BD$3&gt;='Gastos com Pessoal'!$E$513:$E$522)*(BD$3&lt;='Gastos com Pessoal'!$F$513:$F$522)*OFFSET('Encargos e Benefícios'!$D$511,1,MATCH($B56,'Encargos e Benefícios'!$E$511:$AB$511,0),10,1)),0)+_xlfn.IFNA(SUM((BD$3&gt;='Gastos com Pessoal'!$E$7:$E$506)*(BD$3&lt;='Gastos com Pessoal'!$F$7:$F$506)*(IF('Gastos com Pessoal'!$G$7:$G$506&lt;=BD$3,1,0))*OFFSET('Gastos com Pessoal'!$H$6,1,MATCH(1&amp;$B56,'Gastos com Pessoal'!$I$532:$AJ$532&amp;'Gastos com Pessoal'!$I$6:$AJ$6,0),500,1)),0)+_xlfn.IFNA(SUM((BD$3&gt;='Gastos com Pessoal'!$E$7:$E$506)*(BD$3&lt;='Gastos com Pessoal'!$F$7:$F$506)*(IF('Gastos com Pessoal'!$M$7:$M$506&lt;=BD$3,1,0))*OFFSET('Gastos com Pessoal'!$H$6,1,MATCH(2&amp;$B56,'Gastos com Pessoal'!$I$532:$AJ$532&amp;'Gastos com Pessoal'!$I$6:$AJ$6,0),500,1)),0)+_xlfn.IFNA(SUM((BD$3&gt;='Gastos com Pessoal'!$E$7:$E$506)*(BD$3&lt;='Gastos com Pessoal'!$F$7:$F$506)*(IF('Gastos com Pessoal'!$S$7:$S$506&lt;=BD$3,1,0))*OFFSET('Gastos com Pessoal'!$H$6,1,MATCH(3&amp;$B56,'Gastos com Pessoal'!$I$532:$AJ$532&amp;'Gastos com Pessoal'!$I$6:$AJ$6,0),500,1)),0)+_xlfn.IFNA(SUM((BD$3&gt;='Gastos com Pessoal'!$E$7:$E$506)*(BD$3&lt;='Gastos com Pessoal'!$F$7:$F$506)*(IF('Gastos com Pessoal'!$Y$7:$Y$506&lt;=BD$3,1,0))*OFFSET('Gastos com Pessoal'!$H$6,1,MATCH(4&amp;$B56,'Gastos com Pessoal'!$I$532:$AJ$532&amp;'Gastos com Pessoal'!$I$6:$AJ$6,0),500,1)),0)+_xlfn.IFNA(SUM((BD$3&gt;='Gastos com Pessoal'!$E$7:$E$506)*(BD$3&lt;='Gastos com Pessoal'!$F$7:$F$506)*(IF('Gastos com Pessoal'!$AE$7:$AE$506&lt;=BD$3,1,0))*OFFSET('Gastos com Pessoal'!$H$6,1,MATCH(5&amp;$B56,'Gastos com Pessoal'!$I$532:$AJ$532&amp;'Gastos com Pessoal'!$I$6:$AJ$6,0),500,1)),0)+_xlfn.IFNA(SUM((BD$3&gt;='Gastos com Pessoal'!$E$513:$E$522)*(BD$3&lt;='Gastos com Pessoal'!$F$513:$F$522)*(IF('Gastos com Pessoal'!$G$513:$G$522&lt;=BD$3,1,0))*OFFSET('Gastos com Pessoal'!$H$512,1,MATCH(1&amp;$B56,'Gastos com Pessoal'!$I$532:$AJ$532&amp;'Gastos com Pessoal'!$I$512:$AJ$512,0),10,1)),0)+_xlfn.IFNA(SUM((BD$3&gt;='Gastos com Pessoal'!$E$513:$E$522)*(BD$3&lt;='Gastos com Pessoal'!$F$513:$F$522)*(IF('Gastos com Pessoal'!$M$513:$M$522&lt;=BD$3,1,0))*OFFSET('Gastos com Pessoal'!$H$512,1,MATCH(2&amp;$B56,'Gastos com Pessoal'!$I$532:$AJ$532&amp;'Gastos com Pessoal'!$I$512:$AJ$512,0),10,1)),0)+_xlfn.IFNA(SUM((BD$3&gt;='Gastos com Pessoal'!$E$513:$E$522)*(BD$3&lt;='Gastos com Pessoal'!$F$513:$F$522)*(IF('Gastos com Pessoal'!$S$513:$S$522&lt;=BD$3,1,0))*OFFSET('Gastos com Pessoal'!$H$512,1,MATCH(3&amp;$B56,'Gastos com Pessoal'!$I$532:$AJ$532&amp;'Gastos com Pessoal'!$I$512:$AJ$512,0),10,1)),0)+_xlfn.IFNA(SUM((BD$3&gt;='Gastos com Pessoal'!$E$513:$E$522)*(BD$3&lt;='Gastos com Pessoal'!$F$513:$F$522)*(IF('Gastos com Pessoal'!$Y$513:$Y$522&lt;=BD$3,1,0))*OFFSET('Gastos com Pessoal'!$H$512,1,MATCH(4&amp;$B56,'Gastos com Pessoal'!$I$532:$AJ$532&amp;'Gastos com Pessoal'!$I$512:$AJ$512,0),10,1)),0)+_xlfn.IFNA(SUM((BD$3&gt;='Gastos com Pessoal'!$E$513:$E$522)*(BD$3&lt;='Gastos com Pessoal'!$F$513:$F$522)*(IF('Gastos com Pessoal'!$AE$513:$AE$522&lt;=BD$3,1,0))*OFFSET('Gastos com Pessoal'!$H$512,1,MATCH(5&amp;$B56,'Gastos com Pessoal'!$I$532:$AJ$532&amp;'Gastos com Pessoal'!$I$512:$AJ$512,0),10,1)),0)</f>
        <v>0</v>
      </c>
      <c r="BE56" s="188">
        <f t="array" aca="1" ref="BE56" ca="1">_xlfn.IFNA(SUM((BE$3&gt;='Gastos com Pessoal'!$E$7:$E$506)*(BE$3&lt;='Gastos com Pessoal'!$F$7:$F$506)*OFFSET('Encargos e Benefícios'!$D$5,1,MATCH($B56,'Encargos e Benefícios'!$E$5:$AB$5,0),500,1)),0)+_xlfn.IFNA(SUM((BE$3&gt;='Gastos com Pessoal'!$E$513:$E$522)*(BE$3&lt;='Gastos com Pessoal'!$F$513:$F$522)*OFFSET('Encargos e Benefícios'!$D$511,1,MATCH($B56,'Encargos e Benefícios'!$E$511:$AB$511,0),10,1)),0)+_xlfn.IFNA(SUM((BE$3&gt;='Gastos com Pessoal'!$E$7:$E$506)*(BE$3&lt;='Gastos com Pessoal'!$F$7:$F$506)*(IF('Gastos com Pessoal'!$G$7:$G$506&lt;=BE$3,1,0))*OFFSET('Gastos com Pessoal'!$H$6,1,MATCH(1&amp;$B56,'Gastos com Pessoal'!$I$532:$AJ$532&amp;'Gastos com Pessoal'!$I$6:$AJ$6,0),500,1)),0)+_xlfn.IFNA(SUM((BE$3&gt;='Gastos com Pessoal'!$E$7:$E$506)*(BE$3&lt;='Gastos com Pessoal'!$F$7:$F$506)*(IF('Gastos com Pessoal'!$M$7:$M$506&lt;=BE$3,1,0))*OFFSET('Gastos com Pessoal'!$H$6,1,MATCH(2&amp;$B56,'Gastos com Pessoal'!$I$532:$AJ$532&amp;'Gastos com Pessoal'!$I$6:$AJ$6,0),500,1)),0)+_xlfn.IFNA(SUM((BE$3&gt;='Gastos com Pessoal'!$E$7:$E$506)*(BE$3&lt;='Gastos com Pessoal'!$F$7:$F$506)*(IF('Gastos com Pessoal'!$S$7:$S$506&lt;=BE$3,1,0))*OFFSET('Gastos com Pessoal'!$H$6,1,MATCH(3&amp;$B56,'Gastos com Pessoal'!$I$532:$AJ$532&amp;'Gastos com Pessoal'!$I$6:$AJ$6,0),500,1)),0)+_xlfn.IFNA(SUM((BE$3&gt;='Gastos com Pessoal'!$E$7:$E$506)*(BE$3&lt;='Gastos com Pessoal'!$F$7:$F$506)*(IF('Gastos com Pessoal'!$Y$7:$Y$506&lt;=BE$3,1,0))*OFFSET('Gastos com Pessoal'!$H$6,1,MATCH(4&amp;$B56,'Gastos com Pessoal'!$I$532:$AJ$532&amp;'Gastos com Pessoal'!$I$6:$AJ$6,0),500,1)),0)+_xlfn.IFNA(SUM((BE$3&gt;='Gastos com Pessoal'!$E$7:$E$506)*(BE$3&lt;='Gastos com Pessoal'!$F$7:$F$506)*(IF('Gastos com Pessoal'!$AE$7:$AE$506&lt;=BE$3,1,0))*OFFSET('Gastos com Pessoal'!$H$6,1,MATCH(5&amp;$B56,'Gastos com Pessoal'!$I$532:$AJ$532&amp;'Gastos com Pessoal'!$I$6:$AJ$6,0),500,1)),0)+_xlfn.IFNA(SUM((BE$3&gt;='Gastos com Pessoal'!$E$513:$E$522)*(BE$3&lt;='Gastos com Pessoal'!$F$513:$F$522)*(IF('Gastos com Pessoal'!$G$513:$G$522&lt;=BE$3,1,0))*OFFSET('Gastos com Pessoal'!$H$512,1,MATCH(1&amp;$B56,'Gastos com Pessoal'!$I$532:$AJ$532&amp;'Gastos com Pessoal'!$I$512:$AJ$512,0),10,1)),0)+_xlfn.IFNA(SUM((BE$3&gt;='Gastos com Pessoal'!$E$513:$E$522)*(BE$3&lt;='Gastos com Pessoal'!$F$513:$F$522)*(IF('Gastos com Pessoal'!$M$513:$M$522&lt;=BE$3,1,0))*OFFSET('Gastos com Pessoal'!$H$512,1,MATCH(2&amp;$B56,'Gastos com Pessoal'!$I$532:$AJ$532&amp;'Gastos com Pessoal'!$I$512:$AJ$512,0),10,1)),0)+_xlfn.IFNA(SUM((BE$3&gt;='Gastos com Pessoal'!$E$513:$E$522)*(BE$3&lt;='Gastos com Pessoal'!$F$513:$F$522)*(IF('Gastos com Pessoal'!$S$513:$S$522&lt;=BE$3,1,0))*OFFSET('Gastos com Pessoal'!$H$512,1,MATCH(3&amp;$B56,'Gastos com Pessoal'!$I$532:$AJ$532&amp;'Gastos com Pessoal'!$I$512:$AJ$512,0),10,1)),0)+_xlfn.IFNA(SUM((BE$3&gt;='Gastos com Pessoal'!$E$513:$E$522)*(BE$3&lt;='Gastos com Pessoal'!$F$513:$F$522)*(IF('Gastos com Pessoal'!$Y$513:$Y$522&lt;=BE$3,1,0))*OFFSET('Gastos com Pessoal'!$H$512,1,MATCH(4&amp;$B56,'Gastos com Pessoal'!$I$532:$AJ$532&amp;'Gastos com Pessoal'!$I$512:$AJ$512,0),10,1)),0)+_xlfn.IFNA(SUM((BE$3&gt;='Gastos com Pessoal'!$E$513:$E$522)*(BE$3&lt;='Gastos com Pessoal'!$F$513:$F$522)*(IF('Gastos com Pessoal'!$AE$513:$AE$522&lt;=BE$3,1,0))*OFFSET('Gastos com Pessoal'!$H$512,1,MATCH(5&amp;$B56,'Gastos com Pessoal'!$I$532:$AJ$532&amp;'Gastos com Pessoal'!$I$512:$AJ$512,0),10,1)),0)</f>
        <v>0</v>
      </c>
      <c r="BF56" s="188">
        <f t="array" aca="1" ref="BF56" ca="1">_xlfn.IFNA(SUM((BF$3&gt;='Gastos com Pessoal'!$E$7:$E$506)*(BF$3&lt;='Gastos com Pessoal'!$F$7:$F$506)*OFFSET('Encargos e Benefícios'!$D$5,1,MATCH($B56,'Encargos e Benefícios'!$E$5:$AB$5,0),500,1)),0)+_xlfn.IFNA(SUM((BF$3&gt;='Gastos com Pessoal'!$E$513:$E$522)*(BF$3&lt;='Gastos com Pessoal'!$F$513:$F$522)*OFFSET('Encargos e Benefícios'!$D$511,1,MATCH($B56,'Encargos e Benefícios'!$E$511:$AB$511,0),10,1)),0)+_xlfn.IFNA(SUM((BF$3&gt;='Gastos com Pessoal'!$E$7:$E$506)*(BF$3&lt;='Gastos com Pessoal'!$F$7:$F$506)*(IF('Gastos com Pessoal'!$G$7:$G$506&lt;=BF$3,1,0))*OFFSET('Gastos com Pessoal'!$H$6,1,MATCH(1&amp;$B56,'Gastos com Pessoal'!$I$532:$AJ$532&amp;'Gastos com Pessoal'!$I$6:$AJ$6,0),500,1)),0)+_xlfn.IFNA(SUM((BF$3&gt;='Gastos com Pessoal'!$E$7:$E$506)*(BF$3&lt;='Gastos com Pessoal'!$F$7:$F$506)*(IF('Gastos com Pessoal'!$M$7:$M$506&lt;=BF$3,1,0))*OFFSET('Gastos com Pessoal'!$H$6,1,MATCH(2&amp;$B56,'Gastos com Pessoal'!$I$532:$AJ$532&amp;'Gastos com Pessoal'!$I$6:$AJ$6,0),500,1)),0)+_xlfn.IFNA(SUM((BF$3&gt;='Gastos com Pessoal'!$E$7:$E$506)*(BF$3&lt;='Gastos com Pessoal'!$F$7:$F$506)*(IF('Gastos com Pessoal'!$S$7:$S$506&lt;=BF$3,1,0))*OFFSET('Gastos com Pessoal'!$H$6,1,MATCH(3&amp;$B56,'Gastos com Pessoal'!$I$532:$AJ$532&amp;'Gastos com Pessoal'!$I$6:$AJ$6,0),500,1)),0)+_xlfn.IFNA(SUM((BF$3&gt;='Gastos com Pessoal'!$E$7:$E$506)*(BF$3&lt;='Gastos com Pessoal'!$F$7:$F$506)*(IF('Gastos com Pessoal'!$Y$7:$Y$506&lt;=BF$3,1,0))*OFFSET('Gastos com Pessoal'!$H$6,1,MATCH(4&amp;$B56,'Gastos com Pessoal'!$I$532:$AJ$532&amp;'Gastos com Pessoal'!$I$6:$AJ$6,0),500,1)),0)+_xlfn.IFNA(SUM((BF$3&gt;='Gastos com Pessoal'!$E$7:$E$506)*(BF$3&lt;='Gastos com Pessoal'!$F$7:$F$506)*(IF('Gastos com Pessoal'!$AE$7:$AE$506&lt;=BF$3,1,0))*OFFSET('Gastos com Pessoal'!$H$6,1,MATCH(5&amp;$B56,'Gastos com Pessoal'!$I$532:$AJ$532&amp;'Gastos com Pessoal'!$I$6:$AJ$6,0),500,1)),0)+_xlfn.IFNA(SUM((BF$3&gt;='Gastos com Pessoal'!$E$513:$E$522)*(BF$3&lt;='Gastos com Pessoal'!$F$513:$F$522)*(IF('Gastos com Pessoal'!$G$513:$G$522&lt;=BF$3,1,0))*OFFSET('Gastos com Pessoal'!$H$512,1,MATCH(1&amp;$B56,'Gastos com Pessoal'!$I$532:$AJ$532&amp;'Gastos com Pessoal'!$I$512:$AJ$512,0),10,1)),0)+_xlfn.IFNA(SUM((BF$3&gt;='Gastos com Pessoal'!$E$513:$E$522)*(BF$3&lt;='Gastos com Pessoal'!$F$513:$F$522)*(IF('Gastos com Pessoal'!$M$513:$M$522&lt;=BF$3,1,0))*OFFSET('Gastos com Pessoal'!$H$512,1,MATCH(2&amp;$B56,'Gastos com Pessoal'!$I$532:$AJ$532&amp;'Gastos com Pessoal'!$I$512:$AJ$512,0),10,1)),0)+_xlfn.IFNA(SUM((BF$3&gt;='Gastos com Pessoal'!$E$513:$E$522)*(BF$3&lt;='Gastos com Pessoal'!$F$513:$F$522)*(IF('Gastos com Pessoal'!$S$513:$S$522&lt;=BF$3,1,0))*OFFSET('Gastos com Pessoal'!$H$512,1,MATCH(3&amp;$B56,'Gastos com Pessoal'!$I$532:$AJ$532&amp;'Gastos com Pessoal'!$I$512:$AJ$512,0),10,1)),0)+_xlfn.IFNA(SUM((BF$3&gt;='Gastos com Pessoal'!$E$513:$E$522)*(BF$3&lt;='Gastos com Pessoal'!$F$513:$F$522)*(IF('Gastos com Pessoal'!$Y$513:$Y$522&lt;=BF$3,1,0))*OFFSET('Gastos com Pessoal'!$H$512,1,MATCH(4&amp;$B56,'Gastos com Pessoal'!$I$532:$AJ$532&amp;'Gastos com Pessoal'!$I$512:$AJ$512,0),10,1)),0)+_xlfn.IFNA(SUM((BF$3&gt;='Gastos com Pessoal'!$E$513:$E$522)*(BF$3&lt;='Gastos com Pessoal'!$F$513:$F$522)*(IF('Gastos com Pessoal'!$AE$513:$AE$522&lt;=BF$3,1,0))*OFFSET('Gastos com Pessoal'!$H$512,1,MATCH(5&amp;$B56,'Gastos com Pessoal'!$I$532:$AJ$532&amp;'Gastos com Pessoal'!$I$512:$AJ$512,0),10,1)),0)</f>
        <v>0</v>
      </c>
      <c r="BG56" s="188">
        <f t="array" aca="1" ref="BG56" ca="1">_xlfn.IFNA(SUM((BG$3&gt;='Gastos com Pessoal'!$E$7:$E$506)*(BG$3&lt;='Gastos com Pessoal'!$F$7:$F$506)*OFFSET('Encargos e Benefícios'!$D$5,1,MATCH($B56,'Encargos e Benefícios'!$E$5:$AB$5,0),500,1)),0)+_xlfn.IFNA(SUM((BG$3&gt;='Gastos com Pessoal'!$E$513:$E$522)*(BG$3&lt;='Gastos com Pessoal'!$F$513:$F$522)*OFFSET('Encargos e Benefícios'!$D$511,1,MATCH($B56,'Encargos e Benefícios'!$E$511:$AB$511,0),10,1)),0)+_xlfn.IFNA(SUM((BG$3&gt;='Gastos com Pessoal'!$E$7:$E$506)*(BG$3&lt;='Gastos com Pessoal'!$F$7:$F$506)*(IF('Gastos com Pessoal'!$G$7:$G$506&lt;=BG$3,1,0))*OFFSET('Gastos com Pessoal'!$H$6,1,MATCH(1&amp;$B56,'Gastos com Pessoal'!$I$532:$AJ$532&amp;'Gastos com Pessoal'!$I$6:$AJ$6,0),500,1)),0)+_xlfn.IFNA(SUM((BG$3&gt;='Gastos com Pessoal'!$E$7:$E$506)*(BG$3&lt;='Gastos com Pessoal'!$F$7:$F$506)*(IF('Gastos com Pessoal'!$M$7:$M$506&lt;=BG$3,1,0))*OFFSET('Gastos com Pessoal'!$H$6,1,MATCH(2&amp;$B56,'Gastos com Pessoal'!$I$532:$AJ$532&amp;'Gastos com Pessoal'!$I$6:$AJ$6,0),500,1)),0)+_xlfn.IFNA(SUM((BG$3&gt;='Gastos com Pessoal'!$E$7:$E$506)*(BG$3&lt;='Gastos com Pessoal'!$F$7:$F$506)*(IF('Gastos com Pessoal'!$S$7:$S$506&lt;=BG$3,1,0))*OFFSET('Gastos com Pessoal'!$H$6,1,MATCH(3&amp;$B56,'Gastos com Pessoal'!$I$532:$AJ$532&amp;'Gastos com Pessoal'!$I$6:$AJ$6,0),500,1)),0)+_xlfn.IFNA(SUM((BG$3&gt;='Gastos com Pessoal'!$E$7:$E$506)*(BG$3&lt;='Gastos com Pessoal'!$F$7:$F$506)*(IF('Gastos com Pessoal'!$Y$7:$Y$506&lt;=BG$3,1,0))*OFFSET('Gastos com Pessoal'!$H$6,1,MATCH(4&amp;$B56,'Gastos com Pessoal'!$I$532:$AJ$532&amp;'Gastos com Pessoal'!$I$6:$AJ$6,0),500,1)),0)+_xlfn.IFNA(SUM((BG$3&gt;='Gastos com Pessoal'!$E$7:$E$506)*(BG$3&lt;='Gastos com Pessoal'!$F$7:$F$506)*(IF('Gastos com Pessoal'!$AE$7:$AE$506&lt;=BG$3,1,0))*OFFSET('Gastos com Pessoal'!$H$6,1,MATCH(5&amp;$B56,'Gastos com Pessoal'!$I$532:$AJ$532&amp;'Gastos com Pessoal'!$I$6:$AJ$6,0),500,1)),0)+_xlfn.IFNA(SUM((BG$3&gt;='Gastos com Pessoal'!$E$513:$E$522)*(BG$3&lt;='Gastos com Pessoal'!$F$513:$F$522)*(IF('Gastos com Pessoal'!$G$513:$G$522&lt;=BG$3,1,0))*OFFSET('Gastos com Pessoal'!$H$512,1,MATCH(1&amp;$B56,'Gastos com Pessoal'!$I$532:$AJ$532&amp;'Gastos com Pessoal'!$I$512:$AJ$512,0),10,1)),0)+_xlfn.IFNA(SUM((BG$3&gt;='Gastos com Pessoal'!$E$513:$E$522)*(BG$3&lt;='Gastos com Pessoal'!$F$513:$F$522)*(IF('Gastos com Pessoal'!$M$513:$M$522&lt;=BG$3,1,0))*OFFSET('Gastos com Pessoal'!$H$512,1,MATCH(2&amp;$B56,'Gastos com Pessoal'!$I$532:$AJ$532&amp;'Gastos com Pessoal'!$I$512:$AJ$512,0),10,1)),0)+_xlfn.IFNA(SUM((BG$3&gt;='Gastos com Pessoal'!$E$513:$E$522)*(BG$3&lt;='Gastos com Pessoal'!$F$513:$F$522)*(IF('Gastos com Pessoal'!$S$513:$S$522&lt;=BG$3,1,0))*OFFSET('Gastos com Pessoal'!$H$512,1,MATCH(3&amp;$B56,'Gastos com Pessoal'!$I$532:$AJ$532&amp;'Gastos com Pessoal'!$I$512:$AJ$512,0),10,1)),0)+_xlfn.IFNA(SUM((BG$3&gt;='Gastos com Pessoal'!$E$513:$E$522)*(BG$3&lt;='Gastos com Pessoal'!$F$513:$F$522)*(IF('Gastos com Pessoal'!$Y$513:$Y$522&lt;=BG$3,1,0))*OFFSET('Gastos com Pessoal'!$H$512,1,MATCH(4&amp;$B56,'Gastos com Pessoal'!$I$532:$AJ$532&amp;'Gastos com Pessoal'!$I$512:$AJ$512,0),10,1)),0)+_xlfn.IFNA(SUM((BG$3&gt;='Gastos com Pessoal'!$E$513:$E$522)*(BG$3&lt;='Gastos com Pessoal'!$F$513:$F$522)*(IF('Gastos com Pessoal'!$AE$513:$AE$522&lt;=BG$3,1,0))*OFFSET('Gastos com Pessoal'!$H$512,1,MATCH(5&amp;$B56,'Gastos com Pessoal'!$I$532:$AJ$532&amp;'Gastos com Pessoal'!$I$512:$AJ$512,0),10,1)),0)</f>
        <v>0</v>
      </c>
      <c r="BH56" s="188">
        <f t="array" aca="1" ref="BH56" ca="1">_xlfn.IFNA(SUM((BH$3&gt;='Gastos com Pessoal'!$E$7:$E$506)*(BH$3&lt;='Gastos com Pessoal'!$F$7:$F$506)*OFFSET('Encargos e Benefícios'!$D$5,1,MATCH($B56,'Encargos e Benefícios'!$E$5:$AB$5,0),500,1)),0)+_xlfn.IFNA(SUM((BH$3&gt;='Gastos com Pessoal'!$E$513:$E$522)*(BH$3&lt;='Gastos com Pessoal'!$F$513:$F$522)*OFFSET('Encargos e Benefícios'!$D$511,1,MATCH($B56,'Encargos e Benefícios'!$E$511:$AB$511,0),10,1)),0)+_xlfn.IFNA(SUM((BH$3&gt;='Gastos com Pessoal'!$E$7:$E$506)*(BH$3&lt;='Gastos com Pessoal'!$F$7:$F$506)*(IF('Gastos com Pessoal'!$G$7:$G$506&lt;=BH$3,1,0))*OFFSET('Gastos com Pessoal'!$H$6,1,MATCH(1&amp;$B56,'Gastos com Pessoal'!$I$532:$AJ$532&amp;'Gastos com Pessoal'!$I$6:$AJ$6,0),500,1)),0)+_xlfn.IFNA(SUM((BH$3&gt;='Gastos com Pessoal'!$E$7:$E$506)*(BH$3&lt;='Gastos com Pessoal'!$F$7:$F$506)*(IF('Gastos com Pessoal'!$M$7:$M$506&lt;=BH$3,1,0))*OFFSET('Gastos com Pessoal'!$H$6,1,MATCH(2&amp;$B56,'Gastos com Pessoal'!$I$532:$AJ$532&amp;'Gastos com Pessoal'!$I$6:$AJ$6,0),500,1)),0)+_xlfn.IFNA(SUM((BH$3&gt;='Gastos com Pessoal'!$E$7:$E$506)*(BH$3&lt;='Gastos com Pessoal'!$F$7:$F$506)*(IF('Gastos com Pessoal'!$S$7:$S$506&lt;=BH$3,1,0))*OFFSET('Gastos com Pessoal'!$H$6,1,MATCH(3&amp;$B56,'Gastos com Pessoal'!$I$532:$AJ$532&amp;'Gastos com Pessoal'!$I$6:$AJ$6,0),500,1)),0)+_xlfn.IFNA(SUM((BH$3&gt;='Gastos com Pessoal'!$E$7:$E$506)*(BH$3&lt;='Gastos com Pessoal'!$F$7:$F$506)*(IF('Gastos com Pessoal'!$Y$7:$Y$506&lt;=BH$3,1,0))*OFFSET('Gastos com Pessoal'!$H$6,1,MATCH(4&amp;$B56,'Gastos com Pessoal'!$I$532:$AJ$532&amp;'Gastos com Pessoal'!$I$6:$AJ$6,0),500,1)),0)+_xlfn.IFNA(SUM((BH$3&gt;='Gastos com Pessoal'!$E$7:$E$506)*(BH$3&lt;='Gastos com Pessoal'!$F$7:$F$506)*(IF('Gastos com Pessoal'!$AE$7:$AE$506&lt;=BH$3,1,0))*OFFSET('Gastos com Pessoal'!$H$6,1,MATCH(5&amp;$B56,'Gastos com Pessoal'!$I$532:$AJ$532&amp;'Gastos com Pessoal'!$I$6:$AJ$6,0),500,1)),0)+_xlfn.IFNA(SUM((BH$3&gt;='Gastos com Pessoal'!$E$513:$E$522)*(BH$3&lt;='Gastos com Pessoal'!$F$513:$F$522)*(IF('Gastos com Pessoal'!$G$513:$G$522&lt;=BH$3,1,0))*OFFSET('Gastos com Pessoal'!$H$512,1,MATCH(1&amp;$B56,'Gastos com Pessoal'!$I$532:$AJ$532&amp;'Gastos com Pessoal'!$I$512:$AJ$512,0),10,1)),0)+_xlfn.IFNA(SUM((BH$3&gt;='Gastos com Pessoal'!$E$513:$E$522)*(BH$3&lt;='Gastos com Pessoal'!$F$513:$F$522)*(IF('Gastos com Pessoal'!$M$513:$M$522&lt;=BH$3,1,0))*OFFSET('Gastos com Pessoal'!$H$512,1,MATCH(2&amp;$B56,'Gastos com Pessoal'!$I$532:$AJ$532&amp;'Gastos com Pessoal'!$I$512:$AJ$512,0),10,1)),0)+_xlfn.IFNA(SUM((BH$3&gt;='Gastos com Pessoal'!$E$513:$E$522)*(BH$3&lt;='Gastos com Pessoal'!$F$513:$F$522)*(IF('Gastos com Pessoal'!$S$513:$S$522&lt;=BH$3,1,0))*OFFSET('Gastos com Pessoal'!$H$512,1,MATCH(3&amp;$B56,'Gastos com Pessoal'!$I$532:$AJ$532&amp;'Gastos com Pessoal'!$I$512:$AJ$512,0),10,1)),0)+_xlfn.IFNA(SUM((BH$3&gt;='Gastos com Pessoal'!$E$513:$E$522)*(BH$3&lt;='Gastos com Pessoal'!$F$513:$F$522)*(IF('Gastos com Pessoal'!$Y$513:$Y$522&lt;=BH$3,1,0))*OFFSET('Gastos com Pessoal'!$H$512,1,MATCH(4&amp;$B56,'Gastos com Pessoal'!$I$532:$AJ$532&amp;'Gastos com Pessoal'!$I$512:$AJ$512,0),10,1)),0)+_xlfn.IFNA(SUM((BH$3&gt;='Gastos com Pessoal'!$E$513:$E$522)*(BH$3&lt;='Gastos com Pessoal'!$F$513:$F$522)*(IF('Gastos com Pessoal'!$AE$513:$AE$522&lt;=BH$3,1,0))*OFFSET('Gastos com Pessoal'!$H$512,1,MATCH(5&amp;$B56,'Gastos com Pessoal'!$I$532:$AJ$532&amp;'Gastos com Pessoal'!$I$512:$AJ$512,0),10,1)),0)</f>
        <v>0</v>
      </c>
      <c r="BI56" s="188">
        <f t="array" aca="1" ref="BI56" ca="1">_xlfn.IFNA(SUM((BI$3&gt;='Gastos com Pessoal'!$E$7:$E$506)*(BI$3&lt;='Gastos com Pessoal'!$F$7:$F$506)*OFFSET('Encargos e Benefícios'!$D$5,1,MATCH($B56,'Encargos e Benefícios'!$E$5:$AB$5,0),500,1)),0)+_xlfn.IFNA(SUM((BI$3&gt;='Gastos com Pessoal'!$E$513:$E$522)*(BI$3&lt;='Gastos com Pessoal'!$F$513:$F$522)*OFFSET('Encargos e Benefícios'!$D$511,1,MATCH($B56,'Encargos e Benefícios'!$E$511:$AB$511,0),10,1)),0)+_xlfn.IFNA(SUM((BI$3&gt;='Gastos com Pessoal'!$E$7:$E$506)*(BI$3&lt;='Gastos com Pessoal'!$F$7:$F$506)*(IF('Gastos com Pessoal'!$G$7:$G$506&lt;=BI$3,1,0))*OFFSET('Gastos com Pessoal'!$H$6,1,MATCH(1&amp;$B56,'Gastos com Pessoal'!$I$532:$AJ$532&amp;'Gastos com Pessoal'!$I$6:$AJ$6,0),500,1)),0)+_xlfn.IFNA(SUM((BI$3&gt;='Gastos com Pessoal'!$E$7:$E$506)*(BI$3&lt;='Gastos com Pessoal'!$F$7:$F$506)*(IF('Gastos com Pessoal'!$M$7:$M$506&lt;=BI$3,1,0))*OFFSET('Gastos com Pessoal'!$H$6,1,MATCH(2&amp;$B56,'Gastos com Pessoal'!$I$532:$AJ$532&amp;'Gastos com Pessoal'!$I$6:$AJ$6,0),500,1)),0)+_xlfn.IFNA(SUM((BI$3&gt;='Gastos com Pessoal'!$E$7:$E$506)*(BI$3&lt;='Gastos com Pessoal'!$F$7:$F$506)*(IF('Gastos com Pessoal'!$S$7:$S$506&lt;=BI$3,1,0))*OFFSET('Gastos com Pessoal'!$H$6,1,MATCH(3&amp;$B56,'Gastos com Pessoal'!$I$532:$AJ$532&amp;'Gastos com Pessoal'!$I$6:$AJ$6,0),500,1)),0)+_xlfn.IFNA(SUM((BI$3&gt;='Gastos com Pessoal'!$E$7:$E$506)*(BI$3&lt;='Gastos com Pessoal'!$F$7:$F$506)*(IF('Gastos com Pessoal'!$Y$7:$Y$506&lt;=BI$3,1,0))*OFFSET('Gastos com Pessoal'!$H$6,1,MATCH(4&amp;$B56,'Gastos com Pessoal'!$I$532:$AJ$532&amp;'Gastos com Pessoal'!$I$6:$AJ$6,0),500,1)),0)+_xlfn.IFNA(SUM((BI$3&gt;='Gastos com Pessoal'!$E$7:$E$506)*(BI$3&lt;='Gastos com Pessoal'!$F$7:$F$506)*(IF('Gastos com Pessoal'!$AE$7:$AE$506&lt;=BI$3,1,0))*OFFSET('Gastos com Pessoal'!$H$6,1,MATCH(5&amp;$B56,'Gastos com Pessoal'!$I$532:$AJ$532&amp;'Gastos com Pessoal'!$I$6:$AJ$6,0),500,1)),0)+_xlfn.IFNA(SUM((BI$3&gt;='Gastos com Pessoal'!$E$513:$E$522)*(BI$3&lt;='Gastos com Pessoal'!$F$513:$F$522)*(IF('Gastos com Pessoal'!$G$513:$G$522&lt;=BI$3,1,0))*OFFSET('Gastos com Pessoal'!$H$512,1,MATCH(1&amp;$B56,'Gastos com Pessoal'!$I$532:$AJ$532&amp;'Gastos com Pessoal'!$I$512:$AJ$512,0),10,1)),0)+_xlfn.IFNA(SUM((BI$3&gt;='Gastos com Pessoal'!$E$513:$E$522)*(BI$3&lt;='Gastos com Pessoal'!$F$513:$F$522)*(IF('Gastos com Pessoal'!$M$513:$M$522&lt;=BI$3,1,0))*OFFSET('Gastos com Pessoal'!$H$512,1,MATCH(2&amp;$B56,'Gastos com Pessoal'!$I$532:$AJ$532&amp;'Gastos com Pessoal'!$I$512:$AJ$512,0),10,1)),0)+_xlfn.IFNA(SUM((BI$3&gt;='Gastos com Pessoal'!$E$513:$E$522)*(BI$3&lt;='Gastos com Pessoal'!$F$513:$F$522)*(IF('Gastos com Pessoal'!$S$513:$S$522&lt;=BI$3,1,0))*OFFSET('Gastos com Pessoal'!$H$512,1,MATCH(3&amp;$B56,'Gastos com Pessoal'!$I$532:$AJ$532&amp;'Gastos com Pessoal'!$I$512:$AJ$512,0),10,1)),0)+_xlfn.IFNA(SUM((BI$3&gt;='Gastos com Pessoal'!$E$513:$E$522)*(BI$3&lt;='Gastos com Pessoal'!$F$513:$F$522)*(IF('Gastos com Pessoal'!$Y$513:$Y$522&lt;=BI$3,1,0))*OFFSET('Gastos com Pessoal'!$H$512,1,MATCH(4&amp;$B56,'Gastos com Pessoal'!$I$532:$AJ$532&amp;'Gastos com Pessoal'!$I$512:$AJ$512,0),10,1)),0)+_xlfn.IFNA(SUM((BI$3&gt;='Gastos com Pessoal'!$E$513:$E$522)*(BI$3&lt;='Gastos com Pessoal'!$F$513:$F$522)*(IF('Gastos com Pessoal'!$AE$513:$AE$522&lt;=BI$3,1,0))*OFFSET('Gastos com Pessoal'!$H$512,1,MATCH(5&amp;$B56,'Gastos com Pessoal'!$I$532:$AJ$532&amp;'Gastos com Pessoal'!$I$512:$AJ$512,0),10,1)),0)</f>
        <v>0</v>
      </c>
      <c r="BJ56" s="188">
        <f t="array" aca="1" ref="BJ56" ca="1">_xlfn.IFNA(SUM((BJ$3&gt;='Gastos com Pessoal'!$E$7:$E$506)*(BJ$3&lt;='Gastos com Pessoal'!$F$7:$F$506)*OFFSET('Encargos e Benefícios'!$D$5,1,MATCH($B56,'Encargos e Benefícios'!$E$5:$AB$5,0),500,1)),0)+_xlfn.IFNA(SUM((BJ$3&gt;='Gastos com Pessoal'!$E$513:$E$522)*(BJ$3&lt;='Gastos com Pessoal'!$F$513:$F$522)*OFFSET('Encargos e Benefícios'!$D$511,1,MATCH($B56,'Encargos e Benefícios'!$E$511:$AB$511,0),10,1)),0)+_xlfn.IFNA(SUM((BJ$3&gt;='Gastos com Pessoal'!$E$7:$E$506)*(BJ$3&lt;='Gastos com Pessoal'!$F$7:$F$506)*(IF('Gastos com Pessoal'!$G$7:$G$506&lt;=BJ$3,1,0))*OFFSET('Gastos com Pessoal'!$H$6,1,MATCH(1&amp;$B56,'Gastos com Pessoal'!$I$532:$AJ$532&amp;'Gastos com Pessoal'!$I$6:$AJ$6,0),500,1)),0)+_xlfn.IFNA(SUM((BJ$3&gt;='Gastos com Pessoal'!$E$7:$E$506)*(BJ$3&lt;='Gastos com Pessoal'!$F$7:$F$506)*(IF('Gastos com Pessoal'!$M$7:$M$506&lt;=BJ$3,1,0))*OFFSET('Gastos com Pessoal'!$H$6,1,MATCH(2&amp;$B56,'Gastos com Pessoal'!$I$532:$AJ$532&amp;'Gastos com Pessoal'!$I$6:$AJ$6,0),500,1)),0)+_xlfn.IFNA(SUM((BJ$3&gt;='Gastos com Pessoal'!$E$7:$E$506)*(BJ$3&lt;='Gastos com Pessoal'!$F$7:$F$506)*(IF('Gastos com Pessoal'!$S$7:$S$506&lt;=BJ$3,1,0))*OFFSET('Gastos com Pessoal'!$H$6,1,MATCH(3&amp;$B56,'Gastos com Pessoal'!$I$532:$AJ$532&amp;'Gastos com Pessoal'!$I$6:$AJ$6,0),500,1)),0)+_xlfn.IFNA(SUM((BJ$3&gt;='Gastos com Pessoal'!$E$7:$E$506)*(BJ$3&lt;='Gastos com Pessoal'!$F$7:$F$506)*(IF('Gastos com Pessoal'!$Y$7:$Y$506&lt;=BJ$3,1,0))*OFFSET('Gastos com Pessoal'!$H$6,1,MATCH(4&amp;$B56,'Gastos com Pessoal'!$I$532:$AJ$532&amp;'Gastos com Pessoal'!$I$6:$AJ$6,0),500,1)),0)+_xlfn.IFNA(SUM((BJ$3&gt;='Gastos com Pessoal'!$E$7:$E$506)*(BJ$3&lt;='Gastos com Pessoal'!$F$7:$F$506)*(IF('Gastos com Pessoal'!$AE$7:$AE$506&lt;=BJ$3,1,0))*OFFSET('Gastos com Pessoal'!$H$6,1,MATCH(5&amp;$B56,'Gastos com Pessoal'!$I$532:$AJ$532&amp;'Gastos com Pessoal'!$I$6:$AJ$6,0),500,1)),0)+_xlfn.IFNA(SUM((BJ$3&gt;='Gastos com Pessoal'!$E$513:$E$522)*(BJ$3&lt;='Gastos com Pessoal'!$F$513:$F$522)*(IF('Gastos com Pessoal'!$G$513:$G$522&lt;=BJ$3,1,0))*OFFSET('Gastos com Pessoal'!$H$512,1,MATCH(1&amp;$B56,'Gastos com Pessoal'!$I$532:$AJ$532&amp;'Gastos com Pessoal'!$I$512:$AJ$512,0),10,1)),0)+_xlfn.IFNA(SUM((BJ$3&gt;='Gastos com Pessoal'!$E$513:$E$522)*(BJ$3&lt;='Gastos com Pessoal'!$F$513:$F$522)*(IF('Gastos com Pessoal'!$M$513:$M$522&lt;=BJ$3,1,0))*OFFSET('Gastos com Pessoal'!$H$512,1,MATCH(2&amp;$B56,'Gastos com Pessoal'!$I$532:$AJ$532&amp;'Gastos com Pessoal'!$I$512:$AJ$512,0),10,1)),0)+_xlfn.IFNA(SUM((BJ$3&gt;='Gastos com Pessoal'!$E$513:$E$522)*(BJ$3&lt;='Gastos com Pessoal'!$F$513:$F$522)*(IF('Gastos com Pessoal'!$S$513:$S$522&lt;=BJ$3,1,0))*OFFSET('Gastos com Pessoal'!$H$512,1,MATCH(3&amp;$B56,'Gastos com Pessoal'!$I$532:$AJ$532&amp;'Gastos com Pessoal'!$I$512:$AJ$512,0),10,1)),0)+_xlfn.IFNA(SUM((BJ$3&gt;='Gastos com Pessoal'!$E$513:$E$522)*(BJ$3&lt;='Gastos com Pessoal'!$F$513:$F$522)*(IF('Gastos com Pessoal'!$Y$513:$Y$522&lt;=BJ$3,1,0))*OFFSET('Gastos com Pessoal'!$H$512,1,MATCH(4&amp;$B56,'Gastos com Pessoal'!$I$532:$AJ$532&amp;'Gastos com Pessoal'!$I$512:$AJ$512,0),10,1)),0)+_xlfn.IFNA(SUM((BJ$3&gt;='Gastos com Pessoal'!$E$513:$E$522)*(BJ$3&lt;='Gastos com Pessoal'!$F$513:$F$522)*(IF('Gastos com Pessoal'!$AE$513:$AE$522&lt;=BJ$3,1,0))*OFFSET('Gastos com Pessoal'!$H$512,1,MATCH(5&amp;$B56,'Gastos com Pessoal'!$I$532:$AJ$532&amp;'Gastos com Pessoal'!$I$512:$AJ$512,0),10,1)),0)</f>
        <v>0</v>
      </c>
      <c r="BK56" s="189">
        <f t="shared" ca="1" si="18"/>
        <v>7330521.6199999657</v>
      </c>
      <c r="BL56" s="136">
        <f t="shared" ca="1" si="19"/>
        <v>2.523897207812089E-2</v>
      </c>
    </row>
    <row r="57" spans="1:64" s="160" customFormat="1" ht="23.25" customHeight="1">
      <c r="A57" s="190"/>
      <c r="B57" s="191" t="s">
        <v>196</v>
      </c>
      <c r="C57" s="192">
        <f t="shared" ref="C57:AH57" ca="1" si="20">SUBTOTAL(109,C48:C56)</f>
        <v>514709.61000000045</v>
      </c>
      <c r="D57" s="192">
        <f t="shared" ca="1" si="20"/>
        <v>516458.89000000048</v>
      </c>
      <c r="E57" s="192">
        <f t="shared" ca="1" si="20"/>
        <v>544926.1400000006</v>
      </c>
      <c r="F57" s="192">
        <f t="shared" ca="1" si="20"/>
        <v>546609.0400000005</v>
      </c>
      <c r="G57" s="192">
        <f t="shared" ca="1" si="20"/>
        <v>567699.40809600055</v>
      </c>
      <c r="H57" s="192">
        <f t="shared" ca="1" si="20"/>
        <v>597263.84809600073</v>
      </c>
      <c r="I57" s="192">
        <f t="shared" ca="1" si="20"/>
        <v>599110.38777600066</v>
      </c>
      <c r="J57" s="192">
        <f t="shared" ca="1" si="20"/>
        <v>599110.38777600066</v>
      </c>
      <c r="K57" s="192">
        <f t="shared" ca="1" si="20"/>
        <v>631767.25777600089</v>
      </c>
      <c r="L57" s="192">
        <f t="shared" ca="1" si="20"/>
        <v>633548.37777600088</v>
      </c>
      <c r="M57" s="192">
        <f t="shared" ca="1" si="20"/>
        <v>633548.37777600088</v>
      </c>
      <c r="N57" s="192">
        <f t="shared" ca="1" si="20"/>
        <v>663835.84777600097</v>
      </c>
      <c r="O57" s="192">
        <f t="shared" ca="1" si="20"/>
        <v>663835.84777600097</v>
      </c>
      <c r="P57" s="192">
        <f t="shared" ca="1" si="20"/>
        <v>663835.84777600097</v>
      </c>
      <c r="Q57" s="192">
        <f t="shared" ca="1" si="20"/>
        <v>663835.84777600097</v>
      </c>
      <c r="R57" s="192">
        <f t="shared" ca="1" si="20"/>
        <v>663835.84777600097</v>
      </c>
      <c r="S57" s="192">
        <f t="shared" ca="1" si="20"/>
        <v>689933.23902211932</v>
      </c>
      <c r="T57" s="192">
        <f t="shared" ca="1" si="20"/>
        <v>689933.23902211932</v>
      </c>
      <c r="U57" s="192">
        <f t="shared" ca="1" si="20"/>
        <v>689933.23902211932</v>
      </c>
      <c r="V57" s="192">
        <f t="shared" ca="1" si="20"/>
        <v>689933.23902211932</v>
      </c>
      <c r="W57" s="192">
        <f t="shared" ca="1" si="20"/>
        <v>689933.23902211932</v>
      </c>
      <c r="X57" s="192">
        <f t="shared" ca="1" si="20"/>
        <v>689933.23902211932</v>
      </c>
      <c r="Y57" s="192">
        <f t="shared" ca="1" si="20"/>
        <v>689933.23902211932</v>
      </c>
      <c r="Z57" s="192">
        <f t="shared" ca="1" si="20"/>
        <v>689933.23902211932</v>
      </c>
      <c r="AA57" s="192">
        <f t="shared" ca="1" si="20"/>
        <v>689933.23902211932</v>
      </c>
      <c r="AB57" s="192">
        <f t="shared" ca="1" si="20"/>
        <v>689933.23902211932</v>
      </c>
      <c r="AC57" s="192">
        <f t="shared" ca="1" si="20"/>
        <v>689933.23902211932</v>
      </c>
      <c r="AD57" s="192">
        <f t="shared" ca="1" si="20"/>
        <v>689933.23902211932</v>
      </c>
      <c r="AE57" s="192">
        <f t="shared" ca="1" si="20"/>
        <v>713859.97203131905</v>
      </c>
      <c r="AF57" s="192">
        <f t="shared" ca="1" si="20"/>
        <v>713859.97203131905</v>
      </c>
      <c r="AG57" s="192">
        <f t="shared" ca="1" si="20"/>
        <v>713859.97203131905</v>
      </c>
      <c r="AH57" s="192">
        <f t="shared" ca="1" si="20"/>
        <v>713859.97203131905</v>
      </c>
      <c r="AI57" s="192">
        <f t="shared" ref="AI57:BK57" ca="1" si="21">SUBTOTAL(109,AI48:AI56)</f>
        <v>713859.97203131905</v>
      </c>
      <c r="AJ57" s="192">
        <f t="shared" ca="1" si="21"/>
        <v>713859.97203131905</v>
      </c>
      <c r="AK57" s="192">
        <f t="shared" ca="1" si="21"/>
        <v>713859.97203131905</v>
      </c>
      <c r="AL57" s="192">
        <f t="shared" ca="1" si="21"/>
        <v>713859.97203131905</v>
      </c>
      <c r="AM57" s="192">
        <f t="shared" ca="1" si="21"/>
        <v>713859.97203131905</v>
      </c>
      <c r="AN57" s="192">
        <f t="shared" ca="1" si="21"/>
        <v>713859.97203131905</v>
      </c>
      <c r="AO57" s="192">
        <f t="shared" ca="1" si="21"/>
        <v>713859.97203131905</v>
      </c>
      <c r="AP57" s="192">
        <f t="shared" ca="1" si="21"/>
        <v>713859.97203131905</v>
      </c>
      <c r="AQ57" s="192">
        <f t="shared" ca="1" si="21"/>
        <v>743094.54529367248</v>
      </c>
      <c r="AR57" s="192">
        <f t="shared" ca="1" si="21"/>
        <v>743094.54529367248</v>
      </c>
      <c r="AS57" s="192">
        <f t="shared" ca="1" si="21"/>
        <v>743094.54529367248</v>
      </c>
      <c r="AT57" s="192">
        <f t="shared" ca="1" si="21"/>
        <v>743094.54529367248</v>
      </c>
      <c r="AU57" s="192">
        <f t="shared" ca="1" si="21"/>
        <v>743094.54529367248</v>
      </c>
      <c r="AV57" s="192">
        <f t="shared" ca="1" si="21"/>
        <v>743094.54529367248</v>
      </c>
      <c r="AW57" s="192">
        <f t="shared" ca="1" si="21"/>
        <v>743094.54529367248</v>
      </c>
      <c r="AX57" s="192">
        <f t="shared" ca="1" si="21"/>
        <v>0</v>
      </c>
      <c r="AY57" s="192">
        <f t="shared" ca="1" si="21"/>
        <v>0</v>
      </c>
      <c r="AZ57" s="192">
        <f t="shared" ca="1" si="21"/>
        <v>0</v>
      </c>
      <c r="BA57" s="192">
        <f t="shared" ca="1" si="21"/>
        <v>0</v>
      </c>
      <c r="BB57" s="192">
        <f t="shared" ca="1" si="21"/>
        <v>0</v>
      </c>
      <c r="BC57" s="192">
        <f t="shared" ca="1" si="21"/>
        <v>0</v>
      </c>
      <c r="BD57" s="192">
        <f t="shared" ca="1" si="21"/>
        <v>0</v>
      </c>
      <c r="BE57" s="192">
        <f t="shared" ca="1" si="21"/>
        <v>0</v>
      </c>
      <c r="BF57" s="192">
        <f t="shared" ca="1" si="21"/>
        <v>0</v>
      </c>
      <c r="BG57" s="192">
        <f t="shared" ca="1" si="21"/>
        <v>0</v>
      </c>
      <c r="BH57" s="192">
        <f t="shared" ca="1" si="21"/>
        <v>0</v>
      </c>
      <c r="BI57" s="192">
        <f t="shared" ca="1" si="21"/>
        <v>0</v>
      </c>
      <c r="BJ57" s="192">
        <f t="shared" ca="1" si="21"/>
        <v>0</v>
      </c>
      <c r="BK57" s="192">
        <f t="shared" ca="1" si="21"/>
        <v>31751111.313648991</v>
      </c>
      <c r="BL57" s="193">
        <f t="shared" ca="1" si="19"/>
        <v>0.10931901622227246</v>
      </c>
    </row>
    <row r="58" spans="1:64" s="160" customFormat="1" ht="23.25" customHeight="1" thickBot="1">
      <c r="A58" s="221"/>
      <c r="B58" s="222" t="s">
        <v>89</v>
      </c>
      <c r="C58" s="223">
        <f t="shared" ref="C58:AH58" ca="1" si="22">SUBTOTAL(109,C20:C57)</f>
        <v>3365533.8832184104</v>
      </c>
      <c r="D58" s="223">
        <f t="shared" ca="1" si="22"/>
        <v>3404430.6632184098</v>
      </c>
      <c r="E58" s="223">
        <f t="shared" ca="1" si="22"/>
        <v>3562363.5928701335</v>
      </c>
      <c r="F58" s="223">
        <f t="shared" ca="1" si="22"/>
        <v>3584980.1073447452</v>
      </c>
      <c r="G58" s="223">
        <f t="shared" ca="1" si="22"/>
        <v>3783131.7457736782</v>
      </c>
      <c r="H58" s="223">
        <f t="shared" ca="1" si="22"/>
        <v>3965069.4611170641</v>
      </c>
      <c r="I58" s="223">
        <f t="shared" ca="1" si="22"/>
        <v>3990366.0211317199</v>
      </c>
      <c r="J58" s="223">
        <f t="shared" ca="1" si="22"/>
        <v>3990366.0211317199</v>
      </c>
      <c r="K58" s="223">
        <f t="shared" ca="1" si="22"/>
        <v>4184064.1979611656</v>
      </c>
      <c r="L58" s="223">
        <f t="shared" ca="1" si="22"/>
        <v>4209233.1581319552</v>
      </c>
      <c r="M58" s="223">
        <f t="shared" ca="1" si="22"/>
        <v>4209233.1581319552</v>
      </c>
      <c r="N58" s="223">
        <f t="shared" ca="1" si="22"/>
        <v>4402061.9349614009</v>
      </c>
      <c r="O58" s="223">
        <f t="shared" ca="1" si="22"/>
        <v>4415065.9849614007</v>
      </c>
      <c r="P58" s="223">
        <f t="shared" ca="1" si="22"/>
        <v>4417061.9349614009</v>
      </c>
      <c r="Q58" s="223">
        <f t="shared" ca="1" si="22"/>
        <v>4400561.9349614009</v>
      </c>
      <c r="R58" s="223">
        <f t="shared" ca="1" si="22"/>
        <v>4400561.9349614009</v>
      </c>
      <c r="S58" s="223">
        <f t="shared" ca="1" si="22"/>
        <v>4644504.5296991449</v>
      </c>
      <c r="T58" s="223">
        <f t="shared" ca="1" si="22"/>
        <v>4644504.5296991449</v>
      </c>
      <c r="U58" s="223">
        <f t="shared" ca="1" si="22"/>
        <v>4644504.5296991449</v>
      </c>
      <c r="V58" s="223">
        <f t="shared" ca="1" si="22"/>
        <v>4644504.5296991449</v>
      </c>
      <c r="W58" s="223">
        <f t="shared" ca="1" si="22"/>
        <v>4644504.5296991449</v>
      </c>
      <c r="X58" s="223">
        <f t="shared" ca="1" si="22"/>
        <v>4644504.5296991449</v>
      </c>
      <c r="Y58" s="223">
        <f t="shared" ca="1" si="22"/>
        <v>4644504.5296991449</v>
      </c>
      <c r="Z58" s="223">
        <f t="shared" ca="1" si="22"/>
        <v>4644504.5296991449</v>
      </c>
      <c r="AA58" s="223">
        <f t="shared" ca="1" si="22"/>
        <v>4661004.5296991449</v>
      </c>
      <c r="AB58" s="223">
        <f t="shared" ca="1" si="22"/>
        <v>4643504.5296991449</v>
      </c>
      <c r="AC58" s="223">
        <f t="shared" ca="1" si="22"/>
        <v>4643504.5296991449</v>
      </c>
      <c r="AD58" s="223">
        <f t="shared" ca="1" si="22"/>
        <v>4643504.5296991449</v>
      </c>
      <c r="AE58" s="223">
        <f t="shared" ca="1" si="22"/>
        <v>4897998.6260838835</v>
      </c>
      <c r="AF58" s="223">
        <f t="shared" ca="1" si="22"/>
        <v>4897998.6260838835</v>
      </c>
      <c r="AG58" s="223">
        <f t="shared" ca="1" si="22"/>
        <v>4897998.6260838835</v>
      </c>
      <c r="AH58" s="223">
        <f t="shared" ca="1" si="22"/>
        <v>4897998.6260838835</v>
      </c>
      <c r="AI58" s="223">
        <f t="shared" ref="AI58:BK58" ca="1" si="23">SUBTOTAL(109,AI20:AI57)</f>
        <v>4897998.6260838835</v>
      </c>
      <c r="AJ58" s="223">
        <f t="shared" ca="1" si="23"/>
        <v>4897998.6260838835</v>
      </c>
      <c r="AK58" s="223">
        <f t="shared" ca="1" si="23"/>
        <v>4916027.5860838844</v>
      </c>
      <c r="AL58" s="223">
        <f t="shared" ca="1" si="23"/>
        <v>4909553.7460838845</v>
      </c>
      <c r="AM58" s="223">
        <f t="shared" ca="1" si="23"/>
        <v>4915498.6260838844</v>
      </c>
      <c r="AN58" s="223">
        <f t="shared" ca="1" si="23"/>
        <v>4896498.6260838835</v>
      </c>
      <c r="AO58" s="223">
        <f t="shared" ca="1" si="23"/>
        <v>4896498.6260838835</v>
      </c>
      <c r="AP58" s="223">
        <f t="shared" ca="1" si="23"/>
        <v>4896498.6260838835</v>
      </c>
      <c r="AQ58" s="223">
        <f t="shared" ca="1" si="23"/>
        <v>5169765.6967429062</v>
      </c>
      <c r="AR58" s="223">
        <f t="shared" ca="1" si="23"/>
        <v>5169765.6967429062</v>
      </c>
      <c r="AS58" s="223">
        <f t="shared" ca="1" si="23"/>
        <v>5169765.6967429062</v>
      </c>
      <c r="AT58" s="223">
        <f t="shared" ca="1" si="23"/>
        <v>5169765.6967429062</v>
      </c>
      <c r="AU58" s="223">
        <f t="shared" ca="1" si="23"/>
        <v>5169765.6967429062</v>
      </c>
      <c r="AV58" s="223">
        <f t="shared" ca="1" si="23"/>
        <v>5190668.746742907</v>
      </c>
      <c r="AW58" s="223">
        <f t="shared" ca="1" si="23"/>
        <v>5183816.8367429068</v>
      </c>
      <c r="AX58" s="223">
        <f t="shared" ca="1" si="23"/>
        <v>0</v>
      </c>
      <c r="AY58" s="223">
        <f t="shared" ca="1" si="23"/>
        <v>0</v>
      </c>
      <c r="AZ58" s="223">
        <f t="shared" ca="1" si="23"/>
        <v>0</v>
      </c>
      <c r="BA58" s="223">
        <f t="shared" ca="1" si="23"/>
        <v>0</v>
      </c>
      <c r="BB58" s="223">
        <f t="shared" ca="1" si="23"/>
        <v>0</v>
      </c>
      <c r="BC58" s="223">
        <f t="shared" ca="1" si="23"/>
        <v>0</v>
      </c>
      <c r="BD58" s="223">
        <f t="shared" ca="1" si="23"/>
        <v>0</v>
      </c>
      <c r="BE58" s="223">
        <f t="shared" ca="1" si="23"/>
        <v>0</v>
      </c>
      <c r="BF58" s="223">
        <f t="shared" ca="1" si="23"/>
        <v>0</v>
      </c>
      <c r="BG58" s="223">
        <f t="shared" ca="1" si="23"/>
        <v>0</v>
      </c>
      <c r="BH58" s="223">
        <f t="shared" ca="1" si="23"/>
        <v>0</v>
      </c>
      <c r="BI58" s="223">
        <f t="shared" ca="1" si="23"/>
        <v>0</v>
      </c>
      <c r="BJ58" s="223">
        <f t="shared" ca="1" si="23"/>
        <v>0</v>
      </c>
      <c r="BK58" s="223">
        <f t="shared" ca="1" si="23"/>
        <v>215073521.75143459</v>
      </c>
      <c r="BL58" s="224">
        <f t="shared" ca="1" si="19"/>
        <v>0.74049772875884501</v>
      </c>
    </row>
    <row r="59" spans="1:64" s="160" customFormat="1" ht="23.25" customHeight="1" thickBot="1">
      <c r="A59" s="225" t="s">
        <v>90</v>
      </c>
      <c r="B59" s="226" t="s">
        <v>91</v>
      </c>
      <c r="C59" s="227"/>
      <c r="D59" s="227"/>
      <c r="E59" s="227"/>
      <c r="F59" s="227"/>
      <c r="G59" s="227"/>
      <c r="H59" s="227"/>
      <c r="I59" s="227"/>
      <c r="J59" s="227"/>
      <c r="K59" s="227"/>
      <c r="L59" s="227"/>
      <c r="M59" s="227"/>
      <c r="N59" s="227"/>
      <c r="O59" s="227"/>
      <c r="P59" s="227"/>
      <c r="Q59" s="227"/>
      <c r="R59" s="227"/>
      <c r="S59" s="227"/>
      <c r="T59" s="227"/>
      <c r="U59" s="227"/>
      <c r="V59" s="227"/>
      <c r="W59" s="227"/>
      <c r="X59" s="227"/>
      <c r="Y59" s="227"/>
      <c r="Z59" s="227"/>
      <c r="AA59" s="227"/>
      <c r="AB59" s="227"/>
      <c r="AC59" s="227"/>
      <c r="AD59" s="227"/>
      <c r="AE59" s="227"/>
      <c r="AF59" s="227"/>
      <c r="AG59" s="227"/>
      <c r="AH59" s="227"/>
      <c r="AI59" s="227"/>
      <c r="AJ59" s="227"/>
      <c r="AK59" s="227"/>
      <c r="AL59" s="227"/>
      <c r="AM59" s="227"/>
      <c r="AN59" s="227"/>
      <c r="AO59" s="227"/>
      <c r="AP59" s="227"/>
      <c r="AQ59" s="227"/>
      <c r="AR59" s="227"/>
      <c r="AS59" s="227"/>
      <c r="AT59" s="227"/>
      <c r="AU59" s="227"/>
      <c r="AV59" s="227"/>
      <c r="AW59" s="227"/>
      <c r="AX59" s="227"/>
      <c r="AY59" s="227"/>
      <c r="AZ59" s="227"/>
      <c r="BA59" s="227"/>
      <c r="BB59" s="227"/>
      <c r="BC59" s="227"/>
      <c r="BD59" s="227"/>
      <c r="BE59" s="227"/>
      <c r="BF59" s="227"/>
      <c r="BG59" s="227"/>
      <c r="BH59" s="227"/>
      <c r="BI59" s="227"/>
      <c r="BJ59" s="227"/>
      <c r="BK59" s="227"/>
      <c r="BL59" s="228"/>
    </row>
    <row r="60" spans="1:64" s="160" customFormat="1" ht="23.25" customHeight="1">
      <c r="A60" s="229" t="s">
        <v>197</v>
      </c>
      <c r="B60" s="230" t="s">
        <v>198</v>
      </c>
      <c r="C60" s="188">
        <f>SUMPRODUCT(-('Gastos Gerais'!$B$4:$B$3143=Analítico!$B60),-(Analítico!C$3&gt;='Gastos Gerais'!$D$4:$D$3143),-(Analítico!C$3&lt;='Gastos Gerais'!$E$4:$E$3143),-('Gastos Gerais'!$C$4:$C$3143))</f>
        <v>160208.48548</v>
      </c>
      <c r="D60" s="134">
        <f>SUMPRODUCT(-('Gastos Gerais'!$B$4:$B$3143=Analítico!$B60),-(Analítico!D$3&gt;='Gastos Gerais'!$D$4:$D$3143),-(Analítico!D$3&lt;='Gastos Gerais'!$E$4:$E$3143),-('Gastos Gerais'!$C$4:$C$3143))</f>
        <v>160208.48548</v>
      </c>
      <c r="E60" s="134">
        <f>SUMPRODUCT(-('Gastos Gerais'!$B$4:$B$3143=Analítico!$B60),-(Analítico!E$3&gt;='Gastos Gerais'!$D$4:$D$3143),-(Analítico!E$3&lt;='Gastos Gerais'!$E$4:$E$3143),-('Gastos Gerais'!$C$4:$C$3143))</f>
        <v>160208.48548</v>
      </c>
      <c r="F60" s="134">
        <f>SUMPRODUCT(-('Gastos Gerais'!$B$4:$B$3143=Analítico!$B60),-(Analítico!F$3&gt;='Gastos Gerais'!$D$4:$D$3143),-(Analítico!F$3&lt;='Gastos Gerais'!$E$4:$E$3143),-('Gastos Gerais'!$C$4:$C$3143))</f>
        <v>170208.48548</v>
      </c>
      <c r="G60" s="134">
        <f>SUMPRODUCT(-('Gastos Gerais'!$B$4:$B$3143=Analítico!$B60),-(Analítico!G$3&gt;='Gastos Gerais'!$D$4:$D$3143),-(Analítico!G$3&lt;='Gastos Gerais'!$E$4:$E$3143),-('Gastos Gerais'!$C$4:$C$3143))</f>
        <v>170208.48548</v>
      </c>
      <c r="H60" s="134">
        <f>SUMPRODUCT(-('Gastos Gerais'!$B$4:$B$3143=Analítico!$B60),-(Analítico!H$3&gt;='Gastos Gerais'!$D$4:$D$3143),-(Analítico!H$3&lt;='Gastos Gerais'!$E$4:$E$3143),-('Gastos Gerais'!$C$4:$C$3143))</f>
        <v>170208.48548</v>
      </c>
      <c r="I60" s="134">
        <f>SUMPRODUCT(-('Gastos Gerais'!$B$4:$B$3143=Analítico!$B60),-(Analítico!I$3&gt;='Gastos Gerais'!$D$4:$D$3143),-(Analítico!I$3&lt;='Gastos Gerais'!$E$4:$E$3143),-('Gastos Gerais'!$C$4:$C$3143))</f>
        <v>180208.48548</v>
      </c>
      <c r="J60" s="134">
        <f>SUMPRODUCT(-('Gastos Gerais'!$B$4:$B$3143=Analítico!$B60),-(Analítico!J$3&gt;='Gastos Gerais'!$D$4:$D$3143),-(Analítico!J$3&lt;='Gastos Gerais'!$E$4:$E$3143),-('Gastos Gerais'!$C$4:$C$3143))</f>
        <v>180208.48548</v>
      </c>
      <c r="K60" s="134">
        <f>SUMPRODUCT(-('Gastos Gerais'!$B$4:$B$3143=Analítico!$B60),-(Analítico!K$3&gt;='Gastos Gerais'!$D$4:$D$3143),-(Analítico!K$3&lt;='Gastos Gerais'!$E$4:$E$3143),-('Gastos Gerais'!$C$4:$C$3143))</f>
        <v>180208.48548</v>
      </c>
      <c r="L60" s="134">
        <f>SUMPRODUCT(-('Gastos Gerais'!$B$4:$B$3143=Analítico!$B60),-(Analítico!L$3&gt;='Gastos Gerais'!$D$4:$D$3143),-(Analítico!L$3&lt;='Gastos Gerais'!$E$4:$E$3143),-('Gastos Gerais'!$C$4:$C$3143))</f>
        <v>192208.48548</v>
      </c>
      <c r="M60" s="134">
        <f>SUMPRODUCT(-('Gastos Gerais'!$B$4:$B$3143=Analítico!$B60),-(Analítico!M$3&gt;='Gastos Gerais'!$D$4:$D$3143),-(Analítico!M$3&lt;='Gastos Gerais'!$E$4:$E$3143),-('Gastos Gerais'!$C$4:$C$3143))</f>
        <v>192208.48548</v>
      </c>
      <c r="N60" s="134">
        <f>SUMPRODUCT(-('Gastos Gerais'!$B$4:$B$3143=Analítico!$B60),-(Analítico!N$3&gt;='Gastos Gerais'!$D$4:$D$3143),-(Analítico!N$3&lt;='Gastos Gerais'!$E$4:$E$3143),-('Gastos Gerais'!$C$4:$C$3143))</f>
        <v>192208.48548</v>
      </c>
      <c r="O60" s="134">
        <f>SUMPRODUCT(-('Gastos Gerais'!$B$4:$B$3143=Analítico!$B60),-(Analítico!O$3&gt;='Gastos Gerais'!$D$4:$D$3143),-(Analítico!O$3&lt;='Gastos Gerais'!$E$4:$E$3143),-('Gastos Gerais'!$C$4:$C$3143))</f>
        <v>201444.06381624998</v>
      </c>
      <c r="P60" s="134">
        <f>SUMPRODUCT(-('Gastos Gerais'!$B$4:$B$3143=Analítico!$B60),-(Analítico!P$3&gt;='Gastos Gerais'!$D$4:$D$3143),-(Analítico!P$3&lt;='Gastos Gerais'!$E$4:$E$3143),-('Gastos Gerais'!$C$4:$C$3143))</f>
        <v>193616.31381624998</v>
      </c>
      <c r="Q60" s="134">
        <f>SUMPRODUCT(-('Gastos Gerais'!$B$4:$B$3143=Analítico!$B60),-(Analítico!Q$3&gt;='Gastos Gerais'!$D$4:$D$3143),-(Analítico!Q$3&lt;='Gastos Gerais'!$E$4:$E$3143),-('Gastos Gerais'!$C$4:$C$3143))</f>
        <v>193616.31381624998</v>
      </c>
      <c r="R60" s="134">
        <f>SUMPRODUCT(-('Gastos Gerais'!$B$4:$B$3143=Analítico!$B60),-(Analítico!R$3&gt;='Gastos Gerais'!$D$4:$D$3143),-(Analítico!R$3&lt;='Gastos Gerais'!$E$4:$E$3143),-('Gastos Gerais'!$C$4:$C$3143))</f>
        <v>193616.31381624998</v>
      </c>
      <c r="S60" s="134">
        <f>SUMPRODUCT(-('Gastos Gerais'!$B$4:$B$3143=Analítico!$B60),-(Analítico!S$3&gt;='Gastos Gerais'!$D$4:$D$3143),-(Analítico!S$3&lt;='Gastos Gerais'!$E$4:$E$3143),-('Gastos Gerais'!$C$4:$C$3143))</f>
        <v>193616.31381624998</v>
      </c>
      <c r="T60" s="134">
        <f>SUMPRODUCT(-('Gastos Gerais'!$B$4:$B$3143=Analítico!$B60),-(Analítico!T$3&gt;='Gastos Gerais'!$D$4:$D$3143),-(Analítico!T$3&lt;='Gastos Gerais'!$E$4:$E$3143),-('Gastos Gerais'!$C$4:$C$3143))</f>
        <v>193616.31381624998</v>
      </c>
      <c r="U60" s="134">
        <f>SUMPRODUCT(-('Gastos Gerais'!$B$4:$B$3143=Analítico!$B60),-(Analítico!U$3&gt;='Gastos Gerais'!$D$4:$D$3143),-(Analítico!U$3&lt;='Gastos Gerais'!$E$4:$E$3143),-('Gastos Gerais'!$C$4:$C$3143))</f>
        <v>193616.31381624998</v>
      </c>
      <c r="V60" s="134">
        <f>SUMPRODUCT(-('Gastos Gerais'!$B$4:$B$3143=Analítico!$B60),-(Analítico!V$3&gt;='Gastos Gerais'!$D$4:$D$3143),-(Analítico!V$3&lt;='Gastos Gerais'!$E$4:$E$3143),-('Gastos Gerais'!$C$4:$C$3143))</f>
        <v>193616.31381624998</v>
      </c>
      <c r="W60" s="134">
        <f>SUMPRODUCT(-('Gastos Gerais'!$B$4:$B$3143=Analítico!$B60),-(Analítico!W$3&gt;='Gastos Gerais'!$D$4:$D$3143),-(Analítico!W$3&lt;='Gastos Gerais'!$E$4:$E$3143),-('Gastos Gerais'!$C$4:$C$3143))</f>
        <v>193616.31381624998</v>
      </c>
      <c r="X60" s="134">
        <f>SUMPRODUCT(-('Gastos Gerais'!$B$4:$B$3143=Analítico!$B60),-(Analítico!X$3&gt;='Gastos Gerais'!$D$4:$D$3143),-(Analítico!X$3&lt;='Gastos Gerais'!$E$4:$E$3143),-('Gastos Gerais'!$C$4:$C$3143))</f>
        <v>193616.31381624998</v>
      </c>
      <c r="Y60" s="134">
        <f>SUMPRODUCT(-('Gastos Gerais'!$B$4:$B$3143=Analítico!$B60),-(Analítico!Y$3&gt;='Gastos Gerais'!$D$4:$D$3143),-(Analítico!Y$3&lt;='Gastos Gerais'!$E$4:$E$3143),-('Gastos Gerais'!$C$4:$C$3143))</f>
        <v>193616.31381624998</v>
      </c>
      <c r="Z60" s="134">
        <f>SUMPRODUCT(-('Gastos Gerais'!$B$4:$B$3143=Analítico!$B60),-(Analítico!Z$3&gt;='Gastos Gerais'!$D$4:$D$3143),-(Analítico!Z$3&lt;='Gastos Gerais'!$E$4:$E$3143),-('Gastos Gerais'!$C$4:$C$3143))</f>
        <v>193616.31381624998</v>
      </c>
      <c r="AA60" s="134">
        <f>SUMPRODUCT(-('Gastos Gerais'!$B$4:$B$3143=Analítico!$B60),-(Analítico!AA$3&gt;='Gastos Gerais'!$D$4:$D$3143),-(Analítico!AA$3&lt;='Gastos Gerais'!$E$4:$E$3143),-('Gastos Gerais'!$C$4:$C$3143))</f>
        <v>211141.10600706248</v>
      </c>
      <c r="AB60" s="134">
        <f>SUMPRODUCT(-('Gastos Gerais'!$B$4:$B$3143=Analítico!$B60),-(Analítico!AB$3&gt;='Gastos Gerais'!$D$4:$D$3143),-(Analítico!AB$3&lt;='Gastos Gerais'!$E$4:$E$3143),-('Gastos Gerais'!$C$4:$C$3143))</f>
        <v>211141.10600706248</v>
      </c>
      <c r="AC60" s="134">
        <f>SUMPRODUCT(-('Gastos Gerais'!$B$4:$B$3143=Analítico!$B60),-(Analítico!AC$3&gt;='Gastos Gerais'!$D$4:$D$3143),-(Analítico!AC$3&lt;='Gastos Gerais'!$E$4:$E$3143),-('Gastos Gerais'!$C$4:$C$3143))</f>
        <v>211141.10600706248</v>
      </c>
      <c r="AD60" s="134">
        <f>SUMPRODUCT(-('Gastos Gerais'!$B$4:$B$3143=Analítico!$B60),-(Analítico!AD$3&gt;='Gastos Gerais'!$D$4:$D$3143),-(Analítico!AD$3&lt;='Gastos Gerais'!$E$4:$E$3143),-('Gastos Gerais'!$C$4:$C$3143))</f>
        <v>211141.10600706248</v>
      </c>
      <c r="AE60" s="134">
        <f>SUMPRODUCT(-('Gastos Gerais'!$B$4:$B$3143=Analítico!$B60),-(Analítico!AE$3&gt;='Gastos Gerais'!$D$4:$D$3143),-(Analítico!AE$3&lt;='Gastos Gerais'!$E$4:$E$3143),-('Gastos Gerais'!$C$4:$C$3143))</f>
        <v>211141.10600706248</v>
      </c>
      <c r="AF60" s="134">
        <f>SUMPRODUCT(-('Gastos Gerais'!$B$4:$B$3143=Analítico!$B60),-(Analítico!AF$3&gt;='Gastos Gerais'!$D$4:$D$3143),-(Analítico!AF$3&lt;='Gastos Gerais'!$E$4:$E$3143),-('Gastos Gerais'!$C$4:$C$3143))</f>
        <v>211141.10600706248</v>
      </c>
      <c r="AG60" s="134">
        <f>SUMPRODUCT(-('Gastos Gerais'!$B$4:$B$3143=Analítico!$B60),-(Analítico!AG$3&gt;='Gastos Gerais'!$D$4:$D$3143),-(Analítico!AG$3&lt;='Gastos Gerais'!$E$4:$E$3143),-('Gastos Gerais'!$C$4:$C$3143))</f>
        <v>211141.10600706248</v>
      </c>
      <c r="AH60" s="134">
        <f>SUMPRODUCT(-('Gastos Gerais'!$B$4:$B$3143=Analítico!$B60),-(Analítico!AH$3&gt;='Gastos Gerais'!$D$4:$D$3143),-(Analítico!AH$3&lt;='Gastos Gerais'!$E$4:$E$3143),-('Gastos Gerais'!$C$4:$C$3143))</f>
        <v>211141.10600706248</v>
      </c>
      <c r="AI60" s="134">
        <f>SUMPRODUCT(-('Gastos Gerais'!$B$4:$B$3143=Analítico!$B60),-(Analítico!AI$3&gt;='Gastos Gerais'!$D$4:$D$3143),-(Analítico!AI$3&lt;='Gastos Gerais'!$E$4:$E$3143),-('Gastos Gerais'!$C$4:$C$3143))</f>
        <v>211141.10600706248</v>
      </c>
      <c r="AJ60" s="134">
        <f>SUMPRODUCT(-('Gastos Gerais'!$B$4:$B$3143=Analítico!$B60),-(Analítico!AJ$3&gt;='Gastos Gerais'!$D$4:$D$3143),-(Analítico!AJ$3&lt;='Gastos Gerais'!$E$4:$E$3143),-('Gastos Gerais'!$C$4:$C$3143))</f>
        <v>211141.10600706248</v>
      </c>
      <c r="AK60" s="134">
        <f>SUMPRODUCT(-('Gastos Gerais'!$B$4:$B$3143=Analítico!$B60),-(Analítico!AK$3&gt;='Gastos Gerais'!$D$4:$D$3143),-(Analítico!AK$3&lt;='Gastos Gerais'!$E$4:$E$3143),-('Gastos Gerais'!$C$4:$C$3143))</f>
        <v>211141.10600706248</v>
      </c>
      <c r="AL60" s="134">
        <f>SUMPRODUCT(-('Gastos Gerais'!$B$4:$B$3143=Analítico!$B60),-(Analítico!AL$3&gt;='Gastos Gerais'!$D$4:$D$3143),-(Analítico!AL$3&lt;='Gastos Gerais'!$E$4:$E$3143),-('Gastos Gerais'!$C$4:$C$3143))</f>
        <v>211141.10600706248</v>
      </c>
      <c r="AM60" s="134">
        <f>SUMPRODUCT(-('Gastos Gerais'!$B$4:$B$3143=Analítico!$B60),-(Analítico!AM$3&gt;='Gastos Gerais'!$D$4:$D$3143),-(Analítico!AM$3&lt;='Gastos Gerais'!$E$4:$E$3143),-('Gastos Gerais'!$C$4:$C$3143))</f>
        <v>83770.092000000004</v>
      </c>
      <c r="AN60" s="134">
        <f>SUMPRODUCT(-('Gastos Gerais'!$B$4:$B$3143=Analítico!$B60),-(Analítico!AN$3&gt;='Gastos Gerais'!$D$4:$D$3143),-(Analítico!AN$3&lt;='Gastos Gerais'!$E$4:$E$3143),-('Gastos Gerais'!$C$4:$C$3143))</f>
        <v>83770.092000000004</v>
      </c>
      <c r="AO60" s="134">
        <f>SUMPRODUCT(-('Gastos Gerais'!$B$4:$B$3143=Analítico!$B60),-(Analítico!AO$3&gt;='Gastos Gerais'!$D$4:$D$3143),-(Analítico!AO$3&lt;='Gastos Gerais'!$E$4:$E$3143),-('Gastos Gerais'!$C$4:$C$3143))</f>
        <v>83770.092000000004</v>
      </c>
      <c r="AP60" s="134">
        <f>SUMPRODUCT(-('Gastos Gerais'!$B$4:$B$3143=Analítico!$B60),-(Analítico!AP$3&gt;='Gastos Gerais'!$D$4:$D$3143),-(Analítico!AP$3&lt;='Gastos Gerais'!$E$4:$E$3143),-('Gastos Gerais'!$C$4:$C$3143))</f>
        <v>83770.092000000004</v>
      </c>
      <c r="AQ60" s="134">
        <f>SUMPRODUCT(-('Gastos Gerais'!$B$4:$B$3143=Analítico!$B60),-(Analítico!AQ$3&gt;='Gastos Gerais'!$D$4:$D$3143),-(Analítico!AQ$3&lt;='Gastos Gerais'!$E$4:$E$3143),-('Gastos Gerais'!$C$4:$C$3143))</f>
        <v>83770.092000000004</v>
      </c>
      <c r="AR60" s="134">
        <f>SUMPRODUCT(-('Gastos Gerais'!$B$4:$B$3143=Analítico!$B60),-(Analítico!AR$3&gt;='Gastos Gerais'!$D$4:$D$3143),-(Analítico!AR$3&lt;='Gastos Gerais'!$E$4:$E$3143),-('Gastos Gerais'!$C$4:$C$3143))</f>
        <v>83770.092000000004</v>
      </c>
      <c r="AS60" s="134">
        <f>SUMPRODUCT(-('Gastos Gerais'!$B$4:$B$3143=Analítico!$B60),-(Analítico!AS$3&gt;='Gastos Gerais'!$D$4:$D$3143),-(Analítico!AS$3&lt;='Gastos Gerais'!$E$4:$E$3143),-('Gastos Gerais'!$C$4:$C$3143))</f>
        <v>83770.092000000004</v>
      </c>
      <c r="AT60" s="134">
        <f>SUMPRODUCT(-('Gastos Gerais'!$B$4:$B$3143=Analítico!$B60),-(Analítico!AT$3&gt;='Gastos Gerais'!$D$4:$D$3143),-(Analítico!AT$3&lt;='Gastos Gerais'!$E$4:$E$3143),-('Gastos Gerais'!$C$4:$C$3143))</f>
        <v>83770.092000000004</v>
      </c>
      <c r="AU60" s="134">
        <f>SUMPRODUCT(-('Gastos Gerais'!$B$4:$B$3143=Analítico!$B60),-(Analítico!AU$3&gt;='Gastos Gerais'!$D$4:$D$3143),-(Analítico!AU$3&lt;='Gastos Gerais'!$E$4:$E$3143),-('Gastos Gerais'!$C$4:$C$3143))</f>
        <v>83770.092000000004</v>
      </c>
      <c r="AV60" s="134">
        <f>SUMPRODUCT(-('Gastos Gerais'!$B$4:$B$3143=Analítico!$B60),-(Analítico!AV$3&gt;='Gastos Gerais'!$D$4:$D$3143),-(Analítico!AV$3&lt;='Gastos Gerais'!$E$4:$E$3143),-('Gastos Gerais'!$C$4:$C$3143))</f>
        <v>83770.092000000004</v>
      </c>
      <c r="AW60" s="134">
        <f>SUMPRODUCT(-('Gastos Gerais'!$B$4:$B$3143=Analítico!$B60),-(Analítico!AW$3&gt;='Gastos Gerais'!$D$4:$D$3143),-(Analítico!AW$3&lt;='Gastos Gerais'!$E$4:$E$3143),-('Gastos Gerais'!$C$4:$C$3143))</f>
        <v>83770.092000000004</v>
      </c>
      <c r="AX60" s="134">
        <f>SUMPRODUCT(-('Gastos Gerais'!$B$4:$B$3143=Analítico!$B60),-(Analítico!AX$3&gt;='Gastos Gerais'!$D$4:$D$3143),-(Analítico!AX$3&lt;='Gastos Gerais'!$E$4:$E$3143),-('Gastos Gerais'!$C$4:$C$3143))</f>
        <v>0</v>
      </c>
      <c r="AY60" s="134">
        <f>SUMPRODUCT(-('Gastos Gerais'!$B$4:$B$3143=Analítico!$B60),-(Analítico!AY$3&gt;='Gastos Gerais'!$D$4:$D$3143),-(Analítico!AY$3&lt;='Gastos Gerais'!$E$4:$E$3143),-('Gastos Gerais'!$C$4:$C$3143))</f>
        <v>0</v>
      </c>
      <c r="AZ60" s="134">
        <f>SUMPRODUCT(-('Gastos Gerais'!$B$4:$B$3143=Analítico!$B60),-(Analítico!AZ$3&gt;='Gastos Gerais'!$D$4:$D$3143),-(Analítico!AZ$3&lt;='Gastos Gerais'!$E$4:$E$3143),-('Gastos Gerais'!$C$4:$C$3143))</f>
        <v>0</v>
      </c>
      <c r="BA60" s="134">
        <f>SUMPRODUCT(-('Gastos Gerais'!$B$4:$B$3143=Analítico!$B60),-(Analítico!BA$3&gt;='Gastos Gerais'!$D$4:$D$3143),-(Analítico!BA$3&lt;='Gastos Gerais'!$E$4:$E$3143),-('Gastos Gerais'!$C$4:$C$3143))</f>
        <v>0</v>
      </c>
      <c r="BB60" s="134">
        <f>SUMPRODUCT(-('Gastos Gerais'!$B$4:$B$3143=Analítico!$B60),-(Analítico!BB$3&gt;='Gastos Gerais'!$D$4:$D$3143),-(Analítico!BB$3&lt;='Gastos Gerais'!$E$4:$E$3143),-('Gastos Gerais'!$C$4:$C$3143))</f>
        <v>0</v>
      </c>
      <c r="BC60" s="134">
        <f>SUMPRODUCT(-('Gastos Gerais'!$B$4:$B$3143=Analítico!$B60),-(Analítico!BC$3&gt;='Gastos Gerais'!$D$4:$D$3143),-(Analítico!BC$3&lt;='Gastos Gerais'!$E$4:$E$3143),-('Gastos Gerais'!$C$4:$C$3143))</f>
        <v>0</v>
      </c>
      <c r="BD60" s="134">
        <f>SUMPRODUCT(-('Gastos Gerais'!$B$4:$B$3143=Analítico!$B60),-(Analítico!BD$3&gt;='Gastos Gerais'!$D$4:$D$3143),-(Analítico!BD$3&lt;='Gastos Gerais'!$E$4:$E$3143),-('Gastos Gerais'!$C$4:$C$3143))</f>
        <v>0</v>
      </c>
      <c r="BE60" s="134">
        <f>SUMPRODUCT(-('Gastos Gerais'!$B$4:$B$3143=Analítico!$B60),-(Analítico!BE$3&gt;='Gastos Gerais'!$D$4:$D$3143),-(Analítico!BE$3&lt;='Gastos Gerais'!$E$4:$E$3143),-('Gastos Gerais'!$C$4:$C$3143))</f>
        <v>0</v>
      </c>
      <c r="BF60" s="134">
        <f>SUMPRODUCT(-('Gastos Gerais'!$B$4:$B$3143=Analítico!$B60),-(Analítico!BF$3&gt;='Gastos Gerais'!$D$4:$D$3143),-(Analítico!BF$3&lt;='Gastos Gerais'!$E$4:$E$3143),-('Gastos Gerais'!$C$4:$C$3143))</f>
        <v>0</v>
      </c>
      <c r="BG60" s="134">
        <f>SUMPRODUCT(-('Gastos Gerais'!$B$4:$B$3143=Analítico!$B60),-(Analítico!BG$3&gt;='Gastos Gerais'!$D$4:$D$3143),-(Analítico!BG$3&lt;='Gastos Gerais'!$E$4:$E$3143),-('Gastos Gerais'!$C$4:$C$3143))</f>
        <v>0</v>
      </c>
      <c r="BH60" s="134">
        <f>SUMPRODUCT(-('Gastos Gerais'!$B$4:$B$3143=Analítico!$B60),-(Analítico!BH$3&gt;='Gastos Gerais'!$D$4:$D$3143),-(Analítico!BH$3&lt;='Gastos Gerais'!$E$4:$E$3143),-('Gastos Gerais'!$C$4:$C$3143))</f>
        <v>0</v>
      </c>
      <c r="BI60" s="134">
        <f>SUMPRODUCT(-('Gastos Gerais'!$B$4:$B$3143=Analítico!$B60),-(Analítico!BI$3&gt;='Gastos Gerais'!$D$4:$D$3143),-(Analítico!BI$3&lt;='Gastos Gerais'!$E$4:$E$3143),-('Gastos Gerais'!$C$4:$C$3143))</f>
        <v>0</v>
      </c>
      <c r="BJ60" s="134">
        <f>SUMPRODUCT(-('Gastos Gerais'!$B$4:$B$3143=Analítico!$B60),-(Analítico!BJ$3&gt;='Gastos Gerais'!$D$4:$D$3143),-(Analítico!BJ$3&lt;='Gastos Gerais'!$E$4:$E$3143),-('Gastos Gerais'!$C$4:$C$3143))</f>
        <v>0</v>
      </c>
      <c r="BK60" s="189">
        <f t="shared" ref="BK60:BK91" si="24">SUM(C60:BJ60)</f>
        <v>7894889.6256397543</v>
      </c>
      <c r="BL60" s="136">
        <f t="shared" ref="BL60:BL91" ca="1" si="25">IF($BK$152=0,0,BK60/$BK$152)</f>
        <v>2.7182090054509514E-2</v>
      </c>
    </row>
    <row r="61" spans="1:64" s="160" customFormat="1" ht="23.25" customHeight="1">
      <c r="A61" s="229" t="s">
        <v>199</v>
      </c>
      <c r="B61" s="230" t="s">
        <v>200</v>
      </c>
      <c r="C61" s="188">
        <f>SUMPRODUCT(-('Gastos Gerais'!$B$4:$B$3143=Analítico!$B61),-(Analítico!C$3&gt;='Gastos Gerais'!$D$4:$D$3143),-(Analítico!C$3&lt;='Gastos Gerais'!$E$4:$E$3143),-('Gastos Gerais'!$C$4:$C$3143))</f>
        <v>2000</v>
      </c>
      <c r="D61" s="134">
        <f>SUMPRODUCT(-('Gastos Gerais'!$B$4:$B$3143=Analítico!$B61),-(Analítico!D$3&gt;='Gastos Gerais'!$D$4:$D$3143),-(Analítico!D$3&lt;='Gastos Gerais'!$E$4:$E$3143),-('Gastos Gerais'!$C$4:$C$3143))</f>
        <v>2000</v>
      </c>
      <c r="E61" s="134">
        <f>SUMPRODUCT(-('Gastos Gerais'!$B$4:$B$3143=Analítico!$B61),-(Analítico!E$3&gt;='Gastos Gerais'!$D$4:$D$3143),-(Analítico!E$3&lt;='Gastos Gerais'!$E$4:$E$3143),-('Gastos Gerais'!$C$4:$C$3143))</f>
        <v>2000</v>
      </c>
      <c r="F61" s="134">
        <f>SUMPRODUCT(-('Gastos Gerais'!$B$4:$B$3143=Analítico!$B61),-(Analítico!F$3&gt;='Gastos Gerais'!$D$4:$D$3143),-(Analítico!F$3&lt;='Gastos Gerais'!$E$4:$E$3143),-('Gastos Gerais'!$C$4:$C$3143))</f>
        <v>2000</v>
      </c>
      <c r="G61" s="134">
        <f>SUMPRODUCT(-('Gastos Gerais'!$B$4:$B$3143=Analítico!$B61),-(Analítico!G$3&gt;='Gastos Gerais'!$D$4:$D$3143),-(Analítico!G$3&lt;='Gastos Gerais'!$E$4:$E$3143),-('Gastos Gerais'!$C$4:$C$3143))</f>
        <v>2000</v>
      </c>
      <c r="H61" s="134">
        <f>SUMPRODUCT(-('Gastos Gerais'!$B$4:$B$3143=Analítico!$B61),-(Analítico!H$3&gt;='Gastos Gerais'!$D$4:$D$3143),-(Analítico!H$3&lt;='Gastos Gerais'!$E$4:$E$3143),-('Gastos Gerais'!$C$4:$C$3143))</f>
        <v>2000</v>
      </c>
      <c r="I61" s="134">
        <f>SUMPRODUCT(-('Gastos Gerais'!$B$4:$B$3143=Analítico!$B61),-(Analítico!I$3&gt;='Gastos Gerais'!$D$4:$D$3143),-(Analítico!I$3&lt;='Gastos Gerais'!$E$4:$E$3143),-('Gastos Gerais'!$C$4:$C$3143))</f>
        <v>2000</v>
      </c>
      <c r="J61" s="134">
        <f>SUMPRODUCT(-('Gastos Gerais'!$B$4:$B$3143=Analítico!$B61),-(Analítico!J$3&gt;='Gastos Gerais'!$D$4:$D$3143),-(Analítico!J$3&lt;='Gastos Gerais'!$E$4:$E$3143),-('Gastos Gerais'!$C$4:$C$3143))</f>
        <v>2000</v>
      </c>
      <c r="K61" s="134">
        <f>SUMPRODUCT(-('Gastos Gerais'!$B$4:$B$3143=Analítico!$B61),-(Analítico!K$3&gt;='Gastos Gerais'!$D$4:$D$3143),-(Analítico!K$3&lt;='Gastos Gerais'!$E$4:$E$3143),-('Gastos Gerais'!$C$4:$C$3143))</f>
        <v>2000</v>
      </c>
      <c r="L61" s="134">
        <f>SUMPRODUCT(-('Gastos Gerais'!$B$4:$B$3143=Analítico!$B61),-(Analítico!L$3&gt;='Gastos Gerais'!$D$4:$D$3143),-(Analítico!L$3&lt;='Gastos Gerais'!$E$4:$E$3143),-('Gastos Gerais'!$C$4:$C$3143))</f>
        <v>2000</v>
      </c>
      <c r="M61" s="134">
        <f>SUMPRODUCT(-('Gastos Gerais'!$B$4:$B$3143=Analítico!$B61),-(Analítico!M$3&gt;='Gastos Gerais'!$D$4:$D$3143),-(Analítico!M$3&lt;='Gastos Gerais'!$E$4:$E$3143),-('Gastos Gerais'!$C$4:$C$3143))</f>
        <v>2000</v>
      </c>
      <c r="N61" s="134">
        <f>SUMPRODUCT(-('Gastos Gerais'!$B$4:$B$3143=Analítico!$B61),-(Analítico!N$3&gt;='Gastos Gerais'!$D$4:$D$3143),-(Analítico!N$3&lt;='Gastos Gerais'!$E$4:$E$3143),-('Gastos Gerais'!$C$4:$C$3143))</f>
        <v>2000</v>
      </c>
      <c r="O61" s="134">
        <f>SUMPRODUCT(-('Gastos Gerais'!$B$4:$B$3143=Analítico!$B61),-(Analítico!O$3&gt;='Gastos Gerais'!$D$4:$D$3143),-(Analítico!O$3&lt;='Gastos Gerais'!$E$4:$E$3143),-('Gastos Gerais'!$C$4:$C$3143))</f>
        <v>2000</v>
      </c>
      <c r="P61" s="134">
        <f>SUMPRODUCT(-('Gastos Gerais'!$B$4:$B$3143=Analítico!$B61),-(Analítico!P$3&gt;='Gastos Gerais'!$D$4:$D$3143),-(Analítico!P$3&lt;='Gastos Gerais'!$E$4:$E$3143),-('Gastos Gerais'!$C$4:$C$3143))</f>
        <v>2000</v>
      </c>
      <c r="Q61" s="134">
        <f>SUMPRODUCT(-('Gastos Gerais'!$B$4:$B$3143=Analítico!$B61),-(Analítico!Q$3&gt;='Gastos Gerais'!$D$4:$D$3143),-(Analítico!Q$3&lt;='Gastos Gerais'!$E$4:$E$3143),-('Gastos Gerais'!$C$4:$C$3143))</f>
        <v>2000</v>
      </c>
      <c r="R61" s="134">
        <f>SUMPRODUCT(-('Gastos Gerais'!$B$4:$B$3143=Analítico!$B61),-(Analítico!R$3&gt;='Gastos Gerais'!$D$4:$D$3143),-(Analítico!R$3&lt;='Gastos Gerais'!$E$4:$E$3143),-('Gastos Gerais'!$C$4:$C$3143))</f>
        <v>2000</v>
      </c>
      <c r="S61" s="134">
        <f>SUMPRODUCT(-('Gastos Gerais'!$B$4:$B$3143=Analítico!$B61),-(Analítico!S$3&gt;='Gastos Gerais'!$D$4:$D$3143),-(Analítico!S$3&lt;='Gastos Gerais'!$E$4:$E$3143),-('Gastos Gerais'!$C$4:$C$3143))</f>
        <v>2000</v>
      </c>
      <c r="T61" s="134">
        <f>SUMPRODUCT(-('Gastos Gerais'!$B$4:$B$3143=Analítico!$B61),-(Analítico!T$3&gt;='Gastos Gerais'!$D$4:$D$3143),-(Analítico!T$3&lt;='Gastos Gerais'!$E$4:$E$3143),-('Gastos Gerais'!$C$4:$C$3143))</f>
        <v>2000</v>
      </c>
      <c r="U61" s="134">
        <f>SUMPRODUCT(-('Gastos Gerais'!$B$4:$B$3143=Analítico!$B61),-(Analítico!U$3&gt;='Gastos Gerais'!$D$4:$D$3143),-(Analítico!U$3&lt;='Gastos Gerais'!$E$4:$E$3143),-('Gastos Gerais'!$C$4:$C$3143))</f>
        <v>2000</v>
      </c>
      <c r="V61" s="134">
        <f>SUMPRODUCT(-('Gastos Gerais'!$B$4:$B$3143=Analítico!$B61),-(Analítico!V$3&gt;='Gastos Gerais'!$D$4:$D$3143),-(Analítico!V$3&lt;='Gastos Gerais'!$E$4:$E$3143),-('Gastos Gerais'!$C$4:$C$3143))</f>
        <v>2000</v>
      </c>
      <c r="W61" s="134">
        <f>SUMPRODUCT(-('Gastos Gerais'!$B$4:$B$3143=Analítico!$B61),-(Analítico!W$3&gt;='Gastos Gerais'!$D$4:$D$3143),-(Analítico!W$3&lt;='Gastos Gerais'!$E$4:$E$3143),-('Gastos Gerais'!$C$4:$C$3143))</f>
        <v>2000</v>
      </c>
      <c r="X61" s="134">
        <f>SUMPRODUCT(-('Gastos Gerais'!$B$4:$B$3143=Analítico!$B61),-(Analítico!X$3&gt;='Gastos Gerais'!$D$4:$D$3143),-(Analítico!X$3&lt;='Gastos Gerais'!$E$4:$E$3143),-('Gastos Gerais'!$C$4:$C$3143))</f>
        <v>2000</v>
      </c>
      <c r="Y61" s="134">
        <f>SUMPRODUCT(-('Gastos Gerais'!$B$4:$B$3143=Analítico!$B61),-(Analítico!Y$3&gt;='Gastos Gerais'!$D$4:$D$3143),-(Analítico!Y$3&lt;='Gastos Gerais'!$E$4:$E$3143),-('Gastos Gerais'!$C$4:$C$3143))</f>
        <v>2000</v>
      </c>
      <c r="Z61" s="134">
        <f>SUMPRODUCT(-('Gastos Gerais'!$B$4:$B$3143=Analítico!$B61),-(Analítico!Z$3&gt;='Gastos Gerais'!$D$4:$D$3143),-(Analítico!Z$3&lt;='Gastos Gerais'!$E$4:$E$3143),-('Gastos Gerais'!$C$4:$C$3143))</f>
        <v>2000</v>
      </c>
      <c r="AA61" s="134">
        <f>SUMPRODUCT(-('Gastos Gerais'!$B$4:$B$3143=Analítico!$B61),-(Analítico!AA$3&gt;='Gastos Gerais'!$D$4:$D$3143),-(Analítico!AA$3&lt;='Gastos Gerais'!$E$4:$E$3143),-('Gastos Gerais'!$C$4:$C$3143))</f>
        <v>2000</v>
      </c>
      <c r="AB61" s="134">
        <f>SUMPRODUCT(-('Gastos Gerais'!$B$4:$B$3143=Analítico!$B61),-(Analítico!AB$3&gt;='Gastos Gerais'!$D$4:$D$3143),-(Analítico!AB$3&lt;='Gastos Gerais'!$E$4:$E$3143),-('Gastos Gerais'!$C$4:$C$3143))</f>
        <v>2000</v>
      </c>
      <c r="AC61" s="134">
        <f>SUMPRODUCT(-('Gastos Gerais'!$B$4:$B$3143=Analítico!$B61),-(Analítico!AC$3&gt;='Gastos Gerais'!$D$4:$D$3143),-(Analítico!AC$3&lt;='Gastos Gerais'!$E$4:$E$3143),-('Gastos Gerais'!$C$4:$C$3143))</f>
        <v>2000</v>
      </c>
      <c r="AD61" s="134">
        <f>SUMPRODUCT(-('Gastos Gerais'!$B$4:$B$3143=Analítico!$B61),-(Analítico!AD$3&gt;='Gastos Gerais'!$D$4:$D$3143),-(Analítico!AD$3&lt;='Gastos Gerais'!$E$4:$E$3143),-('Gastos Gerais'!$C$4:$C$3143))</f>
        <v>2000</v>
      </c>
      <c r="AE61" s="134">
        <f>SUMPRODUCT(-('Gastos Gerais'!$B$4:$B$3143=Analítico!$B61),-(Analítico!AE$3&gt;='Gastos Gerais'!$D$4:$D$3143),-(Analítico!AE$3&lt;='Gastos Gerais'!$E$4:$E$3143),-('Gastos Gerais'!$C$4:$C$3143))</f>
        <v>2000</v>
      </c>
      <c r="AF61" s="134">
        <f>SUMPRODUCT(-('Gastos Gerais'!$B$4:$B$3143=Analítico!$B61),-(Analítico!AF$3&gt;='Gastos Gerais'!$D$4:$D$3143),-(Analítico!AF$3&lt;='Gastos Gerais'!$E$4:$E$3143),-('Gastos Gerais'!$C$4:$C$3143))</f>
        <v>2000</v>
      </c>
      <c r="AG61" s="134">
        <f>SUMPRODUCT(-('Gastos Gerais'!$B$4:$B$3143=Analítico!$B61),-(Analítico!AG$3&gt;='Gastos Gerais'!$D$4:$D$3143),-(Analítico!AG$3&lt;='Gastos Gerais'!$E$4:$E$3143),-('Gastos Gerais'!$C$4:$C$3143))</f>
        <v>2000</v>
      </c>
      <c r="AH61" s="134">
        <f>SUMPRODUCT(-('Gastos Gerais'!$B$4:$B$3143=Analítico!$B61),-(Analítico!AH$3&gt;='Gastos Gerais'!$D$4:$D$3143),-(Analítico!AH$3&lt;='Gastos Gerais'!$E$4:$E$3143),-('Gastos Gerais'!$C$4:$C$3143))</f>
        <v>2000</v>
      </c>
      <c r="AI61" s="134">
        <f>SUMPRODUCT(-('Gastos Gerais'!$B$4:$B$3143=Analítico!$B61),-(Analítico!AI$3&gt;='Gastos Gerais'!$D$4:$D$3143),-(Analítico!AI$3&lt;='Gastos Gerais'!$E$4:$E$3143),-('Gastos Gerais'!$C$4:$C$3143))</f>
        <v>2000</v>
      </c>
      <c r="AJ61" s="134">
        <f>SUMPRODUCT(-('Gastos Gerais'!$B$4:$B$3143=Analítico!$B61),-(Analítico!AJ$3&gt;='Gastos Gerais'!$D$4:$D$3143),-(Analítico!AJ$3&lt;='Gastos Gerais'!$E$4:$E$3143),-('Gastos Gerais'!$C$4:$C$3143))</f>
        <v>2000</v>
      </c>
      <c r="AK61" s="134">
        <f>SUMPRODUCT(-('Gastos Gerais'!$B$4:$B$3143=Analítico!$B61),-(Analítico!AK$3&gt;='Gastos Gerais'!$D$4:$D$3143),-(Analítico!AK$3&lt;='Gastos Gerais'!$E$4:$E$3143),-('Gastos Gerais'!$C$4:$C$3143))</f>
        <v>2000</v>
      </c>
      <c r="AL61" s="134">
        <f>SUMPRODUCT(-('Gastos Gerais'!$B$4:$B$3143=Analítico!$B61),-(Analítico!AL$3&gt;='Gastos Gerais'!$D$4:$D$3143),-(Analítico!AL$3&lt;='Gastos Gerais'!$E$4:$E$3143),-('Gastos Gerais'!$C$4:$C$3143))</f>
        <v>2000</v>
      </c>
      <c r="AM61" s="134">
        <f>SUMPRODUCT(-('Gastos Gerais'!$B$4:$B$3143=Analítico!$B61),-(Analítico!AM$3&gt;='Gastos Gerais'!$D$4:$D$3143),-(Analítico!AM$3&lt;='Gastos Gerais'!$E$4:$E$3143),-('Gastos Gerais'!$C$4:$C$3143))</f>
        <v>500</v>
      </c>
      <c r="AN61" s="134">
        <f>SUMPRODUCT(-('Gastos Gerais'!$B$4:$B$3143=Analítico!$B61),-(Analítico!AN$3&gt;='Gastos Gerais'!$D$4:$D$3143),-(Analítico!AN$3&lt;='Gastos Gerais'!$E$4:$E$3143),-('Gastos Gerais'!$C$4:$C$3143))</f>
        <v>500</v>
      </c>
      <c r="AO61" s="134">
        <f>SUMPRODUCT(-('Gastos Gerais'!$B$4:$B$3143=Analítico!$B61),-(Analítico!AO$3&gt;='Gastos Gerais'!$D$4:$D$3143),-(Analítico!AO$3&lt;='Gastos Gerais'!$E$4:$E$3143),-('Gastos Gerais'!$C$4:$C$3143))</f>
        <v>500</v>
      </c>
      <c r="AP61" s="134">
        <f>SUMPRODUCT(-('Gastos Gerais'!$B$4:$B$3143=Analítico!$B61),-(Analítico!AP$3&gt;='Gastos Gerais'!$D$4:$D$3143),-(Analítico!AP$3&lt;='Gastos Gerais'!$E$4:$E$3143),-('Gastos Gerais'!$C$4:$C$3143))</f>
        <v>500</v>
      </c>
      <c r="AQ61" s="134">
        <f>SUMPRODUCT(-('Gastos Gerais'!$B$4:$B$3143=Analítico!$B61),-(Analítico!AQ$3&gt;='Gastos Gerais'!$D$4:$D$3143),-(Analítico!AQ$3&lt;='Gastos Gerais'!$E$4:$E$3143),-('Gastos Gerais'!$C$4:$C$3143))</f>
        <v>500</v>
      </c>
      <c r="AR61" s="134">
        <f>SUMPRODUCT(-('Gastos Gerais'!$B$4:$B$3143=Analítico!$B61),-(Analítico!AR$3&gt;='Gastos Gerais'!$D$4:$D$3143),-(Analítico!AR$3&lt;='Gastos Gerais'!$E$4:$E$3143),-('Gastos Gerais'!$C$4:$C$3143))</f>
        <v>500</v>
      </c>
      <c r="AS61" s="134">
        <f>SUMPRODUCT(-('Gastos Gerais'!$B$4:$B$3143=Analítico!$B61),-(Analítico!AS$3&gt;='Gastos Gerais'!$D$4:$D$3143),-(Analítico!AS$3&lt;='Gastos Gerais'!$E$4:$E$3143),-('Gastos Gerais'!$C$4:$C$3143))</f>
        <v>500</v>
      </c>
      <c r="AT61" s="134">
        <f>SUMPRODUCT(-('Gastos Gerais'!$B$4:$B$3143=Analítico!$B61),-(Analítico!AT$3&gt;='Gastos Gerais'!$D$4:$D$3143),-(Analítico!AT$3&lt;='Gastos Gerais'!$E$4:$E$3143),-('Gastos Gerais'!$C$4:$C$3143))</f>
        <v>500</v>
      </c>
      <c r="AU61" s="134">
        <f>SUMPRODUCT(-('Gastos Gerais'!$B$4:$B$3143=Analítico!$B61),-(Analítico!AU$3&gt;='Gastos Gerais'!$D$4:$D$3143),-(Analítico!AU$3&lt;='Gastos Gerais'!$E$4:$E$3143),-('Gastos Gerais'!$C$4:$C$3143))</f>
        <v>500</v>
      </c>
      <c r="AV61" s="134">
        <f>SUMPRODUCT(-('Gastos Gerais'!$B$4:$B$3143=Analítico!$B61),-(Analítico!AV$3&gt;='Gastos Gerais'!$D$4:$D$3143),-(Analítico!AV$3&lt;='Gastos Gerais'!$E$4:$E$3143),-('Gastos Gerais'!$C$4:$C$3143))</f>
        <v>500</v>
      </c>
      <c r="AW61" s="134">
        <f>SUMPRODUCT(-('Gastos Gerais'!$B$4:$B$3143=Analítico!$B61),-(Analítico!AW$3&gt;='Gastos Gerais'!$D$4:$D$3143),-(Analítico!AW$3&lt;='Gastos Gerais'!$E$4:$E$3143),-('Gastos Gerais'!$C$4:$C$3143))</f>
        <v>500</v>
      </c>
      <c r="AX61" s="134">
        <f>SUMPRODUCT(-('Gastos Gerais'!$B$4:$B$3143=Analítico!$B61),-(Analítico!AX$3&gt;='Gastos Gerais'!$D$4:$D$3143),-(Analítico!AX$3&lt;='Gastos Gerais'!$E$4:$E$3143),-('Gastos Gerais'!$C$4:$C$3143))</f>
        <v>0</v>
      </c>
      <c r="AY61" s="134">
        <f>SUMPRODUCT(-('Gastos Gerais'!$B$4:$B$3143=Analítico!$B61),-(Analítico!AY$3&gt;='Gastos Gerais'!$D$4:$D$3143),-(Analítico!AY$3&lt;='Gastos Gerais'!$E$4:$E$3143),-('Gastos Gerais'!$C$4:$C$3143))</f>
        <v>0</v>
      </c>
      <c r="AZ61" s="134">
        <f>SUMPRODUCT(-('Gastos Gerais'!$B$4:$B$3143=Analítico!$B61),-(Analítico!AZ$3&gt;='Gastos Gerais'!$D$4:$D$3143),-(Analítico!AZ$3&lt;='Gastos Gerais'!$E$4:$E$3143),-('Gastos Gerais'!$C$4:$C$3143))</f>
        <v>0</v>
      </c>
      <c r="BA61" s="134">
        <f>SUMPRODUCT(-('Gastos Gerais'!$B$4:$B$3143=Analítico!$B61),-(Analítico!BA$3&gt;='Gastos Gerais'!$D$4:$D$3143),-(Analítico!BA$3&lt;='Gastos Gerais'!$E$4:$E$3143),-('Gastos Gerais'!$C$4:$C$3143))</f>
        <v>0</v>
      </c>
      <c r="BB61" s="134">
        <f>SUMPRODUCT(-('Gastos Gerais'!$B$4:$B$3143=Analítico!$B61),-(Analítico!BB$3&gt;='Gastos Gerais'!$D$4:$D$3143),-(Analítico!BB$3&lt;='Gastos Gerais'!$E$4:$E$3143),-('Gastos Gerais'!$C$4:$C$3143))</f>
        <v>0</v>
      </c>
      <c r="BC61" s="134">
        <f>SUMPRODUCT(-('Gastos Gerais'!$B$4:$B$3143=Analítico!$B61),-(Analítico!BC$3&gt;='Gastos Gerais'!$D$4:$D$3143),-(Analítico!BC$3&lt;='Gastos Gerais'!$E$4:$E$3143),-('Gastos Gerais'!$C$4:$C$3143))</f>
        <v>0</v>
      </c>
      <c r="BD61" s="134">
        <f>SUMPRODUCT(-('Gastos Gerais'!$B$4:$B$3143=Analítico!$B61),-(Analítico!BD$3&gt;='Gastos Gerais'!$D$4:$D$3143),-(Analítico!BD$3&lt;='Gastos Gerais'!$E$4:$E$3143),-('Gastos Gerais'!$C$4:$C$3143))</f>
        <v>0</v>
      </c>
      <c r="BE61" s="134">
        <f>SUMPRODUCT(-('Gastos Gerais'!$B$4:$B$3143=Analítico!$B61),-(Analítico!BE$3&gt;='Gastos Gerais'!$D$4:$D$3143),-(Analítico!BE$3&lt;='Gastos Gerais'!$E$4:$E$3143),-('Gastos Gerais'!$C$4:$C$3143))</f>
        <v>0</v>
      </c>
      <c r="BF61" s="134">
        <f>SUMPRODUCT(-('Gastos Gerais'!$B$4:$B$3143=Analítico!$B61),-(Analítico!BF$3&gt;='Gastos Gerais'!$D$4:$D$3143),-(Analítico!BF$3&lt;='Gastos Gerais'!$E$4:$E$3143),-('Gastos Gerais'!$C$4:$C$3143))</f>
        <v>0</v>
      </c>
      <c r="BG61" s="134">
        <f>SUMPRODUCT(-('Gastos Gerais'!$B$4:$B$3143=Analítico!$B61),-(Analítico!BG$3&gt;='Gastos Gerais'!$D$4:$D$3143),-(Analítico!BG$3&lt;='Gastos Gerais'!$E$4:$E$3143),-('Gastos Gerais'!$C$4:$C$3143))</f>
        <v>0</v>
      </c>
      <c r="BH61" s="134">
        <f>SUMPRODUCT(-('Gastos Gerais'!$B$4:$B$3143=Analítico!$B61),-(Analítico!BH$3&gt;='Gastos Gerais'!$D$4:$D$3143),-(Analítico!BH$3&lt;='Gastos Gerais'!$E$4:$E$3143),-('Gastos Gerais'!$C$4:$C$3143))</f>
        <v>0</v>
      </c>
      <c r="BI61" s="134">
        <f>SUMPRODUCT(-('Gastos Gerais'!$B$4:$B$3143=Analítico!$B61),-(Analítico!BI$3&gt;='Gastos Gerais'!$D$4:$D$3143),-(Analítico!BI$3&lt;='Gastos Gerais'!$E$4:$E$3143),-('Gastos Gerais'!$C$4:$C$3143))</f>
        <v>0</v>
      </c>
      <c r="BJ61" s="134">
        <f>SUMPRODUCT(-('Gastos Gerais'!$B$4:$B$3143=Analítico!$B61),-(Analítico!BJ$3&gt;='Gastos Gerais'!$D$4:$D$3143),-(Analítico!BJ$3&lt;='Gastos Gerais'!$E$4:$E$3143),-('Gastos Gerais'!$C$4:$C$3143))</f>
        <v>0</v>
      </c>
      <c r="BK61" s="189">
        <f t="shared" si="24"/>
        <v>77500</v>
      </c>
      <c r="BL61" s="136">
        <f t="shared" ca="1" si="25"/>
        <v>2.6683235347369156E-4</v>
      </c>
    </row>
    <row r="62" spans="1:64" s="160" customFormat="1" ht="23.25" customHeight="1">
      <c r="A62" s="229" t="s">
        <v>201</v>
      </c>
      <c r="B62" s="230" t="s">
        <v>202</v>
      </c>
      <c r="C62" s="188">
        <f>SUMPRODUCT(-('Gastos Gerais'!$B$4:$B$3143=Analítico!$B62),-(Analítico!C$3&gt;='Gastos Gerais'!$D$4:$D$3143),-(Analítico!C$3&lt;='Gastos Gerais'!$E$4:$E$3143),-('Gastos Gerais'!$C$4:$C$3143))</f>
        <v>27000</v>
      </c>
      <c r="D62" s="134">
        <f>SUMPRODUCT(-('Gastos Gerais'!$B$4:$B$3143=Analítico!$B62),-(Analítico!D$3&gt;='Gastos Gerais'!$D$4:$D$3143),-(Analítico!D$3&lt;='Gastos Gerais'!$E$4:$E$3143),-('Gastos Gerais'!$C$4:$C$3143))</f>
        <v>25500</v>
      </c>
      <c r="E62" s="134">
        <f>SUMPRODUCT(-('Gastos Gerais'!$B$4:$B$3143=Analítico!$B62),-(Analítico!E$3&gt;='Gastos Gerais'!$D$4:$D$3143),-(Analítico!E$3&lt;='Gastos Gerais'!$E$4:$E$3143),-('Gastos Gerais'!$C$4:$C$3143))</f>
        <v>25500</v>
      </c>
      <c r="F62" s="134">
        <f>SUMPRODUCT(-('Gastos Gerais'!$B$4:$B$3143=Analítico!$B62),-(Analítico!F$3&gt;='Gastos Gerais'!$D$4:$D$3143),-(Analítico!F$3&lt;='Gastos Gerais'!$E$4:$E$3143),-('Gastos Gerais'!$C$4:$C$3143))</f>
        <v>16500</v>
      </c>
      <c r="G62" s="134">
        <f>SUMPRODUCT(-('Gastos Gerais'!$B$4:$B$3143=Analítico!$B62),-(Analítico!G$3&gt;='Gastos Gerais'!$D$4:$D$3143),-(Analítico!G$3&lt;='Gastos Gerais'!$E$4:$E$3143),-('Gastos Gerais'!$C$4:$C$3143))</f>
        <v>9000</v>
      </c>
      <c r="H62" s="134">
        <f>SUMPRODUCT(-('Gastos Gerais'!$B$4:$B$3143=Analítico!$B62),-(Analítico!H$3&gt;='Gastos Gerais'!$D$4:$D$3143),-(Analítico!H$3&lt;='Gastos Gerais'!$E$4:$E$3143),-('Gastos Gerais'!$C$4:$C$3143))</f>
        <v>9000</v>
      </c>
      <c r="I62" s="134">
        <f>SUMPRODUCT(-('Gastos Gerais'!$B$4:$B$3143=Analítico!$B62),-(Analítico!I$3&gt;='Gastos Gerais'!$D$4:$D$3143),-(Analítico!I$3&lt;='Gastos Gerais'!$E$4:$E$3143),-('Gastos Gerais'!$C$4:$C$3143))</f>
        <v>10500</v>
      </c>
      <c r="J62" s="134">
        <f>SUMPRODUCT(-('Gastos Gerais'!$B$4:$B$3143=Analítico!$B62),-(Analítico!J$3&gt;='Gastos Gerais'!$D$4:$D$3143),-(Analítico!J$3&lt;='Gastos Gerais'!$E$4:$E$3143),-('Gastos Gerais'!$C$4:$C$3143))</f>
        <v>10500</v>
      </c>
      <c r="K62" s="134">
        <f>SUMPRODUCT(-('Gastos Gerais'!$B$4:$B$3143=Analítico!$B62),-(Analítico!K$3&gt;='Gastos Gerais'!$D$4:$D$3143),-(Analítico!K$3&lt;='Gastos Gerais'!$E$4:$E$3143),-('Gastos Gerais'!$C$4:$C$3143))</f>
        <v>9000</v>
      </c>
      <c r="L62" s="134">
        <f>SUMPRODUCT(-('Gastos Gerais'!$B$4:$B$3143=Analítico!$B62),-(Analítico!L$3&gt;='Gastos Gerais'!$D$4:$D$3143),-(Analítico!L$3&lt;='Gastos Gerais'!$E$4:$E$3143),-('Gastos Gerais'!$C$4:$C$3143))</f>
        <v>10500</v>
      </c>
      <c r="M62" s="134">
        <f>SUMPRODUCT(-('Gastos Gerais'!$B$4:$B$3143=Analítico!$B62),-(Analítico!M$3&gt;='Gastos Gerais'!$D$4:$D$3143),-(Analítico!M$3&lt;='Gastos Gerais'!$E$4:$E$3143),-('Gastos Gerais'!$C$4:$C$3143))</f>
        <v>10500</v>
      </c>
      <c r="N62" s="134">
        <f>SUMPRODUCT(-('Gastos Gerais'!$B$4:$B$3143=Analítico!$B62),-(Analítico!N$3&gt;='Gastos Gerais'!$D$4:$D$3143),-(Analítico!N$3&lt;='Gastos Gerais'!$E$4:$E$3143),-('Gastos Gerais'!$C$4:$C$3143))</f>
        <v>10500</v>
      </c>
      <c r="O62" s="134">
        <f>SUMPRODUCT(-('Gastos Gerais'!$B$4:$B$3143=Analítico!$B62),-(Analítico!O$3&gt;='Gastos Gerais'!$D$4:$D$3143),-(Analítico!O$3&lt;='Gastos Gerais'!$E$4:$E$3143),-('Gastos Gerais'!$C$4:$C$3143))</f>
        <v>28800</v>
      </c>
      <c r="P62" s="134">
        <f>SUMPRODUCT(-('Gastos Gerais'!$B$4:$B$3143=Analítico!$B62),-(Analítico!P$3&gt;='Gastos Gerais'!$D$4:$D$3143),-(Analítico!P$3&lt;='Gastos Gerais'!$E$4:$E$3143),-('Gastos Gerais'!$C$4:$C$3143))</f>
        <v>27500</v>
      </c>
      <c r="Q62" s="134">
        <f>SUMPRODUCT(-('Gastos Gerais'!$B$4:$B$3143=Analítico!$B62),-(Analítico!Q$3&gt;='Gastos Gerais'!$D$4:$D$3143),-(Analítico!Q$3&lt;='Gastos Gerais'!$E$4:$E$3143),-('Gastos Gerais'!$C$4:$C$3143))</f>
        <v>26200</v>
      </c>
      <c r="R62" s="134">
        <f>SUMPRODUCT(-('Gastos Gerais'!$B$4:$B$3143=Analítico!$B62),-(Analítico!R$3&gt;='Gastos Gerais'!$D$4:$D$3143),-(Analítico!R$3&lt;='Gastos Gerais'!$E$4:$E$3143),-('Gastos Gerais'!$C$4:$C$3143))</f>
        <v>13000</v>
      </c>
      <c r="S62" s="134">
        <f>SUMPRODUCT(-('Gastos Gerais'!$B$4:$B$3143=Analítico!$B62),-(Analítico!S$3&gt;='Gastos Gerais'!$D$4:$D$3143),-(Analítico!S$3&lt;='Gastos Gerais'!$E$4:$E$3143),-('Gastos Gerais'!$C$4:$C$3143))</f>
        <v>6500</v>
      </c>
      <c r="T62" s="134">
        <f>SUMPRODUCT(-('Gastos Gerais'!$B$4:$B$3143=Analítico!$B62),-(Analítico!T$3&gt;='Gastos Gerais'!$D$4:$D$3143),-(Analítico!T$3&lt;='Gastos Gerais'!$E$4:$E$3143),-('Gastos Gerais'!$C$4:$C$3143))</f>
        <v>6500</v>
      </c>
      <c r="U62" s="134">
        <f>SUMPRODUCT(-('Gastos Gerais'!$B$4:$B$3143=Analítico!$B62),-(Analítico!U$3&gt;='Gastos Gerais'!$D$4:$D$3143),-(Analítico!U$3&lt;='Gastos Gerais'!$E$4:$E$3143),-('Gastos Gerais'!$C$4:$C$3143))</f>
        <v>6500</v>
      </c>
      <c r="V62" s="134">
        <f>SUMPRODUCT(-('Gastos Gerais'!$B$4:$B$3143=Analítico!$B62),-(Analítico!V$3&gt;='Gastos Gerais'!$D$4:$D$3143),-(Analítico!V$3&lt;='Gastos Gerais'!$E$4:$E$3143),-('Gastos Gerais'!$C$4:$C$3143))</f>
        <v>6500</v>
      </c>
      <c r="W62" s="134">
        <f>SUMPRODUCT(-('Gastos Gerais'!$B$4:$B$3143=Analítico!$B62),-(Analítico!W$3&gt;='Gastos Gerais'!$D$4:$D$3143),-(Analítico!W$3&lt;='Gastos Gerais'!$E$4:$E$3143),-('Gastos Gerais'!$C$4:$C$3143))</f>
        <v>6500</v>
      </c>
      <c r="X62" s="134">
        <f>SUMPRODUCT(-('Gastos Gerais'!$B$4:$B$3143=Analítico!$B62),-(Analítico!X$3&gt;='Gastos Gerais'!$D$4:$D$3143),-(Analítico!X$3&lt;='Gastos Gerais'!$E$4:$E$3143),-('Gastos Gerais'!$C$4:$C$3143))</f>
        <v>6500</v>
      </c>
      <c r="Y62" s="134">
        <f>SUMPRODUCT(-('Gastos Gerais'!$B$4:$B$3143=Analítico!$B62),-(Analítico!Y$3&gt;='Gastos Gerais'!$D$4:$D$3143),-(Analítico!Y$3&lt;='Gastos Gerais'!$E$4:$E$3143),-('Gastos Gerais'!$C$4:$C$3143))</f>
        <v>6500</v>
      </c>
      <c r="Z62" s="134">
        <f>SUMPRODUCT(-('Gastos Gerais'!$B$4:$B$3143=Analítico!$B62),-(Analítico!Z$3&gt;='Gastos Gerais'!$D$4:$D$3143),-(Analítico!Z$3&lt;='Gastos Gerais'!$E$4:$E$3143),-('Gastos Gerais'!$C$4:$C$3143))</f>
        <v>6500</v>
      </c>
      <c r="AA62" s="134">
        <f>SUMPRODUCT(-('Gastos Gerais'!$B$4:$B$3143=Analítico!$B62),-(Analítico!AA$3&gt;='Gastos Gerais'!$D$4:$D$3143),-(Analítico!AA$3&lt;='Gastos Gerais'!$E$4:$E$3143),-('Gastos Gerais'!$C$4:$C$3143))</f>
        <v>27300</v>
      </c>
      <c r="AB62" s="134">
        <f>SUMPRODUCT(-('Gastos Gerais'!$B$4:$B$3143=Analítico!$B62),-(Analítico!AB$3&gt;='Gastos Gerais'!$D$4:$D$3143),-(Analítico!AB$3&lt;='Gastos Gerais'!$E$4:$E$3143),-('Gastos Gerais'!$C$4:$C$3143))</f>
        <v>26000</v>
      </c>
      <c r="AC62" s="134">
        <f>SUMPRODUCT(-('Gastos Gerais'!$B$4:$B$3143=Analítico!$B62),-(Analítico!AC$3&gt;='Gastos Gerais'!$D$4:$D$3143),-(Analítico!AC$3&lt;='Gastos Gerais'!$E$4:$E$3143),-('Gastos Gerais'!$C$4:$C$3143))</f>
        <v>24700</v>
      </c>
      <c r="AD62" s="134">
        <f>SUMPRODUCT(-('Gastos Gerais'!$B$4:$B$3143=Analítico!$B62),-(Analítico!AD$3&gt;='Gastos Gerais'!$D$4:$D$3143),-(Analítico!AD$3&lt;='Gastos Gerais'!$E$4:$E$3143),-('Gastos Gerais'!$C$4:$C$3143))</f>
        <v>13000</v>
      </c>
      <c r="AE62" s="134">
        <f>SUMPRODUCT(-('Gastos Gerais'!$B$4:$B$3143=Analítico!$B62),-(Analítico!AE$3&gt;='Gastos Gerais'!$D$4:$D$3143),-(Analítico!AE$3&lt;='Gastos Gerais'!$E$4:$E$3143),-('Gastos Gerais'!$C$4:$C$3143))</f>
        <v>6500</v>
      </c>
      <c r="AF62" s="134">
        <f>SUMPRODUCT(-('Gastos Gerais'!$B$4:$B$3143=Analítico!$B62),-(Analítico!AF$3&gt;='Gastos Gerais'!$D$4:$D$3143),-(Analítico!AF$3&lt;='Gastos Gerais'!$E$4:$E$3143),-('Gastos Gerais'!$C$4:$C$3143))</f>
        <v>6500</v>
      </c>
      <c r="AG62" s="134">
        <f>SUMPRODUCT(-('Gastos Gerais'!$B$4:$B$3143=Analítico!$B62),-(Analítico!AG$3&gt;='Gastos Gerais'!$D$4:$D$3143),-(Analítico!AG$3&lt;='Gastos Gerais'!$E$4:$E$3143),-('Gastos Gerais'!$C$4:$C$3143))</f>
        <v>6500</v>
      </c>
      <c r="AH62" s="134">
        <f>SUMPRODUCT(-('Gastos Gerais'!$B$4:$B$3143=Analítico!$B62),-(Analítico!AH$3&gt;='Gastos Gerais'!$D$4:$D$3143),-(Analítico!AH$3&lt;='Gastos Gerais'!$E$4:$E$3143),-('Gastos Gerais'!$C$4:$C$3143))</f>
        <v>6500</v>
      </c>
      <c r="AI62" s="134">
        <f>SUMPRODUCT(-('Gastos Gerais'!$B$4:$B$3143=Analítico!$B62),-(Analítico!AI$3&gt;='Gastos Gerais'!$D$4:$D$3143),-(Analítico!AI$3&lt;='Gastos Gerais'!$E$4:$E$3143),-('Gastos Gerais'!$C$4:$C$3143))</f>
        <v>6500</v>
      </c>
      <c r="AJ62" s="134">
        <f>SUMPRODUCT(-('Gastos Gerais'!$B$4:$B$3143=Analítico!$B62),-(Analítico!AJ$3&gt;='Gastos Gerais'!$D$4:$D$3143),-(Analítico!AJ$3&lt;='Gastos Gerais'!$E$4:$E$3143),-('Gastos Gerais'!$C$4:$C$3143))</f>
        <v>6500</v>
      </c>
      <c r="AK62" s="134">
        <f>SUMPRODUCT(-('Gastos Gerais'!$B$4:$B$3143=Analítico!$B62),-(Analítico!AK$3&gt;='Gastos Gerais'!$D$4:$D$3143),-(Analítico!AK$3&lt;='Gastos Gerais'!$E$4:$E$3143),-('Gastos Gerais'!$C$4:$C$3143))</f>
        <v>6500</v>
      </c>
      <c r="AL62" s="134">
        <f>SUMPRODUCT(-('Gastos Gerais'!$B$4:$B$3143=Analítico!$B62),-(Analítico!AL$3&gt;='Gastos Gerais'!$D$4:$D$3143),-(Analítico!AL$3&lt;='Gastos Gerais'!$E$4:$E$3143),-('Gastos Gerais'!$C$4:$C$3143))</f>
        <v>6500</v>
      </c>
      <c r="AM62" s="134">
        <f>SUMPRODUCT(-('Gastos Gerais'!$B$4:$B$3143=Analítico!$B62),-(Analítico!AM$3&gt;='Gastos Gerais'!$D$4:$D$3143),-(Analítico!AM$3&lt;='Gastos Gerais'!$E$4:$E$3143),-('Gastos Gerais'!$C$4:$C$3143))</f>
        <v>15750</v>
      </c>
      <c r="AN62" s="134">
        <f>SUMPRODUCT(-('Gastos Gerais'!$B$4:$B$3143=Analítico!$B62),-(Analítico!AN$3&gt;='Gastos Gerais'!$D$4:$D$3143),-(Analítico!AN$3&lt;='Gastos Gerais'!$E$4:$E$3143),-('Gastos Gerais'!$C$4:$C$3143))</f>
        <v>15000</v>
      </c>
      <c r="AO62" s="134">
        <f>SUMPRODUCT(-('Gastos Gerais'!$B$4:$B$3143=Analítico!$B62),-(Analítico!AO$3&gt;='Gastos Gerais'!$D$4:$D$3143),-(Analítico!AO$3&lt;='Gastos Gerais'!$E$4:$E$3143),-('Gastos Gerais'!$C$4:$C$3143))</f>
        <v>14250</v>
      </c>
      <c r="AP62" s="134">
        <f>SUMPRODUCT(-('Gastos Gerais'!$B$4:$B$3143=Analítico!$B62),-(Analítico!AP$3&gt;='Gastos Gerais'!$D$4:$D$3143),-(Analítico!AP$3&lt;='Gastos Gerais'!$E$4:$E$3143),-('Gastos Gerais'!$C$4:$C$3143))</f>
        <v>7500</v>
      </c>
      <c r="AQ62" s="134">
        <f>SUMPRODUCT(-('Gastos Gerais'!$B$4:$B$3143=Analítico!$B62),-(Analítico!AQ$3&gt;='Gastos Gerais'!$D$4:$D$3143),-(Analítico!AQ$3&lt;='Gastos Gerais'!$E$4:$E$3143),-('Gastos Gerais'!$C$4:$C$3143))</f>
        <v>3750</v>
      </c>
      <c r="AR62" s="134">
        <f>SUMPRODUCT(-('Gastos Gerais'!$B$4:$B$3143=Analítico!$B62),-(Analítico!AR$3&gt;='Gastos Gerais'!$D$4:$D$3143),-(Analítico!AR$3&lt;='Gastos Gerais'!$E$4:$E$3143),-('Gastos Gerais'!$C$4:$C$3143))</f>
        <v>3750</v>
      </c>
      <c r="AS62" s="134">
        <f>SUMPRODUCT(-('Gastos Gerais'!$B$4:$B$3143=Analítico!$B62),-(Analítico!AS$3&gt;='Gastos Gerais'!$D$4:$D$3143),-(Analítico!AS$3&lt;='Gastos Gerais'!$E$4:$E$3143),-('Gastos Gerais'!$C$4:$C$3143))</f>
        <v>3750</v>
      </c>
      <c r="AT62" s="134">
        <f>SUMPRODUCT(-('Gastos Gerais'!$B$4:$B$3143=Analítico!$B62),-(Analítico!AT$3&gt;='Gastos Gerais'!$D$4:$D$3143),-(Analítico!AT$3&lt;='Gastos Gerais'!$E$4:$E$3143),-('Gastos Gerais'!$C$4:$C$3143))</f>
        <v>3750</v>
      </c>
      <c r="AU62" s="134">
        <f>SUMPRODUCT(-('Gastos Gerais'!$B$4:$B$3143=Analítico!$B62),-(Analítico!AU$3&gt;='Gastos Gerais'!$D$4:$D$3143),-(Analítico!AU$3&lt;='Gastos Gerais'!$E$4:$E$3143),-('Gastos Gerais'!$C$4:$C$3143))</f>
        <v>3750</v>
      </c>
      <c r="AV62" s="134">
        <f>SUMPRODUCT(-('Gastos Gerais'!$B$4:$B$3143=Analítico!$B62),-(Analítico!AV$3&gt;='Gastos Gerais'!$D$4:$D$3143),-(Analítico!AV$3&lt;='Gastos Gerais'!$E$4:$E$3143),-('Gastos Gerais'!$C$4:$C$3143))</f>
        <v>3750</v>
      </c>
      <c r="AW62" s="134">
        <f>SUMPRODUCT(-('Gastos Gerais'!$B$4:$B$3143=Analítico!$B62),-(Analítico!AW$3&gt;='Gastos Gerais'!$D$4:$D$3143),-(Analítico!AW$3&lt;='Gastos Gerais'!$E$4:$E$3143),-('Gastos Gerais'!$C$4:$C$3143))</f>
        <v>3750</v>
      </c>
      <c r="AX62" s="134">
        <f>SUMPRODUCT(-('Gastos Gerais'!$B$4:$B$3143=Analítico!$B62),-(Analítico!AX$3&gt;='Gastos Gerais'!$D$4:$D$3143),-(Analítico!AX$3&lt;='Gastos Gerais'!$E$4:$E$3143),-('Gastos Gerais'!$C$4:$C$3143))</f>
        <v>0</v>
      </c>
      <c r="AY62" s="134">
        <f>SUMPRODUCT(-('Gastos Gerais'!$B$4:$B$3143=Analítico!$B62),-(Analítico!AY$3&gt;='Gastos Gerais'!$D$4:$D$3143),-(Analítico!AY$3&lt;='Gastos Gerais'!$E$4:$E$3143),-('Gastos Gerais'!$C$4:$C$3143))</f>
        <v>0</v>
      </c>
      <c r="AZ62" s="134">
        <f>SUMPRODUCT(-('Gastos Gerais'!$B$4:$B$3143=Analítico!$B62),-(Analítico!AZ$3&gt;='Gastos Gerais'!$D$4:$D$3143),-(Analítico!AZ$3&lt;='Gastos Gerais'!$E$4:$E$3143),-('Gastos Gerais'!$C$4:$C$3143))</f>
        <v>0</v>
      </c>
      <c r="BA62" s="134">
        <f>SUMPRODUCT(-('Gastos Gerais'!$B$4:$B$3143=Analítico!$B62),-(Analítico!BA$3&gt;='Gastos Gerais'!$D$4:$D$3143),-(Analítico!BA$3&lt;='Gastos Gerais'!$E$4:$E$3143),-('Gastos Gerais'!$C$4:$C$3143))</f>
        <v>0</v>
      </c>
      <c r="BB62" s="134">
        <f>SUMPRODUCT(-('Gastos Gerais'!$B$4:$B$3143=Analítico!$B62),-(Analítico!BB$3&gt;='Gastos Gerais'!$D$4:$D$3143),-(Analítico!BB$3&lt;='Gastos Gerais'!$E$4:$E$3143),-('Gastos Gerais'!$C$4:$C$3143))</f>
        <v>0</v>
      </c>
      <c r="BC62" s="134">
        <f>SUMPRODUCT(-('Gastos Gerais'!$B$4:$B$3143=Analítico!$B62),-(Analítico!BC$3&gt;='Gastos Gerais'!$D$4:$D$3143),-(Analítico!BC$3&lt;='Gastos Gerais'!$E$4:$E$3143),-('Gastos Gerais'!$C$4:$C$3143))</f>
        <v>0</v>
      </c>
      <c r="BD62" s="134">
        <f>SUMPRODUCT(-('Gastos Gerais'!$B$4:$B$3143=Analítico!$B62),-(Analítico!BD$3&gt;='Gastos Gerais'!$D$4:$D$3143),-(Analítico!BD$3&lt;='Gastos Gerais'!$E$4:$E$3143),-('Gastos Gerais'!$C$4:$C$3143))</f>
        <v>0</v>
      </c>
      <c r="BE62" s="134">
        <f>SUMPRODUCT(-('Gastos Gerais'!$B$4:$B$3143=Analítico!$B62),-(Analítico!BE$3&gt;='Gastos Gerais'!$D$4:$D$3143),-(Analítico!BE$3&lt;='Gastos Gerais'!$E$4:$E$3143),-('Gastos Gerais'!$C$4:$C$3143))</f>
        <v>0</v>
      </c>
      <c r="BF62" s="134">
        <f>SUMPRODUCT(-('Gastos Gerais'!$B$4:$B$3143=Analítico!$B62),-(Analítico!BF$3&gt;='Gastos Gerais'!$D$4:$D$3143),-(Analítico!BF$3&lt;='Gastos Gerais'!$E$4:$E$3143),-('Gastos Gerais'!$C$4:$C$3143))</f>
        <v>0</v>
      </c>
      <c r="BG62" s="134">
        <f>SUMPRODUCT(-('Gastos Gerais'!$B$4:$B$3143=Analítico!$B62),-(Analítico!BG$3&gt;='Gastos Gerais'!$D$4:$D$3143),-(Analítico!BG$3&lt;='Gastos Gerais'!$E$4:$E$3143),-('Gastos Gerais'!$C$4:$C$3143))</f>
        <v>0</v>
      </c>
      <c r="BH62" s="134">
        <f>SUMPRODUCT(-('Gastos Gerais'!$B$4:$B$3143=Analítico!$B62),-(Analítico!BH$3&gt;='Gastos Gerais'!$D$4:$D$3143),-(Analítico!BH$3&lt;='Gastos Gerais'!$E$4:$E$3143),-('Gastos Gerais'!$C$4:$C$3143))</f>
        <v>0</v>
      </c>
      <c r="BI62" s="134">
        <f>SUMPRODUCT(-('Gastos Gerais'!$B$4:$B$3143=Analítico!$B62),-(Analítico!BI$3&gt;='Gastos Gerais'!$D$4:$D$3143),-(Analítico!BI$3&lt;='Gastos Gerais'!$E$4:$E$3143),-('Gastos Gerais'!$C$4:$C$3143))</f>
        <v>0</v>
      </c>
      <c r="BJ62" s="134">
        <f>SUMPRODUCT(-('Gastos Gerais'!$B$4:$B$3143=Analítico!$B62),-(Analítico!BJ$3&gt;='Gastos Gerais'!$D$4:$D$3143),-(Analítico!BJ$3&lt;='Gastos Gerais'!$E$4:$E$3143),-('Gastos Gerais'!$C$4:$C$3143))</f>
        <v>0</v>
      </c>
      <c r="BK62" s="189">
        <f t="shared" si="24"/>
        <v>543250</v>
      </c>
      <c r="BL62" s="136">
        <f t="shared" ca="1" si="25"/>
        <v>1.8704087228978443E-3</v>
      </c>
    </row>
    <row r="63" spans="1:64" s="160" customFormat="1" ht="23.25" customHeight="1">
      <c r="A63" s="229" t="s">
        <v>203</v>
      </c>
      <c r="B63" s="230" t="s">
        <v>204</v>
      </c>
      <c r="C63" s="188">
        <f>SUMPRODUCT(-('Gastos Gerais'!$B$4:$B$3143=Analítico!$B63),-(Analítico!C$3&gt;='Gastos Gerais'!$D$4:$D$3143),-(Analítico!C$3&lt;='Gastos Gerais'!$E$4:$E$3143),-('Gastos Gerais'!$C$4:$C$3143))</f>
        <v>22500</v>
      </c>
      <c r="D63" s="134">
        <f>SUMPRODUCT(-('Gastos Gerais'!$B$4:$B$3143=Analítico!$B63),-(Analítico!D$3&gt;='Gastos Gerais'!$D$4:$D$3143),-(Analítico!D$3&lt;='Gastos Gerais'!$E$4:$E$3143),-('Gastos Gerais'!$C$4:$C$3143))</f>
        <v>23750</v>
      </c>
      <c r="E63" s="134">
        <f>SUMPRODUCT(-('Gastos Gerais'!$B$4:$B$3143=Analítico!$B63),-(Analítico!E$3&gt;='Gastos Gerais'!$D$4:$D$3143),-(Analítico!E$3&lt;='Gastos Gerais'!$E$4:$E$3143),-('Gastos Gerais'!$C$4:$C$3143))</f>
        <v>23750</v>
      </c>
      <c r="F63" s="134">
        <f>SUMPRODUCT(-('Gastos Gerais'!$B$4:$B$3143=Analítico!$B63),-(Analítico!F$3&gt;='Gastos Gerais'!$D$4:$D$3143),-(Analítico!F$3&lt;='Gastos Gerais'!$E$4:$E$3143),-('Gastos Gerais'!$C$4:$C$3143))</f>
        <v>22500</v>
      </c>
      <c r="G63" s="134">
        <f>SUMPRODUCT(-('Gastos Gerais'!$B$4:$B$3143=Analítico!$B63),-(Analítico!G$3&gt;='Gastos Gerais'!$D$4:$D$3143),-(Analítico!G$3&lt;='Gastos Gerais'!$E$4:$E$3143),-('Gastos Gerais'!$C$4:$C$3143))</f>
        <v>10000</v>
      </c>
      <c r="H63" s="134">
        <f>SUMPRODUCT(-('Gastos Gerais'!$B$4:$B$3143=Analítico!$B63),-(Analítico!H$3&gt;='Gastos Gerais'!$D$4:$D$3143),-(Analítico!H$3&lt;='Gastos Gerais'!$E$4:$E$3143),-('Gastos Gerais'!$C$4:$C$3143))</f>
        <v>10000</v>
      </c>
      <c r="I63" s="134">
        <f>SUMPRODUCT(-('Gastos Gerais'!$B$4:$B$3143=Analítico!$B63),-(Analítico!I$3&gt;='Gastos Gerais'!$D$4:$D$3143),-(Analítico!I$3&lt;='Gastos Gerais'!$E$4:$E$3143),-('Gastos Gerais'!$C$4:$C$3143))</f>
        <v>11250</v>
      </c>
      <c r="J63" s="134">
        <f>SUMPRODUCT(-('Gastos Gerais'!$B$4:$B$3143=Analítico!$B63),-(Analítico!J$3&gt;='Gastos Gerais'!$D$4:$D$3143),-(Analítico!J$3&lt;='Gastos Gerais'!$E$4:$E$3143),-('Gastos Gerais'!$C$4:$C$3143))</f>
        <v>7500</v>
      </c>
      <c r="K63" s="134">
        <f>SUMPRODUCT(-('Gastos Gerais'!$B$4:$B$3143=Analítico!$B63),-(Analítico!K$3&gt;='Gastos Gerais'!$D$4:$D$3143),-(Analítico!K$3&lt;='Gastos Gerais'!$E$4:$E$3143),-('Gastos Gerais'!$C$4:$C$3143))</f>
        <v>7500</v>
      </c>
      <c r="L63" s="134">
        <f>SUMPRODUCT(-('Gastos Gerais'!$B$4:$B$3143=Analítico!$B63),-(Analítico!L$3&gt;='Gastos Gerais'!$D$4:$D$3143),-(Analítico!L$3&lt;='Gastos Gerais'!$E$4:$E$3143),-('Gastos Gerais'!$C$4:$C$3143))</f>
        <v>8750</v>
      </c>
      <c r="M63" s="134">
        <f>SUMPRODUCT(-('Gastos Gerais'!$B$4:$B$3143=Analítico!$B63),-(Analítico!M$3&gt;='Gastos Gerais'!$D$4:$D$3143),-(Analítico!M$3&lt;='Gastos Gerais'!$E$4:$E$3143),-('Gastos Gerais'!$C$4:$C$3143))</f>
        <v>8750</v>
      </c>
      <c r="N63" s="134">
        <f>SUMPRODUCT(-('Gastos Gerais'!$B$4:$B$3143=Analítico!$B63),-(Analítico!N$3&gt;='Gastos Gerais'!$D$4:$D$3143),-(Analítico!N$3&lt;='Gastos Gerais'!$E$4:$E$3143),-('Gastos Gerais'!$C$4:$C$3143))</f>
        <v>8750</v>
      </c>
      <c r="O63" s="134">
        <f>SUMPRODUCT(-('Gastos Gerais'!$B$4:$B$3143=Analítico!$B63),-(Analítico!O$3&gt;='Gastos Gerais'!$D$4:$D$3143),-(Analítico!O$3&lt;='Gastos Gerais'!$E$4:$E$3143),-('Gastos Gerais'!$C$4:$C$3143))</f>
        <v>26250</v>
      </c>
      <c r="P63" s="134">
        <f>SUMPRODUCT(-('Gastos Gerais'!$B$4:$B$3143=Analítico!$B63),-(Analítico!P$3&gt;='Gastos Gerais'!$D$4:$D$3143),-(Analítico!P$3&lt;='Gastos Gerais'!$E$4:$E$3143),-('Gastos Gerais'!$C$4:$C$3143))</f>
        <v>27500</v>
      </c>
      <c r="Q63" s="134">
        <f>SUMPRODUCT(-('Gastos Gerais'!$B$4:$B$3143=Analítico!$B63),-(Analítico!Q$3&gt;='Gastos Gerais'!$D$4:$D$3143),-(Analítico!Q$3&lt;='Gastos Gerais'!$E$4:$E$3143),-('Gastos Gerais'!$C$4:$C$3143))</f>
        <v>26250</v>
      </c>
      <c r="R63" s="134">
        <f>SUMPRODUCT(-('Gastos Gerais'!$B$4:$B$3143=Analítico!$B63),-(Analítico!R$3&gt;='Gastos Gerais'!$D$4:$D$3143),-(Analítico!R$3&lt;='Gastos Gerais'!$E$4:$E$3143),-('Gastos Gerais'!$C$4:$C$3143))</f>
        <v>25000</v>
      </c>
      <c r="S63" s="134">
        <f>SUMPRODUCT(-('Gastos Gerais'!$B$4:$B$3143=Analítico!$B63),-(Analítico!S$3&gt;='Gastos Gerais'!$D$4:$D$3143),-(Analítico!S$3&lt;='Gastos Gerais'!$E$4:$E$3143),-('Gastos Gerais'!$C$4:$C$3143))</f>
        <v>12500</v>
      </c>
      <c r="T63" s="134">
        <f>SUMPRODUCT(-('Gastos Gerais'!$B$4:$B$3143=Analítico!$B63),-(Analítico!T$3&gt;='Gastos Gerais'!$D$4:$D$3143),-(Analítico!T$3&lt;='Gastos Gerais'!$E$4:$E$3143),-('Gastos Gerais'!$C$4:$C$3143))</f>
        <v>12500</v>
      </c>
      <c r="U63" s="134">
        <f>SUMPRODUCT(-('Gastos Gerais'!$B$4:$B$3143=Analítico!$B63),-(Analítico!U$3&gt;='Gastos Gerais'!$D$4:$D$3143),-(Analítico!U$3&lt;='Gastos Gerais'!$E$4:$E$3143),-('Gastos Gerais'!$C$4:$C$3143))</f>
        <v>12500</v>
      </c>
      <c r="V63" s="134">
        <f>SUMPRODUCT(-('Gastos Gerais'!$B$4:$B$3143=Analítico!$B63),-(Analítico!V$3&gt;='Gastos Gerais'!$D$4:$D$3143),-(Analítico!V$3&lt;='Gastos Gerais'!$E$4:$E$3143),-('Gastos Gerais'!$C$4:$C$3143))</f>
        <v>6250</v>
      </c>
      <c r="W63" s="134">
        <f>SUMPRODUCT(-('Gastos Gerais'!$B$4:$B$3143=Analítico!$B63),-(Analítico!W$3&gt;='Gastos Gerais'!$D$4:$D$3143),-(Analítico!W$3&lt;='Gastos Gerais'!$E$4:$E$3143),-('Gastos Gerais'!$C$4:$C$3143))</f>
        <v>6250</v>
      </c>
      <c r="X63" s="134">
        <f>SUMPRODUCT(-('Gastos Gerais'!$B$4:$B$3143=Analítico!$B63),-(Analítico!X$3&gt;='Gastos Gerais'!$D$4:$D$3143),-(Analítico!X$3&lt;='Gastos Gerais'!$E$4:$E$3143),-('Gastos Gerais'!$C$4:$C$3143))</f>
        <v>6250</v>
      </c>
      <c r="Y63" s="134">
        <f>SUMPRODUCT(-('Gastos Gerais'!$B$4:$B$3143=Analítico!$B63),-(Analítico!Y$3&gt;='Gastos Gerais'!$D$4:$D$3143),-(Analítico!Y$3&lt;='Gastos Gerais'!$E$4:$E$3143),-('Gastos Gerais'!$C$4:$C$3143))</f>
        <v>6250</v>
      </c>
      <c r="Z63" s="134">
        <f>SUMPRODUCT(-('Gastos Gerais'!$B$4:$B$3143=Analítico!$B63),-(Analítico!Z$3&gt;='Gastos Gerais'!$D$4:$D$3143),-(Analítico!Z$3&lt;='Gastos Gerais'!$E$4:$E$3143),-('Gastos Gerais'!$C$4:$C$3143))</f>
        <v>6250</v>
      </c>
      <c r="AA63" s="134">
        <f>SUMPRODUCT(-('Gastos Gerais'!$B$4:$B$3143=Analítico!$B63),-(Analítico!AA$3&gt;='Gastos Gerais'!$D$4:$D$3143),-(Analítico!AA$3&lt;='Gastos Gerais'!$E$4:$E$3143),-('Gastos Gerais'!$C$4:$C$3143))</f>
        <v>26250</v>
      </c>
      <c r="AB63" s="134">
        <f>SUMPRODUCT(-('Gastos Gerais'!$B$4:$B$3143=Analítico!$B63),-(Analítico!AB$3&gt;='Gastos Gerais'!$D$4:$D$3143),-(Analítico!AB$3&lt;='Gastos Gerais'!$E$4:$E$3143),-('Gastos Gerais'!$C$4:$C$3143))</f>
        <v>27500</v>
      </c>
      <c r="AC63" s="134">
        <f>SUMPRODUCT(-('Gastos Gerais'!$B$4:$B$3143=Analítico!$B63),-(Analítico!AC$3&gt;='Gastos Gerais'!$D$4:$D$3143),-(Analítico!AC$3&lt;='Gastos Gerais'!$E$4:$E$3143),-('Gastos Gerais'!$C$4:$C$3143))</f>
        <v>26250</v>
      </c>
      <c r="AD63" s="134">
        <f>SUMPRODUCT(-('Gastos Gerais'!$B$4:$B$3143=Analítico!$B63),-(Analítico!AD$3&gt;='Gastos Gerais'!$D$4:$D$3143),-(Analítico!AD$3&lt;='Gastos Gerais'!$E$4:$E$3143),-('Gastos Gerais'!$C$4:$C$3143))</f>
        <v>25000</v>
      </c>
      <c r="AE63" s="134">
        <f>SUMPRODUCT(-('Gastos Gerais'!$B$4:$B$3143=Analítico!$B63),-(Analítico!AE$3&gt;='Gastos Gerais'!$D$4:$D$3143),-(Analítico!AE$3&lt;='Gastos Gerais'!$E$4:$E$3143),-('Gastos Gerais'!$C$4:$C$3143))</f>
        <v>12500</v>
      </c>
      <c r="AF63" s="134">
        <f>SUMPRODUCT(-('Gastos Gerais'!$B$4:$B$3143=Analítico!$B63),-(Analítico!AF$3&gt;='Gastos Gerais'!$D$4:$D$3143),-(Analítico!AF$3&lt;='Gastos Gerais'!$E$4:$E$3143),-('Gastos Gerais'!$C$4:$C$3143))</f>
        <v>12500</v>
      </c>
      <c r="AG63" s="134">
        <f>SUMPRODUCT(-('Gastos Gerais'!$B$4:$B$3143=Analítico!$B63),-(Analítico!AG$3&gt;='Gastos Gerais'!$D$4:$D$3143),-(Analítico!AG$3&lt;='Gastos Gerais'!$E$4:$E$3143),-('Gastos Gerais'!$C$4:$C$3143))</f>
        <v>12500</v>
      </c>
      <c r="AH63" s="134">
        <f>SUMPRODUCT(-('Gastos Gerais'!$B$4:$B$3143=Analítico!$B63),-(Analítico!AH$3&gt;='Gastos Gerais'!$D$4:$D$3143),-(Analítico!AH$3&lt;='Gastos Gerais'!$E$4:$E$3143),-('Gastos Gerais'!$C$4:$C$3143))</f>
        <v>6250</v>
      </c>
      <c r="AI63" s="134">
        <f>SUMPRODUCT(-('Gastos Gerais'!$B$4:$B$3143=Analítico!$B63),-(Analítico!AI$3&gt;='Gastos Gerais'!$D$4:$D$3143),-(Analítico!AI$3&lt;='Gastos Gerais'!$E$4:$E$3143),-('Gastos Gerais'!$C$4:$C$3143))</f>
        <v>6250</v>
      </c>
      <c r="AJ63" s="134">
        <f>SUMPRODUCT(-('Gastos Gerais'!$B$4:$B$3143=Analítico!$B63),-(Analítico!AJ$3&gt;='Gastos Gerais'!$D$4:$D$3143),-(Analítico!AJ$3&lt;='Gastos Gerais'!$E$4:$E$3143),-('Gastos Gerais'!$C$4:$C$3143))</f>
        <v>6250</v>
      </c>
      <c r="AK63" s="134">
        <f>SUMPRODUCT(-('Gastos Gerais'!$B$4:$B$3143=Analítico!$B63),-(Analítico!AK$3&gt;='Gastos Gerais'!$D$4:$D$3143),-(Analítico!AK$3&lt;='Gastos Gerais'!$E$4:$E$3143),-('Gastos Gerais'!$C$4:$C$3143))</f>
        <v>6250</v>
      </c>
      <c r="AL63" s="134">
        <f>SUMPRODUCT(-('Gastos Gerais'!$B$4:$B$3143=Analítico!$B63),-(Analítico!AL$3&gt;='Gastos Gerais'!$D$4:$D$3143),-(Analítico!AL$3&lt;='Gastos Gerais'!$E$4:$E$3143),-('Gastos Gerais'!$C$4:$C$3143))</f>
        <v>6250</v>
      </c>
      <c r="AM63" s="134">
        <f>SUMPRODUCT(-('Gastos Gerais'!$B$4:$B$3143=Analítico!$B63),-(Analítico!AM$3&gt;='Gastos Gerais'!$D$4:$D$3143),-(Analítico!AM$3&lt;='Gastos Gerais'!$E$4:$E$3143),-('Gastos Gerais'!$C$4:$C$3143))</f>
        <v>16380</v>
      </c>
      <c r="AN63" s="134">
        <f>SUMPRODUCT(-('Gastos Gerais'!$B$4:$B$3143=Analítico!$B63),-(Analítico!AN$3&gt;='Gastos Gerais'!$D$4:$D$3143),-(Analítico!AN$3&lt;='Gastos Gerais'!$E$4:$E$3143),-('Gastos Gerais'!$C$4:$C$3143))</f>
        <v>17160</v>
      </c>
      <c r="AO63" s="134">
        <f>SUMPRODUCT(-('Gastos Gerais'!$B$4:$B$3143=Analítico!$B63),-(Analítico!AO$3&gt;='Gastos Gerais'!$D$4:$D$3143),-(Analítico!AO$3&lt;='Gastos Gerais'!$E$4:$E$3143),-('Gastos Gerais'!$C$4:$C$3143))</f>
        <v>16380</v>
      </c>
      <c r="AP63" s="134">
        <f>SUMPRODUCT(-('Gastos Gerais'!$B$4:$B$3143=Analítico!$B63),-(Analítico!AP$3&gt;='Gastos Gerais'!$D$4:$D$3143),-(Analítico!AP$3&lt;='Gastos Gerais'!$E$4:$E$3143),-('Gastos Gerais'!$C$4:$C$3143))</f>
        <v>15600</v>
      </c>
      <c r="AQ63" s="134">
        <f>SUMPRODUCT(-('Gastos Gerais'!$B$4:$B$3143=Analítico!$B63),-(Analítico!AQ$3&gt;='Gastos Gerais'!$D$4:$D$3143),-(Analítico!AQ$3&lt;='Gastos Gerais'!$E$4:$E$3143),-('Gastos Gerais'!$C$4:$C$3143))</f>
        <v>7800</v>
      </c>
      <c r="AR63" s="134">
        <f>SUMPRODUCT(-('Gastos Gerais'!$B$4:$B$3143=Analítico!$B63),-(Analítico!AR$3&gt;='Gastos Gerais'!$D$4:$D$3143),-(Analítico!AR$3&lt;='Gastos Gerais'!$E$4:$E$3143),-('Gastos Gerais'!$C$4:$C$3143))</f>
        <v>7800</v>
      </c>
      <c r="AS63" s="134">
        <f>SUMPRODUCT(-('Gastos Gerais'!$B$4:$B$3143=Analítico!$B63),-(Analítico!AS$3&gt;='Gastos Gerais'!$D$4:$D$3143),-(Analítico!AS$3&lt;='Gastos Gerais'!$E$4:$E$3143),-('Gastos Gerais'!$C$4:$C$3143))</f>
        <v>7800</v>
      </c>
      <c r="AT63" s="134">
        <f>SUMPRODUCT(-('Gastos Gerais'!$B$4:$B$3143=Analítico!$B63),-(Analítico!AT$3&gt;='Gastos Gerais'!$D$4:$D$3143),-(Analítico!AT$3&lt;='Gastos Gerais'!$E$4:$E$3143),-('Gastos Gerais'!$C$4:$C$3143))</f>
        <v>3900</v>
      </c>
      <c r="AU63" s="134">
        <f>SUMPRODUCT(-('Gastos Gerais'!$B$4:$B$3143=Analítico!$B63),-(Analítico!AU$3&gt;='Gastos Gerais'!$D$4:$D$3143),-(Analítico!AU$3&lt;='Gastos Gerais'!$E$4:$E$3143),-('Gastos Gerais'!$C$4:$C$3143))</f>
        <v>3900</v>
      </c>
      <c r="AV63" s="134">
        <f>SUMPRODUCT(-('Gastos Gerais'!$B$4:$B$3143=Analítico!$B63),-(Analítico!AV$3&gt;='Gastos Gerais'!$D$4:$D$3143),-(Analítico!AV$3&lt;='Gastos Gerais'!$E$4:$E$3143),-('Gastos Gerais'!$C$4:$C$3143))</f>
        <v>3900</v>
      </c>
      <c r="AW63" s="134">
        <f>SUMPRODUCT(-('Gastos Gerais'!$B$4:$B$3143=Analítico!$B63),-(Analítico!AW$3&gt;='Gastos Gerais'!$D$4:$D$3143),-(Analítico!AW$3&lt;='Gastos Gerais'!$E$4:$E$3143),-('Gastos Gerais'!$C$4:$C$3143))</f>
        <v>3120</v>
      </c>
      <c r="AX63" s="134">
        <f>SUMPRODUCT(-('Gastos Gerais'!$B$4:$B$3143=Analítico!$B63),-(Analítico!AX$3&gt;='Gastos Gerais'!$D$4:$D$3143),-(Analítico!AX$3&lt;='Gastos Gerais'!$E$4:$E$3143),-('Gastos Gerais'!$C$4:$C$3143))</f>
        <v>0</v>
      </c>
      <c r="AY63" s="134">
        <f>SUMPRODUCT(-('Gastos Gerais'!$B$4:$B$3143=Analítico!$B63),-(Analítico!AY$3&gt;='Gastos Gerais'!$D$4:$D$3143),-(Analítico!AY$3&lt;='Gastos Gerais'!$E$4:$E$3143),-('Gastos Gerais'!$C$4:$C$3143))</f>
        <v>0</v>
      </c>
      <c r="AZ63" s="134">
        <f>SUMPRODUCT(-('Gastos Gerais'!$B$4:$B$3143=Analítico!$B63),-(Analítico!AZ$3&gt;='Gastos Gerais'!$D$4:$D$3143),-(Analítico!AZ$3&lt;='Gastos Gerais'!$E$4:$E$3143),-('Gastos Gerais'!$C$4:$C$3143))</f>
        <v>0</v>
      </c>
      <c r="BA63" s="134">
        <f>SUMPRODUCT(-('Gastos Gerais'!$B$4:$B$3143=Analítico!$B63),-(Analítico!BA$3&gt;='Gastos Gerais'!$D$4:$D$3143),-(Analítico!BA$3&lt;='Gastos Gerais'!$E$4:$E$3143),-('Gastos Gerais'!$C$4:$C$3143))</f>
        <v>0</v>
      </c>
      <c r="BB63" s="134">
        <f>SUMPRODUCT(-('Gastos Gerais'!$B$4:$B$3143=Analítico!$B63),-(Analítico!BB$3&gt;='Gastos Gerais'!$D$4:$D$3143),-(Analítico!BB$3&lt;='Gastos Gerais'!$E$4:$E$3143),-('Gastos Gerais'!$C$4:$C$3143))</f>
        <v>0</v>
      </c>
      <c r="BC63" s="134">
        <f>SUMPRODUCT(-('Gastos Gerais'!$B$4:$B$3143=Analítico!$B63),-(Analítico!BC$3&gt;='Gastos Gerais'!$D$4:$D$3143),-(Analítico!BC$3&lt;='Gastos Gerais'!$E$4:$E$3143),-('Gastos Gerais'!$C$4:$C$3143))</f>
        <v>0</v>
      </c>
      <c r="BD63" s="134">
        <f>SUMPRODUCT(-('Gastos Gerais'!$B$4:$B$3143=Analítico!$B63),-(Analítico!BD$3&gt;='Gastos Gerais'!$D$4:$D$3143),-(Analítico!BD$3&lt;='Gastos Gerais'!$E$4:$E$3143),-('Gastos Gerais'!$C$4:$C$3143))</f>
        <v>0</v>
      </c>
      <c r="BE63" s="134">
        <f>SUMPRODUCT(-('Gastos Gerais'!$B$4:$B$3143=Analítico!$B63),-(Analítico!BE$3&gt;='Gastos Gerais'!$D$4:$D$3143),-(Analítico!BE$3&lt;='Gastos Gerais'!$E$4:$E$3143),-('Gastos Gerais'!$C$4:$C$3143))</f>
        <v>0</v>
      </c>
      <c r="BF63" s="134">
        <f>SUMPRODUCT(-('Gastos Gerais'!$B$4:$B$3143=Analítico!$B63),-(Analítico!BF$3&gt;='Gastos Gerais'!$D$4:$D$3143),-(Analítico!BF$3&lt;='Gastos Gerais'!$E$4:$E$3143),-('Gastos Gerais'!$C$4:$C$3143))</f>
        <v>0</v>
      </c>
      <c r="BG63" s="134">
        <f>SUMPRODUCT(-('Gastos Gerais'!$B$4:$B$3143=Analítico!$B63),-(Analítico!BG$3&gt;='Gastos Gerais'!$D$4:$D$3143),-(Analítico!BG$3&lt;='Gastos Gerais'!$E$4:$E$3143),-('Gastos Gerais'!$C$4:$C$3143))</f>
        <v>0</v>
      </c>
      <c r="BH63" s="134">
        <f>SUMPRODUCT(-('Gastos Gerais'!$B$4:$B$3143=Analítico!$B63),-(Analítico!BH$3&gt;='Gastos Gerais'!$D$4:$D$3143),-(Analítico!BH$3&lt;='Gastos Gerais'!$E$4:$E$3143),-('Gastos Gerais'!$C$4:$C$3143))</f>
        <v>0</v>
      </c>
      <c r="BI63" s="134">
        <f>SUMPRODUCT(-('Gastos Gerais'!$B$4:$B$3143=Analítico!$B63),-(Analítico!BI$3&gt;='Gastos Gerais'!$D$4:$D$3143),-(Analítico!BI$3&lt;='Gastos Gerais'!$E$4:$E$3143),-('Gastos Gerais'!$C$4:$C$3143))</f>
        <v>0</v>
      </c>
      <c r="BJ63" s="134">
        <f>SUMPRODUCT(-('Gastos Gerais'!$B$4:$B$3143=Analítico!$B63),-(Analítico!BJ$3&gt;='Gastos Gerais'!$D$4:$D$3143),-(Analítico!BJ$3&lt;='Gastos Gerais'!$E$4:$E$3143),-('Gastos Gerais'!$C$4:$C$3143))</f>
        <v>0</v>
      </c>
      <c r="BK63" s="189">
        <f t="shared" si="24"/>
        <v>616240</v>
      </c>
      <c r="BL63" s="136">
        <f t="shared" ca="1" si="25"/>
        <v>2.1217131548984217E-3</v>
      </c>
    </row>
    <row r="64" spans="1:64" s="160" customFormat="1" ht="23.25" customHeight="1">
      <c r="A64" s="229" t="s">
        <v>205</v>
      </c>
      <c r="B64" s="230" t="s">
        <v>206</v>
      </c>
      <c r="C64" s="188">
        <f>SUMPRODUCT(-('Gastos Gerais'!$B$4:$B$3143=Analítico!$B64),-(Analítico!C$3&gt;='Gastos Gerais'!$D$4:$D$3143),-(Analítico!C$3&lt;='Gastos Gerais'!$E$4:$E$3143),-('Gastos Gerais'!$C$4:$C$3143))</f>
        <v>21200</v>
      </c>
      <c r="D64" s="134">
        <f>SUMPRODUCT(-('Gastos Gerais'!$B$4:$B$3143=Analítico!$B64),-(Analítico!D$3&gt;='Gastos Gerais'!$D$4:$D$3143),-(Analítico!D$3&lt;='Gastos Gerais'!$E$4:$E$3143),-('Gastos Gerais'!$C$4:$C$3143))</f>
        <v>22200</v>
      </c>
      <c r="E64" s="134">
        <f>SUMPRODUCT(-('Gastos Gerais'!$B$4:$B$3143=Analítico!$B64),-(Analítico!E$3&gt;='Gastos Gerais'!$D$4:$D$3143),-(Analítico!E$3&lt;='Gastos Gerais'!$E$4:$E$3143),-('Gastos Gerais'!$C$4:$C$3143))</f>
        <v>22200</v>
      </c>
      <c r="F64" s="134">
        <f>SUMPRODUCT(-('Gastos Gerais'!$B$4:$B$3143=Analítico!$B64),-(Analítico!F$3&gt;='Gastos Gerais'!$D$4:$D$3143),-(Analítico!F$3&lt;='Gastos Gerais'!$E$4:$E$3143),-('Gastos Gerais'!$C$4:$C$3143))</f>
        <v>23300</v>
      </c>
      <c r="G64" s="134">
        <f>SUMPRODUCT(-('Gastos Gerais'!$B$4:$B$3143=Analítico!$B64),-(Analítico!G$3&gt;='Gastos Gerais'!$D$4:$D$3143),-(Analítico!G$3&lt;='Gastos Gerais'!$E$4:$E$3143),-('Gastos Gerais'!$C$4:$C$3143))</f>
        <v>23300</v>
      </c>
      <c r="H64" s="134">
        <f>SUMPRODUCT(-('Gastos Gerais'!$B$4:$B$3143=Analítico!$B64),-(Analítico!H$3&gt;='Gastos Gerais'!$D$4:$D$3143),-(Analítico!H$3&lt;='Gastos Gerais'!$E$4:$E$3143),-('Gastos Gerais'!$C$4:$C$3143))</f>
        <v>23300</v>
      </c>
      <c r="I64" s="134">
        <f>SUMPRODUCT(-('Gastos Gerais'!$B$4:$B$3143=Analítico!$B64),-(Analítico!I$3&gt;='Gastos Gerais'!$D$4:$D$3143),-(Analítico!I$3&lt;='Gastos Gerais'!$E$4:$E$3143),-('Gastos Gerais'!$C$4:$C$3143))</f>
        <v>24500</v>
      </c>
      <c r="J64" s="134">
        <f>SUMPRODUCT(-('Gastos Gerais'!$B$4:$B$3143=Analítico!$B64),-(Analítico!J$3&gt;='Gastos Gerais'!$D$4:$D$3143),-(Analítico!J$3&lt;='Gastos Gerais'!$E$4:$E$3143),-('Gastos Gerais'!$C$4:$C$3143))</f>
        <v>24500</v>
      </c>
      <c r="K64" s="134">
        <f>SUMPRODUCT(-('Gastos Gerais'!$B$4:$B$3143=Analítico!$B64),-(Analítico!K$3&gt;='Gastos Gerais'!$D$4:$D$3143),-(Analítico!K$3&lt;='Gastos Gerais'!$E$4:$E$3143),-('Gastos Gerais'!$C$4:$C$3143))</f>
        <v>24500</v>
      </c>
      <c r="L64" s="134">
        <f>SUMPRODUCT(-('Gastos Gerais'!$B$4:$B$3143=Analítico!$B64),-(Analítico!L$3&gt;='Gastos Gerais'!$D$4:$D$3143),-(Analítico!L$3&lt;='Gastos Gerais'!$E$4:$E$3143),-('Gastos Gerais'!$C$4:$C$3143))</f>
        <v>25700</v>
      </c>
      <c r="M64" s="134">
        <f>SUMPRODUCT(-('Gastos Gerais'!$B$4:$B$3143=Analítico!$B64),-(Analítico!M$3&gt;='Gastos Gerais'!$D$4:$D$3143),-(Analítico!M$3&lt;='Gastos Gerais'!$E$4:$E$3143),-('Gastos Gerais'!$C$4:$C$3143))</f>
        <v>25700</v>
      </c>
      <c r="N64" s="134">
        <f>SUMPRODUCT(-('Gastos Gerais'!$B$4:$B$3143=Analítico!$B64),-(Analítico!N$3&gt;='Gastos Gerais'!$D$4:$D$3143),-(Analítico!N$3&lt;='Gastos Gerais'!$E$4:$E$3143),-('Gastos Gerais'!$C$4:$C$3143))</f>
        <v>25700</v>
      </c>
      <c r="O64" s="134">
        <f>SUMPRODUCT(-('Gastos Gerais'!$B$4:$B$3143=Analítico!$B64),-(Analítico!O$3&gt;='Gastos Gerais'!$D$4:$D$3143),-(Analítico!O$3&lt;='Gastos Gerais'!$E$4:$E$3143),-('Gastos Gerais'!$C$4:$C$3143))</f>
        <v>25700</v>
      </c>
      <c r="P64" s="134">
        <f>SUMPRODUCT(-('Gastos Gerais'!$B$4:$B$3143=Analítico!$B64),-(Analítico!P$3&gt;='Gastos Gerais'!$D$4:$D$3143),-(Analítico!P$3&lt;='Gastos Gerais'!$E$4:$E$3143),-('Gastos Gerais'!$C$4:$C$3143))</f>
        <v>25700</v>
      </c>
      <c r="Q64" s="134">
        <f>SUMPRODUCT(-('Gastos Gerais'!$B$4:$B$3143=Analítico!$B64),-(Analítico!Q$3&gt;='Gastos Gerais'!$D$4:$D$3143),-(Analítico!Q$3&lt;='Gastos Gerais'!$E$4:$E$3143),-('Gastos Gerais'!$C$4:$C$3143))</f>
        <v>25700</v>
      </c>
      <c r="R64" s="134">
        <f>SUMPRODUCT(-('Gastos Gerais'!$B$4:$B$3143=Analítico!$B64),-(Analítico!R$3&gt;='Gastos Gerais'!$D$4:$D$3143),-(Analítico!R$3&lt;='Gastos Gerais'!$E$4:$E$3143),-('Gastos Gerais'!$C$4:$C$3143))</f>
        <v>25700</v>
      </c>
      <c r="S64" s="134">
        <f>SUMPRODUCT(-('Gastos Gerais'!$B$4:$B$3143=Analítico!$B64),-(Analítico!S$3&gt;='Gastos Gerais'!$D$4:$D$3143),-(Analítico!S$3&lt;='Gastos Gerais'!$E$4:$E$3143),-('Gastos Gerais'!$C$4:$C$3143))</f>
        <v>25700</v>
      </c>
      <c r="T64" s="134">
        <f>SUMPRODUCT(-('Gastos Gerais'!$B$4:$B$3143=Analítico!$B64),-(Analítico!T$3&gt;='Gastos Gerais'!$D$4:$D$3143),-(Analítico!T$3&lt;='Gastos Gerais'!$E$4:$E$3143),-('Gastos Gerais'!$C$4:$C$3143))</f>
        <v>25700</v>
      </c>
      <c r="U64" s="134">
        <f>SUMPRODUCT(-('Gastos Gerais'!$B$4:$B$3143=Analítico!$B64),-(Analítico!U$3&gt;='Gastos Gerais'!$D$4:$D$3143),-(Analítico!U$3&lt;='Gastos Gerais'!$E$4:$E$3143),-('Gastos Gerais'!$C$4:$C$3143))</f>
        <v>25700</v>
      </c>
      <c r="V64" s="134">
        <f>SUMPRODUCT(-('Gastos Gerais'!$B$4:$B$3143=Analítico!$B64),-(Analítico!V$3&gt;='Gastos Gerais'!$D$4:$D$3143),-(Analítico!V$3&lt;='Gastos Gerais'!$E$4:$E$3143),-('Gastos Gerais'!$C$4:$C$3143))</f>
        <v>25700</v>
      </c>
      <c r="W64" s="134">
        <f>SUMPRODUCT(-('Gastos Gerais'!$B$4:$B$3143=Analítico!$B64),-(Analítico!W$3&gt;='Gastos Gerais'!$D$4:$D$3143),-(Analítico!W$3&lt;='Gastos Gerais'!$E$4:$E$3143),-('Gastos Gerais'!$C$4:$C$3143))</f>
        <v>25700</v>
      </c>
      <c r="X64" s="134">
        <f>SUMPRODUCT(-('Gastos Gerais'!$B$4:$B$3143=Analítico!$B64),-(Analítico!X$3&gt;='Gastos Gerais'!$D$4:$D$3143),-(Analítico!X$3&lt;='Gastos Gerais'!$E$4:$E$3143),-('Gastos Gerais'!$C$4:$C$3143))</f>
        <v>25700</v>
      </c>
      <c r="Y64" s="134">
        <f>SUMPRODUCT(-('Gastos Gerais'!$B$4:$B$3143=Analítico!$B64),-(Analítico!Y$3&gt;='Gastos Gerais'!$D$4:$D$3143),-(Analítico!Y$3&lt;='Gastos Gerais'!$E$4:$E$3143),-('Gastos Gerais'!$C$4:$C$3143))</f>
        <v>25700</v>
      </c>
      <c r="Z64" s="134">
        <f>SUMPRODUCT(-('Gastos Gerais'!$B$4:$B$3143=Analítico!$B64),-(Analítico!Z$3&gt;='Gastos Gerais'!$D$4:$D$3143),-(Analítico!Z$3&lt;='Gastos Gerais'!$E$4:$E$3143),-('Gastos Gerais'!$C$4:$C$3143))</f>
        <v>25700</v>
      </c>
      <c r="AA64" s="134">
        <f>SUMPRODUCT(-('Gastos Gerais'!$B$4:$B$3143=Analítico!$B64),-(Analítico!AA$3&gt;='Gastos Gerais'!$D$4:$D$3143),-(Analítico!AA$3&lt;='Gastos Gerais'!$E$4:$E$3143),-('Gastos Gerais'!$C$4:$C$3143))</f>
        <v>25700</v>
      </c>
      <c r="AB64" s="134">
        <f>SUMPRODUCT(-('Gastos Gerais'!$B$4:$B$3143=Analítico!$B64),-(Analítico!AB$3&gt;='Gastos Gerais'!$D$4:$D$3143),-(Analítico!AB$3&lt;='Gastos Gerais'!$E$4:$E$3143),-('Gastos Gerais'!$C$4:$C$3143))</f>
        <v>25700</v>
      </c>
      <c r="AC64" s="134">
        <f>SUMPRODUCT(-('Gastos Gerais'!$B$4:$B$3143=Analítico!$B64),-(Analítico!AC$3&gt;='Gastos Gerais'!$D$4:$D$3143),-(Analítico!AC$3&lt;='Gastos Gerais'!$E$4:$E$3143),-('Gastos Gerais'!$C$4:$C$3143))</f>
        <v>25700</v>
      </c>
      <c r="AD64" s="134">
        <f>SUMPRODUCT(-('Gastos Gerais'!$B$4:$B$3143=Analítico!$B64),-(Analítico!AD$3&gt;='Gastos Gerais'!$D$4:$D$3143),-(Analítico!AD$3&lt;='Gastos Gerais'!$E$4:$E$3143),-('Gastos Gerais'!$C$4:$C$3143))</f>
        <v>25700</v>
      </c>
      <c r="AE64" s="134">
        <f>SUMPRODUCT(-('Gastos Gerais'!$B$4:$B$3143=Analítico!$B64),-(Analítico!AE$3&gt;='Gastos Gerais'!$D$4:$D$3143),-(Analítico!AE$3&lt;='Gastos Gerais'!$E$4:$E$3143),-('Gastos Gerais'!$C$4:$C$3143))</f>
        <v>25700</v>
      </c>
      <c r="AF64" s="134">
        <f>SUMPRODUCT(-('Gastos Gerais'!$B$4:$B$3143=Analítico!$B64),-(Analítico!AF$3&gt;='Gastos Gerais'!$D$4:$D$3143),-(Analítico!AF$3&lt;='Gastos Gerais'!$E$4:$E$3143),-('Gastos Gerais'!$C$4:$C$3143))</f>
        <v>25700</v>
      </c>
      <c r="AG64" s="134">
        <f>SUMPRODUCT(-('Gastos Gerais'!$B$4:$B$3143=Analítico!$B64),-(Analítico!AG$3&gt;='Gastos Gerais'!$D$4:$D$3143),-(Analítico!AG$3&lt;='Gastos Gerais'!$E$4:$E$3143),-('Gastos Gerais'!$C$4:$C$3143))</f>
        <v>25700</v>
      </c>
      <c r="AH64" s="134">
        <f>SUMPRODUCT(-('Gastos Gerais'!$B$4:$B$3143=Analítico!$B64),-(Analítico!AH$3&gt;='Gastos Gerais'!$D$4:$D$3143),-(Analítico!AH$3&lt;='Gastos Gerais'!$E$4:$E$3143),-('Gastos Gerais'!$C$4:$C$3143))</f>
        <v>25700</v>
      </c>
      <c r="AI64" s="134">
        <f>SUMPRODUCT(-('Gastos Gerais'!$B$4:$B$3143=Analítico!$B64),-(Analítico!AI$3&gt;='Gastos Gerais'!$D$4:$D$3143),-(Analítico!AI$3&lt;='Gastos Gerais'!$E$4:$E$3143),-('Gastos Gerais'!$C$4:$C$3143))</f>
        <v>25700</v>
      </c>
      <c r="AJ64" s="134">
        <f>SUMPRODUCT(-('Gastos Gerais'!$B$4:$B$3143=Analítico!$B64),-(Analítico!AJ$3&gt;='Gastos Gerais'!$D$4:$D$3143),-(Analítico!AJ$3&lt;='Gastos Gerais'!$E$4:$E$3143),-('Gastos Gerais'!$C$4:$C$3143))</f>
        <v>25700</v>
      </c>
      <c r="AK64" s="134">
        <f>SUMPRODUCT(-('Gastos Gerais'!$B$4:$B$3143=Analítico!$B64),-(Analítico!AK$3&gt;='Gastos Gerais'!$D$4:$D$3143),-(Analítico!AK$3&lt;='Gastos Gerais'!$E$4:$E$3143),-('Gastos Gerais'!$C$4:$C$3143))</f>
        <v>25700</v>
      </c>
      <c r="AL64" s="134">
        <f>SUMPRODUCT(-('Gastos Gerais'!$B$4:$B$3143=Analítico!$B64),-(Analítico!AL$3&gt;='Gastos Gerais'!$D$4:$D$3143),-(Analítico!AL$3&lt;='Gastos Gerais'!$E$4:$E$3143),-('Gastos Gerais'!$C$4:$C$3143))</f>
        <v>25700</v>
      </c>
      <c r="AM64" s="134">
        <f>SUMPRODUCT(-('Gastos Gerais'!$B$4:$B$3143=Analítico!$B64),-(Analítico!AM$3&gt;='Gastos Gerais'!$D$4:$D$3143),-(Analítico!AM$3&lt;='Gastos Gerais'!$E$4:$E$3143),-('Gastos Gerais'!$C$4:$C$3143))</f>
        <v>13220</v>
      </c>
      <c r="AN64" s="134">
        <f>SUMPRODUCT(-('Gastos Gerais'!$B$4:$B$3143=Analítico!$B64),-(Analítico!AN$3&gt;='Gastos Gerais'!$D$4:$D$3143),-(Analítico!AN$3&lt;='Gastos Gerais'!$E$4:$E$3143),-('Gastos Gerais'!$C$4:$C$3143))</f>
        <v>13220</v>
      </c>
      <c r="AO64" s="134">
        <f>SUMPRODUCT(-('Gastos Gerais'!$B$4:$B$3143=Analítico!$B64),-(Analítico!AO$3&gt;='Gastos Gerais'!$D$4:$D$3143),-(Analítico!AO$3&lt;='Gastos Gerais'!$E$4:$E$3143),-('Gastos Gerais'!$C$4:$C$3143))</f>
        <v>13220</v>
      </c>
      <c r="AP64" s="134">
        <f>SUMPRODUCT(-('Gastos Gerais'!$B$4:$B$3143=Analítico!$B64),-(Analítico!AP$3&gt;='Gastos Gerais'!$D$4:$D$3143),-(Analítico!AP$3&lt;='Gastos Gerais'!$E$4:$E$3143),-('Gastos Gerais'!$C$4:$C$3143))</f>
        <v>13220</v>
      </c>
      <c r="AQ64" s="134">
        <f>SUMPRODUCT(-('Gastos Gerais'!$B$4:$B$3143=Analítico!$B64),-(Analítico!AQ$3&gt;='Gastos Gerais'!$D$4:$D$3143),-(Analítico!AQ$3&lt;='Gastos Gerais'!$E$4:$E$3143),-('Gastos Gerais'!$C$4:$C$3143))</f>
        <v>13220</v>
      </c>
      <c r="AR64" s="134">
        <f>SUMPRODUCT(-('Gastos Gerais'!$B$4:$B$3143=Analítico!$B64),-(Analítico!AR$3&gt;='Gastos Gerais'!$D$4:$D$3143),-(Analítico!AR$3&lt;='Gastos Gerais'!$E$4:$E$3143),-('Gastos Gerais'!$C$4:$C$3143))</f>
        <v>13220</v>
      </c>
      <c r="AS64" s="134">
        <f>SUMPRODUCT(-('Gastos Gerais'!$B$4:$B$3143=Analítico!$B64),-(Analítico!AS$3&gt;='Gastos Gerais'!$D$4:$D$3143),-(Analítico!AS$3&lt;='Gastos Gerais'!$E$4:$E$3143),-('Gastos Gerais'!$C$4:$C$3143))</f>
        <v>13220</v>
      </c>
      <c r="AT64" s="134">
        <f>SUMPRODUCT(-('Gastos Gerais'!$B$4:$B$3143=Analítico!$B64),-(Analítico!AT$3&gt;='Gastos Gerais'!$D$4:$D$3143),-(Analítico!AT$3&lt;='Gastos Gerais'!$E$4:$E$3143),-('Gastos Gerais'!$C$4:$C$3143))</f>
        <v>13220</v>
      </c>
      <c r="AU64" s="134">
        <f>SUMPRODUCT(-('Gastos Gerais'!$B$4:$B$3143=Analítico!$B64),-(Analítico!AU$3&gt;='Gastos Gerais'!$D$4:$D$3143),-(Analítico!AU$3&lt;='Gastos Gerais'!$E$4:$E$3143),-('Gastos Gerais'!$C$4:$C$3143))</f>
        <v>13220</v>
      </c>
      <c r="AV64" s="134">
        <f>SUMPRODUCT(-('Gastos Gerais'!$B$4:$B$3143=Analítico!$B64),-(Analítico!AV$3&gt;='Gastos Gerais'!$D$4:$D$3143),-(Analítico!AV$3&lt;='Gastos Gerais'!$E$4:$E$3143),-('Gastos Gerais'!$C$4:$C$3143))</f>
        <v>13220</v>
      </c>
      <c r="AW64" s="134">
        <f>SUMPRODUCT(-('Gastos Gerais'!$B$4:$B$3143=Analítico!$B64),-(Analítico!AW$3&gt;='Gastos Gerais'!$D$4:$D$3143),-(Analítico!AW$3&lt;='Gastos Gerais'!$E$4:$E$3143),-('Gastos Gerais'!$C$4:$C$3143))</f>
        <v>13220</v>
      </c>
      <c r="AX64" s="134">
        <f>SUMPRODUCT(-('Gastos Gerais'!$B$4:$B$3143=Analítico!$B64),-(Analítico!AX$3&gt;='Gastos Gerais'!$D$4:$D$3143),-(Analítico!AX$3&lt;='Gastos Gerais'!$E$4:$E$3143),-('Gastos Gerais'!$C$4:$C$3143))</f>
        <v>0</v>
      </c>
      <c r="AY64" s="134">
        <f>SUMPRODUCT(-('Gastos Gerais'!$B$4:$B$3143=Analítico!$B64),-(Analítico!AY$3&gt;='Gastos Gerais'!$D$4:$D$3143),-(Analítico!AY$3&lt;='Gastos Gerais'!$E$4:$E$3143),-('Gastos Gerais'!$C$4:$C$3143))</f>
        <v>0</v>
      </c>
      <c r="AZ64" s="134">
        <f>SUMPRODUCT(-('Gastos Gerais'!$B$4:$B$3143=Analítico!$B64),-(Analítico!AZ$3&gt;='Gastos Gerais'!$D$4:$D$3143),-(Analítico!AZ$3&lt;='Gastos Gerais'!$E$4:$E$3143),-('Gastos Gerais'!$C$4:$C$3143))</f>
        <v>0</v>
      </c>
      <c r="BA64" s="134">
        <f>SUMPRODUCT(-('Gastos Gerais'!$B$4:$B$3143=Analítico!$B64),-(Analítico!BA$3&gt;='Gastos Gerais'!$D$4:$D$3143),-(Analítico!BA$3&lt;='Gastos Gerais'!$E$4:$E$3143),-('Gastos Gerais'!$C$4:$C$3143))</f>
        <v>0</v>
      </c>
      <c r="BB64" s="134">
        <f>SUMPRODUCT(-('Gastos Gerais'!$B$4:$B$3143=Analítico!$B64),-(Analítico!BB$3&gt;='Gastos Gerais'!$D$4:$D$3143),-(Analítico!BB$3&lt;='Gastos Gerais'!$E$4:$E$3143),-('Gastos Gerais'!$C$4:$C$3143))</f>
        <v>0</v>
      </c>
      <c r="BC64" s="134">
        <f>SUMPRODUCT(-('Gastos Gerais'!$B$4:$B$3143=Analítico!$B64),-(Analítico!BC$3&gt;='Gastos Gerais'!$D$4:$D$3143),-(Analítico!BC$3&lt;='Gastos Gerais'!$E$4:$E$3143),-('Gastos Gerais'!$C$4:$C$3143))</f>
        <v>0</v>
      </c>
      <c r="BD64" s="134">
        <f>SUMPRODUCT(-('Gastos Gerais'!$B$4:$B$3143=Analítico!$B64),-(Analítico!BD$3&gt;='Gastos Gerais'!$D$4:$D$3143),-(Analítico!BD$3&lt;='Gastos Gerais'!$E$4:$E$3143),-('Gastos Gerais'!$C$4:$C$3143))</f>
        <v>0</v>
      </c>
      <c r="BE64" s="134">
        <f>SUMPRODUCT(-('Gastos Gerais'!$B$4:$B$3143=Analítico!$B64),-(Analítico!BE$3&gt;='Gastos Gerais'!$D$4:$D$3143),-(Analítico!BE$3&lt;='Gastos Gerais'!$E$4:$E$3143),-('Gastos Gerais'!$C$4:$C$3143))</f>
        <v>0</v>
      </c>
      <c r="BF64" s="134">
        <f>SUMPRODUCT(-('Gastos Gerais'!$B$4:$B$3143=Analítico!$B64),-(Analítico!BF$3&gt;='Gastos Gerais'!$D$4:$D$3143),-(Analítico!BF$3&lt;='Gastos Gerais'!$E$4:$E$3143),-('Gastos Gerais'!$C$4:$C$3143))</f>
        <v>0</v>
      </c>
      <c r="BG64" s="134">
        <f>SUMPRODUCT(-('Gastos Gerais'!$B$4:$B$3143=Analítico!$B64),-(Analítico!BG$3&gt;='Gastos Gerais'!$D$4:$D$3143),-(Analítico!BG$3&lt;='Gastos Gerais'!$E$4:$E$3143),-('Gastos Gerais'!$C$4:$C$3143))</f>
        <v>0</v>
      </c>
      <c r="BH64" s="134">
        <f>SUMPRODUCT(-('Gastos Gerais'!$B$4:$B$3143=Analítico!$B64),-(Analítico!BH$3&gt;='Gastos Gerais'!$D$4:$D$3143),-(Analítico!BH$3&lt;='Gastos Gerais'!$E$4:$E$3143),-('Gastos Gerais'!$C$4:$C$3143))</f>
        <v>0</v>
      </c>
      <c r="BI64" s="134">
        <f>SUMPRODUCT(-('Gastos Gerais'!$B$4:$B$3143=Analítico!$B64),-(Analítico!BI$3&gt;='Gastos Gerais'!$D$4:$D$3143),-(Analítico!BI$3&lt;='Gastos Gerais'!$E$4:$E$3143),-('Gastos Gerais'!$C$4:$C$3143))</f>
        <v>0</v>
      </c>
      <c r="BJ64" s="134">
        <f>SUMPRODUCT(-('Gastos Gerais'!$B$4:$B$3143=Analítico!$B64),-(Analítico!BJ$3&gt;='Gastos Gerais'!$D$4:$D$3143),-(Analítico!BJ$3&lt;='Gastos Gerais'!$E$4:$E$3143),-('Gastos Gerais'!$C$4:$C$3143))</f>
        <v>0</v>
      </c>
      <c r="BK64" s="189">
        <f t="shared" si="24"/>
        <v>1048320</v>
      </c>
      <c r="BL64" s="136">
        <f t="shared" ca="1" si="25"/>
        <v>3.6093637779811656E-3</v>
      </c>
    </row>
    <row r="65" spans="1:64" s="160" customFormat="1" ht="23.25" customHeight="1">
      <c r="A65" s="229" t="s">
        <v>207</v>
      </c>
      <c r="B65" s="230" t="s">
        <v>208</v>
      </c>
      <c r="C65" s="188">
        <f>SUMPRODUCT(-('Gastos Gerais'!$B$4:$B$3143=Analítico!$B65),-(Analítico!C$3&gt;='Gastos Gerais'!$D$4:$D$3143),-(Analítico!C$3&lt;='Gastos Gerais'!$E$4:$E$3143),-('Gastos Gerais'!$C$4:$C$3143))</f>
        <v>19980</v>
      </c>
      <c r="D65" s="134">
        <f>SUMPRODUCT(-('Gastos Gerais'!$B$4:$B$3143=Analítico!$B65),-(Analítico!D$3&gt;='Gastos Gerais'!$D$4:$D$3143),-(Analítico!D$3&lt;='Gastos Gerais'!$E$4:$E$3143),-('Gastos Gerais'!$C$4:$C$3143))</f>
        <v>20830</v>
      </c>
      <c r="E65" s="134">
        <f>SUMPRODUCT(-('Gastos Gerais'!$B$4:$B$3143=Analítico!$B65),-(Analítico!E$3&gt;='Gastos Gerais'!$D$4:$D$3143),-(Analítico!E$3&lt;='Gastos Gerais'!$E$4:$E$3143),-('Gastos Gerais'!$C$4:$C$3143))</f>
        <v>20830</v>
      </c>
      <c r="F65" s="134">
        <f>SUMPRODUCT(-('Gastos Gerais'!$B$4:$B$3143=Analítico!$B65),-(Analítico!F$3&gt;='Gastos Gerais'!$D$4:$D$3143),-(Analítico!F$3&lt;='Gastos Gerais'!$E$4:$E$3143),-('Gastos Gerais'!$C$4:$C$3143))</f>
        <v>21680</v>
      </c>
      <c r="G65" s="134">
        <f>SUMPRODUCT(-('Gastos Gerais'!$B$4:$B$3143=Analítico!$B65),-(Analítico!G$3&gt;='Gastos Gerais'!$D$4:$D$3143),-(Analítico!G$3&lt;='Gastos Gerais'!$E$4:$E$3143),-('Gastos Gerais'!$C$4:$C$3143))</f>
        <v>21680</v>
      </c>
      <c r="H65" s="134">
        <f>SUMPRODUCT(-('Gastos Gerais'!$B$4:$B$3143=Analítico!$B65),-(Analítico!H$3&gt;='Gastos Gerais'!$D$4:$D$3143),-(Analítico!H$3&lt;='Gastos Gerais'!$E$4:$E$3143),-('Gastos Gerais'!$C$4:$C$3143))</f>
        <v>21680</v>
      </c>
      <c r="I65" s="134">
        <f>SUMPRODUCT(-('Gastos Gerais'!$B$4:$B$3143=Analítico!$B65),-(Analítico!I$3&gt;='Gastos Gerais'!$D$4:$D$3143),-(Analítico!I$3&lt;='Gastos Gerais'!$E$4:$E$3143),-('Gastos Gerais'!$C$4:$C$3143))</f>
        <v>22530</v>
      </c>
      <c r="J65" s="134">
        <f>SUMPRODUCT(-('Gastos Gerais'!$B$4:$B$3143=Analítico!$B65),-(Analítico!J$3&gt;='Gastos Gerais'!$D$4:$D$3143),-(Analítico!J$3&lt;='Gastos Gerais'!$E$4:$E$3143),-('Gastos Gerais'!$C$4:$C$3143))</f>
        <v>22530</v>
      </c>
      <c r="K65" s="134">
        <f>SUMPRODUCT(-('Gastos Gerais'!$B$4:$B$3143=Analítico!$B65),-(Analítico!K$3&gt;='Gastos Gerais'!$D$4:$D$3143),-(Analítico!K$3&lt;='Gastos Gerais'!$E$4:$E$3143),-('Gastos Gerais'!$C$4:$C$3143))</f>
        <v>22530</v>
      </c>
      <c r="L65" s="134">
        <f>SUMPRODUCT(-('Gastos Gerais'!$B$4:$B$3143=Analítico!$B65),-(Analítico!L$3&gt;='Gastos Gerais'!$D$4:$D$3143),-(Analítico!L$3&lt;='Gastos Gerais'!$E$4:$E$3143),-('Gastos Gerais'!$C$4:$C$3143))</f>
        <v>23530</v>
      </c>
      <c r="M65" s="134">
        <f>SUMPRODUCT(-('Gastos Gerais'!$B$4:$B$3143=Analítico!$B65),-(Analítico!M$3&gt;='Gastos Gerais'!$D$4:$D$3143),-(Analítico!M$3&lt;='Gastos Gerais'!$E$4:$E$3143),-('Gastos Gerais'!$C$4:$C$3143))</f>
        <v>23530</v>
      </c>
      <c r="N65" s="134">
        <f>SUMPRODUCT(-('Gastos Gerais'!$B$4:$B$3143=Analítico!$B65),-(Analítico!N$3&gt;='Gastos Gerais'!$D$4:$D$3143),-(Analítico!N$3&lt;='Gastos Gerais'!$E$4:$E$3143),-('Gastos Gerais'!$C$4:$C$3143))</f>
        <v>23530</v>
      </c>
      <c r="O65" s="134">
        <f>SUMPRODUCT(-('Gastos Gerais'!$B$4:$B$3143=Analítico!$B65),-(Analítico!O$3&gt;='Gastos Gerais'!$D$4:$D$3143),-(Analítico!O$3&lt;='Gastos Gerais'!$E$4:$E$3143),-('Gastos Gerais'!$C$4:$C$3143))</f>
        <v>23530</v>
      </c>
      <c r="P65" s="134">
        <f>SUMPRODUCT(-('Gastos Gerais'!$B$4:$B$3143=Analítico!$B65),-(Analítico!P$3&gt;='Gastos Gerais'!$D$4:$D$3143),-(Analítico!P$3&lt;='Gastos Gerais'!$E$4:$E$3143),-('Gastos Gerais'!$C$4:$C$3143))</f>
        <v>21030</v>
      </c>
      <c r="Q65" s="134">
        <f>SUMPRODUCT(-('Gastos Gerais'!$B$4:$B$3143=Analítico!$B65),-(Analítico!Q$3&gt;='Gastos Gerais'!$D$4:$D$3143),-(Analítico!Q$3&lt;='Gastos Gerais'!$E$4:$E$3143),-('Gastos Gerais'!$C$4:$C$3143))</f>
        <v>21030</v>
      </c>
      <c r="R65" s="134">
        <f>SUMPRODUCT(-('Gastos Gerais'!$B$4:$B$3143=Analítico!$B65),-(Analítico!R$3&gt;='Gastos Gerais'!$D$4:$D$3143),-(Analítico!R$3&lt;='Gastos Gerais'!$E$4:$E$3143),-('Gastos Gerais'!$C$4:$C$3143))</f>
        <v>21030</v>
      </c>
      <c r="S65" s="134">
        <f>SUMPRODUCT(-('Gastos Gerais'!$B$4:$B$3143=Analítico!$B65),-(Analítico!S$3&gt;='Gastos Gerais'!$D$4:$D$3143),-(Analítico!S$3&lt;='Gastos Gerais'!$E$4:$E$3143),-('Gastos Gerais'!$C$4:$C$3143))</f>
        <v>21030</v>
      </c>
      <c r="T65" s="134">
        <f>SUMPRODUCT(-('Gastos Gerais'!$B$4:$B$3143=Analítico!$B65),-(Analítico!T$3&gt;='Gastos Gerais'!$D$4:$D$3143),-(Analítico!T$3&lt;='Gastos Gerais'!$E$4:$E$3143),-('Gastos Gerais'!$C$4:$C$3143))</f>
        <v>21030</v>
      </c>
      <c r="U65" s="134">
        <f>SUMPRODUCT(-('Gastos Gerais'!$B$4:$B$3143=Analítico!$B65),-(Analítico!U$3&gt;='Gastos Gerais'!$D$4:$D$3143),-(Analítico!U$3&lt;='Gastos Gerais'!$E$4:$E$3143),-('Gastos Gerais'!$C$4:$C$3143))</f>
        <v>21030</v>
      </c>
      <c r="V65" s="134">
        <f>SUMPRODUCT(-('Gastos Gerais'!$B$4:$B$3143=Analítico!$B65),-(Analítico!V$3&gt;='Gastos Gerais'!$D$4:$D$3143),-(Analítico!V$3&lt;='Gastos Gerais'!$E$4:$E$3143),-('Gastos Gerais'!$C$4:$C$3143))</f>
        <v>21030</v>
      </c>
      <c r="W65" s="134">
        <f>SUMPRODUCT(-('Gastos Gerais'!$B$4:$B$3143=Analítico!$B65),-(Analítico!W$3&gt;='Gastos Gerais'!$D$4:$D$3143),-(Analítico!W$3&lt;='Gastos Gerais'!$E$4:$E$3143),-('Gastos Gerais'!$C$4:$C$3143))</f>
        <v>21030</v>
      </c>
      <c r="X65" s="134">
        <f>SUMPRODUCT(-('Gastos Gerais'!$B$4:$B$3143=Analítico!$B65),-(Analítico!X$3&gt;='Gastos Gerais'!$D$4:$D$3143),-(Analítico!X$3&lt;='Gastos Gerais'!$E$4:$E$3143),-('Gastos Gerais'!$C$4:$C$3143))</f>
        <v>21030</v>
      </c>
      <c r="Y65" s="134">
        <f>SUMPRODUCT(-('Gastos Gerais'!$B$4:$B$3143=Analítico!$B65),-(Analítico!Y$3&gt;='Gastos Gerais'!$D$4:$D$3143),-(Analítico!Y$3&lt;='Gastos Gerais'!$E$4:$E$3143),-('Gastos Gerais'!$C$4:$C$3143))</f>
        <v>21030</v>
      </c>
      <c r="Z65" s="134">
        <f>SUMPRODUCT(-('Gastos Gerais'!$B$4:$B$3143=Analítico!$B65),-(Analítico!Z$3&gt;='Gastos Gerais'!$D$4:$D$3143),-(Analítico!Z$3&lt;='Gastos Gerais'!$E$4:$E$3143),-('Gastos Gerais'!$C$4:$C$3143))</f>
        <v>21030</v>
      </c>
      <c r="AA65" s="134">
        <f>SUMPRODUCT(-('Gastos Gerais'!$B$4:$B$3143=Analítico!$B65),-(Analítico!AA$3&gt;='Gastos Gerais'!$D$4:$D$3143),-(Analítico!AA$3&lt;='Gastos Gerais'!$E$4:$E$3143),-('Gastos Gerais'!$C$4:$C$3143))</f>
        <v>23530</v>
      </c>
      <c r="AB65" s="134">
        <f>SUMPRODUCT(-('Gastos Gerais'!$B$4:$B$3143=Analítico!$B65),-(Analítico!AB$3&gt;='Gastos Gerais'!$D$4:$D$3143),-(Analítico!AB$3&lt;='Gastos Gerais'!$E$4:$E$3143),-('Gastos Gerais'!$C$4:$C$3143))</f>
        <v>23530</v>
      </c>
      <c r="AC65" s="134">
        <f>SUMPRODUCT(-('Gastos Gerais'!$B$4:$B$3143=Analítico!$B65),-(Analítico!AC$3&gt;='Gastos Gerais'!$D$4:$D$3143),-(Analítico!AC$3&lt;='Gastos Gerais'!$E$4:$E$3143),-('Gastos Gerais'!$C$4:$C$3143))</f>
        <v>23530</v>
      </c>
      <c r="AD65" s="134">
        <f>SUMPRODUCT(-('Gastos Gerais'!$B$4:$B$3143=Analítico!$B65),-(Analítico!AD$3&gt;='Gastos Gerais'!$D$4:$D$3143),-(Analítico!AD$3&lt;='Gastos Gerais'!$E$4:$E$3143),-('Gastos Gerais'!$C$4:$C$3143))</f>
        <v>23530</v>
      </c>
      <c r="AE65" s="134">
        <f>SUMPRODUCT(-('Gastos Gerais'!$B$4:$B$3143=Analítico!$B65),-(Analítico!AE$3&gt;='Gastos Gerais'!$D$4:$D$3143),-(Analítico!AE$3&lt;='Gastos Gerais'!$E$4:$E$3143),-('Gastos Gerais'!$C$4:$C$3143))</f>
        <v>23530</v>
      </c>
      <c r="AF65" s="134">
        <f>SUMPRODUCT(-('Gastos Gerais'!$B$4:$B$3143=Analítico!$B65),-(Analítico!AF$3&gt;='Gastos Gerais'!$D$4:$D$3143),-(Analítico!AF$3&lt;='Gastos Gerais'!$E$4:$E$3143),-('Gastos Gerais'!$C$4:$C$3143))</f>
        <v>23530</v>
      </c>
      <c r="AG65" s="134">
        <f>SUMPRODUCT(-('Gastos Gerais'!$B$4:$B$3143=Analítico!$B65),-(Analítico!AG$3&gt;='Gastos Gerais'!$D$4:$D$3143),-(Analítico!AG$3&lt;='Gastos Gerais'!$E$4:$E$3143),-('Gastos Gerais'!$C$4:$C$3143))</f>
        <v>23530</v>
      </c>
      <c r="AH65" s="134">
        <f>SUMPRODUCT(-('Gastos Gerais'!$B$4:$B$3143=Analítico!$B65),-(Analítico!AH$3&gt;='Gastos Gerais'!$D$4:$D$3143),-(Analítico!AH$3&lt;='Gastos Gerais'!$E$4:$E$3143),-('Gastos Gerais'!$C$4:$C$3143))</f>
        <v>23530</v>
      </c>
      <c r="AI65" s="134">
        <f>SUMPRODUCT(-('Gastos Gerais'!$B$4:$B$3143=Analítico!$B65),-(Analítico!AI$3&gt;='Gastos Gerais'!$D$4:$D$3143),-(Analítico!AI$3&lt;='Gastos Gerais'!$E$4:$E$3143),-('Gastos Gerais'!$C$4:$C$3143))</f>
        <v>23530</v>
      </c>
      <c r="AJ65" s="134">
        <f>SUMPRODUCT(-('Gastos Gerais'!$B$4:$B$3143=Analítico!$B65),-(Analítico!AJ$3&gt;='Gastos Gerais'!$D$4:$D$3143),-(Analítico!AJ$3&lt;='Gastos Gerais'!$E$4:$E$3143),-('Gastos Gerais'!$C$4:$C$3143))</f>
        <v>23530</v>
      </c>
      <c r="AK65" s="134">
        <f>SUMPRODUCT(-('Gastos Gerais'!$B$4:$B$3143=Analítico!$B65),-(Analítico!AK$3&gt;='Gastos Gerais'!$D$4:$D$3143),-(Analítico!AK$3&lt;='Gastos Gerais'!$E$4:$E$3143),-('Gastos Gerais'!$C$4:$C$3143))</f>
        <v>23530</v>
      </c>
      <c r="AL65" s="134">
        <f>SUMPRODUCT(-('Gastos Gerais'!$B$4:$B$3143=Analítico!$B65),-(Analítico!AL$3&gt;='Gastos Gerais'!$D$4:$D$3143),-(Analítico!AL$3&lt;='Gastos Gerais'!$E$4:$E$3143),-('Gastos Gerais'!$C$4:$C$3143))</f>
        <v>23530</v>
      </c>
      <c r="AM65" s="134">
        <f>SUMPRODUCT(-('Gastos Gerais'!$B$4:$B$3143=Analítico!$B65),-(Analítico!AM$3&gt;='Gastos Gerais'!$D$4:$D$3143),-(Analítico!AM$3&lt;='Gastos Gerais'!$E$4:$E$3143),-('Gastos Gerais'!$C$4:$C$3143))</f>
        <v>12190</v>
      </c>
      <c r="AN65" s="134">
        <f>SUMPRODUCT(-('Gastos Gerais'!$B$4:$B$3143=Analítico!$B65),-(Analítico!AN$3&gt;='Gastos Gerais'!$D$4:$D$3143),-(Analítico!AN$3&lt;='Gastos Gerais'!$E$4:$E$3143),-('Gastos Gerais'!$C$4:$C$3143))</f>
        <v>12190</v>
      </c>
      <c r="AO65" s="134">
        <f>SUMPRODUCT(-('Gastos Gerais'!$B$4:$B$3143=Analítico!$B65),-(Analítico!AO$3&gt;='Gastos Gerais'!$D$4:$D$3143),-(Analítico!AO$3&lt;='Gastos Gerais'!$E$4:$E$3143),-('Gastos Gerais'!$C$4:$C$3143))</f>
        <v>12190</v>
      </c>
      <c r="AP65" s="134">
        <f>SUMPRODUCT(-('Gastos Gerais'!$B$4:$B$3143=Analítico!$B65),-(Analítico!AP$3&gt;='Gastos Gerais'!$D$4:$D$3143),-(Analítico!AP$3&lt;='Gastos Gerais'!$E$4:$E$3143),-('Gastos Gerais'!$C$4:$C$3143))</f>
        <v>12190</v>
      </c>
      <c r="AQ65" s="134">
        <f>SUMPRODUCT(-('Gastos Gerais'!$B$4:$B$3143=Analítico!$B65),-(Analítico!AQ$3&gt;='Gastos Gerais'!$D$4:$D$3143),-(Analítico!AQ$3&lt;='Gastos Gerais'!$E$4:$E$3143),-('Gastos Gerais'!$C$4:$C$3143))</f>
        <v>12190</v>
      </c>
      <c r="AR65" s="134">
        <f>SUMPRODUCT(-('Gastos Gerais'!$B$4:$B$3143=Analítico!$B65),-(Analítico!AR$3&gt;='Gastos Gerais'!$D$4:$D$3143),-(Analítico!AR$3&lt;='Gastos Gerais'!$E$4:$E$3143),-('Gastos Gerais'!$C$4:$C$3143))</f>
        <v>12190</v>
      </c>
      <c r="AS65" s="134">
        <f>SUMPRODUCT(-('Gastos Gerais'!$B$4:$B$3143=Analítico!$B65),-(Analítico!AS$3&gt;='Gastos Gerais'!$D$4:$D$3143),-(Analítico!AS$3&lt;='Gastos Gerais'!$E$4:$E$3143),-('Gastos Gerais'!$C$4:$C$3143))</f>
        <v>12190</v>
      </c>
      <c r="AT65" s="134">
        <f>SUMPRODUCT(-('Gastos Gerais'!$B$4:$B$3143=Analítico!$B65),-(Analítico!AT$3&gt;='Gastos Gerais'!$D$4:$D$3143),-(Analítico!AT$3&lt;='Gastos Gerais'!$E$4:$E$3143),-('Gastos Gerais'!$C$4:$C$3143))</f>
        <v>12190</v>
      </c>
      <c r="AU65" s="134">
        <f>SUMPRODUCT(-('Gastos Gerais'!$B$4:$B$3143=Analítico!$B65),-(Analítico!AU$3&gt;='Gastos Gerais'!$D$4:$D$3143),-(Analítico!AU$3&lt;='Gastos Gerais'!$E$4:$E$3143),-('Gastos Gerais'!$C$4:$C$3143))</f>
        <v>12190</v>
      </c>
      <c r="AV65" s="134">
        <f>SUMPRODUCT(-('Gastos Gerais'!$B$4:$B$3143=Analítico!$B65),-(Analítico!AV$3&gt;='Gastos Gerais'!$D$4:$D$3143),-(Analítico!AV$3&lt;='Gastos Gerais'!$E$4:$E$3143),-('Gastos Gerais'!$C$4:$C$3143))</f>
        <v>12190</v>
      </c>
      <c r="AW65" s="134">
        <f>SUMPRODUCT(-('Gastos Gerais'!$B$4:$B$3143=Analítico!$B65),-(Analítico!AW$3&gt;='Gastos Gerais'!$D$4:$D$3143),-(Analítico!AW$3&lt;='Gastos Gerais'!$E$4:$E$3143),-('Gastos Gerais'!$C$4:$C$3143))</f>
        <v>12190</v>
      </c>
      <c r="AX65" s="134">
        <f>SUMPRODUCT(-('Gastos Gerais'!$B$4:$B$3143=Analítico!$B65),-(Analítico!AX$3&gt;='Gastos Gerais'!$D$4:$D$3143),-(Analítico!AX$3&lt;='Gastos Gerais'!$E$4:$E$3143),-('Gastos Gerais'!$C$4:$C$3143))</f>
        <v>0</v>
      </c>
      <c r="AY65" s="134">
        <f>SUMPRODUCT(-('Gastos Gerais'!$B$4:$B$3143=Analítico!$B65),-(Analítico!AY$3&gt;='Gastos Gerais'!$D$4:$D$3143),-(Analítico!AY$3&lt;='Gastos Gerais'!$E$4:$E$3143),-('Gastos Gerais'!$C$4:$C$3143))</f>
        <v>0</v>
      </c>
      <c r="AZ65" s="134">
        <f>SUMPRODUCT(-('Gastos Gerais'!$B$4:$B$3143=Analítico!$B65),-(Analítico!AZ$3&gt;='Gastos Gerais'!$D$4:$D$3143),-(Analítico!AZ$3&lt;='Gastos Gerais'!$E$4:$E$3143),-('Gastos Gerais'!$C$4:$C$3143))</f>
        <v>0</v>
      </c>
      <c r="BA65" s="134">
        <f>SUMPRODUCT(-('Gastos Gerais'!$B$4:$B$3143=Analítico!$B65),-(Analítico!BA$3&gt;='Gastos Gerais'!$D$4:$D$3143),-(Analítico!BA$3&lt;='Gastos Gerais'!$E$4:$E$3143),-('Gastos Gerais'!$C$4:$C$3143))</f>
        <v>0</v>
      </c>
      <c r="BB65" s="134">
        <f>SUMPRODUCT(-('Gastos Gerais'!$B$4:$B$3143=Analítico!$B65),-(Analítico!BB$3&gt;='Gastos Gerais'!$D$4:$D$3143),-(Analítico!BB$3&lt;='Gastos Gerais'!$E$4:$E$3143),-('Gastos Gerais'!$C$4:$C$3143))</f>
        <v>0</v>
      </c>
      <c r="BC65" s="134">
        <f>SUMPRODUCT(-('Gastos Gerais'!$B$4:$B$3143=Analítico!$B65),-(Analítico!BC$3&gt;='Gastos Gerais'!$D$4:$D$3143),-(Analítico!BC$3&lt;='Gastos Gerais'!$E$4:$E$3143),-('Gastos Gerais'!$C$4:$C$3143))</f>
        <v>0</v>
      </c>
      <c r="BD65" s="134">
        <f>SUMPRODUCT(-('Gastos Gerais'!$B$4:$B$3143=Analítico!$B65),-(Analítico!BD$3&gt;='Gastos Gerais'!$D$4:$D$3143),-(Analítico!BD$3&lt;='Gastos Gerais'!$E$4:$E$3143),-('Gastos Gerais'!$C$4:$C$3143))</f>
        <v>0</v>
      </c>
      <c r="BE65" s="134">
        <f>SUMPRODUCT(-('Gastos Gerais'!$B$4:$B$3143=Analítico!$B65),-(Analítico!BE$3&gt;='Gastos Gerais'!$D$4:$D$3143),-(Analítico!BE$3&lt;='Gastos Gerais'!$E$4:$E$3143),-('Gastos Gerais'!$C$4:$C$3143))</f>
        <v>0</v>
      </c>
      <c r="BF65" s="134">
        <f>SUMPRODUCT(-('Gastos Gerais'!$B$4:$B$3143=Analítico!$B65),-(Analítico!BF$3&gt;='Gastos Gerais'!$D$4:$D$3143),-(Analítico!BF$3&lt;='Gastos Gerais'!$E$4:$E$3143),-('Gastos Gerais'!$C$4:$C$3143))</f>
        <v>0</v>
      </c>
      <c r="BG65" s="134">
        <f>SUMPRODUCT(-('Gastos Gerais'!$B$4:$B$3143=Analítico!$B65),-(Analítico!BG$3&gt;='Gastos Gerais'!$D$4:$D$3143),-(Analítico!BG$3&lt;='Gastos Gerais'!$E$4:$E$3143),-('Gastos Gerais'!$C$4:$C$3143))</f>
        <v>0</v>
      </c>
      <c r="BH65" s="134">
        <f>SUMPRODUCT(-('Gastos Gerais'!$B$4:$B$3143=Analítico!$B65),-(Analítico!BH$3&gt;='Gastos Gerais'!$D$4:$D$3143),-(Analítico!BH$3&lt;='Gastos Gerais'!$E$4:$E$3143),-('Gastos Gerais'!$C$4:$C$3143))</f>
        <v>0</v>
      </c>
      <c r="BI65" s="134">
        <f>SUMPRODUCT(-('Gastos Gerais'!$B$4:$B$3143=Analítico!$B65),-(Analítico!BI$3&gt;='Gastos Gerais'!$D$4:$D$3143),-(Analítico!BI$3&lt;='Gastos Gerais'!$E$4:$E$3143),-('Gastos Gerais'!$C$4:$C$3143))</f>
        <v>0</v>
      </c>
      <c r="BJ65" s="134">
        <f>SUMPRODUCT(-('Gastos Gerais'!$B$4:$B$3143=Analítico!$B65),-(Analítico!BJ$3&gt;='Gastos Gerais'!$D$4:$D$3143),-(Analítico!BJ$3&lt;='Gastos Gerais'!$E$4:$E$3143),-('Gastos Gerais'!$C$4:$C$3143))</f>
        <v>0</v>
      </c>
      <c r="BK65" s="189">
        <f t="shared" si="24"/>
        <v>936170</v>
      </c>
      <c r="BL65" s="136">
        <f t="shared" ca="1" si="25"/>
        <v>3.2232315400189137E-3</v>
      </c>
    </row>
    <row r="66" spans="1:64" s="160" customFormat="1" ht="23.25" customHeight="1">
      <c r="A66" s="229" t="s">
        <v>209</v>
      </c>
      <c r="B66" s="230" t="s">
        <v>210</v>
      </c>
      <c r="C66" s="188">
        <f>SUMPRODUCT(-('Gastos Gerais'!$B$4:$B$3143=Analítico!$B66),-(Analítico!C$3&gt;='Gastos Gerais'!$D$4:$D$3143),-(Analítico!C$3&lt;='Gastos Gerais'!$E$4:$E$3143),-('Gastos Gerais'!$C$4:$C$3143))</f>
        <v>1080</v>
      </c>
      <c r="D66" s="134">
        <f>SUMPRODUCT(-('Gastos Gerais'!$B$4:$B$3143=Analítico!$B66),-(Analítico!D$3&gt;='Gastos Gerais'!$D$4:$D$3143),-(Analítico!D$3&lt;='Gastos Gerais'!$E$4:$E$3143),-('Gastos Gerais'!$C$4:$C$3143))</f>
        <v>1140</v>
      </c>
      <c r="E66" s="134">
        <f>SUMPRODUCT(-('Gastos Gerais'!$B$4:$B$3143=Analítico!$B66),-(Analítico!E$3&gt;='Gastos Gerais'!$D$4:$D$3143),-(Analítico!E$3&lt;='Gastos Gerais'!$E$4:$E$3143),-('Gastos Gerais'!$C$4:$C$3143))</f>
        <v>1140</v>
      </c>
      <c r="F66" s="134">
        <f>SUMPRODUCT(-('Gastos Gerais'!$B$4:$B$3143=Analítico!$B66),-(Analítico!F$3&gt;='Gastos Gerais'!$D$4:$D$3143),-(Analítico!F$3&lt;='Gastos Gerais'!$E$4:$E$3143),-('Gastos Gerais'!$C$4:$C$3143))</f>
        <v>1200</v>
      </c>
      <c r="G66" s="134">
        <f>SUMPRODUCT(-('Gastos Gerais'!$B$4:$B$3143=Analítico!$B66),-(Analítico!G$3&gt;='Gastos Gerais'!$D$4:$D$3143),-(Analítico!G$3&lt;='Gastos Gerais'!$E$4:$E$3143),-('Gastos Gerais'!$C$4:$C$3143))</f>
        <v>1200</v>
      </c>
      <c r="H66" s="134">
        <f>SUMPRODUCT(-('Gastos Gerais'!$B$4:$B$3143=Analítico!$B66),-(Analítico!H$3&gt;='Gastos Gerais'!$D$4:$D$3143),-(Analítico!H$3&lt;='Gastos Gerais'!$E$4:$E$3143),-('Gastos Gerais'!$C$4:$C$3143))</f>
        <v>1200</v>
      </c>
      <c r="I66" s="134">
        <f>SUMPRODUCT(-('Gastos Gerais'!$B$4:$B$3143=Analítico!$B66),-(Analítico!I$3&gt;='Gastos Gerais'!$D$4:$D$3143),-(Analítico!I$3&lt;='Gastos Gerais'!$E$4:$E$3143),-('Gastos Gerais'!$C$4:$C$3143))</f>
        <v>1260</v>
      </c>
      <c r="J66" s="134">
        <f>SUMPRODUCT(-('Gastos Gerais'!$B$4:$B$3143=Analítico!$B66),-(Analítico!J$3&gt;='Gastos Gerais'!$D$4:$D$3143),-(Analítico!J$3&lt;='Gastos Gerais'!$E$4:$E$3143),-('Gastos Gerais'!$C$4:$C$3143))</f>
        <v>1260</v>
      </c>
      <c r="K66" s="134">
        <f>SUMPRODUCT(-('Gastos Gerais'!$B$4:$B$3143=Analítico!$B66),-(Analítico!K$3&gt;='Gastos Gerais'!$D$4:$D$3143),-(Analítico!K$3&lt;='Gastos Gerais'!$E$4:$E$3143),-('Gastos Gerais'!$C$4:$C$3143))</f>
        <v>1260</v>
      </c>
      <c r="L66" s="134">
        <f>SUMPRODUCT(-('Gastos Gerais'!$B$4:$B$3143=Analítico!$B66),-(Analítico!L$3&gt;='Gastos Gerais'!$D$4:$D$3143),-(Analítico!L$3&lt;='Gastos Gerais'!$E$4:$E$3143),-('Gastos Gerais'!$C$4:$C$3143))</f>
        <v>1320</v>
      </c>
      <c r="M66" s="134">
        <f>SUMPRODUCT(-('Gastos Gerais'!$B$4:$B$3143=Analítico!$B66),-(Analítico!M$3&gt;='Gastos Gerais'!$D$4:$D$3143),-(Analítico!M$3&lt;='Gastos Gerais'!$E$4:$E$3143),-('Gastos Gerais'!$C$4:$C$3143))</f>
        <v>1320</v>
      </c>
      <c r="N66" s="134">
        <f>SUMPRODUCT(-('Gastos Gerais'!$B$4:$B$3143=Analítico!$B66),-(Analítico!N$3&gt;='Gastos Gerais'!$D$4:$D$3143),-(Analítico!N$3&lt;='Gastos Gerais'!$E$4:$E$3143),-('Gastos Gerais'!$C$4:$C$3143))</f>
        <v>1320</v>
      </c>
      <c r="O66" s="134">
        <f>SUMPRODUCT(-('Gastos Gerais'!$B$4:$B$3143=Analítico!$B66),-(Analítico!O$3&gt;='Gastos Gerais'!$D$4:$D$3143),-(Analítico!O$3&lt;='Gastos Gerais'!$E$4:$E$3143),-('Gastos Gerais'!$C$4:$C$3143))</f>
        <v>1320</v>
      </c>
      <c r="P66" s="134">
        <f>SUMPRODUCT(-('Gastos Gerais'!$B$4:$B$3143=Analítico!$B66),-(Analítico!P$3&gt;='Gastos Gerais'!$D$4:$D$3143),-(Analítico!P$3&lt;='Gastos Gerais'!$E$4:$E$3143),-('Gastos Gerais'!$C$4:$C$3143))</f>
        <v>1260</v>
      </c>
      <c r="Q66" s="134">
        <f>SUMPRODUCT(-('Gastos Gerais'!$B$4:$B$3143=Analítico!$B66),-(Analítico!Q$3&gt;='Gastos Gerais'!$D$4:$D$3143),-(Analítico!Q$3&lt;='Gastos Gerais'!$E$4:$E$3143),-('Gastos Gerais'!$C$4:$C$3143))</f>
        <v>1260</v>
      </c>
      <c r="R66" s="134">
        <f>SUMPRODUCT(-('Gastos Gerais'!$B$4:$B$3143=Analítico!$B66),-(Analítico!R$3&gt;='Gastos Gerais'!$D$4:$D$3143),-(Analítico!R$3&lt;='Gastos Gerais'!$E$4:$E$3143),-('Gastos Gerais'!$C$4:$C$3143))</f>
        <v>1260</v>
      </c>
      <c r="S66" s="134">
        <f>SUMPRODUCT(-('Gastos Gerais'!$B$4:$B$3143=Analítico!$B66),-(Analítico!S$3&gt;='Gastos Gerais'!$D$4:$D$3143),-(Analítico!S$3&lt;='Gastos Gerais'!$E$4:$E$3143),-('Gastos Gerais'!$C$4:$C$3143))</f>
        <v>1260</v>
      </c>
      <c r="T66" s="134">
        <f>SUMPRODUCT(-('Gastos Gerais'!$B$4:$B$3143=Analítico!$B66),-(Analítico!T$3&gt;='Gastos Gerais'!$D$4:$D$3143),-(Analítico!T$3&lt;='Gastos Gerais'!$E$4:$E$3143),-('Gastos Gerais'!$C$4:$C$3143))</f>
        <v>1260</v>
      </c>
      <c r="U66" s="134">
        <f>SUMPRODUCT(-('Gastos Gerais'!$B$4:$B$3143=Analítico!$B66),-(Analítico!U$3&gt;='Gastos Gerais'!$D$4:$D$3143),-(Analítico!U$3&lt;='Gastos Gerais'!$E$4:$E$3143),-('Gastos Gerais'!$C$4:$C$3143))</f>
        <v>1260</v>
      </c>
      <c r="V66" s="134">
        <f>SUMPRODUCT(-('Gastos Gerais'!$B$4:$B$3143=Analítico!$B66),-(Analítico!V$3&gt;='Gastos Gerais'!$D$4:$D$3143),-(Analítico!V$3&lt;='Gastos Gerais'!$E$4:$E$3143),-('Gastos Gerais'!$C$4:$C$3143))</f>
        <v>1260</v>
      </c>
      <c r="W66" s="134">
        <f>SUMPRODUCT(-('Gastos Gerais'!$B$4:$B$3143=Analítico!$B66),-(Analítico!W$3&gt;='Gastos Gerais'!$D$4:$D$3143),-(Analítico!W$3&lt;='Gastos Gerais'!$E$4:$E$3143),-('Gastos Gerais'!$C$4:$C$3143))</f>
        <v>1260</v>
      </c>
      <c r="X66" s="134">
        <f>SUMPRODUCT(-('Gastos Gerais'!$B$4:$B$3143=Analítico!$B66),-(Analítico!X$3&gt;='Gastos Gerais'!$D$4:$D$3143),-(Analítico!X$3&lt;='Gastos Gerais'!$E$4:$E$3143),-('Gastos Gerais'!$C$4:$C$3143))</f>
        <v>1260</v>
      </c>
      <c r="Y66" s="134">
        <f>SUMPRODUCT(-('Gastos Gerais'!$B$4:$B$3143=Analítico!$B66),-(Analítico!Y$3&gt;='Gastos Gerais'!$D$4:$D$3143),-(Analítico!Y$3&lt;='Gastos Gerais'!$E$4:$E$3143),-('Gastos Gerais'!$C$4:$C$3143))</f>
        <v>1260</v>
      </c>
      <c r="Z66" s="134">
        <f>SUMPRODUCT(-('Gastos Gerais'!$B$4:$B$3143=Analítico!$B66),-(Analítico!Z$3&gt;='Gastos Gerais'!$D$4:$D$3143),-(Analítico!Z$3&lt;='Gastos Gerais'!$E$4:$E$3143),-('Gastos Gerais'!$C$4:$C$3143))</f>
        <v>1260</v>
      </c>
      <c r="AA66" s="134">
        <f>SUMPRODUCT(-('Gastos Gerais'!$B$4:$B$3143=Analítico!$B66),-(Analítico!AA$3&gt;='Gastos Gerais'!$D$4:$D$3143),-(Analítico!AA$3&lt;='Gastos Gerais'!$E$4:$E$3143),-('Gastos Gerais'!$C$4:$C$3143))</f>
        <v>1320</v>
      </c>
      <c r="AB66" s="134">
        <f>SUMPRODUCT(-('Gastos Gerais'!$B$4:$B$3143=Analítico!$B66),-(Analítico!AB$3&gt;='Gastos Gerais'!$D$4:$D$3143),-(Analítico!AB$3&lt;='Gastos Gerais'!$E$4:$E$3143),-('Gastos Gerais'!$C$4:$C$3143))</f>
        <v>1320</v>
      </c>
      <c r="AC66" s="134">
        <f>SUMPRODUCT(-('Gastos Gerais'!$B$4:$B$3143=Analítico!$B66),-(Analítico!AC$3&gt;='Gastos Gerais'!$D$4:$D$3143),-(Analítico!AC$3&lt;='Gastos Gerais'!$E$4:$E$3143),-('Gastos Gerais'!$C$4:$C$3143))</f>
        <v>1320</v>
      </c>
      <c r="AD66" s="134">
        <f>SUMPRODUCT(-('Gastos Gerais'!$B$4:$B$3143=Analítico!$B66),-(Analítico!AD$3&gt;='Gastos Gerais'!$D$4:$D$3143),-(Analítico!AD$3&lt;='Gastos Gerais'!$E$4:$E$3143),-('Gastos Gerais'!$C$4:$C$3143))</f>
        <v>1320</v>
      </c>
      <c r="AE66" s="134">
        <f>SUMPRODUCT(-('Gastos Gerais'!$B$4:$B$3143=Analítico!$B66),-(Analítico!AE$3&gt;='Gastos Gerais'!$D$4:$D$3143),-(Analítico!AE$3&lt;='Gastos Gerais'!$E$4:$E$3143),-('Gastos Gerais'!$C$4:$C$3143))</f>
        <v>1320</v>
      </c>
      <c r="AF66" s="134">
        <f>SUMPRODUCT(-('Gastos Gerais'!$B$4:$B$3143=Analítico!$B66),-(Analítico!AF$3&gt;='Gastos Gerais'!$D$4:$D$3143),-(Analítico!AF$3&lt;='Gastos Gerais'!$E$4:$E$3143),-('Gastos Gerais'!$C$4:$C$3143))</f>
        <v>1320</v>
      </c>
      <c r="AG66" s="134">
        <f>SUMPRODUCT(-('Gastos Gerais'!$B$4:$B$3143=Analítico!$B66),-(Analítico!AG$3&gt;='Gastos Gerais'!$D$4:$D$3143),-(Analítico!AG$3&lt;='Gastos Gerais'!$E$4:$E$3143),-('Gastos Gerais'!$C$4:$C$3143))</f>
        <v>1320</v>
      </c>
      <c r="AH66" s="134">
        <f>SUMPRODUCT(-('Gastos Gerais'!$B$4:$B$3143=Analítico!$B66),-(Analítico!AH$3&gt;='Gastos Gerais'!$D$4:$D$3143),-(Analítico!AH$3&lt;='Gastos Gerais'!$E$4:$E$3143),-('Gastos Gerais'!$C$4:$C$3143))</f>
        <v>1320</v>
      </c>
      <c r="AI66" s="134">
        <f>SUMPRODUCT(-('Gastos Gerais'!$B$4:$B$3143=Analítico!$B66),-(Analítico!AI$3&gt;='Gastos Gerais'!$D$4:$D$3143),-(Analítico!AI$3&lt;='Gastos Gerais'!$E$4:$E$3143),-('Gastos Gerais'!$C$4:$C$3143))</f>
        <v>1320</v>
      </c>
      <c r="AJ66" s="134">
        <f>SUMPRODUCT(-('Gastos Gerais'!$B$4:$B$3143=Analítico!$B66),-(Analítico!AJ$3&gt;='Gastos Gerais'!$D$4:$D$3143),-(Analítico!AJ$3&lt;='Gastos Gerais'!$E$4:$E$3143),-('Gastos Gerais'!$C$4:$C$3143))</f>
        <v>1320</v>
      </c>
      <c r="AK66" s="134">
        <f>SUMPRODUCT(-('Gastos Gerais'!$B$4:$B$3143=Analítico!$B66),-(Analítico!AK$3&gt;='Gastos Gerais'!$D$4:$D$3143),-(Analítico!AK$3&lt;='Gastos Gerais'!$E$4:$E$3143),-('Gastos Gerais'!$C$4:$C$3143))</f>
        <v>1320</v>
      </c>
      <c r="AL66" s="134">
        <f>SUMPRODUCT(-('Gastos Gerais'!$B$4:$B$3143=Analítico!$B66),-(Analítico!AL$3&gt;='Gastos Gerais'!$D$4:$D$3143),-(Analítico!AL$3&lt;='Gastos Gerais'!$E$4:$E$3143),-('Gastos Gerais'!$C$4:$C$3143))</f>
        <v>1320</v>
      </c>
      <c r="AM66" s="134">
        <f>SUMPRODUCT(-('Gastos Gerais'!$B$4:$B$3143=Analítico!$B66),-(Analítico!AM$3&gt;='Gastos Gerais'!$D$4:$D$3143),-(Analítico!AM$3&lt;='Gastos Gerais'!$E$4:$E$3143),-('Gastos Gerais'!$C$4:$C$3143))</f>
        <v>1078</v>
      </c>
      <c r="AN66" s="134">
        <f>SUMPRODUCT(-('Gastos Gerais'!$B$4:$B$3143=Analítico!$B66),-(Analítico!AN$3&gt;='Gastos Gerais'!$D$4:$D$3143),-(Analítico!AN$3&lt;='Gastos Gerais'!$E$4:$E$3143),-('Gastos Gerais'!$C$4:$C$3143))</f>
        <v>1078</v>
      </c>
      <c r="AO66" s="134">
        <f>SUMPRODUCT(-('Gastos Gerais'!$B$4:$B$3143=Analítico!$B66),-(Analítico!AO$3&gt;='Gastos Gerais'!$D$4:$D$3143),-(Analítico!AO$3&lt;='Gastos Gerais'!$E$4:$E$3143),-('Gastos Gerais'!$C$4:$C$3143))</f>
        <v>1078</v>
      </c>
      <c r="AP66" s="134">
        <f>SUMPRODUCT(-('Gastos Gerais'!$B$4:$B$3143=Analítico!$B66),-(Analítico!AP$3&gt;='Gastos Gerais'!$D$4:$D$3143),-(Analítico!AP$3&lt;='Gastos Gerais'!$E$4:$E$3143),-('Gastos Gerais'!$C$4:$C$3143))</f>
        <v>1078</v>
      </c>
      <c r="AQ66" s="134">
        <f>SUMPRODUCT(-('Gastos Gerais'!$B$4:$B$3143=Analítico!$B66),-(Analítico!AQ$3&gt;='Gastos Gerais'!$D$4:$D$3143),-(Analítico!AQ$3&lt;='Gastos Gerais'!$E$4:$E$3143),-('Gastos Gerais'!$C$4:$C$3143))</f>
        <v>1078</v>
      </c>
      <c r="AR66" s="134">
        <f>SUMPRODUCT(-('Gastos Gerais'!$B$4:$B$3143=Analítico!$B66),-(Analítico!AR$3&gt;='Gastos Gerais'!$D$4:$D$3143),-(Analítico!AR$3&lt;='Gastos Gerais'!$E$4:$E$3143),-('Gastos Gerais'!$C$4:$C$3143))</f>
        <v>1078</v>
      </c>
      <c r="AS66" s="134">
        <f>SUMPRODUCT(-('Gastos Gerais'!$B$4:$B$3143=Analítico!$B66),-(Analítico!AS$3&gt;='Gastos Gerais'!$D$4:$D$3143),-(Analítico!AS$3&lt;='Gastos Gerais'!$E$4:$E$3143),-('Gastos Gerais'!$C$4:$C$3143))</f>
        <v>1078</v>
      </c>
      <c r="AT66" s="134">
        <f>SUMPRODUCT(-('Gastos Gerais'!$B$4:$B$3143=Analítico!$B66),-(Analítico!AT$3&gt;='Gastos Gerais'!$D$4:$D$3143),-(Analítico!AT$3&lt;='Gastos Gerais'!$E$4:$E$3143),-('Gastos Gerais'!$C$4:$C$3143))</f>
        <v>1078</v>
      </c>
      <c r="AU66" s="134">
        <f>SUMPRODUCT(-('Gastos Gerais'!$B$4:$B$3143=Analítico!$B66),-(Analítico!AU$3&gt;='Gastos Gerais'!$D$4:$D$3143),-(Analítico!AU$3&lt;='Gastos Gerais'!$E$4:$E$3143),-('Gastos Gerais'!$C$4:$C$3143))</f>
        <v>1078</v>
      </c>
      <c r="AV66" s="134">
        <f>SUMPRODUCT(-('Gastos Gerais'!$B$4:$B$3143=Analítico!$B66),-(Analítico!AV$3&gt;='Gastos Gerais'!$D$4:$D$3143),-(Analítico!AV$3&lt;='Gastos Gerais'!$E$4:$E$3143),-('Gastos Gerais'!$C$4:$C$3143))</f>
        <v>1078</v>
      </c>
      <c r="AW66" s="134">
        <f>SUMPRODUCT(-('Gastos Gerais'!$B$4:$B$3143=Analítico!$B66),-(Analítico!AW$3&gt;='Gastos Gerais'!$D$4:$D$3143),-(Analítico!AW$3&lt;='Gastos Gerais'!$E$4:$E$3143),-('Gastos Gerais'!$C$4:$C$3143))</f>
        <v>1078</v>
      </c>
      <c r="AX66" s="134">
        <f>SUMPRODUCT(-('Gastos Gerais'!$B$4:$B$3143=Analítico!$B66),-(Analítico!AX$3&gt;='Gastos Gerais'!$D$4:$D$3143),-(Analítico!AX$3&lt;='Gastos Gerais'!$E$4:$E$3143),-('Gastos Gerais'!$C$4:$C$3143))</f>
        <v>0</v>
      </c>
      <c r="AY66" s="134">
        <f>SUMPRODUCT(-('Gastos Gerais'!$B$4:$B$3143=Analítico!$B66),-(Analítico!AY$3&gt;='Gastos Gerais'!$D$4:$D$3143),-(Analítico!AY$3&lt;='Gastos Gerais'!$E$4:$E$3143),-('Gastos Gerais'!$C$4:$C$3143))</f>
        <v>0</v>
      </c>
      <c r="AZ66" s="134">
        <f>SUMPRODUCT(-('Gastos Gerais'!$B$4:$B$3143=Analítico!$B66),-(Analítico!AZ$3&gt;='Gastos Gerais'!$D$4:$D$3143),-(Analítico!AZ$3&lt;='Gastos Gerais'!$E$4:$E$3143),-('Gastos Gerais'!$C$4:$C$3143))</f>
        <v>0</v>
      </c>
      <c r="BA66" s="134">
        <f>SUMPRODUCT(-('Gastos Gerais'!$B$4:$B$3143=Analítico!$B66),-(Analítico!BA$3&gt;='Gastos Gerais'!$D$4:$D$3143),-(Analítico!BA$3&lt;='Gastos Gerais'!$E$4:$E$3143),-('Gastos Gerais'!$C$4:$C$3143))</f>
        <v>0</v>
      </c>
      <c r="BB66" s="134">
        <f>SUMPRODUCT(-('Gastos Gerais'!$B$4:$B$3143=Analítico!$B66),-(Analítico!BB$3&gt;='Gastos Gerais'!$D$4:$D$3143),-(Analítico!BB$3&lt;='Gastos Gerais'!$E$4:$E$3143),-('Gastos Gerais'!$C$4:$C$3143))</f>
        <v>0</v>
      </c>
      <c r="BC66" s="134">
        <f>SUMPRODUCT(-('Gastos Gerais'!$B$4:$B$3143=Analítico!$B66),-(Analítico!BC$3&gt;='Gastos Gerais'!$D$4:$D$3143),-(Analítico!BC$3&lt;='Gastos Gerais'!$E$4:$E$3143),-('Gastos Gerais'!$C$4:$C$3143))</f>
        <v>0</v>
      </c>
      <c r="BD66" s="134">
        <f>SUMPRODUCT(-('Gastos Gerais'!$B$4:$B$3143=Analítico!$B66),-(Analítico!BD$3&gt;='Gastos Gerais'!$D$4:$D$3143),-(Analítico!BD$3&lt;='Gastos Gerais'!$E$4:$E$3143),-('Gastos Gerais'!$C$4:$C$3143))</f>
        <v>0</v>
      </c>
      <c r="BE66" s="134">
        <f>SUMPRODUCT(-('Gastos Gerais'!$B$4:$B$3143=Analítico!$B66),-(Analítico!BE$3&gt;='Gastos Gerais'!$D$4:$D$3143),-(Analítico!BE$3&lt;='Gastos Gerais'!$E$4:$E$3143),-('Gastos Gerais'!$C$4:$C$3143))</f>
        <v>0</v>
      </c>
      <c r="BF66" s="134">
        <f>SUMPRODUCT(-('Gastos Gerais'!$B$4:$B$3143=Analítico!$B66),-(Analítico!BF$3&gt;='Gastos Gerais'!$D$4:$D$3143),-(Analítico!BF$3&lt;='Gastos Gerais'!$E$4:$E$3143),-('Gastos Gerais'!$C$4:$C$3143))</f>
        <v>0</v>
      </c>
      <c r="BG66" s="134">
        <f>SUMPRODUCT(-('Gastos Gerais'!$B$4:$B$3143=Analítico!$B66),-(Analítico!BG$3&gt;='Gastos Gerais'!$D$4:$D$3143),-(Analítico!BG$3&lt;='Gastos Gerais'!$E$4:$E$3143),-('Gastos Gerais'!$C$4:$C$3143))</f>
        <v>0</v>
      </c>
      <c r="BH66" s="134">
        <f>SUMPRODUCT(-('Gastos Gerais'!$B$4:$B$3143=Analítico!$B66),-(Analítico!BH$3&gt;='Gastos Gerais'!$D$4:$D$3143),-(Analítico!BH$3&lt;='Gastos Gerais'!$E$4:$E$3143),-('Gastos Gerais'!$C$4:$C$3143))</f>
        <v>0</v>
      </c>
      <c r="BI66" s="134">
        <f>SUMPRODUCT(-('Gastos Gerais'!$B$4:$B$3143=Analítico!$B66),-(Analítico!BI$3&gt;='Gastos Gerais'!$D$4:$D$3143),-(Analítico!BI$3&lt;='Gastos Gerais'!$E$4:$E$3143),-('Gastos Gerais'!$C$4:$C$3143))</f>
        <v>0</v>
      </c>
      <c r="BJ66" s="134">
        <f>SUMPRODUCT(-('Gastos Gerais'!$B$4:$B$3143=Analítico!$B66),-(Analítico!BJ$3&gt;='Gastos Gerais'!$D$4:$D$3143),-(Analítico!BJ$3&lt;='Gastos Gerais'!$E$4:$E$3143),-('Gastos Gerais'!$C$4:$C$3143))</f>
        <v>0</v>
      </c>
      <c r="BK66" s="189">
        <f t="shared" si="24"/>
        <v>57578</v>
      </c>
      <c r="BL66" s="136">
        <f t="shared" ca="1" si="25"/>
        <v>1.9824094513946081E-4</v>
      </c>
    </row>
    <row r="67" spans="1:64" s="160" customFormat="1" ht="23.25" customHeight="1">
      <c r="A67" s="229" t="s">
        <v>211</v>
      </c>
      <c r="B67" s="230" t="s">
        <v>212</v>
      </c>
      <c r="C67" s="188">
        <f>SUMPRODUCT(-('Gastos Gerais'!$B$4:$B$3143=Analítico!$B67),-(Analítico!C$3&gt;='Gastos Gerais'!$D$4:$D$3143),-(Analítico!C$3&lt;='Gastos Gerais'!$E$4:$E$3143),-('Gastos Gerais'!$C$4:$C$3143))</f>
        <v>4919.01</v>
      </c>
      <c r="D67" s="134">
        <f>SUMPRODUCT(-('Gastos Gerais'!$B$4:$B$3143=Analítico!$B67),-(Analítico!D$3&gt;='Gastos Gerais'!$D$4:$D$3143),-(Analítico!D$3&lt;='Gastos Gerais'!$E$4:$E$3143),-('Gastos Gerais'!$C$4:$C$3143))</f>
        <v>5179.01</v>
      </c>
      <c r="E67" s="134">
        <f>SUMPRODUCT(-('Gastos Gerais'!$B$4:$B$3143=Analítico!$B67),-(Analítico!E$3&gt;='Gastos Gerais'!$D$4:$D$3143),-(Analítico!E$3&lt;='Gastos Gerais'!$E$4:$E$3143),-('Gastos Gerais'!$C$4:$C$3143))</f>
        <v>5179.01</v>
      </c>
      <c r="F67" s="134">
        <f>SUMPRODUCT(-('Gastos Gerais'!$B$4:$B$3143=Analítico!$B67),-(Analítico!F$3&gt;='Gastos Gerais'!$D$4:$D$3143),-(Analítico!F$3&lt;='Gastos Gerais'!$E$4:$E$3143),-('Gastos Gerais'!$C$4:$C$3143))</f>
        <v>5439.01</v>
      </c>
      <c r="G67" s="134">
        <f>SUMPRODUCT(-('Gastos Gerais'!$B$4:$B$3143=Analítico!$B67),-(Analítico!G$3&gt;='Gastos Gerais'!$D$4:$D$3143),-(Analítico!G$3&lt;='Gastos Gerais'!$E$4:$E$3143),-('Gastos Gerais'!$C$4:$C$3143))</f>
        <v>5439.01</v>
      </c>
      <c r="H67" s="134">
        <f>SUMPRODUCT(-('Gastos Gerais'!$B$4:$B$3143=Analítico!$B67),-(Analítico!H$3&gt;='Gastos Gerais'!$D$4:$D$3143),-(Analítico!H$3&lt;='Gastos Gerais'!$E$4:$E$3143),-('Gastos Gerais'!$C$4:$C$3143))</f>
        <v>5439.01</v>
      </c>
      <c r="I67" s="134">
        <f>SUMPRODUCT(-('Gastos Gerais'!$B$4:$B$3143=Analítico!$B67),-(Analítico!I$3&gt;='Gastos Gerais'!$D$4:$D$3143),-(Analítico!I$3&lt;='Gastos Gerais'!$E$4:$E$3143),-('Gastos Gerais'!$C$4:$C$3143))</f>
        <v>5699.01</v>
      </c>
      <c r="J67" s="134">
        <f>SUMPRODUCT(-('Gastos Gerais'!$B$4:$B$3143=Analítico!$B67),-(Analítico!J$3&gt;='Gastos Gerais'!$D$4:$D$3143),-(Analítico!J$3&lt;='Gastos Gerais'!$E$4:$E$3143),-('Gastos Gerais'!$C$4:$C$3143))</f>
        <v>5699.01</v>
      </c>
      <c r="K67" s="134">
        <f>SUMPRODUCT(-('Gastos Gerais'!$B$4:$B$3143=Analítico!$B67),-(Analítico!K$3&gt;='Gastos Gerais'!$D$4:$D$3143),-(Analítico!K$3&lt;='Gastos Gerais'!$E$4:$E$3143),-('Gastos Gerais'!$C$4:$C$3143))</f>
        <v>5699.01</v>
      </c>
      <c r="L67" s="134">
        <f>SUMPRODUCT(-('Gastos Gerais'!$B$4:$B$3143=Analítico!$B67),-(Analítico!L$3&gt;='Gastos Gerais'!$D$4:$D$3143),-(Analítico!L$3&lt;='Gastos Gerais'!$E$4:$E$3143),-('Gastos Gerais'!$C$4:$C$3143))</f>
        <v>5959.01</v>
      </c>
      <c r="M67" s="134">
        <f>SUMPRODUCT(-('Gastos Gerais'!$B$4:$B$3143=Analítico!$B67),-(Analítico!M$3&gt;='Gastos Gerais'!$D$4:$D$3143),-(Analítico!M$3&lt;='Gastos Gerais'!$E$4:$E$3143),-('Gastos Gerais'!$C$4:$C$3143))</f>
        <v>5959.01</v>
      </c>
      <c r="N67" s="134">
        <f>SUMPRODUCT(-('Gastos Gerais'!$B$4:$B$3143=Analítico!$B67),-(Analítico!N$3&gt;='Gastos Gerais'!$D$4:$D$3143),-(Analítico!N$3&lt;='Gastos Gerais'!$E$4:$E$3143),-('Gastos Gerais'!$C$4:$C$3143))</f>
        <v>5959.01</v>
      </c>
      <c r="O67" s="134">
        <f>SUMPRODUCT(-('Gastos Gerais'!$B$4:$B$3143=Analítico!$B67),-(Analítico!O$3&gt;='Gastos Gerais'!$D$4:$D$3143),-(Analítico!O$3&lt;='Gastos Gerais'!$E$4:$E$3143),-('Gastos Gerais'!$C$4:$C$3143))</f>
        <v>5988.15</v>
      </c>
      <c r="P67" s="134">
        <f>SUMPRODUCT(-('Gastos Gerais'!$B$4:$B$3143=Analítico!$B67),-(Analítico!P$3&gt;='Gastos Gerais'!$D$4:$D$3143),-(Analítico!P$3&lt;='Gastos Gerais'!$E$4:$E$3143),-('Gastos Gerais'!$C$4:$C$3143))</f>
        <v>5728.15</v>
      </c>
      <c r="Q67" s="134">
        <f>SUMPRODUCT(-('Gastos Gerais'!$B$4:$B$3143=Analítico!$B67),-(Analítico!Q$3&gt;='Gastos Gerais'!$D$4:$D$3143),-(Analítico!Q$3&lt;='Gastos Gerais'!$E$4:$E$3143),-('Gastos Gerais'!$C$4:$C$3143))</f>
        <v>5728.15</v>
      </c>
      <c r="R67" s="134">
        <f>SUMPRODUCT(-('Gastos Gerais'!$B$4:$B$3143=Analítico!$B67),-(Analítico!R$3&gt;='Gastos Gerais'!$D$4:$D$3143),-(Analítico!R$3&lt;='Gastos Gerais'!$E$4:$E$3143),-('Gastos Gerais'!$C$4:$C$3143))</f>
        <v>5728.15</v>
      </c>
      <c r="S67" s="134">
        <f>SUMPRODUCT(-('Gastos Gerais'!$B$4:$B$3143=Analítico!$B67),-(Analítico!S$3&gt;='Gastos Gerais'!$D$4:$D$3143),-(Analítico!S$3&lt;='Gastos Gerais'!$E$4:$E$3143),-('Gastos Gerais'!$C$4:$C$3143))</f>
        <v>5728.15</v>
      </c>
      <c r="T67" s="134">
        <f>SUMPRODUCT(-('Gastos Gerais'!$B$4:$B$3143=Analítico!$B67),-(Analítico!T$3&gt;='Gastos Gerais'!$D$4:$D$3143),-(Analítico!T$3&lt;='Gastos Gerais'!$E$4:$E$3143),-('Gastos Gerais'!$C$4:$C$3143))</f>
        <v>5728.15</v>
      </c>
      <c r="U67" s="134">
        <f>SUMPRODUCT(-('Gastos Gerais'!$B$4:$B$3143=Analítico!$B67),-(Analítico!U$3&gt;='Gastos Gerais'!$D$4:$D$3143),-(Analítico!U$3&lt;='Gastos Gerais'!$E$4:$E$3143),-('Gastos Gerais'!$C$4:$C$3143))</f>
        <v>5728.15</v>
      </c>
      <c r="V67" s="134">
        <f>SUMPRODUCT(-('Gastos Gerais'!$B$4:$B$3143=Analítico!$B67),-(Analítico!V$3&gt;='Gastos Gerais'!$D$4:$D$3143),-(Analítico!V$3&lt;='Gastos Gerais'!$E$4:$E$3143),-('Gastos Gerais'!$C$4:$C$3143))</f>
        <v>5728.15</v>
      </c>
      <c r="W67" s="134">
        <f>SUMPRODUCT(-('Gastos Gerais'!$B$4:$B$3143=Analítico!$B67),-(Analítico!W$3&gt;='Gastos Gerais'!$D$4:$D$3143),-(Analítico!W$3&lt;='Gastos Gerais'!$E$4:$E$3143),-('Gastos Gerais'!$C$4:$C$3143))</f>
        <v>5728.15</v>
      </c>
      <c r="X67" s="134">
        <f>SUMPRODUCT(-('Gastos Gerais'!$B$4:$B$3143=Analítico!$B67),-(Analítico!X$3&gt;='Gastos Gerais'!$D$4:$D$3143),-(Analítico!X$3&lt;='Gastos Gerais'!$E$4:$E$3143),-('Gastos Gerais'!$C$4:$C$3143))</f>
        <v>5728.15</v>
      </c>
      <c r="Y67" s="134">
        <f>SUMPRODUCT(-('Gastos Gerais'!$B$4:$B$3143=Analítico!$B67),-(Analítico!Y$3&gt;='Gastos Gerais'!$D$4:$D$3143),-(Analítico!Y$3&lt;='Gastos Gerais'!$E$4:$E$3143),-('Gastos Gerais'!$C$4:$C$3143))</f>
        <v>5728.15</v>
      </c>
      <c r="Z67" s="134">
        <f>SUMPRODUCT(-('Gastos Gerais'!$B$4:$B$3143=Analítico!$B67),-(Analítico!Z$3&gt;='Gastos Gerais'!$D$4:$D$3143),-(Analítico!Z$3&lt;='Gastos Gerais'!$E$4:$E$3143),-('Gastos Gerais'!$C$4:$C$3143))</f>
        <v>5728.15</v>
      </c>
      <c r="AA67" s="134">
        <f>SUMPRODUCT(-('Gastos Gerais'!$B$4:$B$3143=Analítico!$B67),-(Analítico!AA$3&gt;='Gastos Gerais'!$D$4:$D$3143),-(Analítico!AA$3&lt;='Gastos Gerais'!$E$4:$E$3143),-('Gastos Gerais'!$C$4:$C$3143))</f>
        <v>6019</v>
      </c>
      <c r="AB67" s="134">
        <f>SUMPRODUCT(-('Gastos Gerais'!$B$4:$B$3143=Analítico!$B67),-(Analítico!AB$3&gt;='Gastos Gerais'!$D$4:$D$3143),-(Analítico!AB$3&lt;='Gastos Gerais'!$E$4:$E$3143),-('Gastos Gerais'!$C$4:$C$3143))</f>
        <v>6019</v>
      </c>
      <c r="AC67" s="134">
        <f>SUMPRODUCT(-('Gastos Gerais'!$B$4:$B$3143=Analítico!$B67),-(Analítico!AC$3&gt;='Gastos Gerais'!$D$4:$D$3143),-(Analítico!AC$3&lt;='Gastos Gerais'!$E$4:$E$3143),-('Gastos Gerais'!$C$4:$C$3143))</f>
        <v>6019</v>
      </c>
      <c r="AD67" s="134">
        <f>SUMPRODUCT(-('Gastos Gerais'!$B$4:$B$3143=Analítico!$B67),-(Analítico!AD$3&gt;='Gastos Gerais'!$D$4:$D$3143),-(Analítico!AD$3&lt;='Gastos Gerais'!$E$4:$E$3143),-('Gastos Gerais'!$C$4:$C$3143))</f>
        <v>6019</v>
      </c>
      <c r="AE67" s="134">
        <f>SUMPRODUCT(-('Gastos Gerais'!$B$4:$B$3143=Analítico!$B67),-(Analítico!AE$3&gt;='Gastos Gerais'!$D$4:$D$3143),-(Analítico!AE$3&lt;='Gastos Gerais'!$E$4:$E$3143),-('Gastos Gerais'!$C$4:$C$3143))</f>
        <v>6019</v>
      </c>
      <c r="AF67" s="134">
        <f>SUMPRODUCT(-('Gastos Gerais'!$B$4:$B$3143=Analítico!$B67),-(Analítico!AF$3&gt;='Gastos Gerais'!$D$4:$D$3143),-(Analítico!AF$3&lt;='Gastos Gerais'!$E$4:$E$3143),-('Gastos Gerais'!$C$4:$C$3143))</f>
        <v>6019</v>
      </c>
      <c r="AG67" s="134">
        <f>SUMPRODUCT(-('Gastos Gerais'!$B$4:$B$3143=Analítico!$B67),-(Analítico!AG$3&gt;='Gastos Gerais'!$D$4:$D$3143),-(Analítico!AG$3&lt;='Gastos Gerais'!$E$4:$E$3143),-('Gastos Gerais'!$C$4:$C$3143))</f>
        <v>6019</v>
      </c>
      <c r="AH67" s="134">
        <f>SUMPRODUCT(-('Gastos Gerais'!$B$4:$B$3143=Analítico!$B67),-(Analítico!AH$3&gt;='Gastos Gerais'!$D$4:$D$3143),-(Analítico!AH$3&lt;='Gastos Gerais'!$E$4:$E$3143),-('Gastos Gerais'!$C$4:$C$3143))</f>
        <v>6019</v>
      </c>
      <c r="AI67" s="134">
        <f>SUMPRODUCT(-('Gastos Gerais'!$B$4:$B$3143=Analítico!$B67),-(Analítico!AI$3&gt;='Gastos Gerais'!$D$4:$D$3143),-(Analítico!AI$3&lt;='Gastos Gerais'!$E$4:$E$3143),-('Gastos Gerais'!$C$4:$C$3143))</f>
        <v>6019</v>
      </c>
      <c r="AJ67" s="134">
        <f>SUMPRODUCT(-('Gastos Gerais'!$B$4:$B$3143=Analítico!$B67),-(Analítico!AJ$3&gt;='Gastos Gerais'!$D$4:$D$3143),-(Analítico!AJ$3&lt;='Gastos Gerais'!$E$4:$E$3143),-('Gastos Gerais'!$C$4:$C$3143))</f>
        <v>6019</v>
      </c>
      <c r="AK67" s="134">
        <f>SUMPRODUCT(-('Gastos Gerais'!$B$4:$B$3143=Analítico!$B67),-(Analítico!AK$3&gt;='Gastos Gerais'!$D$4:$D$3143),-(Analítico!AK$3&lt;='Gastos Gerais'!$E$4:$E$3143),-('Gastos Gerais'!$C$4:$C$3143))</f>
        <v>6019</v>
      </c>
      <c r="AL67" s="134">
        <f>SUMPRODUCT(-('Gastos Gerais'!$B$4:$B$3143=Analítico!$B67),-(Analítico!AL$3&gt;='Gastos Gerais'!$D$4:$D$3143),-(Analítico!AL$3&lt;='Gastos Gerais'!$E$4:$E$3143),-('Gastos Gerais'!$C$4:$C$3143))</f>
        <v>6019</v>
      </c>
      <c r="AM67" s="134">
        <f>SUMPRODUCT(-('Gastos Gerais'!$B$4:$B$3143=Analítico!$B67),-(Analítico!AM$3&gt;='Gastos Gerais'!$D$4:$D$3143),-(Analítico!AM$3&lt;='Gastos Gerais'!$E$4:$E$3143),-('Gastos Gerais'!$C$4:$C$3143))</f>
        <v>5211.6400000000003</v>
      </c>
      <c r="AN67" s="134">
        <f>SUMPRODUCT(-('Gastos Gerais'!$B$4:$B$3143=Analítico!$B67),-(Analítico!AN$3&gt;='Gastos Gerais'!$D$4:$D$3143),-(Analítico!AN$3&lt;='Gastos Gerais'!$E$4:$E$3143),-('Gastos Gerais'!$C$4:$C$3143))</f>
        <v>5211.6400000000003</v>
      </c>
      <c r="AO67" s="134">
        <f>SUMPRODUCT(-('Gastos Gerais'!$B$4:$B$3143=Analítico!$B67),-(Analítico!AO$3&gt;='Gastos Gerais'!$D$4:$D$3143),-(Analítico!AO$3&lt;='Gastos Gerais'!$E$4:$E$3143),-('Gastos Gerais'!$C$4:$C$3143))</f>
        <v>5211.6400000000003</v>
      </c>
      <c r="AP67" s="134">
        <f>SUMPRODUCT(-('Gastos Gerais'!$B$4:$B$3143=Analítico!$B67),-(Analítico!AP$3&gt;='Gastos Gerais'!$D$4:$D$3143),-(Analítico!AP$3&lt;='Gastos Gerais'!$E$4:$E$3143),-('Gastos Gerais'!$C$4:$C$3143))</f>
        <v>5211.6400000000003</v>
      </c>
      <c r="AQ67" s="134">
        <f>SUMPRODUCT(-('Gastos Gerais'!$B$4:$B$3143=Analítico!$B67),-(Analítico!AQ$3&gt;='Gastos Gerais'!$D$4:$D$3143),-(Analítico!AQ$3&lt;='Gastos Gerais'!$E$4:$E$3143),-('Gastos Gerais'!$C$4:$C$3143))</f>
        <v>5211.6400000000003</v>
      </c>
      <c r="AR67" s="134">
        <f>SUMPRODUCT(-('Gastos Gerais'!$B$4:$B$3143=Analítico!$B67),-(Analítico!AR$3&gt;='Gastos Gerais'!$D$4:$D$3143),-(Analítico!AR$3&lt;='Gastos Gerais'!$E$4:$E$3143),-('Gastos Gerais'!$C$4:$C$3143))</f>
        <v>5211.6400000000003</v>
      </c>
      <c r="AS67" s="134">
        <f>SUMPRODUCT(-('Gastos Gerais'!$B$4:$B$3143=Analítico!$B67),-(Analítico!AS$3&gt;='Gastos Gerais'!$D$4:$D$3143),-(Analítico!AS$3&lt;='Gastos Gerais'!$E$4:$E$3143),-('Gastos Gerais'!$C$4:$C$3143))</f>
        <v>5211.6400000000003</v>
      </c>
      <c r="AT67" s="134">
        <f>SUMPRODUCT(-('Gastos Gerais'!$B$4:$B$3143=Analítico!$B67),-(Analítico!AT$3&gt;='Gastos Gerais'!$D$4:$D$3143),-(Analítico!AT$3&lt;='Gastos Gerais'!$E$4:$E$3143),-('Gastos Gerais'!$C$4:$C$3143))</f>
        <v>5211.6400000000003</v>
      </c>
      <c r="AU67" s="134">
        <f>SUMPRODUCT(-('Gastos Gerais'!$B$4:$B$3143=Analítico!$B67),-(Analítico!AU$3&gt;='Gastos Gerais'!$D$4:$D$3143),-(Analítico!AU$3&lt;='Gastos Gerais'!$E$4:$E$3143),-('Gastos Gerais'!$C$4:$C$3143))</f>
        <v>5211.6400000000003</v>
      </c>
      <c r="AV67" s="134">
        <f>SUMPRODUCT(-('Gastos Gerais'!$B$4:$B$3143=Analítico!$B67),-(Analítico!AV$3&gt;='Gastos Gerais'!$D$4:$D$3143),-(Analítico!AV$3&lt;='Gastos Gerais'!$E$4:$E$3143),-('Gastos Gerais'!$C$4:$C$3143))</f>
        <v>5211.6400000000003</v>
      </c>
      <c r="AW67" s="134">
        <f>SUMPRODUCT(-('Gastos Gerais'!$B$4:$B$3143=Analítico!$B67),-(Analítico!AW$3&gt;='Gastos Gerais'!$D$4:$D$3143),-(Analítico!AW$3&lt;='Gastos Gerais'!$E$4:$E$3143),-('Gastos Gerais'!$C$4:$C$3143))</f>
        <v>5211.6400000000003</v>
      </c>
      <c r="AX67" s="134">
        <f>SUMPRODUCT(-('Gastos Gerais'!$B$4:$B$3143=Analítico!$B67),-(Analítico!AX$3&gt;='Gastos Gerais'!$D$4:$D$3143),-(Analítico!AX$3&lt;='Gastos Gerais'!$E$4:$E$3143),-('Gastos Gerais'!$C$4:$C$3143))</f>
        <v>0</v>
      </c>
      <c r="AY67" s="134">
        <f>SUMPRODUCT(-('Gastos Gerais'!$B$4:$B$3143=Analítico!$B67),-(Analítico!AY$3&gt;='Gastos Gerais'!$D$4:$D$3143),-(Analítico!AY$3&lt;='Gastos Gerais'!$E$4:$E$3143),-('Gastos Gerais'!$C$4:$C$3143))</f>
        <v>0</v>
      </c>
      <c r="AZ67" s="134">
        <f>SUMPRODUCT(-('Gastos Gerais'!$B$4:$B$3143=Analítico!$B67),-(Analítico!AZ$3&gt;='Gastos Gerais'!$D$4:$D$3143),-(Analítico!AZ$3&lt;='Gastos Gerais'!$E$4:$E$3143),-('Gastos Gerais'!$C$4:$C$3143))</f>
        <v>0</v>
      </c>
      <c r="BA67" s="134">
        <f>SUMPRODUCT(-('Gastos Gerais'!$B$4:$B$3143=Analítico!$B67),-(Analítico!BA$3&gt;='Gastos Gerais'!$D$4:$D$3143),-(Analítico!BA$3&lt;='Gastos Gerais'!$E$4:$E$3143),-('Gastos Gerais'!$C$4:$C$3143))</f>
        <v>0</v>
      </c>
      <c r="BB67" s="134">
        <f>SUMPRODUCT(-('Gastos Gerais'!$B$4:$B$3143=Analítico!$B67),-(Analítico!BB$3&gt;='Gastos Gerais'!$D$4:$D$3143),-(Analítico!BB$3&lt;='Gastos Gerais'!$E$4:$E$3143),-('Gastos Gerais'!$C$4:$C$3143))</f>
        <v>0</v>
      </c>
      <c r="BC67" s="134">
        <f>SUMPRODUCT(-('Gastos Gerais'!$B$4:$B$3143=Analítico!$B67),-(Analítico!BC$3&gt;='Gastos Gerais'!$D$4:$D$3143),-(Analítico!BC$3&lt;='Gastos Gerais'!$E$4:$E$3143),-('Gastos Gerais'!$C$4:$C$3143))</f>
        <v>0</v>
      </c>
      <c r="BD67" s="134">
        <f>SUMPRODUCT(-('Gastos Gerais'!$B$4:$B$3143=Analítico!$B67),-(Analítico!BD$3&gt;='Gastos Gerais'!$D$4:$D$3143),-(Analítico!BD$3&lt;='Gastos Gerais'!$E$4:$E$3143),-('Gastos Gerais'!$C$4:$C$3143))</f>
        <v>0</v>
      </c>
      <c r="BE67" s="134">
        <f>SUMPRODUCT(-('Gastos Gerais'!$B$4:$B$3143=Analítico!$B67),-(Analítico!BE$3&gt;='Gastos Gerais'!$D$4:$D$3143),-(Analítico!BE$3&lt;='Gastos Gerais'!$E$4:$E$3143),-('Gastos Gerais'!$C$4:$C$3143))</f>
        <v>0</v>
      </c>
      <c r="BF67" s="134">
        <f>SUMPRODUCT(-('Gastos Gerais'!$B$4:$B$3143=Analítico!$B67),-(Analítico!BF$3&gt;='Gastos Gerais'!$D$4:$D$3143),-(Analítico!BF$3&lt;='Gastos Gerais'!$E$4:$E$3143),-('Gastos Gerais'!$C$4:$C$3143))</f>
        <v>0</v>
      </c>
      <c r="BG67" s="134">
        <f>SUMPRODUCT(-('Gastos Gerais'!$B$4:$B$3143=Analítico!$B67),-(Analítico!BG$3&gt;='Gastos Gerais'!$D$4:$D$3143),-(Analítico!BG$3&lt;='Gastos Gerais'!$E$4:$E$3143),-('Gastos Gerais'!$C$4:$C$3143))</f>
        <v>0</v>
      </c>
      <c r="BH67" s="134">
        <f>SUMPRODUCT(-('Gastos Gerais'!$B$4:$B$3143=Analítico!$B67),-(Analítico!BH$3&gt;='Gastos Gerais'!$D$4:$D$3143),-(Analítico!BH$3&lt;='Gastos Gerais'!$E$4:$E$3143),-('Gastos Gerais'!$C$4:$C$3143))</f>
        <v>0</v>
      </c>
      <c r="BI67" s="134">
        <f>SUMPRODUCT(-('Gastos Gerais'!$B$4:$B$3143=Analítico!$B67),-(Analítico!BI$3&gt;='Gastos Gerais'!$D$4:$D$3143),-(Analítico!BI$3&lt;='Gastos Gerais'!$E$4:$E$3143),-('Gastos Gerais'!$C$4:$C$3143))</f>
        <v>0</v>
      </c>
      <c r="BJ67" s="134">
        <f>SUMPRODUCT(-('Gastos Gerais'!$B$4:$B$3143=Analítico!$B67),-(Analítico!BJ$3&gt;='Gastos Gerais'!$D$4:$D$3143),-(Analítico!BJ$3&lt;='Gastos Gerais'!$E$4:$E$3143),-('Gastos Gerais'!$C$4:$C$3143))</f>
        <v>0</v>
      </c>
      <c r="BK67" s="189">
        <f t="shared" si="24"/>
        <v>265121.96000000008</v>
      </c>
      <c r="BL67" s="136">
        <f t="shared" ca="1" si="25"/>
        <v>9.1281440702397341E-4</v>
      </c>
    </row>
    <row r="68" spans="1:64" s="160" customFormat="1" ht="23.25" customHeight="1">
      <c r="A68" s="229" t="s">
        <v>213</v>
      </c>
      <c r="B68" s="230" t="s">
        <v>214</v>
      </c>
      <c r="C68" s="188">
        <f>SUMPRODUCT(-('Gastos Gerais'!$B$4:$B$3143=Analítico!$B68),-(Analítico!C$3&gt;='Gastos Gerais'!$D$4:$D$3143),-(Analítico!C$3&lt;='Gastos Gerais'!$E$4:$E$3143),-('Gastos Gerais'!$C$4:$C$3143))</f>
        <v>2660</v>
      </c>
      <c r="D68" s="134">
        <f>SUMPRODUCT(-('Gastos Gerais'!$B$4:$B$3143=Analítico!$B68),-(Analítico!D$3&gt;='Gastos Gerais'!$D$4:$D$3143),-(Analítico!D$3&lt;='Gastos Gerais'!$E$4:$E$3143),-('Gastos Gerais'!$C$4:$C$3143))</f>
        <v>2800</v>
      </c>
      <c r="E68" s="134">
        <f>SUMPRODUCT(-('Gastos Gerais'!$B$4:$B$3143=Analítico!$B68),-(Analítico!E$3&gt;='Gastos Gerais'!$D$4:$D$3143),-(Analítico!E$3&lt;='Gastos Gerais'!$E$4:$E$3143),-('Gastos Gerais'!$C$4:$C$3143))</f>
        <v>2800</v>
      </c>
      <c r="F68" s="134">
        <f>SUMPRODUCT(-('Gastos Gerais'!$B$4:$B$3143=Analítico!$B68),-(Analítico!F$3&gt;='Gastos Gerais'!$D$4:$D$3143),-(Analítico!F$3&lt;='Gastos Gerais'!$E$4:$E$3143),-('Gastos Gerais'!$C$4:$C$3143))</f>
        <v>2940</v>
      </c>
      <c r="G68" s="134">
        <f>SUMPRODUCT(-('Gastos Gerais'!$B$4:$B$3143=Analítico!$B68),-(Analítico!G$3&gt;='Gastos Gerais'!$D$4:$D$3143),-(Analítico!G$3&lt;='Gastos Gerais'!$E$4:$E$3143),-('Gastos Gerais'!$C$4:$C$3143))</f>
        <v>2940</v>
      </c>
      <c r="H68" s="134">
        <f>SUMPRODUCT(-('Gastos Gerais'!$B$4:$B$3143=Analítico!$B68),-(Analítico!H$3&gt;='Gastos Gerais'!$D$4:$D$3143),-(Analítico!H$3&lt;='Gastos Gerais'!$E$4:$E$3143),-('Gastos Gerais'!$C$4:$C$3143))</f>
        <v>2940</v>
      </c>
      <c r="I68" s="134">
        <f>SUMPRODUCT(-('Gastos Gerais'!$B$4:$B$3143=Analítico!$B68),-(Analítico!I$3&gt;='Gastos Gerais'!$D$4:$D$3143),-(Analítico!I$3&lt;='Gastos Gerais'!$E$4:$E$3143),-('Gastos Gerais'!$C$4:$C$3143))</f>
        <v>3080</v>
      </c>
      <c r="J68" s="134">
        <f>SUMPRODUCT(-('Gastos Gerais'!$B$4:$B$3143=Analítico!$B68),-(Analítico!J$3&gt;='Gastos Gerais'!$D$4:$D$3143),-(Analítico!J$3&lt;='Gastos Gerais'!$E$4:$E$3143),-('Gastos Gerais'!$C$4:$C$3143))</f>
        <v>3080</v>
      </c>
      <c r="K68" s="134">
        <f>SUMPRODUCT(-('Gastos Gerais'!$B$4:$B$3143=Analítico!$B68),-(Analítico!K$3&gt;='Gastos Gerais'!$D$4:$D$3143),-(Analítico!K$3&lt;='Gastos Gerais'!$E$4:$E$3143),-('Gastos Gerais'!$C$4:$C$3143))</f>
        <v>3080</v>
      </c>
      <c r="L68" s="134">
        <f>SUMPRODUCT(-('Gastos Gerais'!$B$4:$B$3143=Analítico!$B68),-(Analítico!L$3&gt;='Gastos Gerais'!$D$4:$D$3143),-(Analítico!L$3&lt;='Gastos Gerais'!$E$4:$E$3143),-('Gastos Gerais'!$C$4:$C$3143))</f>
        <v>3220</v>
      </c>
      <c r="M68" s="134">
        <f>SUMPRODUCT(-('Gastos Gerais'!$B$4:$B$3143=Analítico!$B68),-(Analítico!M$3&gt;='Gastos Gerais'!$D$4:$D$3143),-(Analítico!M$3&lt;='Gastos Gerais'!$E$4:$E$3143),-('Gastos Gerais'!$C$4:$C$3143))</f>
        <v>3220</v>
      </c>
      <c r="N68" s="134">
        <f>SUMPRODUCT(-('Gastos Gerais'!$B$4:$B$3143=Analítico!$B68),-(Analítico!N$3&gt;='Gastos Gerais'!$D$4:$D$3143),-(Analítico!N$3&lt;='Gastos Gerais'!$E$4:$E$3143),-('Gastos Gerais'!$C$4:$C$3143))</f>
        <v>3220</v>
      </c>
      <c r="O68" s="134">
        <f>SUMPRODUCT(-('Gastos Gerais'!$B$4:$B$3143=Analítico!$B68),-(Analítico!O$3&gt;='Gastos Gerais'!$D$4:$D$3143),-(Analítico!O$3&lt;='Gastos Gerais'!$E$4:$E$3143),-('Gastos Gerais'!$C$4:$C$3143))</f>
        <v>3220</v>
      </c>
      <c r="P68" s="134">
        <f>SUMPRODUCT(-('Gastos Gerais'!$B$4:$B$3143=Analítico!$B68),-(Analítico!P$3&gt;='Gastos Gerais'!$D$4:$D$3143),-(Analítico!P$3&lt;='Gastos Gerais'!$E$4:$E$3143),-('Gastos Gerais'!$C$4:$C$3143))</f>
        <v>3080</v>
      </c>
      <c r="Q68" s="134">
        <f>SUMPRODUCT(-('Gastos Gerais'!$B$4:$B$3143=Analítico!$B68),-(Analítico!Q$3&gt;='Gastos Gerais'!$D$4:$D$3143),-(Analítico!Q$3&lt;='Gastos Gerais'!$E$4:$E$3143),-('Gastos Gerais'!$C$4:$C$3143))</f>
        <v>3080</v>
      </c>
      <c r="R68" s="134">
        <f>SUMPRODUCT(-('Gastos Gerais'!$B$4:$B$3143=Analítico!$B68),-(Analítico!R$3&gt;='Gastos Gerais'!$D$4:$D$3143),-(Analítico!R$3&lt;='Gastos Gerais'!$E$4:$E$3143),-('Gastos Gerais'!$C$4:$C$3143))</f>
        <v>3080</v>
      </c>
      <c r="S68" s="134">
        <f>SUMPRODUCT(-('Gastos Gerais'!$B$4:$B$3143=Analítico!$B68),-(Analítico!S$3&gt;='Gastos Gerais'!$D$4:$D$3143),-(Analítico!S$3&lt;='Gastos Gerais'!$E$4:$E$3143),-('Gastos Gerais'!$C$4:$C$3143))</f>
        <v>3080</v>
      </c>
      <c r="T68" s="134">
        <f>SUMPRODUCT(-('Gastos Gerais'!$B$4:$B$3143=Analítico!$B68),-(Analítico!T$3&gt;='Gastos Gerais'!$D$4:$D$3143),-(Analítico!T$3&lt;='Gastos Gerais'!$E$4:$E$3143),-('Gastos Gerais'!$C$4:$C$3143))</f>
        <v>3080</v>
      </c>
      <c r="U68" s="134">
        <f>SUMPRODUCT(-('Gastos Gerais'!$B$4:$B$3143=Analítico!$B68),-(Analítico!U$3&gt;='Gastos Gerais'!$D$4:$D$3143),-(Analítico!U$3&lt;='Gastos Gerais'!$E$4:$E$3143),-('Gastos Gerais'!$C$4:$C$3143))</f>
        <v>3080</v>
      </c>
      <c r="V68" s="134">
        <f>SUMPRODUCT(-('Gastos Gerais'!$B$4:$B$3143=Analítico!$B68),-(Analítico!V$3&gt;='Gastos Gerais'!$D$4:$D$3143),-(Analítico!V$3&lt;='Gastos Gerais'!$E$4:$E$3143),-('Gastos Gerais'!$C$4:$C$3143))</f>
        <v>3080</v>
      </c>
      <c r="W68" s="134">
        <f>SUMPRODUCT(-('Gastos Gerais'!$B$4:$B$3143=Analítico!$B68),-(Analítico!W$3&gt;='Gastos Gerais'!$D$4:$D$3143),-(Analítico!W$3&lt;='Gastos Gerais'!$E$4:$E$3143),-('Gastos Gerais'!$C$4:$C$3143))</f>
        <v>3080</v>
      </c>
      <c r="X68" s="134">
        <f>SUMPRODUCT(-('Gastos Gerais'!$B$4:$B$3143=Analítico!$B68),-(Analítico!X$3&gt;='Gastos Gerais'!$D$4:$D$3143),-(Analítico!X$3&lt;='Gastos Gerais'!$E$4:$E$3143),-('Gastos Gerais'!$C$4:$C$3143))</f>
        <v>3080</v>
      </c>
      <c r="Y68" s="134">
        <f>SUMPRODUCT(-('Gastos Gerais'!$B$4:$B$3143=Analítico!$B68),-(Analítico!Y$3&gt;='Gastos Gerais'!$D$4:$D$3143),-(Analítico!Y$3&lt;='Gastos Gerais'!$E$4:$E$3143),-('Gastos Gerais'!$C$4:$C$3143))</f>
        <v>3080</v>
      </c>
      <c r="Z68" s="134">
        <f>SUMPRODUCT(-('Gastos Gerais'!$B$4:$B$3143=Analítico!$B68),-(Analítico!Z$3&gt;='Gastos Gerais'!$D$4:$D$3143),-(Analítico!Z$3&lt;='Gastos Gerais'!$E$4:$E$3143),-('Gastos Gerais'!$C$4:$C$3143))</f>
        <v>3080</v>
      </c>
      <c r="AA68" s="134">
        <f>SUMPRODUCT(-('Gastos Gerais'!$B$4:$B$3143=Analítico!$B68),-(Analítico!AA$3&gt;='Gastos Gerais'!$D$4:$D$3143),-(Analítico!AA$3&lt;='Gastos Gerais'!$E$4:$E$3143),-('Gastos Gerais'!$C$4:$C$3143))</f>
        <v>3220</v>
      </c>
      <c r="AB68" s="134">
        <f>SUMPRODUCT(-('Gastos Gerais'!$B$4:$B$3143=Analítico!$B68),-(Analítico!AB$3&gt;='Gastos Gerais'!$D$4:$D$3143),-(Analítico!AB$3&lt;='Gastos Gerais'!$E$4:$E$3143),-('Gastos Gerais'!$C$4:$C$3143))</f>
        <v>3220</v>
      </c>
      <c r="AC68" s="134">
        <f>SUMPRODUCT(-('Gastos Gerais'!$B$4:$B$3143=Analítico!$B68),-(Analítico!AC$3&gt;='Gastos Gerais'!$D$4:$D$3143),-(Analítico!AC$3&lt;='Gastos Gerais'!$E$4:$E$3143),-('Gastos Gerais'!$C$4:$C$3143))</f>
        <v>3220</v>
      </c>
      <c r="AD68" s="134">
        <f>SUMPRODUCT(-('Gastos Gerais'!$B$4:$B$3143=Analítico!$B68),-(Analítico!AD$3&gt;='Gastos Gerais'!$D$4:$D$3143),-(Analítico!AD$3&lt;='Gastos Gerais'!$E$4:$E$3143),-('Gastos Gerais'!$C$4:$C$3143))</f>
        <v>3220</v>
      </c>
      <c r="AE68" s="134">
        <f>SUMPRODUCT(-('Gastos Gerais'!$B$4:$B$3143=Analítico!$B68),-(Analítico!AE$3&gt;='Gastos Gerais'!$D$4:$D$3143),-(Analítico!AE$3&lt;='Gastos Gerais'!$E$4:$E$3143),-('Gastos Gerais'!$C$4:$C$3143))</f>
        <v>3220</v>
      </c>
      <c r="AF68" s="134">
        <f>SUMPRODUCT(-('Gastos Gerais'!$B$4:$B$3143=Analítico!$B68),-(Analítico!AF$3&gt;='Gastos Gerais'!$D$4:$D$3143),-(Analítico!AF$3&lt;='Gastos Gerais'!$E$4:$E$3143),-('Gastos Gerais'!$C$4:$C$3143))</f>
        <v>3220</v>
      </c>
      <c r="AG68" s="134">
        <f>SUMPRODUCT(-('Gastos Gerais'!$B$4:$B$3143=Analítico!$B68),-(Analítico!AG$3&gt;='Gastos Gerais'!$D$4:$D$3143),-(Analítico!AG$3&lt;='Gastos Gerais'!$E$4:$E$3143),-('Gastos Gerais'!$C$4:$C$3143))</f>
        <v>3220</v>
      </c>
      <c r="AH68" s="134">
        <f>SUMPRODUCT(-('Gastos Gerais'!$B$4:$B$3143=Analítico!$B68),-(Analítico!AH$3&gt;='Gastos Gerais'!$D$4:$D$3143),-(Analítico!AH$3&lt;='Gastos Gerais'!$E$4:$E$3143),-('Gastos Gerais'!$C$4:$C$3143))</f>
        <v>3220</v>
      </c>
      <c r="AI68" s="134">
        <f>SUMPRODUCT(-('Gastos Gerais'!$B$4:$B$3143=Analítico!$B68),-(Analítico!AI$3&gt;='Gastos Gerais'!$D$4:$D$3143),-(Analítico!AI$3&lt;='Gastos Gerais'!$E$4:$E$3143),-('Gastos Gerais'!$C$4:$C$3143))</f>
        <v>3220</v>
      </c>
      <c r="AJ68" s="134">
        <f>SUMPRODUCT(-('Gastos Gerais'!$B$4:$B$3143=Analítico!$B68),-(Analítico!AJ$3&gt;='Gastos Gerais'!$D$4:$D$3143),-(Analítico!AJ$3&lt;='Gastos Gerais'!$E$4:$E$3143),-('Gastos Gerais'!$C$4:$C$3143))</f>
        <v>3220</v>
      </c>
      <c r="AK68" s="134">
        <f>SUMPRODUCT(-('Gastos Gerais'!$B$4:$B$3143=Analítico!$B68),-(Analítico!AK$3&gt;='Gastos Gerais'!$D$4:$D$3143),-(Analítico!AK$3&lt;='Gastos Gerais'!$E$4:$E$3143),-('Gastos Gerais'!$C$4:$C$3143))</f>
        <v>3220</v>
      </c>
      <c r="AL68" s="134">
        <f>SUMPRODUCT(-('Gastos Gerais'!$B$4:$B$3143=Analítico!$B68),-(Analítico!AL$3&gt;='Gastos Gerais'!$D$4:$D$3143),-(Analítico!AL$3&lt;='Gastos Gerais'!$E$4:$E$3143),-('Gastos Gerais'!$C$4:$C$3143))</f>
        <v>3220</v>
      </c>
      <c r="AM68" s="134">
        <f>SUMPRODUCT(-('Gastos Gerais'!$B$4:$B$3143=Analítico!$B68),-(Analítico!AM$3&gt;='Gastos Gerais'!$D$4:$D$3143),-(Analítico!AM$3&lt;='Gastos Gerais'!$E$4:$E$3143),-('Gastos Gerais'!$C$4:$C$3143))</f>
        <v>1675</v>
      </c>
      <c r="AN68" s="134">
        <f>SUMPRODUCT(-('Gastos Gerais'!$B$4:$B$3143=Analítico!$B68),-(Analítico!AN$3&gt;='Gastos Gerais'!$D$4:$D$3143),-(Analítico!AN$3&lt;='Gastos Gerais'!$E$4:$E$3143),-('Gastos Gerais'!$C$4:$C$3143))</f>
        <v>1675</v>
      </c>
      <c r="AO68" s="134">
        <f>SUMPRODUCT(-('Gastos Gerais'!$B$4:$B$3143=Analítico!$B68),-(Analítico!AO$3&gt;='Gastos Gerais'!$D$4:$D$3143),-(Analítico!AO$3&lt;='Gastos Gerais'!$E$4:$E$3143),-('Gastos Gerais'!$C$4:$C$3143))</f>
        <v>1675</v>
      </c>
      <c r="AP68" s="134">
        <f>SUMPRODUCT(-('Gastos Gerais'!$B$4:$B$3143=Analítico!$B68),-(Analítico!AP$3&gt;='Gastos Gerais'!$D$4:$D$3143),-(Analítico!AP$3&lt;='Gastos Gerais'!$E$4:$E$3143),-('Gastos Gerais'!$C$4:$C$3143))</f>
        <v>1675</v>
      </c>
      <c r="AQ68" s="134">
        <f>SUMPRODUCT(-('Gastos Gerais'!$B$4:$B$3143=Analítico!$B68),-(Analítico!AQ$3&gt;='Gastos Gerais'!$D$4:$D$3143),-(Analítico!AQ$3&lt;='Gastos Gerais'!$E$4:$E$3143),-('Gastos Gerais'!$C$4:$C$3143))</f>
        <v>1675</v>
      </c>
      <c r="AR68" s="134">
        <f>SUMPRODUCT(-('Gastos Gerais'!$B$4:$B$3143=Analítico!$B68),-(Analítico!AR$3&gt;='Gastos Gerais'!$D$4:$D$3143),-(Analítico!AR$3&lt;='Gastos Gerais'!$E$4:$E$3143),-('Gastos Gerais'!$C$4:$C$3143))</f>
        <v>1675</v>
      </c>
      <c r="AS68" s="134">
        <f>SUMPRODUCT(-('Gastos Gerais'!$B$4:$B$3143=Analítico!$B68),-(Analítico!AS$3&gt;='Gastos Gerais'!$D$4:$D$3143),-(Analítico!AS$3&lt;='Gastos Gerais'!$E$4:$E$3143),-('Gastos Gerais'!$C$4:$C$3143))</f>
        <v>1675</v>
      </c>
      <c r="AT68" s="134">
        <f>SUMPRODUCT(-('Gastos Gerais'!$B$4:$B$3143=Analítico!$B68),-(Analítico!AT$3&gt;='Gastos Gerais'!$D$4:$D$3143),-(Analítico!AT$3&lt;='Gastos Gerais'!$E$4:$E$3143),-('Gastos Gerais'!$C$4:$C$3143))</f>
        <v>1675</v>
      </c>
      <c r="AU68" s="134">
        <f>SUMPRODUCT(-('Gastos Gerais'!$B$4:$B$3143=Analítico!$B68),-(Analítico!AU$3&gt;='Gastos Gerais'!$D$4:$D$3143),-(Analítico!AU$3&lt;='Gastos Gerais'!$E$4:$E$3143),-('Gastos Gerais'!$C$4:$C$3143))</f>
        <v>1675</v>
      </c>
      <c r="AV68" s="134">
        <f>SUMPRODUCT(-('Gastos Gerais'!$B$4:$B$3143=Analítico!$B68),-(Analítico!AV$3&gt;='Gastos Gerais'!$D$4:$D$3143),-(Analítico!AV$3&lt;='Gastos Gerais'!$E$4:$E$3143),-('Gastos Gerais'!$C$4:$C$3143))</f>
        <v>1675</v>
      </c>
      <c r="AW68" s="134">
        <f>SUMPRODUCT(-('Gastos Gerais'!$B$4:$B$3143=Analítico!$B68),-(Analítico!AW$3&gt;='Gastos Gerais'!$D$4:$D$3143),-(Analítico!AW$3&lt;='Gastos Gerais'!$E$4:$E$3143),-('Gastos Gerais'!$C$4:$C$3143))</f>
        <v>1675</v>
      </c>
      <c r="AX68" s="134">
        <f>SUMPRODUCT(-('Gastos Gerais'!$B$4:$B$3143=Analítico!$B68),-(Analítico!AX$3&gt;='Gastos Gerais'!$D$4:$D$3143),-(Analítico!AX$3&lt;='Gastos Gerais'!$E$4:$E$3143),-('Gastos Gerais'!$C$4:$C$3143))</f>
        <v>0</v>
      </c>
      <c r="AY68" s="134">
        <f>SUMPRODUCT(-('Gastos Gerais'!$B$4:$B$3143=Analítico!$B68),-(Analítico!AY$3&gt;='Gastos Gerais'!$D$4:$D$3143),-(Analítico!AY$3&lt;='Gastos Gerais'!$E$4:$E$3143),-('Gastos Gerais'!$C$4:$C$3143))</f>
        <v>0</v>
      </c>
      <c r="AZ68" s="134">
        <f>SUMPRODUCT(-('Gastos Gerais'!$B$4:$B$3143=Analítico!$B68),-(Analítico!AZ$3&gt;='Gastos Gerais'!$D$4:$D$3143),-(Analítico!AZ$3&lt;='Gastos Gerais'!$E$4:$E$3143),-('Gastos Gerais'!$C$4:$C$3143))</f>
        <v>0</v>
      </c>
      <c r="BA68" s="134">
        <f>SUMPRODUCT(-('Gastos Gerais'!$B$4:$B$3143=Analítico!$B68),-(Analítico!BA$3&gt;='Gastos Gerais'!$D$4:$D$3143),-(Analítico!BA$3&lt;='Gastos Gerais'!$E$4:$E$3143),-('Gastos Gerais'!$C$4:$C$3143))</f>
        <v>0</v>
      </c>
      <c r="BB68" s="134">
        <f>SUMPRODUCT(-('Gastos Gerais'!$B$4:$B$3143=Analítico!$B68),-(Analítico!BB$3&gt;='Gastos Gerais'!$D$4:$D$3143),-(Analítico!BB$3&lt;='Gastos Gerais'!$E$4:$E$3143),-('Gastos Gerais'!$C$4:$C$3143))</f>
        <v>0</v>
      </c>
      <c r="BC68" s="134">
        <f>SUMPRODUCT(-('Gastos Gerais'!$B$4:$B$3143=Analítico!$B68),-(Analítico!BC$3&gt;='Gastos Gerais'!$D$4:$D$3143),-(Analítico!BC$3&lt;='Gastos Gerais'!$E$4:$E$3143),-('Gastos Gerais'!$C$4:$C$3143))</f>
        <v>0</v>
      </c>
      <c r="BD68" s="134">
        <f>SUMPRODUCT(-('Gastos Gerais'!$B$4:$B$3143=Analítico!$B68),-(Analítico!BD$3&gt;='Gastos Gerais'!$D$4:$D$3143),-(Analítico!BD$3&lt;='Gastos Gerais'!$E$4:$E$3143),-('Gastos Gerais'!$C$4:$C$3143))</f>
        <v>0</v>
      </c>
      <c r="BE68" s="134">
        <f>SUMPRODUCT(-('Gastos Gerais'!$B$4:$B$3143=Analítico!$B68),-(Analítico!BE$3&gt;='Gastos Gerais'!$D$4:$D$3143),-(Analítico!BE$3&lt;='Gastos Gerais'!$E$4:$E$3143),-('Gastos Gerais'!$C$4:$C$3143))</f>
        <v>0</v>
      </c>
      <c r="BF68" s="134">
        <f>SUMPRODUCT(-('Gastos Gerais'!$B$4:$B$3143=Analítico!$B68),-(Analítico!BF$3&gt;='Gastos Gerais'!$D$4:$D$3143),-(Analítico!BF$3&lt;='Gastos Gerais'!$E$4:$E$3143),-('Gastos Gerais'!$C$4:$C$3143))</f>
        <v>0</v>
      </c>
      <c r="BG68" s="134">
        <f>SUMPRODUCT(-('Gastos Gerais'!$B$4:$B$3143=Analítico!$B68),-(Analítico!BG$3&gt;='Gastos Gerais'!$D$4:$D$3143),-(Analítico!BG$3&lt;='Gastos Gerais'!$E$4:$E$3143),-('Gastos Gerais'!$C$4:$C$3143))</f>
        <v>0</v>
      </c>
      <c r="BH68" s="134">
        <f>SUMPRODUCT(-('Gastos Gerais'!$B$4:$B$3143=Analítico!$B68),-(Analítico!BH$3&gt;='Gastos Gerais'!$D$4:$D$3143),-(Analítico!BH$3&lt;='Gastos Gerais'!$E$4:$E$3143),-('Gastos Gerais'!$C$4:$C$3143))</f>
        <v>0</v>
      </c>
      <c r="BI68" s="134">
        <f>SUMPRODUCT(-('Gastos Gerais'!$B$4:$B$3143=Analítico!$B68),-(Analítico!BI$3&gt;='Gastos Gerais'!$D$4:$D$3143),-(Analítico!BI$3&lt;='Gastos Gerais'!$E$4:$E$3143),-('Gastos Gerais'!$C$4:$C$3143))</f>
        <v>0</v>
      </c>
      <c r="BJ68" s="134">
        <f>SUMPRODUCT(-('Gastos Gerais'!$B$4:$B$3143=Analítico!$B68),-(Analítico!BJ$3&gt;='Gastos Gerais'!$D$4:$D$3143),-(Analítico!BJ$3&lt;='Gastos Gerais'!$E$4:$E$3143),-('Gastos Gerais'!$C$4:$C$3143))</f>
        <v>0</v>
      </c>
      <c r="BK68" s="189">
        <f t="shared" si="24"/>
        <v>130145</v>
      </c>
      <c r="BL68" s="136">
        <f t="shared" ca="1" si="25"/>
        <v>4.4808898893978821E-4</v>
      </c>
    </row>
    <row r="69" spans="1:64" s="160" customFormat="1" ht="23.25" customHeight="1">
      <c r="A69" s="229" t="s">
        <v>215</v>
      </c>
      <c r="B69" s="230" t="s">
        <v>216</v>
      </c>
      <c r="C69" s="188">
        <f>SUMPRODUCT(-('Gastos Gerais'!$B$4:$B$3143=Analítico!$B69),-(Analítico!C$3&gt;='Gastos Gerais'!$D$4:$D$3143),-(Analítico!C$3&lt;='Gastos Gerais'!$E$4:$E$3143),-('Gastos Gerais'!$C$4:$C$3143))</f>
        <v>4000</v>
      </c>
      <c r="D69" s="134">
        <f>SUMPRODUCT(-('Gastos Gerais'!$B$4:$B$3143=Analítico!$B69),-(Analítico!D$3&gt;='Gastos Gerais'!$D$4:$D$3143),-(Analítico!D$3&lt;='Gastos Gerais'!$E$4:$E$3143),-('Gastos Gerais'!$C$4:$C$3143))</f>
        <v>4000</v>
      </c>
      <c r="E69" s="134">
        <f>SUMPRODUCT(-('Gastos Gerais'!$B$4:$B$3143=Analítico!$B69),-(Analítico!E$3&gt;='Gastos Gerais'!$D$4:$D$3143),-(Analítico!E$3&lt;='Gastos Gerais'!$E$4:$E$3143),-('Gastos Gerais'!$C$4:$C$3143))</f>
        <v>4000</v>
      </c>
      <c r="F69" s="134">
        <f>SUMPRODUCT(-('Gastos Gerais'!$B$4:$B$3143=Analítico!$B69),-(Analítico!F$3&gt;='Gastos Gerais'!$D$4:$D$3143),-(Analítico!F$3&lt;='Gastos Gerais'!$E$4:$E$3143),-('Gastos Gerais'!$C$4:$C$3143))</f>
        <v>4000</v>
      </c>
      <c r="G69" s="134">
        <f>SUMPRODUCT(-('Gastos Gerais'!$B$4:$B$3143=Analítico!$B69),-(Analítico!G$3&gt;='Gastos Gerais'!$D$4:$D$3143),-(Analítico!G$3&lt;='Gastos Gerais'!$E$4:$E$3143),-('Gastos Gerais'!$C$4:$C$3143))</f>
        <v>4000</v>
      </c>
      <c r="H69" s="134">
        <f>SUMPRODUCT(-('Gastos Gerais'!$B$4:$B$3143=Analítico!$B69),-(Analítico!H$3&gt;='Gastos Gerais'!$D$4:$D$3143),-(Analítico!H$3&lt;='Gastos Gerais'!$E$4:$E$3143),-('Gastos Gerais'!$C$4:$C$3143))</f>
        <v>4000</v>
      </c>
      <c r="I69" s="134">
        <f>SUMPRODUCT(-('Gastos Gerais'!$B$4:$B$3143=Analítico!$B69),-(Analítico!I$3&gt;='Gastos Gerais'!$D$4:$D$3143),-(Analítico!I$3&lt;='Gastos Gerais'!$E$4:$E$3143),-('Gastos Gerais'!$C$4:$C$3143))</f>
        <v>4000</v>
      </c>
      <c r="J69" s="134">
        <f>SUMPRODUCT(-('Gastos Gerais'!$B$4:$B$3143=Analítico!$B69),-(Analítico!J$3&gt;='Gastos Gerais'!$D$4:$D$3143),-(Analítico!J$3&lt;='Gastos Gerais'!$E$4:$E$3143),-('Gastos Gerais'!$C$4:$C$3143))</f>
        <v>4000</v>
      </c>
      <c r="K69" s="134">
        <f>SUMPRODUCT(-('Gastos Gerais'!$B$4:$B$3143=Analítico!$B69),-(Analítico!K$3&gt;='Gastos Gerais'!$D$4:$D$3143),-(Analítico!K$3&lt;='Gastos Gerais'!$E$4:$E$3143),-('Gastos Gerais'!$C$4:$C$3143))</f>
        <v>4000</v>
      </c>
      <c r="L69" s="134">
        <f>SUMPRODUCT(-('Gastos Gerais'!$B$4:$B$3143=Analítico!$B69),-(Analítico!L$3&gt;='Gastos Gerais'!$D$4:$D$3143),-(Analítico!L$3&lt;='Gastos Gerais'!$E$4:$E$3143),-('Gastos Gerais'!$C$4:$C$3143))</f>
        <v>4000</v>
      </c>
      <c r="M69" s="134">
        <f>SUMPRODUCT(-('Gastos Gerais'!$B$4:$B$3143=Analítico!$B69),-(Analítico!M$3&gt;='Gastos Gerais'!$D$4:$D$3143),-(Analítico!M$3&lt;='Gastos Gerais'!$E$4:$E$3143),-('Gastos Gerais'!$C$4:$C$3143))</f>
        <v>4000</v>
      </c>
      <c r="N69" s="134">
        <f>SUMPRODUCT(-('Gastos Gerais'!$B$4:$B$3143=Analítico!$B69),-(Analítico!N$3&gt;='Gastos Gerais'!$D$4:$D$3143),-(Analítico!N$3&lt;='Gastos Gerais'!$E$4:$E$3143),-('Gastos Gerais'!$C$4:$C$3143))</f>
        <v>4000</v>
      </c>
      <c r="O69" s="134">
        <f>SUMPRODUCT(-('Gastos Gerais'!$B$4:$B$3143=Analítico!$B69),-(Analítico!O$3&gt;='Gastos Gerais'!$D$4:$D$3143),-(Analítico!O$3&lt;='Gastos Gerais'!$E$4:$E$3143),-('Gastos Gerais'!$C$4:$C$3143))</f>
        <v>4000</v>
      </c>
      <c r="P69" s="134">
        <f>SUMPRODUCT(-('Gastos Gerais'!$B$4:$B$3143=Analítico!$B69),-(Analítico!P$3&gt;='Gastos Gerais'!$D$4:$D$3143),-(Analítico!P$3&lt;='Gastos Gerais'!$E$4:$E$3143),-('Gastos Gerais'!$C$4:$C$3143))</f>
        <v>4000</v>
      </c>
      <c r="Q69" s="134">
        <f>SUMPRODUCT(-('Gastos Gerais'!$B$4:$B$3143=Analítico!$B69),-(Analítico!Q$3&gt;='Gastos Gerais'!$D$4:$D$3143),-(Analítico!Q$3&lt;='Gastos Gerais'!$E$4:$E$3143),-('Gastos Gerais'!$C$4:$C$3143))</f>
        <v>4000</v>
      </c>
      <c r="R69" s="134">
        <f>SUMPRODUCT(-('Gastos Gerais'!$B$4:$B$3143=Analítico!$B69),-(Analítico!R$3&gt;='Gastos Gerais'!$D$4:$D$3143),-(Analítico!R$3&lt;='Gastos Gerais'!$E$4:$E$3143),-('Gastos Gerais'!$C$4:$C$3143))</f>
        <v>4000</v>
      </c>
      <c r="S69" s="134">
        <f>SUMPRODUCT(-('Gastos Gerais'!$B$4:$B$3143=Analítico!$B69),-(Analítico!S$3&gt;='Gastos Gerais'!$D$4:$D$3143),-(Analítico!S$3&lt;='Gastos Gerais'!$E$4:$E$3143),-('Gastos Gerais'!$C$4:$C$3143))</f>
        <v>4000</v>
      </c>
      <c r="T69" s="134">
        <f>SUMPRODUCT(-('Gastos Gerais'!$B$4:$B$3143=Analítico!$B69),-(Analítico!T$3&gt;='Gastos Gerais'!$D$4:$D$3143),-(Analítico!T$3&lt;='Gastos Gerais'!$E$4:$E$3143),-('Gastos Gerais'!$C$4:$C$3143))</f>
        <v>4000</v>
      </c>
      <c r="U69" s="134">
        <f>SUMPRODUCT(-('Gastos Gerais'!$B$4:$B$3143=Analítico!$B69),-(Analítico!U$3&gt;='Gastos Gerais'!$D$4:$D$3143),-(Analítico!U$3&lt;='Gastos Gerais'!$E$4:$E$3143),-('Gastos Gerais'!$C$4:$C$3143))</f>
        <v>4000</v>
      </c>
      <c r="V69" s="134">
        <f>SUMPRODUCT(-('Gastos Gerais'!$B$4:$B$3143=Analítico!$B69),-(Analítico!V$3&gt;='Gastos Gerais'!$D$4:$D$3143),-(Analítico!V$3&lt;='Gastos Gerais'!$E$4:$E$3143),-('Gastos Gerais'!$C$4:$C$3143))</f>
        <v>4000</v>
      </c>
      <c r="W69" s="134">
        <f>SUMPRODUCT(-('Gastos Gerais'!$B$4:$B$3143=Analítico!$B69),-(Analítico!W$3&gt;='Gastos Gerais'!$D$4:$D$3143),-(Analítico!W$3&lt;='Gastos Gerais'!$E$4:$E$3143),-('Gastos Gerais'!$C$4:$C$3143))</f>
        <v>4000</v>
      </c>
      <c r="X69" s="134">
        <f>SUMPRODUCT(-('Gastos Gerais'!$B$4:$B$3143=Analítico!$B69),-(Analítico!X$3&gt;='Gastos Gerais'!$D$4:$D$3143),-(Analítico!X$3&lt;='Gastos Gerais'!$E$4:$E$3143),-('Gastos Gerais'!$C$4:$C$3143))</f>
        <v>4000</v>
      </c>
      <c r="Y69" s="134">
        <f>SUMPRODUCT(-('Gastos Gerais'!$B$4:$B$3143=Analítico!$B69),-(Analítico!Y$3&gt;='Gastos Gerais'!$D$4:$D$3143),-(Analítico!Y$3&lt;='Gastos Gerais'!$E$4:$E$3143),-('Gastos Gerais'!$C$4:$C$3143))</f>
        <v>4000</v>
      </c>
      <c r="Z69" s="134">
        <f>SUMPRODUCT(-('Gastos Gerais'!$B$4:$B$3143=Analítico!$B69),-(Analítico!Z$3&gt;='Gastos Gerais'!$D$4:$D$3143),-(Analítico!Z$3&lt;='Gastos Gerais'!$E$4:$E$3143),-('Gastos Gerais'!$C$4:$C$3143))</f>
        <v>4000</v>
      </c>
      <c r="AA69" s="134">
        <f>SUMPRODUCT(-('Gastos Gerais'!$B$4:$B$3143=Analítico!$B69),-(Analítico!AA$3&gt;='Gastos Gerais'!$D$4:$D$3143),-(Analítico!AA$3&lt;='Gastos Gerais'!$E$4:$E$3143),-('Gastos Gerais'!$C$4:$C$3143))</f>
        <v>4000</v>
      </c>
      <c r="AB69" s="134">
        <f>SUMPRODUCT(-('Gastos Gerais'!$B$4:$B$3143=Analítico!$B69),-(Analítico!AB$3&gt;='Gastos Gerais'!$D$4:$D$3143),-(Analítico!AB$3&lt;='Gastos Gerais'!$E$4:$E$3143),-('Gastos Gerais'!$C$4:$C$3143))</f>
        <v>4000</v>
      </c>
      <c r="AC69" s="134">
        <f>SUMPRODUCT(-('Gastos Gerais'!$B$4:$B$3143=Analítico!$B69),-(Analítico!AC$3&gt;='Gastos Gerais'!$D$4:$D$3143),-(Analítico!AC$3&lt;='Gastos Gerais'!$E$4:$E$3143),-('Gastos Gerais'!$C$4:$C$3143))</f>
        <v>4000</v>
      </c>
      <c r="AD69" s="134">
        <f>SUMPRODUCT(-('Gastos Gerais'!$B$4:$B$3143=Analítico!$B69),-(Analítico!AD$3&gt;='Gastos Gerais'!$D$4:$D$3143),-(Analítico!AD$3&lt;='Gastos Gerais'!$E$4:$E$3143),-('Gastos Gerais'!$C$4:$C$3143))</f>
        <v>4000</v>
      </c>
      <c r="AE69" s="134">
        <f>SUMPRODUCT(-('Gastos Gerais'!$B$4:$B$3143=Analítico!$B69),-(Analítico!AE$3&gt;='Gastos Gerais'!$D$4:$D$3143),-(Analítico!AE$3&lt;='Gastos Gerais'!$E$4:$E$3143),-('Gastos Gerais'!$C$4:$C$3143))</f>
        <v>4000</v>
      </c>
      <c r="AF69" s="134">
        <f>SUMPRODUCT(-('Gastos Gerais'!$B$4:$B$3143=Analítico!$B69),-(Analítico!AF$3&gt;='Gastos Gerais'!$D$4:$D$3143),-(Analítico!AF$3&lt;='Gastos Gerais'!$E$4:$E$3143),-('Gastos Gerais'!$C$4:$C$3143))</f>
        <v>4000</v>
      </c>
      <c r="AG69" s="134">
        <f>SUMPRODUCT(-('Gastos Gerais'!$B$4:$B$3143=Analítico!$B69),-(Analítico!AG$3&gt;='Gastos Gerais'!$D$4:$D$3143),-(Analítico!AG$3&lt;='Gastos Gerais'!$E$4:$E$3143),-('Gastos Gerais'!$C$4:$C$3143))</f>
        <v>4000</v>
      </c>
      <c r="AH69" s="134">
        <f>SUMPRODUCT(-('Gastos Gerais'!$B$4:$B$3143=Analítico!$B69),-(Analítico!AH$3&gt;='Gastos Gerais'!$D$4:$D$3143),-(Analítico!AH$3&lt;='Gastos Gerais'!$E$4:$E$3143),-('Gastos Gerais'!$C$4:$C$3143))</f>
        <v>4000</v>
      </c>
      <c r="AI69" s="134">
        <f>SUMPRODUCT(-('Gastos Gerais'!$B$4:$B$3143=Analítico!$B69),-(Analítico!AI$3&gt;='Gastos Gerais'!$D$4:$D$3143),-(Analítico!AI$3&lt;='Gastos Gerais'!$E$4:$E$3143),-('Gastos Gerais'!$C$4:$C$3143))</f>
        <v>4000</v>
      </c>
      <c r="AJ69" s="134">
        <f>SUMPRODUCT(-('Gastos Gerais'!$B$4:$B$3143=Analítico!$B69),-(Analítico!AJ$3&gt;='Gastos Gerais'!$D$4:$D$3143),-(Analítico!AJ$3&lt;='Gastos Gerais'!$E$4:$E$3143),-('Gastos Gerais'!$C$4:$C$3143))</f>
        <v>4000</v>
      </c>
      <c r="AK69" s="134">
        <f>SUMPRODUCT(-('Gastos Gerais'!$B$4:$B$3143=Analítico!$B69),-(Analítico!AK$3&gt;='Gastos Gerais'!$D$4:$D$3143),-(Analítico!AK$3&lt;='Gastos Gerais'!$E$4:$E$3143),-('Gastos Gerais'!$C$4:$C$3143))</f>
        <v>4000</v>
      </c>
      <c r="AL69" s="134">
        <f>SUMPRODUCT(-('Gastos Gerais'!$B$4:$B$3143=Analítico!$B69),-(Analítico!AL$3&gt;='Gastos Gerais'!$D$4:$D$3143),-(Analítico!AL$3&lt;='Gastos Gerais'!$E$4:$E$3143),-('Gastos Gerais'!$C$4:$C$3143))</f>
        <v>4000</v>
      </c>
      <c r="AM69" s="134">
        <f>SUMPRODUCT(-('Gastos Gerais'!$B$4:$B$3143=Analítico!$B69),-(Analítico!AM$3&gt;='Gastos Gerais'!$D$4:$D$3143),-(Analítico!AM$3&lt;='Gastos Gerais'!$E$4:$E$3143),-('Gastos Gerais'!$C$4:$C$3143))</f>
        <v>2000</v>
      </c>
      <c r="AN69" s="134">
        <f>SUMPRODUCT(-('Gastos Gerais'!$B$4:$B$3143=Analítico!$B69),-(Analítico!AN$3&gt;='Gastos Gerais'!$D$4:$D$3143),-(Analítico!AN$3&lt;='Gastos Gerais'!$E$4:$E$3143),-('Gastos Gerais'!$C$4:$C$3143))</f>
        <v>2000</v>
      </c>
      <c r="AO69" s="134">
        <f>SUMPRODUCT(-('Gastos Gerais'!$B$4:$B$3143=Analítico!$B69),-(Analítico!AO$3&gt;='Gastos Gerais'!$D$4:$D$3143),-(Analítico!AO$3&lt;='Gastos Gerais'!$E$4:$E$3143),-('Gastos Gerais'!$C$4:$C$3143))</f>
        <v>2000</v>
      </c>
      <c r="AP69" s="134">
        <f>SUMPRODUCT(-('Gastos Gerais'!$B$4:$B$3143=Analítico!$B69),-(Analítico!AP$3&gt;='Gastos Gerais'!$D$4:$D$3143),-(Analítico!AP$3&lt;='Gastos Gerais'!$E$4:$E$3143),-('Gastos Gerais'!$C$4:$C$3143))</f>
        <v>2000</v>
      </c>
      <c r="AQ69" s="134">
        <f>SUMPRODUCT(-('Gastos Gerais'!$B$4:$B$3143=Analítico!$B69),-(Analítico!AQ$3&gt;='Gastos Gerais'!$D$4:$D$3143),-(Analítico!AQ$3&lt;='Gastos Gerais'!$E$4:$E$3143),-('Gastos Gerais'!$C$4:$C$3143))</f>
        <v>2000</v>
      </c>
      <c r="AR69" s="134">
        <f>SUMPRODUCT(-('Gastos Gerais'!$B$4:$B$3143=Analítico!$B69),-(Analítico!AR$3&gt;='Gastos Gerais'!$D$4:$D$3143),-(Analítico!AR$3&lt;='Gastos Gerais'!$E$4:$E$3143),-('Gastos Gerais'!$C$4:$C$3143))</f>
        <v>2000</v>
      </c>
      <c r="AS69" s="134">
        <f>SUMPRODUCT(-('Gastos Gerais'!$B$4:$B$3143=Analítico!$B69),-(Analítico!AS$3&gt;='Gastos Gerais'!$D$4:$D$3143),-(Analítico!AS$3&lt;='Gastos Gerais'!$E$4:$E$3143),-('Gastos Gerais'!$C$4:$C$3143))</f>
        <v>2000</v>
      </c>
      <c r="AT69" s="134">
        <f>SUMPRODUCT(-('Gastos Gerais'!$B$4:$B$3143=Analítico!$B69),-(Analítico!AT$3&gt;='Gastos Gerais'!$D$4:$D$3143),-(Analítico!AT$3&lt;='Gastos Gerais'!$E$4:$E$3143),-('Gastos Gerais'!$C$4:$C$3143))</f>
        <v>2000</v>
      </c>
      <c r="AU69" s="134">
        <f>SUMPRODUCT(-('Gastos Gerais'!$B$4:$B$3143=Analítico!$B69),-(Analítico!AU$3&gt;='Gastos Gerais'!$D$4:$D$3143),-(Analítico!AU$3&lt;='Gastos Gerais'!$E$4:$E$3143),-('Gastos Gerais'!$C$4:$C$3143))</f>
        <v>2000</v>
      </c>
      <c r="AV69" s="134">
        <f>SUMPRODUCT(-('Gastos Gerais'!$B$4:$B$3143=Analítico!$B69),-(Analítico!AV$3&gt;='Gastos Gerais'!$D$4:$D$3143),-(Analítico!AV$3&lt;='Gastos Gerais'!$E$4:$E$3143),-('Gastos Gerais'!$C$4:$C$3143))</f>
        <v>2000</v>
      </c>
      <c r="AW69" s="134">
        <f>SUMPRODUCT(-('Gastos Gerais'!$B$4:$B$3143=Analítico!$B69),-(Analítico!AW$3&gt;='Gastos Gerais'!$D$4:$D$3143),-(Analítico!AW$3&lt;='Gastos Gerais'!$E$4:$E$3143),-('Gastos Gerais'!$C$4:$C$3143))</f>
        <v>2000</v>
      </c>
      <c r="AX69" s="134">
        <f>SUMPRODUCT(-('Gastos Gerais'!$B$4:$B$3143=Analítico!$B69),-(Analítico!AX$3&gt;='Gastos Gerais'!$D$4:$D$3143),-(Analítico!AX$3&lt;='Gastos Gerais'!$E$4:$E$3143),-('Gastos Gerais'!$C$4:$C$3143))</f>
        <v>0</v>
      </c>
      <c r="AY69" s="134">
        <f>SUMPRODUCT(-('Gastos Gerais'!$B$4:$B$3143=Analítico!$B69),-(Analítico!AY$3&gt;='Gastos Gerais'!$D$4:$D$3143),-(Analítico!AY$3&lt;='Gastos Gerais'!$E$4:$E$3143),-('Gastos Gerais'!$C$4:$C$3143))</f>
        <v>0</v>
      </c>
      <c r="AZ69" s="134">
        <f>SUMPRODUCT(-('Gastos Gerais'!$B$4:$B$3143=Analítico!$B69),-(Analítico!AZ$3&gt;='Gastos Gerais'!$D$4:$D$3143),-(Analítico!AZ$3&lt;='Gastos Gerais'!$E$4:$E$3143),-('Gastos Gerais'!$C$4:$C$3143))</f>
        <v>0</v>
      </c>
      <c r="BA69" s="134">
        <f>SUMPRODUCT(-('Gastos Gerais'!$B$4:$B$3143=Analítico!$B69),-(Analítico!BA$3&gt;='Gastos Gerais'!$D$4:$D$3143),-(Analítico!BA$3&lt;='Gastos Gerais'!$E$4:$E$3143),-('Gastos Gerais'!$C$4:$C$3143))</f>
        <v>0</v>
      </c>
      <c r="BB69" s="134">
        <f>SUMPRODUCT(-('Gastos Gerais'!$B$4:$B$3143=Analítico!$B69),-(Analítico!BB$3&gt;='Gastos Gerais'!$D$4:$D$3143),-(Analítico!BB$3&lt;='Gastos Gerais'!$E$4:$E$3143),-('Gastos Gerais'!$C$4:$C$3143))</f>
        <v>0</v>
      </c>
      <c r="BC69" s="134">
        <f>SUMPRODUCT(-('Gastos Gerais'!$B$4:$B$3143=Analítico!$B69),-(Analítico!BC$3&gt;='Gastos Gerais'!$D$4:$D$3143),-(Analítico!BC$3&lt;='Gastos Gerais'!$E$4:$E$3143),-('Gastos Gerais'!$C$4:$C$3143))</f>
        <v>0</v>
      </c>
      <c r="BD69" s="134">
        <f>SUMPRODUCT(-('Gastos Gerais'!$B$4:$B$3143=Analítico!$B69),-(Analítico!BD$3&gt;='Gastos Gerais'!$D$4:$D$3143),-(Analítico!BD$3&lt;='Gastos Gerais'!$E$4:$E$3143),-('Gastos Gerais'!$C$4:$C$3143))</f>
        <v>0</v>
      </c>
      <c r="BE69" s="134">
        <f>SUMPRODUCT(-('Gastos Gerais'!$B$4:$B$3143=Analítico!$B69),-(Analítico!BE$3&gt;='Gastos Gerais'!$D$4:$D$3143),-(Analítico!BE$3&lt;='Gastos Gerais'!$E$4:$E$3143),-('Gastos Gerais'!$C$4:$C$3143))</f>
        <v>0</v>
      </c>
      <c r="BF69" s="134">
        <f>SUMPRODUCT(-('Gastos Gerais'!$B$4:$B$3143=Analítico!$B69),-(Analítico!BF$3&gt;='Gastos Gerais'!$D$4:$D$3143),-(Analítico!BF$3&lt;='Gastos Gerais'!$E$4:$E$3143),-('Gastos Gerais'!$C$4:$C$3143))</f>
        <v>0</v>
      </c>
      <c r="BG69" s="134">
        <f>SUMPRODUCT(-('Gastos Gerais'!$B$4:$B$3143=Analítico!$B69),-(Analítico!BG$3&gt;='Gastos Gerais'!$D$4:$D$3143),-(Analítico!BG$3&lt;='Gastos Gerais'!$E$4:$E$3143),-('Gastos Gerais'!$C$4:$C$3143))</f>
        <v>0</v>
      </c>
      <c r="BH69" s="134">
        <f>SUMPRODUCT(-('Gastos Gerais'!$B$4:$B$3143=Analítico!$B69),-(Analítico!BH$3&gt;='Gastos Gerais'!$D$4:$D$3143),-(Analítico!BH$3&lt;='Gastos Gerais'!$E$4:$E$3143),-('Gastos Gerais'!$C$4:$C$3143))</f>
        <v>0</v>
      </c>
      <c r="BI69" s="134">
        <f>SUMPRODUCT(-('Gastos Gerais'!$B$4:$B$3143=Analítico!$B69),-(Analítico!BI$3&gt;='Gastos Gerais'!$D$4:$D$3143),-(Analítico!BI$3&lt;='Gastos Gerais'!$E$4:$E$3143),-('Gastos Gerais'!$C$4:$C$3143))</f>
        <v>0</v>
      </c>
      <c r="BJ69" s="134">
        <f>SUMPRODUCT(-('Gastos Gerais'!$B$4:$B$3143=Analítico!$B69),-(Analítico!BJ$3&gt;='Gastos Gerais'!$D$4:$D$3143),-(Analítico!BJ$3&lt;='Gastos Gerais'!$E$4:$E$3143),-('Gastos Gerais'!$C$4:$C$3143))</f>
        <v>0</v>
      </c>
      <c r="BK69" s="189">
        <f t="shared" si="24"/>
        <v>166000</v>
      </c>
      <c r="BL69" s="136">
        <f t="shared" ca="1" si="25"/>
        <v>5.715376861501006E-4</v>
      </c>
    </row>
    <row r="70" spans="1:64" s="160" customFormat="1" ht="23.25" customHeight="1">
      <c r="A70" s="229" t="s">
        <v>217</v>
      </c>
      <c r="B70" s="230" t="s">
        <v>218</v>
      </c>
      <c r="C70" s="188">
        <f>SUMPRODUCT(-('Gastos Gerais'!$B$4:$B$3143=Analítico!$B70),-(Analítico!C$3&gt;='Gastos Gerais'!$D$4:$D$3143),-(Analítico!C$3&lt;='Gastos Gerais'!$E$4:$E$3143),-('Gastos Gerais'!$C$4:$C$3143))</f>
        <v>19000</v>
      </c>
      <c r="D70" s="134">
        <f>SUMPRODUCT(-('Gastos Gerais'!$B$4:$B$3143=Analítico!$B70),-(Analítico!D$3&gt;='Gastos Gerais'!$D$4:$D$3143),-(Analítico!D$3&lt;='Gastos Gerais'!$E$4:$E$3143),-('Gastos Gerais'!$C$4:$C$3143))</f>
        <v>19000</v>
      </c>
      <c r="E70" s="134">
        <f>SUMPRODUCT(-('Gastos Gerais'!$B$4:$B$3143=Analítico!$B70),-(Analítico!E$3&gt;='Gastos Gerais'!$D$4:$D$3143),-(Analítico!E$3&lt;='Gastos Gerais'!$E$4:$E$3143),-('Gastos Gerais'!$C$4:$C$3143))</f>
        <v>19000</v>
      </c>
      <c r="F70" s="134">
        <f>SUMPRODUCT(-('Gastos Gerais'!$B$4:$B$3143=Analítico!$B70),-(Analítico!F$3&gt;='Gastos Gerais'!$D$4:$D$3143),-(Analítico!F$3&lt;='Gastos Gerais'!$E$4:$E$3143),-('Gastos Gerais'!$C$4:$C$3143))</f>
        <v>19000</v>
      </c>
      <c r="G70" s="134">
        <f>SUMPRODUCT(-('Gastos Gerais'!$B$4:$B$3143=Analítico!$B70),-(Analítico!G$3&gt;='Gastos Gerais'!$D$4:$D$3143),-(Analítico!G$3&lt;='Gastos Gerais'!$E$4:$E$3143),-('Gastos Gerais'!$C$4:$C$3143))</f>
        <v>19000</v>
      </c>
      <c r="H70" s="134">
        <f>SUMPRODUCT(-('Gastos Gerais'!$B$4:$B$3143=Analítico!$B70),-(Analítico!H$3&gt;='Gastos Gerais'!$D$4:$D$3143),-(Analítico!H$3&lt;='Gastos Gerais'!$E$4:$E$3143),-('Gastos Gerais'!$C$4:$C$3143))</f>
        <v>19000</v>
      </c>
      <c r="I70" s="134">
        <f>SUMPRODUCT(-('Gastos Gerais'!$B$4:$B$3143=Analítico!$B70),-(Analítico!I$3&gt;='Gastos Gerais'!$D$4:$D$3143),-(Analítico!I$3&lt;='Gastos Gerais'!$E$4:$E$3143),-('Gastos Gerais'!$C$4:$C$3143))</f>
        <v>19000</v>
      </c>
      <c r="J70" s="134">
        <f>SUMPRODUCT(-('Gastos Gerais'!$B$4:$B$3143=Analítico!$B70),-(Analítico!J$3&gt;='Gastos Gerais'!$D$4:$D$3143),-(Analítico!J$3&lt;='Gastos Gerais'!$E$4:$E$3143),-('Gastos Gerais'!$C$4:$C$3143))</f>
        <v>19000</v>
      </c>
      <c r="K70" s="134">
        <f>SUMPRODUCT(-('Gastos Gerais'!$B$4:$B$3143=Analítico!$B70),-(Analítico!K$3&gt;='Gastos Gerais'!$D$4:$D$3143),-(Analítico!K$3&lt;='Gastos Gerais'!$E$4:$E$3143),-('Gastos Gerais'!$C$4:$C$3143))</f>
        <v>19000</v>
      </c>
      <c r="L70" s="134">
        <f>SUMPRODUCT(-('Gastos Gerais'!$B$4:$B$3143=Analítico!$B70),-(Analítico!L$3&gt;='Gastos Gerais'!$D$4:$D$3143),-(Analítico!L$3&lt;='Gastos Gerais'!$E$4:$E$3143),-('Gastos Gerais'!$C$4:$C$3143))</f>
        <v>19000</v>
      </c>
      <c r="M70" s="134">
        <f>SUMPRODUCT(-('Gastos Gerais'!$B$4:$B$3143=Analítico!$B70),-(Analítico!M$3&gt;='Gastos Gerais'!$D$4:$D$3143),-(Analítico!M$3&lt;='Gastos Gerais'!$E$4:$E$3143),-('Gastos Gerais'!$C$4:$C$3143))</f>
        <v>19000</v>
      </c>
      <c r="N70" s="134">
        <f>SUMPRODUCT(-('Gastos Gerais'!$B$4:$B$3143=Analítico!$B70),-(Analítico!N$3&gt;='Gastos Gerais'!$D$4:$D$3143),-(Analítico!N$3&lt;='Gastos Gerais'!$E$4:$E$3143),-('Gastos Gerais'!$C$4:$C$3143))</f>
        <v>19000</v>
      </c>
      <c r="O70" s="134">
        <f>SUMPRODUCT(-('Gastos Gerais'!$B$4:$B$3143=Analítico!$B70),-(Analítico!O$3&gt;='Gastos Gerais'!$D$4:$D$3143),-(Analítico!O$3&lt;='Gastos Gerais'!$E$4:$E$3143),-('Gastos Gerais'!$C$4:$C$3143))</f>
        <v>19000</v>
      </c>
      <c r="P70" s="134">
        <f>SUMPRODUCT(-('Gastos Gerais'!$B$4:$B$3143=Analítico!$B70),-(Analítico!P$3&gt;='Gastos Gerais'!$D$4:$D$3143),-(Analítico!P$3&lt;='Gastos Gerais'!$E$4:$E$3143),-('Gastos Gerais'!$C$4:$C$3143))</f>
        <v>19000</v>
      </c>
      <c r="Q70" s="134">
        <f>SUMPRODUCT(-('Gastos Gerais'!$B$4:$B$3143=Analítico!$B70),-(Analítico!Q$3&gt;='Gastos Gerais'!$D$4:$D$3143),-(Analítico!Q$3&lt;='Gastos Gerais'!$E$4:$E$3143),-('Gastos Gerais'!$C$4:$C$3143))</f>
        <v>19000</v>
      </c>
      <c r="R70" s="134">
        <f>SUMPRODUCT(-('Gastos Gerais'!$B$4:$B$3143=Analítico!$B70),-(Analítico!R$3&gt;='Gastos Gerais'!$D$4:$D$3143),-(Analítico!R$3&lt;='Gastos Gerais'!$E$4:$E$3143),-('Gastos Gerais'!$C$4:$C$3143))</f>
        <v>19000</v>
      </c>
      <c r="S70" s="134">
        <f>SUMPRODUCT(-('Gastos Gerais'!$B$4:$B$3143=Analítico!$B70),-(Analítico!S$3&gt;='Gastos Gerais'!$D$4:$D$3143),-(Analítico!S$3&lt;='Gastos Gerais'!$E$4:$E$3143),-('Gastos Gerais'!$C$4:$C$3143))</f>
        <v>19000</v>
      </c>
      <c r="T70" s="134">
        <f>SUMPRODUCT(-('Gastos Gerais'!$B$4:$B$3143=Analítico!$B70),-(Analítico!T$3&gt;='Gastos Gerais'!$D$4:$D$3143),-(Analítico!T$3&lt;='Gastos Gerais'!$E$4:$E$3143),-('Gastos Gerais'!$C$4:$C$3143))</f>
        <v>19000</v>
      </c>
      <c r="U70" s="134">
        <f>SUMPRODUCT(-('Gastos Gerais'!$B$4:$B$3143=Analítico!$B70),-(Analítico!U$3&gt;='Gastos Gerais'!$D$4:$D$3143),-(Analítico!U$3&lt;='Gastos Gerais'!$E$4:$E$3143),-('Gastos Gerais'!$C$4:$C$3143))</f>
        <v>19000</v>
      </c>
      <c r="V70" s="134">
        <f>SUMPRODUCT(-('Gastos Gerais'!$B$4:$B$3143=Analítico!$B70),-(Analítico!V$3&gt;='Gastos Gerais'!$D$4:$D$3143),-(Analítico!V$3&lt;='Gastos Gerais'!$E$4:$E$3143),-('Gastos Gerais'!$C$4:$C$3143))</f>
        <v>19000</v>
      </c>
      <c r="W70" s="134">
        <f>SUMPRODUCT(-('Gastos Gerais'!$B$4:$B$3143=Analítico!$B70),-(Analítico!W$3&gt;='Gastos Gerais'!$D$4:$D$3143),-(Analítico!W$3&lt;='Gastos Gerais'!$E$4:$E$3143),-('Gastos Gerais'!$C$4:$C$3143))</f>
        <v>19000</v>
      </c>
      <c r="X70" s="134">
        <f>SUMPRODUCT(-('Gastos Gerais'!$B$4:$B$3143=Analítico!$B70),-(Analítico!X$3&gt;='Gastos Gerais'!$D$4:$D$3143),-(Analítico!X$3&lt;='Gastos Gerais'!$E$4:$E$3143),-('Gastos Gerais'!$C$4:$C$3143))</f>
        <v>19000</v>
      </c>
      <c r="Y70" s="134">
        <f>SUMPRODUCT(-('Gastos Gerais'!$B$4:$B$3143=Analítico!$B70),-(Analítico!Y$3&gt;='Gastos Gerais'!$D$4:$D$3143),-(Analítico!Y$3&lt;='Gastos Gerais'!$E$4:$E$3143),-('Gastos Gerais'!$C$4:$C$3143))</f>
        <v>19000</v>
      </c>
      <c r="Z70" s="134">
        <f>SUMPRODUCT(-('Gastos Gerais'!$B$4:$B$3143=Analítico!$B70),-(Analítico!Z$3&gt;='Gastos Gerais'!$D$4:$D$3143),-(Analítico!Z$3&lt;='Gastos Gerais'!$E$4:$E$3143),-('Gastos Gerais'!$C$4:$C$3143))</f>
        <v>19000</v>
      </c>
      <c r="AA70" s="134">
        <f>SUMPRODUCT(-('Gastos Gerais'!$B$4:$B$3143=Analítico!$B70),-(Analítico!AA$3&gt;='Gastos Gerais'!$D$4:$D$3143),-(Analítico!AA$3&lt;='Gastos Gerais'!$E$4:$E$3143),-('Gastos Gerais'!$C$4:$C$3143))</f>
        <v>19000</v>
      </c>
      <c r="AB70" s="134">
        <f>SUMPRODUCT(-('Gastos Gerais'!$B$4:$B$3143=Analítico!$B70),-(Analítico!AB$3&gt;='Gastos Gerais'!$D$4:$D$3143),-(Analítico!AB$3&lt;='Gastos Gerais'!$E$4:$E$3143),-('Gastos Gerais'!$C$4:$C$3143))</f>
        <v>19000</v>
      </c>
      <c r="AC70" s="134">
        <f>SUMPRODUCT(-('Gastos Gerais'!$B$4:$B$3143=Analítico!$B70),-(Analítico!AC$3&gt;='Gastos Gerais'!$D$4:$D$3143),-(Analítico!AC$3&lt;='Gastos Gerais'!$E$4:$E$3143),-('Gastos Gerais'!$C$4:$C$3143))</f>
        <v>19000</v>
      </c>
      <c r="AD70" s="134">
        <f>SUMPRODUCT(-('Gastos Gerais'!$B$4:$B$3143=Analítico!$B70),-(Analítico!AD$3&gt;='Gastos Gerais'!$D$4:$D$3143),-(Analítico!AD$3&lt;='Gastos Gerais'!$E$4:$E$3143),-('Gastos Gerais'!$C$4:$C$3143))</f>
        <v>19000</v>
      </c>
      <c r="AE70" s="134">
        <f>SUMPRODUCT(-('Gastos Gerais'!$B$4:$B$3143=Analítico!$B70),-(Analítico!AE$3&gt;='Gastos Gerais'!$D$4:$D$3143),-(Analítico!AE$3&lt;='Gastos Gerais'!$E$4:$E$3143),-('Gastos Gerais'!$C$4:$C$3143))</f>
        <v>19000</v>
      </c>
      <c r="AF70" s="134">
        <f>SUMPRODUCT(-('Gastos Gerais'!$B$4:$B$3143=Analítico!$B70),-(Analítico!AF$3&gt;='Gastos Gerais'!$D$4:$D$3143),-(Analítico!AF$3&lt;='Gastos Gerais'!$E$4:$E$3143),-('Gastos Gerais'!$C$4:$C$3143))</f>
        <v>19000</v>
      </c>
      <c r="AG70" s="134">
        <f>SUMPRODUCT(-('Gastos Gerais'!$B$4:$B$3143=Analítico!$B70),-(Analítico!AG$3&gt;='Gastos Gerais'!$D$4:$D$3143),-(Analítico!AG$3&lt;='Gastos Gerais'!$E$4:$E$3143),-('Gastos Gerais'!$C$4:$C$3143))</f>
        <v>19000</v>
      </c>
      <c r="AH70" s="134">
        <f>SUMPRODUCT(-('Gastos Gerais'!$B$4:$B$3143=Analítico!$B70),-(Analítico!AH$3&gt;='Gastos Gerais'!$D$4:$D$3143),-(Analítico!AH$3&lt;='Gastos Gerais'!$E$4:$E$3143),-('Gastos Gerais'!$C$4:$C$3143))</f>
        <v>19000</v>
      </c>
      <c r="AI70" s="134">
        <f>SUMPRODUCT(-('Gastos Gerais'!$B$4:$B$3143=Analítico!$B70),-(Analítico!AI$3&gt;='Gastos Gerais'!$D$4:$D$3143),-(Analítico!AI$3&lt;='Gastos Gerais'!$E$4:$E$3143),-('Gastos Gerais'!$C$4:$C$3143))</f>
        <v>19000</v>
      </c>
      <c r="AJ70" s="134">
        <f>SUMPRODUCT(-('Gastos Gerais'!$B$4:$B$3143=Analítico!$B70),-(Analítico!AJ$3&gt;='Gastos Gerais'!$D$4:$D$3143),-(Analítico!AJ$3&lt;='Gastos Gerais'!$E$4:$E$3143),-('Gastos Gerais'!$C$4:$C$3143))</f>
        <v>19000</v>
      </c>
      <c r="AK70" s="134">
        <f>SUMPRODUCT(-('Gastos Gerais'!$B$4:$B$3143=Analítico!$B70),-(Analítico!AK$3&gt;='Gastos Gerais'!$D$4:$D$3143),-(Analítico!AK$3&lt;='Gastos Gerais'!$E$4:$E$3143),-('Gastos Gerais'!$C$4:$C$3143))</f>
        <v>19000</v>
      </c>
      <c r="AL70" s="134">
        <f>SUMPRODUCT(-('Gastos Gerais'!$B$4:$B$3143=Analítico!$B70),-(Analítico!AL$3&gt;='Gastos Gerais'!$D$4:$D$3143),-(Analítico!AL$3&lt;='Gastos Gerais'!$E$4:$E$3143),-('Gastos Gerais'!$C$4:$C$3143))</f>
        <v>19000</v>
      </c>
      <c r="AM70" s="134">
        <f>SUMPRODUCT(-('Gastos Gerais'!$B$4:$B$3143=Analítico!$B70),-(Analítico!AM$3&gt;='Gastos Gerais'!$D$4:$D$3143),-(Analítico!AM$3&lt;='Gastos Gerais'!$E$4:$E$3143),-('Gastos Gerais'!$C$4:$C$3143))</f>
        <v>9000</v>
      </c>
      <c r="AN70" s="134">
        <f>SUMPRODUCT(-('Gastos Gerais'!$B$4:$B$3143=Analítico!$B70),-(Analítico!AN$3&gt;='Gastos Gerais'!$D$4:$D$3143),-(Analítico!AN$3&lt;='Gastos Gerais'!$E$4:$E$3143),-('Gastos Gerais'!$C$4:$C$3143))</f>
        <v>9000</v>
      </c>
      <c r="AO70" s="134">
        <f>SUMPRODUCT(-('Gastos Gerais'!$B$4:$B$3143=Analítico!$B70),-(Analítico!AO$3&gt;='Gastos Gerais'!$D$4:$D$3143),-(Analítico!AO$3&lt;='Gastos Gerais'!$E$4:$E$3143),-('Gastos Gerais'!$C$4:$C$3143))</f>
        <v>9000</v>
      </c>
      <c r="AP70" s="134">
        <f>SUMPRODUCT(-('Gastos Gerais'!$B$4:$B$3143=Analítico!$B70),-(Analítico!AP$3&gt;='Gastos Gerais'!$D$4:$D$3143),-(Analítico!AP$3&lt;='Gastos Gerais'!$E$4:$E$3143),-('Gastos Gerais'!$C$4:$C$3143))</f>
        <v>9000</v>
      </c>
      <c r="AQ70" s="134">
        <f>SUMPRODUCT(-('Gastos Gerais'!$B$4:$B$3143=Analítico!$B70),-(Analítico!AQ$3&gt;='Gastos Gerais'!$D$4:$D$3143),-(Analítico!AQ$3&lt;='Gastos Gerais'!$E$4:$E$3143),-('Gastos Gerais'!$C$4:$C$3143))</f>
        <v>9000</v>
      </c>
      <c r="AR70" s="134">
        <f>SUMPRODUCT(-('Gastos Gerais'!$B$4:$B$3143=Analítico!$B70),-(Analítico!AR$3&gt;='Gastos Gerais'!$D$4:$D$3143),-(Analítico!AR$3&lt;='Gastos Gerais'!$E$4:$E$3143),-('Gastos Gerais'!$C$4:$C$3143))</f>
        <v>9000</v>
      </c>
      <c r="AS70" s="134">
        <f>SUMPRODUCT(-('Gastos Gerais'!$B$4:$B$3143=Analítico!$B70),-(Analítico!AS$3&gt;='Gastos Gerais'!$D$4:$D$3143),-(Analítico!AS$3&lt;='Gastos Gerais'!$E$4:$E$3143),-('Gastos Gerais'!$C$4:$C$3143))</f>
        <v>9000</v>
      </c>
      <c r="AT70" s="134">
        <f>SUMPRODUCT(-('Gastos Gerais'!$B$4:$B$3143=Analítico!$B70),-(Analítico!AT$3&gt;='Gastos Gerais'!$D$4:$D$3143),-(Analítico!AT$3&lt;='Gastos Gerais'!$E$4:$E$3143),-('Gastos Gerais'!$C$4:$C$3143))</f>
        <v>9000</v>
      </c>
      <c r="AU70" s="134">
        <f>SUMPRODUCT(-('Gastos Gerais'!$B$4:$B$3143=Analítico!$B70),-(Analítico!AU$3&gt;='Gastos Gerais'!$D$4:$D$3143),-(Analítico!AU$3&lt;='Gastos Gerais'!$E$4:$E$3143),-('Gastos Gerais'!$C$4:$C$3143))</f>
        <v>9000</v>
      </c>
      <c r="AV70" s="134">
        <f>SUMPRODUCT(-('Gastos Gerais'!$B$4:$B$3143=Analítico!$B70),-(Analítico!AV$3&gt;='Gastos Gerais'!$D$4:$D$3143),-(Analítico!AV$3&lt;='Gastos Gerais'!$E$4:$E$3143),-('Gastos Gerais'!$C$4:$C$3143))</f>
        <v>9000</v>
      </c>
      <c r="AW70" s="134">
        <f>SUMPRODUCT(-('Gastos Gerais'!$B$4:$B$3143=Analítico!$B70),-(Analítico!AW$3&gt;='Gastos Gerais'!$D$4:$D$3143),-(Analítico!AW$3&lt;='Gastos Gerais'!$E$4:$E$3143),-('Gastos Gerais'!$C$4:$C$3143))</f>
        <v>9000</v>
      </c>
      <c r="AX70" s="134">
        <f>SUMPRODUCT(-('Gastos Gerais'!$B$4:$B$3143=Analítico!$B70),-(Analítico!AX$3&gt;='Gastos Gerais'!$D$4:$D$3143),-(Analítico!AX$3&lt;='Gastos Gerais'!$E$4:$E$3143),-('Gastos Gerais'!$C$4:$C$3143))</f>
        <v>0</v>
      </c>
      <c r="AY70" s="134">
        <f>SUMPRODUCT(-('Gastos Gerais'!$B$4:$B$3143=Analítico!$B70),-(Analítico!AY$3&gt;='Gastos Gerais'!$D$4:$D$3143),-(Analítico!AY$3&lt;='Gastos Gerais'!$E$4:$E$3143),-('Gastos Gerais'!$C$4:$C$3143))</f>
        <v>0</v>
      </c>
      <c r="AZ70" s="134">
        <f>SUMPRODUCT(-('Gastos Gerais'!$B$4:$B$3143=Analítico!$B70),-(Analítico!AZ$3&gt;='Gastos Gerais'!$D$4:$D$3143),-(Analítico!AZ$3&lt;='Gastos Gerais'!$E$4:$E$3143),-('Gastos Gerais'!$C$4:$C$3143))</f>
        <v>0</v>
      </c>
      <c r="BA70" s="134">
        <f>SUMPRODUCT(-('Gastos Gerais'!$B$4:$B$3143=Analítico!$B70),-(Analítico!BA$3&gt;='Gastos Gerais'!$D$4:$D$3143),-(Analítico!BA$3&lt;='Gastos Gerais'!$E$4:$E$3143),-('Gastos Gerais'!$C$4:$C$3143))</f>
        <v>0</v>
      </c>
      <c r="BB70" s="134">
        <f>SUMPRODUCT(-('Gastos Gerais'!$B$4:$B$3143=Analítico!$B70),-(Analítico!BB$3&gt;='Gastos Gerais'!$D$4:$D$3143),-(Analítico!BB$3&lt;='Gastos Gerais'!$E$4:$E$3143),-('Gastos Gerais'!$C$4:$C$3143))</f>
        <v>0</v>
      </c>
      <c r="BC70" s="134">
        <f>SUMPRODUCT(-('Gastos Gerais'!$B$4:$B$3143=Analítico!$B70),-(Analítico!BC$3&gt;='Gastos Gerais'!$D$4:$D$3143),-(Analítico!BC$3&lt;='Gastos Gerais'!$E$4:$E$3143),-('Gastos Gerais'!$C$4:$C$3143))</f>
        <v>0</v>
      </c>
      <c r="BD70" s="134">
        <f>SUMPRODUCT(-('Gastos Gerais'!$B$4:$B$3143=Analítico!$B70),-(Analítico!BD$3&gt;='Gastos Gerais'!$D$4:$D$3143),-(Analítico!BD$3&lt;='Gastos Gerais'!$E$4:$E$3143),-('Gastos Gerais'!$C$4:$C$3143))</f>
        <v>0</v>
      </c>
      <c r="BE70" s="134">
        <f>SUMPRODUCT(-('Gastos Gerais'!$B$4:$B$3143=Analítico!$B70),-(Analítico!BE$3&gt;='Gastos Gerais'!$D$4:$D$3143),-(Analítico!BE$3&lt;='Gastos Gerais'!$E$4:$E$3143),-('Gastos Gerais'!$C$4:$C$3143))</f>
        <v>0</v>
      </c>
      <c r="BF70" s="134">
        <f>SUMPRODUCT(-('Gastos Gerais'!$B$4:$B$3143=Analítico!$B70),-(Analítico!BF$3&gt;='Gastos Gerais'!$D$4:$D$3143),-(Analítico!BF$3&lt;='Gastos Gerais'!$E$4:$E$3143),-('Gastos Gerais'!$C$4:$C$3143))</f>
        <v>0</v>
      </c>
      <c r="BG70" s="134">
        <f>SUMPRODUCT(-('Gastos Gerais'!$B$4:$B$3143=Analítico!$B70),-(Analítico!BG$3&gt;='Gastos Gerais'!$D$4:$D$3143),-(Analítico!BG$3&lt;='Gastos Gerais'!$E$4:$E$3143),-('Gastos Gerais'!$C$4:$C$3143))</f>
        <v>0</v>
      </c>
      <c r="BH70" s="134">
        <f>SUMPRODUCT(-('Gastos Gerais'!$B$4:$B$3143=Analítico!$B70),-(Analítico!BH$3&gt;='Gastos Gerais'!$D$4:$D$3143),-(Analítico!BH$3&lt;='Gastos Gerais'!$E$4:$E$3143),-('Gastos Gerais'!$C$4:$C$3143))</f>
        <v>0</v>
      </c>
      <c r="BI70" s="134">
        <f>SUMPRODUCT(-('Gastos Gerais'!$B$4:$B$3143=Analítico!$B70),-(Analítico!BI$3&gt;='Gastos Gerais'!$D$4:$D$3143),-(Analítico!BI$3&lt;='Gastos Gerais'!$E$4:$E$3143),-('Gastos Gerais'!$C$4:$C$3143))</f>
        <v>0</v>
      </c>
      <c r="BJ70" s="134">
        <f>SUMPRODUCT(-('Gastos Gerais'!$B$4:$B$3143=Analítico!$B70),-(Analítico!BJ$3&gt;='Gastos Gerais'!$D$4:$D$3143),-(Analítico!BJ$3&lt;='Gastos Gerais'!$E$4:$E$3143),-('Gastos Gerais'!$C$4:$C$3143))</f>
        <v>0</v>
      </c>
      <c r="BK70" s="189">
        <f t="shared" si="24"/>
        <v>783000</v>
      </c>
      <c r="BL70" s="136">
        <f t="shared" ca="1" si="25"/>
        <v>2.6958675196116192E-3</v>
      </c>
    </row>
    <row r="71" spans="1:64" s="160" customFormat="1" ht="23.25" customHeight="1">
      <c r="A71" s="229" t="s">
        <v>219</v>
      </c>
      <c r="B71" s="230" t="s">
        <v>220</v>
      </c>
      <c r="C71" s="188">
        <f>SUMPRODUCT(-('Gastos Gerais'!$B$4:$B$3143=Analítico!$B71),-(Analítico!C$3&gt;='Gastos Gerais'!$D$4:$D$3143),-(Analítico!C$3&lt;='Gastos Gerais'!$E$4:$E$3143),-('Gastos Gerais'!$C$4:$C$3143))</f>
        <v>14000</v>
      </c>
      <c r="D71" s="134">
        <f>SUMPRODUCT(-('Gastos Gerais'!$B$4:$B$3143=Analítico!$B71),-(Analítico!D$3&gt;='Gastos Gerais'!$D$4:$D$3143),-(Analítico!D$3&lt;='Gastos Gerais'!$E$4:$E$3143),-('Gastos Gerais'!$C$4:$C$3143))</f>
        <v>14000</v>
      </c>
      <c r="E71" s="134">
        <f>SUMPRODUCT(-('Gastos Gerais'!$B$4:$B$3143=Analítico!$B71),-(Analítico!E$3&gt;='Gastos Gerais'!$D$4:$D$3143),-(Analítico!E$3&lt;='Gastos Gerais'!$E$4:$E$3143),-('Gastos Gerais'!$C$4:$C$3143))</f>
        <v>14000</v>
      </c>
      <c r="F71" s="134">
        <f>SUMPRODUCT(-('Gastos Gerais'!$B$4:$B$3143=Analítico!$B71),-(Analítico!F$3&gt;='Gastos Gerais'!$D$4:$D$3143),-(Analítico!F$3&lt;='Gastos Gerais'!$E$4:$E$3143),-('Gastos Gerais'!$C$4:$C$3143))</f>
        <v>14000</v>
      </c>
      <c r="G71" s="134">
        <f>SUMPRODUCT(-('Gastos Gerais'!$B$4:$B$3143=Analítico!$B71),-(Analítico!G$3&gt;='Gastos Gerais'!$D$4:$D$3143),-(Analítico!G$3&lt;='Gastos Gerais'!$E$4:$E$3143),-('Gastos Gerais'!$C$4:$C$3143))</f>
        <v>14000</v>
      </c>
      <c r="H71" s="134">
        <f>SUMPRODUCT(-('Gastos Gerais'!$B$4:$B$3143=Analítico!$B71),-(Analítico!H$3&gt;='Gastos Gerais'!$D$4:$D$3143),-(Analítico!H$3&lt;='Gastos Gerais'!$E$4:$E$3143),-('Gastos Gerais'!$C$4:$C$3143))</f>
        <v>14000</v>
      </c>
      <c r="I71" s="134">
        <f>SUMPRODUCT(-('Gastos Gerais'!$B$4:$B$3143=Analítico!$B71),-(Analítico!I$3&gt;='Gastos Gerais'!$D$4:$D$3143),-(Analítico!I$3&lt;='Gastos Gerais'!$E$4:$E$3143),-('Gastos Gerais'!$C$4:$C$3143))</f>
        <v>14000</v>
      </c>
      <c r="J71" s="134">
        <f>SUMPRODUCT(-('Gastos Gerais'!$B$4:$B$3143=Analítico!$B71),-(Analítico!J$3&gt;='Gastos Gerais'!$D$4:$D$3143),-(Analítico!J$3&lt;='Gastos Gerais'!$E$4:$E$3143),-('Gastos Gerais'!$C$4:$C$3143))</f>
        <v>14000</v>
      </c>
      <c r="K71" s="134">
        <f>SUMPRODUCT(-('Gastos Gerais'!$B$4:$B$3143=Analítico!$B71),-(Analítico!K$3&gt;='Gastos Gerais'!$D$4:$D$3143),-(Analítico!K$3&lt;='Gastos Gerais'!$E$4:$E$3143),-('Gastos Gerais'!$C$4:$C$3143))</f>
        <v>14000</v>
      </c>
      <c r="L71" s="134">
        <f>SUMPRODUCT(-('Gastos Gerais'!$B$4:$B$3143=Analítico!$B71),-(Analítico!L$3&gt;='Gastos Gerais'!$D$4:$D$3143),-(Analítico!L$3&lt;='Gastos Gerais'!$E$4:$E$3143),-('Gastos Gerais'!$C$4:$C$3143))</f>
        <v>14000</v>
      </c>
      <c r="M71" s="134">
        <f>SUMPRODUCT(-('Gastos Gerais'!$B$4:$B$3143=Analítico!$B71),-(Analítico!M$3&gt;='Gastos Gerais'!$D$4:$D$3143),-(Analítico!M$3&lt;='Gastos Gerais'!$E$4:$E$3143),-('Gastos Gerais'!$C$4:$C$3143))</f>
        <v>14000</v>
      </c>
      <c r="N71" s="134">
        <f>SUMPRODUCT(-('Gastos Gerais'!$B$4:$B$3143=Analítico!$B71),-(Analítico!N$3&gt;='Gastos Gerais'!$D$4:$D$3143),-(Analítico!N$3&lt;='Gastos Gerais'!$E$4:$E$3143),-('Gastos Gerais'!$C$4:$C$3143))</f>
        <v>14000</v>
      </c>
      <c r="O71" s="134">
        <f>SUMPRODUCT(-('Gastos Gerais'!$B$4:$B$3143=Analítico!$B71),-(Analítico!O$3&gt;='Gastos Gerais'!$D$4:$D$3143),-(Analítico!O$3&lt;='Gastos Gerais'!$E$4:$E$3143),-('Gastos Gerais'!$C$4:$C$3143))</f>
        <v>14000</v>
      </c>
      <c r="P71" s="134">
        <f>SUMPRODUCT(-('Gastos Gerais'!$B$4:$B$3143=Analítico!$B71),-(Analítico!P$3&gt;='Gastos Gerais'!$D$4:$D$3143),-(Analítico!P$3&lt;='Gastos Gerais'!$E$4:$E$3143),-('Gastos Gerais'!$C$4:$C$3143))</f>
        <v>14000</v>
      </c>
      <c r="Q71" s="134">
        <f>SUMPRODUCT(-('Gastos Gerais'!$B$4:$B$3143=Analítico!$B71),-(Analítico!Q$3&gt;='Gastos Gerais'!$D$4:$D$3143),-(Analítico!Q$3&lt;='Gastos Gerais'!$E$4:$E$3143),-('Gastos Gerais'!$C$4:$C$3143))</f>
        <v>14000</v>
      </c>
      <c r="R71" s="134">
        <f>SUMPRODUCT(-('Gastos Gerais'!$B$4:$B$3143=Analítico!$B71),-(Analítico!R$3&gt;='Gastos Gerais'!$D$4:$D$3143),-(Analítico!R$3&lt;='Gastos Gerais'!$E$4:$E$3143),-('Gastos Gerais'!$C$4:$C$3143))</f>
        <v>14000</v>
      </c>
      <c r="S71" s="134">
        <f>SUMPRODUCT(-('Gastos Gerais'!$B$4:$B$3143=Analítico!$B71),-(Analítico!S$3&gt;='Gastos Gerais'!$D$4:$D$3143),-(Analítico!S$3&lt;='Gastos Gerais'!$E$4:$E$3143),-('Gastos Gerais'!$C$4:$C$3143))</f>
        <v>14000</v>
      </c>
      <c r="T71" s="134">
        <f>SUMPRODUCT(-('Gastos Gerais'!$B$4:$B$3143=Analítico!$B71),-(Analítico!T$3&gt;='Gastos Gerais'!$D$4:$D$3143),-(Analítico!T$3&lt;='Gastos Gerais'!$E$4:$E$3143),-('Gastos Gerais'!$C$4:$C$3143))</f>
        <v>14000</v>
      </c>
      <c r="U71" s="134">
        <f>SUMPRODUCT(-('Gastos Gerais'!$B$4:$B$3143=Analítico!$B71),-(Analítico!U$3&gt;='Gastos Gerais'!$D$4:$D$3143),-(Analítico!U$3&lt;='Gastos Gerais'!$E$4:$E$3143),-('Gastos Gerais'!$C$4:$C$3143))</f>
        <v>14000</v>
      </c>
      <c r="V71" s="134">
        <f>SUMPRODUCT(-('Gastos Gerais'!$B$4:$B$3143=Analítico!$B71),-(Analítico!V$3&gt;='Gastos Gerais'!$D$4:$D$3143),-(Analítico!V$3&lt;='Gastos Gerais'!$E$4:$E$3143),-('Gastos Gerais'!$C$4:$C$3143))</f>
        <v>14000</v>
      </c>
      <c r="W71" s="134">
        <f>SUMPRODUCT(-('Gastos Gerais'!$B$4:$B$3143=Analítico!$B71),-(Analítico!W$3&gt;='Gastos Gerais'!$D$4:$D$3143),-(Analítico!W$3&lt;='Gastos Gerais'!$E$4:$E$3143),-('Gastos Gerais'!$C$4:$C$3143))</f>
        <v>14000</v>
      </c>
      <c r="X71" s="134">
        <f>SUMPRODUCT(-('Gastos Gerais'!$B$4:$B$3143=Analítico!$B71),-(Analítico!X$3&gt;='Gastos Gerais'!$D$4:$D$3143),-(Analítico!X$3&lt;='Gastos Gerais'!$E$4:$E$3143),-('Gastos Gerais'!$C$4:$C$3143))</f>
        <v>14000</v>
      </c>
      <c r="Y71" s="134">
        <f>SUMPRODUCT(-('Gastos Gerais'!$B$4:$B$3143=Analítico!$B71),-(Analítico!Y$3&gt;='Gastos Gerais'!$D$4:$D$3143),-(Analítico!Y$3&lt;='Gastos Gerais'!$E$4:$E$3143),-('Gastos Gerais'!$C$4:$C$3143))</f>
        <v>14000</v>
      </c>
      <c r="Z71" s="134">
        <f>SUMPRODUCT(-('Gastos Gerais'!$B$4:$B$3143=Analítico!$B71),-(Analítico!Z$3&gt;='Gastos Gerais'!$D$4:$D$3143),-(Analítico!Z$3&lt;='Gastos Gerais'!$E$4:$E$3143),-('Gastos Gerais'!$C$4:$C$3143))</f>
        <v>14000</v>
      </c>
      <c r="AA71" s="134">
        <f>SUMPRODUCT(-('Gastos Gerais'!$B$4:$B$3143=Analítico!$B71),-(Analítico!AA$3&gt;='Gastos Gerais'!$D$4:$D$3143),-(Analítico!AA$3&lt;='Gastos Gerais'!$E$4:$E$3143),-('Gastos Gerais'!$C$4:$C$3143))</f>
        <v>14000</v>
      </c>
      <c r="AB71" s="134">
        <f>SUMPRODUCT(-('Gastos Gerais'!$B$4:$B$3143=Analítico!$B71),-(Analítico!AB$3&gt;='Gastos Gerais'!$D$4:$D$3143),-(Analítico!AB$3&lt;='Gastos Gerais'!$E$4:$E$3143),-('Gastos Gerais'!$C$4:$C$3143))</f>
        <v>14000</v>
      </c>
      <c r="AC71" s="134">
        <f>SUMPRODUCT(-('Gastos Gerais'!$B$4:$B$3143=Analítico!$B71),-(Analítico!AC$3&gt;='Gastos Gerais'!$D$4:$D$3143),-(Analítico!AC$3&lt;='Gastos Gerais'!$E$4:$E$3143),-('Gastos Gerais'!$C$4:$C$3143))</f>
        <v>14000</v>
      </c>
      <c r="AD71" s="134">
        <f>SUMPRODUCT(-('Gastos Gerais'!$B$4:$B$3143=Analítico!$B71),-(Analítico!AD$3&gt;='Gastos Gerais'!$D$4:$D$3143),-(Analítico!AD$3&lt;='Gastos Gerais'!$E$4:$E$3143),-('Gastos Gerais'!$C$4:$C$3143))</f>
        <v>14000</v>
      </c>
      <c r="AE71" s="134">
        <f>SUMPRODUCT(-('Gastos Gerais'!$B$4:$B$3143=Analítico!$B71),-(Analítico!AE$3&gt;='Gastos Gerais'!$D$4:$D$3143),-(Analítico!AE$3&lt;='Gastos Gerais'!$E$4:$E$3143),-('Gastos Gerais'!$C$4:$C$3143))</f>
        <v>14000</v>
      </c>
      <c r="AF71" s="134">
        <f>SUMPRODUCT(-('Gastos Gerais'!$B$4:$B$3143=Analítico!$B71),-(Analítico!AF$3&gt;='Gastos Gerais'!$D$4:$D$3143),-(Analítico!AF$3&lt;='Gastos Gerais'!$E$4:$E$3143),-('Gastos Gerais'!$C$4:$C$3143))</f>
        <v>14000</v>
      </c>
      <c r="AG71" s="134">
        <f>SUMPRODUCT(-('Gastos Gerais'!$B$4:$B$3143=Analítico!$B71),-(Analítico!AG$3&gt;='Gastos Gerais'!$D$4:$D$3143),-(Analítico!AG$3&lt;='Gastos Gerais'!$E$4:$E$3143),-('Gastos Gerais'!$C$4:$C$3143))</f>
        <v>14000</v>
      </c>
      <c r="AH71" s="134">
        <f>SUMPRODUCT(-('Gastos Gerais'!$B$4:$B$3143=Analítico!$B71),-(Analítico!AH$3&gt;='Gastos Gerais'!$D$4:$D$3143),-(Analítico!AH$3&lt;='Gastos Gerais'!$E$4:$E$3143),-('Gastos Gerais'!$C$4:$C$3143))</f>
        <v>14000</v>
      </c>
      <c r="AI71" s="134">
        <f>SUMPRODUCT(-('Gastos Gerais'!$B$4:$B$3143=Analítico!$B71),-(Analítico!AI$3&gt;='Gastos Gerais'!$D$4:$D$3143),-(Analítico!AI$3&lt;='Gastos Gerais'!$E$4:$E$3143),-('Gastos Gerais'!$C$4:$C$3143))</f>
        <v>14000</v>
      </c>
      <c r="AJ71" s="134">
        <f>SUMPRODUCT(-('Gastos Gerais'!$B$4:$B$3143=Analítico!$B71),-(Analítico!AJ$3&gt;='Gastos Gerais'!$D$4:$D$3143),-(Analítico!AJ$3&lt;='Gastos Gerais'!$E$4:$E$3143),-('Gastos Gerais'!$C$4:$C$3143))</f>
        <v>14000</v>
      </c>
      <c r="AK71" s="134">
        <f>SUMPRODUCT(-('Gastos Gerais'!$B$4:$B$3143=Analítico!$B71),-(Analítico!AK$3&gt;='Gastos Gerais'!$D$4:$D$3143),-(Analítico!AK$3&lt;='Gastos Gerais'!$E$4:$E$3143),-('Gastos Gerais'!$C$4:$C$3143))</f>
        <v>14000</v>
      </c>
      <c r="AL71" s="134">
        <f>SUMPRODUCT(-('Gastos Gerais'!$B$4:$B$3143=Analítico!$B71),-(Analítico!AL$3&gt;='Gastos Gerais'!$D$4:$D$3143),-(Analítico!AL$3&lt;='Gastos Gerais'!$E$4:$E$3143),-('Gastos Gerais'!$C$4:$C$3143))</f>
        <v>14000</v>
      </c>
      <c r="AM71" s="134">
        <f>SUMPRODUCT(-('Gastos Gerais'!$B$4:$B$3143=Analítico!$B71),-(Analítico!AM$3&gt;='Gastos Gerais'!$D$4:$D$3143),-(Analítico!AM$3&lt;='Gastos Gerais'!$E$4:$E$3143),-('Gastos Gerais'!$C$4:$C$3143))</f>
        <v>7000</v>
      </c>
      <c r="AN71" s="134">
        <f>SUMPRODUCT(-('Gastos Gerais'!$B$4:$B$3143=Analítico!$B71),-(Analítico!AN$3&gt;='Gastos Gerais'!$D$4:$D$3143),-(Analítico!AN$3&lt;='Gastos Gerais'!$E$4:$E$3143),-('Gastos Gerais'!$C$4:$C$3143))</f>
        <v>7000</v>
      </c>
      <c r="AO71" s="134">
        <f>SUMPRODUCT(-('Gastos Gerais'!$B$4:$B$3143=Analítico!$B71),-(Analítico!AO$3&gt;='Gastos Gerais'!$D$4:$D$3143),-(Analítico!AO$3&lt;='Gastos Gerais'!$E$4:$E$3143),-('Gastos Gerais'!$C$4:$C$3143))</f>
        <v>7000</v>
      </c>
      <c r="AP71" s="134">
        <f>SUMPRODUCT(-('Gastos Gerais'!$B$4:$B$3143=Analítico!$B71),-(Analítico!AP$3&gt;='Gastos Gerais'!$D$4:$D$3143),-(Analítico!AP$3&lt;='Gastos Gerais'!$E$4:$E$3143),-('Gastos Gerais'!$C$4:$C$3143))</f>
        <v>7000</v>
      </c>
      <c r="AQ71" s="134">
        <f>SUMPRODUCT(-('Gastos Gerais'!$B$4:$B$3143=Analítico!$B71),-(Analítico!AQ$3&gt;='Gastos Gerais'!$D$4:$D$3143),-(Analítico!AQ$3&lt;='Gastos Gerais'!$E$4:$E$3143),-('Gastos Gerais'!$C$4:$C$3143))</f>
        <v>7000</v>
      </c>
      <c r="AR71" s="134">
        <f>SUMPRODUCT(-('Gastos Gerais'!$B$4:$B$3143=Analítico!$B71),-(Analítico!AR$3&gt;='Gastos Gerais'!$D$4:$D$3143),-(Analítico!AR$3&lt;='Gastos Gerais'!$E$4:$E$3143),-('Gastos Gerais'!$C$4:$C$3143))</f>
        <v>7000</v>
      </c>
      <c r="AS71" s="134">
        <f>SUMPRODUCT(-('Gastos Gerais'!$B$4:$B$3143=Analítico!$B71),-(Analítico!AS$3&gt;='Gastos Gerais'!$D$4:$D$3143),-(Analítico!AS$3&lt;='Gastos Gerais'!$E$4:$E$3143),-('Gastos Gerais'!$C$4:$C$3143))</f>
        <v>7000</v>
      </c>
      <c r="AT71" s="134">
        <f>SUMPRODUCT(-('Gastos Gerais'!$B$4:$B$3143=Analítico!$B71),-(Analítico!AT$3&gt;='Gastos Gerais'!$D$4:$D$3143),-(Analítico!AT$3&lt;='Gastos Gerais'!$E$4:$E$3143),-('Gastos Gerais'!$C$4:$C$3143))</f>
        <v>7000</v>
      </c>
      <c r="AU71" s="134">
        <f>SUMPRODUCT(-('Gastos Gerais'!$B$4:$B$3143=Analítico!$B71),-(Analítico!AU$3&gt;='Gastos Gerais'!$D$4:$D$3143),-(Analítico!AU$3&lt;='Gastos Gerais'!$E$4:$E$3143),-('Gastos Gerais'!$C$4:$C$3143))</f>
        <v>7000</v>
      </c>
      <c r="AV71" s="134">
        <f>SUMPRODUCT(-('Gastos Gerais'!$B$4:$B$3143=Analítico!$B71),-(Analítico!AV$3&gt;='Gastos Gerais'!$D$4:$D$3143),-(Analítico!AV$3&lt;='Gastos Gerais'!$E$4:$E$3143),-('Gastos Gerais'!$C$4:$C$3143))</f>
        <v>7000</v>
      </c>
      <c r="AW71" s="134">
        <f>SUMPRODUCT(-('Gastos Gerais'!$B$4:$B$3143=Analítico!$B71),-(Analítico!AW$3&gt;='Gastos Gerais'!$D$4:$D$3143),-(Analítico!AW$3&lt;='Gastos Gerais'!$E$4:$E$3143),-('Gastos Gerais'!$C$4:$C$3143))</f>
        <v>7000</v>
      </c>
      <c r="AX71" s="134">
        <f>SUMPRODUCT(-('Gastos Gerais'!$B$4:$B$3143=Analítico!$B71),-(Analítico!AX$3&gt;='Gastos Gerais'!$D$4:$D$3143),-(Analítico!AX$3&lt;='Gastos Gerais'!$E$4:$E$3143),-('Gastos Gerais'!$C$4:$C$3143))</f>
        <v>0</v>
      </c>
      <c r="AY71" s="134">
        <f>SUMPRODUCT(-('Gastos Gerais'!$B$4:$B$3143=Analítico!$B71),-(Analítico!AY$3&gt;='Gastos Gerais'!$D$4:$D$3143),-(Analítico!AY$3&lt;='Gastos Gerais'!$E$4:$E$3143),-('Gastos Gerais'!$C$4:$C$3143))</f>
        <v>0</v>
      </c>
      <c r="AZ71" s="134">
        <f>SUMPRODUCT(-('Gastos Gerais'!$B$4:$B$3143=Analítico!$B71),-(Analítico!AZ$3&gt;='Gastos Gerais'!$D$4:$D$3143),-(Analítico!AZ$3&lt;='Gastos Gerais'!$E$4:$E$3143),-('Gastos Gerais'!$C$4:$C$3143))</f>
        <v>0</v>
      </c>
      <c r="BA71" s="134">
        <f>SUMPRODUCT(-('Gastos Gerais'!$B$4:$B$3143=Analítico!$B71),-(Analítico!BA$3&gt;='Gastos Gerais'!$D$4:$D$3143),-(Analítico!BA$3&lt;='Gastos Gerais'!$E$4:$E$3143),-('Gastos Gerais'!$C$4:$C$3143))</f>
        <v>0</v>
      </c>
      <c r="BB71" s="134">
        <f>SUMPRODUCT(-('Gastos Gerais'!$B$4:$B$3143=Analítico!$B71),-(Analítico!BB$3&gt;='Gastos Gerais'!$D$4:$D$3143),-(Analítico!BB$3&lt;='Gastos Gerais'!$E$4:$E$3143),-('Gastos Gerais'!$C$4:$C$3143))</f>
        <v>0</v>
      </c>
      <c r="BC71" s="134">
        <f>SUMPRODUCT(-('Gastos Gerais'!$B$4:$B$3143=Analítico!$B71),-(Analítico!BC$3&gt;='Gastos Gerais'!$D$4:$D$3143),-(Analítico!BC$3&lt;='Gastos Gerais'!$E$4:$E$3143),-('Gastos Gerais'!$C$4:$C$3143))</f>
        <v>0</v>
      </c>
      <c r="BD71" s="134">
        <f>SUMPRODUCT(-('Gastos Gerais'!$B$4:$B$3143=Analítico!$B71),-(Analítico!BD$3&gt;='Gastos Gerais'!$D$4:$D$3143),-(Analítico!BD$3&lt;='Gastos Gerais'!$E$4:$E$3143),-('Gastos Gerais'!$C$4:$C$3143))</f>
        <v>0</v>
      </c>
      <c r="BE71" s="134">
        <f>SUMPRODUCT(-('Gastos Gerais'!$B$4:$B$3143=Analítico!$B71),-(Analítico!BE$3&gt;='Gastos Gerais'!$D$4:$D$3143),-(Analítico!BE$3&lt;='Gastos Gerais'!$E$4:$E$3143),-('Gastos Gerais'!$C$4:$C$3143))</f>
        <v>0</v>
      </c>
      <c r="BF71" s="134">
        <f>SUMPRODUCT(-('Gastos Gerais'!$B$4:$B$3143=Analítico!$B71),-(Analítico!BF$3&gt;='Gastos Gerais'!$D$4:$D$3143),-(Analítico!BF$3&lt;='Gastos Gerais'!$E$4:$E$3143),-('Gastos Gerais'!$C$4:$C$3143))</f>
        <v>0</v>
      </c>
      <c r="BG71" s="134">
        <f>SUMPRODUCT(-('Gastos Gerais'!$B$4:$B$3143=Analítico!$B71),-(Analítico!BG$3&gt;='Gastos Gerais'!$D$4:$D$3143),-(Analítico!BG$3&lt;='Gastos Gerais'!$E$4:$E$3143),-('Gastos Gerais'!$C$4:$C$3143))</f>
        <v>0</v>
      </c>
      <c r="BH71" s="134">
        <f>SUMPRODUCT(-('Gastos Gerais'!$B$4:$B$3143=Analítico!$B71),-(Analítico!BH$3&gt;='Gastos Gerais'!$D$4:$D$3143),-(Analítico!BH$3&lt;='Gastos Gerais'!$E$4:$E$3143),-('Gastos Gerais'!$C$4:$C$3143))</f>
        <v>0</v>
      </c>
      <c r="BI71" s="134">
        <f>SUMPRODUCT(-('Gastos Gerais'!$B$4:$B$3143=Analítico!$B71),-(Analítico!BI$3&gt;='Gastos Gerais'!$D$4:$D$3143),-(Analítico!BI$3&lt;='Gastos Gerais'!$E$4:$E$3143),-('Gastos Gerais'!$C$4:$C$3143))</f>
        <v>0</v>
      </c>
      <c r="BJ71" s="134">
        <f>SUMPRODUCT(-('Gastos Gerais'!$B$4:$B$3143=Analítico!$B71),-(Analítico!BJ$3&gt;='Gastos Gerais'!$D$4:$D$3143),-(Analítico!BJ$3&lt;='Gastos Gerais'!$E$4:$E$3143),-('Gastos Gerais'!$C$4:$C$3143))</f>
        <v>0</v>
      </c>
      <c r="BK71" s="189">
        <f t="shared" si="24"/>
        <v>581000</v>
      </c>
      <c r="BL71" s="136">
        <f t="shared" ca="1" si="25"/>
        <v>2.0003819015253521E-3</v>
      </c>
    </row>
    <row r="72" spans="1:64" s="160" customFormat="1" ht="23.25" customHeight="1">
      <c r="A72" s="229" t="s">
        <v>221</v>
      </c>
      <c r="B72" s="230" t="s">
        <v>222</v>
      </c>
      <c r="C72" s="188">
        <f>SUMPRODUCT(-('Gastos Gerais'!$B$4:$B$3143=Analítico!$B72),-(Analítico!C$3&gt;='Gastos Gerais'!$D$4:$D$3143),-(Analítico!C$3&lt;='Gastos Gerais'!$E$4:$E$3143),-('Gastos Gerais'!$C$4:$C$3143))</f>
        <v>0</v>
      </c>
      <c r="D72" s="134">
        <f>SUMPRODUCT(-('Gastos Gerais'!$B$4:$B$3143=Analítico!$B72),-(Analítico!D$3&gt;='Gastos Gerais'!$D$4:$D$3143),-(Analítico!D$3&lt;='Gastos Gerais'!$E$4:$E$3143),-('Gastos Gerais'!$C$4:$C$3143))</f>
        <v>0</v>
      </c>
      <c r="E72" s="134">
        <f>SUMPRODUCT(-('Gastos Gerais'!$B$4:$B$3143=Analítico!$B72),-(Analítico!E$3&gt;='Gastos Gerais'!$D$4:$D$3143),-(Analítico!E$3&lt;='Gastos Gerais'!$E$4:$E$3143),-('Gastos Gerais'!$C$4:$C$3143))</f>
        <v>0</v>
      </c>
      <c r="F72" s="134">
        <f>SUMPRODUCT(-('Gastos Gerais'!$B$4:$B$3143=Analítico!$B72),-(Analítico!F$3&gt;='Gastos Gerais'!$D$4:$D$3143),-(Analítico!F$3&lt;='Gastos Gerais'!$E$4:$E$3143),-('Gastos Gerais'!$C$4:$C$3143))</f>
        <v>0</v>
      </c>
      <c r="G72" s="134">
        <f>SUMPRODUCT(-('Gastos Gerais'!$B$4:$B$3143=Analítico!$B72),-(Analítico!G$3&gt;='Gastos Gerais'!$D$4:$D$3143),-(Analítico!G$3&lt;='Gastos Gerais'!$E$4:$E$3143),-('Gastos Gerais'!$C$4:$C$3143))</f>
        <v>0</v>
      </c>
      <c r="H72" s="134">
        <f>SUMPRODUCT(-('Gastos Gerais'!$B$4:$B$3143=Analítico!$B72),-(Analítico!H$3&gt;='Gastos Gerais'!$D$4:$D$3143),-(Analítico!H$3&lt;='Gastos Gerais'!$E$4:$E$3143),-('Gastos Gerais'!$C$4:$C$3143))</f>
        <v>0</v>
      </c>
      <c r="I72" s="134">
        <f>SUMPRODUCT(-('Gastos Gerais'!$B$4:$B$3143=Analítico!$B72),-(Analítico!I$3&gt;='Gastos Gerais'!$D$4:$D$3143),-(Analítico!I$3&lt;='Gastos Gerais'!$E$4:$E$3143),-('Gastos Gerais'!$C$4:$C$3143))</f>
        <v>0</v>
      </c>
      <c r="J72" s="134">
        <f>SUMPRODUCT(-('Gastos Gerais'!$B$4:$B$3143=Analítico!$B72),-(Analítico!J$3&gt;='Gastos Gerais'!$D$4:$D$3143),-(Analítico!J$3&lt;='Gastos Gerais'!$E$4:$E$3143),-('Gastos Gerais'!$C$4:$C$3143))</f>
        <v>0</v>
      </c>
      <c r="K72" s="134">
        <f>SUMPRODUCT(-('Gastos Gerais'!$B$4:$B$3143=Analítico!$B72),-(Analítico!K$3&gt;='Gastos Gerais'!$D$4:$D$3143),-(Analítico!K$3&lt;='Gastos Gerais'!$E$4:$E$3143),-('Gastos Gerais'!$C$4:$C$3143))</f>
        <v>0</v>
      </c>
      <c r="L72" s="134">
        <f>SUMPRODUCT(-('Gastos Gerais'!$B$4:$B$3143=Analítico!$B72),-(Analítico!L$3&gt;='Gastos Gerais'!$D$4:$D$3143),-(Analítico!L$3&lt;='Gastos Gerais'!$E$4:$E$3143),-('Gastos Gerais'!$C$4:$C$3143))</f>
        <v>0</v>
      </c>
      <c r="M72" s="134">
        <f>SUMPRODUCT(-('Gastos Gerais'!$B$4:$B$3143=Analítico!$B72),-(Analítico!M$3&gt;='Gastos Gerais'!$D$4:$D$3143),-(Analítico!M$3&lt;='Gastos Gerais'!$E$4:$E$3143),-('Gastos Gerais'!$C$4:$C$3143))</f>
        <v>0</v>
      </c>
      <c r="N72" s="134">
        <f>SUMPRODUCT(-('Gastos Gerais'!$B$4:$B$3143=Analítico!$B72),-(Analítico!N$3&gt;='Gastos Gerais'!$D$4:$D$3143),-(Analítico!N$3&lt;='Gastos Gerais'!$E$4:$E$3143),-('Gastos Gerais'!$C$4:$C$3143))</f>
        <v>0</v>
      </c>
      <c r="O72" s="134">
        <f>SUMPRODUCT(-('Gastos Gerais'!$B$4:$B$3143=Analítico!$B72),-(Analítico!O$3&gt;='Gastos Gerais'!$D$4:$D$3143),-(Analítico!O$3&lt;='Gastos Gerais'!$E$4:$E$3143),-('Gastos Gerais'!$C$4:$C$3143))</f>
        <v>0</v>
      </c>
      <c r="P72" s="134">
        <f>SUMPRODUCT(-('Gastos Gerais'!$B$4:$B$3143=Analítico!$B72),-(Analítico!P$3&gt;='Gastos Gerais'!$D$4:$D$3143),-(Analítico!P$3&lt;='Gastos Gerais'!$E$4:$E$3143),-('Gastos Gerais'!$C$4:$C$3143))</f>
        <v>0</v>
      </c>
      <c r="Q72" s="134">
        <f>SUMPRODUCT(-('Gastos Gerais'!$B$4:$B$3143=Analítico!$B72),-(Analítico!Q$3&gt;='Gastos Gerais'!$D$4:$D$3143),-(Analítico!Q$3&lt;='Gastos Gerais'!$E$4:$E$3143),-('Gastos Gerais'!$C$4:$C$3143))</f>
        <v>0</v>
      </c>
      <c r="R72" s="134">
        <f>SUMPRODUCT(-('Gastos Gerais'!$B$4:$B$3143=Analítico!$B72),-(Analítico!R$3&gt;='Gastos Gerais'!$D$4:$D$3143),-(Analítico!R$3&lt;='Gastos Gerais'!$E$4:$E$3143),-('Gastos Gerais'!$C$4:$C$3143))</f>
        <v>0</v>
      </c>
      <c r="S72" s="134">
        <f>SUMPRODUCT(-('Gastos Gerais'!$B$4:$B$3143=Analítico!$B72),-(Analítico!S$3&gt;='Gastos Gerais'!$D$4:$D$3143),-(Analítico!S$3&lt;='Gastos Gerais'!$E$4:$E$3143),-('Gastos Gerais'!$C$4:$C$3143))</f>
        <v>0</v>
      </c>
      <c r="T72" s="134">
        <f>SUMPRODUCT(-('Gastos Gerais'!$B$4:$B$3143=Analítico!$B72),-(Analítico!T$3&gt;='Gastos Gerais'!$D$4:$D$3143),-(Analítico!T$3&lt;='Gastos Gerais'!$E$4:$E$3143),-('Gastos Gerais'!$C$4:$C$3143))</f>
        <v>0</v>
      </c>
      <c r="U72" s="134">
        <f>SUMPRODUCT(-('Gastos Gerais'!$B$4:$B$3143=Analítico!$B72),-(Analítico!U$3&gt;='Gastos Gerais'!$D$4:$D$3143),-(Analítico!U$3&lt;='Gastos Gerais'!$E$4:$E$3143),-('Gastos Gerais'!$C$4:$C$3143))</f>
        <v>0</v>
      </c>
      <c r="V72" s="134">
        <f>SUMPRODUCT(-('Gastos Gerais'!$B$4:$B$3143=Analítico!$B72),-(Analítico!V$3&gt;='Gastos Gerais'!$D$4:$D$3143),-(Analítico!V$3&lt;='Gastos Gerais'!$E$4:$E$3143),-('Gastos Gerais'!$C$4:$C$3143))</f>
        <v>0</v>
      </c>
      <c r="W72" s="134">
        <f>SUMPRODUCT(-('Gastos Gerais'!$B$4:$B$3143=Analítico!$B72),-(Analítico!W$3&gt;='Gastos Gerais'!$D$4:$D$3143),-(Analítico!W$3&lt;='Gastos Gerais'!$E$4:$E$3143),-('Gastos Gerais'!$C$4:$C$3143))</f>
        <v>0</v>
      </c>
      <c r="X72" s="134">
        <f>SUMPRODUCT(-('Gastos Gerais'!$B$4:$B$3143=Analítico!$B72),-(Analítico!X$3&gt;='Gastos Gerais'!$D$4:$D$3143),-(Analítico!X$3&lt;='Gastos Gerais'!$E$4:$E$3143),-('Gastos Gerais'!$C$4:$C$3143))</f>
        <v>0</v>
      </c>
      <c r="Y72" s="134">
        <f>SUMPRODUCT(-('Gastos Gerais'!$B$4:$B$3143=Analítico!$B72),-(Analítico!Y$3&gt;='Gastos Gerais'!$D$4:$D$3143),-(Analítico!Y$3&lt;='Gastos Gerais'!$E$4:$E$3143),-('Gastos Gerais'!$C$4:$C$3143))</f>
        <v>0</v>
      </c>
      <c r="Z72" s="134">
        <f>SUMPRODUCT(-('Gastos Gerais'!$B$4:$B$3143=Analítico!$B72),-(Analítico!Z$3&gt;='Gastos Gerais'!$D$4:$D$3143),-(Analítico!Z$3&lt;='Gastos Gerais'!$E$4:$E$3143),-('Gastos Gerais'!$C$4:$C$3143))</f>
        <v>0</v>
      </c>
      <c r="AA72" s="134">
        <f>SUMPRODUCT(-('Gastos Gerais'!$B$4:$B$3143=Analítico!$B72),-(Analítico!AA$3&gt;='Gastos Gerais'!$D$4:$D$3143),-(Analítico!AA$3&lt;='Gastos Gerais'!$E$4:$E$3143),-('Gastos Gerais'!$C$4:$C$3143))</f>
        <v>0</v>
      </c>
      <c r="AB72" s="134">
        <f>SUMPRODUCT(-('Gastos Gerais'!$B$4:$B$3143=Analítico!$B72),-(Analítico!AB$3&gt;='Gastos Gerais'!$D$4:$D$3143),-(Analítico!AB$3&lt;='Gastos Gerais'!$E$4:$E$3143),-('Gastos Gerais'!$C$4:$C$3143))</f>
        <v>0</v>
      </c>
      <c r="AC72" s="134">
        <f>SUMPRODUCT(-('Gastos Gerais'!$B$4:$B$3143=Analítico!$B72),-(Analítico!AC$3&gt;='Gastos Gerais'!$D$4:$D$3143),-(Analítico!AC$3&lt;='Gastos Gerais'!$E$4:$E$3143),-('Gastos Gerais'!$C$4:$C$3143))</f>
        <v>0</v>
      </c>
      <c r="AD72" s="134">
        <f>SUMPRODUCT(-('Gastos Gerais'!$B$4:$B$3143=Analítico!$B72),-(Analítico!AD$3&gt;='Gastos Gerais'!$D$4:$D$3143),-(Analítico!AD$3&lt;='Gastos Gerais'!$E$4:$E$3143),-('Gastos Gerais'!$C$4:$C$3143))</f>
        <v>0</v>
      </c>
      <c r="AE72" s="134">
        <f>SUMPRODUCT(-('Gastos Gerais'!$B$4:$B$3143=Analítico!$B72),-(Analítico!AE$3&gt;='Gastos Gerais'!$D$4:$D$3143),-(Analítico!AE$3&lt;='Gastos Gerais'!$E$4:$E$3143),-('Gastos Gerais'!$C$4:$C$3143))</f>
        <v>0</v>
      </c>
      <c r="AF72" s="134">
        <f>SUMPRODUCT(-('Gastos Gerais'!$B$4:$B$3143=Analítico!$B72),-(Analítico!AF$3&gt;='Gastos Gerais'!$D$4:$D$3143),-(Analítico!AF$3&lt;='Gastos Gerais'!$E$4:$E$3143),-('Gastos Gerais'!$C$4:$C$3143))</f>
        <v>0</v>
      </c>
      <c r="AG72" s="134">
        <f>SUMPRODUCT(-('Gastos Gerais'!$B$4:$B$3143=Analítico!$B72),-(Analítico!AG$3&gt;='Gastos Gerais'!$D$4:$D$3143),-(Analítico!AG$3&lt;='Gastos Gerais'!$E$4:$E$3143),-('Gastos Gerais'!$C$4:$C$3143))</f>
        <v>0</v>
      </c>
      <c r="AH72" s="134">
        <f>SUMPRODUCT(-('Gastos Gerais'!$B$4:$B$3143=Analítico!$B72),-(Analítico!AH$3&gt;='Gastos Gerais'!$D$4:$D$3143),-(Analítico!AH$3&lt;='Gastos Gerais'!$E$4:$E$3143),-('Gastos Gerais'!$C$4:$C$3143))</f>
        <v>0</v>
      </c>
      <c r="AI72" s="134">
        <f>SUMPRODUCT(-('Gastos Gerais'!$B$4:$B$3143=Analítico!$B72),-(Analítico!AI$3&gt;='Gastos Gerais'!$D$4:$D$3143),-(Analítico!AI$3&lt;='Gastos Gerais'!$E$4:$E$3143),-('Gastos Gerais'!$C$4:$C$3143))</f>
        <v>0</v>
      </c>
      <c r="AJ72" s="134">
        <f>SUMPRODUCT(-('Gastos Gerais'!$B$4:$B$3143=Analítico!$B72),-(Analítico!AJ$3&gt;='Gastos Gerais'!$D$4:$D$3143),-(Analítico!AJ$3&lt;='Gastos Gerais'!$E$4:$E$3143),-('Gastos Gerais'!$C$4:$C$3143))</f>
        <v>0</v>
      </c>
      <c r="AK72" s="134">
        <f>SUMPRODUCT(-('Gastos Gerais'!$B$4:$B$3143=Analítico!$B72),-(Analítico!AK$3&gt;='Gastos Gerais'!$D$4:$D$3143),-(Analítico!AK$3&lt;='Gastos Gerais'!$E$4:$E$3143),-('Gastos Gerais'!$C$4:$C$3143))</f>
        <v>0</v>
      </c>
      <c r="AL72" s="134">
        <f>SUMPRODUCT(-('Gastos Gerais'!$B$4:$B$3143=Analítico!$B72),-(Analítico!AL$3&gt;='Gastos Gerais'!$D$4:$D$3143),-(Analítico!AL$3&lt;='Gastos Gerais'!$E$4:$E$3143),-('Gastos Gerais'!$C$4:$C$3143))</f>
        <v>0</v>
      </c>
      <c r="AM72" s="134">
        <f>SUMPRODUCT(-('Gastos Gerais'!$B$4:$B$3143=Analítico!$B72),-(Analítico!AM$3&gt;='Gastos Gerais'!$D$4:$D$3143),-(Analítico!AM$3&lt;='Gastos Gerais'!$E$4:$E$3143),-('Gastos Gerais'!$C$4:$C$3143))</f>
        <v>0</v>
      </c>
      <c r="AN72" s="134">
        <f>SUMPRODUCT(-('Gastos Gerais'!$B$4:$B$3143=Analítico!$B72),-(Analítico!AN$3&gt;='Gastos Gerais'!$D$4:$D$3143),-(Analítico!AN$3&lt;='Gastos Gerais'!$E$4:$E$3143),-('Gastos Gerais'!$C$4:$C$3143))</f>
        <v>0</v>
      </c>
      <c r="AO72" s="134">
        <f>SUMPRODUCT(-('Gastos Gerais'!$B$4:$B$3143=Analítico!$B72),-(Analítico!AO$3&gt;='Gastos Gerais'!$D$4:$D$3143),-(Analítico!AO$3&lt;='Gastos Gerais'!$E$4:$E$3143),-('Gastos Gerais'!$C$4:$C$3143))</f>
        <v>0</v>
      </c>
      <c r="AP72" s="134">
        <f>SUMPRODUCT(-('Gastos Gerais'!$B$4:$B$3143=Analítico!$B72),-(Analítico!AP$3&gt;='Gastos Gerais'!$D$4:$D$3143),-(Analítico!AP$3&lt;='Gastos Gerais'!$E$4:$E$3143),-('Gastos Gerais'!$C$4:$C$3143))</f>
        <v>0</v>
      </c>
      <c r="AQ72" s="134">
        <f>SUMPRODUCT(-('Gastos Gerais'!$B$4:$B$3143=Analítico!$B72),-(Analítico!AQ$3&gt;='Gastos Gerais'!$D$4:$D$3143),-(Analítico!AQ$3&lt;='Gastos Gerais'!$E$4:$E$3143),-('Gastos Gerais'!$C$4:$C$3143))</f>
        <v>0</v>
      </c>
      <c r="AR72" s="134">
        <f>SUMPRODUCT(-('Gastos Gerais'!$B$4:$B$3143=Analítico!$B72),-(Analítico!AR$3&gt;='Gastos Gerais'!$D$4:$D$3143),-(Analítico!AR$3&lt;='Gastos Gerais'!$E$4:$E$3143),-('Gastos Gerais'!$C$4:$C$3143))</f>
        <v>0</v>
      </c>
      <c r="AS72" s="134">
        <f>SUMPRODUCT(-('Gastos Gerais'!$B$4:$B$3143=Analítico!$B72),-(Analítico!AS$3&gt;='Gastos Gerais'!$D$4:$D$3143),-(Analítico!AS$3&lt;='Gastos Gerais'!$E$4:$E$3143),-('Gastos Gerais'!$C$4:$C$3143))</f>
        <v>0</v>
      </c>
      <c r="AT72" s="134">
        <f>SUMPRODUCT(-('Gastos Gerais'!$B$4:$B$3143=Analítico!$B72),-(Analítico!AT$3&gt;='Gastos Gerais'!$D$4:$D$3143),-(Analítico!AT$3&lt;='Gastos Gerais'!$E$4:$E$3143),-('Gastos Gerais'!$C$4:$C$3143))</f>
        <v>0</v>
      </c>
      <c r="AU72" s="134">
        <f>SUMPRODUCT(-('Gastos Gerais'!$B$4:$B$3143=Analítico!$B72),-(Analítico!AU$3&gt;='Gastos Gerais'!$D$4:$D$3143),-(Analítico!AU$3&lt;='Gastos Gerais'!$E$4:$E$3143),-('Gastos Gerais'!$C$4:$C$3143))</f>
        <v>0</v>
      </c>
      <c r="AV72" s="134">
        <f>SUMPRODUCT(-('Gastos Gerais'!$B$4:$B$3143=Analítico!$B72),-(Analítico!AV$3&gt;='Gastos Gerais'!$D$4:$D$3143),-(Analítico!AV$3&lt;='Gastos Gerais'!$E$4:$E$3143),-('Gastos Gerais'!$C$4:$C$3143))</f>
        <v>0</v>
      </c>
      <c r="AW72" s="134">
        <f>SUMPRODUCT(-('Gastos Gerais'!$B$4:$B$3143=Analítico!$B72),-(Analítico!AW$3&gt;='Gastos Gerais'!$D$4:$D$3143),-(Analítico!AW$3&lt;='Gastos Gerais'!$E$4:$E$3143),-('Gastos Gerais'!$C$4:$C$3143))</f>
        <v>0</v>
      </c>
      <c r="AX72" s="134">
        <f>SUMPRODUCT(-('Gastos Gerais'!$B$4:$B$3143=Analítico!$B72),-(Analítico!AX$3&gt;='Gastos Gerais'!$D$4:$D$3143),-(Analítico!AX$3&lt;='Gastos Gerais'!$E$4:$E$3143),-('Gastos Gerais'!$C$4:$C$3143))</f>
        <v>0</v>
      </c>
      <c r="AY72" s="134">
        <f>SUMPRODUCT(-('Gastos Gerais'!$B$4:$B$3143=Analítico!$B72),-(Analítico!AY$3&gt;='Gastos Gerais'!$D$4:$D$3143),-(Analítico!AY$3&lt;='Gastos Gerais'!$E$4:$E$3143),-('Gastos Gerais'!$C$4:$C$3143))</f>
        <v>0</v>
      </c>
      <c r="AZ72" s="134">
        <f>SUMPRODUCT(-('Gastos Gerais'!$B$4:$B$3143=Analítico!$B72),-(Analítico!AZ$3&gt;='Gastos Gerais'!$D$4:$D$3143),-(Analítico!AZ$3&lt;='Gastos Gerais'!$E$4:$E$3143),-('Gastos Gerais'!$C$4:$C$3143))</f>
        <v>0</v>
      </c>
      <c r="BA72" s="134">
        <f>SUMPRODUCT(-('Gastos Gerais'!$B$4:$B$3143=Analítico!$B72),-(Analítico!BA$3&gt;='Gastos Gerais'!$D$4:$D$3143),-(Analítico!BA$3&lt;='Gastos Gerais'!$E$4:$E$3143),-('Gastos Gerais'!$C$4:$C$3143))</f>
        <v>0</v>
      </c>
      <c r="BB72" s="134">
        <f>SUMPRODUCT(-('Gastos Gerais'!$B$4:$B$3143=Analítico!$B72),-(Analítico!BB$3&gt;='Gastos Gerais'!$D$4:$D$3143),-(Analítico!BB$3&lt;='Gastos Gerais'!$E$4:$E$3143),-('Gastos Gerais'!$C$4:$C$3143))</f>
        <v>0</v>
      </c>
      <c r="BC72" s="134">
        <f>SUMPRODUCT(-('Gastos Gerais'!$B$4:$B$3143=Analítico!$B72),-(Analítico!BC$3&gt;='Gastos Gerais'!$D$4:$D$3143),-(Analítico!BC$3&lt;='Gastos Gerais'!$E$4:$E$3143),-('Gastos Gerais'!$C$4:$C$3143))</f>
        <v>0</v>
      </c>
      <c r="BD72" s="134">
        <f>SUMPRODUCT(-('Gastos Gerais'!$B$4:$B$3143=Analítico!$B72),-(Analítico!BD$3&gt;='Gastos Gerais'!$D$4:$D$3143),-(Analítico!BD$3&lt;='Gastos Gerais'!$E$4:$E$3143),-('Gastos Gerais'!$C$4:$C$3143))</f>
        <v>0</v>
      </c>
      <c r="BE72" s="134">
        <f>SUMPRODUCT(-('Gastos Gerais'!$B$4:$B$3143=Analítico!$B72),-(Analítico!BE$3&gt;='Gastos Gerais'!$D$4:$D$3143),-(Analítico!BE$3&lt;='Gastos Gerais'!$E$4:$E$3143),-('Gastos Gerais'!$C$4:$C$3143))</f>
        <v>0</v>
      </c>
      <c r="BF72" s="134">
        <f>SUMPRODUCT(-('Gastos Gerais'!$B$4:$B$3143=Analítico!$B72),-(Analítico!BF$3&gt;='Gastos Gerais'!$D$4:$D$3143),-(Analítico!BF$3&lt;='Gastos Gerais'!$E$4:$E$3143),-('Gastos Gerais'!$C$4:$C$3143))</f>
        <v>0</v>
      </c>
      <c r="BG72" s="134">
        <f>SUMPRODUCT(-('Gastos Gerais'!$B$4:$B$3143=Analítico!$B72),-(Analítico!BG$3&gt;='Gastos Gerais'!$D$4:$D$3143),-(Analítico!BG$3&lt;='Gastos Gerais'!$E$4:$E$3143),-('Gastos Gerais'!$C$4:$C$3143))</f>
        <v>0</v>
      </c>
      <c r="BH72" s="134">
        <f>SUMPRODUCT(-('Gastos Gerais'!$B$4:$B$3143=Analítico!$B72),-(Analítico!BH$3&gt;='Gastos Gerais'!$D$4:$D$3143),-(Analítico!BH$3&lt;='Gastos Gerais'!$E$4:$E$3143),-('Gastos Gerais'!$C$4:$C$3143))</f>
        <v>0</v>
      </c>
      <c r="BI72" s="134">
        <f>SUMPRODUCT(-('Gastos Gerais'!$B$4:$B$3143=Analítico!$B72),-(Analítico!BI$3&gt;='Gastos Gerais'!$D$4:$D$3143),-(Analítico!BI$3&lt;='Gastos Gerais'!$E$4:$E$3143),-('Gastos Gerais'!$C$4:$C$3143))</f>
        <v>0</v>
      </c>
      <c r="BJ72" s="134">
        <f>SUMPRODUCT(-('Gastos Gerais'!$B$4:$B$3143=Analítico!$B72),-(Analítico!BJ$3&gt;='Gastos Gerais'!$D$4:$D$3143),-(Analítico!BJ$3&lt;='Gastos Gerais'!$E$4:$E$3143),-('Gastos Gerais'!$C$4:$C$3143))</f>
        <v>0</v>
      </c>
      <c r="BK72" s="189">
        <f t="shared" si="24"/>
        <v>0</v>
      </c>
      <c r="BL72" s="136">
        <f t="shared" ca="1" si="25"/>
        <v>0</v>
      </c>
    </row>
    <row r="73" spans="1:64" s="160" customFormat="1" ht="23.25" customHeight="1">
      <c r="A73" s="229" t="s">
        <v>223</v>
      </c>
      <c r="B73" s="230" t="s">
        <v>224</v>
      </c>
      <c r="C73" s="188">
        <f>SUMPRODUCT(-('Gastos Gerais'!$B$4:$B$3143=Analítico!$B73),-(Analítico!C$3&gt;='Gastos Gerais'!$D$4:$D$3143),-(Analítico!C$3&lt;='Gastos Gerais'!$E$4:$E$3143),-('Gastos Gerais'!$C$4:$C$3143))</f>
        <v>3704.45</v>
      </c>
      <c r="D73" s="134">
        <f>SUMPRODUCT(-('Gastos Gerais'!$B$4:$B$3143=Analítico!$B73),-(Analítico!D$3&gt;='Gastos Gerais'!$D$4:$D$3143),-(Analítico!D$3&lt;='Gastos Gerais'!$E$4:$E$3143),-('Gastos Gerais'!$C$4:$C$3143))</f>
        <v>3704.45</v>
      </c>
      <c r="E73" s="134">
        <f>SUMPRODUCT(-('Gastos Gerais'!$B$4:$B$3143=Analítico!$B73),-(Analítico!E$3&gt;='Gastos Gerais'!$D$4:$D$3143),-(Analítico!E$3&lt;='Gastos Gerais'!$E$4:$E$3143),-('Gastos Gerais'!$C$4:$C$3143))</f>
        <v>3704.45</v>
      </c>
      <c r="F73" s="134">
        <f>SUMPRODUCT(-('Gastos Gerais'!$B$4:$B$3143=Analítico!$B73),-(Analítico!F$3&gt;='Gastos Gerais'!$D$4:$D$3143),-(Analítico!F$3&lt;='Gastos Gerais'!$E$4:$E$3143),-('Gastos Gerais'!$C$4:$C$3143))</f>
        <v>3704.45</v>
      </c>
      <c r="G73" s="134">
        <f>SUMPRODUCT(-('Gastos Gerais'!$B$4:$B$3143=Analítico!$B73),-(Analítico!G$3&gt;='Gastos Gerais'!$D$4:$D$3143),-(Analítico!G$3&lt;='Gastos Gerais'!$E$4:$E$3143),-('Gastos Gerais'!$C$4:$C$3143))</f>
        <v>3704.45</v>
      </c>
      <c r="H73" s="134">
        <f>SUMPRODUCT(-('Gastos Gerais'!$B$4:$B$3143=Analítico!$B73),-(Analítico!H$3&gt;='Gastos Gerais'!$D$4:$D$3143),-(Analítico!H$3&lt;='Gastos Gerais'!$E$4:$E$3143),-('Gastos Gerais'!$C$4:$C$3143))</f>
        <v>3704.45</v>
      </c>
      <c r="I73" s="134">
        <f>SUMPRODUCT(-('Gastos Gerais'!$B$4:$B$3143=Analítico!$B73),-(Analítico!I$3&gt;='Gastos Gerais'!$D$4:$D$3143),-(Analítico!I$3&lt;='Gastos Gerais'!$E$4:$E$3143),-('Gastos Gerais'!$C$4:$C$3143))</f>
        <v>3704.45</v>
      </c>
      <c r="J73" s="134">
        <f>SUMPRODUCT(-('Gastos Gerais'!$B$4:$B$3143=Analítico!$B73),-(Analítico!J$3&gt;='Gastos Gerais'!$D$4:$D$3143),-(Analítico!J$3&lt;='Gastos Gerais'!$E$4:$E$3143),-('Gastos Gerais'!$C$4:$C$3143))</f>
        <v>3704.45</v>
      </c>
      <c r="K73" s="134">
        <f>SUMPRODUCT(-('Gastos Gerais'!$B$4:$B$3143=Analítico!$B73),-(Analítico!K$3&gt;='Gastos Gerais'!$D$4:$D$3143),-(Analítico!K$3&lt;='Gastos Gerais'!$E$4:$E$3143),-('Gastos Gerais'!$C$4:$C$3143))</f>
        <v>3704.45</v>
      </c>
      <c r="L73" s="134">
        <f>SUMPRODUCT(-('Gastos Gerais'!$B$4:$B$3143=Analítico!$B73),-(Analítico!L$3&gt;='Gastos Gerais'!$D$4:$D$3143),-(Analítico!L$3&lt;='Gastos Gerais'!$E$4:$E$3143),-('Gastos Gerais'!$C$4:$C$3143))</f>
        <v>3704.45</v>
      </c>
      <c r="M73" s="134">
        <f>SUMPRODUCT(-('Gastos Gerais'!$B$4:$B$3143=Analítico!$B73),-(Analítico!M$3&gt;='Gastos Gerais'!$D$4:$D$3143),-(Analítico!M$3&lt;='Gastos Gerais'!$E$4:$E$3143),-('Gastos Gerais'!$C$4:$C$3143))</f>
        <v>3704.45</v>
      </c>
      <c r="N73" s="134">
        <f>SUMPRODUCT(-('Gastos Gerais'!$B$4:$B$3143=Analítico!$B73),-(Analítico!N$3&gt;='Gastos Gerais'!$D$4:$D$3143),-(Analítico!N$3&lt;='Gastos Gerais'!$E$4:$E$3143),-('Gastos Gerais'!$C$4:$C$3143))</f>
        <v>3704.45</v>
      </c>
      <c r="O73" s="134">
        <f>SUMPRODUCT(-('Gastos Gerais'!$B$4:$B$3143=Analítico!$B73),-(Analítico!O$3&gt;='Gastos Gerais'!$D$4:$D$3143),-(Analítico!O$3&lt;='Gastos Gerais'!$E$4:$E$3143),-('Gastos Gerais'!$C$4:$C$3143))</f>
        <v>3920.73</v>
      </c>
      <c r="P73" s="134">
        <f>SUMPRODUCT(-('Gastos Gerais'!$B$4:$B$3143=Analítico!$B73),-(Analítico!P$3&gt;='Gastos Gerais'!$D$4:$D$3143),-(Analítico!P$3&lt;='Gastos Gerais'!$E$4:$E$3143),-('Gastos Gerais'!$C$4:$C$3143))</f>
        <v>3920.73</v>
      </c>
      <c r="Q73" s="134">
        <f>SUMPRODUCT(-('Gastos Gerais'!$B$4:$B$3143=Analítico!$B73),-(Analítico!Q$3&gt;='Gastos Gerais'!$D$4:$D$3143),-(Analítico!Q$3&lt;='Gastos Gerais'!$E$4:$E$3143),-('Gastos Gerais'!$C$4:$C$3143))</f>
        <v>3920.73</v>
      </c>
      <c r="R73" s="134">
        <f>SUMPRODUCT(-('Gastos Gerais'!$B$4:$B$3143=Analítico!$B73),-(Analítico!R$3&gt;='Gastos Gerais'!$D$4:$D$3143),-(Analítico!R$3&lt;='Gastos Gerais'!$E$4:$E$3143),-('Gastos Gerais'!$C$4:$C$3143))</f>
        <v>3920.73</v>
      </c>
      <c r="S73" s="134">
        <f>SUMPRODUCT(-('Gastos Gerais'!$B$4:$B$3143=Analítico!$B73),-(Analítico!S$3&gt;='Gastos Gerais'!$D$4:$D$3143),-(Analítico!S$3&lt;='Gastos Gerais'!$E$4:$E$3143),-('Gastos Gerais'!$C$4:$C$3143))</f>
        <v>3920.73</v>
      </c>
      <c r="T73" s="134">
        <f>SUMPRODUCT(-('Gastos Gerais'!$B$4:$B$3143=Analítico!$B73),-(Analítico!T$3&gt;='Gastos Gerais'!$D$4:$D$3143),-(Analítico!T$3&lt;='Gastos Gerais'!$E$4:$E$3143),-('Gastos Gerais'!$C$4:$C$3143))</f>
        <v>3920.73</v>
      </c>
      <c r="U73" s="134">
        <f>SUMPRODUCT(-('Gastos Gerais'!$B$4:$B$3143=Analítico!$B73),-(Analítico!U$3&gt;='Gastos Gerais'!$D$4:$D$3143),-(Analítico!U$3&lt;='Gastos Gerais'!$E$4:$E$3143),-('Gastos Gerais'!$C$4:$C$3143))</f>
        <v>3920.73</v>
      </c>
      <c r="V73" s="134">
        <f>SUMPRODUCT(-('Gastos Gerais'!$B$4:$B$3143=Analítico!$B73),-(Analítico!V$3&gt;='Gastos Gerais'!$D$4:$D$3143),-(Analítico!V$3&lt;='Gastos Gerais'!$E$4:$E$3143),-('Gastos Gerais'!$C$4:$C$3143))</f>
        <v>3920.73</v>
      </c>
      <c r="W73" s="134">
        <f>SUMPRODUCT(-('Gastos Gerais'!$B$4:$B$3143=Analítico!$B73),-(Analítico!W$3&gt;='Gastos Gerais'!$D$4:$D$3143),-(Analítico!W$3&lt;='Gastos Gerais'!$E$4:$E$3143),-('Gastos Gerais'!$C$4:$C$3143))</f>
        <v>3920.73</v>
      </c>
      <c r="X73" s="134">
        <f>SUMPRODUCT(-('Gastos Gerais'!$B$4:$B$3143=Analítico!$B73),-(Analítico!X$3&gt;='Gastos Gerais'!$D$4:$D$3143),-(Analítico!X$3&lt;='Gastos Gerais'!$E$4:$E$3143),-('Gastos Gerais'!$C$4:$C$3143))</f>
        <v>3920.73</v>
      </c>
      <c r="Y73" s="134">
        <f>SUMPRODUCT(-('Gastos Gerais'!$B$4:$B$3143=Analítico!$B73),-(Analítico!Y$3&gt;='Gastos Gerais'!$D$4:$D$3143),-(Analítico!Y$3&lt;='Gastos Gerais'!$E$4:$E$3143),-('Gastos Gerais'!$C$4:$C$3143))</f>
        <v>3920.73</v>
      </c>
      <c r="Z73" s="134">
        <f>SUMPRODUCT(-('Gastos Gerais'!$B$4:$B$3143=Analítico!$B73),-(Analítico!Z$3&gt;='Gastos Gerais'!$D$4:$D$3143),-(Analítico!Z$3&lt;='Gastos Gerais'!$E$4:$E$3143),-('Gastos Gerais'!$C$4:$C$3143))</f>
        <v>3920.73</v>
      </c>
      <c r="AA73" s="134">
        <f>SUMPRODUCT(-('Gastos Gerais'!$B$4:$B$3143=Analítico!$B73),-(Analítico!AA$3&gt;='Gastos Gerais'!$D$4:$D$3143),-(Analítico!AA$3&lt;='Gastos Gerais'!$E$4:$E$3143),-('Gastos Gerais'!$C$4:$C$3143))</f>
        <v>4149.7</v>
      </c>
      <c r="AB73" s="134">
        <f>SUMPRODUCT(-('Gastos Gerais'!$B$4:$B$3143=Analítico!$B73),-(Analítico!AB$3&gt;='Gastos Gerais'!$D$4:$D$3143),-(Analítico!AB$3&lt;='Gastos Gerais'!$E$4:$E$3143),-('Gastos Gerais'!$C$4:$C$3143))</f>
        <v>4149.7</v>
      </c>
      <c r="AC73" s="134">
        <f>SUMPRODUCT(-('Gastos Gerais'!$B$4:$B$3143=Analítico!$B73),-(Analítico!AC$3&gt;='Gastos Gerais'!$D$4:$D$3143),-(Analítico!AC$3&lt;='Gastos Gerais'!$E$4:$E$3143),-('Gastos Gerais'!$C$4:$C$3143))</f>
        <v>4149.7</v>
      </c>
      <c r="AD73" s="134">
        <f>SUMPRODUCT(-('Gastos Gerais'!$B$4:$B$3143=Analítico!$B73),-(Analítico!AD$3&gt;='Gastos Gerais'!$D$4:$D$3143),-(Analítico!AD$3&lt;='Gastos Gerais'!$E$4:$E$3143),-('Gastos Gerais'!$C$4:$C$3143))</f>
        <v>4149.7</v>
      </c>
      <c r="AE73" s="134">
        <f>SUMPRODUCT(-('Gastos Gerais'!$B$4:$B$3143=Analítico!$B73),-(Analítico!AE$3&gt;='Gastos Gerais'!$D$4:$D$3143),-(Analítico!AE$3&lt;='Gastos Gerais'!$E$4:$E$3143),-('Gastos Gerais'!$C$4:$C$3143))</f>
        <v>4149.7</v>
      </c>
      <c r="AF73" s="134">
        <f>SUMPRODUCT(-('Gastos Gerais'!$B$4:$B$3143=Analítico!$B73),-(Analítico!AF$3&gt;='Gastos Gerais'!$D$4:$D$3143),-(Analítico!AF$3&lt;='Gastos Gerais'!$E$4:$E$3143),-('Gastos Gerais'!$C$4:$C$3143))</f>
        <v>4149.7</v>
      </c>
      <c r="AG73" s="134">
        <f>SUMPRODUCT(-('Gastos Gerais'!$B$4:$B$3143=Analítico!$B73),-(Analítico!AG$3&gt;='Gastos Gerais'!$D$4:$D$3143),-(Analítico!AG$3&lt;='Gastos Gerais'!$E$4:$E$3143),-('Gastos Gerais'!$C$4:$C$3143))</f>
        <v>4149.7</v>
      </c>
      <c r="AH73" s="134">
        <f>SUMPRODUCT(-('Gastos Gerais'!$B$4:$B$3143=Analítico!$B73),-(Analítico!AH$3&gt;='Gastos Gerais'!$D$4:$D$3143),-(Analítico!AH$3&lt;='Gastos Gerais'!$E$4:$E$3143),-('Gastos Gerais'!$C$4:$C$3143))</f>
        <v>4149.7</v>
      </c>
      <c r="AI73" s="134">
        <f>SUMPRODUCT(-('Gastos Gerais'!$B$4:$B$3143=Analítico!$B73),-(Analítico!AI$3&gt;='Gastos Gerais'!$D$4:$D$3143),-(Analítico!AI$3&lt;='Gastos Gerais'!$E$4:$E$3143),-('Gastos Gerais'!$C$4:$C$3143))</f>
        <v>4149.7</v>
      </c>
      <c r="AJ73" s="134">
        <f>SUMPRODUCT(-('Gastos Gerais'!$B$4:$B$3143=Analítico!$B73),-(Analítico!AJ$3&gt;='Gastos Gerais'!$D$4:$D$3143),-(Analítico!AJ$3&lt;='Gastos Gerais'!$E$4:$E$3143),-('Gastos Gerais'!$C$4:$C$3143))</f>
        <v>4149.7</v>
      </c>
      <c r="AK73" s="134">
        <f>SUMPRODUCT(-('Gastos Gerais'!$B$4:$B$3143=Analítico!$B73),-(Analítico!AK$3&gt;='Gastos Gerais'!$D$4:$D$3143),-(Analítico!AK$3&lt;='Gastos Gerais'!$E$4:$E$3143),-('Gastos Gerais'!$C$4:$C$3143))</f>
        <v>4149.7</v>
      </c>
      <c r="AL73" s="134">
        <f>SUMPRODUCT(-('Gastos Gerais'!$B$4:$B$3143=Analítico!$B73),-(Analítico!AL$3&gt;='Gastos Gerais'!$D$4:$D$3143),-(Analítico!AL$3&lt;='Gastos Gerais'!$E$4:$E$3143),-('Gastos Gerais'!$C$4:$C$3143))</f>
        <v>4149.7</v>
      </c>
      <c r="AM73" s="134">
        <f>SUMPRODUCT(-('Gastos Gerais'!$B$4:$B$3143=Analítico!$B73),-(Analítico!AM$3&gt;='Gastos Gerais'!$D$4:$D$3143),-(Analítico!AM$3&lt;='Gastos Gerais'!$E$4:$E$3143),-('Gastos Gerais'!$C$4:$C$3143))</f>
        <v>1000</v>
      </c>
      <c r="AN73" s="134">
        <f>SUMPRODUCT(-('Gastos Gerais'!$B$4:$B$3143=Analítico!$B73),-(Analítico!AN$3&gt;='Gastos Gerais'!$D$4:$D$3143),-(Analítico!AN$3&lt;='Gastos Gerais'!$E$4:$E$3143),-('Gastos Gerais'!$C$4:$C$3143))</f>
        <v>1000</v>
      </c>
      <c r="AO73" s="134">
        <f>SUMPRODUCT(-('Gastos Gerais'!$B$4:$B$3143=Analítico!$B73),-(Analítico!AO$3&gt;='Gastos Gerais'!$D$4:$D$3143),-(Analítico!AO$3&lt;='Gastos Gerais'!$E$4:$E$3143),-('Gastos Gerais'!$C$4:$C$3143))</f>
        <v>1000</v>
      </c>
      <c r="AP73" s="134">
        <f>SUMPRODUCT(-('Gastos Gerais'!$B$4:$B$3143=Analítico!$B73),-(Analítico!AP$3&gt;='Gastos Gerais'!$D$4:$D$3143),-(Analítico!AP$3&lt;='Gastos Gerais'!$E$4:$E$3143),-('Gastos Gerais'!$C$4:$C$3143))</f>
        <v>1000</v>
      </c>
      <c r="AQ73" s="134">
        <f>SUMPRODUCT(-('Gastos Gerais'!$B$4:$B$3143=Analítico!$B73),-(Analítico!AQ$3&gt;='Gastos Gerais'!$D$4:$D$3143),-(Analítico!AQ$3&lt;='Gastos Gerais'!$E$4:$E$3143),-('Gastos Gerais'!$C$4:$C$3143))</f>
        <v>1000</v>
      </c>
      <c r="AR73" s="134">
        <f>SUMPRODUCT(-('Gastos Gerais'!$B$4:$B$3143=Analítico!$B73),-(Analítico!AR$3&gt;='Gastos Gerais'!$D$4:$D$3143),-(Analítico!AR$3&lt;='Gastos Gerais'!$E$4:$E$3143),-('Gastos Gerais'!$C$4:$C$3143))</f>
        <v>1000</v>
      </c>
      <c r="AS73" s="134">
        <f>SUMPRODUCT(-('Gastos Gerais'!$B$4:$B$3143=Analítico!$B73),-(Analítico!AS$3&gt;='Gastos Gerais'!$D$4:$D$3143),-(Analítico!AS$3&lt;='Gastos Gerais'!$E$4:$E$3143),-('Gastos Gerais'!$C$4:$C$3143))</f>
        <v>1000</v>
      </c>
      <c r="AT73" s="134">
        <f>SUMPRODUCT(-('Gastos Gerais'!$B$4:$B$3143=Analítico!$B73),-(Analítico!AT$3&gt;='Gastos Gerais'!$D$4:$D$3143),-(Analítico!AT$3&lt;='Gastos Gerais'!$E$4:$E$3143),-('Gastos Gerais'!$C$4:$C$3143))</f>
        <v>1000</v>
      </c>
      <c r="AU73" s="134">
        <f>SUMPRODUCT(-('Gastos Gerais'!$B$4:$B$3143=Analítico!$B73),-(Analítico!AU$3&gt;='Gastos Gerais'!$D$4:$D$3143),-(Analítico!AU$3&lt;='Gastos Gerais'!$E$4:$E$3143),-('Gastos Gerais'!$C$4:$C$3143))</f>
        <v>1000</v>
      </c>
      <c r="AV73" s="134">
        <f>SUMPRODUCT(-('Gastos Gerais'!$B$4:$B$3143=Analítico!$B73),-(Analítico!AV$3&gt;='Gastos Gerais'!$D$4:$D$3143),-(Analítico!AV$3&lt;='Gastos Gerais'!$E$4:$E$3143),-('Gastos Gerais'!$C$4:$C$3143))</f>
        <v>1000</v>
      </c>
      <c r="AW73" s="134">
        <f>SUMPRODUCT(-('Gastos Gerais'!$B$4:$B$3143=Analítico!$B73),-(Analítico!AW$3&gt;='Gastos Gerais'!$D$4:$D$3143),-(Analítico!AW$3&lt;='Gastos Gerais'!$E$4:$E$3143),-('Gastos Gerais'!$C$4:$C$3143))</f>
        <v>1000</v>
      </c>
      <c r="AX73" s="134">
        <f>SUMPRODUCT(-('Gastos Gerais'!$B$4:$B$3143=Analítico!$B73),-(Analítico!AX$3&gt;='Gastos Gerais'!$D$4:$D$3143),-(Analítico!AX$3&lt;='Gastos Gerais'!$E$4:$E$3143),-('Gastos Gerais'!$C$4:$C$3143))</f>
        <v>0</v>
      </c>
      <c r="AY73" s="134">
        <f>SUMPRODUCT(-('Gastos Gerais'!$B$4:$B$3143=Analítico!$B73),-(Analítico!AY$3&gt;='Gastos Gerais'!$D$4:$D$3143),-(Analítico!AY$3&lt;='Gastos Gerais'!$E$4:$E$3143),-('Gastos Gerais'!$C$4:$C$3143))</f>
        <v>0</v>
      </c>
      <c r="AZ73" s="134">
        <f>SUMPRODUCT(-('Gastos Gerais'!$B$4:$B$3143=Analítico!$B73),-(Analítico!AZ$3&gt;='Gastos Gerais'!$D$4:$D$3143),-(Analítico!AZ$3&lt;='Gastos Gerais'!$E$4:$E$3143),-('Gastos Gerais'!$C$4:$C$3143))</f>
        <v>0</v>
      </c>
      <c r="BA73" s="134">
        <f>SUMPRODUCT(-('Gastos Gerais'!$B$4:$B$3143=Analítico!$B73),-(Analítico!BA$3&gt;='Gastos Gerais'!$D$4:$D$3143),-(Analítico!BA$3&lt;='Gastos Gerais'!$E$4:$E$3143),-('Gastos Gerais'!$C$4:$C$3143))</f>
        <v>0</v>
      </c>
      <c r="BB73" s="134">
        <f>SUMPRODUCT(-('Gastos Gerais'!$B$4:$B$3143=Analítico!$B73),-(Analítico!BB$3&gt;='Gastos Gerais'!$D$4:$D$3143),-(Analítico!BB$3&lt;='Gastos Gerais'!$E$4:$E$3143),-('Gastos Gerais'!$C$4:$C$3143))</f>
        <v>0</v>
      </c>
      <c r="BC73" s="134">
        <f>SUMPRODUCT(-('Gastos Gerais'!$B$4:$B$3143=Analítico!$B73),-(Analítico!BC$3&gt;='Gastos Gerais'!$D$4:$D$3143),-(Analítico!BC$3&lt;='Gastos Gerais'!$E$4:$E$3143),-('Gastos Gerais'!$C$4:$C$3143))</f>
        <v>0</v>
      </c>
      <c r="BD73" s="134">
        <f>SUMPRODUCT(-('Gastos Gerais'!$B$4:$B$3143=Analítico!$B73),-(Analítico!BD$3&gt;='Gastos Gerais'!$D$4:$D$3143),-(Analítico!BD$3&lt;='Gastos Gerais'!$E$4:$E$3143),-('Gastos Gerais'!$C$4:$C$3143))</f>
        <v>0</v>
      </c>
      <c r="BE73" s="134">
        <f>SUMPRODUCT(-('Gastos Gerais'!$B$4:$B$3143=Analítico!$B73),-(Analítico!BE$3&gt;='Gastos Gerais'!$D$4:$D$3143),-(Analítico!BE$3&lt;='Gastos Gerais'!$E$4:$E$3143),-('Gastos Gerais'!$C$4:$C$3143))</f>
        <v>0</v>
      </c>
      <c r="BF73" s="134">
        <f>SUMPRODUCT(-('Gastos Gerais'!$B$4:$B$3143=Analítico!$B73),-(Analítico!BF$3&gt;='Gastos Gerais'!$D$4:$D$3143),-(Analítico!BF$3&lt;='Gastos Gerais'!$E$4:$E$3143),-('Gastos Gerais'!$C$4:$C$3143))</f>
        <v>0</v>
      </c>
      <c r="BG73" s="134">
        <f>SUMPRODUCT(-('Gastos Gerais'!$B$4:$B$3143=Analítico!$B73),-(Analítico!BG$3&gt;='Gastos Gerais'!$D$4:$D$3143),-(Analítico!BG$3&lt;='Gastos Gerais'!$E$4:$E$3143),-('Gastos Gerais'!$C$4:$C$3143))</f>
        <v>0</v>
      </c>
      <c r="BH73" s="134">
        <f>SUMPRODUCT(-('Gastos Gerais'!$B$4:$B$3143=Analítico!$B73),-(Analítico!BH$3&gt;='Gastos Gerais'!$D$4:$D$3143),-(Analítico!BH$3&lt;='Gastos Gerais'!$E$4:$E$3143),-('Gastos Gerais'!$C$4:$C$3143))</f>
        <v>0</v>
      </c>
      <c r="BI73" s="134">
        <f>SUMPRODUCT(-('Gastos Gerais'!$B$4:$B$3143=Analítico!$B73),-(Analítico!BI$3&gt;='Gastos Gerais'!$D$4:$D$3143),-(Analítico!BI$3&lt;='Gastos Gerais'!$E$4:$E$3143),-('Gastos Gerais'!$C$4:$C$3143))</f>
        <v>0</v>
      </c>
      <c r="BJ73" s="134">
        <f>SUMPRODUCT(-('Gastos Gerais'!$B$4:$B$3143=Analítico!$B73),-(Analítico!BJ$3&gt;='Gastos Gerais'!$D$4:$D$3143),-(Analítico!BJ$3&lt;='Gastos Gerais'!$E$4:$E$3143),-('Gastos Gerais'!$C$4:$C$3143))</f>
        <v>0</v>
      </c>
      <c r="BK73" s="189">
        <f t="shared" si="24"/>
        <v>152298.56</v>
      </c>
      <c r="BL73" s="136">
        <f t="shared" ca="1" si="25"/>
        <v>5.2436365413489319E-4</v>
      </c>
    </row>
    <row r="74" spans="1:64" s="160" customFormat="1" ht="23.25" customHeight="1">
      <c r="A74" s="229" t="s">
        <v>225</v>
      </c>
      <c r="B74" s="230" t="s">
        <v>226</v>
      </c>
      <c r="C74" s="188">
        <f>SUMPRODUCT(-('Gastos Gerais'!$B$4:$B$3143=Analítico!$B74),-(Analítico!C$3&gt;='Gastos Gerais'!$D$4:$D$3143),-(Analítico!C$3&lt;='Gastos Gerais'!$E$4:$E$3143),-('Gastos Gerais'!$C$4:$C$3143))</f>
        <v>500</v>
      </c>
      <c r="D74" s="134">
        <f>SUMPRODUCT(-('Gastos Gerais'!$B$4:$B$3143=Analítico!$B74),-(Analítico!D$3&gt;='Gastos Gerais'!$D$4:$D$3143),-(Analítico!D$3&lt;='Gastos Gerais'!$E$4:$E$3143),-('Gastos Gerais'!$C$4:$C$3143))</f>
        <v>500</v>
      </c>
      <c r="E74" s="134">
        <f>SUMPRODUCT(-('Gastos Gerais'!$B$4:$B$3143=Analítico!$B74),-(Analítico!E$3&gt;='Gastos Gerais'!$D$4:$D$3143),-(Analítico!E$3&lt;='Gastos Gerais'!$E$4:$E$3143),-('Gastos Gerais'!$C$4:$C$3143))</f>
        <v>500</v>
      </c>
      <c r="F74" s="134">
        <f>SUMPRODUCT(-('Gastos Gerais'!$B$4:$B$3143=Analítico!$B74),-(Analítico!F$3&gt;='Gastos Gerais'!$D$4:$D$3143),-(Analítico!F$3&lt;='Gastos Gerais'!$E$4:$E$3143),-('Gastos Gerais'!$C$4:$C$3143))</f>
        <v>500</v>
      </c>
      <c r="G74" s="134">
        <f>SUMPRODUCT(-('Gastos Gerais'!$B$4:$B$3143=Analítico!$B74),-(Analítico!G$3&gt;='Gastos Gerais'!$D$4:$D$3143),-(Analítico!G$3&lt;='Gastos Gerais'!$E$4:$E$3143),-('Gastos Gerais'!$C$4:$C$3143))</f>
        <v>500</v>
      </c>
      <c r="H74" s="134">
        <f>SUMPRODUCT(-('Gastos Gerais'!$B$4:$B$3143=Analítico!$B74),-(Analítico!H$3&gt;='Gastos Gerais'!$D$4:$D$3143),-(Analítico!H$3&lt;='Gastos Gerais'!$E$4:$E$3143),-('Gastos Gerais'!$C$4:$C$3143))</f>
        <v>500</v>
      </c>
      <c r="I74" s="134">
        <f>SUMPRODUCT(-('Gastos Gerais'!$B$4:$B$3143=Analítico!$B74),-(Analítico!I$3&gt;='Gastos Gerais'!$D$4:$D$3143),-(Analítico!I$3&lt;='Gastos Gerais'!$E$4:$E$3143),-('Gastos Gerais'!$C$4:$C$3143))</f>
        <v>500</v>
      </c>
      <c r="J74" s="134">
        <f>SUMPRODUCT(-('Gastos Gerais'!$B$4:$B$3143=Analítico!$B74),-(Analítico!J$3&gt;='Gastos Gerais'!$D$4:$D$3143),-(Analítico!J$3&lt;='Gastos Gerais'!$E$4:$E$3143),-('Gastos Gerais'!$C$4:$C$3143))</f>
        <v>500</v>
      </c>
      <c r="K74" s="134">
        <f>SUMPRODUCT(-('Gastos Gerais'!$B$4:$B$3143=Analítico!$B74),-(Analítico!K$3&gt;='Gastos Gerais'!$D$4:$D$3143),-(Analítico!K$3&lt;='Gastos Gerais'!$E$4:$E$3143),-('Gastos Gerais'!$C$4:$C$3143))</f>
        <v>500</v>
      </c>
      <c r="L74" s="134">
        <f>SUMPRODUCT(-('Gastos Gerais'!$B$4:$B$3143=Analítico!$B74),-(Analítico!L$3&gt;='Gastos Gerais'!$D$4:$D$3143),-(Analítico!L$3&lt;='Gastos Gerais'!$E$4:$E$3143),-('Gastos Gerais'!$C$4:$C$3143))</f>
        <v>500</v>
      </c>
      <c r="M74" s="134">
        <f>SUMPRODUCT(-('Gastos Gerais'!$B$4:$B$3143=Analítico!$B74),-(Analítico!M$3&gt;='Gastos Gerais'!$D$4:$D$3143),-(Analítico!M$3&lt;='Gastos Gerais'!$E$4:$E$3143),-('Gastos Gerais'!$C$4:$C$3143))</f>
        <v>500</v>
      </c>
      <c r="N74" s="134">
        <f>SUMPRODUCT(-('Gastos Gerais'!$B$4:$B$3143=Analítico!$B74),-(Analítico!N$3&gt;='Gastos Gerais'!$D$4:$D$3143),-(Analítico!N$3&lt;='Gastos Gerais'!$E$4:$E$3143),-('Gastos Gerais'!$C$4:$C$3143))</f>
        <v>500</v>
      </c>
      <c r="O74" s="134">
        <f>SUMPRODUCT(-('Gastos Gerais'!$B$4:$B$3143=Analítico!$B74),-(Analítico!O$3&gt;='Gastos Gerais'!$D$4:$D$3143),-(Analítico!O$3&lt;='Gastos Gerais'!$E$4:$E$3143),-('Gastos Gerais'!$C$4:$C$3143))</f>
        <v>500</v>
      </c>
      <c r="P74" s="134">
        <f>SUMPRODUCT(-('Gastos Gerais'!$B$4:$B$3143=Analítico!$B74),-(Analítico!P$3&gt;='Gastos Gerais'!$D$4:$D$3143),-(Analítico!P$3&lt;='Gastos Gerais'!$E$4:$E$3143),-('Gastos Gerais'!$C$4:$C$3143))</f>
        <v>500</v>
      </c>
      <c r="Q74" s="134">
        <f>SUMPRODUCT(-('Gastos Gerais'!$B$4:$B$3143=Analítico!$B74),-(Analítico!Q$3&gt;='Gastos Gerais'!$D$4:$D$3143),-(Analítico!Q$3&lt;='Gastos Gerais'!$E$4:$E$3143),-('Gastos Gerais'!$C$4:$C$3143))</f>
        <v>500</v>
      </c>
      <c r="R74" s="134">
        <f>SUMPRODUCT(-('Gastos Gerais'!$B$4:$B$3143=Analítico!$B74),-(Analítico!R$3&gt;='Gastos Gerais'!$D$4:$D$3143),-(Analítico!R$3&lt;='Gastos Gerais'!$E$4:$E$3143),-('Gastos Gerais'!$C$4:$C$3143))</f>
        <v>500</v>
      </c>
      <c r="S74" s="134">
        <f>SUMPRODUCT(-('Gastos Gerais'!$B$4:$B$3143=Analítico!$B74),-(Analítico!S$3&gt;='Gastos Gerais'!$D$4:$D$3143),-(Analítico!S$3&lt;='Gastos Gerais'!$E$4:$E$3143),-('Gastos Gerais'!$C$4:$C$3143))</f>
        <v>500</v>
      </c>
      <c r="T74" s="134">
        <f>SUMPRODUCT(-('Gastos Gerais'!$B$4:$B$3143=Analítico!$B74),-(Analítico!T$3&gt;='Gastos Gerais'!$D$4:$D$3143),-(Analítico!T$3&lt;='Gastos Gerais'!$E$4:$E$3143),-('Gastos Gerais'!$C$4:$C$3143))</f>
        <v>500</v>
      </c>
      <c r="U74" s="134">
        <f>SUMPRODUCT(-('Gastos Gerais'!$B$4:$B$3143=Analítico!$B74),-(Analítico!U$3&gt;='Gastos Gerais'!$D$4:$D$3143),-(Analítico!U$3&lt;='Gastos Gerais'!$E$4:$E$3143),-('Gastos Gerais'!$C$4:$C$3143))</f>
        <v>500</v>
      </c>
      <c r="V74" s="134">
        <f>SUMPRODUCT(-('Gastos Gerais'!$B$4:$B$3143=Analítico!$B74),-(Analítico!V$3&gt;='Gastos Gerais'!$D$4:$D$3143),-(Analítico!V$3&lt;='Gastos Gerais'!$E$4:$E$3143),-('Gastos Gerais'!$C$4:$C$3143))</f>
        <v>500</v>
      </c>
      <c r="W74" s="134">
        <f>SUMPRODUCT(-('Gastos Gerais'!$B$4:$B$3143=Analítico!$B74),-(Analítico!W$3&gt;='Gastos Gerais'!$D$4:$D$3143),-(Analítico!W$3&lt;='Gastos Gerais'!$E$4:$E$3143),-('Gastos Gerais'!$C$4:$C$3143))</f>
        <v>500</v>
      </c>
      <c r="X74" s="134">
        <f>SUMPRODUCT(-('Gastos Gerais'!$B$4:$B$3143=Analítico!$B74),-(Analítico!X$3&gt;='Gastos Gerais'!$D$4:$D$3143),-(Analítico!X$3&lt;='Gastos Gerais'!$E$4:$E$3143),-('Gastos Gerais'!$C$4:$C$3143))</f>
        <v>500</v>
      </c>
      <c r="Y74" s="134">
        <f>SUMPRODUCT(-('Gastos Gerais'!$B$4:$B$3143=Analítico!$B74),-(Analítico!Y$3&gt;='Gastos Gerais'!$D$4:$D$3143),-(Analítico!Y$3&lt;='Gastos Gerais'!$E$4:$E$3143),-('Gastos Gerais'!$C$4:$C$3143))</f>
        <v>500</v>
      </c>
      <c r="Z74" s="134">
        <f>SUMPRODUCT(-('Gastos Gerais'!$B$4:$B$3143=Analítico!$B74),-(Analítico!Z$3&gt;='Gastos Gerais'!$D$4:$D$3143),-(Analítico!Z$3&lt;='Gastos Gerais'!$E$4:$E$3143),-('Gastos Gerais'!$C$4:$C$3143))</f>
        <v>500</v>
      </c>
      <c r="AA74" s="134">
        <f>SUMPRODUCT(-('Gastos Gerais'!$B$4:$B$3143=Analítico!$B74),-(Analítico!AA$3&gt;='Gastos Gerais'!$D$4:$D$3143),-(Analítico!AA$3&lt;='Gastos Gerais'!$E$4:$E$3143),-('Gastos Gerais'!$C$4:$C$3143))</f>
        <v>500</v>
      </c>
      <c r="AB74" s="134">
        <f>SUMPRODUCT(-('Gastos Gerais'!$B$4:$B$3143=Analítico!$B74),-(Analítico!AB$3&gt;='Gastos Gerais'!$D$4:$D$3143),-(Analítico!AB$3&lt;='Gastos Gerais'!$E$4:$E$3143),-('Gastos Gerais'!$C$4:$C$3143))</f>
        <v>500</v>
      </c>
      <c r="AC74" s="134">
        <f>SUMPRODUCT(-('Gastos Gerais'!$B$4:$B$3143=Analítico!$B74),-(Analítico!AC$3&gt;='Gastos Gerais'!$D$4:$D$3143),-(Analítico!AC$3&lt;='Gastos Gerais'!$E$4:$E$3143),-('Gastos Gerais'!$C$4:$C$3143))</f>
        <v>500</v>
      </c>
      <c r="AD74" s="134">
        <f>SUMPRODUCT(-('Gastos Gerais'!$B$4:$B$3143=Analítico!$B74),-(Analítico!AD$3&gt;='Gastos Gerais'!$D$4:$D$3143),-(Analítico!AD$3&lt;='Gastos Gerais'!$E$4:$E$3143),-('Gastos Gerais'!$C$4:$C$3143))</f>
        <v>500</v>
      </c>
      <c r="AE74" s="134">
        <f>SUMPRODUCT(-('Gastos Gerais'!$B$4:$B$3143=Analítico!$B74),-(Analítico!AE$3&gt;='Gastos Gerais'!$D$4:$D$3143),-(Analítico!AE$3&lt;='Gastos Gerais'!$E$4:$E$3143),-('Gastos Gerais'!$C$4:$C$3143))</f>
        <v>500</v>
      </c>
      <c r="AF74" s="134">
        <f>SUMPRODUCT(-('Gastos Gerais'!$B$4:$B$3143=Analítico!$B74),-(Analítico!AF$3&gt;='Gastos Gerais'!$D$4:$D$3143),-(Analítico!AF$3&lt;='Gastos Gerais'!$E$4:$E$3143),-('Gastos Gerais'!$C$4:$C$3143))</f>
        <v>500</v>
      </c>
      <c r="AG74" s="134">
        <f>SUMPRODUCT(-('Gastos Gerais'!$B$4:$B$3143=Analítico!$B74),-(Analítico!AG$3&gt;='Gastos Gerais'!$D$4:$D$3143),-(Analítico!AG$3&lt;='Gastos Gerais'!$E$4:$E$3143),-('Gastos Gerais'!$C$4:$C$3143))</f>
        <v>500</v>
      </c>
      <c r="AH74" s="134">
        <f>SUMPRODUCT(-('Gastos Gerais'!$B$4:$B$3143=Analítico!$B74),-(Analítico!AH$3&gt;='Gastos Gerais'!$D$4:$D$3143),-(Analítico!AH$3&lt;='Gastos Gerais'!$E$4:$E$3143),-('Gastos Gerais'!$C$4:$C$3143))</f>
        <v>500</v>
      </c>
      <c r="AI74" s="134">
        <f>SUMPRODUCT(-('Gastos Gerais'!$B$4:$B$3143=Analítico!$B74),-(Analítico!AI$3&gt;='Gastos Gerais'!$D$4:$D$3143),-(Analítico!AI$3&lt;='Gastos Gerais'!$E$4:$E$3143),-('Gastos Gerais'!$C$4:$C$3143))</f>
        <v>500</v>
      </c>
      <c r="AJ74" s="134">
        <f>SUMPRODUCT(-('Gastos Gerais'!$B$4:$B$3143=Analítico!$B74),-(Analítico!AJ$3&gt;='Gastos Gerais'!$D$4:$D$3143),-(Analítico!AJ$3&lt;='Gastos Gerais'!$E$4:$E$3143),-('Gastos Gerais'!$C$4:$C$3143))</f>
        <v>500</v>
      </c>
      <c r="AK74" s="134">
        <f>SUMPRODUCT(-('Gastos Gerais'!$B$4:$B$3143=Analítico!$B74),-(Analítico!AK$3&gt;='Gastos Gerais'!$D$4:$D$3143),-(Analítico!AK$3&lt;='Gastos Gerais'!$E$4:$E$3143),-('Gastos Gerais'!$C$4:$C$3143))</f>
        <v>500</v>
      </c>
      <c r="AL74" s="134">
        <f>SUMPRODUCT(-('Gastos Gerais'!$B$4:$B$3143=Analítico!$B74),-(Analítico!AL$3&gt;='Gastos Gerais'!$D$4:$D$3143),-(Analítico!AL$3&lt;='Gastos Gerais'!$E$4:$E$3143),-('Gastos Gerais'!$C$4:$C$3143))</f>
        <v>500</v>
      </c>
      <c r="AM74" s="134">
        <f>SUMPRODUCT(-('Gastos Gerais'!$B$4:$B$3143=Analítico!$B74),-(Analítico!AM$3&gt;='Gastos Gerais'!$D$4:$D$3143),-(Analítico!AM$3&lt;='Gastos Gerais'!$E$4:$E$3143),-('Gastos Gerais'!$C$4:$C$3143))</f>
        <v>500</v>
      </c>
      <c r="AN74" s="134">
        <f>SUMPRODUCT(-('Gastos Gerais'!$B$4:$B$3143=Analítico!$B74),-(Analítico!AN$3&gt;='Gastos Gerais'!$D$4:$D$3143),-(Analítico!AN$3&lt;='Gastos Gerais'!$E$4:$E$3143),-('Gastos Gerais'!$C$4:$C$3143))</f>
        <v>500</v>
      </c>
      <c r="AO74" s="134">
        <f>SUMPRODUCT(-('Gastos Gerais'!$B$4:$B$3143=Analítico!$B74),-(Analítico!AO$3&gt;='Gastos Gerais'!$D$4:$D$3143),-(Analítico!AO$3&lt;='Gastos Gerais'!$E$4:$E$3143),-('Gastos Gerais'!$C$4:$C$3143))</f>
        <v>500</v>
      </c>
      <c r="AP74" s="134">
        <f>SUMPRODUCT(-('Gastos Gerais'!$B$4:$B$3143=Analítico!$B74),-(Analítico!AP$3&gt;='Gastos Gerais'!$D$4:$D$3143),-(Analítico!AP$3&lt;='Gastos Gerais'!$E$4:$E$3143),-('Gastos Gerais'!$C$4:$C$3143))</f>
        <v>500</v>
      </c>
      <c r="AQ74" s="134">
        <f>SUMPRODUCT(-('Gastos Gerais'!$B$4:$B$3143=Analítico!$B74),-(Analítico!AQ$3&gt;='Gastos Gerais'!$D$4:$D$3143),-(Analítico!AQ$3&lt;='Gastos Gerais'!$E$4:$E$3143),-('Gastos Gerais'!$C$4:$C$3143))</f>
        <v>500</v>
      </c>
      <c r="AR74" s="134">
        <f>SUMPRODUCT(-('Gastos Gerais'!$B$4:$B$3143=Analítico!$B74),-(Analítico!AR$3&gt;='Gastos Gerais'!$D$4:$D$3143),-(Analítico!AR$3&lt;='Gastos Gerais'!$E$4:$E$3143),-('Gastos Gerais'!$C$4:$C$3143))</f>
        <v>500</v>
      </c>
      <c r="AS74" s="134">
        <f>SUMPRODUCT(-('Gastos Gerais'!$B$4:$B$3143=Analítico!$B74),-(Analítico!AS$3&gt;='Gastos Gerais'!$D$4:$D$3143),-(Analítico!AS$3&lt;='Gastos Gerais'!$E$4:$E$3143),-('Gastos Gerais'!$C$4:$C$3143))</f>
        <v>500</v>
      </c>
      <c r="AT74" s="134">
        <f>SUMPRODUCT(-('Gastos Gerais'!$B$4:$B$3143=Analítico!$B74),-(Analítico!AT$3&gt;='Gastos Gerais'!$D$4:$D$3143),-(Analítico!AT$3&lt;='Gastos Gerais'!$E$4:$E$3143),-('Gastos Gerais'!$C$4:$C$3143))</f>
        <v>500</v>
      </c>
      <c r="AU74" s="134">
        <f>SUMPRODUCT(-('Gastos Gerais'!$B$4:$B$3143=Analítico!$B74),-(Analítico!AU$3&gt;='Gastos Gerais'!$D$4:$D$3143),-(Analítico!AU$3&lt;='Gastos Gerais'!$E$4:$E$3143),-('Gastos Gerais'!$C$4:$C$3143))</f>
        <v>500</v>
      </c>
      <c r="AV74" s="134">
        <f>SUMPRODUCT(-('Gastos Gerais'!$B$4:$B$3143=Analítico!$B74),-(Analítico!AV$3&gt;='Gastos Gerais'!$D$4:$D$3143),-(Analítico!AV$3&lt;='Gastos Gerais'!$E$4:$E$3143),-('Gastos Gerais'!$C$4:$C$3143))</f>
        <v>500</v>
      </c>
      <c r="AW74" s="134">
        <f>SUMPRODUCT(-('Gastos Gerais'!$B$4:$B$3143=Analítico!$B74),-(Analítico!AW$3&gt;='Gastos Gerais'!$D$4:$D$3143),-(Analítico!AW$3&lt;='Gastos Gerais'!$E$4:$E$3143),-('Gastos Gerais'!$C$4:$C$3143))</f>
        <v>500</v>
      </c>
      <c r="AX74" s="134">
        <f>SUMPRODUCT(-('Gastos Gerais'!$B$4:$B$3143=Analítico!$B74),-(Analítico!AX$3&gt;='Gastos Gerais'!$D$4:$D$3143),-(Analítico!AX$3&lt;='Gastos Gerais'!$E$4:$E$3143),-('Gastos Gerais'!$C$4:$C$3143))</f>
        <v>0</v>
      </c>
      <c r="AY74" s="134">
        <f>SUMPRODUCT(-('Gastos Gerais'!$B$4:$B$3143=Analítico!$B74),-(Analítico!AY$3&gt;='Gastos Gerais'!$D$4:$D$3143),-(Analítico!AY$3&lt;='Gastos Gerais'!$E$4:$E$3143),-('Gastos Gerais'!$C$4:$C$3143))</f>
        <v>0</v>
      </c>
      <c r="AZ74" s="134">
        <f>SUMPRODUCT(-('Gastos Gerais'!$B$4:$B$3143=Analítico!$B74),-(Analítico!AZ$3&gt;='Gastos Gerais'!$D$4:$D$3143),-(Analítico!AZ$3&lt;='Gastos Gerais'!$E$4:$E$3143),-('Gastos Gerais'!$C$4:$C$3143))</f>
        <v>0</v>
      </c>
      <c r="BA74" s="134">
        <f>SUMPRODUCT(-('Gastos Gerais'!$B$4:$B$3143=Analítico!$B74),-(Analítico!BA$3&gt;='Gastos Gerais'!$D$4:$D$3143),-(Analítico!BA$3&lt;='Gastos Gerais'!$E$4:$E$3143),-('Gastos Gerais'!$C$4:$C$3143))</f>
        <v>0</v>
      </c>
      <c r="BB74" s="134">
        <f>SUMPRODUCT(-('Gastos Gerais'!$B$4:$B$3143=Analítico!$B74),-(Analítico!BB$3&gt;='Gastos Gerais'!$D$4:$D$3143),-(Analítico!BB$3&lt;='Gastos Gerais'!$E$4:$E$3143),-('Gastos Gerais'!$C$4:$C$3143))</f>
        <v>0</v>
      </c>
      <c r="BC74" s="134">
        <f>SUMPRODUCT(-('Gastos Gerais'!$B$4:$B$3143=Analítico!$B74),-(Analítico!BC$3&gt;='Gastos Gerais'!$D$4:$D$3143),-(Analítico!BC$3&lt;='Gastos Gerais'!$E$4:$E$3143),-('Gastos Gerais'!$C$4:$C$3143))</f>
        <v>0</v>
      </c>
      <c r="BD74" s="134">
        <f>SUMPRODUCT(-('Gastos Gerais'!$B$4:$B$3143=Analítico!$B74),-(Analítico!BD$3&gt;='Gastos Gerais'!$D$4:$D$3143),-(Analítico!BD$3&lt;='Gastos Gerais'!$E$4:$E$3143),-('Gastos Gerais'!$C$4:$C$3143))</f>
        <v>0</v>
      </c>
      <c r="BE74" s="134">
        <f>SUMPRODUCT(-('Gastos Gerais'!$B$4:$B$3143=Analítico!$B74),-(Analítico!BE$3&gt;='Gastos Gerais'!$D$4:$D$3143),-(Analítico!BE$3&lt;='Gastos Gerais'!$E$4:$E$3143),-('Gastos Gerais'!$C$4:$C$3143))</f>
        <v>0</v>
      </c>
      <c r="BF74" s="134">
        <f>SUMPRODUCT(-('Gastos Gerais'!$B$4:$B$3143=Analítico!$B74),-(Analítico!BF$3&gt;='Gastos Gerais'!$D$4:$D$3143),-(Analítico!BF$3&lt;='Gastos Gerais'!$E$4:$E$3143),-('Gastos Gerais'!$C$4:$C$3143))</f>
        <v>0</v>
      </c>
      <c r="BG74" s="134">
        <f>SUMPRODUCT(-('Gastos Gerais'!$B$4:$B$3143=Analítico!$B74),-(Analítico!BG$3&gt;='Gastos Gerais'!$D$4:$D$3143),-(Analítico!BG$3&lt;='Gastos Gerais'!$E$4:$E$3143),-('Gastos Gerais'!$C$4:$C$3143))</f>
        <v>0</v>
      </c>
      <c r="BH74" s="134">
        <f>SUMPRODUCT(-('Gastos Gerais'!$B$4:$B$3143=Analítico!$B74),-(Analítico!BH$3&gt;='Gastos Gerais'!$D$4:$D$3143),-(Analítico!BH$3&lt;='Gastos Gerais'!$E$4:$E$3143),-('Gastos Gerais'!$C$4:$C$3143))</f>
        <v>0</v>
      </c>
      <c r="BI74" s="134">
        <f>SUMPRODUCT(-('Gastos Gerais'!$B$4:$B$3143=Analítico!$B74),-(Analítico!BI$3&gt;='Gastos Gerais'!$D$4:$D$3143),-(Analítico!BI$3&lt;='Gastos Gerais'!$E$4:$E$3143),-('Gastos Gerais'!$C$4:$C$3143))</f>
        <v>0</v>
      </c>
      <c r="BJ74" s="134">
        <f>SUMPRODUCT(-('Gastos Gerais'!$B$4:$B$3143=Analítico!$B74),-(Analítico!BJ$3&gt;='Gastos Gerais'!$D$4:$D$3143),-(Analítico!BJ$3&lt;='Gastos Gerais'!$E$4:$E$3143),-('Gastos Gerais'!$C$4:$C$3143))</f>
        <v>0</v>
      </c>
      <c r="BK74" s="189">
        <f t="shared" si="24"/>
        <v>23500</v>
      </c>
      <c r="BL74" s="136">
        <f t="shared" ca="1" si="25"/>
        <v>8.0910455569441962E-5</v>
      </c>
    </row>
    <row r="75" spans="1:64" s="160" customFormat="1" ht="23.25" customHeight="1">
      <c r="A75" s="229" t="s">
        <v>227</v>
      </c>
      <c r="B75" s="231" t="s">
        <v>228</v>
      </c>
      <c r="C75" s="188">
        <f>SUMPRODUCT(-('Gastos Gerais'!$B$4:$B$3143=Analítico!$B75),-(Analítico!C$3&gt;='Gastos Gerais'!$D$4:$D$3143),-(Analítico!C$3&lt;='Gastos Gerais'!$E$4:$E$3143),-('Gastos Gerais'!$C$4:$C$3143))</f>
        <v>0</v>
      </c>
      <c r="D75" s="134">
        <f>SUMPRODUCT(-('Gastos Gerais'!$B$4:$B$3143=Analítico!$B75),-(Analítico!D$3&gt;='Gastos Gerais'!$D$4:$D$3143),-(Analítico!D$3&lt;='Gastos Gerais'!$E$4:$E$3143),-('Gastos Gerais'!$C$4:$C$3143))</f>
        <v>0</v>
      </c>
      <c r="E75" s="134">
        <f>SUMPRODUCT(-('Gastos Gerais'!$B$4:$B$3143=Analítico!$B75),-(Analítico!E$3&gt;='Gastos Gerais'!$D$4:$D$3143),-(Analítico!E$3&lt;='Gastos Gerais'!$E$4:$E$3143),-('Gastos Gerais'!$C$4:$C$3143))</f>
        <v>0</v>
      </c>
      <c r="F75" s="134">
        <f>SUMPRODUCT(-('Gastos Gerais'!$B$4:$B$3143=Analítico!$B75),-(Analítico!F$3&gt;='Gastos Gerais'!$D$4:$D$3143),-(Analítico!F$3&lt;='Gastos Gerais'!$E$4:$E$3143),-('Gastos Gerais'!$C$4:$C$3143))</f>
        <v>0</v>
      </c>
      <c r="G75" s="134">
        <f>SUMPRODUCT(-('Gastos Gerais'!$B$4:$B$3143=Analítico!$B75),-(Analítico!G$3&gt;='Gastos Gerais'!$D$4:$D$3143),-(Analítico!G$3&lt;='Gastos Gerais'!$E$4:$E$3143),-('Gastos Gerais'!$C$4:$C$3143))</f>
        <v>0</v>
      </c>
      <c r="H75" s="134">
        <f>SUMPRODUCT(-('Gastos Gerais'!$B$4:$B$3143=Analítico!$B75),-(Analítico!H$3&gt;='Gastos Gerais'!$D$4:$D$3143),-(Analítico!H$3&lt;='Gastos Gerais'!$E$4:$E$3143),-('Gastos Gerais'!$C$4:$C$3143))</f>
        <v>0</v>
      </c>
      <c r="I75" s="134">
        <f>SUMPRODUCT(-('Gastos Gerais'!$B$4:$B$3143=Analítico!$B75),-(Analítico!I$3&gt;='Gastos Gerais'!$D$4:$D$3143),-(Analítico!I$3&lt;='Gastos Gerais'!$E$4:$E$3143),-('Gastos Gerais'!$C$4:$C$3143))</f>
        <v>0</v>
      </c>
      <c r="J75" s="134">
        <f>SUMPRODUCT(-('Gastos Gerais'!$B$4:$B$3143=Analítico!$B75),-(Analítico!J$3&gt;='Gastos Gerais'!$D$4:$D$3143),-(Analítico!J$3&lt;='Gastos Gerais'!$E$4:$E$3143),-('Gastos Gerais'!$C$4:$C$3143))</f>
        <v>0</v>
      </c>
      <c r="K75" s="134">
        <f>SUMPRODUCT(-('Gastos Gerais'!$B$4:$B$3143=Analítico!$B75),-(Analítico!K$3&gt;='Gastos Gerais'!$D$4:$D$3143),-(Analítico!K$3&lt;='Gastos Gerais'!$E$4:$E$3143),-('Gastos Gerais'!$C$4:$C$3143))</f>
        <v>0</v>
      </c>
      <c r="L75" s="134">
        <f>SUMPRODUCT(-('Gastos Gerais'!$B$4:$B$3143=Analítico!$B75),-(Analítico!L$3&gt;='Gastos Gerais'!$D$4:$D$3143),-(Analítico!L$3&lt;='Gastos Gerais'!$E$4:$E$3143),-('Gastos Gerais'!$C$4:$C$3143))</f>
        <v>0</v>
      </c>
      <c r="M75" s="134">
        <f>SUMPRODUCT(-('Gastos Gerais'!$B$4:$B$3143=Analítico!$B75),-(Analítico!M$3&gt;='Gastos Gerais'!$D$4:$D$3143),-(Analítico!M$3&lt;='Gastos Gerais'!$E$4:$E$3143),-('Gastos Gerais'!$C$4:$C$3143))</f>
        <v>0</v>
      </c>
      <c r="N75" s="134">
        <f>SUMPRODUCT(-('Gastos Gerais'!$B$4:$B$3143=Analítico!$B75),-(Analítico!N$3&gt;='Gastos Gerais'!$D$4:$D$3143),-(Analítico!N$3&lt;='Gastos Gerais'!$E$4:$E$3143),-('Gastos Gerais'!$C$4:$C$3143))</f>
        <v>0</v>
      </c>
      <c r="O75" s="134">
        <f>SUMPRODUCT(-('Gastos Gerais'!$B$4:$B$3143=Analítico!$B75),-(Analítico!O$3&gt;='Gastos Gerais'!$D$4:$D$3143),-(Analítico!O$3&lt;='Gastos Gerais'!$E$4:$E$3143),-('Gastos Gerais'!$C$4:$C$3143))</f>
        <v>0</v>
      </c>
      <c r="P75" s="134">
        <f>SUMPRODUCT(-('Gastos Gerais'!$B$4:$B$3143=Analítico!$B75),-(Analítico!P$3&gt;='Gastos Gerais'!$D$4:$D$3143),-(Analítico!P$3&lt;='Gastos Gerais'!$E$4:$E$3143),-('Gastos Gerais'!$C$4:$C$3143))</f>
        <v>0</v>
      </c>
      <c r="Q75" s="134">
        <f>SUMPRODUCT(-('Gastos Gerais'!$B$4:$B$3143=Analítico!$B75),-(Analítico!Q$3&gt;='Gastos Gerais'!$D$4:$D$3143),-(Analítico!Q$3&lt;='Gastos Gerais'!$E$4:$E$3143),-('Gastos Gerais'!$C$4:$C$3143))</f>
        <v>0</v>
      </c>
      <c r="R75" s="134">
        <f>SUMPRODUCT(-('Gastos Gerais'!$B$4:$B$3143=Analítico!$B75),-(Analítico!R$3&gt;='Gastos Gerais'!$D$4:$D$3143),-(Analítico!R$3&lt;='Gastos Gerais'!$E$4:$E$3143),-('Gastos Gerais'!$C$4:$C$3143))</f>
        <v>0</v>
      </c>
      <c r="S75" s="134">
        <f>SUMPRODUCT(-('Gastos Gerais'!$B$4:$B$3143=Analítico!$B75),-(Analítico!S$3&gt;='Gastos Gerais'!$D$4:$D$3143),-(Analítico!S$3&lt;='Gastos Gerais'!$E$4:$E$3143),-('Gastos Gerais'!$C$4:$C$3143))</f>
        <v>0</v>
      </c>
      <c r="T75" s="134">
        <f>SUMPRODUCT(-('Gastos Gerais'!$B$4:$B$3143=Analítico!$B75),-(Analítico!T$3&gt;='Gastos Gerais'!$D$4:$D$3143),-(Analítico!T$3&lt;='Gastos Gerais'!$E$4:$E$3143),-('Gastos Gerais'!$C$4:$C$3143))</f>
        <v>0</v>
      </c>
      <c r="U75" s="134">
        <f>SUMPRODUCT(-('Gastos Gerais'!$B$4:$B$3143=Analítico!$B75),-(Analítico!U$3&gt;='Gastos Gerais'!$D$4:$D$3143),-(Analítico!U$3&lt;='Gastos Gerais'!$E$4:$E$3143),-('Gastos Gerais'!$C$4:$C$3143))</f>
        <v>0</v>
      </c>
      <c r="V75" s="134">
        <f>SUMPRODUCT(-('Gastos Gerais'!$B$4:$B$3143=Analítico!$B75),-(Analítico!V$3&gt;='Gastos Gerais'!$D$4:$D$3143),-(Analítico!V$3&lt;='Gastos Gerais'!$E$4:$E$3143),-('Gastos Gerais'!$C$4:$C$3143))</f>
        <v>0</v>
      </c>
      <c r="W75" s="134">
        <f>SUMPRODUCT(-('Gastos Gerais'!$B$4:$B$3143=Analítico!$B75),-(Analítico!W$3&gt;='Gastos Gerais'!$D$4:$D$3143),-(Analítico!W$3&lt;='Gastos Gerais'!$E$4:$E$3143),-('Gastos Gerais'!$C$4:$C$3143))</f>
        <v>0</v>
      </c>
      <c r="X75" s="134">
        <f>SUMPRODUCT(-('Gastos Gerais'!$B$4:$B$3143=Analítico!$B75),-(Analítico!X$3&gt;='Gastos Gerais'!$D$4:$D$3143),-(Analítico!X$3&lt;='Gastos Gerais'!$E$4:$E$3143),-('Gastos Gerais'!$C$4:$C$3143))</f>
        <v>0</v>
      </c>
      <c r="Y75" s="134">
        <f>SUMPRODUCT(-('Gastos Gerais'!$B$4:$B$3143=Analítico!$B75),-(Analítico!Y$3&gt;='Gastos Gerais'!$D$4:$D$3143),-(Analítico!Y$3&lt;='Gastos Gerais'!$E$4:$E$3143),-('Gastos Gerais'!$C$4:$C$3143))</f>
        <v>0</v>
      </c>
      <c r="Z75" s="134">
        <f>SUMPRODUCT(-('Gastos Gerais'!$B$4:$B$3143=Analítico!$B75),-(Analítico!Z$3&gt;='Gastos Gerais'!$D$4:$D$3143),-(Analítico!Z$3&lt;='Gastos Gerais'!$E$4:$E$3143),-('Gastos Gerais'!$C$4:$C$3143))</f>
        <v>0</v>
      </c>
      <c r="AA75" s="134">
        <f>SUMPRODUCT(-('Gastos Gerais'!$B$4:$B$3143=Analítico!$B75),-(Analítico!AA$3&gt;='Gastos Gerais'!$D$4:$D$3143),-(Analítico!AA$3&lt;='Gastos Gerais'!$E$4:$E$3143),-('Gastos Gerais'!$C$4:$C$3143))</f>
        <v>0</v>
      </c>
      <c r="AB75" s="134">
        <f>SUMPRODUCT(-('Gastos Gerais'!$B$4:$B$3143=Analítico!$B75),-(Analítico!AB$3&gt;='Gastos Gerais'!$D$4:$D$3143),-(Analítico!AB$3&lt;='Gastos Gerais'!$E$4:$E$3143),-('Gastos Gerais'!$C$4:$C$3143))</f>
        <v>0</v>
      </c>
      <c r="AC75" s="134">
        <f>SUMPRODUCT(-('Gastos Gerais'!$B$4:$B$3143=Analítico!$B75),-(Analítico!AC$3&gt;='Gastos Gerais'!$D$4:$D$3143),-(Analítico!AC$3&lt;='Gastos Gerais'!$E$4:$E$3143),-('Gastos Gerais'!$C$4:$C$3143))</f>
        <v>0</v>
      </c>
      <c r="AD75" s="134">
        <f>SUMPRODUCT(-('Gastos Gerais'!$B$4:$B$3143=Analítico!$B75),-(Analítico!AD$3&gt;='Gastos Gerais'!$D$4:$D$3143),-(Analítico!AD$3&lt;='Gastos Gerais'!$E$4:$E$3143),-('Gastos Gerais'!$C$4:$C$3143))</f>
        <v>0</v>
      </c>
      <c r="AE75" s="134">
        <f>SUMPRODUCT(-('Gastos Gerais'!$B$4:$B$3143=Analítico!$B75),-(Analítico!AE$3&gt;='Gastos Gerais'!$D$4:$D$3143),-(Analítico!AE$3&lt;='Gastos Gerais'!$E$4:$E$3143),-('Gastos Gerais'!$C$4:$C$3143))</f>
        <v>0</v>
      </c>
      <c r="AF75" s="134">
        <f>SUMPRODUCT(-('Gastos Gerais'!$B$4:$B$3143=Analítico!$B75),-(Analítico!AF$3&gt;='Gastos Gerais'!$D$4:$D$3143),-(Analítico!AF$3&lt;='Gastos Gerais'!$E$4:$E$3143),-('Gastos Gerais'!$C$4:$C$3143))</f>
        <v>0</v>
      </c>
      <c r="AG75" s="134">
        <f>SUMPRODUCT(-('Gastos Gerais'!$B$4:$B$3143=Analítico!$B75),-(Analítico!AG$3&gt;='Gastos Gerais'!$D$4:$D$3143),-(Analítico!AG$3&lt;='Gastos Gerais'!$E$4:$E$3143),-('Gastos Gerais'!$C$4:$C$3143))</f>
        <v>0</v>
      </c>
      <c r="AH75" s="134">
        <f>SUMPRODUCT(-('Gastos Gerais'!$B$4:$B$3143=Analítico!$B75),-(Analítico!AH$3&gt;='Gastos Gerais'!$D$4:$D$3143),-(Analítico!AH$3&lt;='Gastos Gerais'!$E$4:$E$3143),-('Gastos Gerais'!$C$4:$C$3143))</f>
        <v>0</v>
      </c>
      <c r="AI75" s="134">
        <f>SUMPRODUCT(-('Gastos Gerais'!$B$4:$B$3143=Analítico!$B75),-(Analítico!AI$3&gt;='Gastos Gerais'!$D$4:$D$3143),-(Analítico!AI$3&lt;='Gastos Gerais'!$E$4:$E$3143),-('Gastos Gerais'!$C$4:$C$3143))</f>
        <v>0</v>
      </c>
      <c r="AJ75" s="134">
        <f>SUMPRODUCT(-('Gastos Gerais'!$B$4:$B$3143=Analítico!$B75),-(Analítico!AJ$3&gt;='Gastos Gerais'!$D$4:$D$3143),-(Analítico!AJ$3&lt;='Gastos Gerais'!$E$4:$E$3143),-('Gastos Gerais'!$C$4:$C$3143))</f>
        <v>0</v>
      </c>
      <c r="AK75" s="134">
        <f>SUMPRODUCT(-('Gastos Gerais'!$B$4:$B$3143=Analítico!$B75),-(Analítico!AK$3&gt;='Gastos Gerais'!$D$4:$D$3143),-(Analítico!AK$3&lt;='Gastos Gerais'!$E$4:$E$3143),-('Gastos Gerais'!$C$4:$C$3143))</f>
        <v>0</v>
      </c>
      <c r="AL75" s="134">
        <f>SUMPRODUCT(-('Gastos Gerais'!$B$4:$B$3143=Analítico!$B75),-(Analítico!AL$3&gt;='Gastos Gerais'!$D$4:$D$3143),-(Analítico!AL$3&lt;='Gastos Gerais'!$E$4:$E$3143),-('Gastos Gerais'!$C$4:$C$3143))</f>
        <v>0</v>
      </c>
      <c r="AM75" s="134">
        <f>SUMPRODUCT(-('Gastos Gerais'!$B$4:$B$3143=Analítico!$B75),-(Analítico!AM$3&gt;='Gastos Gerais'!$D$4:$D$3143),-(Analítico!AM$3&lt;='Gastos Gerais'!$E$4:$E$3143),-('Gastos Gerais'!$C$4:$C$3143))</f>
        <v>0</v>
      </c>
      <c r="AN75" s="134">
        <f>SUMPRODUCT(-('Gastos Gerais'!$B$4:$B$3143=Analítico!$B75),-(Analítico!AN$3&gt;='Gastos Gerais'!$D$4:$D$3143),-(Analítico!AN$3&lt;='Gastos Gerais'!$E$4:$E$3143),-('Gastos Gerais'!$C$4:$C$3143))</f>
        <v>0</v>
      </c>
      <c r="AO75" s="134">
        <f>SUMPRODUCT(-('Gastos Gerais'!$B$4:$B$3143=Analítico!$B75),-(Analítico!AO$3&gt;='Gastos Gerais'!$D$4:$D$3143),-(Analítico!AO$3&lt;='Gastos Gerais'!$E$4:$E$3143),-('Gastos Gerais'!$C$4:$C$3143))</f>
        <v>0</v>
      </c>
      <c r="AP75" s="134">
        <f>SUMPRODUCT(-('Gastos Gerais'!$B$4:$B$3143=Analítico!$B75),-(Analítico!AP$3&gt;='Gastos Gerais'!$D$4:$D$3143),-(Analítico!AP$3&lt;='Gastos Gerais'!$E$4:$E$3143),-('Gastos Gerais'!$C$4:$C$3143))</f>
        <v>0</v>
      </c>
      <c r="AQ75" s="134">
        <f>SUMPRODUCT(-('Gastos Gerais'!$B$4:$B$3143=Analítico!$B75),-(Analítico!AQ$3&gt;='Gastos Gerais'!$D$4:$D$3143),-(Analítico!AQ$3&lt;='Gastos Gerais'!$E$4:$E$3143),-('Gastos Gerais'!$C$4:$C$3143))</f>
        <v>0</v>
      </c>
      <c r="AR75" s="134">
        <f>SUMPRODUCT(-('Gastos Gerais'!$B$4:$B$3143=Analítico!$B75),-(Analítico!AR$3&gt;='Gastos Gerais'!$D$4:$D$3143),-(Analítico!AR$3&lt;='Gastos Gerais'!$E$4:$E$3143),-('Gastos Gerais'!$C$4:$C$3143))</f>
        <v>0</v>
      </c>
      <c r="AS75" s="134">
        <f>SUMPRODUCT(-('Gastos Gerais'!$B$4:$B$3143=Analítico!$B75),-(Analítico!AS$3&gt;='Gastos Gerais'!$D$4:$D$3143),-(Analítico!AS$3&lt;='Gastos Gerais'!$E$4:$E$3143),-('Gastos Gerais'!$C$4:$C$3143))</f>
        <v>0</v>
      </c>
      <c r="AT75" s="134">
        <f>SUMPRODUCT(-('Gastos Gerais'!$B$4:$B$3143=Analítico!$B75),-(Analítico!AT$3&gt;='Gastos Gerais'!$D$4:$D$3143),-(Analítico!AT$3&lt;='Gastos Gerais'!$E$4:$E$3143),-('Gastos Gerais'!$C$4:$C$3143))</f>
        <v>0</v>
      </c>
      <c r="AU75" s="134">
        <f>SUMPRODUCT(-('Gastos Gerais'!$B$4:$B$3143=Analítico!$B75),-(Analítico!AU$3&gt;='Gastos Gerais'!$D$4:$D$3143),-(Analítico!AU$3&lt;='Gastos Gerais'!$E$4:$E$3143),-('Gastos Gerais'!$C$4:$C$3143))</f>
        <v>0</v>
      </c>
      <c r="AV75" s="134">
        <f>SUMPRODUCT(-('Gastos Gerais'!$B$4:$B$3143=Analítico!$B75),-(Analítico!AV$3&gt;='Gastos Gerais'!$D$4:$D$3143),-(Analítico!AV$3&lt;='Gastos Gerais'!$E$4:$E$3143),-('Gastos Gerais'!$C$4:$C$3143))</f>
        <v>0</v>
      </c>
      <c r="AW75" s="134">
        <f>SUMPRODUCT(-('Gastos Gerais'!$B$4:$B$3143=Analítico!$B75),-(Analítico!AW$3&gt;='Gastos Gerais'!$D$4:$D$3143),-(Analítico!AW$3&lt;='Gastos Gerais'!$E$4:$E$3143),-('Gastos Gerais'!$C$4:$C$3143))</f>
        <v>0</v>
      </c>
      <c r="AX75" s="134">
        <f>SUMPRODUCT(-('Gastos Gerais'!$B$4:$B$3143=Analítico!$B75),-(Analítico!AX$3&gt;='Gastos Gerais'!$D$4:$D$3143),-(Analítico!AX$3&lt;='Gastos Gerais'!$E$4:$E$3143),-('Gastos Gerais'!$C$4:$C$3143))</f>
        <v>0</v>
      </c>
      <c r="AY75" s="134">
        <f>SUMPRODUCT(-('Gastos Gerais'!$B$4:$B$3143=Analítico!$B75),-(Analítico!AY$3&gt;='Gastos Gerais'!$D$4:$D$3143),-(Analítico!AY$3&lt;='Gastos Gerais'!$E$4:$E$3143),-('Gastos Gerais'!$C$4:$C$3143))</f>
        <v>0</v>
      </c>
      <c r="AZ75" s="134">
        <f>SUMPRODUCT(-('Gastos Gerais'!$B$4:$B$3143=Analítico!$B75),-(Analítico!AZ$3&gt;='Gastos Gerais'!$D$4:$D$3143),-(Analítico!AZ$3&lt;='Gastos Gerais'!$E$4:$E$3143),-('Gastos Gerais'!$C$4:$C$3143))</f>
        <v>0</v>
      </c>
      <c r="BA75" s="134">
        <f>SUMPRODUCT(-('Gastos Gerais'!$B$4:$B$3143=Analítico!$B75),-(Analítico!BA$3&gt;='Gastos Gerais'!$D$4:$D$3143),-(Analítico!BA$3&lt;='Gastos Gerais'!$E$4:$E$3143),-('Gastos Gerais'!$C$4:$C$3143))</f>
        <v>0</v>
      </c>
      <c r="BB75" s="134">
        <f>SUMPRODUCT(-('Gastos Gerais'!$B$4:$B$3143=Analítico!$B75),-(Analítico!BB$3&gt;='Gastos Gerais'!$D$4:$D$3143),-(Analítico!BB$3&lt;='Gastos Gerais'!$E$4:$E$3143),-('Gastos Gerais'!$C$4:$C$3143))</f>
        <v>0</v>
      </c>
      <c r="BC75" s="134">
        <f>SUMPRODUCT(-('Gastos Gerais'!$B$4:$B$3143=Analítico!$B75),-(Analítico!BC$3&gt;='Gastos Gerais'!$D$4:$D$3143),-(Analítico!BC$3&lt;='Gastos Gerais'!$E$4:$E$3143),-('Gastos Gerais'!$C$4:$C$3143))</f>
        <v>0</v>
      </c>
      <c r="BD75" s="134">
        <f>SUMPRODUCT(-('Gastos Gerais'!$B$4:$B$3143=Analítico!$B75),-(Analítico!BD$3&gt;='Gastos Gerais'!$D$4:$D$3143),-(Analítico!BD$3&lt;='Gastos Gerais'!$E$4:$E$3143),-('Gastos Gerais'!$C$4:$C$3143))</f>
        <v>0</v>
      </c>
      <c r="BE75" s="134">
        <f>SUMPRODUCT(-('Gastos Gerais'!$B$4:$B$3143=Analítico!$B75),-(Analítico!BE$3&gt;='Gastos Gerais'!$D$4:$D$3143),-(Analítico!BE$3&lt;='Gastos Gerais'!$E$4:$E$3143),-('Gastos Gerais'!$C$4:$C$3143))</f>
        <v>0</v>
      </c>
      <c r="BF75" s="134">
        <f>SUMPRODUCT(-('Gastos Gerais'!$B$4:$B$3143=Analítico!$B75),-(Analítico!BF$3&gt;='Gastos Gerais'!$D$4:$D$3143),-(Analítico!BF$3&lt;='Gastos Gerais'!$E$4:$E$3143),-('Gastos Gerais'!$C$4:$C$3143))</f>
        <v>0</v>
      </c>
      <c r="BG75" s="134">
        <f>SUMPRODUCT(-('Gastos Gerais'!$B$4:$B$3143=Analítico!$B75),-(Analítico!BG$3&gt;='Gastos Gerais'!$D$4:$D$3143),-(Analítico!BG$3&lt;='Gastos Gerais'!$E$4:$E$3143),-('Gastos Gerais'!$C$4:$C$3143))</f>
        <v>0</v>
      </c>
      <c r="BH75" s="134">
        <f>SUMPRODUCT(-('Gastos Gerais'!$B$4:$B$3143=Analítico!$B75),-(Analítico!BH$3&gt;='Gastos Gerais'!$D$4:$D$3143),-(Analítico!BH$3&lt;='Gastos Gerais'!$E$4:$E$3143),-('Gastos Gerais'!$C$4:$C$3143))</f>
        <v>0</v>
      </c>
      <c r="BI75" s="134">
        <f>SUMPRODUCT(-('Gastos Gerais'!$B$4:$B$3143=Analítico!$B75),-(Analítico!BI$3&gt;='Gastos Gerais'!$D$4:$D$3143),-(Analítico!BI$3&lt;='Gastos Gerais'!$E$4:$E$3143),-('Gastos Gerais'!$C$4:$C$3143))</f>
        <v>0</v>
      </c>
      <c r="BJ75" s="134">
        <f>SUMPRODUCT(-('Gastos Gerais'!$B$4:$B$3143=Analítico!$B75),-(Analítico!BJ$3&gt;='Gastos Gerais'!$D$4:$D$3143),-(Analítico!BJ$3&lt;='Gastos Gerais'!$E$4:$E$3143),-('Gastos Gerais'!$C$4:$C$3143))</f>
        <v>0</v>
      </c>
      <c r="BK75" s="189">
        <f t="shared" si="24"/>
        <v>0</v>
      </c>
      <c r="BL75" s="136">
        <f t="shared" ca="1" si="25"/>
        <v>0</v>
      </c>
    </row>
    <row r="76" spans="1:64" s="160" customFormat="1" ht="23.25" customHeight="1">
      <c r="A76" s="229" t="s">
        <v>229</v>
      </c>
      <c r="B76" s="230" t="s">
        <v>230</v>
      </c>
      <c r="C76" s="188">
        <f>SUMPRODUCT(-('Gastos Gerais'!$B$4:$B$3143=Analítico!$B76),-(Analítico!C$3&gt;='Gastos Gerais'!$D$4:$D$3143),-(Analítico!C$3&lt;='Gastos Gerais'!$E$4:$E$3143),-('Gastos Gerais'!$C$4:$C$3143))</f>
        <v>0</v>
      </c>
      <c r="D76" s="134">
        <f>SUMPRODUCT(-('Gastos Gerais'!$B$4:$B$3143=Analítico!$B76),-(Analítico!D$3&gt;='Gastos Gerais'!$D$4:$D$3143),-(Analítico!D$3&lt;='Gastos Gerais'!$E$4:$E$3143),-('Gastos Gerais'!$C$4:$C$3143))</f>
        <v>0</v>
      </c>
      <c r="E76" s="134">
        <f>SUMPRODUCT(-('Gastos Gerais'!$B$4:$B$3143=Analítico!$B76),-(Analítico!E$3&gt;='Gastos Gerais'!$D$4:$D$3143),-(Analítico!E$3&lt;='Gastos Gerais'!$E$4:$E$3143),-('Gastos Gerais'!$C$4:$C$3143))</f>
        <v>0</v>
      </c>
      <c r="F76" s="134">
        <f>SUMPRODUCT(-('Gastos Gerais'!$B$4:$B$3143=Analítico!$B76),-(Analítico!F$3&gt;='Gastos Gerais'!$D$4:$D$3143),-(Analítico!F$3&lt;='Gastos Gerais'!$E$4:$E$3143),-('Gastos Gerais'!$C$4:$C$3143))</f>
        <v>0</v>
      </c>
      <c r="G76" s="134">
        <f>SUMPRODUCT(-('Gastos Gerais'!$B$4:$B$3143=Analítico!$B76),-(Analítico!G$3&gt;='Gastos Gerais'!$D$4:$D$3143),-(Analítico!G$3&lt;='Gastos Gerais'!$E$4:$E$3143),-('Gastos Gerais'!$C$4:$C$3143))</f>
        <v>0</v>
      </c>
      <c r="H76" s="134">
        <f>SUMPRODUCT(-('Gastos Gerais'!$B$4:$B$3143=Analítico!$B76),-(Analítico!H$3&gt;='Gastos Gerais'!$D$4:$D$3143),-(Analítico!H$3&lt;='Gastos Gerais'!$E$4:$E$3143),-('Gastos Gerais'!$C$4:$C$3143))</f>
        <v>0</v>
      </c>
      <c r="I76" s="134">
        <f>SUMPRODUCT(-('Gastos Gerais'!$B$4:$B$3143=Analítico!$B76),-(Analítico!I$3&gt;='Gastos Gerais'!$D$4:$D$3143),-(Analítico!I$3&lt;='Gastos Gerais'!$E$4:$E$3143),-('Gastos Gerais'!$C$4:$C$3143))</f>
        <v>0</v>
      </c>
      <c r="J76" s="134">
        <f>SUMPRODUCT(-('Gastos Gerais'!$B$4:$B$3143=Analítico!$B76),-(Analítico!J$3&gt;='Gastos Gerais'!$D$4:$D$3143),-(Analítico!J$3&lt;='Gastos Gerais'!$E$4:$E$3143),-('Gastos Gerais'!$C$4:$C$3143))</f>
        <v>0</v>
      </c>
      <c r="K76" s="134">
        <f>SUMPRODUCT(-('Gastos Gerais'!$B$4:$B$3143=Analítico!$B76),-(Analítico!K$3&gt;='Gastos Gerais'!$D$4:$D$3143),-(Analítico!K$3&lt;='Gastos Gerais'!$E$4:$E$3143),-('Gastos Gerais'!$C$4:$C$3143))</f>
        <v>0</v>
      </c>
      <c r="L76" s="134">
        <f>SUMPRODUCT(-('Gastos Gerais'!$B$4:$B$3143=Analítico!$B76),-(Analítico!L$3&gt;='Gastos Gerais'!$D$4:$D$3143),-(Analítico!L$3&lt;='Gastos Gerais'!$E$4:$E$3143),-('Gastos Gerais'!$C$4:$C$3143))</f>
        <v>0</v>
      </c>
      <c r="M76" s="134">
        <f>SUMPRODUCT(-('Gastos Gerais'!$B$4:$B$3143=Analítico!$B76),-(Analítico!M$3&gt;='Gastos Gerais'!$D$4:$D$3143),-(Analítico!M$3&lt;='Gastos Gerais'!$E$4:$E$3143),-('Gastos Gerais'!$C$4:$C$3143))</f>
        <v>0</v>
      </c>
      <c r="N76" s="134">
        <f>SUMPRODUCT(-('Gastos Gerais'!$B$4:$B$3143=Analítico!$B76),-(Analítico!N$3&gt;='Gastos Gerais'!$D$4:$D$3143),-(Analítico!N$3&lt;='Gastos Gerais'!$E$4:$E$3143),-('Gastos Gerais'!$C$4:$C$3143))</f>
        <v>300</v>
      </c>
      <c r="O76" s="134">
        <f>SUMPRODUCT(-('Gastos Gerais'!$B$4:$B$3143=Analítico!$B76),-(Analítico!O$3&gt;='Gastos Gerais'!$D$4:$D$3143),-(Analítico!O$3&lt;='Gastos Gerais'!$E$4:$E$3143),-('Gastos Gerais'!$C$4:$C$3143))</f>
        <v>0</v>
      </c>
      <c r="P76" s="134">
        <f>SUMPRODUCT(-('Gastos Gerais'!$B$4:$B$3143=Analítico!$B76),-(Analítico!P$3&gt;='Gastos Gerais'!$D$4:$D$3143),-(Analítico!P$3&lt;='Gastos Gerais'!$E$4:$E$3143),-('Gastos Gerais'!$C$4:$C$3143))</f>
        <v>0</v>
      </c>
      <c r="Q76" s="134">
        <f>SUMPRODUCT(-('Gastos Gerais'!$B$4:$B$3143=Analítico!$B76),-(Analítico!Q$3&gt;='Gastos Gerais'!$D$4:$D$3143),-(Analítico!Q$3&lt;='Gastos Gerais'!$E$4:$E$3143),-('Gastos Gerais'!$C$4:$C$3143))</f>
        <v>0</v>
      </c>
      <c r="R76" s="134">
        <f>SUMPRODUCT(-('Gastos Gerais'!$B$4:$B$3143=Analítico!$B76),-(Analítico!R$3&gt;='Gastos Gerais'!$D$4:$D$3143),-(Analítico!R$3&lt;='Gastos Gerais'!$E$4:$E$3143),-('Gastos Gerais'!$C$4:$C$3143))</f>
        <v>0</v>
      </c>
      <c r="S76" s="134">
        <f>SUMPRODUCT(-('Gastos Gerais'!$B$4:$B$3143=Analítico!$B76),-(Analítico!S$3&gt;='Gastos Gerais'!$D$4:$D$3143),-(Analítico!S$3&lt;='Gastos Gerais'!$E$4:$E$3143),-('Gastos Gerais'!$C$4:$C$3143))</f>
        <v>0</v>
      </c>
      <c r="T76" s="134">
        <f>SUMPRODUCT(-('Gastos Gerais'!$B$4:$B$3143=Analítico!$B76),-(Analítico!T$3&gt;='Gastos Gerais'!$D$4:$D$3143),-(Analítico!T$3&lt;='Gastos Gerais'!$E$4:$E$3143),-('Gastos Gerais'!$C$4:$C$3143))</f>
        <v>0</v>
      </c>
      <c r="U76" s="134">
        <f>SUMPRODUCT(-('Gastos Gerais'!$B$4:$B$3143=Analítico!$B76),-(Analítico!U$3&gt;='Gastos Gerais'!$D$4:$D$3143),-(Analítico!U$3&lt;='Gastos Gerais'!$E$4:$E$3143),-('Gastos Gerais'!$C$4:$C$3143))</f>
        <v>0</v>
      </c>
      <c r="V76" s="134">
        <f>SUMPRODUCT(-('Gastos Gerais'!$B$4:$B$3143=Analítico!$B76),-(Analítico!V$3&gt;='Gastos Gerais'!$D$4:$D$3143),-(Analítico!V$3&lt;='Gastos Gerais'!$E$4:$E$3143),-('Gastos Gerais'!$C$4:$C$3143))</f>
        <v>0</v>
      </c>
      <c r="W76" s="134">
        <f>SUMPRODUCT(-('Gastos Gerais'!$B$4:$B$3143=Analítico!$B76),-(Analítico!W$3&gt;='Gastos Gerais'!$D$4:$D$3143),-(Analítico!W$3&lt;='Gastos Gerais'!$E$4:$E$3143),-('Gastos Gerais'!$C$4:$C$3143))</f>
        <v>0</v>
      </c>
      <c r="X76" s="134">
        <f>SUMPRODUCT(-('Gastos Gerais'!$B$4:$B$3143=Analítico!$B76),-(Analítico!X$3&gt;='Gastos Gerais'!$D$4:$D$3143),-(Analítico!X$3&lt;='Gastos Gerais'!$E$4:$E$3143),-('Gastos Gerais'!$C$4:$C$3143))</f>
        <v>0</v>
      </c>
      <c r="Y76" s="134">
        <f>SUMPRODUCT(-('Gastos Gerais'!$B$4:$B$3143=Analítico!$B76),-(Analítico!Y$3&gt;='Gastos Gerais'!$D$4:$D$3143),-(Analítico!Y$3&lt;='Gastos Gerais'!$E$4:$E$3143),-('Gastos Gerais'!$C$4:$C$3143))</f>
        <v>0</v>
      </c>
      <c r="Z76" s="134">
        <f>SUMPRODUCT(-('Gastos Gerais'!$B$4:$B$3143=Analítico!$B76),-(Analítico!Z$3&gt;='Gastos Gerais'!$D$4:$D$3143),-(Analítico!Z$3&lt;='Gastos Gerais'!$E$4:$E$3143),-('Gastos Gerais'!$C$4:$C$3143))</f>
        <v>300</v>
      </c>
      <c r="AA76" s="134">
        <f>SUMPRODUCT(-('Gastos Gerais'!$B$4:$B$3143=Analítico!$B76),-(Analítico!AA$3&gt;='Gastos Gerais'!$D$4:$D$3143),-(Analítico!AA$3&lt;='Gastos Gerais'!$E$4:$E$3143),-('Gastos Gerais'!$C$4:$C$3143))</f>
        <v>0</v>
      </c>
      <c r="AB76" s="134">
        <f>SUMPRODUCT(-('Gastos Gerais'!$B$4:$B$3143=Analítico!$B76),-(Analítico!AB$3&gt;='Gastos Gerais'!$D$4:$D$3143),-(Analítico!AB$3&lt;='Gastos Gerais'!$E$4:$E$3143),-('Gastos Gerais'!$C$4:$C$3143))</f>
        <v>0</v>
      </c>
      <c r="AC76" s="134">
        <f>SUMPRODUCT(-('Gastos Gerais'!$B$4:$B$3143=Analítico!$B76),-(Analítico!AC$3&gt;='Gastos Gerais'!$D$4:$D$3143),-(Analítico!AC$3&lt;='Gastos Gerais'!$E$4:$E$3143),-('Gastos Gerais'!$C$4:$C$3143))</f>
        <v>0</v>
      </c>
      <c r="AD76" s="134">
        <f>SUMPRODUCT(-('Gastos Gerais'!$B$4:$B$3143=Analítico!$B76),-(Analítico!AD$3&gt;='Gastos Gerais'!$D$4:$D$3143),-(Analítico!AD$3&lt;='Gastos Gerais'!$E$4:$E$3143),-('Gastos Gerais'!$C$4:$C$3143))</f>
        <v>0</v>
      </c>
      <c r="AE76" s="134">
        <f>SUMPRODUCT(-('Gastos Gerais'!$B$4:$B$3143=Analítico!$B76),-(Analítico!AE$3&gt;='Gastos Gerais'!$D$4:$D$3143),-(Analítico!AE$3&lt;='Gastos Gerais'!$E$4:$E$3143),-('Gastos Gerais'!$C$4:$C$3143))</f>
        <v>0</v>
      </c>
      <c r="AF76" s="134">
        <f>SUMPRODUCT(-('Gastos Gerais'!$B$4:$B$3143=Analítico!$B76),-(Analítico!AF$3&gt;='Gastos Gerais'!$D$4:$D$3143),-(Analítico!AF$3&lt;='Gastos Gerais'!$E$4:$E$3143),-('Gastos Gerais'!$C$4:$C$3143))</f>
        <v>0</v>
      </c>
      <c r="AG76" s="134">
        <f>SUMPRODUCT(-('Gastos Gerais'!$B$4:$B$3143=Analítico!$B76),-(Analítico!AG$3&gt;='Gastos Gerais'!$D$4:$D$3143),-(Analítico!AG$3&lt;='Gastos Gerais'!$E$4:$E$3143),-('Gastos Gerais'!$C$4:$C$3143))</f>
        <v>0</v>
      </c>
      <c r="AH76" s="134">
        <f>SUMPRODUCT(-('Gastos Gerais'!$B$4:$B$3143=Analítico!$B76),-(Analítico!AH$3&gt;='Gastos Gerais'!$D$4:$D$3143),-(Analítico!AH$3&lt;='Gastos Gerais'!$E$4:$E$3143),-('Gastos Gerais'!$C$4:$C$3143))</f>
        <v>0</v>
      </c>
      <c r="AI76" s="134">
        <f>SUMPRODUCT(-('Gastos Gerais'!$B$4:$B$3143=Analítico!$B76),-(Analítico!AI$3&gt;='Gastos Gerais'!$D$4:$D$3143),-(Analítico!AI$3&lt;='Gastos Gerais'!$E$4:$E$3143),-('Gastos Gerais'!$C$4:$C$3143))</f>
        <v>0</v>
      </c>
      <c r="AJ76" s="134">
        <f>SUMPRODUCT(-('Gastos Gerais'!$B$4:$B$3143=Analítico!$B76),-(Analítico!AJ$3&gt;='Gastos Gerais'!$D$4:$D$3143),-(Analítico!AJ$3&lt;='Gastos Gerais'!$E$4:$E$3143),-('Gastos Gerais'!$C$4:$C$3143))</f>
        <v>0</v>
      </c>
      <c r="AK76" s="134">
        <f>SUMPRODUCT(-('Gastos Gerais'!$B$4:$B$3143=Analítico!$B76),-(Analítico!AK$3&gt;='Gastos Gerais'!$D$4:$D$3143),-(Analítico!AK$3&lt;='Gastos Gerais'!$E$4:$E$3143),-('Gastos Gerais'!$C$4:$C$3143))</f>
        <v>0</v>
      </c>
      <c r="AL76" s="134">
        <f>SUMPRODUCT(-('Gastos Gerais'!$B$4:$B$3143=Analítico!$B76),-(Analítico!AL$3&gt;='Gastos Gerais'!$D$4:$D$3143),-(Analítico!AL$3&lt;='Gastos Gerais'!$E$4:$E$3143),-('Gastos Gerais'!$C$4:$C$3143))</f>
        <v>300</v>
      </c>
      <c r="AM76" s="134">
        <f>SUMPRODUCT(-('Gastos Gerais'!$B$4:$B$3143=Analítico!$B76),-(Analítico!AM$3&gt;='Gastos Gerais'!$D$4:$D$3143),-(Analítico!AM$3&lt;='Gastos Gerais'!$E$4:$E$3143),-('Gastos Gerais'!$C$4:$C$3143))</f>
        <v>0</v>
      </c>
      <c r="AN76" s="134">
        <f>SUMPRODUCT(-('Gastos Gerais'!$B$4:$B$3143=Analítico!$B76),-(Analítico!AN$3&gt;='Gastos Gerais'!$D$4:$D$3143),-(Analítico!AN$3&lt;='Gastos Gerais'!$E$4:$E$3143),-('Gastos Gerais'!$C$4:$C$3143))</f>
        <v>0</v>
      </c>
      <c r="AO76" s="134">
        <f>SUMPRODUCT(-('Gastos Gerais'!$B$4:$B$3143=Analítico!$B76),-(Analítico!AO$3&gt;='Gastos Gerais'!$D$4:$D$3143),-(Analítico!AO$3&lt;='Gastos Gerais'!$E$4:$E$3143),-('Gastos Gerais'!$C$4:$C$3143))</f>
        <v>0</v>
      </c>
      <c r="AP76" s="134">
        <f>SUMPRODUCT(-('Gastos Gerais'!$B$4:$B$3143=Analítico!$B76),-(Analítico!AP$3&gt;='Gastos Gerais'!$D$4:$D$3143),-(Analítico!AP$3&lt;='Gastos Gerais'!$E$4:$E$3143),-('Gastos Gerais'!$C$4:$C$3143))</f>
        <v>0</v>
      </c>
      <c r="AQ76" s="134">
        <f>SUMPRODUCT(-('Gastos Gerais'!$B$4:$B$3143=Analítico!$B76),-(Analítico!AQ$3&gt;='Gastos Gerais'!$D$4:$D$3143),-(Analítico!AQ$3&lt;='Gastos Gerais'!$E$4:$E$3143),-('Gastos Gerais'!$C$4:$C$3143))</f>
        <v>0</v>
      </c>
      <c r="AR76" s="134">
        <f>SUMPRODUCT(-('Gastos Gerais'!$B$4:$B$3143=Analítico!$B76),-(Analítico!AR$3&gt;='Gastos Gerais'!$D$4:$D$3143),-(Analítico!AR$3&lt;='Gastos Gerais'!$E$4:$E$3143),-('Gastos Gerais'!$C$4:$C$3143))</f>
        <v>0</v>
      </c>
      <c r="AS76" s="134">
        <f>SUMPRODUCT(-('Gastos Gerais'!$B$4:$B$3143=Analítico!$B76),-(Analítico!AS$3&gt;='Gastos Gerais'!$D$4:$D$3143),-(Analítico!AS$3&lt;='Gastos Gerais'!$E$4:$E$3143),-('Gastos Gerais'!$C$4:$C$3143))</f>
        <v>0</v>
      </c>
      <c r="AT76" s="134">
        <f>SUMPRODUCT(-('Gastos Gerais'!$B$4:$B$3143=Analítico!$B76),-(Analítico!AT$3&gt;='Gastos Gerais'!$D$4:$D$3143),-(Analítico!AT$3&lt;='Gastos Gerais'!$E$4:$E$3143),-('Gastos Gerais'!$C$4:$C$3143))</f>
        <v>0</v>
      </c>
      <c r="AU76" s="134">
        <f>SUMPRODUCT(-('Gastos Gerais'!$B$4:$B$3143=Analítico!$B76),-(Analítico!AU$3&gt;='Gastos Gerais'!$D$4:$D$3143),-(Analítico!AU$3&lt;='Gastos Gerais'!$E$4:$E$3143),-('Gastos Gerais'!$C$4:$C$3143))</f>
        <v>0</v>
      </c>
      <c r="AV76" s="134">
        <f>SUMPRODUCT(-('Gastos Gerais'!$B$4:$B$3143=Analítico!$B76),-(Analítico!AV$3&gt;='Gastos Gerais'!$D$4:$D$3143),-(Analítico!AV$3&lt;='Gastos Gerais'!$E$4:$E$3143),-('Gastos Gerais'!$C$4:$C$3143))</f>
        <v>0</v>
      </c>
      <c r="AW76" s="134">
        <f>SUMPRODUCT(-('Gastos Gerais'!$B$4:$B$3143=Analítico!$B76),-(Analítico!AW$3&gt;='Gastos Gerais'!$D$4:$D$3143),-(Analítico!AW$3&lt;='Gastos Gerais'!$E$4:$E$3143),-('Gastos Gerais'!$C$4:$C$3143))</f>
        <v>0</v>
      </c>
      <c r="AX76" s="134">
        <f>SUMPRODUCT(-('Gastos Gerais'!$B$4:$B$3143=Analítico!$B76),-(Analítico!AX$3&gt;='Gastos Gerais'!$D$4:$D$3143),-(Analítico!AX$3&lt;='Gastos Gerais'!$E$4:$E$3143),-('Gastos Gerais'!$C$4:$C$3143))</f>
        <v>0</v>
      </c>
      <c r="AY76" s="134">
        <f>SUMPRODUCT(-('Gastos Gerais'!$B$4:$B$3143=Analítico!$B76),-(Analítico!AY$3&gt;='Gastos Gerais'!$D$4:$D$3143),-(Analítico!AY$3&lt;='Gastos Gerais'!$E$4:$E$3143),-('Gastos Gerais'!$C$4:$C$3143))</f>
        <v>0</v>
      </c>
      <c r="AZ76" s="134">
        <f>SUMPRODUCT(-('Gastos Gerais'!$B$4:$B$3143=Analítico!$B76),-(Analítico!AZ$3&gt;='Gastos Gerais'!$D$4:$D$3143),-(Analítico!AZ$3&lt;='Gastos Gerais'!$E$4:$E$3143),-('Gastos Gerais'!$C$4:$C$3143))</f>
        <v>0</v>
      </c>
      <c r="BA76" s="134">
        <f>SUMPRODUCT(-('Gastos Gerais'!$B$4:$B$3143=Analítico!$B76),-(Analítico!BA$3&gt;='Gastos Gerais'!$D$4:$D$3143),-(Analítico!BA$3&lt;='Gastos Gerais'!$E$4:$E$3143),-('Gastos Gerais'!$C$4:$C$3143))</f>
        <v>0</v>
      </c>
      <c r="BB76" s="134">
        <f>SUMPRODUCT(-('Gastos Gerais'!$B$4:$B$3143=Analítico!$B76),-(Analítico!BB$3&gt;='Gastos Gerais'!$D$4:$D$3143),-(Analítico!BB$3&lt;='Gastos Gerais'!$E$4:$E$3143),-('Gastos Gerais'!$C$4:$C$3143))</f>
        <v>0</v>
      </c>
      <c r="BC76" s="134">
        <f>SUMPRODUCT(-('Gastos Gerais'!$B$4:$B$3143=Analítico!$B76),-(Analítico!BC$3&gt;='Gastos Gerais'!$D$4:$D$3143),-(Analítico!BC$3&lt;='Gastos Gerais'!$E$4:$E$3143),-('Gastos Gerais'!$C$4:$C$3143))</f>
        <v>0</v>
      </c>
      <c r="BD76" s="134">
        <f>SUMPRODUCT(-('Gastos Gerais'!$B$4:$B$3143=Analítico!$B76),-(Analítico!BD$3&gt;='Gastos Gerais'!$D$4:$D$3143),-(Analítico!BD$3&lt;='Gastos Gerais'!$E$4:$E$3143),-('Gastos Gerais'!$C$4:$C$3143))</f>
        <v>0</v>
      </c>
      <c r="BE76" s="134">
        <f>SUMPRODUCT(-('Gastos Gerais'!$B$4:$B$3143=Analítico!$B76),-(Analítico!BE$3&gt;='Gastos Gerais'!$D$4:$D$3143),-(Analítico!BE$3&lt;='Gastos Gerais'!$E$4:$E$3143),-('Gastos Gerais'!$C$4:$C$3143))</f>
        <v>0</v>
      </c>
      <c r="BF76" s="134">
        <f>SUMPRODUCT(-('Gastos Gerais'!$B$4:$B$3143=Analítico!$B76),-(Analítico!BF$3&gt;='Gastos Gerais'!$D$4:$D$3143),-(Analítico!BF$3&lt;='Gastos Gerais'!$E$4:$E$3143),-('Gastos Gerais'!$C$4:$C$3143))</f>
        <v>0</v>
      </c>
      <c r="BG76" s="134">
        <f>SUMPRODUCT(-('Gastos Gerais'!$B$4:$B$3143=Analítico!$B76),-(Analítico!BG$3&gt;='Gastos Gerais'!$D$4:$D$3143),-(Analítico!BG$3&lt;='Gastos Gerais'!$E$4:$E$3143),-('Gastos Gerais'!$C$4:$C$3143))</f>
        <v>0</v>
      </c>
      <c r="BH76" s="134">
        <f>SUMPRODUCT(-('Gastos Gerais'!$B$4:$B$3143=Analítico!$B76),-(Analítico!BH$3&gt;='Gastos Gerais'!$D$4:$D$3143),-(Analítico!BH$3&lt;='Gastos Gerais'!$E$4:$E$3143),-('Gastos Gerais'!$C$4:$C$3143))</f>
        <v>0</v>
      </c>
      <c r="BI76" s="134">
        <f>SUMPRODUCT(-('Gastos Gerais'!$B$4:$B$3143=Analítico!$B76),-(Analítico!BI$3&gt;='Gastos Gerais'!$D$4:$D$3143),-(Analítico!BI$3&lt;='Gastos Gerais'!$E$4:$E$3143),-('Gastos Gerais'!$C$4:$C$3143))</f>
        <v>0</v>
      </c>
      <c r="BJ76" s="134">
        <f>SUMPRODUCT(-('Gastos Gerais'!$B$4:$B$3143=Analítico!$B76),-(Analítico!BJ$3&gt;='Gastos Gerais'!$D$4:$D$3143),-(Analítico!BJ$3&lt;='Gastos Gerais'!$E$4:$E$3143),-('Gastos Gerais'!$C$4:$C$3143))</f>
        <v>0</v>
      </c>
      <c r="BK76" s="189">
        <f t="shared" si="24"/>
        <v>900</v>
      </c>
      <c r="BL76" s="136">
        <f t="shared" ca="1" si="25"/>
        <v>3.0986982984041601E-6</v>
      </c>
    </row>
    <row r="77" spans="1:64" s="160" customFormat="1" ht="23.25" customHeight="1">
      <c r="A77" s="229" t="s">
        <v>231</v>
      </c>
      <c r="B77" s="230" t="s">
        <v>232</v>
      </c>
      <c r="C77" s="188">
        <f>SUMPRODUCT(-('Gastos Gerais'!$B$4:$B$3143=Analítico!$B77),-(Analítico!C$3&gt;='Gastos Gerais'!$D$4:$D$3143),-(Analítico!C$3&lt;='Gastos Gerais'!$E$4:$E$3143),-('Gastos Gerais'!$C$4:$C$3143))</f>
        <v>0</v>
      </c>
      <c r="D77" s="134">
        <f>SUMPRODUCT(-('Gastos Gerais'!$B$4:$B$3143=Analítico!$B77),-(Analítico!D$3&gt;='Gastos Gerais'!$D$4:$D$3143),-(Analítico!D$3&lt;='Gastos Gerais'!$E$4:$E$3143),-('Gastos Gerais'!$C$4:$C$3143))</f>
        <v>0</v>
      </c>
      <c r="E77" s="134">
        <f>SUMPRODUCT(-('Gastos Gerais'!$B$4:$B$3143=Analítico!$B77),-(Analítico!E$3&gt;='Gastos Gerais'!$D$4:$D$3143),-(Analítico!E$3&lt;='Gastos Gerais'!$E$4:$E$3143),-('Gastos Gerais'!$C$4:$C$3143))</f>
        <v>0</v>
      </c>
      <c r="F77" s="134">
        <f>SUMPRODUCT(-('Gastos Gerais'!$B$4:$B$3143=Analítico!$B77),-(Analítico!F$3&gt;='Gastos Gerais'!$D$4:$D$3143),-(Analítico!F$3&lt;='Gastos Gerais'!$E$4:$E$3143),-('Gastos Gerais'!$C$4:$C$3143))</f>
        <v>0</v>
      </c>
      <c r="G77" s="134">
        <f>SUMPRODUCT(-('Gastos Gerais'!$B$4:$B$3143=Analítico!$B77),-(Analítico!G$3&gt;='Gastos Gerais'!$D$4:$D$3143),-(Analítico!G$3&lt;='Gastos Gerais'!$E$4:$E$3143),-('Gastos Gerais'!$C$4:$C$3143))</f>
        <v>0</v>
      </c>
      <c r="H77" s="134">
        <f>SUMPRODUCT(-('Gastos Gerais'!$B$4:$B$3143=Analítico!$B77),-(Analítico!H$3&gt;='Gastos Gerais'!$D$4:$D$3143),-(Analítico!H$3&lt;='Gastos Gerais'!$E$4:$E$3143),-('Gastos Gerais'!$C$4:$C$3143))</f>
        <v>0</v>
      </c>
      <c r="I77" s="134">
        <f>SUMPRODUCT(-('Gastos Gerais'!$B$4:$B$3143=Analítico!$B77),-(Analítico!I$3&gt;='Gastos Gerais'!$D$4:$D$3143),-(Analítico!I$3&lt;='Gastos Gerais'!$E$4:$E$3143),-('Gastos Gerais'!$C$4:$C$3143))</f>
        <v>0</v>
      </c>
      <c r="J77" s="134">
        <f>SUMPRODUCT(-('Gastos Gerais'!$B$4:$B$3143=Analítico!$B77),-(Analítico!J$3&gt;='Gastos Gerais'!$D$4:$D$3143),-(Analítico!J$3&lt;='Gastos Gerais'!$E$4:$E$3143),-('Gastos Gerais'!$C$4:$C$3143))</f>
        <v>0</v>
      </c>
      <c r="K77" s="134">
        <f>SUMPRODUCT(-('Gastos Gerais'!$B$4:$B$3143=Analítico!$B77),-(Analítico!K$3&gt;='Gastos Gerais'!$D$4:$D$3143),-(Analítico!K$3&lt;='Gastos Gerais'!$E$4:$E$3143),-('Gastos Gerais'!$C$4:$C$3143))</f>
        <v>0</v>
      </c>
      <c r="L77" s="134">
        <f>SUMPRODUCT(-('Gastos Gerais'!$B$4:$B$3143=Analítico!$B77),-(Analítico!L$3&gt;='Gastos Gerais'!$D$4:$D$3143),-(Analítico!L$3&lt;='Gastos Gerais'!$E$4:$E$3143),-('Gastos Gerais'!$C$4:$C$3143))</f>
        <v>0</v>
      </c>
      <c r="M77" s="134">
        <f>SUMPRODUCT(-('Gastos Gerais'!$B$4:$B$3143=Analítico!$B77),-(Analítico!M$3&gt;='Gastos Gerais'!$D$4:$D$3143),-(Analítico!M$3&lt;='Gastos Gerais'!$E$4:$E$3143),-('Gastos Gerais'!$C$4:$C$3143))</f>
        <v>0</v>
      </c>
      <c r="N77" s="134">
        <f>SUMPRODUCT(-('Gastos Gerais'!$B$4:$B$3143=Analítico!$B77),-(Analítico!N$3&gt;='Gastos Gerais'!$D$4:$D$3143),-(Analítico!N$3&lt;='Gastos Gerais'!$E$4:$E$3143),-('Gastos Gerais'!$C$4:$C$3143))</f>
        <v>0</v>
      </c>
      <c r="O77" s="134">
        <f>SUMPRODUCT(-('Gastos Gerais'!$B$4:$B$3143=Analítico!$B77),-(Analítico!O$3&gt;='Gastos Gerais'!$D$4:$D$3143),-(Analítico!O$3&lt;='Gastos Gerais'!$E$4:$E$3143),-('Gastos Gerais'!$C$4:$C$3143))</f>
        <v>0</v>
      </c>
      <c r="P77" s="134">
        <f>SUMPRODUCT(-('Gastos Gerais'!$B$4:$B$3143=Analítico!$B77),-(Analítico!P$3&gt;='Gastos Gerais'!$D$4:$D$3143),-(Analítico!P$3&lt;='Gastos Gerais'!$E$4:$E$3143),-('Gastos Gerais'!$C$4:$C$3143))</f>
        <v>0</v>
      </c>
      <c r="Q77" s="134">
        <f>SUMPRODUCT(-('Gastos Gerais'!$B$4:$B$3143=Analítico!$B77),-(Analítico!Q$3&gt;='Gastos Gerais'!$D$4:$D$3143),-(Analítico!Q$3&lt;='Gastos Gerais'!$E$4:$E$3143),-('Gastos Gerais'!$C$4:$C$3143))</f>
        <v>0</v>
      </c>
      <c r="R77" s="134">
        <f>SUMPRODUCT(-('Gastos Gerais'!$B$4:$B$3143=Analítico!$B77),-(Analítico!R$3&gt;='Gastos Gerais'!$D$4:$D$3143),-(Analítico!R$3&lt;='Gastos Gerais'!$E$4:$E$3143),-('Gastos Gerais'!$C$4:$C$3143))</f>
        <v>0</v>
      </c>
      <c r="S77" s="134">
        <f>SUMPRODUCT(-('Gastos Gerais'!$B$4:$B$3143=Analítico!$B77),-(Analítico!S$3&gt;='Gastos Gerais'!$D$4:$D$3143),-(Analítico!S$3&lt;='Gastos Gerais'!$E$4:$E$3143),-('Gastos Gerais'!$C$4:$C$3143))</f>
        <v>0</v>
      </c>
      <c r="T77" s="134">
        <f>SUMPRODUCT(-('Gastos Gerais'!$B$4:$B$3143=Analítico!$B77),-(Analítico!T$3&gt;='Gastos Gerais'!$D$4:$D$3143),-(Analítico!T$3&lt;='Gastos Gerais'!$E$4:$E$3143),-('Gastos Gerais'!$C$4:$C$3143))</f>
        <v>0</v>
      </c>
      <c r="U77" s="134">
        <f>SUMPRODUCT(-('Gastos Gerais'!$B$4:$B$3143=Analítico!$B77),-(Analítico!U$3&gt;='Gastos Gerais'!$D$4:$D$3143),-(Analítico!U$3&lt;='Gastos Gerais'!$E$4:$E$3143),-('Gastos Gerais'!$C$4:$C$3143))</f>
        <v>0</v>
      </c>
      <c r="V77" s="134">
        <f>SUMPRODUCT(-('Gastos Gerais'!$B$4:$B$3143=Analítico!$B77),-(Analítico!V$3&gt;='Gastos Gerais'!$D$4:$D$3143),-(Analítico!V$3&lt;='Gastos Gerais'!$E$4:$E$3143),-('Gastos Gerais'!$C$4:$C$3143))</f>
        <v>0</v>
      </c>
      <c r="W77" s="134">
        <f>SUMPRODUCT(-('Gastos Gerais'!$B$4:$B$3143=Analítico!$B77),-(Analítico!W$3&gt;='Gastos Gerais'!$D$4:$D$3143),-(Analítico!W$3&lt;='Gastos Gerais'!$E$4:$E$3143),-('Gastos Gerais'!$C$4:$C$3143))</f>
        <v>0</v>
      </c>
      <c r="X77" s="134">
        <f>SUMPRODUCT(-('Gastos Gerais'!$B$4:$B$3143=Analítico!$B77),-(Analítico!X$3&gt;='Gastos Gerais'!$D$4:$D$3143),-(Analítico!X$3&lt;='Gastos Gerais'!$E$4:$E$3143),-('Gastos Gerais'!$C$4:$C$3143))</f>
        <v>0</v>
      </c>
      <c r="Y77" s="134">
        <f>SUMPRODUCT(-('Gastos Gerais'!$B$4:$B$3143=Analítico!$B77),-(Analítico!Y$3&gt;='Gastos Gerais'!$D$4:$D$3143),-(Analítico!Y$3&lt;='Gastos Gerais'!$E$4:$E$3143),-('Gastos Gerais'!$C$4:$C$3143))</f>
        <v>0</v>
      </c>
      <c r="Z77" s="134">
        <f>SUMPRODUCT(-('Gastos Gerais'!$B$4:$B$3143=Analítico!$B77),-(Analítico!Z$3&gt;='Gastos Gerais'!$D$4:$D$3143),-(Analítico!Z$3&lt;='Gastos Gerais'!$E$4:$E$3143),-('Gastos Gerais'!$C$4:$C$3143))</f>
        <v>0</v>
      </c>
      <c r="AA77" s="134">
        <f>SUMPRODUCT(-('Gastos Gerais'!$B$4:$B$3143=Analítico!$B77),-(Analítico!AA$3&gt;='Gastos Gerais'!$D$4:$D$3143),-(Analítico!AA$3&lt;='Gastos Gerais'!$E$4:$E$3143),-('Gastos Gerais'!$C$4:$C$3143))</f>
        <v>0</v>
      </c>
      <c r="AB77" s="134">
        <f>SUMPRODUCT(-('Gastos Gerais'!$B$4:$B$3143=Analítico!$B77),-(Analítico!AB$3&gt;='Gastos Gerais'!$D$4:$D$3143),-(Analítico!AB$3&lt;='Gastos Gerais'!$E$4:$E$3143),-('Gastos Gerais'!$C$4:$C$3143))</f>
        <v>0</v>
      </c>
      <c r="AC77" s="134">
        <f>SUMPRODUCT(-('Gastos Gerais'!$B$4:$B$3143=Analítico!$B77),-(Analítico!AC$3&gt;='Gastos Gerais'!$D$4:$D$3143),-(Analítico!AC$3&lt;='Gastos Gerais'!$E$4:$E$3143),-('Gastos Gerais'!$C$4:$C$3143))</f>
        <v>0</v>
      </c>
      <c r="AD77" s="134">
        <f>SUMPRODUCT(-('Gastos Gerais'!$B$4:$B$3143=Analítico!$B77),-(Analítico!AD$3&gt;='Gastos Gerais'!$D$4:$D$3143),-(Analítico!AD$3&lt;='Gastos Gerais'!$E$4:$E$3143),-('Gastos Gerais'!$C$4:$C$3143))</f>
        <v>0</v>
      </c>
      <c r="AE77" s="134">
        <f>SUMPRODUCT(-('Gastos Gerais'!$B$4:$B$3143=Analítico!$B77),-(Analítico!AE$3&gt;='Gastos Gerais'!$D$4:$D$3143),-(Analítico!AE$3&lt;='Gastos Gerais'!$E$4:$E$3143),-('Gastos Gerais'!$C$4:$C$3143))</f>
        <v>0</v>
      </c>
      <c r="AF77" s="134">
        <f>SUMPRODUCT(-('Gastos Gerais'!$B$4:$B$3143=Analítico!$B77),-(Analítico!AF$3&gt;='Gastos Gerais'!$D$4:$D$3143),-(Analítico!AF$3&lt;='Gastos Gerais'!$E$4:$E$3143),-('Gastos Gerais'!$C$4:$C$3143))</f>
        <v>0</v>
      </c>
      <c r="AG77" s="134">
        <f>SUMPRODUCT(-('Gastos Gerais'!$B$4:$B$3143=Analítico!$B77),-(Analítico!AG$3&gt;='Gastos Gerais'!$D$4:$D$3143),-(Analítico!AG$3&lt;='Gastos Gerais'!$E$4:$E$3143),-('Gastos Gerais'!$C$4:$C$3143))</f>
        <v>0</v>
      </c>
      <c r="AH77" s="134">
        <f>SUMPRODUCT(-('Gastos Gerais'!$B$4:$B$3143=Analítico!$B77),-(Analítico!AH$3&gt;='Gastos Gerais'!$D$4:$D$3143),-(Analítico!AH$3&lt;='Gastos Gerais'!$E$4:$E$3143),-('Gastos Gerais'!$C$4:$C$3143))</f>
        <v>0</v>
      </c>
      <c r="AI77" s="134">
        <f>SUMPRODUCT(-('Gastos Gerais'!$B$4:$B$3143=Analítico!$B77),-(Analítico!AI$3&gt;='Gastos Gerais'!$D$4:$D$3143),-(Analítico!AI$3&lt;='Gastos Gerais'!$E$4:$E$3143),-('Gastos Gerais'!$C$4:$C$3143))</f>
        <v>0</v>
      </c>
      <c r="AJ77" s="134">
        <f>SUMPRODUCT(-('Gastos Gerais'!$B$4:$B$3143=Analítico!$B77),-(Analítico!AJ$3&gt;='Gastos Gerais'!$D$4:$D$3143),-(Analítico!AJ$3&lt;='Gastos Gerais'!$E$4:$E$3143),-('Gastos Gerais'!$C$4:$C$3143))</f>
        <v>0</v>
      </c>
      <c r="AK77" s="134">
        <f>SUMPRODUCT(-('Gastos Gerais'!$B$4:$B$3143=Analítico!$B77),-(Analítico!AK$3&gt;='Gastos Gerais'!$D$4:$D$3143),-(Analítico!AK$3&lt;='Gastos Gerais'!$E$4:$E$3143),-('Gastos Gerais'!$C$4:$C$3143))</f>
        <v>0</v>
      </c>
      <c r="AL77" s="134">
        <f>SUMPRODUCT(-('Gastos Gerais'!$B$4:$B$3143=Analítico!$B77),-(Analítico!AL$3&gt;='Gastos Gerais'!$D$4:$D$3143),-(Analítico!AL$3&lt;='Gastos Gerais'!$E$4:$E$3143),-('Gastos Gerais'!$C$4:$C$3143))</f>
        <v>0</v>
      </c>
      <c r="AM77" s="134">
        <f>SUMPRODUCT(-('Gastos Gerais'!$B$4:$B$3143=Analítico!$B77),-(Analítico!AM$3&gt;='Gastos Gerais'!$D$4:$D$3143),-(Analítico!AM$3&lt;='Gastos Gerais'!$E$4:$E$3143),-('Gastos Gerais'!$C$4:$C$3143))</f>
        <v>0</v>
      </c>
      <c r="AN77" s="134">
        <f>SUMPRODUCT(-('Gastos Gerais'!$B$4:$B$3143=Analítico!$B77),-(Analítico!AN$3&gt;='Gastos Gerais'!$D$4:$D$3143),-(Analítico!AN$3&lt;='Gastos Gerais'!$E$4:$E$3143),-('Gastos Gerais'!$C$4:$C$3143))</f>
        <v>0</v>
      </c>
      <c r="AO77" s="134">
        <f>SUMPRODUCT(-('Gastos Gerais'!$B$4:$B$3143=Analítico!$B77),-(Analítico!AO$3&gt;='Gastos Gerais'!$D$4:$D$3143),-(Analítico!AO$3&lt;='Gastos Gerais'!$E$4:$E$3143),-('Gastos Gerais'!$C$4:$C$3143))</f>
        <v>0</v>
      </c>
      <c r="AP77" s="134">
        <f>SUMPRODUCT(-('Gastos Gerais'!$B$4:$B$3143=Analítico!$B77),-(Analítico!AP$3&gt;='Gastos Gerais'!$D$4:$D$3143),-(Analítico!AP$3&lt;='Gastos Gerais'!$E$4:$E$3143),-('Gastos Gerais'!$C$4:$C$3143))</f>
        <v>0</v>
      </c>
      <c r="AQ77" s="134">
        <f>SUMPRODUCT(-('Gastos Gerais'!$B$4:$B$3143=Analítico!$B77),-(Analítico!AQ$3&gt;='Gastos Gerais'!$D$4:$D$3143),-(Analítico!AQ$3&lt;='Gastos Gerais'!$E$4:$E$3143),-('Gastos Gerais'!$C$4:$C$3143))</f>
        <v>0</v>
      </c>
      <c r="AR77" s="134">
        <f>SUMPRODUCT(-('Gastos Gerais'!$B$4:$B$3143=Analítico!$B77),-(Analítico!AR$3&gt;='Gastos Gerais'!$D$4:$D$3143),-(Analítico!AR$3&lt;='Gastos Gerais'!$E$4:$E$3143),-('Gastos Gerais'!$C$4:$C$3143))</f>
        <v>0</v>
      </c>
      <c r="AS77" s="134">
        <f>SUMPRODUCT(-('Gastos Gerais'!$B$4:$B$3143=Analítico!$B77),-(Analítico!AS$3&gt;='Gastos Gerais'!$D$4:$D$3143),-(Analítico!AS$3&lt;='Gastos Gerais'!$E$4:$E$3143),-('Gastos Gerais'!$C$4:$C$3143))</f>
        <v>0</v>
      </c>
      <c r="AT77" s="134">
        <f>SUMPRODUCT(-('Gastos Gerais'!$B$4:$B$3143=Analítico!$B77),-(Analítico!AT$3&gt;='Gastos Gerais'!$D$4:$D$3143),-(Analítico!AT$3&lt;='Gastos Gerais'!$E$4:$E$3143),-('Gastos Gerais'!$C$4:$C$3143))</f>
        <v>0</v>
      </c>
      <c r="AU77" s="134">
        <f>SUMPRODUCT(-('Gastos Gerais'!$B$4:$B$3143=Analítico!$B77),-(Analítico!AU$3&gt;='Gastos Gerais'!$D$4:$D$3143),-(Analítico!AU$3&lt;='Gastos Gerais'!$E$4:$E$3143),-('Gastos Gerais'!$C$4:$C$3143))</f>
        <v>0</v>
      </c>
      <c r="AV77" s="134">
        <f>SUMPRODUCT(-('Gastos Gerais'!$B$4:$B$3143=Analítico!$B77),-(Analítico!AV$3&gt;='Gastos Gerais'!$D$4:$D$3143),-(Analítico!AV$3&lt;='Gastos Gerais'!$E$4:$E$3143),-('Gastos Gerais'!$C$4:$C$3143))</f>
        <v>0</v>
      </c>
      <c r="AW77" s="134">
        <f>SUMPRODUCT(-('Gastos Gerais'!$B$4:$B$3143=Analítico!$B77),-(Analítico!AW$3&gt;='Gastos Gerais'!$D$4:$D$3143),-(Analítico!AW$3&lt;='Gastos Gerais'!$E$4:$E$3143),-('Gastos Gerais'!$C$4:$C$3143))</f>
        <v>0</v>
      </c>
      <c r="AX77" s="134">
        <f>SUMPRODUCT(-('Gastos Gerais'!$B$4:$B$3143=Analítico!$B77),-(Analítico!AX$3&gt;='Gastos Gerais'!$D$4:$D$3143),-(Analítico!AX$3&lt;='Gastos Gerais'!$E$4:$E$3143),-('Gastos Gerais'!$C$4:$C$3143))</f>
        <v>0</v>
      </c>
      <c r="AY77" s="134">
        <f>SUMPRODUCT(-('Gastos Gerais'!$B$4:$B$3143=Analítico!$B77),-(Analítico!AY$3&gt;='Gastos Gerais'!$D$4:$D$3143),-(Analítico!AY$3&lt;='Gastos Gerais'!$E$4:$E$3143),-('Gastos Gerais'!$C$4:$C$3143))</f>
        <v>0</v>
      </c>
      <c r="AZ77" s="134">
        <f>SUMPRODUCT(-('Gastos Gerais'!$B$4:$B$3143=Analítico!$B77),-(Analítico!AZ$3&gt;='Gastos Gerais'!$D$4:$D$3143),-(Analítico!AZ$3&lt;='Gastos Gerais'!$E$4:$E$3143),-('Gastos Gerais'!$C$4:$C$3143))</f>
        <v>0</v>
      </c>
      <c r="BA77" s="134">
        <f>SUMPRODUCT(-('Gastos Gerais'!$B$4:$B$3143=Analítico!$B77),-(Analítico!BA$3&gt;='Gastos Gerais'!$D$4:$D$3143),-(Analítico!BA$3&lt;='Gastos Gerais'!$E$4:$E$3143),-('Gastos Gerais'!$C$4:$C$3143))</f>
        <v>0</v>
      </c>
      <c r="BB77" s="134">
        <f>SUMPRODUCT(-('Gastos Gerais'!$B$4:$B$3143=Analítico!$B77),-(Analítico!BB$3&gt;='Gastos Gerais'!$D$4:$D$3143),-(Analítico!BB$3&lt;='Gastos Gerais'!$E$4:$E$3143),-('Gastos Gerais'!$C$4:$C$3143))</f>
        <v>0</v>
      </c>
      <c r="BC77" s="134">
        <f>SUMPRODUCT(-('Gastos Gerais'!$B$4:$B$3143=Analítico!$B77),-(Analítico!BC$3&gt;='Gastos Gerais'!$D$4:$D$3143),-(Analítico!BC$3&lt;='Gastos Gerais'!$E$4:$E$3143),-('Gastos Gerais'!$C$4:$C$3143))</f>
        <v>0</v>
      </c>
      <c r="BD77" s="134">
        <f>SUMPRODUCT(-('Gastos Gerais'!$B$4:$B$3143=Analítico!$B77),-(Analítico!BD$3&gt;='Gastos Gerais'!$D$4:$D$3143),-(Analítico!BD$3&lt;='Gastos Gerais'!$E$4:$E$3143),-('Gastos Gerais'!$C$4:$C$3143))</f>
        <v>0</v>
      </c>
      <c r="BE77" s="134">
        <f>SUMPRODUCT(-('Gastos Gerais'!$B$4:$B$3143=Analítico!$B77),-(Analítico!BE$3&gt;='Gastos Gerais'!$D$4:$D$3143),-(Analítico!BE$3&lt;='Gastos Gerais'!$E$4:$E$3143),-('Gastos Gerais'!$C$4:$C$3143))</f>
        <v>0</v>
      </c>
      <c r="BF77" s="134">
        <f>SUMPRODUCT(-('Gastos Gerais'!$B$4:$B$3143=Analítico!$B77),-(Analítico!BF$3&gt;='Gastos Gerais'!$D$4:$D$3143),-(Analítico!BF$3&lt;='Gastos Gerais'!$E$4:$E$3143),-('Gastos Gerais'!$C$4:$C$3143))</f>
        <v>0</v>
      </c>
      <c r="BG77" s="134">
        <f>SUMPRODUCT(-('Gastos Gerais'!$B$4:$B$3143=Analítico!$B77),-(Analítico!BG$3&gt;='Gastos Gerais'!$D$4:$D$3143),-(Analítico!BG$3&lt;='Gastos Gerais'!$E$4:$E$3143),-('Gastos Gerais'!$C$4:$C$3143))</f>
        <v>0</v>
      </c>
      <c r="BH77" s="134">
        <f>SUMPRODUCT(-('Gastos Gerais'!$B$4:$B$3143=Analítico!$B77),-(Analítico!BH$3&gt;='Gastos Gerais'!$D$4:$D$3143),-(Analítico!BH$3&lt;='Gastos Gerais'!$E$4:$E$3143),-('Gastos Gerais'!$C$4:$C$3143))</f>
        <v>0</v>
      </c>
      <c r="BI77" s="134">
        <f>SUMPRODUCT(-('Gastos Gerais'!$B$4:$B$3143=Analítico!$B77),-(Analítico!BI$3&gt;='Gastos Gerais'!$D$4:$D$3143),-(Analítico!BI$3&lt;='Gastos Gerais'!$E$4:$E$3143),-('Gastos Gerais'!$C$4:$C$3143))</f>
        <v>0</v>
      </c>
      <c r="BJ77" s="134">
        <f>SUMPRODUCT(-('Gastos Gerais'!$B$4:$B$3143=Analítico!$B77),-(Analítico!BJ$3&gt;='Gastos Gerais'!$D$4:$D$3143),-(Analítico!BJ$3&lt;='Gastos Gerais'!$E$4:$E$3143),-('Gastos Gerais'!$C$4:$C$3143))</f>
        <v>0</v>
      </c>
      <c r="BK77" s="189">
        <f t="shared" si="24"/>
        <v>0</v>
      </c>
      <c r="BL77" s="136">
        <f t="shared" ca="1" si="25"/>
        <v>0</v>
      </c>
    </row>
    <row r="78" spans="1:64" s="160" customFormat="1" ht="23.25" customHeight="1">
      <c r="A78" s="229" t="s">
        <v>233</v>
      </c>
      <c r="B78" s="230" t="s">
        <v>234</v>
      </c>
      <c r="C78" s="188">
        <f>SUMPRODUCT(-('Gastos Gerais'!$B$4:$B$3143=Analítico!$B78),-(Analítico!C$3&gt;='Gastos Gerais'!$D$4:$D$3143),-(Analítico!C$3&lt;='Gastos Gerais'!$E$4:$E$3143),-('Gastos Gerais'!$C$4:$C$3143))</f>
        <v>300</v>
      </c>
      <c r="D78" s="134">
        <f>SUMPRODUCT(-('Gastos Gerais'!$B$4:$B$3143=Analítico!$B78),-(Analítico!D$3&gt;='Gastos Gerais'!$D$4:$D$3143),-(Analítico!D$3&lt;='Gastos Gerais'!$E$4:$E$3143),-('Gastos Gerais'!$C$4:$C$3143))</f>
        <v>300</v>
      </c>
      <c r="E78" s="134">
        <f>SUMPRODUCT(-('Gastos Gerais'!$B$4:$B$3143=Analítico!$B78),-(Analítico!E$3&gt;='Gastos Gerais'!$D$4:$D$3143),-(Analítico!E$3&lt;='Gastos Gerais'!$E$4:$E$3143),-('Gastos Gerais'!$C$4:$C$3143))</f>
        <v>300</v>
      </c>
      <c r="F78" s="134">
        <f>SUMPRODUCT(-('Gastos Gerais'!$B$4:$B$3143=Analítico!$B78),-(Analítico!F$3&gt;='Gastos Gerais'!$D$4:$D$3143),-(Analítico!F$3&lt;='Gastos Gerais'!$E$4:$E$3143),-('Gastos Gerais'!$C$4:$C$3143))</f>
        <v>300</v>
      </c>
      <c r="G78" s="134">
        <f>SUMPRODUCT(-('Gastos Gerais'!$B$4:$B$3143=Analítico!$B78),-(Analítico!G$3&gt;='Gastos Gerais'!$D$4:$D$3143),-(Analítico!G$3&lt;='Gastos Gerais'!$E$4:$E$3143),-('Gastos Gerais'!$C$4:$C$3143))</f>
        <v>300</v>
      </c>
      <c r="H78" s="134">
        <f>SUMPRODUCT(-('Gastos Gerais'!$B$4:$B$3143=Analítico!$B78),-(Analítico!H$3&gt;='Gastos Gerais'!$D$4:$D$3143),-(Analítico!H$3&lt;='Gastos Gerais'!$E$4:$E$3143),-('Gastos Gerais'!$C$4:$C$3143))</f>
        <v>300</v>
      </c>
      <c r="I78" s="134">
        <f>SUMPRODUCT(-('Gastos Gerais'!$B$4:$B$3143=Analítico!$B78),-(Analítico!I$3&gt;='Gastos Gerais'!$D$4:$D$3143),-(Analítico!I$3&lt;='Gastos Gerais'!$E$4:$E$3143),-('Gastos Gerais'!$C$4:$C$3143))</f>
        <v>300</v>
      </c>
      <c r="J78" s="134">
        <f>SUMPRODUCT(-('Gastos Gerais'!$B$4:$B$3143=Analítico!$B78),-(Analítico!J$3&gt;='Gastos Gerais'!$D$4:$D$3143),-(Analítico!J$3&lt;='Gastos Gerais'!$E$4:$E$3143),-('Gastos Gerais'!$C$4:$C$3143))</f>
        <v>300</v>
      </c>
      <c r="K78" s="134">
        <f>SUMPRODUCT(-('Gastos Gerais'!$B$4:$B$3143=Analítico!$B78),-(Analítico!K$3&gt;='Gastos Gerais'!$D$4:$D$3143),-(Analítico!K$3&lt;='Gastos Gerais'!$E$4:$E$3143),-('Gastos Gerais'!$C$4:$C$3143))</f>
        <v>300</v>
      </c>
      <c r="L78" s="134">
        <f>SUMPRODUCT(-('Gastos Gerais'!$B$4:$B$3143=Analítico!$B78),-(Analítico!L$3&gt;='Gastos Gerais'!$D$4:$D$3143),-(Analítico!L$3&lt;='Gastos Gerais'!$E$4:$E$3143),-('Gastos Gerais'!$C$4:$C$3143))</f>
        <v>300</v>
      </c>
      <c r="M78" s="134">
        <f>SUMPRODUCT(-('Gastos Gerais'!$B$4:$B$3143=Analítico!$B78),-(Analítico!M$3&gt;='Gastos Gerais'!$D$4:$D$3143),-(Analítico!M$3&lt;='Gastos Gerais'!$E$4:$E$3143),-('Gastos Gerais'!$C$4:$C$3143))</f>
        <v>300</v>
      </c>
      <c r="N78" s="134">
        <f>SUMPRODUCT(-('Gastos Gerais'!$B$4:$B$3143=Analítico!$B78),-(Analítico!N$3&gt;='Gastos Gerais'!$D$4:$D$3143),-(Analítico!N$3&lt;='Gastos Gerais'!$E$4:$E$3143),-('Gastos Gerais'!$C$4:$C$3143))</f>
        <v>300</v>
      </c>
      <c r="O78" s="134">
        <f>SUMPRODUCT(-('Gastos Gerais'!$B$4:$B$3143=Analítico!$B78),-(Analítico!O$3&gt;='Gastos Gerais'!$D$4:$D$3143),-(Analítico!O$3&lt;='Gastos Gerais'!$E$4:$E$3143),-('Gastos Gerais'!$C$4:$C$3143))</f>
        <v>300</v>
      </c>
      <c r="P78" s="134">
        <f>SUMPRODUCT(-('Gastos Gerais'!$B$4:$B$3143=Analítico!$B78),-(Analítico!P$3&gt;='Gastos Gerais'!$D$4:$D$3143),-(Analítico!P$3&lt;='Gastos Gerais'!$E$4:$E$3143),-('Gastos Gerais'!$C$4:$C$3143))</f>
        <v>300</v>
      </c>
      <c r="Q78" s="134">
        <f>SUMPRODUCT(-('Gastos Gerais'!$B$4:$B$3143=Analítico!$B78),-(Analítico!Q$3&gt;='Gastos Gerais'!$D$4:$D$3143),-(Analítico!Q$3&lt;='Gastos Gerais'!$E$4:$E$3143),-('Gastos Gerais'!$C$4:$C$3143))</f>
        <v>300</v>
      </c>
      <c r="R78" s="134">
        <f>SUMPRODUCT(-('Gastos Gerais'!$B$4:$B$3143=Analítico!$B78),-(Analítico!R$3&gt;='Gastos Gerais'!$D$4:$D$3143),-(Analítico!R$3&lt;='Gastos Gerais'!$E$4:$E$3143),-('Gastos Gerais'!$C$4:$C$3143))</f>
        <v>300</v>
      </c>
      <c r="S78" s="134">
        <f>SUMPRODUCT(-('Gastos Gerais'!$B$4:$B$3143=Analítico!$B78),-(Analítico!S$3&gt;='Gastos Gerais'!$D$4:$D$3143),-(Analítico!S$3&lt;='Gastos Gerais'!$E$4:$E$3143),-('Gastos Gerais'!$C$4:$C$3143))</f>
        <v>300</v>
      </c>
      <c r="T78" s="134">
        <f>SUMPRODUCT(-('Gastos Gerais'!$B$4:$B$3143=Analítico!$B78),-(Analítico!T$3&gt;='Gastos Gerais'!$D$4:$D$3143),-(Analítico!T$3&lt;='Gastos Gerais'!$E$4:$E$3143),-('Gastos Gerais'!$C$4:$C$3143))</f>
        <v>300</v>
      </c>
      <c r="U78" s="134">
        <f>SUMPRODUCT(-('Gastos Gerais'!$B$4:$B$3143=Analítico!$B78),-(Analítico!U$3&gt;='Gastos Gerais'!$D$4:$D$3143),-(Analítico!U$3&lt;='Gastos Gerais'!$E$4:$E$3143),-('Gastos Gerais'!$C$4:$C$3143))</f>
        <v>300</v>
      </c>
      <c r="V78" s="134">
        <f>SUMPRODUCT(-('Gastos Gerais'!$B$4:$B$3143=Analítico!$B78),-(Analítico!V$3&gt;='Gastos Gerais'!$D$4:$D$3143),-(Analítico!V$3&lt;='Gastos Gerais'!$E$4:$E$3143),-('Gastos Gerais'!$C$4:$C$3143))</f>
        <v>300</v>
      </c>
      <c r="W78" s="134">
        <f>SUMPRODUCT(-('Gastos Gerais'!$B$4:$B$3143=Analítico!$B78),-(Analítico!W$3&gt;='Gastos Gerais'!$D$4:$D$3143),-(Analítico!W$3&lt;='Gastos Gerais'!$E$4:$E$3143),-('Gastos Gerais'!$C$4:$C$3143))</f>
        <v>300</v>
      </c>
      <c r="X78" s="134">
        <f>SUMPRODUCT(-('Gastos Gerais'!$B$4:$B$3143=Analítico!$B78),-(Analítico!X$3&gt;='Gastos Gerais'!$D$4:$D$3143),-(Analítico!X$3&lt;='Gastos Gerais'!$E$4:$E$3143),-('Gastos Gerais'!$C$4:$C$3143))</f>
        <v>300</v>
      </c>
      <c r="Y78" s="134">
        <f>SUMPRODUCT(-('Gastos Gerais'!$B$4:$B$3143=Analítico!$B78),-(Analítico!Y$3&gt;='Gastos Gerais'!$D$4:$D$3143),-(Analítico!Y$3&lt;='Gastos Gerais'!$E$4:$E$3143),-('Gastos Gerais'!$C$4:$C$3143))</f>
        <v>300</v>
      </c>
      <c r="Z78" s="134">
        <f>SUMPRODUCT(-('Gastos Gerais'!$B$4:$B$3143=Analítico!$B78),-(Analítico!Z$3&gt;='Gastos Gerais'!$D$4:$D$3143),-(Analítico!Z$3&lt;='Gastos Gerais'!$E$4:$E$3143),-('Gastos Gerais'!$C$4:$C$3143))</f>
        <v>300</v>
      </c>
      <c r="AA78" s="134">
        <f>SUMPRODUCT(-('Gastos Gerais'!$B$4:$B$3143=Analítico!$B78),-(Analítico!AA$3&gt;='Gastos Gerais'!$D$4:$D$3143),-(Analítico!AA$3&lt;='Gastos Gerais'!$E$4:$E$3143),-('Gastos Gerais'!$C$4:$C$3143))</f>
        <v>300</v>
      </c>
      <c r="AB78" s="134">
        <f>SUMPRODUCT(-('Gastos Gerais'!$B$4:$B$3143=Analítico!$B78),-(Analítico!AB$3&gt;='Gastos Gerais'!$D$4:$D$3143),-(Analítico!AB$3&lt;='Gastos Gerais'!$E$4:$E$3143),-('Gastos Gerais'!$C$4:$C$3143))</f>
        <v>300</v>
      </c>
      <c r="AC78" s="134">
        <f>SUMPRODUCT(-('Gastos Gerais'!$B$4:$B$3143=Analítico!$B78),-(Analítico!AC$3&gt;='Gastos Gerais'!$D$4:$D$3143),-(Analítico!AC$3&lt;='Gastos Gerais'!$E$4:$E$3143),-('Gastos Gerais'!$C$4:$C$3143))</f>
        <v>300</v>
      </c>
      <c r="AD78" s="134">
        <f>SUMPRODUCT(-('Gastos Gerais'!$B$4:$B$3143=Analítico!$B78),-(Analítico!AD$3&gt;='Gastos Gerais'!$D$4:$D$3143),-(Analítico!AD$3&lt;='Gastos Gerais'!$E$4:$E$3143),-('Gastos Gerais'!$C$4:$C$3143))</f>
        <v>300</v>
      </c>
      <c r="AE78" s="134">
        <f>SUMPRODUCT(-('Gastos Gerais'!$B$4:$B$3143=Analítico!$B78),-(Analítico!AE$3&gt;='Gastos Gerais'!$D$4:$D$3143),-(Analítico!AE$3&lt;='Gastos Gerais'!$E$4:$E$3143),-('Gastos Gerais'!$C$4:$C$3143))</f>
        <v>300</v>
      </c>
      <c r="AF78" s="134">
        <f>SUMPRODUCT(-('Gastos Gerais'!$B$4:$B$3143=Analítico!$B78),-(Analítico!AF$3&gt;='Gastos Gerais'!$D$4:$D$3143),-(Analítico!AF$3&lt;='Gastos Gerais'!$E$4:$E$3143),-('Gastos Gerais'!$C$4:$C$3143))</f>
        <v>300</v>
      </c>
      <c r="AG78" s="134">
        <f>SUMPRODUCT(-('Gastos Gerais'!$B$4:$B$3143=Analítico!$B78),-(Analítico!AG$3&gt;='Gastos Gerais'!$D$4:$D$3143),-(Analítico!AG$3&lt;='Gastos Gerais'!$E$4:$E$3143),-('Gastos Gerais'!$C$4:$C$3143))</f>
        <v>300</v>
      </c>
      <c r="AH78" s="134">
        <f>SUMPRODUCT(-('Gastos Gerais'!$B$4:$B$3143=Analítico!$B78),-(Analítico!AH$3&gt;='Gastos Gerais'!$D$4:$D$3143),-(Analítico!AH$3&lt;='Gastos Gerais'!$E$4:$E$3143),-('Gastos Gerais'!$C$4:$C$3143))</f>
        <v>300</v>
      </c>
      <c r="AI78" s="134">
        <f>SUMPRODUCT(-('Gastos Gerais'!$B$4:$B$3143=Analítico!$B78),-(Analítico!AI$3&gt;='Gastos Gerais'!$D$4:$D$3143),-(Analítico!AI$3&lt;='Gastos Gerais'!$E$4:$E$3143),-('Gastos Gerais'!$C$4:$C$3143))</f>
        <v>300</v>
      </c>
      <c r="AJ78" s="134">
        <f>SUMPRODUCT(-('Gastos Gerais'!$B$4:$B$3143=Analítico!$B78),-(Analítico!AJ$3&gt;='Gastos Gerais'!$D$4:$D$3143),-(Analítico!AJ$3&lt;='Gastos Gerais'!$E$4:$E$3143),-('Gastos Gerais'!$C$4:$C$3143))</f>
        <v>300</v>
      </c>
      <c r="AK78" s="134">
        <f>SUMPRODUCT(-('Gastos Gerais'!$B$4:$B$3143=Analítico!$B78),-(Analítico!AK$3&gt;='Gastos Gerais'!$D$4:$D$3143),-(Analítico!AK$3&lt;='Gastos Gerais'!$E$4:$E$3143),-('Gastos Gerais'!$C$4:$C$3143))</f>
        <v>300</v>
      </c>
      <c r="AL78" s="134">
        <f>SUMPRODUCT(-('Gastos Gerais'!$B$4:$B$3143=Analítico!$B78),-(Analítico!AL$3&gt;='Gastos Gerais'!$D$4:$D$3143),-(Analítico!AL$3&lt;='Gastos Gerais'!$E$4:$E$3143),-('Gastos Gerais'!$C$4:$C$3143))</f>
        <v>300</v>
      </c>
      <c r="AM78" s="134">
        <f>SUMPRODUCT(-('Gastos Gerais'!$B$4:$B$3143=Analítico!$B78),-(Analítico!AM$3&gt;='Gastos Gerais'!$D$4:$D$3143),-(Analítico!AM$3&lt;='Gastos Gerais'!$E$4:$E$3143),-('Gastos Gerais'!$C$4:$C$3143))</f>
        <v>300</v>
      </c>
      <c r="AN78" s="134">
        <f>SUMPRODUCT(-('Gastos Gerais'!$B$4:$B$3143=Analítico!$B78),-(Analítico!AN$3&gt;='Gastos Gerais'!$D$4:$D$3143),-(Analítico!AN$3&lt;='Gastos Gerais'!$E$4:$E$3143),-('Gastos Gerais'!$C$4:$C$3143))</f>
        <v>0</v>
      </c>
      <c r="AO78" s="134">
        <f>SUMPRODUCT(-('Gastos Gerais'!$B$4:$B$3143=Analítico!$B78),-(Analítico!AO$3&gt;='Gastos Gerais'!$D$4:$D$3143),-(Analítico!AO$3&lt;='Gastos Gerais'!$E$4:$E$3143),-('Gastos Gerais'!$C$4:$C$3143))</f>
        <v>0</v>
      </c>
      <c r="AP78" s="134">
        <f>SUMPRODUCT(-('Gastos Gerais'!$B$4:$B$3143=Analítico!$B78),-(Analítico!AP$3&gt;='Gastos Gerais'!$D$4:$D$3143),-(Analítico!AP$3&lt;='Gastos Gerais'!$E$4:$E$3143),-('Gastos Gerais'!$C$4:$C$3143))</f>
        <v>0</v>
      </c>
      <c r="AQ78" s="134">
        <f>SUMPRODUCT(-('Gastos Gerais'!$B$4:$B$3143=Analítico!$B78),-(Analítico!AQ$3&gt;='Gastos Gerais'!$D$4:$D$3143),-(Analítico!AQ$3&lt;='Gastos Gerais'!$E$4:$E$3143),-('Gastos Gerais'!$C$4:$C$3143))</f>
        <v>0</v>
      </c>
      <c r="AR78" s="134">
        <f>SUMPRODUCT(-('Gastos Gerais'!$B$4:$B$3143=Analítico!$B78),-(Analítico!AR$3&gt;='Gastos Gerais'!$D$4:$D$3143),-(Analítico!AR$3&lt;='Gastos Gerais'!$E$4:$E$3143),-('Gastos Gerais'!$C$4:$C$3143))</f>
        <v>0</v>
      </c>
      <c r="AS78" s="134">
        <f>SUMPRODUCT(-('Gastos Gerais'!$B$4:$B$3143=Analítico!$B78),-(Analítico!AS$3&gt;='Gastos Gerais'!$D$4:$D$3143),-(Analítico!AS$3&lt;='Gastos Gerais'!$E$4:$E$3143),-('Gastos Gerais'!$C$4:$C$3143))</f>
        <v>0</v>
      </c>
      <c r="AT78" s="134">
        <f>SUMPRODUCT(-('Gastos Gerais'!$B$4:$B$3143=Analítico!$B78),-(Analítico!AT$3&gt;='Gastos Gerais'!$D$4:$D$3143),-(Analítico!AT$3&lt;='Gastos Gerais'!$E$4:$E$3143),-('Gastos Gerais'!$C$4:$C$3143))</f>
        <v>0</v>
      </c>
      <c r="AU78" s="134">
        <f>SUMPRODUCT(-('Gastos Gerais'!$B$4:$B$3143=Analítico!$B78),-(Analítico!AU$3&gt;='Gastos Gerais'!$D$4:$D$3143),-(Analítico!AU$3&lt;='Gastos Gerais'!$E$4:$E$3143),-('Gastos Gerais'!$C$4:$C$3143))</f>
        <v>0</v>
      </c>
      <c r="AV78" s="134">
        <f>SUMPRODUCT(-('Gastos Gerais'!$B$4:$B$3143=Analítico!$B78),-(Analítico!AV$3&gt;='Gastos Gerais'!$D$4:$D$3143),-(Analítico!AV$3&lt;='Gastos Gerais'!$E$4:$E$3143),-('Gastos Gerais'!$C$4:$C$3143))</f>
        <v>0</v>
      </c>
      <c r="AW78" s="134">
        <f>SUMPRODUCT(-('Gastos Gerais'!$B$4:$B$3143=Analítico!$B78),-(Analítico!AW$3&gt;='Gastos Gerais'!$D$4:$D$3143),-(Analítico!AW$3&lt;='Gastos Gerais'!$E$4:$E$3143),-('Gastos Gerais'!$C$4:$C$3143))</f>
        <v>0</v>
      </c>
      <c r="AX78" s="134">
        <f>SUMPRODUCT(-('Gastos Gerais'!$B$4:$B$3143=Analítico!$B78),-(Analítico!AX$3&gt;='Gastos Gerais'!$D$4:$D$3143),-(Analítico!AX$3&lt;='Gastos Gerais'!$E$4:$E$3143),-('Gastos Gerais'!$C$4:$C$3143))</f>
        <v>0</v>
      </c>
      <c r="AY78" s="134">
        <f>SUMPRODUCT(-('Gastos Gerais'!$B$4:$B$3143=Analítico!$B78),-(Analítico!AY$3&gt;='Gastos Gerais'!$D$4:$D$3143),-(Analítico!AY$3&lt;='Gastos Gerais'!$E$4:$E$3143),-('Gastos Gerais'!$C$4:$C$3143))</f>
        <v>0</v>
      </c>
      <c r="AZ78" s="134">
        <f>SUMPRODUCT(-('Gastos Gerais'!$B$4:$B$3143=Analítico!$B78),-(Analítico!AZ$3&gt;='Gastos Gerais'!$D$4:$D$3143),-(Analítico!AZ$3&lt;='Gastos Gerais'!$E$4:$E$3143),-('Gastos Gerais'!$C$4:$C$3143))</f>
        <v>0</v>
      </c>
      <c r="BA78" s="134">
        <f>SUMPRODUCT(-('Gastos Gerais'!$B$4:$B$3143=Analítico!$B78),-(Analítico!BA$3&gt;='Gastos Gerais'!$D$4:$D$3143),-(Analítico!BA$3&lt;='Gastos Gerais'!$E$4:$E$3143),-('Gastos Gerais'!$C$4:$C$3143))</f>
        <v>0</v>
      </c>
      <c r="BB78" s="134">
        <f>SUMPRODUCT(-('Gastos Gerais'!$B$4:$B$3143=Analítico!$B78),-(Analítico!BB$3&gt;='Gastos Gerais'!$D$4:$D$3143),-(Analítico!BB$3&lt;='Gastos Gerais'!$E$4:$E$3143),-('Gastos Gerais'!$C$4:$C$3143))</f>
        <v>0</v>
      </c>
      <c r="BC78" s="134">
        <f>SUMPRODUCT(-('Gastos Gerais'!$B$4:$B$3143=Analítico!$B78),-(Analítico!BC$3&gt;='Gastos Gerais'!$D$4:$D$3143),-(Analítico!BC$3&lt;='Gastos Gerais'!$E$4:$E$3143),-('Gastos Gerais'!$C$4:$C$3143))</f>
        <v>0</v>
      </c>
      <c r="BD78" s="134">
        <f>SUMPRODUCT(-('Gastos Gerais'!$B$4:$B$3143=Analítico!$B78),-(Analítico!BD$3&gt;='Gastos Gerais'!$D$4:$D$3143),-(Analítico!BD$3&lt;='Gastos Gerais'!$E$4:$E$3143),-('Gastos Gerais'!$C$4:$C$3143))</f>
        <v>0</v>
      </c>
      <c r="BE78" s="134">
        <f>SUMPRODUCT(-('Gastos Gerais'!$B$4:$B$3143=Analítico!$B78),-(Analítico!BE$3&gt;='Gastos Gerais'!$D$4:$D$3143),-(Analítico!BE$3&lt;='Gastos Gerais'!$E$4:$E$3143),-('Gastos Gerais'!$C$4:$C$3143))</f>
        <v>0</v>
      </c>
      <c r="BF78" s="134">
        <f>SUMPRODUCT(-('Gastos Gerais'!$B$4:$B$3143=Analítico!$B78),-(Analítico!BF$3&gt;='Gastos Gerais'!$D$4:$D$3143),-(Analítico!BF$3&lt;='Gastos Gerais'!$E$4:$E$3143),-('Gastos Gerais'!$C$4:$C$3143))</f>
        <v>0</v>
      </c>
      <c r="BG78" s="134">
        <f>SUMPRODUCT(-('Gastos Gerais'!$B$4:$B$3143=Analítico!$B78),-(Analítico!BG$3&gt;='Gastos Gerais'!$D$4:$D$3143),-(Analítico!BG$3&lt;='Gastos Gerais'!$E$4:$E$3143),-('Gastos Gerais'!$C$4:$C$3143))</f>
        <v>0</v>
      </c>
      <c r="BH78" s="134">
        <f>SUMPRODUCT(-('Gastos Gerais'!$B$4:$B$3143=Analítico!$B78),-(Analítico!BH$3&gt;='Gastos Gerais'!$D$4:$D$3143),-(Analítico!BH$3&lt;='Gastos Gerais'!$E$4:$E$3143),-('Gastos Gerais'!$C$4:$C$3143))</f>
        <v>0</v>
      </c>
      <c r="BI78" s="134">
        <f>SUMPRODUCT(-('Gastos Gerais'!$B$4:$B$3143=Analítico!$B78),-(Analítico!BI$3&gt;='Gastos Gerais'!$D$4:$D$3143),-(Analítico!BI$3&lt;='Gastos Gerais'!$E$4:$E$3143),-('Gastos Gerais'!$C$4:$C$3143))</f>
        <v>0</v>
      </c>
      <c r="BJ78" s="134">
        <f>SUMPRODUCT(-('Gastos Gerais'!$B$4:$B$3143=Analítico!$B78),-(Analítico!BJ$3&gt;='Gastos Gerais'!$D$4:$D$3143),-(Analítico!BJ$3&lt;='Gastos Gerais'!$E$4:$E$3143),-('Gastos Gerais'!$C$4:$C$3143))</f>
        <v>0</v>
      </c>
      <c r="BK78" s="189">
        <f t="shared" si="24"/>
        <v>11100</v>
      </c>
      <c r="BL78" s="136">
        <f t="shared" ca="1" si="25"/>
        <v>3.8217279013651305E-5</v>
      </c>
    </row>
    <row r="79" spans="1:64" s="160" customFormat="1" ht="23.25" customHeight="1">
      <c r="A79" s="229" t="s">
        <v>235</v>
      </c>
      <c r="B79" s="232" t="s">
        <v>236</v>
      </c>
      <c r="C79" s="188">
        <f>SUMPRODUCT(-('Gastos Gerais'!$B$4:$B$3143=Analítico!$B79),-(Analítico!C$3&gt;='Gastos Gerais'!$D$4:$D$3143),-(Analítico!C$3&lt;='Gastos Gerais'!$E$4:$E$3143),-('Gastos Gerais'!$C$4:$C$3143))</f>
        <v>8450</v>
      </c>
      <c r="D79" s="134">
        <f>SUMPRODUCT(-('Gastos Gerais'!$B$4:$B$3143=Analítico!$B79),-(Analítico!D$3&gt;='Gastos Gerais'!$D$4:$D$3143),-(Analítico!D$3&lt;='Gastos Gerais'!$E$4:$E$3143),-('Gastos Gerais'!$C$4:$C$3143))</f>
        <v>8450</v>
      </c>
      <c r="E79" s="134">
        <f>SUMPRODUCT(-('Gastos Gerais'!$B$4:$B$3143=Analítico!$B79),-(Analítico!E$3&gt;='Gastos Gerais'!$D$4:$D$3143),-(Analítico!E$3&lt;='Gastos Gerais'!$E$4:$E$3143),-('Gastos Gerais'!$C$4:$C$3143))</f>
        <v>8900</v>
      </c>
      <c r="F79" s="134">
        <f>SUMPRODUCT(-('Gastos Gerais'!$B$4:$B$3143=Analítico!$B79),-(Analítico!F$3&gt;='Gastos Gerais'!$D$4:$D$3143),-(Analítico!F$3&lt;='Gastos Gerais'!$E$4:$E$3143),-('Gastos Gerais'!$C$4:$C$3143))</f>
        <v>9350</v>
      </c>
      <c r="G79" s="134">
        <f>SUMPRODUCT(-('Gastos Gerais'!$B$4:$B$3143=Analítico!$B79),-(Analítico!G$3&gt;='Gastos Gerais'!$D$4:$D$3143),-(Analítico!G$3&lt;='Gastos Gerais'!$E$4:$E$3143),-('Gastos Gerais'!$C$4:$C$3143))</f>
        <v>9350</v>
      </c>
      <c r="H79" s="134">
        <f>SUMPRODUCT(-('Gastos Gerais'!$B$4:$B$3143=Analítico!$B79),-(Analítico!H$3&gt;='Gastos Gerais'!$D$4:$D$3143),-(Analítico!H$3&lt;='Gastos Gerais'!$E$4:$E$3143),-('Gastos Gerais'!$C$4:$C$3143))</f>
        <v>9350</v>
      </c>
      <c r="I79" s="134">
        <f>SUMPRODUCT(-('Gastos Gerais'!$B$4:$B$3143=Analítico!$B79),-(Analítico!I$3&gt;='Gastos Gerais'!$D$4:$D$3143),-(Analítico!I$3&lt;='Gastos Gerais'!$E$4:$E$3143),-('Gastos Gerais'!$C$4:$C$3143))</f>
        <v>9800</v>
      </c>
      <c r="J79" s="134">
        <f>SUMPRODUCT(-('Gastos Gerais'!$B$4:$B$3143=Analítico!$B79),-(Analítico!J$3&gt;='Gastos Gerais'!$D$4:$D$3143),-(Analítico!J$3&lt;='Gastos Gerais'!$E$4:$E$3143),-('Gastos Gerais'!$C$4:$C$3143))</f>
        <v>9800</v>
      </c>
      <c r="K79" s="134">
        <f>SUMPRODUCT(-('Gastos Gerais'!$B$4:$B$3143=Analítico!$B79),-(Analítico!K$3&gt;='Gastos Gerais'!$D$4:$D$3143),-(Analítico!K$3&lt;='Gastos Gerais'!$E$4:$E$3143),-('Gastos Gerais'!$C$4:$C$3143))</f>
        <v>9800</v>
      </c>
      <c r="L79" s="134">
        <f>SUMPRODUCT(-('Gastos Gerais'!$B$4:$B$3143=Analítico!$B79),-(Analítico!L$3&gt;='Gastos Gerais'!$D$4:$D$3143),-(Analítico!L$3&lt;='Gastos Gerais'!$E$4:$E$3143),-('Gastos Gerais'!$C$4:$C$3143))</f>
        <v>10250</v>
      </c>
      <c r="M79" s="134">
        <f>SUMPRODUCT(-('Gastos Gerais'!$B$4:$B$3143=Analítico!$B79),-(Analítico!M$3&gt;='Gastos Gerais'!$D$4:$D$3143),-(Analítico!M$3&lt;='Gastos Gerais'!$E$4:$E$3143),-('Gastos Gerais'!$C$4:$C$3143))</f>
        <v>10250</v>
      </c>
      <c r="N79" s="134">
        <f>SUMPRODUCT(-('Gastos Gerais'!$B$4:$B$3143=Analítico!$B79),-(Analítico!N$3&gt;='Gastos Gerais'!$D$4:$D$3143),-(Analítico!N$3&lt;='Gastos Gerais'!$E$4:$E$3143),-('Gastos Gerais'!$C$4:$C$3143))</f>
        <v>10250</v>
      </c>
      <c r="O79" s="134">
        <f>SUMPRODUCT(-('Gastos Gerais'!$B$4:$B$3143=Analítico!$B79),-(Analítico!O$3&gt;='Gastos Gerais'!$D$4:$D$3143),-(Analítico!O$3&lt;='Gastos Gerais'!$E$4:$E$3143),-('Gastos Gerais'!$C$4:$C$3143))</f>
        <v>10250</v>
      </c>
      <c r="P79" s="134">
        <f>SUMPRODUCT(-('Gastos Gerais'!$B$4:$B$3143=Analítico!$B79),-(Analítico!P$3&gt;='Gastos Gerais'!$D$4:$D$3143),-(Analítico!P$3&lt;='Gastos Gerais'!$E$4:$E$3143),-('Gastos Gerais'!$C$4:$C$3143))</f>
        <v>10250</v>
      </c>
      <c r="Q79" s="134">
        <f>SUMPRODUCT(-('Gastos Gerais'!$B$4:$B$3143=Analítico!$B79),-(Analítico!Q$3&gt;='Gastos Gerais'!$D$4:$D$3143),-(Analítico!Q$3&lt;='Gastos Gerais'!$E$4:$E$3143),-('Gastos Gerais'!$C$4:$C$3143))</f>
        <v>10250</v>
      </c>
      <c r="R79" s="134">
        <f>SUMPRODUCT(-('Gastos Gerais'!$B$4:$B$3143=Analítico!$B79),-(Analítico!R$3&gt;='Gastos Gerais'!$D$4:$D$3143),-(Analítico!R$3&lt;='Gastos Gerais'!$E$4:$E$3143),-('Gastos Gerais'!$C$4:$C$3143))</f>
        <v>10250</v>
      </c>
      <c r="S79" s="134">
        <f>SUMPRODUCT(-('Gastos Gerais'!$B$4:$B$3143=Analítico!$B79),-(Analítico!S$3&gt;='Gastos Gerais'!$D$4:$D$3143),-(Analítico!S$3&lt;='Gastos Gerais'!$E$4:$E$3143),-('Gastos Gerais'!$C$4:$C$3143))</f>
        <v>10250</v>
      </c>
      <c r="T79" s="134">
        <f>SUMPRODUCT(-('Gastos Gerais'!$B$4:$B$3143=Analítico!$B79),-(Analítico!T$3&gt;='Gastos Gerais'!$D$4:$D$3143),-(Analítico!T$3&lt;='Gastos Gerais'!$E$4:$E$3143),-('Gastos Gerais'!$C$4:$C$3143))</f>
        <v>10250</v>
      </c>
      <c r="U79" s="134">
        <f>SUMPRODUCT(-('Gastos Gerais'!$B$4:$B$3143=Analítico!$B79),-(Analítico!U$3&gt;='Gastos Gerais'!$D$4:$D$3143),-(Analítico!U$3&lt;='Gastos Gerais'!$E$4:$E$3143),-('Gastos Gerais'!$C$4:$C$3143))</f>
        <v>10250</v>
      </c>
      <c r="V79" s="134">
        <f>SUMPRODUCT(-('Gastos Gerais'!$B$4:$B$3143=Analítico!$B79),-(Analítico!V$3&gt;='Gastos Gerais'!$D$4:$D$3143),-(Analítico!V$3&lt;='Gastos Gerais'!$E$4:$E$3143),-('Gastos Gerais'!$C$4:$C$3143))</f>
        <v>10250</v>
      </c>
      <c r="W79" s="134">
        <f>SUMPRODUCT(-('Gastos Gerais'!$B$4:$B$3143=Analítico!$B79),-(Analítico!W$3&gt;='Gastos Gerais'!$D$4:$D$3143),-(Analítico!W$3&lt;='Gastos Gerais'!$E$4:$E$3143),-('Gastos Gerais'!$C$4:$C$3143))</f>
        <v>10250</v>
      </c>
      <c r="X79" s="134">
        <f>SUMPRODUCT(-('Gastos Gerais'!$B$4:$B$3143=Analítico!$B79),-(Analítico!X$3&gt;='Gastos Gerais'!$D$4:$D$3143),-(Analítico!X$3&lt;='Gastos Gerais'!$E$4:$E$3143),-('Gastos Gerais'!$C$4:$C$3143))</f>
        <v>10250</v>
      </c>
      <c r="Y79" s="134">
        <f>SUMPRODUCT(-('Gastos Gerais'!$B$4:$B$3143=Analítico!$B79),-(Analítico!Y$3&gt;='Gastos Gerais'!$D$4:$D$3143),-(Analítico!Y$3&lt;='Gastos Gerais'!$E$4:$E$3143),-('Gastos Gerais'!$C$4:$C$3143))</f>
        <v>10250</v>
      </c>
      <c r="Z79" s="134">
        <f>SUMPRODUCT(-('Gastos Gerais'!$B$4:$B$3143=Analítico!$B79),-(Analítico!Z$3&gt;='Gastos Gerais'!$D$4:$D$3143),-(Analítico!Z$3&lt;='Gastos Gerais'!$E$4:$E$3143),-('Gastos Gerais'!$C$4:$C$3143))</f>
        <v>10250</v>
      </c>
      <c r="AA79" s="134">
        <f>SUMPRODUCT(-('Gastos Gerais'!$B$4:$B$3143=Analítico!$B79),-(Analítico!AA$3&gt;='Gastos Gerais'!$D$4:$D$3143),-(Analítico!AA$3&lt;='Gastos Gerais'!$E$4:$E$3143),-('Gastos Gerais'!$C$4:$C$3143))</f>
        <v>10250</v>
      </c>
      <c r="AB79" s="134">
        <f>SUMPRODUCT(-('Gastos Gerais'!$B$4:$B$3143=Analítico!$B79),-(Analítico!AB$3&gt;='Gastos Gerais'!$D$4:$D$3143),-(Analítico!AB$3&lt;='Gastos Gerais'!$E$4:$E$3143),-('Gastos Gerais'!$C$4:$C$3143))</f>
        <v>10250</v>
      </c>
      <c r="AC79" s="134">
        <f>SUMPRODUCT(-('Gastos Gerais'!$B$4:$B$3143=Analítico!$B79),-(Analítico!AC$3&gt;='Gastos Gerais'!$D$4:$D$3143),-(Analítico!AC$3&lt;='Gastos Gerais'!$E$4:$E$3143),-('Gastos Gerais'!$C$4:$C$3143))</f>
        <v>10250</v>
      </c>
      <c r="AD79" s="134">
        <f>SUMPRODUCT(-('Gastos Gerais'!$B$4:$B$3143=Analítico!$B79),-(Analítico!AD$3&gt;='Gastos Gerais'!$D$4:$D$3143),-(Analítico!AD$3&lt;='Gastos Gerais'!$E$4:$E$3143),-('Gastos Gerais'!$C$4:$C$3143))</f>
        <v>10250</v>
      </c>
      <c r="AE79" s="134">
        <f>SUMPRODUCT(-('Gastos Gerais'!$B$4:$B$3143=Analítico!$B79),-(Analítico!AE$3&gt;='Gastos Gerais'!$D$4:$D$3143),-(Analítico!AE$3&lt;='Gastos Gerais'!$E$4:$E$3143),-('Gastos Gerais'!$C$4:$C$3143))</f>
        <v>10250</v>
      </c>
      <c r="AF79" s="134">
        <f>SUMPRODUCT(-('Gastos Gerais'!$B$4:$B$3143=Analítico!$B79),-(Analítico!AF$3&gt;='Gastos Gerais'!$D$4:$D$3143),-(Analítico!AF$3&lt;='Gastos Gerais'!$E$4:$E$3143),-('Gastos Gerais'!$C$4:$C$3143))</f>
        <v>10250</v>
      </c>
      <c r="AG79" s="134">
        <f>SUMPRODUCT(-('Gastos Gerais'!$B$4:$B$3143=Analítico!$B79),-(Analítico!AG$3&gt;='Gastos Gerais'!$D$4:$D$3143),-(Analítico!AG$3&lt;='Gastos Gerais'!$E$4:$E$3143),-('Gastos Gerais'!$C$4:$C$3143))</f>
        <v>10250</v>
      </c>
      <c r="AH79" s="134">
        <f>SUMPRODUCT(-('Gastos Gerais'!$B$4:$B$3143=Analítico!$B79),-(Analítico!AH$3&gt;='Gastos Gerais'!$D$4:$D$3143),-(Analítico!AH$3&lt;='Gastos Gerais'!$E$4:$E$3143),-('Gastos Gerais'!$C$4:$C$3143))</f>
        <v>10250</v>
      </c>
      <c r="AI79" s="134">
        <f>SUMPRODUCT(-('Gastos Gerais'!$B$4:$B$3143=Analítico!$B79),-(Analítico!AI$3&gt;='Gastos Gerais'!$D$4:$D$3143),-(Analítico!AI$3&lt;='Gastos Gerais'!$E$4:$E$3143),-('Gastos Gerais'!$C$4:$C$3143))</f>
        <v>10250</v>
      </c>
      <c r="AJ79" s="134">
        <f>SUMPRODUCT(-('Gastos Gerais'!$B$4:$B$3143=Analítico!$B79),-(Analítico!AJ$3&gt;='Gastos Gerais'!$D$4:$D$3143),-(Analítico!AJ$3&lt;='Gastos Gerais'!$E$4:$E$3143),-('Gastos Gerais'!$C$4:$C$3143))</f>
        <v>10250</v>
      </c>
      <c r="AK79" s="134">
        <f>SUMPRODUCT(-('Gastos Gerais'!$B$4:$B$3143=Analítico!$B79),-(Analítico!AK$3&gt;='Gastos Gerais'!$D$4:$D$3143),-(Analítico!AK$3&lt;='Gastos Gerais'!$E$4:$E$3143),-('Gastos Gerais'!$C$4:$C$3143))</f>
        <v>10250</v>
      </c>
      <c r="AL79" s="134">
        <f>SUMPRODUCT(-('Gastos Gerais'!$B$4:$B$3143=Analítico!$B79),-(Analítico!AL$3&gt;='Gastos Gerais'!$D$4:$D$3143),-(Analítico!AL$3&lt;='Gastos Gerais'!$E$4:$E$3143),-('Gastos Gerais'!$C$4:$C$3143))</f>
        <v>10250</v>
      </c>
      <c r="AM79" s="134">
        <f>SUMPRODUCT(-('Gastos Gerais'!$B$4:$B$3143=Analítico!$B79),-(Analítico!AM$3&gt;='Gastos Gerais'!$D$4:$D$3143),-(Analítico!AM$3&lt;='Gastos Gerais'!$E$4:$E$3143),-('Gastos Gerais'!$C$4:$C$3143))</f>
        <v>4600</v>
      </c>
      <c r="AN79" s="134">
        <f>SUMPRODUCT(-('Gastos Gerais'!$B$4:$B$3143=Analítico!$B79),-(Analítico!AN$3&gt;='Gastos Gerais'!$D$4:$D$3143),-(Analítico!AN$3&lt;='Gastos Gerais'!$E$4:$E$3143),-('Gastos Gerais'!$C$4:$C$3143))</f>
        <v>4600</v>
      </c>
      <c r="AO79" s="134">
        <f>SUMPRODUCT(-('Gastos Gerais'!$B$4:$B$3143=Analítico!$B79),-(Analítico!AO$3&gt;='Gastos Gerais'!$D$4:$D$3143),-(Analítico!AO$3&lt;='Gastos Gerais'!$E$4:$E$3143),-('Gastos Gerais'!$C$4:$C$3143))</f>
        <v>4600</v>
      </c>
      <c r="AP79" s="134">
        <f>SUMPRODUCT(-('Gastos Gerais'!$B$4:$B$3143=Analítico!$B79),-(Analítico!AP$3&gt;='Gastos Gerais'!$D$4:$D$3143),-(Analítico!AP$3&lt;='Gastos Gerais'!$E$4:$E$3143),-('Gastos Gerais'!$C$4:$C$3143))</f>
        <v>4600</v>
      </c>
      <c r="AQ79" s="134">
        <f>SUMPRODUCT(-('Gastos Gerais'!$B$4:$B$3143=Analítico!$B79),-(Analítico!AQ$3&gt;='Gastos Gerais'!$D$4:$D$3143),-(Analítico!AQ$3&lt;='Gastos Gerais'!$E$4:$E$3143),-('Gastos Gerais'!$C$4:$C$3143))</f>
        <v>4600</v>
      </c>
      <c r="AR79" s="134">
        <f>SUMPRODUCT(-('Gastos Gerais'!$B$4:$B$3143=Analítico!$B79),-(Analítico!AR$3&gt;='Gastos Gerais'!$D$4:$D$3143),-(Analítico!AR$3&lt;='Gastos Gerais'!$E$4:$E$3143),-('Gastos Gerais'!$C$4:$C$3143))</f>
        <v>4600</v>
      </c>
      <c r="AS79" s="134">
        <f>SUMPRODUCT(-('Gastos Gerais'!$B$4:$B$3143=Analítico!$B79),-(Analítico!AS$3&gt;='Gastos Gerais'!$D$4:$D$3143),-(Analítico!AS$3&lt;='Gastos Gerais'!$E$4:$E$3143),-('Gastos Gerais'!$C$4:$C$3143))</f>
        <v>4600</v>
      </c>
      <c r="AT79" s="134">
        <f>SUMPRODUCT(-('Gastos Gerais'!$B$4:$B$3143=Analítico!$B79),-(Analítico!AT$3&gt;='Gastos Gerais'!$D$4:$D$3143),-(Analítico!AT$3&lt;='Gastos Gerais'!$E$4:$E$3143),-('Gastos Gerais'!$C$4:$C$3143))</f>
        <v>4600</v>
      </c>
      <c r="AU79" s="134">
        <f>SUMPRODUCT(-('Gastos Gerais'!$B$4:$B$3143=Analítico!$B79),-(Analítico!AU$3&gt;='Gastos Gerais'!$D$4:$D$3143),-(Analítico!AU$3&lt;='Gastos Gerais'!$E$4:$E$3143),-('Gastos Gerais'!$C$4:$C$3143))</f>
        <v>4600</v>
      </c>
      <c r="AV79" s="134">
        <f>SUMPRODUCT(-('Gastos Gerais'!$B$4:$B$3143=Analítico!$B79),-(Analítico!AV$3&gt;='Gastos Gerais'!$D$4:$D$3143),-(Analítico!AV$3&lt;='Gastos Gerais'!$E$4:$E$3143),-('Gastos Gerais'!$C$4:$C$3143))</f>
        <v>4600</v>
      </c>
      <c r="AW79" s="134">
        <f>SUMPRODUCT(-('Gastos Gerais'!$B$4:$B$3143=Analítico!$B79),-(Analítico!AW$3&gt;='Gastos Gerais'!$D$4:$D$3143),-(Analítico!AW$3&lt;='Gastos Gerais'!$E$4:$E$3143),-('Gastos Gerais'!$C$4:$C$3143))</f>
        <v>4600</v>
      </c>
      <c r="AX79" s="134">
        <f>SUMPRODUCT(-('Gastos Gerais'!$B$4:$B$3143=Analítico!$B79),-(Analítico!AX$3&gt;='Gastos Gerais'!$D$4:$D$3143),-(Analítico!AX$3&lt;='Gastos Gerais'!$E$4:$E$3143),-('Gastos Gerais'!$C$4:$C$3143))</f>
        <v>0</v>
      </c>
      <c r="AY79" s="134">
        <f>SUMPRODUCT(-('Gastos Gerais'!$B$4:$B$3143=Analítico!$B79),-(Analítico!AY$3&gt;='Gastos Gerais'!$D$4:$D$3143),-(Analítico!AY$3&lt;='Gastos Gerais'!$E$4:$E$3143),-('Gastos Gerais'!$C$4:$C$3143))</f>
        <v>0</v>
      </c>
      <c r="AZ79" s="134">
        <f>SUMPRODUCT(-('Gastos Gerais'!$B$4:$B$3143=Analítico!$B79),-(Analítico!AZ$3&gt;='Gastos Gerais'!$D$4:$D$3143),-(Analítico!AZ$3&lt;='Gastos Gerais'!$E$4:$E$3143),-('Gastos Gerais'!$C$4:$C$3143))</f>
        <v>0</v>
      </c>
      <c r="BA79" s="134">
        <f>SUMPRODUCT(-('Gastos Gerais'!$B$4:$B$3143=Analítico!$B79),-(Analítico!BA$3&gt;='Gastos Gerais'!$D$4:$D$3143),-(Analítico!BA$3&lt;='Gastos Gerais'!$E$4:$E$3143),-('Gastos Gerais'!$C$4:$C$3143))</f>
        <v>0</v>
      </c>
      <c r="BB79" s="134">
        <f>SUMPRODUCT(-('Gastos Gerais'!$B$4:$B$3143=Analítico!$B79),-(Analítico!BB$3&gt;='Gastos Gerais'!$D$4:$D$3143),-(Analítico!BB$3&lt;='Gastos Gerais'!$E$4:$E$3143),-('Gastos Gerais'!$C$4:$C$3143))</f>
        <v>0</v>
      </c>
      <c r="BC79" s="134">
        <f>SUMPRODUCT(-('Gastos Gerais'!$B$4:$B$3143=Analítico!$B79),-(Analítico!BC$3&gt;='Gastos Gerais'!$D$4:$D$3143),-(Analítico!BC$3&lt;='Gastos Gerais'!$E$4:$E$3143),-('Gastos Gerais'!$C$4:$C$3143))</f>
        <v>0</v>
      </c>
      <c r="BD79" s="134">
        <f>SUMPRODUCT(-('Gastos Gerais'!$B$4:$B$3143=Analítico!$B79),-(Analítico!BD$3&gt;='Gastos Gerais'!$D$4:$D$3143),-(Analítico!BD$3&lt;='Gastos Gerais'!$E$4:$E$3143),-('Gastos Gerais'!$C$4:$C$3143))</f>
        <v>0</v>
      </c>
      <c r="BE79" s="134">
        <f>SUMPRODUCT(-('Gastos Gerais'!$B$4:$B$3143=Analítico!$B79),-(Analítico!BE$3&gt;='Gastos Gerais'!$D$4:$D$3143),-(Analítico!BE$3&lt;='Gastos Gerais'!$E$4:$E$3143),-('Gastos Gerais'!$C$4:$C$3143))</f>
        <v>0</v>
      </c>
      <c r="BF79" s="134">
        <f>SUMPRODUCT(-('Gastos Gerais'!$B$4:$B$3143=Analítico!$B79),-(Analítico!BF$3&gt;='Gastos Gerais'!$D$4:$D$3143),-(Analítico!BF$3&lt;='Gastos Gerais'!$E$4:$E$3143),-('Gastos Gerais'!$C$4:$C$3143))</f>
        <v>0</v>
      </c>
      <c r="BG79" s="134">
        <f>SUMPRODUCT(-('Gastos Gerais'!$B$4:$B$3143=Analítico!$B79),-(Analítico!BG$3&gt;='Gastos Gerais'!$D$4:$D$3143),-(Analítico!BG$3&lt;='Gastos Gerais'!$E$4:$E$3143),-('Gastos Gerais'!$C$4:$C$3143))</f>
        <v>0</v>
      </c>
      <c r="BH79" s="134">
        <f>SUMPRODUCT(-('Gastos Gerais'!$B$4:$B$3143=Analítico!$B79),-(Analítico!BH$3&gt;='Gastos Gerais'!$D$4:$D$3143),-(Analítico!BH$3&lt;='Gastos Gerais'!$E$4:$E$3143),-('Gastos Gerais'!$C$4:$C$3143))</f>
        <v>0</v>
      </c>
      <c r="BI79" s="134">
        <f>SUMPRODUCT(-('Gastos Gerais'!$B$4:$B$3143=Analítico!$B79),-(Analítico!BI$3&gt;='Gastos Gerais'!$D$4:$D$3143),-(Analítico!BI$3&lt;='Gastos Gerais'!$E$4:$E$3143),-('Gastos Gerais'!$C$4:$C$3143))</f>
        <v>0</v>
      </c>
      <c r="BJ79" s="134">
        <f>SUMPRODUCT(-('Gastos Gerais'!$B$4:$B$3143=Analítico!$B79),-(Analítico!BJ$3&gt;='Gastos Gerais'!$D$4:$D$3143),-(Analítico!BJ$3&lt;='Gastos Gerais'!$E$4:$E$3143),-('Gastos Gerais'!$C$4:$C$3143))</f>
        <v>0</v>
      </c>
      <c r="BK79" s="189">
        <f t="shared" si="24"/>
        <v>410600</v>
      </c>
      <c r="BL79" s="136">
        <f t="shared" ca="1" si="25"/>
        <v>1.4136950236941647E-3</v>
      </c>
    </row>
    <row r="80" spans="1:64" s="160" customFormat="1" ht="23.25" customHeight="1">
      <c r="A80" s="229" t="s">
        <v>237</v>
      </c>
      <c r="B80" s="232" t="s">
        <v>238</v>
      </c>
      <c r="C80" s="188">
        <f>SUMPRODUCT(-('Gastos Gerais'!$B$4:$B$3143=Analítico!$B80),-(Analítico!C$3&gt;='Gastos Gerais'!$D$4:$D$3143),-(Analítico!C$3&lt;='Gastos Gerais'!$E$4:$E$3143),-('Gastos Gerais'!$C$4:$C$3143))</f>
        <v>8640</v>
      </c>
      <c r="D80" s="134">
        <f>SUMPRODUCT(-('Gastos Gerais'!$B$4:$B$3143=Analítico!$B80),-(Analítico!D$3&gt;='Gastos Gerais'!$D$4:$D$3143),-(Analítico!D$3&lt;='Gastos Gerais'!$E$4:$E$3143),-('Gastos Gerais'!$C$4:$C$3143))</f>
        <v>8640</v>
      </c>
      <c r="E80" s="134">
        <f>SUMPRODUCT(-('Gastos Gerais'!$B$4:$B$3143=Analítico!$B80),-(Analítico!E$3&gt;='Gastos Gerais'!$D$4:$D$3143),-(Analítico!E$3&lt;='Gastos Gerais'!$E$4:$E$3143),-('Gastos Gerais'!$C$4:$C$3143))</f>
        <v>9120</v>
      </c>
      <c r="F80" s="134">
        <f>SUMPRODUCT(-('Gastos Gerais'!$B$4:$B$3143=Analítico!$B80),-(Analítico!F$3&gt;='Gastos Gerais'!$D$4:$D$3143),-(Analítico!F$3&lt;='Gastos Gerais'!$E$4:$E$3143),-('Gastos Gerais'!$C$4:$C$3143))</f>
        <v>9600</v>
      </c>
      <c r="G80" s="134">
        <f>SUMPRODUCT(-('Gastos Gerais'!$B$4:$B$3143=Analítico!$B80),-(Analítico!G$3&gt;='Gastos Gerais'!$D$4:$D$3143),-(Analítico!G$3&lt;='Gastos Gerais'!$E$4:$E$3143),-('Gastos Gerais'!$C$4:$C$3143))</f>
        <v>9600</v>
      </c>
      <c r="H80" s="134">
        <f>SUMPRODUCT(-('Gastos Gerais'!$B$4:$B$3143=Analítico!$B80),-(Analítico!H$3&gt;='Gastos Gerais'!$D$4:$D$3143),-(Analítico!H$3&lt;='Gastos Gerais'!$E$4:$E$3143),-('Gastos Gerais'!$C$4:$C$3143))</f>
        <v>9600</v>
      </c>
      <c r="I80" s="134">
        <f>SUMPRODUCT(-('Gastos Gerais'!$B$4:$B$3143=Analítico!$B80),-(Analítico!I$3&gt;='Gastos Gerais'!$D$4:$D$3143),-(Analítico!I$3&lt;='Gastos Gerais'!$E$4:$E$3143),-('Gastos Gerais'!$C$4:$C$3143))</f>
        <v>9600</v>
      </c>
      <c r="J80" s="134">
        <f>SUMPRODUCT(-('Gastos Gerais'!$B$4:$B$3143=Analítico!$B80),-(Analítico!J$3&gt;='Gastos Gerais'!$D$4:$D$3143),-(Analítico!J$3&lt;='Gastos Gerais'!$E$4:$E$3143),-('Gastos Gerais'!$C$4:$C$3143))</f>
        <v>9600</v>
      </c>
      <c r="K80" s="134">
        <f>SUMPRODUCT(-('Gastos Gerais'!$B$4:$B$3143=Analítico!$B80),-(Analítico!K$3&gt;='Gastos Gerais'!$D$4:$D$3143),-(Analítico!K$3&lt;='Gastos Gerais'!$E$4:$E$3143),-('Gastos Gerais'!$C$4:$C$3143))</f>
        <v>9600</v>
      </c>
      <c r="L80" s="134">
        <f>SUMPRODUCT(-('Gastos Gerais'!$B$4:$B$3143=Analítico!$B80),-(Analítico!L$3&gt;='Gastos Gerais'!$D$4:$D$3143),-(Analítico!L$3&lt;='Gastos Gerais'!$E$4:$E$3143),-('Gastos Gerais'!$C$4:$C$3143))</f>
        <v>10080</v>
      </c>
      <c r="M80" s="134">
        <f>SUMPRODUCT(-('Gastos Gerais'!$B$4:$B$3143=Analítico!$B80),-(Analítico!M$3&gt;='Gastos Gerais'!$D$4:$D$3143),-(Analítico!M$3&lt;='Gastos Gerais'!$E$4:$E$3143),-('Gastos Gerais'!$C$4:$C$3143))</f>
        <v>10080</v>
      </c>
      <c r="N80" s="134">
        <f>SUMPRODUCT(-('Gastos Gerais'!$B$4:$B$3143=Analítico!$B80),-(Analítico!N$3&gt;='Gastos Gerais'!$D$4:$D$3143),-(Analítico!N$3&lt;='Gastos Gerais'!$E$4:$E$3143),-('Gastos Gerais'!$C$4:$C$3143))</f>
        <v>10080</v>
      </c>
      <c r="O80" s="134">
        <f>SUMPRODUCT(-('Gastos Gerais'!$B$4:$B$3143=Analítico!$B80),-(Analítico!O$3&gt;='Gastos Gerais'!$D$4:$D$3143),-(Analítico!O$3&lt;='Gastos Gerais'!$E$4:$E$3143),-('Gastos Gerais'!$C$4:$C$3143))</f>
        <v>10560</v>
      </c>
      <c r="P80" s="134">
        <f>SUMPRODUCT(-('Gastos Gerais'!$B$4:$B$3143=Analítico!$B80),-(Analítico!P$3&gt;='Gastos Gerais'!$D$4:$D$3143),-(Analítico!P$3&lt;='Gastos Gerais'!$E$4:$E$3143),-('Gastos Gerais'!$C$4:$C$3143))</f>
        <v>10560</v>
      </c>
      <c r="Q80" s="134">
        <f>SUMPRODUCT(-('Gastos Gerais'!$B$4:$B$3143=Analítico!$B80),-(Analítico!Q$3&gt;='Gastos Gerais'!$D$4:$D$3143),-(Analítico!Q$3&lt;='Gastos Gerais'!$E$4:$E$3143),-('Gastos Gerais'!$C$4:$C$3143))</f>
        <v>10560</v>
      </c>
      <c r="R80" s="134">
        <f>SUMPRODUCT(-('Gastos Gerais'!$B$4:$B$3143=Analítico!$B80),-(Analítico!R$3&gt;='Gastos Gerais'!$D$4:$D$3143),-(Analítico!R$3&lt;='Gastos Gerais'!$E$4:$E$3143),-('Gastos Gerais'!$C$4:$C$3143))</f>
        <v>10560</v>
      </c>
      <c r="S80" s="134">
        <f>SUMPRODUCT(-('Gastos Gerais'!$B$4:$B$3143=Analítico!$B80),-(Analítico!S$3&gt;='Gastos Gerais'!$D$4:$D$3143),-(Analítico!S$3&lt;='Gastos Gerais'!$E$4:$E$3143),-('Gastos Gerais'!$C$4:$C$3143))</f>
        <v>10560</v>
      </c>
      <c r="T80" s="134">
        <f>SUMPRODUCT(-('Gastos Gerais'!$B$4:$B$3143=Analítico!$B80),-(Analítico!T$3&gt;='Gastos Gerais'!$D$4:$D$3143),-(Analítico!T$3&lt;='Gastos Gerais'!$E$4:$E$3143),-('Gastos Gerais'!$C$4:$C$3143))</f>
        <v>10560</v>
      </c>
      <c r="U80" s="134">
        <f>SUMPRODUCT(-('Gastos Gerais'!$B$4:$B$3143=Analítico!$B80),-(Analítico!U$3&gt;='Gastos Gerais'!$D$4:$D$3143),-(Analítico!U$3&lt;='Gastos Gerais'!$E$4:$E$3143),-('Gastos Gerais'!$C$4:$C$3143))</f>
        <v>10080</v>
      </c>
      <c r="V80" s="134">
        <f>SUMPRODUCT(-('Gastos Gerais'!$B$4:$B$3143=Analítico!$B80),-(Analítico!V$3&gt;='Gastos Gerais'!$D$4:$D$3143),-(Analítico!V$3&lt;='Gastos Gerais'!$E$4:$E$3143),-('Gastos Gerais'!$C$4:$C$3143))</f>
        <v>10080</v>
      </c>
      <c r="W80" s="134">
        <f>SUMPRODUCT(-('Gastos Gerais'!$B$4:$B$3143=Analítico!$B80),-(Analítico!W$3&gt;='Gastos Gerais'!$D$4:$D$3143),-(Analítico!W$3&lt;='Gastos Gerais'!$E$4:$E$3143),-('Gastos Gerais'!$C$4:$C$3143))</f>
        <v>10080</v>
      </c>
      <c r="X80" s="134">
        <f>SUMPRODUCT(-('Gastos Gerais'!$B$4:$B$3143=Analítico!$B80),-(Analítico!X$3&gt;='Gastos Gerais'!$D$4:$D$3143),-(Analítico!X$3&lt;='Gastos Gerais'!$E$4:$E$3143),-('Gastos Gerais'!$C$4:$C$3143))</f>
        <v>10080</v>
      </c>
      <c r="Y80" s="134">
        <f>SUMPRODUCT(-('Gastos Gerais'!$B$4:$B$3143=Analítico!$B80),-(Analítico!Y$3&gt;='Gastos Gerais'!$D$4:$D$3143),-(Analítico!Y$3&lt;='Gastos Gerais'!$E$4:$E$3143),-('Gastos Gerais'!$C$4:$C$3143))</f>
        <v>10080</v>
      </c>
      <c r="Z80" s="134">
        <f>SUMPRODUCT(-('Gastos Gerais'!$B$4:$B$3143=Analítico!$B80),-(Analítico!Z$3&gt;='Gastos Gerais'!$D$4:$D$3143),-(Analítico!Z$3&lt;='Gastos Gerais'!$E$4:$E$3143),-('Gastos Gerais'!$C$4:$C$3143))</f>
        <v>10080</v>
      </c>
      <c r="AA80" s="134">
        <f>SUMPRODUCT(-('Gastos Gerais'!$B$4:$B$3143=Analítico!$B80),-(Analítico!AA$3&gt;='Gastos Gerais'!$D$4:$D$3143),-(Analítico!AA$3&lt;='Gastos Gerais'!$E$4:$E$3143),-('Gastos Gerais'!$C$4:$C$3143))</f>
        <v>10800</v>
      </c>
      <c r="AB80" s="134">
        <f>SUMPRODUCT(-('Gastos Gerais'!$B$4:$B$3143=Analítico!$B80),-(Analítico!AB$3&gt;='Gastos Gerais'!$D$4:$D$3143),-(Analítico!AB$3&lt;='Gastos Gerais'!$E$4:$E$3143),-('Gastos Gerais'!$C$4:$C$3143))</f>
        <v>10800</v>
      </c>
      <c r="AC80" s="134">
        <f>SUMPRODUCT(-('Gastos Gerais'!$B$4:$B$3143=Analítico!$B80),-(Analítico!AC$3&gt;='Gastos Gerais'!$D$4:$D$3143),-(Analítico!AC$3&lt;='Gastos Gerais'!$E$4:$E$3143),-('Gastos Gerais'!$C$4:$C$3143))</f>
        <v>10800</v>
      </c>
      <c r="AD80" s="134">
        <f>SUMPRODUCT(-('Gastos Gerais'!$B$4:$B$3143=Analítico!$B80),-(Analítico!AD$3&gt;='Gastos Gerais'!$D$4:$D$3143),-(Analítico!AD$3&lt;='Gastos Gerais'!$E$4:$E$3143),-('Gastos Gerais'!$C$4:$C$3143))</f>
        <v>10800</v>
      </c>
      <c r="AE80" s="134">
        <f>SUMPRODUCT(-('Gastos Gerais'!$B$4:$B$3143=Analítico!$B80),-(Analítico!AE$3&gt;='Gastos Gerais'!$D$4:$D$3143),-(Analítico!AE$3&lt;='Gastos Gerais'!$E$4:$E$3143),-('Gastos Gerais'!$C$4:$C$3143))</f>
        <v>10800</v>
      </c>
      <c r="AF80" s="134">
        <f>SUMPRODUCT(-('Gastos Gerais'!$B$4:$B$3143=Analítico!$B80),-(Analítico!AF$3&gt;='Gastos Gerais'!$D$4:$D$3143),-(Analítico!AF$3&lt;='Gastos Gerais'!$E$4:$E$3143),-('Gastos Gerais'!$C$4:$C$3143))</f>
        <v>10800</v>
      </c>
      <c r="AG80" s="134">
        <f>SUMPRODUCT(-('Gastos Gerais'!$B$4:$B$3143=Analítico!$B80),-(Analítico!AG$3&gt;='Gastos Gerais'!$D$4:$D$3143),-(Analítico!AG$3&lt;='Gastos Gerais'!$E$4:$E$3143),-('Gastos Gerais'!$C$4:$C$3143))</f>
        <v>10320</v>
      </c>
      <c r="AH80" s="134">
        <f>SUMPRODUCT(-('Gastos Gerais'!$B$4:$B$3143=Analítico!$B80),-(Analítico!AH$3&gt;='Gastos Gerais'!$D$4:$D$3143),-(Analítico!AH$3&lt;='Gastos Gerais'!$E$4:$E$3143),-('Gastos Gerais'!$C$4:$C$3143))</f>
        <v>10320</v>
      </c>
      <c r="AI80" s="134">
        <f>SUMPRODUCT(-('Gastos Gerais'!$B$4:$B$3143=Analítico!$B80),-(Analítico!AI$3&gt;='Gastos Gerais'!$D$4:$D$3143),-(Analítico!AI$3&lt;='Gastos Gerais'!$E$4:$E$3143),-('Gastos Gerais'!$C$4:$C$3143))</f>
        <v>10320</v>
      </c>
      <c r="AJ80" s="134">
        <f>SUMPRODUCT(-('Gastos Gerais'!$B$4:$B$3143=Analítico!$B80),-(Analítico!AJ$3&gt;='Gastos Gerais'!$D$4:$D$3143),-(Analítico!AJ$3&lt;='Gastos Gerais'!$E$4:$E$3143),-('Gastos Gerais'!$C$4:$C$3143))</f>
        <v>10320</v>
      </c>
      <c r="AK80" s="134">
        <f>SUMPRODUCT(-('Gastos Gerais'!$B$4:$B$3143=Analítico!$B80),-(Analítico!AK$3&gt;='Gastos Gerais'!$D$4:$D$3143),-(Analítico!AK$3&lt;='Gastos Gerais'!$E$4:$E$3143),-('Gastos Gerais'!$C$4:$C$3143))</f>
        <v>10080</v>
      </c>
      <c r="AL80" s="134">
        <f>SUMPRODUCT(-('Gastos Gerais'!$B$4:$B$3143=Analítico!$B80),-(Analítico!AL$3&gt;='Gastos Gerais'!$D$4:$D$3143),-(Analítico!AL$3&lt;='Gastos Gerais'!$E$4:$E$3143),-('Gastos Gerais'!$C$4:$C$3143))</f>
        <v>10080</v>
      </c>
      <c r="AM80" s="134">
        <f>SUMPRODUCT(-('Gastos Gerais'!$B$4:$B$3143=Analítico!$B80),-(Analítico!AM$3&gt;='Gastos Gerais'!$D$4:$D$3143),-(Analítico!AM$3&lt;='Gastos Gerais'!$E$4:$E$3143),-('Gastos Gerais'!$C$4:$C$3143))</f>
        <v>5280</v>
      </c>
      <c r="AN80" s="134">
        <f>SUMPRODUCT(-('Gastos Gerais'!$B$4:$B$3143=Analítico!$B80),-(Analítico!AN$3&gt;='Gastos Gerais'!$D$4:$D$3143),-(Analítico!AN$3&lt;='Gastos Gerais'!$E$4:$E$3143),-('Gastos Gerais'!$C$4:$C$3143))</f>
        <v>5280</v>
      </c>
      <c r="AO80" s="134">
        <f>SUMPRODUCT(-('Gastos Gerais'!$B$4:$B$3143=Analítico!$B80),-(Analítico!AO$3&gt;='Gastos Gerais'!$D$4:$D$3143),-(Analítico!AO$3&lt;='Gastos Gerais'!$E$4:$E$3143),-('Gastos Gerais'!$C$4:$C$3143))</f>
        <v>5280</v>
      </c>
      <c r="AP80" s="134">
        <f>SUMPRODUCT(-('Gastos Gerais'!$B$4:$B$3143=Analítico!$B80),-(Analítico!AP$3&gt;='Gastos Gerais'!$D$4:$D$3143),-(Analítico!AP$3&lt;='Gastos Gerais'!$E$4:$E$3143),-('Gastos Gerais'!$C$4:$C$3143))</f>
        <v>5280</v>
      </c>
      <c r="AQ80" s="134">
        <f>SUMPRODUCT(-('Gastos Gerais'!$B$4:$B$3143=Analítico!$B80),-(Analítico!AQ$3&gt;='Gastos Gerais'!$D$4:$D$3143),-(Analítico!AQ$3&lt;='Gastos Gerais'!$E$4:$E$3143),-('Gastos Gerais'!$C$4:$C$3143))</f>
        <v>5280</v>
      </c>
      <c r="AR80" s="134">
        <f>SUMPRODUCT(-('Gastos Gerais'!$B$4:$B$3143=Analítico!$B80),-(Analítico!AR$3&gt;='Gastos Gerais'!$D$4:$D$3143),-(Analítico!AR$3&lt;='Gastos Gerais'!$E$4:$E$3143),-('Gastos Gerais'!$C$4:$C$3143))</f>
        <v>5280</v>
      </c>
      <c r="AS80" s="134">
        <f>SUMPRODUCT(-('Gastos Gerais'!$B$4:$B$3143=Analítico!$B80),-(Analítico!AS$3&gt;='Gastos Gerais'!$D$4:$D$3143),-(Analítico!AS$3&lt;='Gastos Gerais'!$E$4:$E$3143),-('Gastos Gerais'!$C$4:$C$3143))</f>
        <v>5040</v>
      </c>
      <c r="AT80" s="134">
        <f>SUMPRODUCT(-('Gastos Gerais'!$B$4:$B$3143=Analítico!$B80),-(Analítico!AT$3&gt;='Gastos Gerais'!$D$4:$D$3143),-(Analítico!AT$3&lt;='Gastos Gerais'!$E$4:$E$3143),-('Gastos Gerais'!$C$4:$C$3143))</f>
        <v>5040</v>
      </c>
      <c r="AU80" s="134">
        <f>SUMPRODUCT(-('Gastos Gerais'!$B$4:$B$3143=Analítico!$B80),-(Analítico!AU$3&gt;='Gastos Gerais'!$D$4:$D$3143),-(Analítico!AU$3&lt;='Gastos Gerais'!$E$4:$E$3143),-('Gastos Gerais'!$C$4:$C$3143))</f>
        <v>5040</v>
      </c>
      <c r="AV80" s="134">
        <f>SUMPRODUCT(-('Gastos Gerais'!$B$4:$B$3143=Analítico!$B80),-(Analítico!AV$3&gt;='Gastos Gerais'!$D$4:$D$3143),-(Analítico!AV$3&lt;='Gastos Gerais'!$E$4:$E$3143),-('Gastos Gerais'!$C$4:$C$3143))</f>
        <v>5040</v>
      </c>
      <c r="AW80" s="134">
        <f>SUMPRODUCT(-('Gastos Gerais'!$B$4:$B$3143=Analítico!$B80),-(Analítico!AW$3&gt;='Gastos Gerais'!$D$4:$D$3143),-(Analítico!AW$3&lt;='Gastos Gerais'!$E$4:$E$3143),-('Gastos Gerais'!$C$4:$C$3143))</f>
        <v>5040</v>
      </c>
      <c r="AX80" s="134">
        <f>SUMPRODUCT(-('Gastos Gerais'!$B$4:$B$3143=Analítico!$B80),-(Analítico!AX$3&gt;='Gastos Gerais'!$D$4:$D$3143),-(Analítico!AX$3&lt;='Gastos Gerais'!$E$4:$E$3143),-('Gastos Gerais'!$C$4:$C$3143))</f>
        <v>0</v>
      </c>
      <c r="AY80" s="134">
        <f>SUMPRODUCT(-('Gastos Gerais'!$B$4:$B$3143=Analítico!$B80),-(Analítico!AY$3&gt;='Gastos Gerais'!$D$4:$D$3143),-(Analítico!AY$3&lt;='Gastos Gerais'!$E$4:$E$3143),-('Gastos Gerais'!$C$4:$C$3143))</f>
        <v>0</v>
      </c>
      <c r="AZ80" s="134">
        <f>SUMPRODUCT(-('Gastos Gerais'!$B$4:$B$3143=Analítico!$B80),-(Analítico!AZ$3&gt;='Gastos Gerais'!$D$4:$D$3143),-(Analítico!AZ$3&lt;='Gastos Gerais'!$E$4:$E$3143),-('Gastos Gerais'!$C$4:$C$3143))</f>
        <v>0</v>
      </c>
      <c r="BA80" s="134">
        <f>SUMPRODUCT(-('Gastos Gerais'!$B$4:$B$3143=Analítico!$B80),-(Analítico!BA$3&gt;='Gastos Gerais'!$D$4:$D$3143),-(Analítico!BA$3&lt;='Gastos Gerais'!$E$4:$E$3143),-('Gastos Gerais'!$C$4:$C$3143))</f>
        <v>0</v>
      </c>
      <c r="BB80" s="134">
        <f>SUMPRODUCT(-('Gastos Gerais'!$B$4:$B$3143=Analítico!$B80),-(Analítico!BB$3&gt;='Gastos Gerais'!$D$4:$D$3143),-(Analítico!BB$3&lt;='Gastos Gerais'!$E$4:$E$3143),-('Gastos Gerais'!$C$4:$C$3143))</f>
        <v>0</v>
      </c>
      <c r="BC80" s="134">
        <f>SUMPRODUCT(-('Gastos Gerais'!$B$4:$B$3143=Analítico!$B80),-(Analítico!BC$3&gt;='Gastos Gerais'!$D$4:$D$3143),-(Analítico!BC$3&lt;='Gastos Gerais'!$E$4:$E$3143),-('Gastos Gerais'!$C$4:$C$3143))</f>
        <v>0</v>
      </c>
      <c r="BD80" s="134">
        <f>SUMPRODUCT(-('Gastos Gerais'!$B$4:$B$3143=Analítico!$B80),-(Analítico!BD$3&gt;='Gastos Gerais'!$D$4:$D$3143),-(Analítico!BD$3&lt;='Gastos Gerais'!$E$4:$E$3143),-('Gastos Gerais'!$C$4:$C$3143))</f>
        <v>0</v>
      </c>
      <c r="BE80" s="134">
        <f>SUMPRODUCT(-('Gastos Gerais'!$B$4:$B$3143=Analítico!$B80),-(Analítico!BE$3&gt;='Gastos Gerais'!$D$4:$D$3143),-(Analítico!BE$3&lt;='Gastos Gerais'!$E$4:$E$3143),-('Gastos Gerais'!$C$4:$C$3143))</f>
        <v>0</v>
      </c>
      <c r="BF80" s="134">
        <f>SUMPRODUCT(-('Gastos Gerais'!$B$4:$B$3143=Analítico!$B80),-(Analítico!BF$3&gt;='Gastos Gerais'!$D$4:$D$3143),-(Analítico!BF$3&lt;='Gastos Gerais'!$E$4:$E$3143),-('Gastos Gerais'!$C$4:$C$3143))</f>
        <v>0</v>
      </c>
      <c r="BG80" s="134">
        <f>SUMPRODUCT(-('Gastos Gerais'!$B$4:$B$3143=Analítico!$B80),-(Analítico!BG$3&gt;='Gastos Gerais'!$D$4:$D$3143),-(Analítico!BG$3&lt;='Gastos Gerais'!$E$4:$E$3143),-('Gastos Gerais'!$C$4:$C$3143))</f>
        <v>0</v>
      </c>
      <c r="BH80" s="134">
        <f>SUMPRODUCT(-('Gastos Gerais'!$B$4:$B$3143=Analítico!$B80),-(Analítico!BH$3&gt;='Gastos Gerais'!$D$4:$D$3143),-(Analítico!BH$3&lt;='Gastos Gerais'!$E$4:$E$3143),-('Gastos Gerais'!$C$4:$C$3143))</f>
        <v>0</v>
      </c>
      <c r="BI80" s="134">
        <f>SUMPRODUCT(-('Gastos Gerais'!$B$4:$B$3143=Analítico!$B80),-(Analítico!BI$3&gt;='Gastos Gerais'!$D$4:$D$3143),-(Analítico!BI$3&lt;='Gastos Gerais'!$E$4:$E$3143),-('Gastos Gerais'!$C$4:$C$3143))</f>
        <v>0</v>
      </c>
      <c r="BJ80" s="134">
        <f>SUMPRODUCT(-('Gastos Gerais'!$B$4:$B$3143=Analítico!$B80),-(Analítico!BJ$3&gt;='Gastos Gerais'!$D$4:$D$3143),-(Analítico!BJ$3&lt;='Gastos Gerais'!$E$4:$E$3143),-('Gastos Gerais'!$C$4:$C$3143))</f>
        <v>0</v>
      </c>
      <c r="BK80" s="189">
        <f t="shared" si="24"/>
        <v>421200</v>
      </c>
      <c r="BL80" s="136">
        <f t="shared" ca="1" si="25"/>
        <v>1.4501908036531469E-3</v>
      </c>
    </row>
    <row r="81" spans="1:64" s="160" customFormat="1" ht="20">
      <c r="A81" s="229" t="s">
        <v>239</v>
      </c>
      <c r="B81" s="232" t="s">
        <v>240</v>
      </c>
      <c r="C81" s="188">
        <f>SUMPRODUCT(-('Gastos Gerais'!$B$4:$B$3143=Analítico!$B81),-(Analítico!C$3&gt;='Gastos Gerais'!$D$4:$D$3143),-(Analítico!C$3&lt;='Gastos Gerais'!$E$4:$E$3143),-('Gastos Gerais'!$C$4:$C$3143))</f>
        <v>850</v>
      </c>
      <c r="D81" s="134">
        <f>SUMPRODUCT(-('Gastos Gerais'!$B$4:$B$3143=Analítico!$B81),-(Analítico!D$3&gt;='Gastos Gerais'!$D$4:$D$3143),-(Analítico!D$3&lt;='Gastos Gerais'!$E$4:$E$3143),-('Gastos Gerais'!$C$4:$C$3143))</f>
        <v>850</v>
      </c>
      <c r="E81" s="134">
        <f>SUMPRODUCT(-('Gastos Gerais'!$B$4:$B$3143=Analítico!$B81),-(Analítico!E$3&gt;='Gastos Gerais'!$D$4:$D$3143),-(Analítico!E$3&lt;='Gastos Gerais'!$E$4:$E$3143),-('Gastos Gerais'!$C$4:$C$3143))</f>
        <v>850</v>
      </c>
      <c r="F81" s="134">
        <f>SUMPRODUCT(-('Gastos Gerais'!$B$4:$B$3143=Analítico!$B81),-(Analítico!F$3&gt;='Gastos Gerais'!$D$4:$D$3143),-(Analítico!F$3&lt;='Gastos Gerais'!$E$4:$E$3143),-('Gastos Gerais'!$C$4:$C$3143))</f>
        <v>950</v>
      </c>
      <c r="G81" s="134">
        <f>SUMPRODUCT(-('Gastos Gerais'!$B$4:$B$3143=Analítico!$B81),-(Analítico!G$3&gt;='Gastos Gerais'!$D$4:$D$3143),-(Analítico!G$3&lt;='Gastos Gerais'!$E$4:$E$3143),-('Gastos Gerais'!$C$4:$C$3143))</f>
        <v>950</v>
      </c>
      <c r="H81" s="134">
        <f>SUMPRODUCT(-('Gastos Gerais'!$B$4:$B$3143=Analítico!$B81),-(Analítico!H$3&gt;='Gastos Gerais'!$D$4:$D$3143),-(Analítico!H$3&lt;='Gastos Gerais'!$E$4:$E$3143),-('Gastos Gerais'!$C$4:$C$3143))</f>
        <v>1250</v>
      </c>
      <c r="I81" s="134">
        <f>SUMPRODUCT(-('Gastos Gerais'!$B$4:$B$3143=Analítico!$B81),-(Analítico!I$3&gt;='Gastos Gerais'!$D$4:$D$3143),-(Analítico!I$3&lt;='Gastos Gerais'!$E$4:$E$3143),-('Gastos Gerais'!$C$4:$C$3143))</f>
        <v>1300</v>
      </c>
      <c r="J81" s="134">
        <f>SUMPRODUCT(-('Gastos Gerais'!$B$4:$B$3143=Analítico!$B81),-(Analítico!J$3&gt;='Gastos Gerais'!$D$4:$D$3143),-(Analítico!J$3&lt;='Gastos Gerais'!$E$4:$E$3143),-('Gastos Gerais'!$C$4:$C$3143))</f>
        <v>1300</v>
      </c>
      <c r="K81" s="134">
        <f>SUMPRODUCT(-('Gastos Gerais'!$B$4:$B$3143=Analítico!$B81),-(Analítico!K$3&gt;='Gastos Gerais'!$D$4:$D$3143),-(Analítico!K$3&lt;='Gastos Gerais'!$E$4:$E$3143),-('Gastos Gerais'!$C$4:$C$3143))</f>
        <v>1300</v>
      </c>
      <c r="L81" s="134">
        <f>SUMPRODUCT(-('Gastos Gerais'!$B$4:$B$3143=Analítico!$B81),-(Analítico!L$3&gt;='Gastos Gerais'!$D$4:$D$3143),-(Analítico!L$3&lt;='Gastos Gerais'!$E$4:$E$3143),-('Gastos Gerais'!$C$4:$C$3143))</f>
        <v>1350</v>
      </c>
      <c r="M81" s="134">
        <f>SUMPRODUCT(-('Gastos Gerais'!$B$4:$B$3143=Analítico!$B81),-(Analítico!M$3&gt;='Gastos Gerais'!$D$4:$D$3143),-(Analítico!M$3&lt;='Gastos Gerais'!$E$4:$E$3143),-('Gastos Gerais'!$C$4:$C$3143))</f>
        <v>1050</v>
      </c>
      <c r="N81" s="134">
        <f>SUMPRODUCT(-('Gastos Gerais'!$B$4:$B$3143=Analítico!$B81),-(Analítico!N$3&gt;='Gastos Gerais'!$D$4:$D$3143),-(Analítico!N$3&lt;='Gastos Gerais'!$E$4:$E$3143),-('Gastos Gerais'!$C$4:$C$3143))</f>
        <v>1050</v>
      </c>
      <c r="O81" s="134">
        <f>SUMPRODUCT(-('Gastos Gerais'!$B$4:$B$3143=Analítico!$B81),-(Analítico!O$3&gt;='Gastos Gerais'!$D$4:$D$3143),-(Analítico!O$3&lt;='Gastos Gerais'!$E$4:$E$3143),-('Gastos Gerais'!$C$4:$C$3143))</f>
        <v>1050</v>
      </c>
      <c r="P81" s="134">
        <f>SUMPRODUCT(-('Gastos Gerais'!$B$4:$B$3143=Analítico!$B81),-(Analítico!P$3&gt;='Gastos Gerais'!$D$4:$D$3143),-(Analítico!P$3&lt;='Gastos Gerais'!$E$4:$E$3143),-('Gastos Gerais'!$C$4:$C$3143))</f>
        <v>1050</v>
      </c>
      <c r="Q81" s="134">
        <f>SUMPRODUCT(-('Gastos Gerais'!$B$4:$B$3143=Analítico!$B81),-(Analítico!Q$3&gt;='Gastos Gerais'!$D$4:$D$3143),-(Analítico!Q$3&lt;='Gastos Gerais'!$E$4:$E$3143),-('Gastos Gerais'!$C$4:$C$3143))</f>
        <v>1050</v>
      </c>
      <c r="R81" s="134">
        <f>SUMPRODUCT(-('Gastos Gerais'!$B$4:$B$3143=Analítico!$B81),-(Analítico!R$3&gt;='Gastos Gerais'!$D$4:$D$3143),-(Analítico!R$3&lt;='Gastos Gerais'!$E$4:$E$3143),-('Gastos Gerais'!$C$4:$C$3143))</f>
        <v>1050</v>
      </c>
      <c r="S81" s="134">
        <f>SUMPRODUCT(-('Gastos Gerais'!$B$4:$B$3143=Analítico!$B81),-(Analítico!S$3&gt;='Gastos Gerais'!$D$4:$D$3143),-(Analítico!S$3&lt;='Gastos Gerais'!$E$4:$E$3143),-('Gastos Gerais'!$C$4:$C$3143))</f>
        <v>1050</v>
      </c>
      <c r="T81" s="134">
        <f>SUMPRODUCT(-('Gastos Gerais'!$B$4:$B$3143=Analítico!$B81),-(Analítico!T$3&gt;='Gastos Gerais'!$D$4:$D$3143),-(Analítico!T$3&lt;='Gastos Gerais'!$E$4:$E$3143),-('Gastos Gerais'!$C$4:$C$3143))</f>
        <v>1350</v>
      </c>
      <c r="U81" s="134">
        <f>SUMPRODUCT(-('Gastos Gerais'!$B$4:$B$3143=Analítico!$B81),-(Analítico!U$3&gt;='Gastos Gerais'!$D$4:$D$3143),-(Analítico!U$3&lt;='Gastos Gerais'!$E$4:$E$3143),-('Gastos Gerais'!$C$4:$C$3143))</f>
        <v>1350</v>
      </c>
      <c r="V81" s="134">
        <f>SUMPRODUCT(-('Gastos Gerais'!$B$4:$B$3143=Analítico!$B81),-(Analítico!V$3&gt;='Gastos Gerais'!$D$4:$D$3143),-(Analítico!V$3&lt;='Gastos Gerais'!$E$4:$E$3143),-('Gastos Gerais'!$C$4:$C$3143))</f>
        <v>1350</v>
      </c>
      <c r="W81" s="134">
        <f>SUMPRODUCT(-('Gastos Gerais'!$B$4:$B$3143=Analítico!$B81),-(Analítico!W$3&gt;='Gastos Gerais'!$D$4:$D$3143),-(Analítico!W$3&lt;='Gastos Gerais'!$E$4:$E$3143),-('Gastos Gerais'!$C$4:$C$3143))</f>
        <v>1350</v>
      </c>
      <c r="X81" s="134">
        <f>SUMPRODUCT(-('Gastos Gerais'!$B$4:$B$3143=Analítico!$B81),-(Analítico!X$3&gt;='Gastos Gerais'!$D$4:$D$3143),-(Analítico!X$3&lt;='Gastos Gerais'!$E$4:$E$3143),-('Gastos Gerais'!$C$4:$C$3143))</f>
        <v>1350</v>
      </c>
      <c r="Y81" s="134">
        <f>SUMPRODUCT(-('Gastos Gerais'!$B$4:$B$3143=Analítico!$B81),-(Analítico!Y$3&gt;='Gastos Gerais'!$D$4:$D$3143),-(Analítico!Y$3&lt;='Gastos Gerais'!$E$4:$E$3143),-('Gastos Gerais'!$C$4:$C$3143))</f>
        <v>1050</v>
      </c>
      <c r="Z81" s="134">
        <f>SUMPRODUCT(-('Gastos Gerais'!$B$4:$B$3143=Analítico!$B81),-(Analítico!Z$3&gt;='Gastos Gerais'!$D$4:$D$3143),-(Analítico!Z$3&lt;='Gastos Gerais'!$E$4:$E$3143),-('Gastos Gerais'!$C$4:$C$3143))</f>
        <v>1050</v>
      </c>
      <c r="AA81" s="134">
        <f>SUMPRODUCT(-('Gastos Gerais'!$B$4:$B$3143=Analítico!$B81),-(Analítico!AA$3&gt;='Gastos Gerais'!$D$4:$D$3143),-(Analítico!AA$3&lt;='Gastos Gerais'!$E$4:$E$3143),-('Gastos Gerais'!$C$4:$C$3143))</f>
        <v>1050</v>
      </c>
      <c r="AB81" s="134">
        <f>SUMPRODUCT(-('Gastos Gerais'!$B$4:$B$3143=Analítico!$B81),-(Analítico!AB$3&gt;='Gastos Gerais'!$D$4:$D$3143),-(Analítico!AB$3&lt;='Gastos Gerais'!$E$4:$E$3143),-('Gastos Gerais'!$C$4:$C$3143))</f>
        <v>1050</v>
      </c>
      <c r="AC81" s="134">
        <f>SUMPRODUCT(-('Gastos Gerais'!$B$4:$B$3143=Analítico!$B81),-(Analítico!AC$3&gt;='Gastos Gerais'!$D$4:$D$3143),-(Analítico!AC$3&lt;='Gastos Gerais'!$E$4:$E$3143),-('Gastos Gerais'!$C$4:$C$3143))</f>
        <v>1050</v>
      </c>
      <c r="AD81" s="134">
        <f>SUMPRODUCT(-('Gastos Gerais'!$B$4:$B$3143=Analítico!$B81),-(Analítico!AD$3&gt;='Gastos Gerais'!$D$4:$D$3143),-(Analítico!AD$3&lt;='Gastos Gerais'!$E$4:$E$3143),-('Gastos Gerais'!$C$4:$C$3143))</f>
        <v>1050</v>
      </c>
      <c r="AE81" s="134">
        <f>SUMPRODUCT(-('Gastos Gerais'!$B$4:$B$3143=Analítico!$B81),-(Analítico!AE$3&gt;='Gastos Gerais'!$D$4:$D$3143),-(Analítico!AE$3&lt;='Gastos Gerais'!$E$4:$E$3143),-('Gastos Gerais'!$C$4:$C$3143))</f>
        <v>1050</v>
      </c>
      <c r="AF81" s="134">
        <f>SUMPRODUCT(-('Gastos Gerais'!$B$4:$B$3143=Analítico!$B81),-(Analítico!AF$3&gt;='Gastos Gerais'!$D$4:$D$3143),-(Analítico!AF$3&lt;='Gastos Gerais'!$E$4:$E$3143),-('Gastos Gerais'!$C$4:$C$3143))</f>
        <v>1350</v>
      </c>
      <c r="AG81" s="134">
        <f>SUMPRODUCT(-('Gastos Gerais'!$B$4:$B$3143=Analítico!$B81),-(Analítico!AG$3&gt;='Gastos Gerais'!$D$4:$D$3143),-(Analítico!AG$3&lt;='Gastos Gerais'!$E$4:$E$3143),-('Gastos Gerais'!$C$4:$C$3143))</f>
        <v>1350</v>
      </c>
      <c r="AH81" s="134">
        <f>SUMPRODUCT(-('Gastos Gerais'!$B$4:$B$3143=Analítico!$B81),-(Analítico!AH$3&gt;='Gastos Gerais'!$D$4:$D$3143),-(Analítico!AH$3&lt;='Gastos Gerais'!$E$4:$E$3143),-('Gastos Gerais'!$C$4:$C$3143))</f>
        <v>1350</v>
      </c>
      <c r="AI81" s="134">
        <f>SUMPRODUCT(-('Gastos Gerais'!$B$4:$B$3143=Analítico!$B81),-(Analítico!AI$3&gt;='Gastos Gerais'!$D$4:$D$3143),-(Analítico!AI$3&lt;='Gastos Gerais'!$E$4:$E$3143),-('Gastos Gerais'!$C$4:$C$3143))</f>
        <v>1350</v>
      </c>
      <c r="AJ81" s="134">
        <f>SUMPRODUCT(-('Gastos Gerais'!$B$4:$B$3143=Analítico!$B81),-(Analítico!AJ$3&gt;='Gastos Gerais'!$D$4:$D$3143),-(Analítico!AJ$3&lt;='Gastos Gerais'!$E$4:$E$3143),-('Gastos Gerais'!$C$4:$C$3143))</f>
        <v>1350</v>
      </c>
      <c r="AK81" s="134">
        <f>SUMPRODUCT(-('Gastos Gerais'!$B$4:$B$3143=Analítico!$B81),-(Analítico!AK$3&gt;='Gastos Gerais'!$D$4:$D$3143),-(Analítico!AK$3&lt;='Gastos Gerais'!$E$4:$E$3143),-('Gastos Gerais'!$C$4:$C$3143))</f>
        <v>1050</v>
      </c>
      <c r="AL81" s="134">
        <f>SUMPRODUCT(-('Gastos Gerais'!$B$4:$B$3143=Analítico!$B81),-(Analítico!AL$3&gt;='Gastos Gerais'!$D$4:$D$3143),-(Analítico!AL$3&lt;='Gastos Gerais'!$E$4:$E$3143),-('Gastos Gerais'!$C$4:$C$3143))</f>
        <v>1050</v>
      </c>
      <c r="AM81" s="134">
        <f>SUMPRODUCT(-('Gastos Gerais'!$B$4:$B$3143=Analítico!$B81),-(Analítico!AM$3&gt;='Gastos Gerais'!$D$4:$D$3143),-(Analítico!AM$3&lt;='Gastos Gerais'!$E$4:$E$3143),-('Gastos Gerais'!$C$4:$C$3143))</f>
        <v>525</v>
      </c>
      <c r="AN81" s="134">
        <f>SUMPRODUCT(-('Gastos Gerais'!$B$4:$B$3143=Analítico!$B81),-(Analítico!AN$3&gt;='Gastos Gerais'!$D$4:$D$3143),-(Analítico!AN$3&lt;='Gastos Gerais'!$E$4:$E$3143),-('Gastos Gerais'!$C$4:$C$3143))</f>
        <v>525</v>
      </c>
      <c r="AO81" s="134">
        <f>SUMPRODUCT(-('Gastos Gerais'!$B$4:$B$3143=Analítico!$B81),-(Analítico!AO$3&gt;='Gastos Gerais'!$D$4:$D$3143),-(Analítico!AO$3&lt;='Gastos Gerais'!$E$4:$E$3143),-('Gastos Gerais'!$C$4:$C$3143))</f>
        <v>525</v>
      </c>
      <c r="AP81" s="134">
        <f>SUMPRODUCT(-('Gastos Gerais'!$B$4:$B$3143=Analítico!$B81),-(Analítico!AP$3&gt;='Gastos Gerais'!$D$4:$D$3143),-(Analítico!AP$3&lt;='Gastos Gerais'!$E$4:$E$3143),-('Gastos Gerais'!$C$4:$C$3143))</f>
        <v>525</v>
      </c>
      <c r="AQ81" s="134">
        <f>SUMPRODUCT(-('Gastos Gerais'!$B$4:$B$3143=Analítico!$B81),-(Analítico!AQ$3&gt;='Gastos Gerais'!$D$4:$D$3143),-(Analítico!AQ$3&lt;='Gastos Gerais'!$E$4:$E$3143),-('Gastos Gerais'!$C$4:$C$3143))</f>
        <v>525</v>
      </c>
      <c r="AR81" s="134">
        <f>SUMPRODUCT(-('Gastos Gerais'!$B$4:$B$3143=Analítico!$B81),-(Analítico!AR$3&gt;='Gastos Gerais'!$D$4:$D$3143),-(Analítico!AR$3&lt;='Gastos Gerais'!$E$4:$E$3143),-('Gastos Gerais'!$C$4:$C$3143))</f>
        <v>825</v>
      </c>
      <c r="AS81" s="134">
        <f>SUMPRODUCT(-('Gastos Gerais'!$B$4:$B$3143=Analítico!$B81),-(Analítico!AS$3&gt;='Gastos Gerais'!$D$4:$D$3143),-(Analítico!AS$3&lt;='Gastos Gerais'!$E$4:$E$3143),-('Gastos Gerais'!$C$4:$C$3143))</f>
        <v>825</v>
      </c>
      <c r="AT81" s="134">
        <f>SUMPRODUCT(-('Gastos Gerais'!$B$4:$B$3143=Analítico!$B81),-(Analítico!AT$3&gt;='Gastos Gerais'!$D$4:$D$3143),-(Analítico!AT$3&lt;='Gastos Gerais'!$E$4:$E$3143),-('Gastos Gerais'!$C$4:$C$3143))</f>
        <v>825</v>
      </c>
      <c r="AU81" s="134">
        <f>SUMPRODUCT(-('Gastos Gerais'!$B$4:$B$3143=Analítico!$B81),-(Analítico!AU$3&gt;='Gastos Gerais'!$D$4:$D$3143),-(Analítico!AU$3&lt;='Gastos Gerais'!$E$4:$E$3143),-('Gastos Gerais'!$C$4:$C$3143))</f>
        <v>825</v>
      </c>
      <c r="AV81" s="134">
        <f>SUMPRODUCT(-('Gastos Gerais'!$B$4:$B$3143=Analítico!$B81),-(Analítico!AV$3&gt;='Gastos Gerais'!$D$4:$D$3143),-(Analítico!AV$3&lt;='Gastos Gerais'!$E$4:$E$3143),-('Gastos Gerais'!$C$4:$C$3143))</f>
        <v>825</v>
      </c>
      <c r="AW81" s="134">
        <f>SUMPRODUCT(-('Gastos Gerais'!$B$4:$B$3143=Analítico!$B81),-(Analítico!AW$3&gt;='Gastos Gerais'!$D$4:$D$3143),-(Analítico!AW$3&lt;='Gastos Gerais'!$E$4:$E$3143),-('Gastos Gerais'!$C$4:$C$3143))</f>
        <v>825</v>
      </c>
      <c r="AX81" s="134">
        <f>SUMPRODUCT(-('Gastos Gerais'!$B$4:$B$3143=Analítico!$B81),-(Analítico!AX$3&gt;='Gastos Gerais'!$D$4:$D$3143),-(Analítico!AX$3&lt;='Gastos Gerais'!$E$4:$E$3143),-('Gastos Gerais'!$C$4:$C$3143))</f>
        <v>0</v>
      </c>
      <c r="AY81" s="134">
        <f>SUMPRODUCT(-('Gastos Gerais'!$B$4:$B$3143=Analítico!$B81),-(Analítico!AY$3&gt;='Gastos Gerais'!$D$4:$D$3143),-(Analítico!AY$3&lt;='Gastos Gerais'!$E$4:$E$3143),-('Gastos Gerais'!$C$4:$C$3143))</f>
        <v>0</v>
      </c>
      <c r="AZ81" s="134">
        <f>SUMPRODUCT(-('Gastos Gerais'!$B$4:$B$3143=Analítico!$B81),-(Analítico!AZ$3&gt;='Gastos Gerais'!$D$4:$D$3143),-(Analítico!AZ$3&lt;='Gastos Gerais'!$E$4:$E$3143),-('Gastos Gerais'!$C$4:$C$3143))</f>
        <v>0</v>
      </c>
      <c r="BA81" s="134">
        <f>SUMPRODUCT(-('Gastos Gerais'!$B$4:$B$3143=Analítico!$B81),-(Analítico!BA$3&gt;='Gastos Gerais'!$D$4:$D$3143),-(Analítico!BA$3&lt;='Gastos Gerais'!$E$4:$E$3143),-('Gastos Gerais'!$C$4:$C$3143))</f>
        <v>0</v>
      </c>
      <c r="BB81" s="134">
        <f>SUMPRODUCT(-('Gastos Gerais'!$B$4:$B$3143=Analítico!$B81),-(Analítico!BB$3&gt;='Gastos Gerais'!$D$4:$D$3143),-(Analítico!BB$3&lt;='Gastos Gerais'!$E$4:$E$3143),-('Gastos Gerais'!$C$4:$C$3143))</f>
        <v>0</v>
      </c>
      <c r="BC81" s="134">
        <f>SUMPRODUCT(-('Gastos Gerais'!$B$4:$B$3143=Analítico!$B81),-(Analítico!BC$3&gt;='Gastos Gerais'!$D$4:$D$3143),-(Analítico!BC$3&lt;='Gastos Gerais'!$E$4:$E$3143),-('Gastos Gerais'!$C$4:$C$3143))</f>
        <v>0</v>
      </c>
      <c r="BD81" s="134">
        <f>SUMPRODUCT(-('Gastos Gerais'!$B$4:$B$3143=Analítico!$B81),-(Analítico!BD$3&gt;='Gastos Gerais'!$D$4:$D$3143),-(Analítico!BD$3&lt;='Gastos Gerais'!$E$4:$E$3143),-('Gastos Gerais'!$C$4:$C$3143))</f>
        <v>0</v>
      </c>
      <c r="BE81" s="134">
        <f>SUMPRODUCT(-('Gastos Gerais'!$B$4:$B$3143=Analítico!$B81),-(Analítico!BE$3&gt;='Gastos Gerais'!$D$4:$D$3143),-(Analítico!BE$3&lt;='Gastos Gerais'!$E$4:$E$3143),-('Gastos Gerais'!$C$4:$C$3143))</f>
        <v>0</v>
      </c>
      <c r="BF81" s="134">
        <f>SUMPRODUCT(-('Gastos Gerais'!$B$4:$B$3143=Analítico!$B81),-(Analítico!BF$3&gt;='Gastos Gerais'!$D$4:$D$3143),-(Analítico!BF$3&lt;='Gastos Gerais'!$E$4:$E$3143),-('Gastos Gerais'!$C$4:$C$3143))</f>
        <v>0</v>
      </c>
      <c r="BG81" s="134">
        <f>SUMPRODUCT(-('Gastos Gerais'!$B$4:$B$3143=Analítico!$B81),-(Analítico!BG$3&gt;='Gastos Gerais'!$D$4:$D$3143),-(Analítico!BG$3&lt;='Gastos Gerais'!$E$4:$E$3143),-('Gastos Gerais'!$C$4:$C$3143))</f>
        <v>0</v>
      </c>
      <c r="BH81" s="134">
        <f>SUMPRODUCT(-('Gastos Gerais'!$B$4:$B$3143=Analítico!$B81),-(Analítico!BH$3&gt;='Gastos Gerais'!$D$4:$D$3143),-(Analítico!BH$3&lt;='Gastos Gerais'!$E$4:$E$3143),-('Gastos Gerais'!$C$4:$C$3143))</f>
        <v>0</v>
      </c>
      <c r="BI81" s="134">
        <f>SUMPRODUCT(-('Gastos Gerais'!$B$4:$B$3143=Analítico!$B81),-(Analítico!BI$3&gt;='Gastos Gerais'!$D$4:$D$3143),-(Analítico!BI$3&lt;='Gastos Gerais'!$E$4:$E$3143),-('Gastos Gerais'!$C$4:$C$3143))</f>
        <v>0</v>
      </c>
      <c r="BJ81" s="134">
        <f>SUMPRODUCT(-('Gastos Gerais'!$B$4:$B$3143=Analítico!$B81),-(Analítico!BJ$3&gt;='Gastos Gerais'!$D$4:$D$3143),-(Analítico!BJ$3&lt;='Gastos Gerais'!$E$4:$E$3143),-('Gastos Gerais'!$C$4:$C$3143))</f>
        <v>0</v>
      </c>
      <c r="BK81" s="189">
        <f t="shared" si="24"/>
        <v>48825</v>
      </c>
      <c r="BL81" s="136">
        <f t="shared" ca="1" si="25"/>
        <v>1.6810438268842568E-4</v>
      </c>
    </row>
    <row r="82" spans="1:64" s="160" customFormat="1" ht="23.25" customHeight="1">
      <c r="A82" s="229" t="s">
        <v>241</v>
      </c>
      <c r="B82" s="232" t="s">
        <v>242</v>
      </c>
      <c r="C82" s="188">
        <f>SUMPRODUCT(-('Gastos Gerais'!$B$4:$B$3143=Analítico!$B82),-(Analítico!C$3&gt;='Gastos Gerais'!$D$4:$D$3143),-(Analítico!C$3&lt;='Gastos Gerais'!$E$4:$E$3143),-('Gastos Gerais'!$C$4:$C$3143))</f>
        <v>0</v>
      </c>
      <c r="D82" s="134">
        <f>SUMPRODUCT(-('Gastos Gerais'!$B$4:$B$3143=Analítico!$B82),-(Analítico!D$3&gt;='Gastos Gerais'!$D$4:$D$3143),-(Analítico!D$3&lt;='Gastos Gerais'!$E$4:$E$3143),-('Gastos Gerais'!$C$4:$C$3143))</f>
        <v>0</v>
      </c>
      <c r="E82" s="134">
        <f>SUMPRODUCT(-('Gastos Gerais'!$B$4:$B$3143=Analítico!$B82),-(Analítico!E$3&gt;='Gastos Gerais'!$D$4:$D$3143),-(Analítico!E$3&lt;='Gastos Gerais'!$E$4:$E$3143),-('Gastos Gerais'!$C$4:$C$3143))</f>
        <v>0</v>
      </c>
      <c r="F82" s="134">
        <f>SUMPRODUCT(-('Gastos Gerais'!$B$4:$B$3143=Analítico!$B82),-(Analítico!F$3&gt;='Gastos Gerais'!$D$4:$D$3143),-(Analítico!F$3&lt;='Gastos Gerais'!$E$4:$E$3143),-('Gastos Gerais'!$C$4:$C$3143))</f>
        <v>0</v>
      </c>
      <c r="G82" s="134">
        <f>SUMPRODUCT(-('Gastos Gerais'!$B$4:$B$3143=Analítico!$B82),-(Analítico!G$3&gt;='Gastos Gerais'!$D$4:$D$3143),-(Analítico!G$3&lt;='Gastos Gerais'!$E$4:$E$3143),-('Gastos Gerais'!$C$4:$C$3143))</f>
        <v>0</v>
      </c>
      <c r="H82" s="134">
        <f>SUMPRODUCT(-('Gastos Gerais'!$B$4:$B$3143=Analítico!$B82),-(Analítico!H$3&gt;='Gastos Gerais'!$D$4:$D$3143),-(Analítico!H$3&lt;='Gastos Gerais'!$E$4:$E$3143),-('Gastos Gerais'!$C$4:$C$3143))</f>
        <v>0</v>
      </c>
      <c r="I82" s="134">
        <f>SUMPRODUCT(-('Gastos Gerais'!$B$4:$B$3143=Analítico!$B82),-(Analítico!I$3&gt;='Gastos Gerais'!$D$4:$D$3143),-(Analítico!I$3&lt;='Gastos Gerais'!$E$4:$E$3143),-('Gastos Gerais'!$C$4:$C$3143))</f>
        <v>0</v>
      </c>
      <c r="J82" s="134">
        <f>SUMPRODUCT(-('Gastos Gerais'!$B$4:$B$3143=Analítico!$B82),-(Analítico!J$3&gt;='Gastos Gerais'!$D$4:$D$3143),-(Analítico!J$3&lt;='Gastos Gerais'!$E$4:$E$3143),-('Gastos Gerais'!$C$4:$C$3143))</f>
        <v>0</v>
      </c>
      <c r="K82" s="134">
        <f>SUMPRODUCT(-('Gastos Gerais'!$B$4:$B$3143=Analítico!$B82),-(Analítico!K$3&gt;='Gastos Gerais'!$D$4:$D$3143),-(Analítico!K$3&lt;='Gastos Gerais'!$E$4:$E$3143),-('Gastos Gerais'!$C$4:$C$3143))</f>
        <v>0</v>
      </c>
      <c r="L82" s="134">
        <f>SUMPRODUCT(-('Gastos Gerais'!$B$4:$B$3143=Analítico!$B82),-(Analítico!L$3&gt;='Gastos Gerais'!$D$4:$D$3143),-(Analítico!L$3&lt;='Gastos Gerais'!$E$4:$E$3143),-('Gastos Gerais'!$C$4:$C$3143))</f>
        <v>0</v>
      </c>
      <c r="M82" s="134">
        <f>SUMPRODUCT(-('Gastos Gerais'!$B$4:$B$3143=Analítico!$B82),-(Analítico!M$3&gt;='Gastos Gerais'!$D$4:$D$3143),-(Analítico!M$3&lt;='Gastos Gerais'!$E$4:$E$3143),-('Gastos Gerais'!$C$4:$C$3143))</f>
        <v>0</v>
      </c>
      <c r="N82" s="134">
        <f>SUMPRODUCT(-('Gastos Gerais'!$B$4:$B$3143=Analítico!$B82),-(Analítico!N$3&gt;='Gastos Gerais'!$D$4:$D$3143),-(Analítico!N$3&lt;='Gastos Gerais'!$E$4:$E$3143),-('Gastos Gerais'!$C$4:$C$3143))</f>
        <v>0</v>
      </c>
      <c r="O82" s="134">
        <f>SUMPRODUCT(-('Gastos Gerais'!$B$4:$B$3143=Analítico!$B82),-(Analítico!O$3&gt;='Gastos Gerais'!$D$4:$D$3143),-(Analítico!O$3&lt;='Gastos Gerais'!$E$4:$E$3143),-('Gastos Gerais'!$C$4:$C$3143))</f>
        <v>0</v>
      </c>
      <c r="P82" s="134">
        <f>SUMPRODUCT(-('Gastos Gerais'!$B$4:$B$3143=Analítico!$B82),-(Analítico!P$3&gt;='Gastos Gerais'!$D$4:$D$3143),-(Analítico!P$3&lt;='Gastos Gerais'!$E$4:$E$3143),-('Gastos Gerais'!$C$4:$C$3143))</f>
        <v>0</v>
      </c>
      <c r="Q82" s="134">
        <f>SUMPRODUCT(-('Gastos Gerais'!$B$4:$B$3143=Analítico!$B82),-(Analítico!Q$3&gt;='Gastos Gerais'!$D$4:$D$3143),-(Analítico!Q$3&lt;='Gastos Gerais'!$E$4:$E$3143),-('Gastos Gerais'!$C$4:$C$3143))</f>
        <v>0</v>
      </c>
      <c r="R82" s="134">
        <f>SUMPRODUCT(-('Gastos Gerais'!$B$4:$B$3143=Analítico!$B82),-(Analítico!R$3&gt;='Gastos Gerais'!$D$4:$D$3143),-(Analítico!R$3&lt;='Gastos Gerais'!$E$4:$E$3143),-('Gastos Gerais'!$C$4:$C$3143))</f>
        <v>0</v>
      </c>
      <c r="S82" s="134">
        <f>SUMPRODUCT(-('Gastos Gerais'!$B$4:$B$3143=Analítico!$B82),-(Analítico!S$3&gt;='Gastos Gerais'!$D$4:$D$3143),-(Analítico!S$3&lt;='Gastos Gerais'!$E$4:$E$3143),-('Gastos Gerais'!$C$4:$C$3143))</f>
        <v>0</v>
      </c>
      <c r="T82" s="134">
        <f>SUMPRODUCT(-('Gastos Gerais'!$B$4:$B$3143=Analítico!$B82),-(Analítico!T$3&gt;='Gastos Gerais'!$D$4:$D$3143),-(Analítico!T$3&lt;='Gastos Gerais'!$E$4:$E$3143),-('Gastos Gerais'!$C$4:$C$3143))</f>
        <v>0</v>
      </c>
      <c r="U82" s="134">
        <f>SUMPRODUCT(-('Gastos Gerais'!$B$4:$B$3143=Analítico!$B82),-(Analítico!U$3&gt;='Gastos Gerais'!$D$4:$D$3143),-(Analítico!U$3&lt;='Gastos Gerais'!$E$4:$E$3143),-('Gastos Gerais'!$C$4:$C$3143))</f>
        <v>0</v>
      </c>
      <c r="V82" s="134">
        <f>SUMPRODUCT(-('Gastos Gerais'!$B$4:$B$3143=Analítico!$B82),-(Analítico!V$3&gt;='Gastos Gerais'!$D$4:$D$3143),-(Analítico!V$3&lt;='Gastos Gerais'!$E$4:$E$3143),-('Gastos Gerais'!$C$4:$C$3143))</f>
        <v>0</v>
      </c>
      <c r="W82" s="134">
        <f>SUMPRODUCT(-('Gastos Gerais'!$B$4:$B$3143=Analítico!$B82),-(Analítico!W$3&gt;='Gastos Gerais'!$D$4:$D$3143),-(Analítico!W$3&lt;='Gastos Gerais'!$E$4:$E$3143),-('Gastos Gerais'!$C$4:$C$3143))</f>
        <v>0</v>
      </c>
      <c r="X82" s="134">
        <f>SUMPRODUCT(-('Gastos Gerais'!$B$4:$B$3143=Analítico!$B82),-(Analítico!X$3&gt;='Gastos Gerais'!$D$4:$D$3143),-(Analítico!X$3&lt;='Gastos Gerais'!$E$4:$E$3143),-('Gastos Gerais'!$C$4:$C$3143))</f>
        <v>0</v>
      </c>
      <c r="Y82" s="134">
        <f>SUMPRODUCT(-('Gastos Gerais'!$B$4:$B$3143=Analítico!$B82),-(Analítico!Y$3&gt;='Gastos Gerais'!$D$4:$D$3143),-(Analítico!Y$3&lt;='Gastos Gerais'!$E$4:$E$3143),-('Gastos Gerais'!$C$4:$C$3143))</f>
        <v>0</v>
      </c>
      <c r="Z82" s="134">
        <f>SUMPRODUCT(-('Gastos Gerais'!$B$4:$B$3143=Analítico!$B82),-(Analítico!Z$3&gt;='Gastos Gerais'!$D$4:$D$3143),-(Analítico!Z$3&lt;='Gastos Gerais'!$E$4:$E$3143),-('Gastos Gerais'!$C$4:$C$3143))</f>
        <v>0</v>
      </c>
      <c r="AA82" s="134">
        <f>SUMPRODUCT(-('Gastos Gerais'!$B$4:$B$3143=Analítico!$B82),-(Analítico!AA$3&gt;='Gastos Gerais'!$D$4:$D$3143),-(Analítico!AA$3&lt;='Gastos Gerais'!$E$4:$E$3143),-('Gastos Gerais'!$C$4:$C$3143))</f>
        <v>0</v>
      </c>
      <c r="AB82" s="134">
        <f>SUMPRODUCT(-('Gastos Gerais'!$B$4:$B$3143=Analítico!$B82),-(Analítico!AB$3&gt;='Gastos Gerais'!$D$4:$D$3143),-(Analítico!AB$3&lt;='Gastos Gerais'!$E$4:$E$3143),-('Gastos Gerais'!$C$4:$C$3143))</f>
        <v>0</v>
      </c>
      <c r="AC82" s="134">
        <f>SUMPRODUCT(-('Gastos Gerais'!$B$4:$B$3143=Analítico!$B82),-(Analítico!AC$3&gt;='Gastos Gerais'!$D$4:$D$3143),-(Analítico!AC$3&lt;='Gastos Gerais'!$E$4:$E$3143),-('Gastos Gerais'!$C$4:$C$3143))</f>
        <v>0</v>
      </c>
      <c r="AD82" s="134">
        <f>SUMPRODUCT(-('Gastos Gerais'!$B$4:$B$3143=Analítico!$B82),-(Analítico!AD$3&gt;='Gastos Gerais'!$D$4:$D$3143),-(Analítico!AD$3&lt;='Gastos Gerais'!$E$4:$E$3143),-('Gastos Gerais'!$C$4:$C$3143))</f>
        <v>0</v>
      </c>
      <c r="AE82" s="134">
        <f>SUMPRODUCT(-('Gastos Gerais'!$B$4:$B$3143=Analítico!$B82),-(Analítico!AE$3&gt;='Gastos Gerais'!$D$4:$D$3143),-(Analítico!AE$3&lt;='Gastos Gerais'!$E$4:$E$3143),-('Gastos Gerais'!$C$4:$C$3143))</f>
        <v>0</v>
      </c>
      <c r="AF82" s="134">
        <f>SUMPRODUCT(-('Gastos Gerais'!$B$4:$B$3143=Analítico!$B82),-(Analítico!AF$3&gt;='Gastos Gerais'!$D$4:$D$3143),-(Analítico!AF$3&lt;='Gastos Gerais'!$E$4:$E$3143),-('Gastos Gerais'!$C$4:$C$3143))</f>
        <v>0</v>
      </c>
      <c r="AG82" s="134">
        <f>SUMPRODUCT(-('Gastos Gerais'!$B$4:$B$3143=Analítico!$B82),-(Analítico!AG$3&gt;='Gastos Gerais'!$D$4:$D$3143),-(Analítico!AG$3&lt;='Gastos Gerais'!$E$4:$E$3143),-('Gastos Gerais'!$C$4:$C$3143))</f>
        <v>0</v>
      </c>
      <c r="AH82" s="134">
        <f>SUMPRODUCT(-('Gastos Gerais'!$B$4:$B$3143=Analítico!$B82),-(Analítico!AH$3&gt;='Gastos Gerais'!$D$4:$D$3143),-(Analítico!AH$3&lt;='Gastos Gerais'!$E$4:$E$3143),-('Gastos Gerais'!$C$4:$C$3143))</f>
        <v>0</v>
      </c>
      <c r="AI82" s="134">
        <f>SUMPRODUCT(-('Gastos Gerais'!$B$4:$B$3143=Analítico!$B82),-(Analítico!AI$3&gt;='Gastos Gerais'!$D$4:$D$3143),-(Analítico!AI$3&lt;='Gastos Gerais'!$E$4:$E$3143),-('Gastos Gerais'!$C$4:$C$3143))</f>
        <v>0</v>
      </c>
      <c r="AJ82" s="134">
        <f>SUMPRODUCT(-('Gastos Gerais'!$B$4:$B$3143=Analítico!$B82),-(Analítico!AJ$3&gt;='Gastos Gerais'!$D$4:$D$3143),-(Analítico!AJ$3&lt;='Gastos Gerais'!$E$4:$E$3143),-('Gastos Gerais'!$C$4:$C$3143))</f>
        <v>0</v>
      </c>
      <c r="AK82" s="134">
        <f>SUMPRODUCT(-('Gastos Gerais'!$B$4:$B$3143=Analítico!$B82),-(Analítico!AK$3&gt;='Gastos Gerais'!$D$4:$D$3143),-(Analítico!AK$3&lt;='Gastos Gerais'!$E$4:$E$3143),-('Gastos Gerais'!$C$4:$C$3143))</f>
        <v>0</v>
      </c>
      <c r="AL82" s="134">
        <f>SUMPRODUCT(-('Gastos Gerais'!$B$4:$B$3143=Analítico!$B82),-(Analítico!AL$3&gt;='Gastos Gerais'!$D$4:$D$3143),-(Analítico!AL$3&lt;='Gastos Gerais'!$E$4:$E$3143),-('Gastos Gerais'!$C$4:$C$3143))</f>
        <v>0</v>
      </c>
      <c r="AM82" s="134">
        <f>SUMPRODUCT(-('Gastos Gerais'!$B$4:$B$3143=Analítico!$B82),-(Analítico!AM$3&gt;='Gastos Gerais'!$D$4:$D$3143),-(Analítico!AM$3&lt;='Gastos Gerais'!$E$4:$E$3143),-('Gastos Gerais'!$C$4:$C$3143))</f>
        <v>0</v>
      </c>
      <c r="AN82" s="134">
        <f>SUMPRODUCT(-('Gastos Gerais'!$B$4:$B$3143=Analítico!$B82),-(Analítico!AN$3&gt;='Gastos Gerais'!$D$4:$D$3143),-(Analítico!AN$3&lt;='Gastos Gerais'!$E$4:$E$3143),-('Gastos Gerais'!$C$4:$C$3143))</f>
        <v>0</v>
      </c>
      <c r="AO82" s="134">
        <f>SUMPRODUCT(-('Gastos Gerais'!$B$4:$B$3143=Analítico!$B82),-(Analítico!AO$3&gt;='Gastos Gerais'!$D$4:$D$3143),-(Analítico!AO$3&lt;='Gastos Gerais'!$E$4:$E$3143),-('Gastos Gerais'!$C$4:$C$3143))</f>
        <v>0</v>
      </c>
      <c r="AP82" s="134">
        <f>SUMPRODUCT(-('Gastos Gerais'!$B$4:$B$3143=Analítico!$B82),-(Analítico!AP$3&gt;='Gastos Gerais'!$D$4:$D$3143),-(Analítico!AP$3&lt;='Gastos Gerais'!$E$4:$E$3143),-('Gastos Gerais'!$C$4:$C$3143))</f>
        <v>0</v>
      </c>
      <c r="AQ82" s="134">
        <f>SUMPRODUCT(-('Gastos Gerais'!$B$4:$B$3143=Analítico!$B82),-(Analítico!AQ$3&gt;='Gastos Gerais'!$D$4:$D$3143),-(Analítico!AQ$3&lt;='Gastos Gerais'!$E$4:$E$3143),-('Gastos Gerais'!$C$4:$C$3143))</f>
        <v>0</v>
      </c>
      <c r="AR82" s="134">
        <f>SUMPRODUCT(-('Gastos Gerais'!$B$4:$B$3143=Analítico!$B82),-(Analítico!AR$3&gt;='Gastos Gerais'!$D$4:$D$3143),-(Analítico!AR$3&lt;='Gastos Gerais'!$E$4:$E$3143),-('Gastos Gerais'!$C$4:$C$3143))</f>
        <v>0</v>
      </c>
      <c r="AS82" s="134">
        <f>SUMPRODUCT(-('Gastos Gerais'!$B$4:$B$3143=Analítico!$B82),-(Analítico!AS$3&gt;='Gastos Gerais'!$D$4:$D$3143),-(Analítico!AS$3&lt;='Gastos Gerais'!$E$4:$E$3143),-('Gastos Gerais'!$C$4:$C$3143))</f>
        <v>0</v>
      </c>
      <c r="AT82" s="134">
        <f>SUMPRODUCT(-('Gastos Gerais'!$B$4:$B$3143=Analítico!$B82),-(Analítico!AT$3&gt;='Gastos Gerais'!$D$4:$D$3143),-(Analítico!AT$3&lt;='Gastos Gerais'!$E$4:$E$3143),-('Gastos Gerais'!$C$4:$C$3143))</f>
        <v>1000</v>
      </c>
      <c r="AU82" s="134">
        <f>SUMPRODUCT(-('Gastos Gerais'!$B$4:$B$3143=Analítico!$B82),-(Analítico!AU$3&gt;='Gastos Gerais'!$D$4:$D$3143),-(Analítico!AU$3&lt;='Gastos Gerais'!$E$4:$E$3143),-('Gastos Gerais'!$C$4:$C$3143))</f>
        <v>1000</v>
      </c>
      <c r="AV82" s="134">
        <f>SUMPRODUCT(-('Gastos Gerais'!$B$4:$B$3143=Analítico!$B82),-(Analítico!AV$3&gt;='Gastos Gerais'!$D$4:$D$3143),-(Analítico!AV$3&lt;='Gastos Gerais'!$E$4:$E$3143),-('Gastos Gerais'!$C$4:$C$3143))</f>
        <v>1000</v>
      </c>
      <c r="AW82" s="134">
        <f>SUMPRODUCT(-('Gastos Gerais'!$B$4:$B$3143=Analítico!$B82),-(Analítico!AW$3&gt;='Gastos Gerais'!$D$4:$D$3143),-(Analítico!AW$3&lt;='Gastos Gerais'!$E$4:$E$3143),-('Gastos Gerais'!$C$4:$C$3143))</f>
        <v>1000</v>
      </c>
      <c r="AX82" s="134">
        <f>SUMPRODUCT(-('Gastos Gerais'!$B$4:$B$3143=Analítico!$B82),-(Analítico!AX$3&gt;='Gastos Gerais'!$D$4:$D$3143),-(Analítico!AX$3&lt;='Gastos Gerais'!$E$4:$E$3143),-('Gastos Gerais'!$C$4:$C$3143))</f>
        <v>0</v>
      </c>
      <c r="AY82" s="134">
        <f>SUMPRODUCT(-('Gastos Gerais'!$B$4:$B$3143=Analítico!$B82),-(Analítico!AY$3&gt;='Gastos Gerais'!$D$4:$D$3143),-(Analítico!AY$3&lt;='Gastos Gerais'!$E$4:$E$3143),-('Gastos Gerais'!$C$4:$C$3143))</f>
        <v>0</v>
      </c>
      <c r="AZ82" s="134">
        <f>SUMPRODUCT(-('Gastos Gerais'!$B$4:$B$3143=Analítico!$B82),-(Analítico!AZ$3&gt;='Gastos Gerais'!$D$4:$D$3143),-(Analítico!AZ$3&lt;='Gastos Gerais'!$E$4:$E$3143),-('Gastos Gerais'!$C$4:$C$3143))</f>
        <v>0</v>
      </c>
      <c r="BA82" s="134">
        <f>SUMPRODUCT(-('Gastos Gerais'!$B$4:$B$3143=Analítico!$B82),-(Analítico!BA$3&gt;='Gastos Gerais'!$D$4:$D$3143),-(Analítico!BA$3&lt;='Gastos Gerais'!$E$4:$E$3143),-('Gastos Gerais'!$C$4:$C$3143))</f>
        <v>0</v>
      </c>
      <c r="BB82" s="134">
        <f>SUMPRODUCT(-('Gastos Gerais'!$B$4:$B$3143=Analítico!$B82),-(Analítico!BB$3&gt;='Gastos Gerais'!$D$4:$D$3143),-(Analítico!BB$3&lt;='Gastos Gerais'!$E$4:$E$3143),-('Gastos Gerais'!$C$4:$C$3143))</f>
        <v>0</v>
      </c>
      <c r="BC82" s="134">
        <f>SUMPRODUCT(-('Gastos Gerais'!$B$4:$B$3143=Analítico!$B82),-(Analítico!BC$3&gt;='Gastos Gerais'!$D$4:$D$3143),-(Analítico!BC$3&lt;='Gastos Gerais'!$E$4:$E$3143),-('Gastos Gerais'!$C$4:$C$3143))</f>
        <v>0</v>
      </c>
      <c r="BD82" s="134">
        <f>SUMPRODUCT(-('Gastos Gerais'!$B$4:$B$3143=Analítico!$B82),-(Analítico!BD$3&gt;='Gastos Gerais'!$D$4:$D$3143),-(Analítico!BD$3&lt;='Gastos Gerais'!$E$4:$E$3143),-('Gastos Gerais'!$C$4:$C$3143))</f>
        <v>0</v>
      </c>
      <c r="BE82" s="134">
        <f>SUMPRODUCT(-('Gastos Gerais'!$B$4:$B$3143=Analítico!$B82),-(Analítico!BE$3&gt;='Gastos Gerais'!$D$4:$D$3143),-(Analítico!BE$3&lt;='Gastos Gerais'!$E$4:$E$3143),-('Gastos Gerais'!$C$4:$C$3143))</f>
        <v>0</v>
      </c>
      <c r="BF82" s="134">
        <f>SUMPRODUCT(-('Gastos Gerais'!$B$4:$B$3143=Analítico!$B82),-(Analítico!BF$3&gt;='Gastos Gerais'!$D$4:$D$3143),-(Analítico!BF$3&lt;='Gastos Gerais'!$E$4:$E$3143),-('Gastos Gerais'!$C$4:$C$3143))</f>
        <v>0</v>
      </c>
      <c r="BG82" s="134">
        <f>SUMPRODUCT(-('Gastos Gerais'!$B$4:$B$3143=Analítico!$B82),-(Analítico!BG$3&gt;='Gastos Gerais'!$D$4:$D$3143),-(Analítico!BG$3&lt;='Gastos Gerais'!$E$4:$E$3143),-('Gastos Gerais'!$C$4:$C$3143))</f>
        <v>0</v>
      </c>
      <c r="BH82" s="134">
        <f>SUMPRODUCT(-('Gastos Gerais'!$B$4:$B$3143=Analítico!$B82),-(Analítico!BH$3&gt;='Gastos Gerais'!$D$4:$D$3143),-(Analítico!BH$3&lt;='Gastos Gerais'!$E$4:$E$3143),-('Gastos Gerais'!$C$4:$C$3143))</f>
        <v>0</v>
      </c>
      <c r="BI82" s="134">
        <f>SUMPRODUCT(-('Gastos Gerais'!$B$4:$B$3143=Analítico!$B82),-(Analítico!BI$3&gt;='Gastos Gerais'!$D$4:$D$3143),-(Analítico!BI$3&lt;='Gastos Gerais'!$E$4:$E$3143),-('Gastos Gerais'!$C$4:$C$3143))</f>
        <v>0</v>
      </c>
      <c r="BJ82" s="134">
        <f>SUMPRODUCT(-('Gastos Gerais'!$B$4:$B$3143=Analítico!$B82),-(Analítico!BJ$3&gt;='Gastos Gerais'!$D$4:$D$3143),-(Analítico!BJ$3&lt;='Gastos Gerais'!$E$4:$E$3143),-('Gastos Gerais'!$C$4:$C$3143))</f>
        <v>0</v>
      </c>
      <c r="BK82" s="189">
        <f t="shared" si="24"/>
        <v>4000</v>
      </c>
      <c r="BL82" s="136">
        <f t="shared" ca="1" si="25"/>
        <v>1.3771992437351823E-5</v>
      </c>
    </row>
    <row r="83" spans="1:64" s="160" customFormat="1" ht="23.25" customHeight="1">
      <c r="A83" s="229" t="s">
        <v>243</v>
      </c>
      <c r="B83" s="232" t="s">
        <v>244</v>
      </c>
      <c r="C83" s="188">
        <f>SUMPRODUCT(-('Gastos Gerais'!$B$4:$B$3143=Analítico!$B83),-(Analítico!C$3&gt;='Gastos Gerais'!$D$4:$D$3143),-(Analítico!C$3&lt;='Gastos Gerais'!$E$4:$E$3143),-('Gastos Gerais'!$C$4:$C$3143))</f>
        <v>4600</v>
      </c>
      <c r="D83" s="134">
        <f>SUMPRODUCT(-('Gastos Gerais'!$B$4:$B$3143=Analítico!$B83),-(Analítico!D$3&gt;='Gastos Gerais'!$D$4:$D$3143),-(Analítico!D$3&lt;='Gastos Gerais'!$E$4:$E$3143),-('Gastos Gerais'!$C$4:$C$3143))</f>
        <v>4600</v>
      </c>
      <c r="E83" s="134">
        <f>SUMPRODUCT(-('Gastos Gerais'!$B$4:$B$3143=Analítico!$B83),-(Analítico!E$3&gt;='Gastos Gerais'!$D$4:$D$3143),-(Analítico!E$3&lt;='Gastos Gerais'!$E$4:$E$3143),-('Gastos Gerais'!$C$4:$C$3143))</f>
        <v>4850</v>
      </c>
      <c r="F83" s="134">
        <f>SUMPRODUCT(-('Gastos Gerais'!$B$4:$B$3143=Analítico!$B83),-(Analítico!F$3&gt;='Gastos Gerais'!$D$4:$D$3143),-(Analítico!F$3&lt;='Gastos Gerais'!$E$4:$E$3143),-('Gastos Gerais'!$C$4:$C$3143))</f>
        <v>5100</v>
      </c>
      <c r="G83" s="134">
        <f>SUMPRODUCT(-('Gastos Gerais'!$B$4:$B$3143=Analítico!$B83),-(Analítico!G$3&gt;='Gastos Gerais'!$D$4:$D$3143),-(Analítico!G$3&lt;='Gastos Gerais'!$E$4:$E$3143),-('Gastos Gerais'!$C$4:$C$3143))</f>
        <v>5100</v>
      </c>
      <c r="H83" s="134">
        <f>SUMPRODUCT(-('Gastos Gerais'!$B$4:$B$3143=Analítico!$B83),-(Analítico!H$3&gt;='Gastos Gerais'!$D$4:$D$3143),-(Analítico!H$3&lt;='Gastos Gerais'!$E$4:$E$3143),-('Gastos Gerais'!$C$4:$C$3143))</f>
        <v>5100</v>
      </c>
      <c r="I83" s="134">
        <f>SUMPRODUCT(-('Gastos Gerais'!$B$4:$B$3143=Analítico!$B83),-(Analítico!I$3&gt;='Gastos Gerais'!$D$4:$D$3143),-(Analítico!I$3&lt;='Gastos Gerais'!$E$4:$E$3143),-('Gastos Gerais'!$C$4:$C$3143))</f>
        <v>5350</v>
      </c>
      <c r="J83" s="134">
        <f>SUMPRODUCT(-('Gastos Gerais'!$B$4:$B$3143=Analítico!$B83),-(Analítico!J$3&gt;='Gastos Gerais'!$D$4:$D$3143),-(Analítico!J$3&lt;='Gastos Gerais'!$E$4:$E$3143),-('Gastos Gerais'!$C$4:$C$3143))</f>
        <v>5350</v>
      </c>
      <c r="K83" s="134">
        <f>SUMPRODUCT(-('Gastos Gerais'!$B$4:$B$3143=Analítico!$B83),-(Analítico!K$3&gt;='Gastos Gerais'!$D$4:$D$3143),-(Analítico!K$3&lt;='Gastos Gerais'!$E$4:$E$3143),-('Gastos Gerais'!$C$4:$C$3143))</f>
        <v>5350</v>
      </c>
      <c r="L83" s="134">
        <f>SUMPRODUCT(-('Gastos Gerais'!$B$4:$B$3143=Analítico!$B83),-(Analítico!L$3&gt;='Gastos Gerais'!$D$4:$D$3143),-(Analítico!L$3&lt;='Gastos Gerais'!$E$4:$E$3143),-('Gastos Gerais'!$C$4:$C$3143))</f>
        <v>5600</v>
      </c>
      <c r="M83" s="134">
        <f>SUMPRODUCT(-('Gastos Gerais'!$B$4:$B$3143=Analítico!$B83),-(Analítico!M$3&gt;='Gastos Gerais'!$D$4:$D$3143),-(Analítico!M$3&lt;='Gastos Gerais'!$E$4:$E$3143),-('Gastos Gerais'!$C$4:$C$3143))</f>
        <v>5600</v>
      </c>
      <c r="N83" s="134">
        <f>SUMPRODUCT(-('Gastos Gerais'!$B$4:$B$3143=Analítico!$B83),-(Analítico!N$3&gt;='Gastos Gerais'!$D$4:$D$3143),-(Analítico!N$3&lt;='Gastos Gerais'!$E$4:$E$3143),-('Gastos Gerais'!$C$4:$C$3143))</f>
        <v>5600</v>
      </c>
      <c r="O83" s="134">
        <f>SUMPRODUCT(-('Gastos Gerais'!$B$4:$B$3143=Analítico!$B83),-(Analítico!O$3&gt;='Gastos Gerais'!$D$4:$D$3143),-(Analítico!O$3&lt;='Gastos Gerais'!$E$4:$E$3143),-('Gastos Gerais'!$C$4:$C$3143))</f>
        <v>5600</v>
      </c>
      <c r="P83" s="134">
        <f>SUMPRODUCT(-('Gastos Gerais'!$B$4:$B$3143=Analítico!$B83),-(Analítico!P$3&gt;='Gastos Gerais'!$D$4:$D$3143),-(Analítico!P$3&lt;='Gastos Gerais'!$E$4:$E$3143),-('Gastos Gerais'!$C$4:$C$3143))</f>
        <v>5600</v>
      </c>
      <c r="Q83" s="134">
        <f>SUMPRODUCT(-('Gastos Gerais'!$B$4:$B$3143=Analítico!$B83),-(Analítico!Q$3&gt;='Gastos Gerais'!$D$4:$D$3143),-(Analítico!Q$3&lt;='Gastos Gerais'!$E$4:$E$3143),-('Gastos Gerais'!$C$4:$C$3143))</f>
        <v>5600</v>
      </c>
      <c r="R83" s="134">
        <f>SUMPRODUCT(-('Gastos Gerais'!$B$4:$B$3143=Analítico!$B83),-(Analítico!R$3&gt;='Gastos Gerais'!$D$4:$D$3143),-(Analítico!R$3&lt;='Gastos Gerais'!$E$4:$E$3143),-('Gastos Gerais'!$C$4:$C$3143))</f>
        <v>5600</v>
      </c>
      <c r="S83" s="134">
        <f>SUMPRODUCT(-('Gastos Gerais'!$B$4:$B$3143=Analítico!$B83),-(Analítico!S$3&gt;='Gastos Gerais'!$D$4:$D$3143),-(Analítico!S$3&lt;='Gastos Gerais'!$E$4:$E$3143),-('Gastos Gerais'!$C$4:$C$3143))</f>
        <v>5600</v>
      </c>
      <c r="T83" s="134">
        <f>SUMPRODUCT(-('Gastos Gerais'!$B$4:$B$3143=Analítico!$B83),-(Analítico!T$3&gt;='Gastos Gerais'!$D$4:$D$3143),-(Analítico!T$3&lt;='Gastos Gerais'!$E$4:$E$3143),-('Gastos Gerais'!$C$4:$C$3143))</f>
        <v>5600</v>
      </c>
      <c r="U83" s="134">
        <f>SUMPRODUCT(-('Gastos Gerais'!$B$4:$B$3143=Analítico!$B83),-(Analítico!U$3&gt;='Gastos Gerais'!$D$4:$D$3143),-(Analítico!U$3&lt;='Gastos Gerais'!$E$4:$E$3143),-('Gastos Gerais'!$C$4:$C$3143))</f>
        <v>5600</v>
      </c>
      <c r="V83" s="134">
        <f>SUMPRODUCT(-('Gastos Gerais'!$B$4:$B$3143=Analítico!$B83),-(Analítico!V$3&gt;='Gastos Gerais'!$D$4:$D$3143),-(Analítico!V$3&lt;='Gastos Gerais'!$E$4:$E$3143),-('Gastos Gerais'!$C$4:$C$3143))</f>
        <v>5600</v>
      </c>
      <c r="W83" s="134">
        <f>SUMPRODUCT(-('Gastos Gerais'!$B$4:$B$3143=Analítico!$B83),-(Analítico!W$3&gt;='Gastos Gerais'!$D$4:$D$3143),-(Analítico!W$3&lt;='Gastos Gerais'!$E$4:$E$3143),-('Gastos Gerais'!$C$4:$C$3143))</f>
        <v>5600</v>
      </c>
      <c r="X83" s="134">
        <f>SUMPRODUCT(-('Gastos Gerais'!$B$4:$B$3143=Analítico!$B83),-(Analítico!X$3&gt;='Gastos Gerais'!$D$4:$D$3143),-(Analítico!X$3&lt;='Gastos Gerais'!$E$4:$E$3143),-('Gastos Gerais'!$C$4:$C$3143))</f>
        <v>5600</v>
      </c>
      <c r="Y83" s="134">
        <f>SUMPRODUCT(-('Gastos Gerais'!$B$4:$B$3143=Analítico!$B83),-(Analítico!Y$3&gt;='Gastos Gerais'!$D$4:$D$3143),-(Analítico!Y$3&lt;='Gastos Gerais'!$E$4:$E$3143),-('Gastos Gerais'!$C$4:$C$3143))</f>
        <v>5600</v>
      </c>
      <c r="Z83" s="134">
        <f>SUMPRODUCT(-('Gastos Gerais'!$B$4:$B$3143=Analítico!$B83),-(Analítico!Z$3&gt;='Gastos Gerais'!$D$4:$D$3143),-(Analítico!Z$3&lt;='Gastos Gerais'!$E$4:$E$3143),-('Gastos Gerais'!$C$4:$C$3143))</f>
        <v>5600</v>
      </c>
      <c r="AA83" s="134">
        <f>SUMPRODUCT(-('Gastos Gerais'!$B$4:$B$3143=Analítico!$B83),-(Analítico!AA$3&gt;='Gastos Gerais'!$D$4:$D$3143),-(Analítico!AA$3&lt;='Gastos Gerais'!$E$4:$E$3143),-('Gastos Gerais'!$C$4:$C$3143))</f>
        <v>5600</v>
      </c>
      <c r="AB83" s="134">
        <f>SUMPRODUCT(-('Gastos Gerais'!$B$4:$B$3143=Analítico!$B83),-(Analítico!AB$3&gt;='Gastos Gerais'!$D$4:$D$3143),-(Analítico!AB$3&lt;='Gastos Gerais'!$E$4:$E$3143),-('Gastos Gerais'!$C$4:$C$3143))</f>
        <v>5600</v>
      </c>
      <c r="AC83" s="134">
        <f>SUMPRODUCT(-('Gastos Gerais'!$B$4:$B$3143=Analítico!$B83),-(Analítico!AC$3&gt;='Gastos Gerais'!$D$4:$D$3143),-(Analítico!AC$3&lt;='Gastos Gerais'!$E$4:$E$3143),-('Gastos Gerais'!$C$4:$C$3143))</f>
        <v>5600</v>
      </c>
      <c r="AD83" s="134">
        <f>SUMPRODUCT(-('Gastos Gerais'!$B$4:$B$3143=Analítico!$B83),-(Analítico!AD$3&gt;='Gastos Gerais'!$D$4:$D$3143),-(Analítico!AD$3&lt;='Gastos Gerais'!$E$4:$E$3143),-('Gastos Gerais'!$C$4:$C$3143))</f>
        <v>5600</v>
      </c>
      <c r="AE83" s="134">
        <f>SUMPRODUCT(-('Gastos Gerais'!$B$4:$B$3143=Analítico!$B83),-(Analítico!AE$3&gt;='Gastos Gerais'!$D$4:$D$3143),-(Analítico!AE$3&lt;='Gastos Gerais'!$E$4:$E$3143),-('Gastos Gerais'!$C$4:$C$3143))</f>
        <v>5600</v>
      </c>
      <c r="AF83" s="134">
        <f>SUMPRODUCT(-('Gastos Gerais'!$B$4:$B$3143=Analítico!$B83),-(Analítico!AF$3&gt;='Gastos Gerais'!$D$4:$D$3143),-(Analítico!AF$3&lt;='Gastos Gerais'!$E$4:$E$3143),-('Gastos Gerais'!$C$4:$C$3143))</f>
        <v>5600</v>
      </c>
      <c r="AG83" s="134">
        <f>SUMPRODUCT(-('Gastos Gerais'!$B$4:$B$3143=Analítico!$B83),-(Analítico!AG$3&gt;='Gastos Gerais'!$D$4:$D$3143),-(Analítico!AG$3&lt;='Gastos Gerais'!$E$4:$E$3143),-('Gastos Gerais'!$C$4:$C$3143))</f>
        <v>5600</v>
      </c>
      <c r="AH83" s="134">
        <f>SUMPRODUCT(-('Gastos Gerais'!$B$4:$B$3143=Analítico!$B83),-(Analítico!AH$3&gt;='Gastos Gerais'!$D$4:$D$3143),-(Analítico!AH$3&lt;='Gastos Gerais'!$E$4:$E$3143),-('Gastos Gerais'!$C$4:$C$3143))</f>
        <v>5600</v>
      </c>
      <c r="AI83" s="134">
        <f>SUMPRODUCT(-('Gastos Gerais'!$B$4:$B$3143=Analítico!$B83),-(Analítico!AI$3&gt;='Gastos Gerais'!$D$4:$D$3143),-(Analítico!AI$3&lt;='Gastos Gerais'!$E$4:$E$3143),-('Gastos Gerais'!$C$4:$C$3143))</f>
        <v>5600</v>
      </c>
      <c r="AJ83" s="134">
        <f>SUMPRODUCT(-('Gastos Gerais'!$B$4:$B$3143=Analítico!$B83),-(Analítico!AJ$3&gt;='Gastos Gerais'!$D$4:$D$3143),-(Analítico!AJ$3&lt;='Gastos Gerais'!$E$4:$E$3143),-('Gastos Gerais'!$C$4:$C$3143))</f>
        <v>5600</v>
      </c>
      <c r="AK83" s="134">
        <f>SUMPRODUCT(-('Gastos Gerais'!$B$4:$B$3143=Analítico!$B83),-(Analítico!AK$3&gt;='Gastos Gerais'!$D$4:$D$3143),-(Analítico!AK$3&lt;='Gastos Gerais'!$E$4:$E$3143),-('Gastos Gerais'!$C$4:$C$3143))</f>
        <v>5600</v>
      </c>
      <c r="AL83" s="134">
        <f>SUMPRODUCT(-('Gastos Gerais'!$B$4:$B$3143=Analítico!$B83),-(Analítico!AL$3&gt;='Gastos Gerais'!$D$4:$D$3143),-(Analítico!AL$3&lt;='Gastos Gerais'!$E$4:$E$3143),-('Gastos Gerais'!$C$4:$C$3143))</f>
        <v>5600</v>
      </c>
      <c r="AM83" s="134">
        <f>SUMPRODUCT(-('Gastos Gerais'!$B$4:$B$3143=Analítico!$B83),-(Analítico!AM$3&gt;='Gastos Gerais'!$D$4:$D$3143),-(Analítico!AM$3&lt;='Gastos Gerais'!$E$4:$E$3143),-('Gastos Gerais'!$C$4:$C$3143))</f>
        <v>2975</v>
      </c>
      <c r="AN83" s="134">
        <f>SUMPRODUCT(-('Gastos Gerais'!$B$4:$B$3143=Analítico!$B83),-(Analítico!AN$3&gt;='Gastos Gerais'!$D$4:$D$3143),-(Analítico!AN$3&lt;='Gastos Gerais'!$E$4:$E$3143),-('Gastos Gerais'!$C$4:$C$3143))</f>
        <v>2975</v>
      </c>
      <c r="AO83" s="134">
        <f>SUMPRODUCT(-('Gastos Gerais'!$B$4:$B$3143=Analítico!$B83),-(Analítico!AO$3&gt;='Gastos Gerais'!$D$4:$D$3143),-(Analítico!AO$3&lt;='Gastos Gerais'!$E$4:$E$3143),-('Gastos Gerais'!$C$4:$C$3143))</f>
        <v>2975</v>
      </c>
      <c r="AP83" s="134">
        <f>SUMPRODUCT(-('Gastos Gerais'!$B$4:$B$3143=Analítico!$B83),-(Analítico!AP$3&gt;='Gastos Gerais'!$D$4:$D$3143),-(Analítico!AP$3&lt;='Gastos Gerais'!$E$4:$E$3143),-('Gastos Gerais'!$C$4:$C$3143))</f>
        <v>2975</v>
      </c>
      <c r="AQ83" s="134">
        <f>SUMPRODUCT(-('Gastos Gerais'!$B$4:$B$3143=Analítico!$B83),-(Analítico!AQ$3&gt;='Gastos Gerais'!$D$4:$D$3143),-(Analítico!AQ$3&lt;='Gastos Gerais'!$E$4:$E$3143),-('Gastos Gerais'!$C$4:$C$3143))</f>
        <v>2975</v>
      </c>
      <c r="AR83" s="134">
        <f>SUMPRODUCT(-('Gastos Gerais'!$B$4:$B$3143=Analítico!$B83),-(Analítico!AR$3&gt;='Gastos Gerais'!$D$4:$D$3143),-(Analítico!AR$3&lt;='Gastos Gerais'!$E$4:$E$3143),-('Gastos Gerais'!$C$4:$C$3143))</f>
        <v>2975</v>
      </c>
      <c r="AS83" s="134">
        <f>SUMPRODUCT(-('Gastos Gerais'!$B$4:$B$3143=Analítico!$B83),-(Analítico!AS$3&gt;='Gastos Gerais'!$D$4:$D$3143),-(Analítico!AS$3&lt;='Gastos Gerais'!$E$4:$E$3143),-('Gastos Gerais'!$C$4:$C$3143))</f>
        <v>2975</v>
      </c>
      <c r="AT83" s="134">
        <f>SUMPRODUCT(-('Gastos Gerais'!$B$4:$B$3143=Analítico!$B83),-(Analítico!AT$3&gt;='Gastos Gerais'!$D$4:$D$3143),-(Analítico!AT$3&lt;='Gastos Gerais'!$E$4:$E$3143),-('Gastos Gerais'!$C$4:$C$3143))</f>
        <v>2975</v>
      </c>
      <c r="AU83" s="134">
        <f>SUMPRODUCT(-('Gastos Gerais'!$B$4:$B$3143=Analítico!$B83),-(Analítico!AU$3&gt;='Gastos Gerais'!$D$4:$D$3143),-(Analítico!AU$3&lt;='Gastos Gerais'!$E$4:$E$3143),-('Gastos Gerais'!$C$4:$C$3143))</f>
        <v>2975</v>
      </c>
      <c r="AV83" s="134">
        <f>SUMPRODUCT(-('Gastos Gerais'!$B$4:$B$3143=Analítico!$B83),-(Analítico!AV$3&gt;='Gastos Gerais'!$D$4:$D$3143),-(Analítico!AV$3&lt;='Gastos Gerais'!$E$4:$E$3143),-('Gastos Gerais'!$C$4:$C$3143))</f>
        <v>2975</v>
      </c>
      <c r="AW83" s="134">
        <f>SUMPRODUCT(-('Gastos Gerais'!$B$4:$B$3143=Analítico!$B83),-(Analítico!AW$3&gt;='Gastos Gerais'!$D$4:$D$3143),-(Analítico!AW$3&lt;='Gastos Gerais'!$E$4:$E$3143),-('Gastos Gerais'!$C$4:$C$3143))</f>
        <v>2850</v>
      </c>
      <c r="AX83" s="134">
        <f>SUMPRODUCT(-('Gastos Gerais'!$B$4:$B$3143=Analítico!$B83),-(Analítico!AX$3&gt;='Gastos Gerais'!$D$4:$D$3143),-(Analítico!AX$3&lt;='Gastos Gerais'!$E$4:$E$3143),-('Gastos Gerais'!$C$4:$C$3143))</f>
        <v>0</v>
      </c>
      <c r="AY83" s="134">
        <f>SUMPRODUCT(-('Gastos Gerais'!$B$4:$B$3143=Analítico!$B83),-(Analítico!AY$3&gt;='Gastos Gerais'!$D$4:$D$3143),-(Analítico!AY$3&lt;='Gastos Gerais'!$E$4:$E$3143),-('Gastos Gerais'!$C$4:$C$3143))</f>
        <v>0</v>
      </c>
      <c r="AZ83" s="134">
        <f>SUMPRODUCT(-('Gastos Gerais'!$B$4:$B$3143=Analítico!$B83),-(Analítico!AZ$3&gt;='Gastos Gerais'!$D$4:$D$3143),-(Analítico!AZ$3&lt;='Gastos Gerais'!$E$4:$E$3143),-('Gastos Gerais'!$C$4:$C$3143))</f>
        <v>0</v>
      </c>
      <c r="BA83" s="134">
        <f>SUMPRODUCT(-('Gastos Gerais'!$B$4:$B$3143=Analítico!$B83),-(Analítico!BA$3&gt;='Gastos Gerais'!$D$4:$D$3143),-(Analítico!BA$3&lt;='Gastos Gerais'!$E$4:$E$3143),-('Gastos Gerais'!$C$4:$C$3143))</f>
        <v>0</v>
      </c>
      <c r="BB83" s="134">
        <f>SUMPRODUCT(-('Gastos Gerais'!$B$4:$B$3143=Analítico!$B83),-(Analítico!BB$3&gt;='Gastos Gerais'!$D$4:$D$3143),-(Analítico!BB$3&lt;='Gastos Gerais'!$E$4:$E$3143),-('Gastos Gerais'!$C$4:$C$3143))</f>
        <v>0</v>
      </c>
      <c r="BC83" s="134">
        <f>SUMPRODUCT(-('Gastos Gerais'!$B$4:$B$3143=Analítico!$B83),-(Analítico!BC$3&gt;='Gastos Gerais'!$D$4:$D$3143),-(Analítico!BC$3&lt;='Gastos Gerais'!$E$4:$E$3143),-('Gastos Gerais'!$C$4:$C$3143))</f>
        <v>0</v>
      </c>
      <c r="BD83" s="134">
        <f>SUMPRODUCT(-('Gastos Gerais'!$B$4:$B$3143=Analítico!$B83),-(Analítico!BD$3&gt;='Gastos Gerais'!$D$4:$D$3143),-(Analítico!BD$3&lt;='Gastos Gerais'!$E$4:$E$3143),-('Gastos Gerais'!$C$4:$C$3143))</f>
        <v>0</v>
      </c>
      <c r="BE83" s="134">
        <f>SUMPRODUCT(-('Gastos Gerais'!$B$4:$B$3143=Analítico!$B83),-(Analítico!BE$3&gt;='Gastos Gerais'!$D$4:$D$3143),-(Analítico!BE$3&lt;='Gastos Gerais'!$E$4:$E$3143),-('Gastos Gerais'!$C$4:$C$3143))</f>
        <v>0</v>
      </c>
      <c r="BF83" s="134">
        <f>SUMPRODUCT(-('Gastos Gerais'!$B$4:$B$3143=Analítico!$B83),-(Analítico!BF$3&gt;='Gastos Gerais'!$D$4:$D$3143),-(Analítico!BF$3&lt;='Gastos Gerais'!$E$4:$E$3143),-('Gastos Gerais'!$C$4:$C$3143))</f>
        <v>0</v>
      </c>
      <c r="BG83" s="134">
        <f>SUMPRODUCT(-('Gastos Gerais'!$B$4:$B$3143=Analítico!$B83),-(Analítico!BG$3&gt;='Gastos Gerais'!$D$4:$D$3143),-(Analítico!BG$3&lt;='Gastos Gerais'!$E$4:$E$3143),-('Gastos Gerais'!$C$4:$C$3143))</f>
        <v>0</v>
      </c>
      <c r="BH83" s="134">
        <f>SUMPRODUCT(-('Gastos Gerais'!$B$4:$B$3143=Analítico!$B83),-(Analítico!BH$3&gt;='Gastos Gerais'!$D$4:$D$3143),-(Analítico!BH$3&lt;='Gastos Gerais'!$E$4:$E$3143),-('Gastos Gerais'!$C$4:$C$3143))</f>
        <v>0</v>
      </c>
      <c r="BI83" s="134">
        <f>SUMPRODUCT(-('Gastos Gerais'!$B$4:$B$3143=Analítico!$B83),-(Analítico!BI$3&gt;='Gastos Gerais'!$D$4:$D$3143),-(Analítico!BI$3&lt;='Gastos Gerais'!$E$4:$E$3143),-('Gastos Gerais'!$C$4:$C$3143))</f>
        <v>0</v>
      </c>
      <c r="BJ83" s="134">
        <f>SUMPRODUCT(-('Gastos Gerais'!$B$4:$B$3143=Analítico!$B83),-(Analítico!BJ$3&gt;='Gastos Gerais'!$D$4:$D$3143),-(Analítico!BJ$3&lt;='Gastos Gerais'!$E$4:$E$3143),-('Gastos Gerais'!$C$4:$C$3143))</f>
        <v>0</v>
      </c>
      <c r="BK83" s="189">
        <f t="shared" si="24"/>
        <v>229200</v>
      </c>
      <c r="BL83" s="136">
        <f t="shared" ca="1" si="25"/>
        <v>7.8913516666025943E-4</v>
      </c>
    </row>
    <row r="84" spans="1:64" s="160" customFormat="1" ht="23.25" customHeight="1">
      <c r="A84" s="229" t="s">
        <v>245</v>
      </c>
      <c r="B84" s="232" t="s">
        <v>246</v>
      </c>
      <c r="C84" s="188">
        <f>SUMPRODUCT(-('Gastos Gerais'!$B$4:$B$3143=Analítico!$B84),-(Analítico!C$3&gt;='Gastos Gerais'!$D$4:$D$3143),-(Analítico!C$3&lt;='Gastos Gerais'!$E$4:$E$3143),-('Gastos Gerais'!$C$4:$C$3143))</f>
        <v>6930</v>
      </c>
      <c r="D84" s="134">
        <f>SUMPRODUCT(-('Gastos Gerais'!$B$4:$B$3143=Analítico!$B84),-(Analítico!D$3&gt;='Gastos Gerais'!$D$4:$D$3143),-(Analítico!D$3&lt;='Gastos Gerais'!$E$4:$E$3143),-('Gastos Gerais'!$C$4:$C$3143))</f>
        <v>6930</v>
      </c>
      <c r="E84" s="134">
        <f>SUMPRODUCT(-('Gastos Gerais'!$B$4:$B$3143=Analítico!$B84),-(Analítico!E$3&gt;='Gastos Gerais'!$D$4:$D$3143),-(Analítico!E$3&lt;='Gastos Gerais'!$E$4:$E$3143),-('Gastos Gerais'!$C$4:$C$3143))</f>
        <v>7320</v>
      </c>
      <c r="F84" s="134">
        <f>SUMPRODUCT(-('Gastos Gerais'!$B$4:$B$3143=Analítico!$B84),-(Analítico!F$3&gt;='Gastos Gerais'!$D$4:$D$3143),-(Analítico!F$3&lt;='Gastos Gerais'!$E$4:$E$3143),-('Gastos Gerais'!$C$4:$C$3143))</f>
        <v>7710</v>
      </c>
      <c r="G84" s="134">
        <f>SUMPRODUCT(-('Gastos Gerais'!$B$4:$B$3143=Analítico!$B84),-(Analítico!G$3&gt;='Gastos Gerais'!$D$4:$D$3143),-(Analítico!G$3&lt;='Gastos Gerais'!$E$4:$E$3143),-('Gastos Gerais'!$C$4:$C$3143))</f>
        <v>7710</v>
      </c>
      <c r="H84" s="134">
        <f>SUMPRODUCT(-('Gastos Gerais'!$B$4:$B$3143=Analítico!$B84),-(Analítico!H$3&gt;='Gastos Gerais'!$D$4:$D$3143),-(Analítico!H$3&lt;='Gastos Gerais'!$E$4:$E$3143),-('Gastos Gerais'!$C$4:$C$3143))</f>
        <v>7710</v>
      </c>
      <c r="I84" s="134">
        <f>SUMPRODUCT(-('Gastos Gerais'!$B$4:$B$3143=Analítico!$B84),-(Analítico!I$3&gt;='Gastos Gerais'!$D$4:$D$3143),-(Analítico!I$3&lt;='Gastos Gerais'!$E$4:$E$3143),-('Gastos Gerais'!$C$4:$C$3143))</f>
        <v>8100</v>
      </c>
      <c r="J84" s="134">
        <f>SUMPRODUCT(-('Gastos Gerais'!$B$4:$B$3143=Analítico!$B84),-(Analítico!J$3&gt;='Gastos Gerais'!$D$4:$D$3143),-(Analítico!J$3&lt;='Gastos Gerais'!$E$4:$E$3143),-('Gastos Gerais'!$C$4:$C$3143))</f>
        <v>8100</v>
      </c>
      <c r="K84" s="134">
        <f>SUMPRODUCT(-('Gastos Gerais'!$B$4:$B$3143=Analítico!$B84),-(Analítico!K$3&gt;='Gastos Gerais'!$D$4:$D$3143),-(Analítico!K$3&lt;='Gastos Gerais'!$E$4:$E$3143),-('Gastos Gerais'!$C$4:$C$3143))</f>
        <v>8100</v>
      </c>
      <c r="L84" s="134">
        <f>SUMPRODUCT(-('Gastos Gerais'!$B$4:$B$3143=Analítico!$B84),-(Analítico!L$3&gt;='Gastos Gerais'!$D$4:$D$3143),-(Analítico!L$3&lt;='Gastos Gerais'!$E$4:$E$3143),-('Gastos Gerais'!$C$4:$C$3143))</f>
        <v>8490</v>
      </c>
      <c r="M84" s="134">
        <f>SUMPRODUCT(-('Gastos Gerais'!$B$4:$B$3143=Analítico!$B84),-(Analítico!M$3&gt;='Gastos Gerais'!$D$4:$D$3143),-(Analítico!M$3&lt;='Gastos Gerais'!$E$4:$E$3143),-('Gastos Gerais'!$C$4:$C$3143))</f>
        <v>8490</v>
      </c>
      <c r="N84" s="134">
        <f>SUMPRODUCT(-('Gastos Gerais'!$B$4:$B$3143=Analítico!$B84),-(Analítico!N$3&gt;='Gastos Gerais'!$D$4:$D$3143),-(Analítico!N$3&lt;='Gastos Gerais'!$E$4:$E$3143),-('Gastos Gerais'!$C$4:$C$3143))</f>
        <v>8490</v>
      </c>
      <c r="O84" s="134">
        <f>SUMPRODUCT(-('Gastos Gerais'!$B$4:$B$3143=Analítico!$B84),-(Analítico!O$3&gt;='Gastos Gerais'!$D$4:$D$3143),-(Analítico!O$3&lt;='Gastos Gerais'!$E$4:$E$3143),-('Gastos Gerais'!$C$4:$C$3143))</f>
        <v>8490</v>
      </c>
      <c r="P84" s="134">
        <f>SUMPRODUCT(-('Gastos Gerais'!$B$4:$B$3143=Analítico!$B84),-(Analítico!P$3&gt;='Gastos Gerais'!$D$4:$D$3143),-(Analítico!P$3&lt;='Gastos Gerais'!$E$4:$E$3143),-('Gastos Gerais'!$C$4:$C$3143))</f>
        <v>8490</v>
      </c>
      <c r="Q84" s="134">
        <f>SUMPRODUCT(-('Gastos Gerais'!$B$4:$B$3143=Analítico!$B84),-(Analítico!Q$3&gt;='Gastos Gerais'!$D$4:$D$3143),-(Analítico!Q$3&lt;='Gastos Gerais'!$E$4:$E$3143),-('Gastos Gerais'!$C$4:$C$3143))</f>
        <v>8490</v>
      </c>
      <c r="R84" s="134">
        <f>SUMPRODUCT(-('Gastos Gerais'!$B$4:$B$3143=Analítico!$B84),-(Analítico!R$3&gt;='Gastos Gerais'!$D$4:$D$3143),-(Analítico!R$3&lt;='Gastos Gerais'!$E$4:$E$3143),-('Gastos Gerais'!$C$4:$C$3143))</f>
        <v>8490</v>
      </c>
      <c r="S84" s="134">
        <f>SUMPRODUCT(-('Gastos Gerais'!$B$4:$B$3143=Analítico!$B84),-(Analítico!S$3&gt;='Gastos Gerais'!$D$4:$D$3143),-(Analítico!S$3&lt;='Gastos Gerais'!$E$4:$E$3143),-('Gastos Gerais'!$C$4:$C$3143))</f>
        <v>8490</v>
      </c>
      <c r="T84" s="134">
        <f>SUMPRODUCT(-('Gastos Gerais'!$B$4:$B$3143=Analítico!$B84),-(Analítico!T$3&gt;='Gastos Gerais'!$D$4:$D$3143),-(Analítico!T$3&lt;='Gastos Gerais'!$E$4:$E$3143),-('Gastos Gerais'!$C$4:$C$3143))</f>
        <v>8490</v>
      </c>
      <c r="U84" s="134">
        <f>SUMPRODUCT(-('Gastos Gerais'!$B$4:$B$3143=Analítico!$B84),-(Analítico!U$3&gt;='Gastos Gerais'!$D$4:$D$3143),-(Analítico!U$3&lt;='Gastos Gerais'!$E$4:$E$3143),-('Gastos Gerais'!$C$4:$C$3143))</f>
        <v>8490</v>
      </c>
      <c r="V84" s="134">
        <f>SUMPRODUCT(-('Gastos Gerais'!$B$4:$B$3143=Analítico!$B84),-(Analítico!V$3&gt;='Gastos Gerais'!$D$4:$D$3143),-(Analítico!V$3&lt;='Gastos Gerais'!$E$4:$E$3143),-('Gastos Gerais'!$C$4:$C$3143))</f>
        <v>8490</v>
      </c>
      <c r="W84" s="134">
        <f>SUMPRODUCT(-('Gastos Gerais'!$B$4:$B$3143=Analítico!$B84),-(Analítico!W$3&gt;='Gastos Gerais'!$D$4:$D$3143),-(Analítico!W$3&lt;='Gastos Gerais'!$E$4:$E$3143),-('Gastos Gerais'!$C$4:$C$3143))</f>
        <v>8490</v>
      </c>
      <c r="X84" s="134">
        <f>SUMPRODUCT(-('Gastos Gerais'!$B$4:$B$3143=Analítico!$B84),-(Analítico!X$3&gt;='Gastos Gerais'!$D$4:$D$3143),-(Analítico!X$3&lt;='Gastos Gerais'!$E$4:$E$3143),-('Gastos Gerais'!$C$4:$C$3143))</f>
        <v>8490</v>
      </c>
      <c r="Y84" s="134">
        <f>SUMPRODUCT(-('Gastos Gerais'!$B$4:$B$3143=Analítico!$B84),-(Analítico!Y$3&gt;='Gastos Gerais'!$D$4:$D$3143),-(Analítico!Y$3&lt;='Gastos Gerais'!$E$4:$E$3143),-('Gastos Gerais'!$C$4:$C$3143))</f>
        <v>8490</v>
      </c>
      <c r="Z84" s="134">
        <f>SUMPRODUCT(-('Gastos Gerais'!$B$4:$B$3143=Analítico!$B84),-(Analítico!Z$3&gt;='Gastos Gerais'!$D$4:$D$3143),-(Analítico!Z$3&lt;='Gastos Gerais'!$E$4:$E$3143),-('Gastos Gerais'!$C$4:$C$3143))</f>
        <v>8490</v>
      </c>
      <c r="AA84" s="134">
        <f>SUMPRODUCT(-('Gastos Gerais'!$B$4:$B$3143=Analítico!$B84),-(Analítico!AA$3&gt;='Gastos Gerais'!$D$4:$D$3143),-(Analítico!AA$3&lt;='Gastos Gerais'!$E$4:$E$3143),-('Gastos Gerais'!$C$4:$C$3143))</f>
        <v>8490</v>
      </c>
      <c r="AB84" s="134">
        <f>SUMPRODUCT(-('Gastos Gerais'!$B$4:$B$3143=Analítico!$B84),-(Analítico!AB$3&gt;='Gastos Gerais'!$D$4:$D$3143),-(Analítico!AB$3&lt;='Gastos Gerais'!$E$4:$E$3143),-('Gastos Gerais'!$C$4:$C$3143))</f>
        <v>8490</v>
      </c>
      <c r="AC84" s="134">
        <f>SUMPRODUCT(-('Gastos Gerais'!$B$4:$B$3143=Analítico!$B84),-(Analítico!AC$3&gt;='Gastos Gerais'!$D$4:$D$3143),-(Analítico!AC$3&lt;='Gastos Gerais'!$E$4:$E$3143),-('Gastos Gerais'!$C$4:$C$3143))</f>
        <v>8490</v>
      </c>
      <c r="AD84" s="134">
        <f>SUMPRODUCT(-('Gastos Gerais'!$B$4:$B$3143=Analítico!$B84),-(Analítico!AD$3&gt;='Gastos Gerais'!$D$4:$D$3143),-(Analítico!AD$3&lt;='Gastos Gerais'!$E$4:$E$3143),-('Gastos Gerais'!$C$4:$C$3143))</f>
        <v>8490</v>
      </c>
      <c r="AE84" s="134">
        <f>SUMPRODUCT(-('Gastos Gerais'!$B$4:$B$3143=Analítico!$B84),-(Analítico!AE$3&gt;='Gastos Gerais'!$D$4:$D$3143),-(Analítico!AE$3&lt;='Gastos Gerais'!$E$4:$E$3143),-('Gastos Gerais'!$C$4:$C$3143))</f>
        <v>8490</v>
      </c>
      <c r="AF84" s="134">
        <f>SUMPRODUCT(-('Gastos Gerais'!$B$4:$B$3143=Analítico!$B84),-(Analítico!AF$3&gt;='Gastos Gerais'!$D$4:$D$3143),-(Analítico!AF$3&lt;='Gastos Gerais'!$E$4:$E$3143),-('Gastos Gerais'!$C$4:$C$3143))</f>
        <v>8490</v>
      </c>
      <c r="AG84" s="134">
        <f>SUMPRODUCT(-('Gastos Gerais'!$B$4:$B$3143=Analítico!$B84),-(Analítico!AG$3&gt;='Gastos Gerais'!$D$4:$D$3143),-(Analítico!AG$3&lt;='Gastos Gerais'!$E$4:$E$3143),-('Gastos Gerais'!$C$4:$C$3143))</f>
        <v>8490</v>
      </c>
      <c r="AH84" s="134">
        <f>SUMPRODUCT(-('Gastos Gerais'!$B$4:$B$3143=Analítico!$B84),-(Analítico!AH$3&gt;='Gastos Gerais'!$D$4:$D$3143),-(Analítico!AH$3&lt;='Gastos Gerais'!$E$4:$E$3143),-('Gastos Gerais'!$C$4:$C$3143))</f>
        <v>8490</v>
      </c>
      <c r="AI84" s="134">
        <f>SUMPRODUCT(-('Gastos Gerais'!$B$4:$B$3143=Analítico!$B84),-(Analítico!AI$3&gt;='Gastos Gerais'!$D$4:$D$3143),-(Analítico!AI$3&lt;='Gastos Gerais'!$E$4:$E$3143),-('Gastos Gerais'!$C$4:$C$3143))</f>
        <v>8490</v>
      </c>
      <c r="AJ84" s="134">
        <f>SUMPRODUCT(-('Gastos Gerais'!$B$4:$B$3143=Analítico!$B84),-(Analítico!AJ$3&gt;='Gastos Gerais'!$D$4:$D$3143),-(Analítico!AJ$3&lt;='Gastos Gerais'!$E$4:$E$3143),-('Gastos Gerais'!$C$4:$C$3143))</f>
        <v>8490</v>
      </c>
      <c r="AK84" s="134">
        <f>SUMPRODUCT(-('Gastos Gerais'!$B$4:$B$3143=Analítico!$B84),-(Analítico!AK$3&gt;='Gastos Gerais'!$D$4:$D$3143),-(Analítico!AK$3&lt;='Gastos Gerais'!$E$4:$E$3143),-('Gastos Gerais'!$C$4:$C$3143))</f>
        <v>8490</v>
      </c>
      <c r="AL84" s="134">
        <f>SUMPRODUCT(-('Gastos Gerais'!$B$4:$B$3143=Analítico!$B84),-(Analítico!AL$3&gt;='Gastos Gerais'!$D$4:$D$3143),-(Analítico!AL$3&lt;='Gastos Gerais'!$E$4:$E$3143),-('Gastos Gerais'!$C$4:$C$3143))</f>
        <v>8490</v>
      </c>
      <c r="AM84" s="134">
        <f>SUMPRODUCT(-('Gastos Gerais'!$B$4:$B$3143=Analítico!$B84),-(Analítico!AM$3&gt;='Gastos Gerais'!$D$4:$D$3143),-(Analítico!AM$3&lt;='Gastos Gerais'!$E$4:$E$3143),-('Gastos Gerais'!$C$4:$C$3143))</f>
        <v>4140</v>
      </c>
      <c r="AN84" s="134">
        <f>SUMPRODUCT(-('Gastos Gerais'!$B$4:$B$3143=Analítico!$B84),-(Analítico!AN$3&gt;='Gastos Gerais'!$D$4:$D$3143),-(Analítico!AN$3&lt;='Gastos Gerais'!$E$4:$E$3143),-('Gastos Gerais'!$C$4:$C$3143))</f>
        <v>4140</v>
      </c>
      <c r="AO84" s="134">
        <f>SUMPRODUCT(-('Gastos Gerais'!$B$4:$B$3143=Analítico!$B84),-(Analítico!AO$3&gt;='Gastos Gerais'!$D$4:$D$3143),-(Analítico!AO$3&lt;='Gastos Gerais'!$E$4:$E$3143),-('Gastos Gerais'!$C$4:$C$3143))</f>
        <v>4140</v>
      </c>
      <c r="AP84" s="134">
        <f>SUMPRODUCT(-('Gastos Gerais'!$B$4:$B$3143=Analítico!$B84),-(Analítico!AP$3&gt;='Gastos Gerais'!$D$4:$D$3143),-(Analítico!AP$3&lt;='Gastos Gerais'!$E$4:$E$3143),-('Gastos Gerais'!$C$4:$C$3143))</f>
        <v>4140</v>
      </c>
      <c r="AQ84" s="134">
        <f>SUMPRODUCT(-('Gastos Gerais'!$B$4:$B$3143=Analítico!$B84),-(Analítico!AQ$3&gt;='Gastos Gerais'!$D$4:$D$3143),-(Analítico!AQ$3&lt;='Gastos Gerais'!$E$4:$E$3143),-('Gastos Gerais'!$C$4:$C$3143))</f>
        <v>4140</v>
      </c>
      <c r="AR84" s="134">
        <f>SUMPRODUCT(-('Gastos Gerais'!$B$4:$B$3143=Analítico!$B84),-(Analítico!AR$3&gt;='Gastos Gerais'!$D$4:$D$3143),-(Analítico!AR$3&lt;='Gastos Gerais'!$E$4:$E$3143),-('Gastos Gerais'!$C$4:$C$3143))</f>
        <v>4140</v>
      </c>
      <c r="AS84" s="134">
        <f>SUMPRODUCT(-('Gastos Gerais'!$B$4:$B$3143=Analítico!$B84),-(Analítico!AS$3&gt;='Gastos Gerais'!$D$4:$D$3143),-(Analítico!AS$3&lt;='Gastos Gerais'!$E$4:$E$3143),-('Gastos Gerais'!$C$4:$C$3143))</f>
        <v>4140</v>
      </c>
      <c r="AT84" s="134">
        <f>SUMPRODUCT(-('Gastos Gerais'!$B$4:$B$3143=Analítico!$B84),-(Analítico!AT$3&gt;='Gastos Gerais'!$D$4:$D$3143),-(Analítico!AT$3&lt;='Gastos Gerais'!$E$4:$E$3143),-('Gastos Gerais'!$C$4:$C$3143))</f>
        <v>4140</v>
      </c>
      <c r="AU84" s="134">
        <f>SUMPRODUCT(-('Gastos Gerais'!$B$4:$B$3143=Analítico!$B84),-(Analítico!AU$3&gt;='Gastos Gerais'!$D$4:$D$3143),-(Analítico!AU$3&lt;='Gastos Gerais'!$E$4:$E$3143),-('Gastos Gerais'!$C$4:$C$3143))</f>
        <v>4140</v>
      </c>
      <c r="AV84" s="134">
        <f>SUMPRODUCT(-('Gastos Gerais'!$B$4:$B$3143=Analítico!$B84),-(Analítico!AV$3&gt;='Gastos Gerais'!$D$4:$D$3143),-(Analítico!AV$3&lt;='Gastos Gerais'!$E$4:$E$3143),-('Gastos Gerais'!$C$4:$C$3143))</f>
        <v>4140</v>
      </c>
      <c r="AW84" s="134">
        <f>SUMPRODUCT(-('Gastos Gerais'!$B$4:$B$3143=Analítico!$B84),-(Analítico!AW$3&gt;='Gastos Gerais'!$D$4:$D$3143),-(Analítico!AW$3&lt;='Gastos Gerais'!$E$4:$E$3143),-('Gastos Gerais'!$C$4:$C$3143))</f>
        <v>3950</v>
      </c>
      <c r="AX84" s="134">
        <f>SUMPRODUCT(-('Gastos Gerais'!$B$4:$B$3143=Analítico!$B84),-(Analítico!AX$3&gt;='Gastos Gerais'!$D$4:$D$3143),-(Analítico!AX$3&lt;='Gastos Gerais'!$E$4:$E$3143),-('Gastos Gerais'!$C$4:$C$3143))</f>
        <v>0</v>
      </c>
      <c r="AY84" s="134">
        <f>SUMPRODUCT(-('Gastos Gerais'!$B$4:$B$3143=Analítico!$B84),-(Analítico!AY$3&gt;='Gastos Gerais'!$D$4:$D$3143),-(Analítico!AY$3&lt;='Gastos Gerais'!$E$4:$E$3143),-('Gastos Gerais'!$C$4:$C$3143))</f>
        <v>0</v>
      </c>
      <c r="AZ84" s="134">
        <f>SUMPRODUCT(-('Gastos Gerais'!$B$4:$B$3143=Analítico!$B84),-(Analítico!AZ$3&gt;='Gastos Gerais'!$D$4:$D$3143),-(Analítico!AZ$3&lt;='Gastos Gerais'!$E$4:$E$3143),-('Gastos Gerais'!$C$4:$C$3143))</f>
        <v>0</v>
      </c>
      <c r="BA84" s="134">
        <f>SUMPRODUCT(-('Gastos Gerais'!$B$4:$B$3143=Analítico!$B84),-(Analítico!BA$3&gt;='Gastos Gerais'!$D$4:$D$3143),-(Analítico!BA$3&lt;='Gastos Gerais'!$E$4:$E$3143),-('Gastos Gerais'!$C$4:$C$3143))</f>
        <v>0</v>
      </c>
      <c r="BB84" s="134">
        <f>SUMPRODUCT(-('Gastos Gerais'!$B$4:$B$3143=Analítico!$B84),-(Analítico!BB$3&gt;='Gastos Gerais'!$D$4:$D$3143),-(Analítico!BB$3&lt;='Gastos Gerais'!$E$4:$E$3143),-('Gastos Gerais'!$C$4:$C$3143))</f>
        <v>0</v>
      </c>
      <c r="BC84" s="134">
        <f>SUMPRODUCT(-('Gastos Gerais'!$B$4:$B$3143=Analítico!$B84),-(Analítico!BC$3&gt;='Gastos Gerais'!$D$4:$D$3143),-(Analítico!BC$3&lt;='Gastos Gerais'!$E$4:$E$3143),-('Gastos Gerais'!$C$4:$C$3143))</f>
        <v>0</v>
      </c>
      <c r="BD84" s="134">
        <f>SUMPRODUCT(-('Gastos Gerais'!$B$4:$B$3143=Analítico!$B84),-(Analítico!BD$3&gt;='Gastos Gerais'!$D$4:$D$3143),-(Analítico!BD$3&lt;='Gastos Gerais'!$E$4:$E$3143),-('Gastos Gerais'!$C$4:$C$3143))</f>
        <v>0</v>
      </c>
      <c r="BE84" s="134">
        <f>SUMPRODUCT(-('Gastos Gerais'!$B$4:$B$3143=Analítico!$B84),-(Analítico!BE$3&gt;='Gastos Gerais'!$D$4:$D$3143),-(Analítico!BE$3&lt;='Gastos Gerais'!$E$4:$E$3143),-('Gastos Gerais'!$C$4:$C$3143))</f>
        <v>0</v>
      </c>
      <c r="BF84" s="134">
        <f>SUMPRODUCT(-('Gastos Gerais'!$B$4:$B$3143=Analítico!$B84),-(Analítico!BF$3&gt;='Gastos Gerais'!$D$4:$D$3143),-(Analítico!BF$3&lt;='Gastos Gerais'!$E$4:$E$3143),-('Gastos Gerais'!$C$4:$C$3143))</f>
        <v>0</v>
      </c>
      <c r="BG84" s="134">
        <f>SUMPRODUCT(-('Gastos Gerais'!$B$4:$B$3143=Analítico!$B84),-(Analítico!BG$3&gt;='Gastos Gerais'!$D$4:$D$3143),-(Analítico!BG$3&lt;='Gastos Gerais'!$E$4:$E$3143),-('Gastos Gerais'!$C$4:$C$3143))</f>
        <v>0</v>
      </c>
      <c r="BH84" s="134">
        <f>SUMPRODUCT(-('Gastos Gerais'!$B$4:$B$3143=Analítico!$B84),-(Analítico!BH$3&gt;='Gastos Gerais'!$D$4:$D$3143),-(Analítico!BH$3&lt;='Gastos Gerais'!$E$4:$E$3143),-('Gastos Gerais'!$C$4:$C$3143))</f>
        <v>0</v>
      </c>
      <c r="BI84" s="134">
        <f>SUMPRODUCT(-('Gastos Gerais'!$B$4:$B$3143=Analítico!$B84),-(Analítico!BI$3&gt;='Gastos Gerais'!$D$4:$D$3143),-(Analítico!BI$3&lt;='Gastos Gerais'!$E$4:$E$3143),-('Gastos Gerais'!$C$4:$C$3143))</f>
        <v>0</v>
      </c>
      <c r="BJ84" s="134">
        <f>SUMPRODUCT(-('Gastos Gerais'!$B$4:$B$3143=Analítico!$B84),-(Analítico!BJ$3&gt;='Gastos Gerais'!$D$4:$D$3143),-(Analítico!BJ$3&lt;='Gastos Gerais'!$E$4:$E$3143),-('Gastos Gerais'!$C$4:$C$3143))</f>
        <v>0</v>
      </c>
      <c r="BK84" s="189">
        <f t="shared" si="24"/>
        <v>343190</v>
      </c>
      <c r="BL84" s="136">
        <f t="shared" ca="1" si="25"/>
        <v>1.181602521143693E-3</v>
      </c>
    </row>
    <row r="85" spans="1:64" s="160" customFormat="1" ht="23.25" customHeight="1">
      <c r="A85" s="229" t="s">
        <v>247</v>
      </c>
      <c r="B85" s="232" t="s">
        <v>248</v>
      </c>
      <c r="C85" s="188">
        <f>SUMPRODUCT(-('Gastos Gerais'!$B$4:$B$3143=Analítico!$B85),-(Analítico!C$3&gt;='Gastos Gerais'!$D$4:$D$3143),-(Analítico!C$3&lt;='Gastos Gerais'!$E$4:$E$3143),-('Gastos Gerais'!$C$4:$C$3143))</f>
        <v>18536</v>
      </c>
      <c r="D85" s="134">
        <f>SUMPRODUCT(-('Gastos Gerais'!$B$4:$B$3143=Analítico!$B85),-(Analítico!D$3&gt;='Gastos Gerais'!$D$4:$D$3143),-(Analítico!D$3&lt;='Gastos Gerais'!$E$4:$E$3143),-('Gastos Gerais'!$C$4:$C$3143))</f>
        <v>19382</v>
      </c>
      <c r="E85" s="134">
        <f>SUMPRODUCT(-('Gastos Gerais'!$B$4:$B$3143=Analítico!$B85),-(Analítico!E$3&gt;='Gastos Gerais'!$D$4:$D$3143),-(Analítico!E$3&lt;='Gastos Gerais'!$E$4:$E$3143),-('Gastos Gerais'!$C$4:$C$3143))</f>
        <v>20228</v>
      </c>
      <c r="F85" s="134">
        <f>SUMPRODUCT(-('Gastos Gerais'!$B$4:$B$3143=Analítico!$B85),-(Analítico!F$3&gt;='Gastos Gerais'!$D$4:$D$3143),-(Analítico!F$3&lt;='Gastos Gerais'!$E$4:$E$3143),-('Gastos Gerais'!$C$4:$C$3143))</f>
        <v>21074</v>
      </c>
      <c r="G85" s="134">
        <f>SUMPRODUCT(-('Gastos Gerais'!$B$4:$B$3143=Analítico!$B85),-(Analítico!G$3&gt;='Gastos Gerais'!$D$4:$D$3143),-(Analítico!G$3&lt;='Gastos Gerais'!$E$4:$E$3143),-('Gastos Gerais'!$C$4:$C$3143))</f>
        <v>20228</v>
      </c>
      <c r="H85" s="134">
        <f>SUMPRODUCT(-('Gastos Gerais'!$B$4:$B$3143=Analítico!$B85),-(Analítico!H$3&gt;='Gastos Gerais'!$D$4:$D$3143),-(Analítico!H$3&lt;='Gastos Gerais'!$E$4:$E$3143),-('Gastos Gerais'!$C$4:$C$3143))</f>
        <v>20228</v>
      </c>
      <c r="I85" s="134">
        <f>SUMPRODUCT(-('Gastos Gerais'!$B$4:$B$3143=Analítico!$B85),-(Analítico!I$3&gt;='Gastos Gerais'!$D$4:$D$3143),-(Analítico!I$3&lt;='Gastos Gerais'!$E$4:$E$3143),-('Gastos Gerais'!$C$4:$C$3143))</f>
        <v>8384</v>
      </c>
      <c r="J85" s="134">
        <f>SUMPRODUCT(-('Gastos Gerais'!$B$4:$B$3143=Analítico!$B85),-(Analítico!J$3&gt;='Gastos Gerais'!$D$4:$D$3143),-(Analítico!J$3&lt;='Gastos Gerais'!$E$4:$E$3143),-('Gastos Gerais'!$C$4:$C$3143))</f>
        <v>8384</v>
      </c>
      <c r="K85" s="134">
        <f>SUMPRODUCT(-('Gastos Gerais'!$B$4:$B$3143=Analítico!$B85),-(Analítico!K$3&gt;='Gastos Gerais'!$D$4:$D$3143),-(Analítico!K$3&lt;='Gastos Gerais'!$E$4:$E$3143),-('Gastos Gerais'!$C$4:$C$3143))</f>
        <v>8384</v>
      </c>
      <c r="L85" s="134">
        <f>SUMPRODUCT(-('Gastos Gerais'!$B$4:$B$3143=Analítico!$B85),-(Analítico!L$3&gt;='Gastos Gerais'!$D$4:$D$3143),-(Analítico!L$3&lt;='Gastos Gerais'!$E$4:$E$3143),-('Gastos Gerais'!$C$4:$C$3143))</f>
        <v>8384</v>
      </c>
      <c r="M85" s="134">
        <f>SUMPRODUCT(-('Gastos Gerais'!$B$4:$B$3143=Analítico!$B85),-(Analítico!M$3&gt;='Gastos Gerais'!$D$4:$D$3143),-(Analítico!M$3&lt;='Gastos Gerais'!$E$4:$E$3143),-('Gastos Gerais'!$C$4:$C$3143))</f>
        <v>11768</v>
      </c>
      <c r="N85" s="134">
        <f>SUMPRODUCT(-('Gastos Gerais'!$B$4:$B$3143=Analítico!$B85),-(Analítico!N$3&gt;='Gastos Gerais'!$D$4:$D$3143),-(Analítico!N$3&lt;='Gastos Gerais'!$E$4:$E$3143),-('Gastos Gerais'!$C$4:$C$3143))</f>
        <v>11768</v>
      </c>
      <c r="O85" s="134">
        <f>SUMPRODUCT(-('Gastos Gerais'!$B$4:$B$3143=Analítico!$B85),-(Analítico!O$3&gt;='Gastos Gerais'!$D$4:$D$3143),-(Analítico!O$3&lt;='Gastos Gerais'!$E$4:$E$3143),-('Gastos Gerais'!$C$4:$C$3143))</f>
        <v>23612</v>
      </c>
      <c r="P85" s="134">
        <f>SUMPRODUCT(-('Gastos Gerais'!$B$4:$B$3143=Analítico!$B85),-(Analítico!P$3&gt;='Gastos Gerais'!$D$4:$D$3143),-(Analítico!P$3&lt;='Gastos Gerais'!$E$4:$E$3143),-('Gastos Gerais'!$C$4:$C$3143))</f>
        <v>24458</v>
      </c>
      <c r="Q85" s="134">
        <f>SUMPRODUCT(-('Gastos Gerais'!$B$4:$B$3143=Analítico!$B85),-(Analítico!Q$3&gt;='Gastos Gerais'!$D$4:$D$3143),-(Analítico!Q$3&lt;='Gastos Gerais'!$E$4:$E$3143),-('Gastos Gerais'!$C$4:$C$3143))</f>
        <v>22766</v>
      </c>
      <c r="R85" s="134">
        <f>SUMPRODUCT(-('Gastos Gerais'!$B$4:$B$3143=Analítico!$B85),-(Analítico!R$3&gt;='Gastos Gerais'!$D$4:$D$3143),-(Analítico!R$3&lt;='Gastos Gerais'!$E$4:$E$3143),-('Gastos Gerais'!$C$4:$C$3143))</f>
        <v>21920</v>
      </c>
      <c r="S85" s="134">
        <f>SUMPRODUCT(-('Gastos Gerais'!$B$4:$B$3143=Analítico!$B85),-(Analítico!S$3&gt;='Gastos Gerais'!$D$4:$D$3143),-(Analítico!S$3&lt;='Gastos Gerais'!$E$4:$E$3143),-('Gastos Gerais'!$C$4:$C$3143))</f>
        <v>18536</v>
      </c>
      <c r="T85" s="134">
        <f>SUMPRODUCT(-('Gastos Gerais'!$B$4:$B$3143=Analítico!$B85),-(Analítico!T$3&gt;='Gastos Gerais'!$D$4:$D$3143),-(Analítico!T$3&lt;='Gastos Gerais'!$E$4:$E$3143),-('Gastos Gerais'!$C$4:$C$3143))</f>
        <v>18536</v>
      </c>
      <c r="U85" s="134">
        <f>SUMPRODUCT(-('Gastos Gerais'!$B$4:$B$3143=Analítico!$B85),-(Analítico!U$3&gt;='Gastos Gerais'!$D$4:$D$3143),-(Analítico!U$3&lt;='Gastos Gerais'!$E$4:$E$3143),-('Gastos Gerais'!$C$4:$C$3143))</f>
        <v>5846</v>
      </c>
      <c r="V85" s="134">
        <f>SUMPRODUCT(-('Gastos Gerais'!$B$4:$B$3143=Analítico!$B85),-(Analítico!V$3&gt;='Gastos Gerais'!$D$4:$D$3143),-(Analítico!V$3&lt;='Gastos Gerais'!$E$4:$E$3143),-('Gastos Gerais'!$C$4:$C$3143))</f>
        <v>5846</v>
      </c>
      <c r="W85" s="134">
        <f>SUMPRODUCT(-('Gastos Gerais'!$B$4:$B$3143=Analítico!$B85),-(Analítico!W$3&gt;='Gastos Gerais'!$D$4:$D$3143),-(Analítico!W$3&lt;='Gastos Gerais'!$E$4:$E$3143),-('Gastos Gerais'!$C$4:$C$3143))</f>
        <v>5846</v>
      </c>
      <c r="X85" s="134">
        <f>SUMPRODUCT(-('Gastos Gerais'!$B$4:$B$3143=Analítico!$B85),-(Analítico!X$3&gt;='Gastos Gerais'!$D$4:$D$3143),-(Analítico!X$3&lt;='Gastos Gerais'!$E$4:$E$3143),-('Gastos Gerais'!$C$4:$C$3143))</f>
        <v>5846</v>
      </c>
      <c r="Y85" s="134">
        <f>SUMPRODUCT(-('Gastos Gerais'!$B$4:$B$3143=Analítico!$B85),-(Analítico!Y$3&gt;='Gastos Gerais'!$D$4:$D$3143),-(Analítico!Y$3&lt;='Gastos Gerais'!$E$4:$E$3143),-('Gastos Gerais'!$C$4:$C$3143))</f>
        <v>8038</v>
      </c>
      <c r="Z85" s="134">
        <f>SUMPRODUCT(-('Gastos Gerais'!$B$4:$B$3143=Analítico!$B85),-(Analítico!Z$3&gt;='Gastos Gerais'!$D$4:$D$3143),-(Analítico!Z$3&lt;='Gastos Gerais'!$E$4:$E$3143),-('Gastos Gerais'!$C$4:$C$3143))</f>
        <v>8038</v>
      </c>
      <c r="AA85" s="134">
        <f>SUMPRODUCT(-('Gastos Gerais'!$B$4:$B$3143=Analítico!$B85),-(Analítico!AA$3&gt;='Gastos Gerais'!$D$4:$D$3143),-(Analítico!AA$3&lt;='Gastos Gerais'!$E$4:$E$3143),-('Gastos Gerais'!$C$4:$C$3143))</f>
        <v>21574</v>
      </c>
      <c r="AB85" s="134">
        <f>SUMPRODUCT(-('Gastos Gerais'!$B$4:$B$3143=Analítico!$B85),-(Analítico!AB$3&gt;='Gastos Gerais'!$D$4:$D$3143),-(Analítico!AB$3&lt;='Gastos Gerais'!$E$4:$E$3143),-('Gastos Gerais'!$C$4:$C$3143))</f>
        <v>22420</v>
      </c>
      <c r="AC85" s="134">
        <f>SUMPRODUCT(-('Gastos Gerais'!$B$4:$B$3143=Analítico!$B85),-(Analítico!AC$3&gt;='Gastos Gerais'!$D$4:$D$3143),-(Analítico!AC$3&lt;='Gastos Gerais'!$E$4:$E$3143),-('Gastos Gerais'!$C$4:$C$3143))</f>
        <v>21920</v>
      </c>
      <c r="AD85" s="134">
        <f>SUMPRODUCT(-('Gastos Gerais'!$B$4:$B$3143=Analítico!$B85),-(Analítico!AD$3&gt;='Gastos Gerais'!$D$4:$D$3143),-(Analítico!AD$3&lt;='Gastos Gerais'!$E$4:$E$3143),-('Gastos Gerais'!$C$4:$C$3143))</f>
        <v>21920</v>
      </c>
      <c r="AE85" s="134">
        <f>SUMPRODUCT(-('Gastos Gerais'!$B$4:$B$3143=Analítico!$B85),-(Analítico!AE$3&gt;='Gastos Gerais'!$D$4:$D$3143),-(Analítico!AE$3&lt;='Gastos Gerais'!$E$4:$E$3143),-('Gastos Gerais'!$C$4:$C$3143))</f>
        <v>18536</v>
      </c>
      <c r="AF85" s="134">
        <f>SUMPRODUCT(-('Gastos Gerais'!$B$4:$B$3143=Analítico!$B85),-(Analítico!AF$3&gt;='Gastos Gerais'!$D$4:$D$3143),-(Analítico!AF$3&lt;='Gastos Gerais'!$E$4:$E$3143),-('Gastos Gerais'!$C$4:$C$3143))</f>
        <v>18536</v>
      </c>
      <c r="AG85" s="134">
        <f>SUMPRODUCT(-('Gastos Gerais'!$B$4:$B$3143=Analítico!$B85),-(Analítico!AG$3&gt;='Gastos Gerais'!$D$4:$D$3143),-(Analítico!AG$3&lt;='Gastos Gerais'!$E$4:$E$3143),-('Gastos Gerais'!$C$4:$C$3143))</f>
        <v>5846</v>
      </c>
      <c r="AH85" s="134">
        <f>SUMPRODUCT(-('Gastos Gerais'!$B$4:$B$3143=Analítico!$B85),-(Analítico!AH$3&gt;='Gastos Gerais'!$D$4:$D$3143),-(Analítico!AH$3&lt;='Gastos Gerais'!$E$4:$E$3143),-('Gastos Gerais'!$C$4:$C$3143))</f>
        <v>5846</v>
      </c>
      <c r="AI85" s="134">
        <f>SUMPRODUCT(-('Gastos Gerais'!$B$4:$B$3143=Analítico!$B85),-(Analítico!AI$3&gt;='Gastos Gerais'!$D$4:$D$3143),-(Analítico!AI$3&lt;='Gastos Gerais'!$E$4:$E$3143),-('Gastos Gerais'!$C$4:$C$3143))</f>
        <v>5846</v>
      </c>
      <c r="AJ85" s="134">
        <f>SUMPRODUCT(-('Gastos Gerais'!$B$4:$B$3143=Analítico!$B85),-(Analítico!AJ$3&gt;='Gastos Gerais'!$D$4:$D$3143),-(Analítico!AJ$3&lt;='Gastos Gerais'!$E$4:$E$3143),-('Gastos Gerais'!$C$4:$C$3143))</f>
        <v>5846</v>
      </c>
      <c r="AK85" s="134">
        <f>SUMPRODUCT(-('Gastos Gerais'!$B$4:$B$3143=Analítico!$B85),-(Analítico!AK$3&gt;='Gastos Gerais'!$D$4:$D$3143),-(Analítico!AK$3&lt;='Gastos Gerais'!$E$4:$E$3143),-('Gastos Gerais'!$C$4:$C$3143))</f>
        <v>7692</v>
      </c>
      <c r="AL85" s="134">
        <f>SUMPRODUCT(-('Gastos Gerais'!$B$4:$B$3143=Analítico!$B85),-(Analítico!AL$3&gt;='Gastos Gerais'!$D$4:$D$3143),-(Analítico!AL$3&lt;='Gastos Gerais'!$E$4:$E$3143),-('Gastos Gerais'!$C$4:$C$3143))</f>
        <v>7692</v>
      </c>
      <c r="AM85" s="134">
        <f>SUMPRODUCT(-('Gastos Gerais'!$B$4:$B$3143=Analítico!$B85),-(Analítico!AM$3&gt;='Gastos Gerais'!$D$4:$D$3143),-(Analítico!AM$3&lt;='Gastos Gerais'!$E$4:$E$3143),-('Gastos Gerais'!$C$4:$C$3143))</f>
        <v>15346</v>
      </c>
      <c r="AN85" s="134">
        <f>SUMPRODUCT(-('Gastos Gerais'!$B$4:$B$3143=Analítico!$B85),-(Analítico!AN$3&gt;='Gastos Gerais'!$D$4:$D$3143),-(Analítico!AN$3&lt;='Gastos Gerais'!$E$4:$E$3143),-('Gastos Gerais'!$C$4:$C$3143))</f>
        <v>15846</v>
      </c>
      <c r="AO85" s="134">
        <f>SUMPRODUCT(-('Gastos Gerais'!$B$4:$B$3143=Analítico!$B85),-(Analítico!AO$3&gt;='Gastos Gerais'!$D$4:$D$3143),-(Analítico!AO$3&lt;='Gastos Gerais'!$E$4:$E$3143),-('Gastos Gerais'!$C$4:$C$3143))</f>
        <v>15000</v>
      </c>
      <c r="AP85" s="134">
        <f>SUMPRODUCT(-('Gastos Gerais'!$B$4:$B$3143=Analítico!$B85),-(Analítico!AP$3&gt;='Gastos Gerais'!$D$4:$D$3143),-(Analítico!AP$3&lt;='Gastos Gerais'!$E$4:$E$3143),-('Gastos Gerais'!$C$4:$C$3143))</f>
        <v>15000</v>
      </c>
      <c r="AQ85" s="134">
        <f>SUMPRODUCT(-('Gastos Gerais'!$B$4:$B$3143=Analítico!$B85),-(Analítico!AQ$3&gt;='Gastos Gerais'!$D$4:$D$3143),-(Analítico!AQ$3&lt;='Gastos Gerais'!$E$4:$E$3143),-('Gastos Gerais'!$C$4:$C$3143))</f>
        <v>13000</v>
      </c>
      <c r="AR85" s="134">
        <f>SUMPRODUCT(-('Gastos Gerais'!$B$4:$B$3143=Analítico!$B85),-(Analítico!AR$3&gt;='Gastos Gerais'!$D$4:$D$3143),-(Analítico!AR$3&lt;='Gastos Gerais'!$E$4:$E$3143),-('Gastos Gerais'!$C$4:$C$3143))</f>
        <v>13000</v>
      </c>
      <c r="AS85" s="134">
        <f>SUMPRODUCT(-('Gastos Gerais'!$B$4:$B$3143=Analítico!$B85),-(Analítico!AS$3&gt;='Gastos Gerais'!$D$4:$D$3143),-(Analítico!AS$3&lt;='Gastos Gerais'!$E$4:$E$3143),-('Gastos Gerais'!$C$4:$C$3143))</f>
        <v>5500</v>
      </c>
      <c r="AT85" s="134">
        <f>SUMPRODUCT(-('Gastos Gerais'!$B$4:$B$3143=Analítico!$B85),-(Analítico!AT$3&gt;='Gastos Gerais'!$D$4:$D$3143),-(Analítico!AT$3&lt;='Gastos Gerais'!$E$4:$E$3143),-('Gastos Gerais'!$C$4:$C$3143))</f>
        <v>5500</v>
      </c>
      <c r="AU85" s="134">
        <f>SUMPRODUCT(-('Gastos Gerais'!$B$4:$B$3143=Analítico!$B85),-(Analítico!AU$3&gt;='Gastos Gerais'!$D$4:$D$3143),-(Analítico!AU$3&lt;='Gastos Gerais'!$E$4:$E$3143),-('Gastos Gerais'!$C$4:$C$3143))</f>
        <v>5500</v>
      </c>
      <c r="AV85" s="134">
        <f>SUMPRODUCT(-('Gastos Gerais'!$B$4:$B$3143=Analítico!$B85),-(Analítico!AV$3&gt;='Gastos Gerais'!$D$4:$D$3143),-(Analítico!AV$3&lt;='Gastos Gerais'!$E$4:$E$3143),-('Gastos Gerais'!$C$4:$C$3143))</f>
        <v>5500</v>
      </c>
      <c r="AW85" s="134">
        <f>SUMPRODUCT(-('Gastos Gerais'!$B$4:$B$3143=Analítico!$B85),-(Analítico!AW$3&gt;='Gastos Gerais'!$D$4:$D$3143),-(Analítico!AW$3&lt;='Gastos Gerais'!$E$4:$E$3143),-('Gastos Gerais'!$C$4:$C$3143))</f>
        <v>5500</v>
      </c>
      <c r="AX85" s="134">
        <f>SUMPRODUCT(-('Gastos Gerais'!$B$4:$B$3143=Analítico!$B85),-(Analítico!AX$3&gt;='Gastos Gerais'!$D$4:$D$3143),-(Analítico!AX$3&lt;='Gastos Gerais'!$E$4:$E$3143),-('Gastos Gerais'!$C$4:$C$3143))</f>
        <v>0</v>
      </c>
      <c r="AY85" s="134">
        <f>SUMPRODUCT(-('Gastos Gerais'!$B$4:$B$3143=Analítico!$B85),-(Analítico!AY$3&gt;='Gastos Gerais'!$D$4:$D$3143),-(Analítico!AY$3&lt;='Gastos Gerais'!$E$4:$E$3143),-('Gastos Gerais'!$C$4:$C$3143))</f>
        <v>0</v>
      </c>
      <c r="AZ85" s="134">
        <f>SUMPRODUCT(-('Gastos Gerais'!$B$4:$B$3143=Analítico!$B85),-(Analítico!AZ$3&gt;='Gastos Gerais'!$D$4:$D$3143),-(Analítico!AZ$3&lt;='Gastos Gerais'!$E$4:$E$3143),-('Gastos Gerais'!$C$4:$C$3143))</f>
        <v>0</v>
      </c>
      <c r="BA85" s="134">
        <f>SUMPRODUCT(-('Gastos Gerais'!$B$4:$B$3143=Analítico!$B85),-(Analítico!BA$3&gt;='Gastos Gerais'!$D$4:$D$3143),-(Analítico!BA$3&lt;='Gastos Gerais'!$E$4:$E$3143),-('Gastos Gerais'!$C$4:$C$3143))</f>
        <v>0</v>
      </c>
      <c r="BB85" s="134">
        <f>SUMPRODUCT(-('Gastos Gerais'!$B$4:$B$3143=Analítico!$B85),-(Analítico!BB$3&gt;='Gastos Gerais'!$D$4:$D$3143),-(Analítico!BB$3&lt;='Gastos Gerais'!$E$4:$E$3143),-('Gastos Gerais'!$C$4:$C$3143))</f>
        <v>0</v>
      </c>
      <c r="BC85" s="134">
        <f>SUMPRODUCT(-('Gastos Gerais'!$B$4:$B$3143=Analítico!$B85),-(Analítico!BC$3&gt;='Gastos Gerais'!$D$4:$D$3143),-(Analítico!BC$3&lt;='Gastos Gerais'!$E$4:$E$3143),-('Gastos Gerais'!$C$4:$C$3143))</f>
        <v>0</v>
      </c>
      <c r="BD85" s="134">
        <f>SUMPRODUCT(-('Gastos Gerais'!$B$4:$B$3143=Analítico!$B85),-(Analítico!BD$3&gt;='Gastos Gerais'!$D$4:$D$3143),-(Analítico!BD$3&lt;='Gastos Gerais'!$E$4:$E$3143),-('Gastos Gerais'!$C$4:$C$3143))</f>
        <v>0</v>
      </c>
      <c r="BE85" s="134">
        <f>SUMPRODUCT(-('Gastos Gerais'!$B$4:$B$3143=Analítico!$B85),-(Analítico!BE$3&gt;='Gastos Gerais'!$D$4:$D$3143),-(Analítico!BE$3&lt;='Gastos Gerais'!$E$4:$E$3143),-('Gastos Gerais'!$C$4:$C$3143))</f>
        <v>0</v>
      </c>
      <c r="BF85" s="134">
        <f>SUMPRODUCT(-('Gastos Gerais'!$B$4:$B$3143=Analítico!$B85),-(Analítico!BF$3&gt;='Gastos Gerais'!$D$4:$D$3143),-(Analítico!BF$3&lt;='Gastos Gerais'!$E$4:$E$3143),-('Gastos Gerais'!$C$4:$C$3143))</f>
        <v>0</v>
      </c>
      <c r="BG85" s="134">
        <f>SUMPRODUCT(-('Gastos Gerais'!$B$4:$B$3143=Analítico!$B85),-(Analítico!BG$3&gt;='Gastos Gerais'!$D$4:$D$3143),-(Analítico!BG$3&lt;='Gastos Gerais'!$E$4:$E$3143),-('Gastos Gerais'!$C$4:$C$3143))</f>
        <v>0</v>
      </c>
      <c r="BH85" s="134">
        <f>SUMPRODUCT(-('Gastos Gerais'!$B$4:$B$3143=Analítico!$B85),-(Analítico!BH$3&gt;='Gastos Gerais'!$D$4:$D$3143),-(Analítico!BH$3&lt;='Gastos Gerais'!$E$4:$E$3143),-('Gastos Gerais'!$C$4:$C$3143))</f>
        <v>0</v>
      </c>
      <c r="BI85" s="134">
        <f>SUMPRODUCT(-('Gastos Gerais'!$B$4:$B$3143=Analítico!$B85),-(Analítico!BI$3&gt;='Gastos Gerais'!$D$4:$D$3143),-(Analítico!BI$3&lt;='Gastos Gerais'!$E$4:$E$3143),-('Gastos Gerais'!$C$4:$C$3143))</f>
        <v>0</v>
      </c>
      <c r="BJ85" s="134">
        <f>SUMPRODUCT(-('Gastos Gerais'!$B$4:$B$3143=Analítico!$B85),-(Analítico!BJ$3&gt;='Gastos Gerais'!$D$4:$D$3143),-(Analítico!BJ$3&lt;='Gastos Gerais'!$E$4:$E$3143),-('Gastos Gerais'!$C$4:$C$3143))</f>
        <v>0</v>
      </c>
      <c r="BK85" s="189">
        <f t="shared" si="24"/>
        <v>624402</v>
      </c>
      <c r="BL85" s="136">
        <f t="shared" ca="1" si="25"/>
        <v>2.1498149054668381E-3</v>
      </c>
    </row>
    <row r="86" spans="1:64" s="160" customFormat="1" ht="23.25" customHeight="1">
      <c r="A86" s="229" t="s">
        <v>249</v>
      </c>
      <c r="B86" s="232" t="s">
        <v>250</v>
      </c>
      <c r="C86" s="188">
        <f>SUMPRODUCT(-('Gastos Gerais'!$B$4:$B$3143=Analítico!$B86),-(Analítico!C$3&gt;='Gastos Gerais'!$D$4:$D$3143),-(Analítico!C$3&lt;='Gastos Gerais'!$E$4:$E$3143),-('Gastos Gerais'!$C$4:$C$3143))</f>
        <v>0</v>
      </c>
      <c r="D86" s="134">
        <f>SUMPRODUCT(-('Gastos Gerais'!$B$4:$B$3143=Analítico!$B86),-(Analítico!D$3&gt;='Gastos Gerais'!$D$4:$D$3143),-(Analítico!D$3&lt;='Gastos Gerais'!$E$4:$E$3143),-('Gastos Gerais'!$C$4:$C$3143))</f>
        <v>0</v>
      </c>
      <c r="E86" s="134">
        <f>SUMPRODUCT(-('Gastos Gerais'!$B$4:$B$3143=Analítico!$B86),-(Analítico!E$3&gt;='Gastos Gerais'!$D$4:$D$3143),-(Analítico!E$3&lt;='Gastos Gerais'!$E$4:$E$3143),-('Gastos Gerais'!$C$4:$C$3143))</f>
        <v>0</v>
      </c>
      <c r="F86" s="134">
        <f>SUMPRODUCT(-('Gastos Gerais'!$B$4:$B$3143=Analítico!$B86),-(Analítico!F$3&gt;='Gastos Gerais'!$D$4:$D$3143),-(Analítico!F$3&lt;='Gastos Gerais'!$E$4:$E$3143),-('Gastos Gerais'!$C$4:$C$3143))</f>
        <v>0</v>
      </c>
      <c r="G86" s="134">
        <f>SUMPRODUCT(-('Gastos Gerais'!$B$4:$B$3143=Analítico!$B86),-(Analítico!G$3&gt;='Gastos Gerais'!$D$4:$D$3143),-(Analítico!G$3&lt;='Gastos Gerais'!$E$4:$E$3143),-('Gastos Gerais'!$C$4:$C$3143))</f>
        <v>0</v>
      </c>
      <c r="H86" s="134">
        <f>SUMPRODUCT(-('Gastos Gerais'!$B$4:$B$3143=Analítico!$B86),-(Analítico!H$3&gt;='Gastos Gerais'!$D$4:$D$3143),-(Analítico!H$3&lt;='Gastos Gerais'!$E$4:$E$3143),-('Gastos Gerais'!$C$4:$C$3143))</f>
        <v>0</v>
      </c>
      <c r="I86" s="134">
        <f>SUMPRODUCT(-('Gastos Gerais'!$B$4:$B$3143=Analítico!$B86),-(Analítico!I$3&gt;='Gastos Gerais'!$D$4:$D$3143),-(Analítico!I$3&lt;='Gastos Gerais'!$E$4:$E$3143),-('Gastos Gerais'!$C$4:$C$3143))</f>
        <v>0</v>
      </c>
      <c r="J86" s="134">
        <f>SUMPRODUCT(-('Gastos Gerais'!$B$4:$B$3143=Analítico!$B86),-(Analítico!J$3&gt;='Gastos Gerais'!$D$4:$D$3143),-(Analítico!J$3&lt;='Gastos Gerais'!$E$4:$E$3143),-('Gastos Gerais'!$C$4:$C$3143))</f>
        <v>0</v>
      </c>
      <c r="K86" s="134">
        <f>SUMPRODUCT(-('Gastos Gerais'!$B$4:$B$3143=Analítico!$B86),-(Analítico!K$3&gt;='Gastos Gerais'!$D$4:$D$3143),-(Analítico!K$3&lt;='Gastos Gerais'!$E$4:$E$3143),-('Gastos Gerais'!$C$4:$C$3143))</f>
        <v>0</v>
      </c>
      <c r="L86" s="134">
        <f>SUMPRODUCT(-('Gastos Gerais'!$B$4:$B$3143=Analítico!$B86),-(Analítico!L$3&gt;='Gastos Gerais'!$D$4:$D$3143),-(Analítico!L$3&lt;='Gastos Gerais'!$E$4:$E$3143),-('Gastos Gerais'!$C$4:$C$3143))</f>
        <v>0</v>
      </c>
      <c r="M86" s="134">
        <f>SUMPRODUCT(-('Gastos Gerais'!$B$4:$B$3143=Analítico!$B86),-(Analítico!M$3&gt;='Gastos Gerais'!$D$4:$D$3143),-(Analítico!M$3&lt;='Gastos Gerais'!$E$4:$E$3143),-('Gastos Gerais'!$C$4:$C$3143))</f>
        <v>0</v>
      </c>
      <c r="N86" s="134">
        <f>SUMPRODUCT(-('Gastos Gerais'!$B$4:$B$3143=Analítico!$B86),-(Analítico!N$3&gt;='Gastos Gerais'!$D$4:$D$3143),-(Analítico!N$3&lt;='Gastos Gerais'!$E$4:$E$3143),-('Gastos Gerais'!$C$4:$C$3143))</f>
        <v>0</v>
      </c>
      <c r="O86" s="134">
        <f>SUMPRODUCT(-('Gastos Gerais'!$B$4:$B$3143=Analítico!$B86),-(Analítico!O$3&gt;='Gastos Gerais'!$D$4:$D$3143),-(Analítico!O$3&lt;='Gastos Gerais'!$E$4:$E$3143),-('Gastos Gerais'!$C$4:$C$3143))</f>
        <v>0</v>
      </c>
      <c r="P86" s="134">
        <f>SUMPRODUCT(-('Gastos Gerais'!$B$4:$B$3143=Analítico!$B86),-(Analítico!P$3&gt;='Gastos Gerais'!$D$4:$D$3143),-(Analítico!P$3&lt;='Gastos Gerais'!$E$4:$E$3143),-('Gastos Gerais'!$C$4:$C$3143))</f>
        <v>0</v>
      </c>
      <c r="Q86" s="134">
        <f>SUMPRODUCT(-('Gastos Gerais'!$B$4:$B$3143=Analítico!$B86),-(Analítico!Q$3&gt;='Gastos Gerais'!$D$4:$D$3143),-(Analítico!Q$3&lt;='Gastos Gerais'!$E$4:$E$3143),-('Gastos Gerais'!$C$4:$C$3143))</f>
        <v>0</v>
      </c>
      <c r="R86" s="134">
        <f>SUMPRODUCT(-('Gastos Gerais'!$B$4:$B$3143=Analítico!$B86),-(Analítico!R$3&gt;='Gastos Gerais'!$D$4:$D$3143),-(Analítico!R$3&lt;='Gastos Gerais'!$E$4:$E$3143),-('Gastos Gerais'!$C$4:$C$3143))</f>
        <v>0</v>
      </c>
      <c r="S86" s="134">
        <f>SUMPRODUCT(-('Gastos Gerais'!$B$4:$B$3143=Analítico!$B86),-(Analítico!S$3&gt;='Gastos Gerais'!$D$4:$D$3143),-(Analítico!S$3&lt;='Gastos Gerais'!$E$4:$E$3143),-('Gastos Gerais'!$C$4:$C$3143))</f>
        <v>0</v>
      </c>
      <c r="T86" s="134">
        <f>SUMPRODUCT(-('Gastos Gerais'!$B$4:$B$3143=Analítico!$B86),-(Analítico!T$3&gt;='Gastos Gerais'!$D$4:$D$3143),-(Analítico!T$3&lt;='Gastos Gerais'!$E$4:$E$3143),-('Gastos Gerais'!$C$4:$C$3143))</f>
        <v>0</v>
      </c>
      <c r="U86" s="134">
        <f>SUMPRODUCT(-('Gastos Gerais'!$B$4:$B$3143=Analítico!$B86),-(Analítico!U$3&gt;='Gastos Gerais'!$D$4:$D$3143),-(Analítico!U$3&lt;='Gastos Gerais'!$E$4:$E$3143),-('Gastos Gerais'!$C$4:$C$3143))</f>
        <v>0</v>
      </c>
      <c r="V86" s="134">
        <f>SUMPRODUCT(-('Gastos Gerais'!$B$4:$B$3143=Analítico!$B86),-(Analítico!V$3&gt;='Gastos Gerais'!$D$4:$D$3143),-(Analítico!V$3&lt;='Gastos Gerais'!$E$4:$E$3143),-('Gastos Gerais'!$C$4:$C$3143))</f>
        <v>0</v>
      </c>
      <c r="W86" s="134">
        <f>SUMPRODUCT(-('Gastos Gerais'!$B$4:$B$3143=Analítico!$B86),-(Analítico!W$3&gt;='Gastos Gerais'!$D$4:$D$3143),-(Analítico!W$3&lt;='Gastos Gerais'!$E$4:$E$3143),-('Gastos Gerais'!$C$4:$C$3143))</f>
        <v>0</v>
      </c>
      <c r="X86" s="134">
        <f>SUMPRODUCT(-('Gastos Gerais'!$B$4:$B$3143=Analítico!$B86),-(Analítico!X$3&gt;='Gastos Gerais'!$D$4:$D$3143),-(Analítico!X$3&lt;='Gastos Gerais'!$E$4:$E$3143),-('Gastos Gerais'!$C$4:$C$3143))</f>
        <v>0</v>
      </c>
      <c r="Y86" s="134">
        <f>SUMPRODUCT(-('Gastos Gerais'!$B$4:$B$3143=Analítico!$B86),-(Analítico!Y$3&gt;='Gastos Gerais'!$D$4:$D$3143),-(Analítico!Y$3&lt;='Gastos Gerais'!$E$4:$E$3143),-('Gastos Gerais'!$C$4:$C$3143))</f>
        <v>0</v>
      </c>
      <c r="Z86" s="134">
        <f>SUMPRODUCT(-('Gastos Gerais'!$B$4:$B$3143=Analítico!$B86),-(Analítico!Z$3&gt;='Gastos Gerais'!$D$4:$D$3143),-(Analítico!Z$3&lt;='Gastos Gerais'!$E$4:$E$3143),-('Gastos Gerais'!$C$4:$C$3143))</f>
        <v>0</v>
      </c>
      <c r="AA86" s="134">
        <f>SUMPRODUCT(-('Gastos Gerais'!$B$4:$B$3143=Analítico!$B86),-(Analítico!AA$3&gt;='Gastos Gerais'!$D$4:$D$3143),-(Analítico!AA$3&lt;='Gastos Gerais'!$E$4:$E$3143),-('Gastos Gerais'!$C$4:$C$3143))</f>
        <v>0</v>
      </c>
      <c r="AB86" s="134">
        <f>SUMPRODUCT(-('Gastos Gerais'!$B$4:$B$3143=Analítico!$B86),-(Analítico!AB$3&gt;='Gastos Gerais'!$D$4:$D$3143),-(Analítico!AB$3&lt;='Gastos Gerais'!$E$4:$E$3143),-('Gastos Gerais'!$C$4:$C$3143))</f>
        <v>0</v>
      </c>
      <c r="AC86" s="134">
        <f>SUMPRODUCT(-('Gastos Gerais'!$B$4:$B$3143=Analítico!$B86),-(Analítico!AC$3&gt;='Gastos Gerais'!$D$4:$D$3143),-(Analítico!AC$3&lt;='Gastos Gerais'!$E$4:$E$3143),-('Gastos Gerais'!$C$4:$C$3143))</f>
        <v>0</v>
      </c>
      <c r="AD86" s="134">
        <f>SUMPRODUCT(-('Gastos Gerais'!$B$4:$B$3143=Analítico!$B86),-(Analítico!AD$3&gt;='Gastos Gerais'!$D$4:$D$3143),-(Analítico!AD$3&lt;='Gastos Gerais'!$E$4:$E$3143),-('Gastos Gerais'!$C$4:$C$3143))</f>
        <v>0</v>
      </c>
      <c r="AE86" s="134">
        <f>SUMPRODUCT(-('Gastos Gerais'!$B$4:$B$3143=Analítico!$B86),-(Analítico!AE$3&gt;='Gastos Gerais'!$D$4:$D$3143),-(Analítico!AE$3&lt;='Gastos Gerais'!$E$4:$E$3143),-('Gastos Gerais'!$C$4:$C$3143))</f>
        <v>0</v>
      </c>
      <c r="AF86" s="134">
        <f>SUMPRODUCT(-('Gastos Gerais'!$B$4:$B$3143=Analítico!$B86),-(Analítico!AF$3&gt;='Gastos Gerais'!$D$4:$D$3143),-(Analítico!AF$3&lt;='Gastos Gerais'!$E$4:$E$3143),-('Gastos Gerais'!$C$4:$C$3143))</f>
        <v>0</v>
      </c>
      <c r="AG86" s="134">
        <f>SUMPRODUCT(-('Gastos Gerais'!$B$4:$B$3143=Analítico!$B86),-(Analítico!AG$3&gt;='Gastos Gerais'!$D$4:$D$3143),-(Analítico!AG$3&lt;='Gastos Gerais'!$E$4:$E$3143),-('Gastos Gerais'!$C$4:$C$3143))</f>
        <v>0</v>
      </c>
      <c r="AH86" s="134">
        <f>SUMPRODUCT(-('Gastos Gerais'!$B$4:$B$3143=Analítico!$B86),-(Analítico!AH$3&gt;='Gastos Gerais'!$D$4:$D$3143),-(Analítico!AH$3&lt;='Gastos Gerais'!$E$4:$E$3143),-('Gastos Gerais'!$C$4:$C$3143))</f>
        <v>0</v>
      </c>
      <c r="AI86" s="134">
        <f>SUMPRODUCT(-('Gastos Gerais'!$B$4:$B$3143=Analítico!$B86),-(Analítico!AI$3&gt;='Gastos Gerais'!$D$4:$D$3143),-(Analítico!AI$3&lt;='Gastos Gerais'!$E$4:$E$3143),-('Gastos Gerais'!$C$4:$C$3143))</f>
        <v>0</v>
      </c>
      <c r="AJ86" s="134">
        <f>SUMPRODUCT(-('Gastos Gerais'!$B$4:$B$3143=Analítico!$B86),-(Analítico!AJ$3&gt;='Gastos Gerais'!$D$4:$D$3143),-(Analítico!AJ$3&lt;='Gastos Gerais'!$E$4:$E$3143),-('Gastos Gerais'!$C$4:$C$3143))</f>
        <v>0</v>
      </c>
      <c r="AK86" s="134">
        <f>SUMPRODUCT(-('Gastos Gerais'!$B$4:$B$3143=Analítico!$B86),-(Analítico!AK$3&gt;='Gastos Gerais'!$D$4:$D$3143),-(Analítico!AK$3&lt;='Gastos Gerais'!$E$4:$E$3143),-('Gastos Gerais'!$C$4:$C$3143))</f>
        <v>0</v>
      </c>
      <c r="AL86" s="134">
        <f>SUMPRODUCT(-('Gastos Gerais'!$B$4:$B$3143=Analítico!$B86),-(Analítico!AL$3&gt;='Gastos Gerais'!$D$4:$D$3143),-(Analítico!AL$3&lt;='Gastos Gerais'!$E$4:$E$3143),-('Gastos Gerais'!$C$4:$C$3143))</f>
        <v>0</v>
      </c>
      <c r="AM86" s="134">
        <f>SUMPRODUCT(-('Gastos Gerais'!$B$4:$B$3143=Analítico!$B86),-(Analítico!AM$3&gt;='Gastos Gerais'!$D$4:$D$3143),-(Analítico!AM$3&lt;='Gastos Gerais'!$E$4:$E$3143),-('Gastos Gerais'!$C$4:$C$3143))</f>
        <v>0</v>
      </c>
      <c r="AN86" s="134">
        <f>SUMPRODUCT(-('Gastos Gerais'!$B$4:$B$3143=Analítico!$B86),-(Analítico!AN$3&gt;='Gastos Gerais'!$D$4:$D$3143),-(Analítico!AN$3&lt;='Gastos Gerais'!$E$4:$E$3143),-('Gastos Gerais'!$C$4:$C$3143))</f>
        <v>0</v>
      </c>
      <c r="AO86" s="134">
        <f>SUMPRODUCT(-('Gastos Gerais'!$B$4:$B$3143=Analítico!$B86),-(Analítico!AO$3&gt;='Gastos Gerais'!$D$4:$D$3143),-(Analítico!AO$3&lt;='Gastos Gerais'!$E$4:$E$3143),-('Gastos Gerais'!$C$4:$C$3143))</f>
        <v>0</v>
      </c>
      <c r="AP86" s="134">
        <f>SUMPRODUCT(-('Gastos Gerais'!$B$4:$B$3143=Analítico!$B86),-(Analítico!AP$3&gt;='Gastos Gerais'!$D$4:$D$3143),-(Analítico!AP$3&lt;='Gastos Gerais'!$E$4:$E$3143),-('Gastos Gerais'!$C$4:$C$3143))</f>
        <v>0</v>
      </c>
      <c r="AQ86" s="134">
        <f>SUMPRODUCT(-('Gastos Gerais'!$B$4:$B$3143=Analítico!$B86),-(Analítico!AQ$3&gt;='Gastos Gerais'!$D$4:$D$3143),-(Analítico!AQ$3&lt;='Gastos Gerais'!$E$4:$E$3143),-('Gastos Gerais'!$C$4:$C$3143))</f>
        <v>0</v>
      </c>
      <c r="AR86" s="134">
        <f>SUMPRODUCT(-('Gastos Gerais'!$B$4:$B$3143=Analítico!$B86),-(Analítico!AR$3&gt;='Gastos Gerais'!$D$4:$D$3143),-(Analítico!AR$3&lt;='Gastos Gerais'!$E$4:$E$3143),-('Gastos Gerais'!$C$4:$C$3143))</f>
        <v>0</v>
      </c>
      <c r="AS86" s="134">
        <f>SUMPRODUCT(-('Gastos Gerais'!$B$4:$B$3143=Analítico!$B86),-(Analítico!AS$3&gt;='Gastos Gerais'!$D$4:$D$3143),-(Analítico!AS$3&lt;='Gastos Gerais'!$E$4:$E$3143),-('Gastos Gerais'!$C$4:$C$3143))</f>
        <v>0</v>
      </c>
      <c r="AT86" s="134">
        <f>SUMPRODUCT(-('Gastos Gerais'!$B$4:$B$3143=Analítico!$B86),-(Analítico!AT$3&gt;='Gastos Gerais'!$D$4:$D$3143),-(Analítico!AT$3&lt;='Gastos Gerais'!$E$4:$E$3143),-('Gastos Gerais'!$C$4:$C$3143))</f>
        <v>0</v>
      </c>
      <c r="AU86" s="134">
        <f>SUMPRODUCT(-('Gastos Gerais'!$B$4:$B$3143=Analítico!$B86),-(Analítico!AU$3&gt;='Gastos Gerais'!$D$4:$D$3143),-(Analítico!AU$3&lt;='Gastos Gerais'!$E$4:$E$3143),-('Gastos Gerais'!$C$4:$C$3143))</f>
        <v>0</v>
      </c>
      <c r="AV86" s="134">
        <f>SUMPRODUCT(-('Gastos Gerais'!$B$4:$B$3143=Analítico!$B86),-(Analítico!AV$3&gt;='Gastos Gerais'!$D$4:$D$3143),-(Analítico!AV$3&lt;='Gastos Gerais'!$E$4:$E$3143),-('Gastos Gerais'!$C$4:$C$3143))</f>
        <v>0</v>
      </c>
      <c r="AW86" s="134">
        <f>SUMPRODUCT(-('Gastos Gerais'!$B$4:$B$3143=Analítico!$B86),-(Analítico!AW$3&gt;='Gastos Gerais'!$D$4:$D$3143),-(Analítico!AW$3&lt;='Gastos Gerais'!$E$4:$E$3143),-('Gastos Gerais'!$C$4:$C$3143))</f>
        <v>0</v>
      </c>
      <c r="AX86" s="134">
        <f>SUMPRODUCT(-('Gastos Gerais'!$B$4:$B$3143=Analítico!$B86),-(Analítico!AX$3&gt;='Gastos Gerais'!$D$4:$D$3143),-(Analítico!AX$3&lt;='Gastos Gerais'!$E$4:$E$3143),-('Gastos Gerais'!$C$4:$C$3143))</f>
        <v>0</v>
      </c>
      <c r="AY86" s="134">
        <f>SUMPRODUCT(-('Gastos Gerais'!$B$4:$B$3143=Analítico!$B86),-(Analítico!AY$3&gt;='Gastos Gerais'!$D$4:$D$3143),-(Analítico!AY$3&lt;='Gastos Gerais'!$E$4:$E$3143),-('Gastos Gerais'!$C$4:$C$3143))</f>
        <v>0</v>
      </c>
      <c r="AZ86" s="134">
        <f>SUMPRODUCT(-('Gastos Gerais'!$B$4:$B$3143=Analítico!$B86),-(Analítico!AZ$3&gt;='Gastos Gerais'!$D$4:$D$3143),-(Analítico!AZ$3&lt;='Gastos Gerais'!$E$4:$E$3143),-('Gastos Gerais'!$C$4:$C$3143))</f>
        <v>0</v>
      </c>
      <c r="BA86" s="134">
        <f>SUMPRODUCT(-('Gastos Gerais'!$B$4:$B$3143=Analítico!$B86),-(Analítico!BA$3&gt;='Gastos Gerais'!$D$4:$D$3143),-(Analítico!BA$3&lt;='Gastos Gerais'!$E$4:$E$3143),-('Gastos Gerais'!$C$4:$C$3143))</f>
        <v>0</v>
      </c>
      <c r="BB86" s="134">
        <f>SUMPRODUCT(-('Gastos Gerais'!$B$4:$B$3143=Analítico!$B86),-(Analítico!BB$3&gt;='Gastos Gerais'!$D$4:$D$3143),-(Analítico!BB$3&lt;='Gastos Gerais'!$E$4:$E$3143),-('Gastos Gerais'!$C$4:$C$3143))</f>
        <v>0</v>
      </c>
      <c r="BC86" s="134">
        <f>SUMPRODUCT(-('Gastos Gerais'!$B$4:$B$3143=Analítico!$B86),-(Analítico!BC$3&gt;='Gastos Gerais'!$D$4:$D$3143),-(Analítico!BC$3&lt;='Gastos Gerais'!$E$4:$E$3143),-('Gastos Gerais'!$C$4:$C$3143))</f>
        <v>0</v>
      </c>
      <c r="BD86" s="134">
        <f>SUMPRODUCT(-('Gastos Gerais'!$B$4:$B$3143=Analítico!$B86),-(Analítico!BD$3&gt;='Gastos Gerais'!$D$4:$D$3143),-(Analítico!BD$3&lt;='Gastos Gerais'!$E$4:$E$3143),-('Gastos Gerais'!$C$4:$C$3143))</f>
        <v>0</v>
      </c>
      <c r="BE86" s="134">
        <f>SUMPRODUCT(-('Gastos Gerais'!$B$4:$B$3143=Analítico!$B86),-(Analítico!BE$3&gt;='Gastos Gerais'!$D$4:$D$3143),-(Analítico!BE$3&lt;='Gastos Gerais'!$E$4:$E$3143),-('Gastos Gerais'!$C$4:$C$3143))</f>
        <v>0</v>
      </c>
      <c r="BF86" s="134">
        <f>SUMPRODUCT(-('Gastos Gerais'!$B$4:$B$3143=Analítico!$B86),-(Analítico!BF$3&gt;='Gastos Gerais'!$D$4:$D$3143),-(Analítico!BF$3&lt;='Gastos Gerais'!$E$4:$E$3143),-('Gastos Gerais'!$C$4:$C$3143))</f>
        <v>0</v>
      </c>
      <c r="BG86" s="134">
        <f>SUMPRODUCT(-('Gastos Gerais'!$B$4:$B$3143=Analítico!$B86),-(Analítico!BG$3&gt;='Gastos Gerais'!$D$4:$D$3143),-(Analítico!BG$3&lt;='Gastos Gerais'!$E$4:$E$3143),-('Gastos Gerais'!$C$4:$C$3143))</f>
        <v>0</v>
      </c>
      <c r="BH86" s="134">
        <f>SUMPRODUCT(-('Gastos Gerais'!$B$4:$B$3143=Analítico!$B86),-(Analítico!BH$3&gt;='Gastos Gerais'!$D$4:$D$3143),-(Analítico!BH$3&lt;='Gastos Gerais'!$E$4:$E$3143),-('Gastos Gerais'!$C$4:$C$3143))</f>
        <v>0</v>
      </c>
      <c r="BI86" s="134">
        <f>SUMPRODUCT(-('Gastos Gerais'!$B$4:$B$3143=Analítico!$B86),-(Analítico!BI$3&gt;='Gastos Gerais'!$D$4:$D$3143),-(Analítico!BI$3&lt;='Gastos Gerais'!$E$4:$E$3143),-('Gastos Gerais'!$C$4:$C$3143))</f>
        <v>0</v>
      </c>
      <c r="BJ86" s="134">
        <f>SUMPRODUCT(-('Gastos Gerais'!$B$4:$B$3143=Analítico!$B86),-(Analítico!BJ$3&gt;='Gastos Gerais'!$D$4:$D$3143),-(Analítico!BJ$3&lt;='Gastos Gerais'!$E$4:$E$3143),-('Gastos Gerais'!$C$4:$C$3143))</f>
        <v>0</v>
      </c>
      <c r="BK86" s="189">
        <f t="shared" si="24"/>
        <v>0</v>
      </c>
      <c r="BL86" s="136">
        <f t="shared" ca="1" si="25"/>
        <v>0</v>
      </c>
    </row>
    <row r="87" spans="1:64" s="160" customFormat="1" ht="23.25" customHeight="1">
      <c r="A87" s="229" t="s">
        <v>251</v>
      </c>
      <c r="B87" s="232" t="s">
        <v>252</v>
      </c>
      <c r="C87" s="188">
        <f>SUMPRODUCT(-('Gastos Gerais'!$B$4:$B$3143=Analítico!$B87),-(Analítico!C$3&gt;='Gastos Gerais'!$D$4:$D$3143),-(Analítico!C$3&lt;='Gastos Gerais'!$E$4:$E$3143),-('Gastos Gerais'!$C$4:$C$3143))</f>
        <v>237376.97</v>
      </c>
      <c r="D87" s="134">
        <f>SUMPRODUCT(-('Gastos Gerais'!$B$4:$B$3143=Analítico!$B87),-(Analítico!D$3&gt;='Gastos Gerais'!$D$4:$D$3143),-(Analítico!D$3&lt;='Gastos Gerais'!$E$4:$E$3143),-('Gastos Gerais'!$C$4:$C$3143))</f>
        <v>226876.97</v>
      </c>
      <c r="E87" s="134">
        <f>SUMPRODUCT(-('Gastos Gerais'!$B$4:$B$3143=Analítico!$B87),-(Analítico!E$3&gt;='Gastos Gerais'!$D$4:$D$3143),-(Analítico!E$3&lt;='Gastos Gerais'!$E$4:$E$3143),-('Gastos Gerais'!$C$4:$C$3143))</f>
        <v>241487.68</v>
      </c>
      <c r="F87" s="134">
        <f>SUMPRODUCT(-('Gastos Gerais'!$B$4:$B$3143=Analítico!$B87),-(Analítico!F$3&gt;='Gastos Gerais'!$D$4:$D$3143),-(Analítico!F$3&lt;='Gastos Gerais'!$E$4:$E$3143),-('Gastos Gerais'!$C$4:$C$3143))</f>
        <v>249487.68</v>
      </c>
      <c r="G87" s="134">
        <f>SUMPRODUCT(-('Gastos Gerais'!$B$4:$B$3143=Analítico!$B87),-(Analítico!G$3&gt;='Gastos Gerais'!$D$4:$D$3143),-(Analítico!G$3&lt;='Gastos Gerais'!$E$4:$E$3143),-('Gastos Gerais'!$C$4:$C$3143))</f>
        <v>249487.68</v>
      </c>
      <c r="H87" s="134">
        <f>SUMPRODUCT(-('Gastos Gerais'!$B$4:$B$3143=Analítico!$B87),-(Analítico!H$3&gt;='Gastos Gerais'!$D$4:$D$3143),-(Analítico!H$3&lt;='Gastos Gerais'!$E$4:$E$3143),-('Gastos Gerais'!$C$4:$C$3143))</f>
        <v>249487.68</v>
      </c>
      <c r="I87" s="134">
        <f>SUMPRODUCT(-('Gastos Gerais'!$B$4:$B$3143=Analítico!$B87),-(Analítico!I$3&gt;='Gastos Gerais'!$D$4:$D$3143),-(Analítico!I$3&lt;='Gastos Gerais'!$E$4:$E$3143),-('Gastos Gerais'!$C$4:$C$3143))</f>
        <v>257487.68</v>
      </c>
      <c r="J87" s="134">
        <f>SUMPRODUCT(-('Gastos Gerais'!$B$4:$B$3143=Analítico!$B87),-(Analítico!J$3&gt;='Gastos Gerais'!$D$4:$D$3143),-(Analítico!J$3&lt;='Gastos Gerais'!$E$4:$E$3143),-('Gastos Gerais'!$C$4:$C$3143))</f>
        <v>257487.68</v>
      </c>
      <c r="K87" s="134">
        <f>SUMPRODUCT(-('Gastos Gerais'!$B$4:$B$3143=Analítico!$B87),-(Analítico!K$3&gt;='Gastos Gerais'!$D$4:$D$3143),-(Analítico!K$3&lt;='Gastos Gerais'!$E$4:$E$3143),-('Gastos Gerais'!$C$4:$C$3143))</f>
        <v>257487.68</v>
      </c>
      <c r="L87" s="134">
        <f>SUMPRODUCT(-('Gastos Gerais'!$B$4:$B$3143=Analítico!$B87),-(Analítico!L$3&gt;='Gastos Gerais'!$D$4:$D$3143),-(Analítico!L$3&lt;='Gastos Gerais'!$E$4:$E$3143),-('Gastos Gerais'!$C$4:$C$3143))</f>
        <v>265487.68</v>
      </c>
      <c r="M87" s="134">
        <f>SUMPRODUCT(-('Gastos Gerais'!$B$4:$B$3143=Analítico!$B87),-(Analítico!M$3&gt;='Gastos Gerais'!$D$4:$D$3143),-(Analítico!M$3&lt;='Gastos Gerais'!$E$4:$E$3143),-('Gastos Gerais'!$C$4:$C$3143))</f>
        <v>265487.68</v>
      </c>
      <c r="N87" s="134">
        <f>SUMPRODUCT(-('Gastos Gerais'!$B$4:$B$3143=Analítico!$B87),-(Analítico!N$3&gt;='Gastos Gerais'!$D$4:$D$3143),-(Analítico!N$3&lt;='Gastos Gerais'!$E$4:$E$3143),-('Gastos Gerais'!$C$4:$C$3143))</f>
        <v>265487.68</v>
      </c>
      <c r="O87" s="134">
        <f>SUMPRODUCT(-('Gastos Gerais'!$B$4:$B$3143=Analítico!$B87),-(Analítico!O$3&gt;='Gastos Gerais'!$D$4:$D$3143),-(Analítico!O$3&lt;='Gastos Gerais'!$E$4:$E$3143),-('Gastos Gerais'!$C$4:$C$3143))</f>
        <v>215206.51680000001</v>
      </c>
      <c r="P87" s="134">
        <f>SUMPRODUCT(-('Gastos Gerais'!$B$4:$B$3143=Analítico!$B87),-(Analítico!P$3&gt;='Gastos Gerais'!$D$4:$D$3143),-(Analítico!P$3&lt;='Gastos Gerais'!$E$4:$E$3143),-('Gastos Gerais'!$C$4:$C$3143))</f>
        <v>215206.51680000001</v>
      </c>
      <c r="Q87" s="134">
        <f>SUMPRODUCT(-('Gastos Gerais'!$B$4:$B$3143=Analítico!$B87),-(Analítico!Q$3&gt;='Gastos Gerais'!$D$4:$D$3143),-(Analítico!Q$3&lt;='Gastos Gerais'!$E$4:$E$3143),-('Gastos Gerais'!$C$4:$C$3143))</f>
        <v>271265.3468</v>
      </c>
      <c r="R87" s="134">
        <f>SUMPRODUCT(-('Gastos Gerais'!$B$4:$B$3143=Analítico!$B87),-(Analítico!R$3&gt;='Gastos Gerais'!$D$4:$D$3143),-(Analítico!R$3&lt;='Gastos Gerais'!$E$4:$E$3143),-('Gastos Gerais'!$C$4:$C$3143))</f>
        <v>271265.3468</v>
      </c>
      <c r="S87" s="134">
        <f>SUMPRODUCT(-('Gastos Gerais'!$B$4:$B$3143=Analítico!$B87),-(Analítico!S$3&gt;='Gastos Gerais'!$D$4:$D$3143),-(Analítico!S$3&lt;='Gastos Gerais'!$E$4:$E$3143),-('Gastos Gerais'!$C$4:$C$3143))</f>
        <v>271265.3468</v>
      </c>
      <c r="T87" s="134">
        <f>SUMPRODUCT(-('Gastos Gerais'!$B$4:$B$3143=Analítico!$B87),-(Analítico!T$3&gt;='Gastos Gerais'!$D$4:$D$3143),-(Analítico!T$3&lt;='Gastos Gerais'!$E$4:$E$3143),-('Gastos Gerais'!$C$4:$C$3143))</f>
        <v>271265.3468</v>
      </c>
      <c r="U87" s="134">
        <f>SUMPRODUCT(-('Gastos Gerais'!$B$4:$B$3143=Analítico!$B87),-(Analítico!U$3&gt;='Gastos Gerais'!$D$4:$D$3143),-(Analítico!U$3&lt;='Gastos Gerais'!$E$4:$E$3143),-('Gastos Gerais'!$C$4:$C$3143))</f>
        <v>271265.3468</v>
      </c>
      <c r="V87" s="134">
        <f>SUMPRODUCT(-('Gastos Gerais'!$B$4:$B$3143=Analítico!$B87),-(Analítico!V$3&gt;='Gastos Gerais'!$D$4:$D$3143),-(Analítico!V$3&lt;='Gastos Gerais'!$E$4:$E$3143),-('Gastos Gerais'!$C$4:$C$3143))</f>
        <v>271265.3468</v>
      </c>
      <c r="W87" s="134">
        <f>SUMPRODUCT(-('Gastos Gerais'!$B$4:$B$3143=Analítico!$B87),-(Analítico!W$3&gt;='Gastos Gerais'!$D$4:$D$3143),-(Analítico!W$3&lt;='Gastos Gerais'!$E$4:$E$3143),-('Gastos Gerais'!$C$4:$C$3143))</f>
        <v>271265.3468</v>
      </c>
      <c r="X87" s="134">
        <f>SUMPRODUCT(-('Gastos Gerais'!$B$4:$B$3143=Analítico!$B87),-(Analítico!X$3&gt;='Gastos Gerais'!$D$4:$D$3143),-(Analítico!X$3&lt;='Gastos Gerais'!$E$4:$E$3143),-('Gastos Gerais'!$C$4:$C$3143))</f>
        <v>271265.3468</v>
      </c>
      <c r="Y87" s="134">
        <f>SUMPRODUCT(-('Gastos Gerais'!$B$4:$B$3143=Analítico!$B87),-(Analítico!Y$3&gt;='Gastos Gerais'!$D$4:$D$3143),-(Analítico!Y$3&lt;='Gastos Gerais'!$E$4:$E$3143),-('Gastos Gerais'!$C$4:$C$3143))</f>
        <v>271265.3468</v>
      </c>
      <c r="Z87" s="134">
        <f>SUMPRODUCT(-('Gastos Gerais'!$B$4:$B$3143=Analítico!$B87),-(Analítico!Z$3&gt;='Gastos Gerais'!$D$4:$D$3143),-(Analítico!Z$3&lt;='Gastos Gerais'!$E$4:$E$3143),-('Gastos Gerais'!$C$4:$C$3143))</f>
        <v>271265.3468</v>
      </c>
      <c r="AA87" s="134">
        <f>SUMPRODUCT(-('Gastos Gerais'!$B$4:$B$3143=Analítico!$B87),-(Analítico!AA$3&gt;='Gastos Gerais'!$D$4:$D$3143),-(Analítico!AA$3&lt;='Gastos Gerais'!$E$4:$E$3143),-('Gastos Gerais'!$C$4:$C$3143))</f>
        <v>221566.34263999999</v>
      </c>
      <c r="AB87" s="134">
        <f>SUMPRODUCT(-('Gastos Gerais'!$B$4:$B$3143=Analítico!$B87),-(Analítico!AB$3&gt;='Gastos Gerais'!$D$4:$D$3143),-(Analítico!AB$3&lt;='Gastos Gerais'!$E$4:$E$3143),-('Gastos Gerais'!$C$4:$C$3143))</f>
        <v>221566.34263999999</v>
      </c>
      <c r="AC87" s="134">
        <f>SUMPRODUCT(-('Gastos Gerais'!$B$4:$B$3143=Analítico!$B87),-(Analítico!AC$3&gt;='Gastos Gerais'!$D$4:$D$3143),-(Analítico!AC$3&lt;='Gastos Gerais'!$E$4:$E$3143),-('Gastos Gerais'!$C$4:$C$3143))</f>
        <v>280988.70263999997</v>
      </c>
      <c r="AD87" s="134">
        <f>SUMPRODUCT(-('Gastos Gerais'!$B$4:$B$3143=Analítico!$B87),-(Analítico!AD$3&gt;='Gastos Gerais'!$D$4:$D$3143),-(Analítico!AD$3&lt;='Gastos Gerais'!$E$4:$E$3143),-('Gastos Gerais'!$C$4:$C$3143))</f>
        <v>280988.70263999997</v>
      </c>
      <c r="AE87" s="134">
        <f>SUMPRODUCT(-('Gastos Gerais'!$B$4:$B$3143=Analítico!$B87),-(Analítico!AE$3&gt;='Gastos Gerais'!$D$4:$D$3143),-(Analítico!AE$3&lt;='Gastos Gerais'!$E$4:$E$3143),-('Gastos Gerais'!$C$4:$C$3143))</f>
        <v>280988.70263999997</v>
      </c>
      <c r="AF87" s="134">
        <f>SUMPRODUCT(-('Gastos Gerais'!$B$4:$B$3143=Analítico!$B87),-(Analítico!AF$3&gt;='Gastos Gerais'!$D$4:$D$3143),-(Analítico!AF$3&lt;='Gastos Gerais'!$E$4:$E$3143),-('Gastos Gerais'!$C$4:$C$3143))</f>
        <v>280988.70263999997</v>
      </c>
      <c r="AG87" s="134">
        <f>SUMPRODUCT(-('Gastos Gerais'!$B$4:$B$3143=Analítico!$B87),-(Analítico!AG$3&gt;='Gastos Gerais'!$D$4:$D$3143),-(Analítico!AG$3&lt;='Gastos Gerais'!$E$4:$E$3143),-('Gastos Gerais'!$C$4:$C$3143))</f>
        <v>280988.70263999997</v>
      </c>
      <c r="AH87" s="134">
        <f>SUMPRODUCT(-('Gastos Gerais'!$B$4:$B$3143=Analítico!$B87),-(Analítico!AH$3&gt;='Gastos Gerais'!$D$4:$D$3143),-(Analítico!AH$3&lt;='Gastos Gerais'!$E$4:$E$3143),-('Gastos Gerais'!$C$4:$C$3143))</f>
        <v>280988.70263999997</v>
      </c>
      <c r="AI87" s="134">
        <f>SUMPRODUCT(-('Gastos Gerais'!$B$4:$B$3143=Analítico!$B87),-(Analítico!AI$3&gt;='Gastos Gerais'!$D$4:$D$3143),-(Analítico!AI$3&lt;='Gastos Gerais'!$E$4:$E$3143),-('Gastos Gerais'!$C$4:$C$3143))</f>
        <v>280988.70263999997</v>
      </c>
      <c r="AJ87" s="134">
        <f>SUMPRODUCT(-('Gastos Gerais'!$B$4:$B$3143=Analítico!$B87),-(Analítico!AJ$3&gt;='Gastos Gerais'!$D$4:$D$3143),-(Analítico!AJ$3&lt;='Gastos Gerais'!$E$4:$E$3143),-('Gastos Gerais'!$C$4:$C$3143))</f>
        <v>280988.70263999997</v>
      </c>
      <c r="AK87" s="134">
        <f>SUMPRODUCT(-('Gastos Gerais'!$B$4:$B$3143=Analítico!$B87),-(Analítico!AK$3&gt;='Gastos Gerais'!$D$4:$D$3143),-(Analítico!AK$3&lt;='Gastos Gerais'!$E$4:$E$3143),-('Gastos Gerais'!$C$4:$C$3143))</f>
        <v>280988.70263999997</v>
      </c>
      <c r="AL87" s="134">
        <f>SUMPRODUCT(-('Gastos Gerais'!$B$4:$B$3143=Analítico!$B87),-(Analítico!AL$3&gt;='Gastos Gerais'!$D$4:$D$3143),-(Analítico!AL$3&lt;='Gastos Gerais'!$E$4:$E$3143),-('Gastos Gerais'!$C$4:$C$3143))</f>
        <v>280988.70263999997</v>
      </c>
      <c r="AM87" s="134">
        <f>SUMPRODUCT(-('Gastos Gerais'!$B$4:$B$3143=Analítico!$B87),-(Analítico!AM$3&gt;='Gastos Gerais'!$D$4:$D$3143),-(Analítico!AM$3&lt;='Gastos Gerais'!$E$4:$E$3143),-('Gastos Gerais'!$C$4:$C$3143))</f>
        <v>108782</v>
      </c>
      <c r="AN87" s="134">
        <f>SUMPRODUCT(-('Gastos Gerais'!$B$4:$B$3143=Analítico!$B87),-(Analítico!AN$3&gt;='Gastos Gerais'!$D$4:$D$3143),-(Analítico!AN$3&lt;='Gastos Gerais'!$E$4:$E$3143),-('Gastos Gerais'!$C$4:$C$3143))</f>
        <v>108782</v>
      </c>
      <c r="AO87" s="134">
        <f>SUMPRODUCT(-('Gastos Gerais'!$B$4:$B$3143=Analítico!$B87),-(Analítico!AO$3&gt;='Gastos Gerais'!$D$4:$D$3143),-(Analítico!AO$3&lt;='Gastos Gerais'!$E$4:$E$3143),-('Gastos Gerais'!$C$4:$C$3143))</f>
        <v>138782</v>
      </c>
      <c r="AP87" s="134">
        <f>SUMPRODUCT(-('Gastos Gerais'!$B$4:$B$3143=Analítico!$B87),-(Analítico!AP$3&gt;='Gastos Gerais'!$D$4:$D$3143),-(Analítico!AP$3&lt;='Gastos Gerais'!$E$4:$E$3143),-('Gastos Gerais'!$C$4:$C$3143))</f>
        <v>138782</v>
      </c>
      <c r="AQ87" s="134">
        <f>SUMPRODUCT(-('Gastos Gerais'!$B$4:$B$3143=Analítico!$B87),-(Analítico!AQ$3&gt;='Gastos Gerais'!$D$4:$D$3143),-(Analítico!AQ$3&lt;='Gastos Gerais'!$E$4:$E$3143),-('Gastos Gerais'!$C$4:$C$3143))</f>
        <v>138782</v>
      </c>
      <c r="AR87" s="134">
        <f>SUMPRODUCT(-('Gastos Gerais'!$B$4:$B$3143=Analítico!$B87),-(Analítico!AR$3&gt;='Gastos Gerais'!$D$4:$D$3143),-(Analítico!AR$3&lt;='Gastos Gerais'!$E$4:$E$3143),-('Gastos Gerais'!$C$4:$C$3143))</f>
        <v>138782</v>
      </c>
      <c r="AS87" s="134">
        <f>SUMPRODUCT(-('Gastos Gerais'!$B$4:$B$3143=Analítico!$B87),-(Analítico!AS$3&gt;='Gastos Gerais'!$D$4:$D$3143),-(Analítico!AS$3&lt;='Gastos Gerais'!$E$4:$E$3143),-('Gastos Gerais'!$C$4:$C$3143))</f>
        <v>138782</v>
      </c>
      <c r="AT87" s="134">
        <f>SUMPRODUCT(-('Gastos Gerais'!$B$4:$B$3143=Analítico!$B87),-(Analítico!AT$3&gt;='Gastos Gerais'!$D$4:$D$3143),-(Analítico!AT$3&lt;='Gastos Gerais'!$E$4:$E$3143),-('Gastos Gerais'!$C$4:$C$3143))</f>
        <v>138782</v>
      </c>
      <c r="AU87" s="134">
        <f>SUMPRODUCT(-('Gastos Gerais'!$B$4:$B$3143=Analítico!$B87),-(Analítico!AU$3&gt;='Gastos Gerais'!$D$4:$D$3143),-(Analítico!AU$3&lt;='Gastos Gerais'!$E$4:$E$3143),-('Gastos Gerais'!$C$4:$C$3143))</f>
        <v>138782</v>
      </c>
      <c r="AV87" s="134">
        <f>SUMPRODUCT(-('Gastos Gerais'!$B$4:$B$3143=Analítico!$B87),-(Analítico!AV$3&gt;='Gastos Gerais'!$D$4:$D$3143),-(Analítico!AV$3&lt;='Gastos Gerais'!$E$4:$E$3143),-('Gastos Gerais'!$C$4:$C$3143))</f>
        <v>138782</v>
      </c>
      <c r="AW87" s="134">
        <f>SUMPRODUCT(-('Gastos Gerais'!$B$4:$B$3143=Analítico!$B87),-(Analítico!AW$3&gt;='Gastos Gerais'!$D$4:$D$3143),-(Analítico!AW$3&lt;='Gastos Gerais'!$E$4:$E$3143),-('Gastos Gerais'!$C$4:$C$3143))</f>
        <v>138782</v>
      </c>
      <c r="AX87" s="134">
        <f>SUMPRODUCT(-('Gastos Gerais'!$B$4:$B$3143=Analítico!$B87),-(Analítico!AX$3&gt;='Gastos Gerais'!$D$4:$D$3143),-(Analítico!AX$3&lt;='Gastos Gerais'!$E$4:$E$3143),-('Gastos Gerais'!$C$4:$C$3143))</f>
        <v>0</v>
      </c>
      <c r="AY87" s="134">
        <f>SUMPRODUCT(-('Gastos Gerais'!$B$4:$B$3143=Analítico!$B87),-(Analítico!AY$3&gt;='Gastos Gerais'!$D$4:$D$3143),-(Analítico!AY$3&lt;='Gastos Gerais'!$E$4:$E$3143),-('Gastos Gerais'!$C$4:$C$3143))</f>
        <v>0</v>
      </c>
      <c r="AZ87" s="134">
        <f>SUMPRODUCT(-('Gastos Gerais'!$B$4:$B$3143=Analítico!$B87),-(Analítico!AZ$3&gt;='Gastos Gerais'!$D$4:$D$3143),-(Analítico!AZ$3&lt;='Gastos Gerais'!$E$4:$E$3143),-('Gastos Gerais'!$C$4:$C$3143))</f>
        <v>0</v>
      </c>
      <c r="BA87" s="134">
        <f>SUMPRODUCT(-('Gastos Gerais'!$B$4:$B$3143=Analítico!$B87),-(Analítico!BA$3&gt;='Gastos Gerais'!$D$4:$D$3143),-(Analítico!BA$3&lt;='Gastos Gerais'!$E$4:$E$3143),-('Gastos Gerais'!$C$4:$C$3143))</f>
        <v>0</v>
      </c>
      <c r="BB87" s="134">
        <f>SUMPRODUCT(-('Gastos Gerais'!$B$4:$B$3143=Analítico!$B87),-(Analítico!BB$3&gt;='Gastos Gerais'!$D$4:$D$3143),-(Analítico!BB$3&lt;='Gastos Gerais'!$E$4:$E$3143),-('Gastos Gerais'!$C$4:$C$3143))</f>
        <v>0</v>
      </c>
      <c r="BC87" s="134">
        <f>SUMPRODUCT(-('Gastos Gerais'!$B$4:$B$3143=Analítico!$B87),-(Analítico!BC$3&gt;='Gastos Gerais'!$D$4:$D$3143),-(Analítico!BC$3&lt;='Gastos Gerais'!$E$4:$E$3143),-('Gastos Gerais'!$C$4:$C$3143))</f>
        <v>0</v>
      </c>
      <c r="BD87" s="134">
        <f>SUMPRODUCT(-('Gastos Gerais'!$B$4:$B$3143=Analítico!$B87),-(Analítico!BD$3&gt;='Gastos Gerais'!$D$4:$D$3143),-(Analítico!BD$3&lt;='Gastos Gerais'!$E$4:$E$3143),-('Gastos Gerais'!$C$4:$C$3143))</f>
        <v>0</v>
      </c>
      <c r="BE87" s="134">
        <f>SUMPRODUCT(-('Gastos Gerais'!$B$4:$B$3143=Analítico!$B87),-(Analítico!BE$3&gt;='Gastos Gerais'!$D$4:$D$3143),-(Analítico!BE$3&lt;='Gastos Gerais'!$E$4:$E$3143),-('Gastos Gerais'!$C$4:$C$3143))</f>
        <v>0</v>
      </c>
      <c r="BF87" s="134">
        <f>SUMPRODUCT(-('Gastos Gerais'!$B$4:$B$3143=Analítico!$B87),-(Analítico!BF$3&gt;='Gastos Gerais'!$D$4:$D$3143),-(Analítico!BF$3&lt;='Gastos Gerais'!$E$4:$E$3143),-('Gastos Gerais'!$C$4:$C$3143))</f>
        <v>0</v>
      </c>
      <c r="BG87" s="134">
        <f>SUMPRODUCT(-('Gastos Gerais'!$B$4:$B$3143=Analítico!$B87),-(Analítico!BG$3&gt;='Gastos Gerais'!$D$4:$D$3143),-(Analítico!BG$3&lt;='Gastos Gerais'!$E$4:$E$3143),-('Gastos Gerais'!$C$4:$C$3143))</f>
        <v>0</v>
      </c>
      <c r="BH87" s="134">
        <f>SUMPRODUCT(-('Gastos Gerais'!$B$4:$B$3143=Analítico!$B87),-(Analítico!BH$3&gt;='Gastos Gerais'!$D$4:$D$3143),-(Analítico!BH$3&lt;='Gastos Gerais'!$E$4:$E$3143),-('Gastos Gerais'!$C$4:$C$3143))</f>
        <v>0</v>
      </c>
      <c r="BI87" s="134">
        <f>SUMPRODUCT(-('Gastos Gerais'!$B$4:$B$3143=Analítico!$B87),-(Analítico!BI$3&gt;='Gastos Gerais'!$D$4:$D$3143),-(Analítico!BI$3&lt;='Gastos Gerais'!$E$4:$E$3143),-('Gastos Gerais'!$C$4:$C$3143))</f>
        <v>0</v>
      </c>
      <c r="BJ87" s="134">
        <f>SUMPRODUCT(-('Gastos Gerais'!$B$4:$B$3143=Analítico!$B87),-(Analítico!BJ$3&gt;='Gastos Gerais'!$D$4:$D$3143),-(Analítico!BJ$3&lt;='Gastos Gerais'!$E$4:$E$3143),-('Gastos Gerais'!$C$4:$C$3143))</f>
        <v>0</v>
      </c>
      <c r="BK87" s="189">
        <f t="shared" si="24"/>
        <v>10885818.953280006</v>
      </c>
      <c r="BL87" s="136">
        <f t="shared" ca="1" si="25"/>
        <v>3.747985407473834E-2</v>
      </c>
    </row>
    <row r="88" spans="1:64" s="160" customFormat="1" ht="23.25" customHeight="1">
      <c r="A88" s="229" t="s">
        <v>253</v>
      </c>
      <c r="B88" s="232" t="s">
        <v>254</v>
      </c>
      <c r="C88" s="188">
        <f>SUMPRODUCT(-('Gastos Gerais'!$B$4:$B$3143=Analítico!$B88),-(Analítico!C$3&gt;='Gastos Gerais'!$D$4:$D$3143),-(Analítico!C$3&lt;='Gastos Gerais'!$E$4:$E$3143),-('Gastos Gerais'!$C$4:$C$3143))</f>
        <v>0</v>
      </c>
      <c r="D88" s="134">
        <f>SUMPRODUCT(-('Gastos Gerais'!$B$4:$B$3143=Analítico!$B88),-(Analítico!D$3&gt;='Gastos Gerais'!$D$4:$D$3143),-(Analítico!D$3&lt;='Gastos Gerais'!$E$4:$E$3143),-('Gastos Gerais'!$C$4:$C$3143))</f>
        <v>0</v>
      </c>
      <c r="E88" s="134">
        <f>SUMPRODUCT(-('Gastos Gerais'!$B$4:$B$3143=Analítico!$B88),-(Analítico!E$3&gt;='Gastos Gerais'!$D$4:$D$3143),-(Analítico!E$3&lt;='Gastos Gerais'!$E$4:$E$3143),-('Gastos Gerais'!$C$4:$C$3143))</f>
        <v>0</v>
      </c>
      <c r="F88" s="134">
        <f>SUMPRODUCT(-('Gastos Gerais'!$B$4:$B$3143=Analítico!$B88),-(Analítico!F$3&gt;='Gastos Gerais'!$D$4:$D$3143),-(Analítico!F$3&lt;='Gastos Gerais'!$E$4:$E$3143),-('Gastos Gerais'!$C$4:$C$3143))</f>
        <v>0</v>
      </c>
      <c r="G88" s="134">
        <f>SUMPRODUCT(-('Gastos Gerais'!$B$4:$B$3143=Analítico!$B88),-(Analítico!G$3&gt;='Gastos Gerais'!$D$4:$D$3143),-(Analítico!G$3&lt;='Gastos Gerais'!$E$4:$E$3143),-('Gastos Gerais'!$C$4:$C$3143))</f>
        <v>0</v>
      </c>
      <c r="H88" s="134">
        <f>SUMPRODUCT(-('Gastos Gerais'!$B$4:$B$3143=Analítico!$B88),-(Analítico!H$3&gt;='Gastos Gerais'!$D$4:$D$3143),-(Analítico!H$3&lt;='Gastos Gerais'!$E$4:$E$3143),-('Gastos Gerais'!$C$4:$C$3143))</f>
        <v>0</v>
      </c>
      <c r="I88" s="134">
        <f>SUMPRODUCT(-('Gastos Gerais'!$B$4:$B$3143=Analítico!$B88),-(Analítico!I$3&gt;='Gastos Gerais'!$D$4:$D$3143),-(Analítico!I$3&lt;='Gastos Gerais'!$E$4:$E$3143),-('Gastos Gerais'!$C$4:$C$3143))</f>
        <v>0</v>
      </c>
      <c r="J88" s="134">
        <f>SUMPRODUCT(-('Gastos Gerais'!$B$4:$B$3143=Analítico!$B88),-(Analítico!J$3&gt;='Gastos Gerais'!$D$4:$D$3143),-(Analítico!J$3&lt;='Gastos Gerais'!$E$4:$E$3143),-('Gastos Gerais'!$C$4:$C$3143))</f>
        <v>0</v>
      </c>
      <c r="K88" s="134">
        <f>SUMPRODUCT(-('Gastos Gerais'!$B$4:$B$3143=Analítico!$B88),-(Analítico!K$3&gt;='Gastos Gerais'!$D$4:$D$3143),-(Analítico!K$3&lt;='Gastos Gerais'!$E$4:$E$3143),-('Gastos Gerais'!$C$4:$C$3143))</f>
        <v>0</v>
      </c>
      <c r="L88" s="134">
        <f>SUMPRODUCT(-('Gastos Gerais'!$B$4:$B$3143=Analítico!$B88),-(Analítico!L$3&gt;='Gastos Gerais'!$D$4:$D$3143),-(Analítico!L$3&lt;='Gastos Gerais'!$E$4:$E$3143),-('Gastos Gerais'!$C$4:$C$3143))</f>
        <v>0</v>
      </c>
      <c r="M88" s="134">
        <f>SUMPRODUCT(-('Gastos Gerais'!$B$4:$B$3143=Analítico!$B88),-(Analítico!M$3&gt;='Gastos Gerais'!$D$4:$D$3143),-(Analítico!M$3&lt;='Gastos Gerais'!$E$4:$E$3143),-('Gastos Gerais'!$C$4:$C$3143))</f>
        <v>0</v>
      </c>
      <c r="N88" s="134">
        <f>SUMPRODUCT(-('Gastos Gerais'!$B$4:$B$3143=Analítico!$B88),-(Analítico!N$3&gt;='Gastos Gerais'!$D$4:$D$3143),-(Analítico!N$3&lt;='Gastos Gerais'!$E$4:$E$3143),-('Gastos Gerais'!$C$4:$C$3143))</f>
        <v>0</v>
      </c>
      <c r="O88" s="134">
        <f>SUMPRODUCT(-('Gastos Gerais'!$B$4:$B$3143=Analítico!$B88),-(Analítico!O$3&gt;='Gastos Gerais'!$D$4:$D$3143),-(Analítico!O$3&lt;='Gastos Gerais'!$E$4:$E$3143),-('Gastos Gerais'!$C$4:$C$3143))</f>
        <v>0</v>
      </c>
      <c r="P88" s="134">
        <f>SUMPRODUCT(-('Gastos Gerais'!$B$4:$B$3143=Analítico!$B88),-(Analítico!P$3&gt;='Gastos Gerais'!$D$4:$D$3143),-(Analítico!P$3&lt;='Gastos Gerais'!$E$4:$E$3143),-('Gastos Gerais'!$C$4:$C$3143))</f>
        <v>0</v>
      </c>
      <c r="Q88" s="134">
        <f>SUMPRODUCT(-('Gastos Gerais'!$B$4:$B$3143=Analítico!$B88),-(Analítico!Q$3&gt;='Gastos Gerais'!$D$4:$D$3143),-(Analítico!Q$3&lt;='Gastos Gerais'!$E$4:$E$3143),-('Gastos Gerais'!$C$4:$C$3143))</f>
        <v>0</v>
      </c>
      <c r="R88" s="134">
        <f>SUMPRODUCT(-('Gastos Gerais'!$B$4:$B$3143=Analítico!$B88),-(Analítico!R$3&gt;='Gastos Gerais'!$D$4:$D$3143),-(Analítico!R$3&lt;='Gastos Gerais'!$E$4:$E$3143),-('Gastos Gerais'!$C$4:$C$3143))</f>
        <v>0</v>
      </c>
      <c r="S88" s="134">
        <f>SUMPRODUCT(-('Gastos Gerais'!$B$4:$B$3143=Analítico!$B88),-(Analítico!S$3&gt;='Gastos Gerais'!$D$4:$D$3143),-(Analítico!S$3&lt;='Gastos Gerais'!$E$4:$E$3143),-('Gastos Gerais'!$C$4:$C$3143))</f>
        <v>0</v>
      </c>
      <c r="T88" s="134">
        <f>SUMPRODUCT(-('Gastos Gerais'!$B$4:$B$3143=Analítico!$B88),-(Analítico!T$3&gt;='Gastos Gerais'!$D$4:$D$3143),-(Analítico!T$3&lt;='Gastos Gerais'!$E$4:$E$3143),-('Gastos Gerais'!$C$4:$C$3143))</f>
        <v>0</v>
      </c>
      <c r="U88" s="134">
        <f>SUMPRODUCT(-('Gastos Gerais'!$B$4:$B$3143=Analítico!$B88),-(Analítico!U$3&gt;='Gastos Gerais'!$D$4:$D$3143),-(Analítico!U$3&lt;='Gastos Gerais'!$E$4:$E$3143),-('Gastos Gerais'!$C$4:$C$3143))</f>
        <v>0</v>
      </c>
      <c r="V88" s="134">
        <f>SUMPRODUCT(-('Gastos Gerais'!$B$4:$B$3143=Analítico!$B88),-(Analítico!V$3&gt;='Gastos Gerais'!$D$4:$D$3143),-(Analítico!V$3&lt;='Gastos Gerais'!$E$4:$E$3143),-('Gastos Gerais'!$C$4:$C$3143))</f>
        <v>0</v>
      </c>
      <c r="W88" s="134">
        <f>SUMPRODUCT(-('Gastos Gerais'!$B$4:$B$3143=Analítico!$B88),-(Analítico!W$3&gt;='Gastos Gerais'!$D$4:$D$3143),-(Analítico!W$3&lt;='Gastos Gerais'!$E$4:$E$3143),-('Gastos Gerais'!$C$4:$C$3143))</f>
        <v>0</v>
      </c>
      <c r="X88" s="134">
        <f>SUMPRODUCT(-('Gastos Gerais'!$B$4:$B$3143=Analítico!$B88),-(Analítico!X$3&gt;='Gastos Gerais'!$D$4:$D$3143),-(Analítico!X$3&lt;='Gastos Gerais'!$E$4:$E$3143),-('Gastos Gerais'!$C$4:$C$3143))</f>
        <v>0</v>
      </c>
      <c r="Y88" s="134">
        <f>SUMPRODUCT(-('Gastos Gerais'!$B$4:$B$3143=Analítico!$B88),-(Analítico!Y$3&gt;='Gastos Gerais'!$D$4:$D$3143),-(Analítico!Y$3&lt;='Gastos Gerais'!$E$4:$E$3143),-('Gastos Gerais'!$C$4:$C$3143))</f>
        <v>0</v>
      </c>
      <c r="Z88" s="134">
        <f>SUMPRODUCT(-('Gastos Gerais'!$B$4:$B$3143=Analítico!$B88),-(Analítico!Z$3&gt;='Gastos Gerais'!$D$4:$D$3143),-(Analítico!Z$3&lt;='Gastos Gerais'!$E$4:$E$3143),-('Gastos Gerais'!$C$4:$C$3143))</f>
        <v>0</v>
      </c>
      <c r="AA88" s="134">
        <f>SUMPRODUCT(-('Gastos Gerais'!$B$4:$B$3143=Analítico!$B88),-(Analítico!AA$3&gt;='Gastos Gerais'!$D$4:$D$3143),-(Analítico!AA$3&lt;='Gastos Gerais'!$E$4:$E$3143),-('Gastos Gerais'!$C$4:$C$3143))</f>
        <v>0</v>
      </c>
      <c r="AB88" s="134">
        <f>SUMPRODUCT(-('Gastos Gerais'!$B$4:$B$3143=Analítico!$B88),-(Analítico!AB$3&gt;='Gastos Gerais'!$D$4:$D$3143),-(Analítico!AB$3&lt;='Gastos Gerais'!$E$4:$E$3143),-('Gastos Gerais'!$C$4:$C$3143))</f>
        <v>0</v>
      </c>
      <c r="AC88" s="134">
        <f>SUMPRODUCT(-('Gastos Gerais'!$B$4:$B$3143=Analítico!$B88),-(Analítico!AC$3&gt;='Gastos Gerais'!$D$4:$D$3143),-(Analítico!AC$3&lt;='Gastos Gerais'!$E$4:$E$3143),-('Gastos Gerais'!$C$4:$C$3143))</f>
        <v>0</v>
      </c>
      <c r="AD88" s="134">
        <f>SUMPRODUCT(-('Gastos Gerais'!$B$4:$B$3143=Analítico!$B88),-(Analítico!AD$3&gt;='Gastos Gerais'!$D$4:$D$3143),-(Analítico!AD$3&lt;='Gastos Gerais'!$E$4:$E$3143),-('Gastos Gerais'!$C$4:$C$3143))</f>
        <v>0</v>
      </c>
      <c r="AE88" s="134">
        <f>SUMPRODUCT(-('Gastos Gerais'!$B$4:$B$3143=Analítico!$B88),-(Analítico!AE$3&gt;='Gastos Gerais'!$D$4:$D$3143),-(Analítico!AE$3&lt;='Gastos Gerais'!$E$4:$E$3143),-('Gastos Gerais'!$C$4:$C$3143))</f>
        <v>0</v>
      </c>
      <c r="AF88" s="134">
        <f>SUMPRODUCT(-('Gastos Gerais'!$B$4:$B$3143=Analítico!$B88),-(Analítico!AF$3&gt;='Gastos Gerais'!$D$4:$D$3143),-(Analítico!AF$3&lt;='Gastos Gerais'!$E$4:$E$3143),-('Gastos Gerais'!$C$4:$C$3143))</f>
        <v>0</v>
      </c>
      <c r="AG88" s="134">
        <f>SUMPRODUCT(-('Gastos Gerais'!$B$4:$B$3143=Analítico!$B88),-(Analítico!AG$3&gt;='Gastos Gerais'!$D$4:$D$3143),-(Analítico!AG$3&lt;='Gastos Gerais'!$E$4:$E$3143),-('Gastos Gerais'!$C$4:$C$3143))</f>
        <v>0</v>
      </c>
      <c r="AH88" s="134">
        <f>SUMPRODUCT(-('Gastos Gerais'!$B$4:$B$3143=Analítico!$B88),-(Analítico!AH$3&gt;='Gastos Gerais'!$D$4:$D$3143),-(Analítico!AH$3&lt;='Gastos Gerais'!$E$4:$E$3143),-('Gastos Gerais'!$C$4:$C$3143))</f>
        <v>0</v>
      </c>
      <c r="AI88" s="134">
        <f>SUMPRODUCT(-('Gastos Gerais'!$B$4:$B$3143=Analítico!$B88),-(Analítico!AI$3&gt;='Gastos Gerais'!$D$4:$D$3143),-(Analítico!AI$3&lt;='Gastos Gerais'!$E$4:$E$3143),-('Gastos Gerais'!$C$4:$C$3143))</f>
        <v>0</v>
      </c>
      <c r="AJ88" s="134">
        <f>SUMPRODUCT(-('Gastos Gerais'!$B$4:$B$3143=Analítico!$B88),-(Analítico!AJ$3&gt;='Gastos Gerais'!$D$4:$D$3143),-(Analítico!AJ$3&lt;='Gastos Gerais'!$E$4:$E$3143),-('Gastos Gerais'!$C$4:$C$3143))</f>
        <v>0</v>
      </c>
      <c r="AK88" s="134">
        <f>SUMPRODUCT(-('Gastos Gerais'!$B$4:$B$3143=Analítico!$B88),-(Analítico!AK$3&gt;='Gastos Gerais'!$D$4:$D$3143),-(Analítico!AK$3&lt;='Gastos Gerais'!$E$4:$E$3143),-('Gastos Gerais'!$C$4:$C$3143))</f>
        <v>0</v>
      </c>
      <c r="AL88" s="134">
        <f>SUMPRODUCT(-('Gastos Gerais'!$B$4:$B$3143=Analítico!$B88),-(Analítico!AL$3&gt;='Gastos Gerais'!$D$4:$D$3143),-(Analítico!AL$3&lt;='Gastos Gerais'!$E$4:$E$3143),-('Gastos Gerais'!$C$4:$C$3143))</f>
        <v>0</v>
      </c>
      <c r="AM88" s="134">
        <f>SUMPRODUCT(-('Gastos Gerais'!$B$4:$B$3143=Analítico!$B88),-(Analítico!AM$3&gt;='Gastos Gerais'!$D$4:$D$3143),-(Analítico!AM$3&lt;='Gastos Gerais'!$E$4:$E$3143),-('Gastos Gerais'!$C$4:$C$3143))</f>
        <v>0</v>
      </c>
      <c r="AN88" s="134">
        <f>SUMPRODUCT(-('Gastos Gerais'!$B$4:$B$3143=Analítico!$B88),-(Analítico!AN$3&gt;='Gastos Gerais'!$D$4:$D$3143),-(Analítico!AN$3&lt;='Gastos Gerais'!$E$4:$E$3143),-('Gastos Gerais'!$C$4:$C$3143))</f>
        <v>0</v>
      </c>
      <c r="AO88" s="134">
        <f>SUMPRODUCT(-('Gastos Gerais'!$B$4:$B$3143=Analítico!$B88),-(Analítico!AO$3&gt;='Gastos Gerais'!$D$4:$D$3143),-(Analítico!AO$3&lt;='Gastos Gerais'!$E$4:$E$3143),-('Gastos Gerais'!$C$4:$C$3143))</f>
        <v>0</v>
      </c>
      <c r="AP88" s="134">
        <f>SUMPRODUCT(-('Gastos Gerais'!$B$4:$B$3143=Analítico!$B88),-(Analítico!AP$3&gt;='Gastos Gerais'!$D$4:$D$3143),-(Analítico!AP$3&lt;='Gastos Gerais'!$E$4:$E$3143),-('Gastos Gerais'!$C$4:$C$3143))</f>
        <v>0</v>
      </c>
      <c r="AQ88" s="134">
        <f>SUMPRODUCT(-('Gastos Gerais'!$B$4:$B$3143=Analítico!$B88),-(Analítico!AQ$3&gt;='Gastos Gerais'!$D$4:$D$3143),-(Analítico!AQ$3&lt;='Gastos Gerais'!$E$4:$E$3143),-('Gastos Gerais'!$C$4:$C$3143))</f>
        <v>0</v>
      </c>
      <c r="AR88" s="134">
        <f>SUMPRODUCT(-('Gastos Gerais'!$B$4:$B$3143=Analítico!$B88),-(Analítico!AR$3&gt;='Gastos Gerais'!$D$4:$D$3143),-(Analítico!AR$3&lt;='Gastos Gerais'!$E$4:$E$3143),-('Gastos Gerais'!$C$4:$C$3143))</f>
        <v>0</v>
      </c>
      <c r="AS88" s="134">
        <f>SUMPRODUCT(-('Gastos Gerais'!$B$4:$B$3143=Analítico!$B88),-(Analítico!AS$3&gt;='Gastos Gerais'!$D$4:$D$3143),-(Analítico!AS$3&lt;='Gastos Gerais'!$E$4:$E$3143),-('Gastos Gerais'!$C$4:$C$3143))</f>
        <v>0</v>
      </c>
      <c r="AT88" s="134">
        <f>SUMPRODUCT(-('Gastos Gerais'!$B$4:$B$3143=Analítico!$B88),-(Analítico!AT$3&gt;='Gastos Gerais'!$D$4:$D$3143),-(Analítico!AT$3&lt;='Gastos Gerais'!$E$4:$E$3143),-('Gastos Gerais'!$C$4:$C$3143))</f>
        <v>0</v>
      </c>
      <c r="AU88" s="134">
        <f>SUMPRODUCT(-('Gastos Gerais'!$B$4:$B$3143=Analítico!$B88),-(Analítico!AU$3&gt;='Gastos Gerais'!$D$4:$D$3143),-(Analítico!AU$3&lt;='Gastos Gerais'!$E$4:$E$3143),-('Gastos Gerais'!$C$4:$C$3143))</f>
        <v>0</v>
      </c>
      <c r="AV88" s="134">
        <f>SUMPRODUCT(-('Gastos Gerais'!$B$4:$B$3143=Analítico!$B88),-(Analítico!AV$3&gt;='Gastos Gerais'!$D$4:$D$3143),-(Analítico!AV$3&lt;='Gastos Gerais'!$E$4:$E$3143),-('Gastos Gerais'!$C$4:$C$3143))</f>
        <v>0</v>
      </c>
      <c r="AW88" s="134">
        <f>SUMPRODUCT(-('Gastos Gerais'!$B$4:$B$3143=Analítico!$B88),-(Analítico!AW$3&gt;='Gastos Gerais'!$D$4:$D$3143),-(Analítico!AW$3&lt;='Gastos Gerais'!$E$4:$E$3143),-('Gastos Gerais'!$C$4:$C$3143))</f>
        <v>0</v>
      </c>
      <c r="AX88" s="134">
        <f>SUMPRODUCT(-('Gastos Gerais'!$B$4:$B$3143=Analítico!$B88),-(Analítico!AX$3&gt;='Gastos Gerais'!$D$4:$D$3143),-(Analítico!AX$3&lt;='Gastos Gerais'!$E$4:$E$3143),-('Gastos Gerais'!$C$4:$C$3143))</f>
        <v>0</v>
      </c>
      <c r="AY88" s="134">
        <f>SUMPRODUCT(-('Gastos Gerais'!$B$4:$B$3143=Analítico!$B88),-(Analítico!AY$3&gt;='Gastos Gerais'!$D$4:$D$3143),-(Analítico!AY$3&lt;='Gastos Gerais'!$E$4:$E$3143),-('Gastos Gerais'!$C$4:$C$3143))</f>
        <v>0</v>
      </c>
      <c r="AZ88" s="134">
        <f>SUMPRODUCT(-('Gastos Gerais'!$B$4:$B$3143=Analítico!$B88),-(Analítico!AZ$3&gt;='Gastos Gerais'!$D$4:$D$3143),-(Analítico!AZ$3&lt;='Gastos Gerais'!$E$4:$E$3143),-('Gastos Gerais'!$C$4:$C$3143))</f>
        <v>0</v>
      </c>
      <c r="BA88" s="134">
        <f>SUMPRODUCT(-('Gastos Gerais'!$B$4:$B$3143=Analítico!$B88),-(Analítico!BA$3&gt;='Gastos Gerais'!$D$4:$D$3143),-(Analítico!BA$3&lt;='Gastos Gerais'!$E$4:$E$3143),-('Gastos Gerais'!$C$4:$C$3143))</f>
        <v>0</v>
      </c>
      <c r="BB88" s="134">
        <f>SUMPRODUCT(-('Gastos Gerais'!$B$4:$B$3143=Analítico!$B88),-(Analítico!BB$3&gt;='Gastos Gerais'!$D$4:$D$3143),-(Analítico!BB$3&lt;='Gastos Gerais'!$E$4:$E$3143),-('Gastos Gerais'!$C$4:$C$3143))</f>
        <v>0</v>
      </c>
      <c r="BC88" s="134">
        <f>SUMPRODUCT(-('Gastos Gerais'!$B$4:$B$3143=Analítico!$B88),-(Analítico!BC$3&gt;='Gastos Gerais'!$D$4:$D$3143),-(Analítico!BC$3&lt;='Gastos Gerais'!$E$4:$E$3143),-('Gastos Gerais'!$C$4:$C$3143))</f>
        <v>0</v>
      </c>
      <c r="BD88" s="134">
        <f>SUMPRODUCT(-('Gastos Gerais'!$B$4:$B$3143=Analítico!$B88),-(Analítico!BD$3&gt;='Gastos Gerais'!$D$4:$D$3143),-(Analítico!BD$3&lt;='Gastos Gerais'!$E$4:$E$3143),-('Gastos Gerais'!$C$4:$C$3143))</f>
        <v>0</v>
      </c>
      <c r="BE88" s="134">
        <f>SUMPRODUCT(-('Gastos Gerais'!$B$4:$B$3143=Analítico!$B88),-(Analítico!BE$3&gt;='Gastos Gerais'!$D$4:$D$3143),-(Analítico!BE$3&lt;='Gastos Gerais'!$E$4:$E$3143),-('Gastos Gerais'!$C$4:$C$3143))</f>
        <v>0</v>
      </c>
      <c r="BF88" s="134">
        <f>SUMPRODUCT(-('Gastos Gerais'!$B$4:$B$3143=Analítico!$B88),-(Analítico!BF$3&gt;='Gastos Gerais'!$D$4:$D$3143),-(Analítico!BF$3&lt;='Gastos Gerais'!$E$4:$E$3143),-('Gastos Gerais'!$C$4:$C$3143))</f>
        <v>0</v>
      </c>
      <c r="BG88" s="134">
        <f>SUMPRODUCT(-('Gastos Gerais'!$B$4:$B$3143=Analítico!$B88),-(Analítico!BG$3&gt;='Gastos Gerais'!$D$4:$D$3143),-(Analítico!BG$3&lt;='Gastos Gerais'!$E$4:$E$3143),-('Gastos Gerais'!$C$4:$C$3143))</f>
        <v>0</v>
      </c>
      <c r="BH88" s="134">
        <f>SUMPRODUCT(-('Gastos Gerais'!$B$4:$B$3143=Analítico!$B88),-(Analítico!BH$3&gt;='Gastos Gerais'!$D$4:$D$3143),-(Analítico!BH$3&lt;='Gastos Gerais'!$E$4:$E$3143),-('Gastos Gerais'!$C$4:$C$3143))</f>
        <v>0</v>
      </c>
      <c r="BI88" s="134">
        <f>SUMPRODUCT(-('Gastos Gerais'!$B$4:$B$3143=Analítico!$B88),-(Analítico!BI$3&gt;='Gastos Gerais'!$D$4:$D$3143),-(Analítico!BI$3&lt;='Gastos Gerais'!$E$4:$E$3143),-('Gastos Gerais'!$C$4:$C$3143))</f>
        <v>0</v>
      </c>
      <c r="BJ88" s="134">
        <f>SUMPRODUCT(-('Gastos Gerais'!$B$4:$B$3143=Analítico!$B88),-(Analítico!BJ$3&gt;='Gastos Gerais'!$D$4:$D$3143),-(Analítico!BJ$3&lt;='Gastos Gerais'!$E$4:$E$3143),-('Gastos Gerais'!$C$4:$C$3143))</f>
        <v>0</v>
      </c>
      <c r="BK88" s="189">
        <f t="shared" si="24"/>
        <v>0</v>
      </c>
      <c r="BL88" s="136">
        <f t="shared" ca="1" si="25"/>
        <v>0</v>
      </c>
    </row>
    <row r="89" spans="1:64" s="160" customFormat="1" ht="23.25" customHeight="1">
      <c r="A89" s="229" t="s">
        <v>255</v>
      </c>
      <c r="B89" s="232" t="s">
        <v>256</v>
      </c>
      <c r="C89" s="188">
        <f>SUMPRODUCT(-('Gastos Gerais'!$B$4:$B$3143=Analítico!$B89),-(Analítico!C$3&gt;='Gastos Gerais'!$D$4:$D$3143),-(Analítico!C$3&lt;='Gastos Gerais'!$E$4:$E$3143),-('Gastos Gerais'!$C$4:$C$3143))</f>
        <v>0</v>
      </c>
      <c r="D89" s="134">
        <f>SUMPRODUCT(-('Gastos Gerais'!$B$4:$B$3143=Analítico!$B89),-(Analítico!D$3&gt;='Gastos Gerais'!$D$4:$D$3143),-(Analítico!D$3&lt;='Gastos Gerais'!$E$4:$E$3143),-('Gastos Gerais'!$C$4:$C$3143))</f>
        <v>0</v>
      </c>
      <c r="E89" s="134">
        <f>SUMPRODUCT(-('Gastos Gerais'!$B$4:$B$3143=Analítico!$B89),-(Analítico!E$3&gt;='Gastos Gerais'!$D$4:$D$3143),-(Analítico!E$3&lt;='Gastos Gerais'!$E$4:$E$3143),-('Gastos Gerais'!$C$4:$C$3143))</f>
        <v>0</v>
      </c>
      <c r="F89" s="134">
        <f>SUMPRODUCT(-('Gastos Gerais'!$B$4:$B$3143=Analítico!$B89),-(Analítico!F$3&gt;='Gastos Gerais'!$D$4:$D$3143),-(Analítico!F$3&lt;='Gastos Gerais'!$E$4:$E$3143),-('Gastos Gerais'!$C$4:$C$3143))</f>
        <v>0</v>
      </c>
      <c r="G89" s="134">
        <f>SUMPRODUCT(-('Gastos Gerais'!$B$4:$B$3143=Analítico!$B89),-(Analítico!G$3&gt;='Gastos Gerais'!$D$4:$D$3143),-(Analítico!G$3&lt;='Gastos Gerais'!$E$4:$E$3143),-('Gastos Gerais'!$C$4:$C$3143))</f>
        <v>0</v>
      </c>
      <c r="H89" s="134">
        <f>SUMPRODUCT(-('Gastos Gerais'!$B$4:$B$3143=Analítico!$B89),-(Analítico!H$3&gt;='Gastos Gerais'!$D$4:$D$3143),-(Analítico!H$3&lt;='Gastos Gerais'!$E$4:$E$3143),-('Gastos Gerais'!$C$4:$C$3143))</f>
        <v>0</v>
      </c>
      <c r="I89" s="134">
        <f>SUMPRODUCT(-('Gastos Gerais'!$B$4:$B$3143=Analítico!$B89),-(Analítico!I$3&gt;='Gastos Gerais'!$D$4:$D$3143),-(Analítico!I$3&lt;='Gastos Gerais'!$E$4:$E$3143),-('Gastos Gerais'!$C$4:$C$3143))</f>
        <v>0</v>
      </c>
      <c r="J89" s="134">
        <f>SUMPRODUCT(-('Gastos Gerais'!$B$4:$B$3143=Analítico!$B89),-(Analítico!J$3&gt;='Gastos Gerais'!$D$4:$D$3143),-(Analítico!J$3&lt;='Gastos Gerais'!$E$4:$E$3143),-('Gastos Gerais'!$C$4:$C$3143))</f>
        <v>0</v>
      </c>
      <c r="K89" s="134">
        <f>SUMPRODUCT(-('Gastos Gerais'!$B$4:$B$3143=Analítico!$B89),-(Analítico!K$3&gt;='Gastos Gerais'!$D$4:$D$3143),-(Analítico!K$3&lt;='Gastos Gerais'!$E$4:$E$3143),-('Gastos Gerais'!$C$4:$C$3143))</f>
        <v>0</v>
      </c>
      <c r="L89" s="134">
        <f>SUMPRODUCT(-('Gastos Gerais'!$B$4:$B$3143=Analítico!$B89),-(Analítico!L$3&gt;='Gastos Gerais'!$D$4:$D$3143),-(Analítico!L$3&lt;='Gastos Gerais'!$E$4:$E$3143),-('Gastos Gerais'!$C$4:$C$3143))</f>
        <v>0</v>
      </c>
      <c r="M89" s="134">
        <f>SUMPRODUCT(-('Gastos Gerais'!$B$4:$B$3143=Analítico!$B89),-(Analítico!M$3&gt;='Gastos Gerais'!$D$4:$D$3143),-(Analítico!M$3&lt;='Gastos Gerais'!$E$4:$E$3143),-('Gastos Gerais'!$C$4:$C$3143))</f>
        <v>0</v>
      </c>
      <c r="N89" s="134">
        <f>SUMPRODUCT(-('Gastos Gerais'!$B$4:$B$3143=Analítico!$B89),-(Analítico!N$3&gt;='Gastos Gerais'!$D$4:$D$3143),-(Analítico!N$3&lt;='Gastos Gerais'!$E$4:$E$3143),-('Gastos Gerais'!$C$4:$C$3143))</f>
        <v>0</v>
      </c>
      <c r="O89" s="134">
        <f>SUMPRODUCT(-('Gastos Gerais'!$B$4:$B$3143=Analítico!$B89),-(Analítico!O$3&gt;='Gastos Gerais'!$D$4:$D$3143),-(Analítico!O$3&lt;='Gastos Gerais'!$E$4:$E$3143),-('Gastos Gerais'!$C$4:$C$3143))</f>
        <v>0</v>
      </c>
      <c r="P89" s="134">
        <f>SUMPRODUCT(-('Gastos Gerais'!$B$4:$B$3143=Analítico!$B89),-(Analítico!P$3&gt;='Gastos Gerais'!$D$4:$D$3143),-(Analítico!P$3&lt;='Gastos Gerais'!$E$4:$E$3143),-('Gastos Gerais'!$C$4:$C$3143))</f>
        <v>0</v>
      </c>
      <c r="Q89" s="134">
        <f>SUMPRODUCT(-('Gastos Gerais'!$B$4:$B$3143=Analítico!$B89),-(Analítico!Q$3&gt;='Gastos Gerais'!$D$4:$D$3143),-(Analítico!Q$3&lt;='Gastos Gerais'!$E$4:$E$3143),-('Gastos Gerais'!$C$4:$C$3143))</f>
        <v>0</v>
      </c>
      <c r="R89" s="134">
        <f>SUMPRODUCT(-('Gastos Gerais'!$B$4:$B$3143=Analítico!$B89),-(Analítico!R$3&gt;='Gastos Gerais'!$D$4:$D$3143),-(Analítico!R$3&lt;='Gastos Gerais'!$E$4:$E$3143),-('Gastos Gerais'!$C$4:$C$3143))</f>
        <v>0</v>
      </c>
      <c r="S89" s="134">
        <f>SUMPRODUCT(-('Gastos Gerais'!$B$4:$B$3143=Analítico!$B89),-(Analítico!S$3&gt;='Gastos Gerais'!$D$4:$D$3143),-(Analítico!S$3&lt;='Gastos Gerais'!$E$4:$E$3143),-('Gastos Gerais'!$C$4:$C$3143))</f>
        <v>0</v>
      </c>
      <c r="T89" s="134">
        <f>SUMPRODUCT(-('Gastos Gerais'!$B$4:$B$3143=Analítico!$B89),-(Analítico!T$3&gt;='Gastos Gerais'!$D$4:$D$3143),-(Analítico!T$3&lt;='Gastos Gerais'!$E$4:$E$3143),-('Gastos Gerais'!$C$4:$C$3143))</f>
        <v>0</v>
      </c>
      <c r="U89" s="134">
        <f>SUMPRODUCT(-('Gastos Gerais'!$B$4:$B$3143=Analítico!$B89),-(Analítico!U$3&gt;='Gastos Gerais'!$D$4:$D$3143),-(Analítico!U$3&lt;='Gastos Gerais'!$E$4:$E$3143),-('Gastos Gerais'!$C$4:$C$3143))</f>
        <v>0</v>
      </c>
      <c r="V89" s="134">
        <f>SUMPRODUCT(-('Gastos Gerais'!$B$4:$B$3143=Analítico!$B89),-(Analítico!V$3&gt;='Gastos Gerais'!$D$4:$D$3143),-(Analítico!V$3&lt;='Gastos Gerais'!$E$4:$E$3143),-('Gastos Gerais'!$C$4:$C$3143))</f>
        <v>0</v>
      </c>
      <c r="W89" s="134">
        <f>SUMPRODUCT(-('Gastos Gerais'!$B$4:$B$3143=Analítico!$B89),-(Analítico!W$3&gt;='Gastos Gerais'!$D$4:$D$3143),-(Analítico!W$3&lt;='Gastos Gerais'!$E$4:$E$3143),-('Gastos Gerais'!$C$4:$C$3143))</f>
        <v>0</v>
      </c>
      <c r="X89" s="134">
        <f>SUMPRODUCT(-('Gastos Gerais'!$B$4:$B$3143=Analítico!$B89),-(Analítico!X$3&gt;='Gastos Gerais'!$D$4:$D$3143),-(Analítico!X$3&lt;='Gastos Gerais'!$E$4:$E$3143),-('Gastos Gerais'!$C$4:$C$3143))</f>
        <v>0</v>
      </c>
      <c r="Y89" s="134">
        <f>SUMPRODUCT(-('Gastos Gerais'!$B$4:$B$3143=Analítico!$B89),-(Analítico!Y$3&gt;='Gastos Gerais'!$D$4:$D$3143),-(Analítico!Y$3&lt;='Gastos Gerais'!$E$4:$E$3143),-('Gastos Gerais'!$C$4:$C$3143))</f>
        <v>0</v>
      </c>
      <c r="Z89" s="134">
        <f>SUMPRODUCT(-('Gastos Gerais'!$B$4:$B$3143=Analítico!$B89),-(Analítico!Z$3&gt;='Gastos Gerais'!$D$4:$D$3143),-(Analítico!Z$3&lt;='Gastos Gerais'!$E$4:$E$3143),-('Gastos Gerais'!$C$4:$C$3143))</f>
        <v>0</v>
      </c>
      <c r="AA89" s="134">
        <f>SUMPRODUCT(-('Gastos Gerais'!$B$4:$B$3143=Analítico!$B89),-(Analítico!AA$3&gt;='Gastos Gerais'!$D$4:$D$3143),-(Analítico!AA$3&lt;='Gastos Gerais'!$E$4:$E$3143),-('Gastos Gerais'!$C$4:$C$3143))</f>
        <v>0</v>
      </c>
      <c r="AB89" s="134">
        <f>SUMPRODUCT(-('Gastos Gerais'!$B$4:$B$3143=Analítico!$B89),-(Analítico!AB$3&gt;='Gastos Gerais'!$D$4:$D$3143),-(Analítico!AB$3&lt;='Gastos Gerais'!$E$4:$E$3143),-('Gastos Gerais'!$C$4:$C$3143))</f>
        <v>0</v>
      </c>
      <c r="AC89" s="134">
        <f>SUMPRODUCT(-('Gastos Gerais'!$B$4:$B$3143=Analítico!$B89),-(Analítico!AC$3&gt;='Gastos Gerais'!$D$4:$D$3143),-(Analítico!AC$3&lt;='Gastos Gerais'!$E$4:$E$3143),-('Gastos Gerais'!$C$4:$C$3143))</f>
        <v>0</v>
      </c>
      <c r="AD89" s="134">
        <f>SUMPRODUCT(-('Gastos Gerais'!$B$4:$B$3143=Analítico!$B89),-(Analítico!AD$3&gt;='Gastos Gerais'!$D$4:$D$3143),-(Analítico!AD$3&lt;='Gastos Gerais'!$E$4:$E$3143),-('Gastos Gerais'!$C$4:$C$3143))</f>
        <v>0</v>
      </c>
      <c r="AE89" s="134">
        <f>SUMPRODUCT(-('Gastos Gerais'!$B$4:$B$3143=Analítico!$B89),-(Analítico!AE$3&gt;='Gastos Gerais'!$D$4:$D$3143),-(Analítico!AE$3&lt;='Gastos Gerais'!$E$4:$E$3143),-('Gastos Gerais'!$C$4:$C$3143))</f>
        <v>0</v>
      </c>
      <c r="AF89" s="134">
        <f>SUMPRODUCT(-('Gastos Gerais'!$B$4:$B$3143=Analítico!$B89),-(Analítico!AF$3&gt;='Gastos Gerais'!$D$4:$D$3143),-(Analítico!AF$3&lt;='Gastos Gerais'!$E$4:$E$3143),-('Gastos Gerais'!$C$4:$C$3143))</f>
        <v>0</v>
      </c>
      <c r="AG89" s="134">
        <f>SUMPRODUCT(-('Gastos Gerais'!$B$4:$B$3143=Analítico!$B89),-(Analítico!AG$3&gt;='Gastos Gerais'!$D$4:$D$3143),-(Analítico!AG$3&lt;='Gastos Gerais'!$E$4:$E$3143),-('Gastos Gerais'!$C$4:$C$3143))</f>
        <v>0</v>
      </c>
      <c r="AH89" s="134">
        <f>SUMPRODUCT(-('Gastos Gerais'!$B$4:$B$3143=Analítico!$B89),-(Analítico!AH$3&gt;='Gastos Gerais'!$D$4:$D$3143),-(Analítico!AH$3&lt;='Gastos Gerais'!$E$4:$E$3143),-('Gastos Gerais'!$C$4:$C$3143))</f>
        <v>0</v>
      </c>
      <c r="AI89" s="134">
        <f>SUMPRODUCT(-('Gastos Gerais'!$B$4:$B$3143=Analítico!$B89),-(Analítico!AI$3&gt;='Gastos Gerais'!$D$4:$D$3143),-(Analítico!AI$3&lt;='Gastos Gerais'!$E$4:$E$3143),-('Gastos Gerais'!$C$4:$C$3143))</f>
        <v>0</v>
      </c>
      <c r="AJ89" s="134">
        <f>SUMPRODUCT(-('Gastos Gerais'!$B$4:$B$3143=Analítico!$B89),-(Analítico!AJ$3&gt;='Gastos Gerais'!$D$4:$D$3143),-(Analítico!AJ$3&lt;='Gastos Gerais'!$E$4:$E$3143),-('Gastos Gerais'!$C$4:$C$3143))</f>
        <v>0</v>
      </c>
      <c r="AK89" s="134">
        <f>SUMPRODUCT(-('Gastos Gerais'!$B$4:$B$3143=Analítico!$B89),-(Analítico!AK$3&gt;='Gastos Gerais'!$D$4:$D$3143),-(Analítico!AK$3&lt;='Gastos Gerais'!$E$4:$E$3143),-('Gastos Gerais'!$C$4:$C$3143))</f>
        <v>0</v>
      </c>
      <c r="AL89" s="134">
        <f>SUMPRODUCT(-('Gastos Gerais'!$B$4:$B$3143=Analítico!$B89),-(Analítico!AL$3&gt;='Gastos Gerais'!$D$4:$D$3143),-(Analítico!AL$3&lt;='Gastos Gerais'!$E$4:$E$3143),-('Gastos Gerais'!$C$4:$C$3143))</f>
        <v>0</v>
      </c>
      <c r="AM89" s="134">
        <f>SUMPRODUCT(-('Gastos Gerais'!$B$4:$B$3143=Analítico!$B89),-(Analítico!AM$3&gt;='Gastos Gerais'!$D$4:$D$3143),-(Analítico!AM$3&lt;='Gastos Gerais'!$E$4:$E$3143),-('Gastos Gerais'!$C$4:$C$3143))</f>
        <v>0</v>
      </c>
      <c r="AN89" s="134">
        <f>SUMPRODUCT(-('Gastos Gerais'!$B$4:$B$3143=Analítico!$B89),-(Analítico!AN$3&gt;='Gastos Gerais'!$D$4:$D$3143),-(Analítico!AN$3&lt;='Gastos Gerais'!$E$4:$E$3143),-('Gastos Gerais'!$C$4:$C$3143))</f>
        <v>0</v>
      </c>
      <c r="AO89" s="134">
        <f>SUMPRODUCT(-('Gastos Gerais'!$B$4:$B$3143=Analítico!$B89),-(Analítico!AO$3&gt;='Gastos Gerais'!$D$4:$D$3143),-(Analítico!AO$3&lt;='Gastos Gerais'!$E$4:$E$3143),-('Gastos Gerais'!$C$4:$C$3143))</f>
        <v>0</v>
      </c>
      <c r="AP89" s="134">
        <f>SUMPRODUCT(-('Gastos Gerais'!$B$4:$B$3143=Analítico!$B89),-(Analítico!AP$3&gt;='Gastos Gerais'!$D$4:$D$3143),-(Analítico!AP$3&lt;='Gastos Gerais'!$E$4:$E$3143),-('Gastos Gerais'!$C$4:$C$3143))</f>
        <v>0</v>
      </c>
      <c r="AQ89" s="134">
        <f>SUMPRODUCT(-('Gastos Gerais'!$B$4:$B$3143=Analítico!$B89),-(Analítico!AQ$3&gt;='Gastos Gerais'!$D$4:$D$3143),-(Analítico!AQ$3&lt;='Gastos Gerais'!$E$4:$E$3143),-('Gastos Gerais'!$C$4:$C$3143))</f>
        <v>0</v>
      </c>
      <c r="AR89" s="134">
        <f>SUMPRODUCT(-('Gastos Gerais'!$B$4:$B$3143=Analítico!$B89),-(Analítico!AR$3&gt;='Gastos Gerais'!$D$4:$D$3143),-(Analítico!AR$3&lt;='Gastos Gerais'!$E$4:$E$3143),-('Gastos Gerais'!$C$4:$C$3143))</f>
        <v>0</v>
      </c>
      <c r="AS89" s="134">
        <f>SUMPRODUCT(-('Gastos Gerais'!$B$4:$B$3143=Analítico!$B89),-(Analítico!AS$3&gt;='Gastos Gerais'!$D$4:$D$3143),-(Analítico!AS$3&lt;='Gastos Gerais'!$E$4:$E$3143),-('Gastos Gerais'!$C$4:$C$3143))</f>
        <v>0</v>
      </c>
      <c r="AT89" s="134">
        <f>SUMPRODUCT(-('Gastos Gerais'!$B$4:$B$3143=Analítico!$B89),-(Analítico!AT$3&gt;='Gastos Gerais'!$D$4:$D$3143),-(Analítico!AT$3&lt;='Gastos Gerais'!$E$4:$E$3143),-('Gastos Gerais'!$C$4:$C$3143))</f>
        <v>0</v>
      </c>
      <c r="AU89" s="134">
        <f>SUMPRODUCT(-('Gastos Gerais'!$B$4:$B$3143=Analítico!$B89),-(Analítico!AU$3&gt;='Gastos Gerais'!$D$4:$D$3143),-(Analítico!AU$3&lt;='Gastos Gerais'!$E$4:$E$3143),-('Gastos Gerais'!$C$4:$C$3143))</f>
        <v>0</v>
      </c>
      <c r="AV89" s="134">
        <f>SUMPRODUCT(-('Gastos Gerais'!$B$4:$B$3143=Analítico!$B89),-(Analítico!AV$3&gt;='Gastos Gerais'!$D$4:$D$3143),-(Analítico!AV$3&lt;='Gastos Gerais'!$E$4:$E$3143),-('Gastos Gerais'!$C$4:$C$3143))</f>
        <v>0</v>
      </c>
      <c r="AW89" s="134">
        <f>SUMPRODUCT(-('Gastos Gerais'!$B$4:$B$3143=Analítico!$B89),-(Analítico!AW$3&gt;='Gastos Gerais'!$D$4:$D$3143),-(Analítico!AW$3&lt;='Gastos Gerais'!$E$4:$E$3143),-('Gastos Gerais'!$C$4:$C$3143))</f>
        <v>0</v>
      </c>
      <c r="AX89" s="134">
        <f>SUMPRODUCT(-('Gastos Gerais'!$B$4:$B$3143=Analítico!$B89),-(Analítico!AX$3&gt;='Gastos Gerais'!$D$4:$D$3143),-(Analítico!AX$3&lt;='Gastos Gerais'!$E$4:$E$3143),-('Gastos Gerais'!$C$4:$C$3143))</f>
        <v>0</v>
      </c>
      <c r="AY89" s="134">
        <f>SUMPRODUCT(-('Gastos Gerais'!$B$4:$B$3143=Analítico!$B89),-(Analítico!AY$3&gt;='Gastos Gerais'!$D$4:$D$3143),-(Analítico!AY$3&lt;='Gastos Gerais'!$E$4:$E$3143),-('Gastos Gerais'!$C$4:$C$3143))</f>
        <v>0</v>
      </c>
      <c r="AZ89" s="134">
        <f>SUMPRODUCT(-('Gastos Gerais'!$B$4:$B$3143=Analítico!$B89),-(Analítico!AZ$3&gt;='Gastos Gerais'!$D$4:$D$3143),-(Analítico!AZ$3&lt;='Gastos Gerais'!$E$4:$E$3143),-('Gastos Gerais'!$C$4:$C$3143))</f>
        <v>0</v>
      </c>
      <c r="BA89" s="134">
        <f>SUMPRODUCT(-('Gastos Gerais'!$B$4:$B$3143=Analítico!$B89),-(Analítico!BA$3&gt;='Gastos Gerais'!$D$4:$D$3143),-(Analítico!BA$3&lt;='Gastos Gerais'!$E$4:$E$3143),-('Gastos Gerais'!$C$4:$C$3143))</f>
        <v>0</v>
      </c>
      <c r="BB89" s="134">
        <f>SUMPRODUCT(-('Gastos Gerais'!$B$4:$B$3143=Analítico!$B89),-(Analítico!BB$3&gt;='Gastos Gerais'!$D$4:$D$3143),-(Analítico!BB$3&lt;='Gastos Gerais'!$E$4:$E$3143),-('Gastos Gerais'!$C$4:$C$3143))</f>
        <v>0</v>
      </c>
      <c r="BC89" s="134">
        <f>SUMPRODUCT(-('Gastos Gerais'!$B$4:$B$3143=Analítico!$B89),-(Analítico!BC$3&gt;='Gastos Gerais'!$D$4:$D$3143),-(Analítico!BC$3&lt;='Gastos Gerais'!$E$4:$E$3143),-('Gastos Gerais'!$C$4:$C$3143))</f>
        <v>0</v>
      </c>
      <c r="BD89" s="134">
        <f>SUMPRODUCT(-('Gastos Gerais'!$B$4:$B$3143=Analítico!$B89),-(Analítico!BD$3&gt;='Gastos Gerais'!$D$4:$D$3143),-(Analítico!BD$3&lt;='Gastos Gerais'!$E$4:$E$3143),-('Gastos Gerais'!$C$4:$C$3143))</f>
        <v>0</v>
      </c>
      <c r="BE89" s="134">
        <f>SUMPRODUCT(-('Gastos Gerais'!$B$4:$B$3143=Analítico!$B89),-(Analítico!BE$3&gt;='Gastos Gerais'!$D$4:$D$3143),-(Analítico!BE$3&lt;='Gastos Gerais'!$E$4:$E$3143),-('Gastos Gerais'!$C$4:$C$3143))</f>
        <v>0</v>
      </c>
      <c r="BF89" s="134">
        <f>SUMPRODUCT(-('Gastos Gerais'!$B$4:$B$3143=Analítico!$B89),-(Analítico!BF$3&gt;='Gastos Gerais'!$D$4:$D$3143),-(Analítico!BF$3&lt;='Gastos Gerais'!$E$4:$E$3143),-('Gastos Gerais'!$C$4:$C$3143))</f>
        <v>0</v>
      </c>
      <c r="BG89" s="134">
        <f>SUMPRODUCT(-('Gastos Gerais'!$B$4:$B$3143=Analítico!$B89),-(Analítico!BG$3&gt;='Gastos Gerais'!$D$4:$D$3143),-(Analítico!BG$3&lt;='Gastos Gerais'!$E$4:$E$3143),-('Gastos Gerais'!$C$4:$C$3143))</f>
        <v>0</v>
      </c>
      <c r="BH89" s="134">
        <f>SUMPRODUCT(-('Gastos Gerais'!$B$4:$B$3143=Analítico!$B89),-(Analítico!BH$3&gt;='Gastos Gerais'!$D$4:$D$3143),-(Analítico!BH$3&lt;='Gastos Gerais'!$E$4:$E$3143),-('Gastos Gerais'!$C$4:$C$3143))</f>
        <v>0</v>
      </c>
      <c r="BI89" s="134">
        <f>SUMPRODUCT(-('Gastos Gerais'!$B$4:$B$3143=Analítico!$B89),-(Analítico!BI$3&gt;='Gastos Gerais'!$D$4:$D$3143),-(Analítico!BI$3&lt;='Gastos Gerais'!$E$4:$E$3143),-('Gastos Gerais'!$C$4:$C$3143))</f>
        <v>0</v>
      </c>
      <c r="BJ89" s="134">
        <f>SUMPRODUCT(-('Gastos Gerais'!$B$4:$B$3143=Analítico!$B89),-(Analítico!BJ$3&gt;='Gastos Gerais'!$D$4:$D$3143),-(Analítico!BJ$3&lt;='Gastos Gerais'!$E$4:$E$3143),-('Gastos Gerais'!$C$4:$C$3143))</f>
        <v>0</v>
      </c>
      <c r="BK89" s="189">
        <f t="shared" si="24"/>
        <v>0</v>
      </c>
      <c r="BL89" s="136">
        <f t="shared" ca="1" si="25"/>
        <v>0</v>
      </c>
    </row>
    <row r="90" spans="1:64" s="160" customFormat="1" ht="23.25" customHeight="1">
      <c r="A90" s="229" t="s">
        <v>257</v>
      </c>
      <c r="B90" s="232" t="s">
        <v>258</v>
      </c>
      <c r="C90" s="188">
        <f>SUMPRODUCT(-('Gastos Gerais'!$B$4:$B$3143=Analítico!$B90),-(Analítico!C$3&gt;='Gastos Gerais'!$D$4:$D$3143),-(Analítico!C$3&lt;='Gastos Gerais'!$E$4:$E$3143),-('Gastos Gerais'!$C$4:$C$3143))</f>
        <v>2650</v>
      </c>
      <c r="D90" s="134">
        <f>SUMPRODUCT(-('Gastos Gerais'!$B$4:$B$3143=Analítico!$B90),-(Analítico!D$3&gt;='Gastos Gerais'!$D$4:$D$3143),-(Analítico!D$3&lt;='Gastos Gerais'!$E$4:$E$3143),-('Gastos Gerais'!$C$4:$C$3143))</f>
        <v>2650</v>
      </c>
      <c r="E90" s="134">
        <f>SUMPRODUCT(-('Gastos Gerais'!$B$4:$B$3143=Analítico!$B90),-(Analítico!E$3&gt;='Gastos Gerais'!$D$4:$D$3143),-(Analítico!E$3&lt;='Gastos Gerais'!$E$4:$E$3143),-('Gastos Gerais'!$C$4:$C$3143))</f>
        <v>2700</v>
      </c>
      <c r="F90" s="134">
        <f>SUMPRODUCT(-('Gastos Gerais'!$B$4:$B$3143=Analítico!$B90),-(Analítico!F$3&gt;='Gastos Gerais'!$D$4:$D$3143),-(Analítico!F$3&lt;='Gastos Gerais'!$E$4:$E$3143),-('Gastos Gerais'!$C$4:$C$3143))</f>
        <v>2750</v>
      </c>
      <c r="G90" s="134">
        <f>SUMPRODUCT(-('Gastos Gerais'!$B$4:$B$3143=Analítico!$B90),-(Analítico!G$3&gt;='Gastos Gerais'!$D$4:$D$3143),-(Analítico!G$3&lt;='Gastos Gerais'!$E$4:$E$3143),-('Gastos Gerais'!$C$4:$C$3143))</f>
        <v>2750</v>
      </c>
      <c r="H90" s="134">
        <f>SUMPRODUCT(-('Gastos Gerais'!$B$4:$B$3143=Analítico!$B90),-(Analítico!H$3&gt;='Gastos Gerais'!$D$4:$D$3143),-(Analítico!H$3&lt;='Gastos Gerais'!$E$4:$E$3143),-('Gastos Gerais'!$C$4:$C$3143))</f>
        <v>2750</v>
      </c>
      <c r="I90" s="134">
        <f>SUMPRODUCT(-('Gastos Gerais'!$B$4:$B$3143=Analítico!$B90),-(Analítico!I$3&gt;='Gastos Gerais'!$D$4:$D$3143),-(Analítico!I$3&lt;='Gastos Gerais'!$E$4:$E$3143),-('Gastos Gerais'!$C$4:$C$3143))</f>
        <v>2800</v>
      </c>
      <c r="J90" s="134">
        <f>SUMPRODUCT(-('Gastos Gerais'!$B$4:$B$3143=Analítico!$B90),-(Analítico!J$3&gt;='Gastos Gerais'!$D$4:$D$3143),-(Analítico!J$3&lt;='Gastos Gerais'!$E$4:$E$3143),-('Gastos Gerais'!$C$4:$C$3143))</f>
        <v>2800</v>
      </c>
      <c r="K90" s="134">
        <f>SUMPRODUCT(-('Gastos Gerais'!$B$4:$B$3143=Analítico!$B90),-(Analítico!K$3&gt;='Gastos Gerais'!$D$4:$D$3143),-(Analítico!K$3&lt;='Gastos Gerais'!$E$4:$E$3143),-('Gastos Gerais'!$C$4:$C$3143))</f>
        <v>2800</v>
      </c>
      <c r="L90" s="134">
        <f>SUMPRODUCT(-('Gastos Gerais'!$B$4:$B$3143=Analítico!$B90),-(Analítico!L$3&gt;='Gastos Gerais'!$D$4:$D$3143),-(Analítico!L$3&lt;='Gastos Gerais'!$E$4:$E$3143),-('Gastos Gerais'!$C$4:$C$3143))</f>
        <v>2850</v>
      </c>
      <c r="M90" s="134">
        <f>SUMPRODUCT(-('Gastos Gerais'!$B$4:$B$3143=Analítico!$B90),-(Analítico!M$3&gt;='Gastos Gerais'!$D$4:$D$3143),-(Analítico!M$3&lt;='Gastos Gerais'!$E$4:$E$3143),-('Gastos Gerais'!$C$4:$C$3143))</f>
        <v>2850</v>
      </c>
      <c r="N90" s="134">
        <f>SUMPRODUCT(-('Gastos Gerais'!$B$4:$B$3143=Analítico!$B90),-(Analítico!N$3&gt;='Gastos Gerais'!$D$4:$D$3143),-(Analítico!N$3&lt;='Gastos Gerais'!$E$4:$E$3143),-('Gastos Gerais'!$C$4:$C$3143))</f>
        <v>2850</v>
      </c>
      <c r="O90" s="134">
        <f>SUMPRODUCT(-('Gastos Gerais'!$B$4:$B$3143=Analítico!$B90),-(Analítico!O$3&gt;='Gastos Gerais'!$D$4:$D$3143),-(Analítico!O$3&lt;='Gastos Gerais'!$E$4:$E$3143),-('Gastos Gerais'!$C$4:$C$3143))</f>
        <v>2850</v>
      </c>
      <c r="P90" s="134">
        <f>SUMPRODUCT(-('Gastos Gerais'!$B$4:$B$3143=Analítico!$B90),-(Analítico!P$3&gt;='Gastos Gerais'!$D$4:$D$3143),-(Analítico!P$3&lt;='Gastos Gerais'!$E$4:$E$3143),-('Gastos Gerais'!$C$4:$C$3143))</f>
        <v>2850</v>
      </c>
      <c r="Q90" s="134">
        <f>SUMPRODUCT(-('Gastos Gerais'!$B$4:$B$3143=Analítico!$B90),-(Analítico!Q$3&gt;='Gastos Gerais'!$D$4:$D$3143),-(Analítico!Q$3&lt;='Gastos Gerais'!$E$4:$E$3143),-('Gastos Gerais'!$C$4:$C$3143))</f>
        <v>2850</v>
      </c>
      <c r="R90" s="134">
        <f>SUMPRODUCT(-('Gastos Gerais'!$B$4:$B$3143=Analítico!$B90),-(Analítico!R$3&gt;='Gastos Gerais'!$D$4:$D$3143),-(Analítico!R$3&lt;='Gastos Gerais'!$E$4:$E$3143),-('Gastos Gerais'!$C$4:$C$3143))</f>
        <v>2850</v>
      </c>
      <c r="S90" s="134">
        <f>SUMPRODUCT(-('Gastos Gerais'!$B$4:$B$3143=Analítico!$B90),-(Analítico!S$3&gt;='Gastos Gerais'!$D$4:$D$3143),-(Analítico!S$3&lt;='Gastos Gerais'!$E$4:$E$3143),-('Gastos Gerais'!$C$4:$C$3143))</f>
        <v>2850</v>
      </c>
      <c r="T90" s="134">
        <f>SUMPRODUCT(-('Gastos Gerais'!$B$4:$B$3143=Analítico!$B90),-(Analítico!T$3&gt;='Gastos Gerais'!$D$4:$D$3143),-(Analítico!T$3&lt;='Gastos Gerais'!$E$4:$E$3143),-('Gastos Gerais'!$C$4:$C$3143))</f>
        <v>2850</v>
      </c>
      <c r="U90" s="134">
        <f>SUMPRODUCT(-('Gastos Gerais'!$B$4:$B$3143=Analítico!$B90),-(Analítico!U$3&gt;='Gastos Gerais'!$D$4:$D$3143),-(Analítico!U$3&lt;='Gastos Gerais'!$E$4:$E$3143),-('Gastos Gerais'!$C$4:$C$3143))</f>
        <v>2850</v>
      </c>
      <c r="V90" s="134">
        <f>SUMPRODUCT(-('Gastos Gerais'!$B$4:$B$3143=Analítico!$B90),-(Analítico!V$3&gt;='Gastos Gerais'!$D$4:$D$3143),-(Analítico!V$3&lt;='Gastos Gerais'!$E$4:$E$3143),-('Gastos Gerais'!$C$4:$C$3143))</f>
        <v>2850</v>
      </c>
      <c r="W90" s="134">
        <f>SUMPRODUCT(-('Gastos Gerais'!$B$4:$B$3143=Analítico!$B90),-(Analítico!W$3&gt;='Gastos Gerais'!$D$4:$D$3143),-(Analítico!W$3&lt;='Gastos Gerais'!$E$4:$E$3143),-('Gastos Gerais'!$C$4:$C$3143))</f>
        <v>2850</v>
      </c>
      <c r="X90" s="134">
        <f>SUMPRODUCT(-('Gastos Gerais'!$B$4:$B$3143=Analítico!$B90),-(Analítico!X$3&gt;='Gastos Gerais'!$D$4:$D$3143),-(Analítico!X$3&lt;='Gastos Gerais'!$E$4:$E$3143),-('Gastos Gerais'!$C$4:$C$3143))</f>
        <v>2850</v>
      </c>
      <c r="Y90" s="134">
        <f>SUMPRODUCT(-('Gastos Gerais'!$B$4:$B$3143=Analítico!$B90),-(Analítico!Y$3&gt;='Gastos Gerais'!$D$4:$D$3143),-(Analítico!Y$3&lt;='Gastos Gerais'!$E$4:$E$3143),-('Gastos Gerais'!$C$4:$C$3143))</f>
        <v>2850</v>
      </c>
      <c r="Z90" s="134">
        <f>SUMPRODUCT(-('Gastos Gerais'!$B$4:$B$3143=Analítico!$B90),-(Analítico!Z$3&gt;='Gastos Gerais'!$D$4:$D$3143),-(Analítico!Z$3&lt;='Gastos Gerais'!$E$4:$E$3143),-('Gastos Gerais'!$C$4:$C$3143))</f>
        <v>2850</v>
      </c>
      <c r="AA90" s="134">
        <f>SUMPRODUCT(-('Gastos Gerais'!$B$4:$B$3143=Analítico!$B90),-(Analítico!AA$3&gt;='Gastos Gerais'!$D$4:$D$3143),-(Analítico!AA$3&lt;='Gastos Gerais'!$E$4:$E$3143),-('Gastos Gerais'!$C$4:$C$3143))</f>
        <v>2850</v>
      </c>
      <c r="AB90" s="134">
        <f>SUMPRODUCT(-('Gastos Gerais'!$B$4:$B$3143=Analítico!$B90),-(Analítico!AB$3&gt;='Gastos Gerais'!$D$4:$D$3143),-(Analítico!AB$3&lt;='Gastos Gerais'!$E$4:$E$3143),-('Gastos Gerais'!$C$4:$C$3143))</f>
        <v>2850</v>
      </c>
      <c r="AC90" s="134">
        <f>SUMPRODUCT(-('Gastos Gerais'!$B$4:$B$3143=Analítico!$B90),-(Analítico!AC$3&gt;='Gastos Gerais'!$D$4:$D$3143),-(Analítico!AC$3&lt;='Gastos Gerais'!$E$4:$E$3143),-('Gastos Gerais'!$C$4:$C$3143))</f>
        <v>2850</v>
      </c>
      <c r="AD90" s="134">
        <f>SUMPRODUCT(-('Gastos Gerais'!$B$4:$B$3143=Analítico!$B90),-(Analítico!AD$3&gt;='Gastos Gerais'!$D$4:$D$3143),-(Analítico!AD$3&lt;='Gastos Gerais'!$E$4:$E$3143),-('Gastos Gerais'!$C$4:$C$3143))</f>
        <v>2850</v>
      </c>
      <c r="AE90" s="134">
        <f>SUMPRODUCT(-('Gastos Gerais'!$B$4:$B$3143=Analítico!$B90),-(Analítico!AE$3&gt;='Gastos Gerais'!$D$4:$D$3143),-(Analítico!AE$3&lt;='Gastos Gerais'!$E$4:$E$3143),-('Gastos Gerais'!$C$4:$C$3143))</f>
        <v>2850</v>
      </c>
      <c r="AF90" s="134">
        <f>SUMPRODUCT(-('Gastos Gerais'!$B$4:$B$3143=Analítico!$B90),-(Analítico!AF$3&gt;='Gastos Gerais'!$D$4:$D$3143),-(Analítico!AF$3&lt;='Gastos Gerais'!$E$4:$E$3143),-('Gastos Gerais'!$C$4:$C$3143))</f>
        <v>2850</v>
      </c>
      <c r="AG90" s="134">
        <f>SUMPRODUCT(-('Gastos Gerais'!$B$4:$B$3143=Analítico!$B90),-(Analítico!AG$3&gt;='Gastos Gerais'!$D$4:$D$3143),-(Analítico!AG$3&lt;='Gastos Gerais'!$E$4:$E$3143),-('Gastos Gerais'!$C$4:$C$3143))</f>
        <v>2850</v>
      </c>
      <c r="AH90" s="134">
        <f>SUMPRODUCT(-('Gastos Gerais'!$B$4:$B$3143=Analítico!$B90),-(Analítico!AH$3&gt;='Gastos Gerais'!$D$4:$D$3143),-(Analítico!AH$3&lt;='Gastos Gerais'!$E$4:$E$3143),-('Gastos Gerais'!$C$4:$C$3143))</f>
        <v>2850</v>
      </c>
      <c r="AI90" s="134">
        <f>SUMPRODUCT(-('Gastos Gerais'!$B$4:$B$3143=Analítico!$B90),-(Analítico!AI$3&gt;='Gastos Gerais'!$D$4:$D$3143),-(Analítico!AI$3&lt;='Gastos Gerais'!$E$4:$E$3143),-('Gastos Gerais'!$C$4:$C$3143))</f>
        <v>2850</v>
      </c>
      <c r="AJ90" s="134">
        <f>SUMPRODUCT(-('Gastos Gerais'!$B$4:$B$3143=Analítico!$B90),-(Analítico!AJ$3&gt;='Gastos Gerais'!$D$4:$D$3143),-(Analítico!AJ$3&lt;='Gastos Gerais'!$E$4:$E$3143),-('Gastos Gerais'!$C$4:$C$3143))</f>
        <v>2850</v>
      </c>
      <c r="AK90" s="134">
        <f>SUMPRODUCT(-('Gastos Gerais'!$B$4:$B$3143=Analítico!$B90),-(Analítico!AK$3&gt;='Gastos Gerais'!$D$4:$D$3143),-(Analítico!AK$3&lt;='Gastos Gerais'!$E$4:$E$3143),-('Gastos Gerais'!$C$4:$C$3143))</f>
        <v>2850</v>
      </c>
      <c r="AL90" s="134">
        <f>SUMPRODUCT(-('Gastos Gerais'!$B$4:$B$3143=Analítico!$B90),-(Analítico!AL$3&gt;='Gastos Gerais'!$D$4:$D$3143),-(Analítico!AL$3&lt;='Gastos Gerais'!$E$4:$E$3143),-('Gastos Gerais'!$C$4:$C$3143))</f>
        <v>2850</v>
      </c>
      <c r="AM90" s="134">
        <f>SUMPRODUCT(-('Gastos Gerais'!$B$4:$B$3143=Analítico!$B90),-(Analítico!AM$3&gt;='Gastos Gerais'!$D$4:$D$3143),-(Analítico!AM$3&lt;='Gastos Gerais'!$E$4:$E$3143),-('Gastos Gerais'!$C$4:$C$3143))</f>
        <v>2220</v>
      </c>
      <c r="AN90" s="134">
        <f>SUMPRODUCT(-('Gastos Gerais'!$B$4:$B$3143=Analítico!$B90),-(Analítico!AN$3&gt;='Gastos Gerais'!$D$4:$D$3143),-(Analítico!AN$3&lt;='Gastos Gerais'!$E$4:$E$3143),-('Gastos Gerais'!$C$4:$C$3143))</f>
        <v>2220</v>
      </c>
      <c r="AO90" s="134">
        <f>SUMPRODUCT(-('Gastos Gerais'!$B$4:$B$3143=Analítico!$B90),-(Analítico!AO$3&gt;='Gastos Gerais'!$D$4:$D$3143),-(Analítico!AO$3&lt;='Gastos Gerais'!$E$4:$E$3143),-('Gastos Gerais'!$C$4:$C$3143))</f>
        <v>2220</v>
      </c>
      <c r="AP90" s="134">
        <f>SUMPRODUCT(-('Gastos Gerais'!$B$4:$B$3143=Analítico!$B90),-(Analítico!AP$3&gt;='Gastos Gerais'!$D$4:$D$3143),-(Analítico!AP$3&lt;='Gastos Gerais'!$E$4:$E$3143),-('Gastos Gerais'!$C$4:$C$3143))</f>
        <v>2220</v>
      </c>
      <c r="AQ90" s="134">
        <f>SUMPRODUCT(-('Gastos Gerais'!$B$4:$B$3143=Analítico!$B90),-(Analítico!AQ$3&gt;='Gastos Gerais'!$D$4:$D$3143),-(Analítico!AQ$3&lt;='Gastos Gerais'!$E$4:$E$3143),-('Gastos Gerais'!$C$4:$C$3143))</f>
        <v>2220</v>
      </c>
      <c r="AR90" s="134">
        <f>SUMPRODUCT(-('Gastos Gerais'!$B$4:$B$3143=Analítico!$B90),-(Analítico!AR$3&gt;='Gastos Gerais'!$D$4:$D$3143),-(Analítico!AR$3&lt;='Gastos Gerais'!$E$4:$E$3143),-('Gastos Gerais'!$C$4:$C$3143))</f>
        <v>2220</v>
      </c>
      <c r="AS90" s="134">
        <f>SUMPRODUCT(-('Gastos Gerais'!$B$4:$B$3143=Analítico!$B90),-(Analítico!AS$3&gt;='Gastos Gerais'!$D$4:$D$3143),-(Analítico!AS$3&lt;='Gastos Gerais'!$E$4:$E$3143),-('Gastos Gerais'!$C$4:$C$3143))</f>
        <v>2220</v>
      </c>
      <c r="AT90" s="134">
        <f>SUMPRODUCT(-('Gastos Gerais'!$B$4:$B$3143=Analítico!$B90),-(Analítico!AT$3&gt;='Gastos Gerais'!$D$4:$D$3143),-(Analítico!AT$3&lt;='Gastos Gerais'!$E$4:$E$3143),-('Gastos Gerais'!$C$4:$C$3143))</f>
        <v>2220</v>
      </c>
      <c r="AU90" s="134">
        <f>SUMPRODUCT(-('Gastos Gerais'!$B$4:$B$3143=Analítico!$B90),-(Analítico!AU$3&gt;='Gastos Gerais'!$D$4:$D$3143),-(Analítico!AU$3&lt;='Gastos Gerais'!$E$4:$E$3143),-('Gastos Gerais'!$C$4:$C$3143))</f>
        <v>2220</v>
      </c>
      <c r="AV90" s="134">
        <f>SUMPRODUCT(-('Gastos Gerais'!$B$4:$B$3143=Analítico!$B90),-(Analítico!AV$3&gt;='Gastos Gerais'!$D$4:$D$3143),-(Analítico!AV$3&lt;='Gastos Gerais'!$E$4:$E$3143),-('Gastos Gerais'!$C$4:$C$3143))</f>
        <v>2220</v>
      </c>
      <c r="AW90" s="134">
        <f>SUMPRODUCT(-('Gastos Gerais'!$B$4:$B$3143=Analítico!$B90),-(Analítico!AW$3&gt;='Gastos Gerais'!$D$4:$D$3143),-(Analítico!AW$3&lt;='Gastos Gerais'!$E$4:$E$3143),-('Gastos Gerais'!$C$4:$C$3143))</f>
        <v>2200</v>
      </c>
      <c r="AX90" s="134">
        <f>SUMPRODUCT(-('Gastos Gerais'!$B$4:$B$3143=Analítico!$B90),-(Analítico!AX$3&gt;='Gastos Gerais'!$D$4:$D$3143),-(Analítico!AX$3&lt;='Gastos Gerais'!$E$4:$E$3143),-('Gastos Gerais'!$C$4:$C$3143))</f>
        <v>0</v>
      </c>
      <c r="AY90" s="134">
        <f>SUMPRODUCT(-('Gastos Gerais'!$B$4:$B$3143=Analítico!$B90),-(Analítico!AY$3&gt;='Gastos Gerais'!$D$4:$D$3143),-(Analítico!AY$3&lt;='Gastos Gerais'!$E$4:$E$3143),-('Gastos Gerais'!$C$4:$C$3143))</f>
        <v>0</v>
      </c>
      <c r="AZ90" s="134">
        <f>SUMPRODUCT(-('Gastos Gerais'!$B$4:$B$3143=Analítico!$B90),-(Analítico!AZ$3&gt;='Gastos Gerais'!$D$4:$D$3143),-(Analítico!AZ$3&lt;='Gastos Gerais'!$E$4:$E$3143),-('Gastos Gerais'!$C$4:$C$3143))</f>
        <v>0</v>
      </c>
      <c r="BA90" s="134">
        <f>SUMPRODUCT(-('Gastos Gerais'!$B$4:$B$3143=Analítico!$B90),-(Analítico!BA$3&gt;='Gastos Gerais'!$D$4:$D$3143),-(Analítico!BA$3&lt;='Gastos Gerais'!$E$4:$E$3143),-('Gastos Gerais'!$C$4:$C$3143))</f>
        <v>0</v>
      </c>
      <c r="BB90" s="134">
        <f>SUMPRODUCT(-('Gastos Gerais'!$B$4:$B$3143=Analítico!$B90),-(Analítico!BB$3&gt;='Gastos Gerais'!$D$4:$D$3143),-(Analítico!BB$3&lt;='Gastos Gerais'!$E$4:$E$3143),-('Gastos Gerais'!$C$4:$C$3143))</f>
        <v>0</v>
      </c>
      <c r="BC90" s="134">
        <f>SUMPRODUCT(-('Gastos Gerais'!$B$4:$B$3143=Analítico!$B90),-(Analítico!BC$3&gt;='Gastos Gerais'!$D$4:$D$3143),-(Analítico!BC$3&lt;='Gastos Gerais'!$E$4:$E$3143),-('Gastos Gerais'!$C$4:$C$3143))</f>
        <v>0</v>
      </c>
      <c r="BD90" s="134">
        <f>SUMPRODUCT(-('Gastos Gerais'!$B$4:$B$3143=Analítico!$B90),-(Analítico!BD$3&gt;='Gastos Gerais'!$D$4:$D$3143),-(Analítico!BD$3&lt;='Gastos Gerais'!$E$4:$E$3143),-('Gastos Gerais'!$C$4:$C$3143))</f>
        <v>0</v>
      </c>
      <c r="BE90" s="134">
        <f>SUMPRODUCT(-('Gastos Gerais'!$B$4:$B$3143=Analítico!$B90),-(Analítico!BE$3&gt;='Gastos Gerais'!$D$4:$D$3143),-(Analítico!BE$3&lt;='Gastos Gerais'!$E$4:$E$3143),-('Gastos Gerais'!$C$4:$C$3143))</f>
        <v>0</v>
      </c>
      <c r="BF90" s="134">
        <f>SUMPRODUCT(-('Gastos Gerais'!$B$4:$B$3143=Analítico!$B90),-(Analítico!BF$3&gt;='Gastos Gerais'!$D$4:$D$3143),-(Analítico!BF$3&lt;='Gastos Gerais'!$E$4:$E$3143),-('Gastos Gerais'!$C$4:$C$3143))</f>
        <v>0</v>
      </c>
      <c r="BG90" s="134">
        <f>SUMPRODUCT(-('Gastos Gerais'!$B$4:$B$3143=Analítico!$B90),-(Analítico!BG$3&gt;='Gastos Gerais'!$D$4:$D$3143),-(Analítico!BG$3&lt;='Gastos Gerais'!$E$4:$E$3143),-('Gastos Gerais'!$C$4:$C$3143))</f>
        <v>0</v>
      </c>
      <c r="BH90" s="134">
        <f>SUMPRODUCT(-('Gastos Gerais'!$B$4:$B$3143=Analítico!$B90),-(Analítico!BH$3&gt;='Gastos Gerais'!$D$4:$D$3143),-(Analítico!BH$3&lt;='Gastos Gerais'!$E$4:$E$3143),-('Gastos Gerais'!$C$4:$C$3143))</f>
        <v>0</v>
      </c>
      <c r="BI90" s="134">
        <f>SUMPRODUCT(-('Gastos Gerais'!$B$4:$B$3143=Analítico!$B90),-(Analítico!BI$3&gt;='Gastos Gerais'!$D$4:$D$3143),-(Analítico!BI$3&lt;='Gastos Gerais'!$E$4:$E$3143),-('Gastos Gerais'!$C$4:$C$3143))</f>
        <v>0</v>
      </c>
      <c r="BJ90" s="134">
        <f>SUMPRODUCT(-('Gastos Gerais'!$B$4:$B$3143=Analítico!$B90),-(Analítico!BJ$3&gt;='Gastos Gerais'!$D$4:$D$3143),-(Analítico!BJ$3&lt;='Gastos Gerais'!$E$4:$E$3143),-('Gastos Gerais'!$C$4:$C$3143))</f>
        <v>0</v>
      </c>
      <c r="BK90" s="189">
        <f t="shared" si="24"/>
        <v>126000</v>
      </c>
      <c r="BL90" s="136">
        <f t="shared" ca="1" si="25"/>
        <v>4.3381776177658243E-4</v>
      </c>
    </row>
    <row r="91" spans="1:64" s="160" customFormat="1" ht="23.25" customHeight="1">
      <c r="A91" s="229" t="s">
        <v>259</v>
      </c>
      <c r="B91" s="232" t="s">
        <v>260</v>
      </c>
      <c r="C91" s="188">
        <f>SUMPRODUCT(-('Gastos Gerais'!$B$4:$B$3143=Analítico!$B91),-(Analítico!C$3&gt;='Gastos Gerais'!$D$4:$D$3143),-(Analítico!C$3&lt;='Gastos Gerais'!$E$4:$E$3143),-('Gastos Gerais'!$C$4:$C$3143))</f>
        <v>500</v>
      </c>
      <c r="D91" s="134">
        <f>SUMPRODUCT(-('Gastos Gerais'!$B$4:$B$3143=Analítico!$B91),-(Analítico!D$3&gt;='Gastos Gerais'!$D$4:$D$3143),-(Analítico!D$3&lt;='Gastos Gerais'!$E$4:$E$3143),-('Gastos Gerais'!$C$4:$C$3143))</f>
        <v>500</v>
      </c>
      <c r="E91" s="134">
        <f>SUMPRODUCT(-('Gastos Gerais'!$B$4:$B$3143=Analítico!$B91),-(Analítico!E$3&gt;='Gastos Gerais'!$D$4:$D$3143),-(Analítico!E$3&lt;='Gastos Gerais'!$E$4:$E$3143),-('Gastos Gerais'!$C$4:$C$3143))</f>
        <v>500</v>
      </c>
      <c r="F91" s="134">
        <f>SUMPRODUCT(-('Gastos Gerais'!$B$4:$B$3143=Analítico!$B91),-(Analítico!F$3&gt;='Gastos Gerais'!$D$4:$D$3143),-(Analítico!F$3&lt;='Gastos Gerais'!$E$4:$E$3143),-('Gastos Gerais'!$C$4:$C$3143))</f>
        <v>500</v>
      </c>
      <c r="G91" s="134">
        <f>SUMPRODUCT(-('Gastos Gerais'!$B$4:$B$3143=Analítico!$B91),-(Analítico!G$3&gt;='Gastos Gerais'!$D$4:$D$3143),-(Analítico!G$3&lt;='Gastos Gerais'!$E$4:$E$3143),-('Gastos Gerais'!$C$4:$C$3143))</f>
        <v>500</v>
      </c>
      <c r="H91" s="134">
        <f>SUMPRODUCT(-('Gastos Gerais'!$B$4:$B$3143=Analítico!$B91),-(Analítico!H$3&gt;='Gastos Gerais'!$D$4:$D$3143),-(Analítico!H$3&lt;='Gastos Gerais'!$E$4:$E$3143),-('Gastos Gerais'!$C$4:$C$3143))</f>
        <v>500</v>
      </c>
      <c r="I91" s="134">
        <f>SUMPRODUCT(-('Gastos Gerais'!$B$4:$B$3143=Analítico!$B91),-(Analítico!I$3&gt;='Gastos Gerais'!$D$4:$D$3143),-(Analítico!I$3&lt;='Gastos Gerais'!$E$4:$E$3143),-('Gastos Gerais'!$C$4:$C$3143))</f>
        <v>500</v>
      </c>
      <c r="J91" s="134">
        <f>SUMPRODUCT(-('Gastos Gerais'!$B$4:$B$3143=Analítico!$B91),-(Analítico!J$3&gt;='Gastos Gerais'!$D$4:$D$3143),-(Analítico!J$3&lt;='Gastos Gerais'!$E$4:$E$3143),-('Gastos Gerais'!$C$4:$C$3143))</f>
        <v>500</v>
      </c>
      <c r="K91" s="134">
        <f>SUMPRODUCT(-('Gastos Gerais'!$B$4:$B$3143=Analítico!$B91),-(Analítico!K$3&gt;='Gastos Gerais'!$D$4:$D$3143),-(Analítico!K$3&lt;='Gastos Gerais'!$E$4:$E$3143),-('Gastos Gerais'!$C$4:$C$3143))</f>
        <v>500</v>
      </c>
      <c r="L91" s="134">
        <f>SUMPRODUCT(-('Gastos Gerais'!$B$4:$B$3143=Analítico!$B91),-(Analítico!L$3&gt;='Gastos Gerais'!$D$4:$D$3143),-(Analítico!L$3&lt;='Gastos Gerais'!$E$4:$E$3143),-('Gastos Gerais'!$C$4:$C$3143))</f>
        <v>500</v>
      </c>
      <c r="M91" s="134">
        <f>SUMPRODUCT(-('Gastos Gerais'!$B$4:$B$3143=Analítico!$B91),-(Analítico!M$3&gt;='Gastos Gerais'!$D$4:$D$3143),-(Analítico!M$3&lt;='Gastos Gerais'!$E$4:$E$3143),-('Gastos Gerais'!$C$4:$C$3143))</f>
        <v>500</v>
      </c>
      <c r="N91" s="134">
        <f>SUMPRODUCT(-('Gastos Gerais'!$B$4:$B$3143=Analítico!$B91),-(Analítico!N$3&gt;='Gastos Gerais'!$D$4:$D$3143),-(Analítico!N$3&lt;='Gastos Gerais'!$E$4:$E$3143),-('Gastos Gerais'!$C$4:$C$3143))</f>
        <v>500</v>
      </c>
      <c r="O91" s="134">
        <f>SUMPRODUCT(-('Gastos Gerais'!$B$4:$B$3143=Analítico!$B91),-(Analítico!O$3&gt;='Gastos Gerais'!$D$4:$D$3143),-(Analítico!O$3&lt;='Gastos Gerais'!$E$4:$E$3143),-('Gastos Gerais'!$C$4:$C$3143))</f>
        <v>500</v>
      </c>
      <c r="P91" s="134">
        <f>SUMPRODUCT(-('Gastos Gerais'!$B$4:$B$3143=Analítico!$B91),-(Analítico!P$3&gt;='Gastos Gerais'!$D$4:$D$3143),-(Analítico!P$3&lt;='Gastos Gerais'!$E$4:$E$3143),-('Gastos Gerais'!$C$4:$C$3143))</f>
        <v>500</v>
      </c>
      <c r="Q91" s="134">
        <f>SUMPRODUCT(-('Gastos Gerais'!$B$4:$B$3143=Analítico!$B91),-(Analítico!Q$3&gt;='Gastos Gerais'!$D$4:$D$3143),-(Analítico!Q$3&lt;='Gastos Gerais'!$E$4:$E$3143),-('Gastos Gerais'!$C$4:$C$3143))</f>
        <v>500</v>
      </c>
      <c r="R91" s="134">
        <f>SUMPRODUCT(-('Gastos Gerais'!$B$4:$B$3143=Analítico!$B91),-(Analítico!R$3&gt;='Gastos Gerais'!$D$4:$D$3143),-(Analítico!R$3&lt;='Gastos Gerais'!$E$4:$E$3143),-('Gastos Gerais'!$C$4:$C$3143))</f>
        <v>500</v>
      </c>
      <c r="S91" s="134">
        <f>SUMPRODUCT(-('Gastos Gerais'!$B$4:$B$3143=Analítico!$B91),-(Analítico!S$3&gt;='Gastos Gerais'!$D$4:$D$3143),-(Analítico!S$3&lt;='Gastos Gerais'!$E$4:$E$3143),-('Gastos Gerais'!$C$4:$C$3143))</f>
        <v>500</v>
      </c>
      <c r="T91" s="134">
        <f>SUMPRODUCT(-('Gastos Gerais'!$B$4:$B$3143=Analítico!$B91),-(Analítico!T$3&gt;='Gastos Gerais'!$D$4:$D$3143),-(Analítico!T$3&lt;='Gastos Gerais'!$E$4:$E$3143),-('Gastos Gerais'!$C$4:$C$3143))</f>
        <v>500</v>
      </c>
      <c r="U91" s="134">
        <f>SUMPRODUCT(-('Gastos Gerais'!$B$4:$B$3143=Analítico!$B91),-(Analítico!U$3&gt;='Gastos Gerais'!$D$4:$D$3143),-(Analítico!U$3&lt;='Gastos Gerais'!$E$4:$E$3143),-('Gastos Gerais'!$C$4:$C$3143))</f>
        <v>500</v>
      </c>
      <c r="V91" s="134">
        <f>SUMPRODUCT(-('Gastos Gerais'!$B$4:$B$3143=Analítico!$B91),-(Analítico!V$3&gt;='Gastos Gerais'!$D$4:$D$3143),-(Analítico!V$3&lt;='Gastos Gerais'!$E$4:$E$3143),-('Gastos Gerais'!$C$4:$C$3143))</f>
        <v>500</v>
      </c>
      <c r="W91" s="134">
        <f>SUMPRODUCT(-('Gastos Gerais'!$B$4:$B$3143=Analítico!$B91),-(Analítico!W$3&gt;='Gastos Gerais'!$D$4:$D$3143),-(Analítico!W$3&lt;='Gastos Gerais'!$E$4:$E$3143),-('Gastos Gerais'!$C$4:$C$3143))</f>
        <v>500</v>
      </c>
      <c r="X91" s="134">
        <f>SUMPRODUCT(-('Gastos Gerais'!$B$4:$B$3143=Analítico!$B91),-(Analítico!X$3&gt;='Gastos Gerais'!$D$4:$D$3143),-(Analítico!X$3&lt;='Gastos Gerais'!$E$4:$E$3143),-('Gastos Gerais'!$C$4:$C$3143))</f>
        <v>500</v>
      </c>
      <c r="Y91" s="134">
        <f>SUMPRODUCT(-('Gastos Gerais'!$B$4:$B$3143=Analítico!$B91),-(Analítico!Y$3&gt;='Gastos Gerais'!$D$4:$D$3143),-(Analítico!Y$3&lt;='Gastos Gerais'!$E$4:$E$3143),-('Gastos Gerais'!$C$4:$C$3143))</f>
        <v>500</v>
      </c>
      <c r="Z91" s="134">
        <f>SUMPRODUCT(-('Gastos Gerais'!$B$4:$B$3143=Analítico!$B91),-(Analítico!Z$3&gt;='Gastos Gerais'!$D$4:$D$3143),-(Analítico!Z$3&lt;='Gastos Gerais'!$E$4:$E$3143),-('Gastos Gerais'!$C$4:$C$3143))</f>
        <v>500</v>
      </c>
      <c r="AA91" s="134">
        <f>SUMPRODUCT(-('Gastos Gerais'!$B$4:$B$3143=Analítico!$B91),-(Analítico!AA$3&gt;='Gastos Gerais'!$D$4:$D$3143),-(Analítico!AA$3&lt;='Gastos Gerais'!$E$4:$E$3143),-('Gastos Gerais'!$C$4:$C$3143))</f>
        <v>500</v>
      </c>
      <c r="AB91" s="134">
        <f>SUMPRODUCT(-('Gastos Gerais'!$B$4:$B$3143=Analítico!$B91),-(Analítico!AB$3&gt;='Gastos Gerais'!$D$4:$D$3143),-(Analítico!AB$3&lt;='Gastos Gerais'!$E$4:$E$3143),-('Gastos Gerais'!$C$4:$C$3143))</f>
        <v>500</v>
      </c>
      <c r="AC91" s="134">
        <f>SUMPRODUCT(-('Gastos Gerais'!$B$4:$B$3143=Analítico!$B91),-(Analítico!AC$3&gt;='Gastos Gerais'!$D$4:$D$3143),-(Analítico!AC$3&lt;='Gastos Gerais'!$E$4:$E$3143),-('Gastos Gerais'!$C$4:$C$3143))</f>
        <v>500</v>
      </c>
      <c r="AD91" s="134">
        <f>SUMPRODUCT(-('Gastos Gerais'!$B$4:$B$3143=Analítico!$B91),-(Analítico!AD$3&gt;='Gastos Gerais'!$D$4:$D$3143),-(Analítico!AD$3&lt;='Gastos Gerais'!$E$4:$E$3143),-('Gastos Gerais'!$C$4:$C$3143))</f>
        <v>500</v>
      </c>
      <c r="AE91" s="134">
        <f>SUMPRODUCT(-('Gastos Gerais'!$B$4:$B$3143=Analítico!$B91),-(Analítico!AE$3&gt;='Gastos Gerais'!$D$4:$D$3143),-(Analítico!AE$3&lt;='Gastos Gerais'!$E$4:$E$3143),-('Gastos Gerais'!$C$4:$C$3143))</f>
        <v>500</v>
      </c>
      <c r="AF91" s="134">
        <f>SUMPRODUCT(-('Gastos Gerais'!$B$4:$B$3143=Analítico!$B91),-(Analítico!AF$3&gt;='Gastos Gerais'!$D$4:$D$3143),-(Analítico!AF$3&lt;='Gastos Gerais'!$E$4:$E$3143),-('Gastos Gerais'!$C$4:$C$3143))</f>
        <v>500</v>
      </c>
      <c r="AG91" s="134">
        <f>SUMPRODUCT(-('Gastos Gerais'!$B$4:$B$3143=Analítico!$B91),-(Analítico!AG$3&gt;='Gastos Gerais'!$D$4:$D$3143),-(Analítico!AG$3&lt;='Gastos Gerais'!$E$4:$E$3143),-('Gastos Gerais'!$C$4:$C$3143))</f>
        <v>500</v>
      </c>
      <c r="AH91" s="134">
        <f>SUMPRODUCT(-('Gastos Gerais'!$B$4:$B$3143=Analítico!$B91),-(Analítico!AH$3&gt;='Gastos Gerais'!$D$4:$D$3143),-(Analítico!AH$3&lt;='Gastos Gerais'!$E$4:$E$3143),-('Gastos Gerais'!$C$4:$C$3143))</f>
        <v>500</v>
      </c>
      <c r="AI91" s="134">
        <f>SUMPRODUCT(-('Gastos Gerais'!$B$4:$B$3143=Analítico!$B91),-(Analítico!AI$3&gt;='Gastos Gerais'!$D$4:$D$3143),-(Analítico!AI$3&lt;='Gastos Gerais'!$E$4:$E$3143),-('Gastos Gerais'!$C$4:$C$3143))</f>
        <v>500</v>
      </c>
      <c r="AJ91" s="134">
        <f>SUMPRODUCT(-('Gastos Gerais'!$B$4:$B$3143=Analítico!$B91),-(Analítico!AJ$3&gt;='Gastos Gerais'!$D$4:$D$3143),-(Analítico!AJ$3&lt;='Gastos Gerais'!$E$4:$E$3143),-('Gastos Gerais'!$C$4:$C$3143))</f>
        <v>500</v>
      </c>
      <c r="AK91" s="134">
        <f>SUMPRODUCT(-('Gastos Gerais'!$B$4:$B$3143=Analítico!$B91),-(Analítico!AK$3&gt;='Gastos Gerais'!$D$4:$D$3143),-(Analítico!AK$3&lt;='Gastos Gerais'!$E$4:$E$3143),-('Gastos Gerais'!$C$4:$C$3143))</f>
        <v>500</v>
      </c>
      <c r="AL91" s="134">
        <f>SUMPRODUCT(-('Gastos Gerais'!$B$4:$B$3143=Analítico!$B91),-(Analítico!AL$3&gt;='Gastos Gerais'!$D$4:$D$3143),-(Analítico!AL$3&lt;='Gastos Gerais'!$E$4:$E$3143),-('Gastos Gerais'!$C$4:$C$3143))</f>
        <v>500</v>
      </c>
      <c r="AM91" s="134">
        <f>SUMPRODUCT(-('Gastos Gerais'!$B$4:$B$3143=Analítico!$B91),-(Analítico!AM$3&gt;='Gastos Gerais'!$D$4:$D$3143),-(Analítico!AM$3&lt;='Gastos Gerais'!$E$4:$E$3143),-('Gastos Gerais'!$C$4:$C$3143))</f>
        <v>500</v>
      </c>
      <c r="AN91" s="134">
        <f>SUMPRODUCT(-('Gastos Gerais'!$B$4:$B$3143=Analítico!$B91),-(Analítico!AN$3&gt;='Gastos Gerais'!$D$4:$D$3143),-(Analítico!AN$3&lt;='Gastos Gerais'!$E$4:$E$3143),-('Gastos Gerais'!$C$4:$C$3143))</f>
        <v>500</v>
      </c>
      <c r="AO91" s="134">
        <f>SUMPRODUCT(-('Gastos Gerais'!$B$4:$B$3143=Analítico!$B91),-(Analítico!AO$3&gt;='Gastos Gerais'!$D$4:$D$3143),-(Analítico!AO$3&lt;='Gastos Gerais'!$E$4:$E$3143),-('Gastos Gerais'!$C$4:$C$3143))</f>
        <v>500</v>
      </c>
      <c r="AP91" s="134">
        <f>SUMPRODUCT(-('Gastos Gerais'!$B$4:$B$3143=Analítico!$B91),-(Analítico!AP$3&gt;='Gastos Gerais'!$D$4:$D$3143),-(Analítico!AP$3&lt;='Gastos Gerais'!$E$4:$E$3143),-('Gastos Gerais'!$C$4:$C$3143))</f>
        <v>500</v>
      </c>
      <c r="AQ91" s="134">
        <f>SUMPRODUCT(-('Gastos Gerais'!$B$4:$B$3143=Analítico!$B91),-(Analítico!AQ$3&gt;='Gastos Gerais'!$D$4:$D$3143),-(Analítico!AQ$3&lt;='Gastos Gerais'!$E$4:$E$3143),-('Gastos Gerais'!$C$4:$C$3143))</f>
        <v>500</v>
      </c>
      <c r="AR91" s="134">
        <f>SUMPRODUCT(-('Gastos Gerais'!$B$4:$B$3143=Analítico!$B91),-(Analítico!AR$3&gt;='Gastos Gerais'!$D$4:$D$3143),-(Analítico!AR$3&lt;='Gastos Gerais'!$E$4:$E$3143),-('Gastos Gerais'!$C$4:$C$3143))</f>
        <v>500</v>
      </c>
      <c r="AS91" s="134">
        <f>SUMPRODUCT(-('Gastos Gerais'!$B$4:$B$3143=Analítico!$B91),-(Analítico!AS$3&gt;='Gastos Gerais'!$D$4:$D$3143),-(Analítico!AS$3&lt;='Gastos Gerais'!$E$4:$E$3143),-('Gastos Gerais'!$C$4:$C$3143))</f>
        <v>500</v>
      </c>
      <c r="AT91" s="134">
        <f>SUMPRODUCT(-('Gastos Gerais'!$B$4:$B$3143=Analítico!$B91),-(Analítico!AT$3&gt;='Gastos Gerais'!$D$4:$D$3143),-(Analítico!AT$3&lt;='Gastos Gerais'!$E$4:$E$3143),-('Gastos Gerais'!$C$4:$C$3143))</f>
        <v>500</v>
      </c>
      <c r="AU91" s="134">
        <f>SUMPRODUCT(-('Gastos Gerais'!$B$4:$B$3143=Analítico!$B91),-(Analítico!AU$3&gt;='Gastos Gerais'!$D$4:$D$3143),-(Analítico!AU$3&lt;='Gastos Gerais'!$E$4:$E$3143),-('Gastos Gerais'!$C$4:$C$3143))</f>
        <v>500</v>
      </c>
      <c r="AV91" s="134">
        <f>SUMPRODUCT(-('Gastos Gerais'!$B$4:$B$3143=Analítico!$B91),-(Analítico!AV$3&gt;='Gastos Gerais'!$D$4:$D$3143),-(Analítico!AV$3&lt;='Gastos Gerais'!$E$4:$E$3143),-('Gastos Gerais'!$C$4:$C$3143))</f>
        <v>500</v>
      </c>
      <c r="AW91" s="134">
        <f>SUMPRODUCT(-('Gastos Gerais'!$B$4:$B$3143=Analítico!$B91),-(Analítico!AW$3&gt;='Gastos Gerais'!$D$4:$D$3143),-(Analítico!AW$3&lt;='Gastos Gerais'!$E$4:$E$3143),-('Gastos Gerais'!$C$4:$C$3143))</f>
        <v>500</v>
      </c>
      <c r="AX91" s="134">
        <f>SUMPRODUCT(-('Gastos Gerais'!$B$4:$B$3143=Analítico!$B91),-(Analítico!AX$3&gt;='Gastos Gerais'!$D$4:$D$3143),-(Analítico!AX$3&lt;='Gastos Gerais'!$E$4:$E$3143),-('Gastos Gerais'!$C$4:$C$3143))</f>
        <v>0</v>
      </c>
      <c r="AY91" s="134">
        <f>SUMPRODUCT(-('Gastos Gerais'!$B$4:$B$3143=Analítico!$B91),-(Analítico!AY$3&gt;='Gastos Gerais'!$D$4:$D$3143),-(Analítico!AY$3&lt;='Gastos Gerais'!$E$4:$E$3143),-('Gastos Gerais'!$C$4:$C$3143))</f>
        <v>0</v>
      </c>
      <c r="AZ91" s="134">
        <f>SUMPRODUCT(-('Gastos Gerais'!$B$4:$B$3143=Analítico!$B91),-(Analítico!AZ$3&gt;='Gastos Gerais'!$D$4:$D$3143),-(Analítico!AZ$3&lt;='Gastos Gerais'!$E$4:$E$3143),-('Gastos Gerais'!$C$4:$C$3143))</f>
        <v>0</v>
      </c>
      <c r="BA91" s="134">
        <f>SUMPRODUCT(-('Gastos Gerais'!$B$4:$B$3143=Analítico!$B91),-(Analítico!BA$3&gt;='Gastos Gerais'!$D$4:$D$3143),-(Analítico!BA$3&lt;='Gastos Gerais'!$E$4:$E$3143),-('Gastos Gerais'!$C$4:$C$3143))</f>
        <v>0</v>
      </c>
      <c r="BB91" s="134">
        <f>SUMPRODUCT(-('Gastos Gerais'!$B$4:$B$3143=Analítico!$B91),-(Analítico!BB$3&gt;='Gastos Gerais'!$D$4:$D$3143),-(Analítico!BB$3&lt;='Gastos Gerais'!$E$4:$E$3143),-('Gastos Gerais'!$C$4:$C$3143))</f>
        <v>0</v>
      </c>
      <c r="BC91" s="134">
        <f>SUMPRODUCT(-('Gastos Gerais'!$B$4:$B$3143=Analítico!$B91),-(Analítico!BC$3&gt;='Gastos Gerais'!$D$4:$D$3143),-(Analítico!BC$3&lt;='Gastos Gerais'!$E$4:$E$3143),-('Gastos Gerais'!$C$4:$C$3143))</f>
        <v>0</v>
      </c>
      <c r="BD91" s="134">
        <f>SUMPRODUCT(-('Gastos Gerais'!$B$4:$B$3143=Analítico!$B91),-(Analítico!BD$3&gt;='Gastos Gerais'!$D$4:$D$3143),-(Analítico!BD$3&lt;='Gastos Gerais'!$E$4:$E$3143),-('Gastos Gerais'!$C$4:$C$3143))</f>
        <v>0</v>
      </c>
      <c r="BE91" s="134">
        <f>SUMPRODUCT(-('Gastos Gerais'!$B$4:$B$3143=Analítico!$B91),-(Analítico!BE$3&gt;='Gastos Gerais'!$D$4:$D$3143),-(Analítico!BE$3&lt;='Gastos Gerais'!$E$4:$E$3143),-('Gastos Gerais'!$C$4:$C$3143))</f>
        <v>0</v>
      </c>
      <c r="BF91" s="134">
        <f>SUMPRODUCT(-('Gastos Gerais'!$B$4:$B$3143=Analítico!$B91),-(Analítico!BF$3&gt;='Gastos Gerais'!$D$4:$D$3143),-(Analítico!BF$3&lt;='Gastos Gerais'!$E$4:$E$3143),-('Gastos Gerais'!$C$4:$C$3143))</f>
        <v>0</v>
      </c>
      <c r="BG91" s="134">
        <f>SUMPRODUCT(-('Gastos Gerais'!$B$4:$B$3143=Analítico!$B91),-(Analítico!BG$3&gt;='Gastos Gerais'!$D$4:$D$3143),-(Analítico!BG$3&lt;='Gastos Gerais'!$E$4:$E$3143),-('Gastos Gerais'!$C$4:$C$3143))</f>
        <v>0</v>
      </c>
      <c r="BH91" s="134">
        <f>SUMPRODUCT(-('Gastos Gerais'!$B$4:$B$3143=Analítico!$B91),-(Analítico!BH$3&gt;='Gastos Gerais'!$D$4:$D$3143),-(Analítico!BH$3&lt;='Gastos Gerais'!$E$4:$E$3143),-('Gastos Gerais'!$C$4:$C$3143))</f>
        <v>0</v>
      </c>
      <c r="BI91" s="134">
        <f>SUMPRODUCT(-('Gastos Gerais'!$B$4:$B$3143=Analítico!$B91),-(Analítico!BI$3&gt;='Gastos Gerais'!$D$4:$D$3143),-(Analítico!BI$3&lt;='Gastos Gerais'!$E$4:$E$3143),-('Gastos Gerais'!$C$4:$C$3143))</f>
        <v>0</v>
      </c>
      <c r="BJ91" s="134">
        <f>SUMPRODUCT(-('Gastos Gerais'!$B$4:$B$3143=Analítico!$B91),-(Analítico!BJ$3&gt;='Gastos Gerais'!$D$4:$D$3143),-(Analítico!BJ$3&lt;='Gastos Gerais'!$E$4:$E$3143),-('Gastos Gerais'!$C$4:$C$3143))</f>
        <v>0</v>
      </c>
      <c r="BK91" s="189">
        <f t="shared" si="24"/>
        <v>23500</v>
      </c>
      <c r="BL91" s="136">
        <f t="shared" ca="1" si="25"/>
        <v>8.0910455569441962E-5</v>
      </c>
    </row>
    <row r="92" spans="1:64" s="160" customFormat="1" ht="23.25" customHeight="1">
      <c r="A92" s="229" t="s">
        <v>261</v>
      </c>
      <c r="B92" s="232" t="s">
        <v>262</v>
      </c>
      <c r="C92" s="188">
        <f>SUMPRODUCT(-('Gastos Gerais'!$B$4:$B$3143=Analítico!$B92),-(Analítico!C$3&gt;='Gastos Gerais'!$D$4:$D$3143),-(Analítico!C$3&lt;='Gastos Gerais'!$E$4:$E$3143),-('Gastos Gerais'!$C$4:$C$3143))</f>
        <v>180</v>
      </c>
      <c r="D92" s="134">
        <f>SUMPRODUCT(-('Gastos Gerais'!$B$4:$B$3143=Analítico!$B92),-(Analítico!D$3&gt;='Gastos Gerais'!$D$4:$D$3143),-(Analítico!D$3&lt;='Gastos Gerais'!$E$4:$E$3143),-('Gastos Gerais'!$C$4:$C$3143))</f>
        <v>180</v>
      </c>
      <c r="E92" s="134">
        <f>SUMPRODUCT(-('Gastos Gerais'!$B$4:$B$3143=Analítico!$B92),-(Analítico!E$3&gt;='Gastos Gerais'!$D$4:$D$3143),-(Analítico!E$3&lt;='Gastos Gerais'!$E$4:$E$3143),-('Gastos Gerais'!$C$4:$C$3143))</f>
        <v>180</v>
      </c>
      <c r="F92" s="134">
        <f>SUMPRODUCT(-('Gastos Gerais'!$B$4:$B$3143=Analítico!$B92),-(Analítico!F$3&gt;='Gastos Gerais'!$D$4:$D$3143),-(Analítico!F$3&lt;='Gastos Gerais'!$E$4:$E$3143),-('Gastos Gerais'!$C$4:$C$3143))</f>
        <v>180</v>
      </c>
      <c r="G92" s="134">
        <f>SUMPRODUCT(-('Gastos Gerais'!$B$4:$B$3143=Analítico!$B92),-(Analítico!G$3&gt;='Gastos Gerais'!$D$4:$D$3143),-(Analítico!G$3&lt;='Gastos Gerais'!$E$4:$E$3143),-('Gastos Gerais'!$C$4:$C$3143))</f>
        <v>180</v>
      </c>
      <c r="H92" s="134">
        <f>SUMPRODUCT(-('Gastos Gerais'!$B$4:$B$3143=Analítico!$B92),-(Analítico!H$3&gt;='Gastos Gerais'!$D$4:$D$3143),-(Analítico!H$3&lt;='Gastos Gerais'!$E$4:$E$3143),-('Gastos Gerais'!$C$4:$C$3143))</f>
        <v>180</v>
      </c>
      <c r="I92" s="134">
        <f>SUMPRODUCT(-('Gastos Gerais'!$B$4:$B$3143=Analítico!$B92),-(Analítico!I$3&gt;='Gastos Gerais'!$D$4:$D$3143),-(Analítico!I$3&lt;='Gastos Gerais'!$E$4:$E$3143),-('Gastos Gerais'!$C$4:$C$3143))</f>
        <v>180</v>
      </c>
      <c r="J92" s="134">
        <f>SUMPRODUCT(-('Gastos Gerais'!$B$4:$B$3143=Analítico!$B92),-(Analítico!J$3&gt;='Gastos Gerais'!$D$4:$D$3143),-(Analítico!J$3&lt;='Gastos Gerais'!$E$4:$E$3143),-('Gastos Gerais'!$C$4:$C$3143))</f>
        <v>180</v>
      </c>
      <c r="K92" s="134">
        <f>SUMPRODUCT(-('Gastos Gerais'!$B$4:$B$3143=Analítico!$B92),-(Analítico!K$3&gt;='Gastos Gerais'!$D$4:$D$3143),-(Analítico!K$3&lt;='Gastos Gerais'!$E$4:$E$3143),-('Gastos Gerais'!$C$4:$C$3143))</f>
        <v>180</v>
      </c>
      <c r="L92" s="134">
        <f>SUMPRODUCT(-('Gastos Gerais'!$B$4:$B$3143=Analítico!$B92),-(Analítico!L$3&gt;='Gastos Gerais'!$D$4:$D$3143),-(Analítico!L$3&lt;='Gastos Gerais'!$E$4:$E$3143),-('Gastos Gerais'!$C$4:$C$3143))</f>
        <v>180</v>
      </c>
      <c r="M92" s="134">
        <f>SUMPRODUCT(-('Gastos Gerais'!$B$4:$B$3143=Analítico!$B92),-(Analítico!M$3&gt;='Gastos Gerais'!$D$4:$D$3143),-(Analítico!M$3&lt;='Gastos Gerais'!$E$4:$E$3143),-('Gastos Gerais'!$C$4:$C$3143))</f>
        <v>180</v>
      </c>
      <c r="N92" s="134">
        <f>SUMPRODUCT(-('Gastos Gerais'!$B$4:$B$3143=Analítico!$B92),-(Analítico!N$3&gt;='Gastos Gerais'!$D$4:$D$3143),-(Analítico!N$3&lt;='Gastos Gerais'!$E$4:$E$3143),-('Gastos Gerais'!$C$4:$C$3143))</f>
        <v>180</v>
      </c>
      <c r="O92" s="134">
        <f>SUMPRODUCT(-('Gastos Gerais'!$B$4:$B$3143=Analítico!$B92),-(Analítico!O$3&gt;='Gastos Gerais'!$D$4:$D$3143),-(Analítico!O$3&lt;='Gastos Gerais'!$E$4:$E$3143),-('Gastos Gerais'!$C$4:$C$3143))</f>
        <v>180</v>
      </c>
      <c r="P92" s="134">
        <f>SUMPRODUCT(-('Gastos Gerais'!$B$4:$B$3143=Analítico!$B92),-(Analítico!P$3&gt;='Gastos Gerais'!$D$4:$D$3143),-(Analítico!P$3&lt;='Gastos Gerais'!$E$4:$E$3143),-('Gastos Gerais'!$C$4:$C$3143))</f>
        <v>180</v>
      </c>
      <c r="Q92" s="134">
        <f>SUMPRODUCT(-('Gastos Gerais'!$B$4:$B$3143=Analítico!$B92),-(Analítico!Q$3&gt;='Gastos Gerais'!$D$4:$D$3143),-(Analítico!Q$3&lt;='Gastos Gerais'!$E$4:$E$3143),-('Gastos Gerais'!$C$4:$C$3143))</f>
        <v>180</v>
      </c>
      <c r="R92" s="134">
        <f>SUMPRODUCT(-('Gastos Gerais'!$B$4:$B$3143=Analítico!$B92),-(Analítico!R$3&gt;='Gastos Gerais'!$D$4:$D$3143),-(Analítico!R$3&lt;='Gastos Gerais'!$E$4:$E$3143),-('Gastos Gerais'!$C$4:$C$3143))</f>
        <v>180</v>
      </c>
      <c r="S92" s="134">
        <f>SUMPRODUCT(-('Gastos Gerais'!$B$4:$B$3143=Analítico!$B92),-(Analítico!S$3&gt;='Gastos Gerais'!$D$4:$D$3143),-(Analítico!S$3&lt;='Gastos Gerais'!$E$4:$E$3143),-('Gastos Gerais'!$C$4:$C$3143))</f>
        <v>180</v>
      </c>
      <c r="T92" s="134">
        <f>SUMPRODUCT(-('Gastos Gerais'!$B$4:$B$3143=Analítico!$B92),-(Analítico!T$3&gt;='Gastos Gerais'!$D$4:$D$3143),-(Analítico!T$3&lt;='Gastos Gerais'!$E$4:$E$3143),-('Gastos Gerais'!$C$4:$C$3143))</f>
        <v>180</v>
      </c>
      <c r="U92" s="134">
        <f>SUMPRODUCT(-('Gastos Gerais'!$B$4:$B$3143=Analítico!$B92),-(Analítico!U$3&gt;='Gastos Gerais'!$D$4:$D$3143),-(Analítico!U$3&lt;='Gastos Gerais'!$E$4:$E$3143),-('Gastos Gerais'!$C$4:$C$3143))</f>
        <v>180</v>
      </c>
      <c r="V92" s="134">
        <f>SUMPRODUCT(-('Gastos Gerais'!$B$4:$B$3143=Analítico!$B92),-(Analítico!V$3&gt;='Gastos Gerais'!$D$4:$D$3143),-(Analítico!V$3&lt;='Gastos Gerais'!$E$4:$E$3143),-('Gastos Gerais'!$C$4:$C$3143))</f>
        <v>180</v>
      </c>
      <c r="W92" s="134">
        <f>SUMPRODUCT(-('Gastos Gerais'!$B$4:$B$3143=Analítico!$B92),-(Analítico!W$3&gt;='Gastos Gerais'!$D$4:$D$3143),-(Analítico!W$3&lt;='Gastos Gerais'!$E$4:$E$3143),-('Gastos Gerais'!$C$4:$C$3143))</f>
        <v>180</v>
      </c>
      <c r="X92" s="134">
        <f>SUMPRODUCT(-('Gastos Gerais'!$B$4:$B$3143=Analítico!$B92),-(Analítico!X$3&gt;='Gastos Gerais'!$D$4:$D$3143),-(Analítico!X$3&lt;='Gastos Gerais'!$E$4:$E$3143),-('Gastos Gerais'!$C$4:$C$3143))</f>
        <v>180</v>
      </c>
      <c r="Y92" s="134">
        <f>SUMPRODUCT(-('Gastos Gerais'!$B$4:$B$3143=Analítico!$B92),-(Analítico!Y$3&gt;='Gastos Gerais'!$D$4:$D$3143),-(Analítico!Y$3&lt;='Gastos Gerais'!$E$4:$E$3143),-('Gastos Gerais'!$C$4:$C$3143))</f>
        <v>180</v>
      </c>
      <c r="Z92" s="134">
        <f>SUMPRODUCT(-('Gastos Gerais'!$B$4:$B$3143=Analítico!$B92),-(Analítico!Z$3&gt;='Gastos Gerais'!$D$4:$D$3143),-(Analítico!Z$3&lt;='Gastos Gerais'!$E$4:$E$3143),-('Gastos Gerais'!$C$4:$C$3143))</f>
        <v>180</v>
      </c>
      <c r="AA92" s="134">
        <f>SUMPRODUCT(-('Gastos Gerais'!$B$4:$B$3143=Analítico!$B92),-(Analítico!AA$3&gt;='Gastos Gerais'!$D$4:$D$3143),-(Analítico!AA$3&lt;='Gastos Gerais'!$E$4:$E$3143),-('Gastos Gerais'!$C$4:$C$3143))</f>
        <v>180</v>
      </c>
      <c r="AB92" s="134">
        <f>SUMPRODUCT(-('Gastos Gerais'!$B$4:$B$3143=Analítico!$B92),-(Analítico!AB$3&gt;='Gastos Gerais'!$D$4:$D$3143),-(Analítico!AB$3&lt;='Gastos Gerais'!$E$4:$E$3143),-('Gastos Gerais'!$C$4:$C$3143))</f>
        <v>180</v>
      </c>
      <c r="AC92" s="134">
        <f>SUMPRODUCT(-('Gastos Gerais'!$B$4:$B$3143=Analítico!$B92),-(Analítico!AC$3&gt;='Gastos Gerais'!$D$4:$D$3143),-(Analítico!AC$3&lt;='Gastos Gerais'!$E$4:$E$3143),-('Gastos Gerais'!$C$4:$C$3143))</f>
        <v>180</v>
      </c>
      <c r="AD92" s="134">
        <f>SUMPRODUCT(-('Gastos Gerais'!$B$4:$B$3143=Analítico!$B92),-(Analítico!AD$3&gt;='Gastos Gerais'!$D$4:$D$3143),-(Analítico!AD$3&lt;='Gastos Gerais'!$E$4:$E$3143),-('Gastos Gerais'!$C$4:$C$3143))</f>
        <v>180</v>
      </c>
      <c r="AE92" s="134">
        <f>SUMPRODUCT(-('Gastos Gerais'!$B$4:$B$3143=Analítico!$B92),-(Analítico!AE$3&gt;='Gastos Gerais'!$D$4:$D$3143),-(Analítico!AE$3&lt;='Gastos Gerais'!$E$4:$E$3143),-('Gastos Gerais'!$C$4:$C$3143))</f>
        <v>180</v>
      </c>
      <c r="AF92" s="134">
        <f>SUMPRODUCT(-('Gastos Gerais'!$B$4:$B$3143=Analítico!$B92),-(Analítico!AF$3&gt;='Gastos Gerais'!$D$4:$D$3143),-(Analítico!AF$3&lt;='Gastos Gerais'!$E$4:$E$3143),-('Gastos Gerais'!$C$4:$C$3143))</f>
        <v>180</v>
      </c>
      <c r="AG92" s="134">
        <f>SUMPRODUCT(-('Gastos Gerais'!$B$4:$B$3143=Analítico!$B92),-(Analítico!AG$3&gt;='Gastos Gerais'!$D$4:$D$3143),-(Analítico!AG$3&lt;='Gastos Gerais'!$E$4:$E$3143),-('Gastos Gerais'!$C$4:$C$3143))</f>
        <v>180</v>
      </c>
      <c r="AH92" s="134">
        <f>SUMPRODUCT(-('Gastos Gerais'!$B$4:$B$3143=Analítico!$B92),-(Analítico!AH$3&gt;='Gastos Gerais'!$D$4:$D$3143),-(Analítico!AH$3&lt;='Gastos Gerais'!$E$4:$E$3143),-('Gastos Gerais'!$C$4:$C$3143))</f>
        <v>180</v>
      </c>
      <c r="AI92" s="134">
        <f>SUMPRODUCT(-('Gastos Gerais'!$B$4:$B$3143=Analítico!$B92),-(Analítico!AI$3&gt;='Gastos Gerais'!$D$4:$D$3143),-(Analítico!AI$3&lt;='Gastos Gerais'!$E$4:$E$3143),-('Gastos Gerais'!$C$4:$C$3143))</f>
        <v>180</v>
      </c>
      <c r="AJ92" s="134">
        <f>SUMPRODUCT(-('Gastos Gerais'!$B$4:$B$3143=Analítico!$B92),-(Analítico!AJ$3&gt;='Gastos Gerais'!$D$4:$D$3143),-(Analítico!AJ$3&lt;='Gastos Gerais'!$E$4:$E$3143),-('Gastos Gerais'!$C$4:$C$3143))</f>
        <v>180</v>
      </c>
      <c r="AK92" s="134">
        <f>SUMPRODUCT(-('Gastos Gerais'!$B$4:$B$3143=Analítico!$B92),-(Analítico!AK$3&gt;='Gastos Gerais'!$D$4:$D$3143),-(Analítico!AK$3&lt;='Gastos Gerais'!$E$4:$E$3143),-('Gastos Gerais'!$C$4:$C$3143))</f>
        <v>180</v>
      </c>
      <c r="AL92" s="134">
        <f>SUMPRODUCT(-('Gastos Gerais'!$B$4:$B$3143=Analítico!$B92),-(Analítico!AL$3&gt;='Gastos Gerais'!$D$4:$D$3143),-(Analítico!AL$3&lt;='Gastos Gerais'!$E$4:$E$3143),-('Gastos Gerais'!$C$4:$C$3143))</f>
        <v>180</v>
      </c>
      <c r="AM92" s="134">
        <f>SUMPRODUCT(-('Gastos Gerais'!$B$4:$B$3143=Analítico!$B92),-(Analítico!AM$3&gt;='Gastos Gerais'!$D$4:$D$3143),-(Analítico!AM$3&lt;='Gastos Gerais'!$E$4:$E$3143),-('Gastos Gerais'!$C$4:$C$3143))</f>
        <v>180</v>
      </c>
      <c r="AN92" s="134">
        <f>SUMPRODUCT(-('Gastos Gerais'!$B$4:$B$3143=Analítico!$B92),-(Analítico!AN$3&gt;='Gastos Gerais'!$D$4:$D$3143),-(Analítico!AN$3&lt;='Gastos Gerais'!$E$4:$E$3143),-('Gastos Gerais'!$C$4:$C$3143))</f>
        <v>180</v>
      </c>
      <c r="AO92" s="134">
        <f>SUMPRODUCT(-('Gastos Gerais'!$B$4:$B$3143=Analítico!$B92),-(Analítico!AO$3&gt;='Gastos Gerais'!$D$4:$D$3143),-(Analítico!AO$3&lt;='Gastos Gerais'!$E$4:$E$3143),-('Gastos Gerais'!$C$4:$C$3143))</f>
        <v>180</v>
      </c>
      <c r="AP92" s="134">
        <f>SUMPRODUCT(-('Gastos Gerais'!$B$4:$B$3143=Analítico!$B92),-(Analítico!AP$3&gt;='Gastos Gerais'!$D$4:$D$3143),-(Analítico!AP$3&lt;='Gastos Gerais'!$E$4:$E$3143),-('Gastos Gerais'!$C$4:$C$3143))</f>
        <v>180</v>
      </c>
      <c r="AQ92" s="134">
        <f>SUMPRODUCT(-('Gastos Gerais'!$B$4:$B$3143=Analítico!$B92),-(Analítico!AQ$3&gt;='Gastos Gerais'!$D$4:$D$3143),-(Analítico!AQ$3&lt;='Gastos Gerais'!$E$4:$E$3143),-('Gastos Gerais'!$C$4:$C$3143))</f>
        <v>180</v>
      </c>
      <c r="AR92" s="134">
        <f>SUMPRODUCT(-('Gastos Gerais'!$B$4:$B$3143=Analítico!$B92),-(Analítico!AR$3&gt;='Gastos Gerais'!$D$4:$D$3143),-(Analítico!AR$3&lt;='Gastos Gerais'!$E$4:$E$3143),-('Gastos Gerais'!$C$4:$C$3143))</f>
        <v>180</v>
      </c>
      <c r="AS92" s="134">
        <f>SUMPRODUCT(-('Gastos Gerais'!$B$4:$B$3143=Analítico!$B92),-(Analítico!AS$3&gt;='Gastos Gerais'!$D$4:$D$3143),-(Analítico!AS$3&lt;='Gastos Gerais'!$E$4:$E$3143),-('Gastos Gerais'!$C$4:$C$3143))</f>
        <v>180</v>
      </c>
      <c r="AT92" s="134">
        <f>SUMPRODUCT(-('Gastos Gerais'!$B$4:$B$3143=Analítico!$B92),-(Analítico!AT$3&gt;='Gastos Gerais'!$D$4:$D$3143),-(Analítico!AT$3&lt;='Gastos Gerais'!$E$4:$E$3143),-('Gastos Gerais'!$C$4:$C$3143))</f>
        <v>180</v>
      </c>
      <c r="AU92" s="134">
        <f>SUMPRODUCT(-('Gastos Gerais'!$B$4:$B$3143=Analítico!$B92),-(Analítico!AU$3&gt;='Gastos Gerais'!$D$4:$D$3143),-(Analítico!AU$3&lt;='Gastos Gerais'!$E$4:$E$3143),-('Gastos Gerais'!$C$4:$C$3143))</f>
        <v>180</v>
      </c>
      <c r="AV92" s="134">
        <f>SUMPRODUCT(-('Gastos Gerais'!$B$4:$B$3143=Analítico!$B92),-(Analítico!AV$3&gt;='Gastos Gerais'!$D$4:$D$3143),-(Analítico!AV$3&lt;='Gastos Gerais'!$E$4:$E$3143),-('Gastos Gerais'!$C$4:$C$3143))</f>
        <v>180</v>
      </c>
      <c r="AW92" s="134">
        <f>SUMPRODUCT(-('Gastos Gerais'!$B$4:$B$3143=Analítico!$B92),-(Analítico!AW$3&gt;='Gastos Gerais'!$D$4:$D$3143),-(Analítico!AW$3&lt;='Gastos Gerais'!$E$4:$E$3143),-('Gastos Gerais'!$C$4:$C$3143))</f>
        <v>180</v>
      </c>
      <c r="AX92" s="134">
        <f>SUMPRODUCT(-('Gastos Gerais'!$B$4:$B$3143=Analítico!$B92),-(Analítico!AX$3&gt;='Gastos Gerais'!$D$4:$D$3143),-(Analítico!AX$3&lt;='Gastos Gerais'!$E$4:$E$3143),-('Gastos Gerais'!$C$4:$C$3143))</f>
        <v>0</v>
      </c>
      <c r="AY92" s="134">
        <f>SUMPRODUCT(-('Gastos Gerais'!$B$4:$B$3143=Analítico!$B92),-(Analítico!AY$3&gt;='Gastos Gerais'!$D$4:$D$3143),-(Analítico!AY$3&lt;='Gastos Gerais'!$E$4:$E$3143),-('Gastos Gerais'!$C$4:$C$3143))</f>
        <v>0</v>
      </c>
      <c r="AZ92" s="134">
        <f>SUMPRODUCT(-('Gastos Gerais'!$B$4:$B$3143=Analítico!$B92),-(Analítico!AZ$3&gt;='Gastos Gerais'!$D$4:$D$3143),-(Analítico!AZ$3&lt;='Gastos Gerais'!$E$4:$E$3143),-('Gastos Gerais'!$C$4:$C$3143))</f>
        <v>0</v>
      </c>
      <c r="BA92" s="134">
        <f>SUMPRODUCT(-('Gastos Gerais'!$B$4:$B$3143=Analítico!$B92),-(Analítico!BA$3&gt;='Gastos Gerais'!$D$4:$D$3143),-(Analítico!BA$3&lt;='Gastos Gerais'!$E$4:$E$3143),-('Gastos Gerais'!$C$4:$C$3143))</f>
        <v>0</v>
      </c>
      <c r="BB92" s="134">
        <f>SUMPRODUCT(-('Gastos Gerais'!$B$4:$B$3143=Analítico!$B92),-(Analítico!BB$3&gt;='Gastos Gerais'!$D$4:$D$3143),-(Analítico!BB$3&lt;='Gastos Gerais'!$E$4:$E$3143),-('Gastos Gerais'!$C$4:$C$3143))</f>
        <v>0</v>
      </c>
      <c r="BC92" s="134">
        <f>SUMPRODUCT(-('Gastos Gerais'!$B$4:$B$3143=Analítico!$B92),-(Analítico!BC$3&gt;='Gastos Gerais'!$D$4:$D$3143),-(Analítico!BC$3&lt;='Gastos Gerais'!$E$4:$E$3143),-('Gastos Gerais'!$C$4:$C$3143))</f>
        <v>0</v>
      </c>
      <c r="BD92" s="134">
        <f>SUMPRODUCT(-('Gastos Gerais'!$B$4:$B$3143=Analítico!$B92),-(Analítico!BD$3&gt;='Gastos Gerais'!$D$4:$D$3143),-(Analítico!BD$3&lt;='Gastos Gerais'!$E$4:$E$3143),-('Gastos Gerais'!$C$4:$C$3143))</f>
        <v>0</v>
      </c>
      <c r="BE92" s="134">
        <f>SUMPRODUCT(-('Gastos Gerais'!$B$4:$B$3143=Analítico!$B92),-(Analítico!BE$3&gt;='Gastos Gerais'!$D$4:$D$3143),-(Analítico!BE$3&lt;='Gastos Gerais'!$E$4:$E$3143),-('Gastos Gerais'!$C$4:$C$3143))</f>
        <v>0</v>
      </c>
      <c r="BF92" s="134">
        <f>SUMPRODUCT(-('Gastos Gerais'!$B$4:$B$3143=Analítico!$B92),-(Analítico!BF$3&gt;='Gastos Gerais'!$D$4:$D$3143),-(Analítico!BF$3&lt;='Gastos Gerais'!$E$4:$E$3143),-('Gastos Gerais'!$C$4:$C$3143))</f>
        <v>0</v>
      </c>
      <c r="BG92" s="134">
        <f>SUMPRODUCT(-('Gastos Gerais'!$B$4:$B$3143=Analítico!$B92),-(Analítico!BG$3&gt;='Gastos Gerais'!$D$4:$D$3143),-(Analítico!BG$3&lt;='Gastos Gerais'!$E$4:$E$3143),-('Gastos Gerais'!$C$4:$C$3143))</f>
        <v>0</v>
      </c>
      <c r="BH92" s="134">
        <f>SUMPRODUCT(-('Gastos Gerais'!$B$4:$B$3143=Analítico!$B92),-(Analítico!BH$3&gt;='Gastos Gerais'!$D$4:$D$3143),-(Analítico!BH$3&lt;='Gastos Gerais'!$E$4:$E$3143),-('Gastos Gerais'!$C$4:$C$3143))</f>
        <v>0</v>
      </c>
      <c r="BI92" s="134">
        <f>SUMPRODUCT(-('Gastos Gerais'!$B$4:$B$3143=Analítico!$B92),-(Analítico!BI$3&gt;='Gastos Gerais'!$D$4:$D$3143),-(Analítico!BI$3&lt;='Gastos Gerais'!$E$4:$E$3143),-('Gastos Gerais'!$C$4:$C$3143))</f>
        <v>0</v>
      </c>
      <c r="BJ92" s="134">
        <f>SUMPRODUCT(-('Gastos Gerais'!$B$4:$B$3143=Analítico!$B92),-(Analítico!BJ$3&gt;='Gastos Gerais'!$D$4:$D$3143),-(Analítico!BJ$3&lt;='Gastos Gerais'!$E$4:$E$3143),-('Gastos Gerais'!$C$4:$C$3143))</f>
        <v>0</v>
      </c>
      <c r="BK92" s="189">
        <f t="shared" ref="BK92:BK120" si="26">SUM(C92:BJ92)</f>
        <v>8460</v>
      </c>
      <c r="BL92" s="136">
        <f t="shared" ref="BL92:BL123" ca="1" si="27">IF($BK$152=0,0,BK92/$BK$152)</f>
        <v>2.9127764004999104E-5</v>
      </c>
    </row>
    <row r="93" spans="1:64" s="160" customFormat="1" ht="23.25" customHeight="1">
      <c r="A93" s="229" t="s">
        <v>263</v>
      </c>
      <c r="B93" s="232" t="s">
        <v>264</v>
      </c>
      <c r="C93" s="188">
        <f>SUMPRODUCT(-('Gastos Gerais'!$B$4:$B$3143=Analítico!$B93),-(Analítico!C$3&gt;='Gastos Gerais'!$D$4:$D$3143),-(Analítico!C$3&lt;='Gastos Gerais'!$E$4:$E$3143),-('Gastos Gerais'!$C$4:$C$3143))</f>
        <v>0</v>
      </c>
      <c r="D93" s="134">
        <f>SUMPRODUCT(-('Gastos Gerais'!$B$4:$B$3143=Analítico!$B93),-(Analítico!D$3&gt;='Gastos Gerais'!$D$4:$D$3143),-(Analítico!D$3&lt;='Gastos Gerais'!$E$4:$E$3143),-('Gastos Gerais'!$C$4:$C$3143))</f>
        <v>0</v>
      </c>
      <c r="E93" s="134">
        <f>SUMPRODUCT(-('Gastos Gerais'!$B$4:$B$3143=Analítico!$B93),-(Analítico!E$3&gt;='Gastos Gerais'!$D$4:$D$3143),-(Analítico!E$3&lt;='Gastos Gerais'!$E$4:$E$3143),-('Gastos Gerais'!$C$4:$C$3143))</f>
        <v>0</v>
      </c>
      <c r="F93" s="134">
        <f>SUMPRODUCT(-('Gastos Gerais'!$B$4:$B$3143=Analítico!$B93),-(Analítico!F$3&gt;='Gastos Gerais'!$D$4:$D$3143),-(Analítico!F$3&lt;='Gastos Gerais'!$E$4:$E$3143),-('Gastos Gerais'!$C$4:$C$3143))</f>
        <v>0</v>
      </c>
      <c r="G93" s="134">
        <f>SUMPRODUCT(-('Gastos Gerais'!$B$4:$B$3143=Analítico!$B93),-(Analítico!G$3&gt;='Gastos Gerais'!$D$4:$D$3143),-(Analítico!G$3&lt;='Gastos Gerais'!$E$4:$E$3143),-('Gastos Gerais'!$C$4:$C$3143))</f>
        <v>0</v>
      </c>
      <c r="H93" s="134">
        <f>SUMPRODUCT(-('Gastos Gerais'!$B$4:$B$3143=Analítico!$B93),-(Analítico!H$3&gt;='Gastos Gerais'!$D$4:$D$3143),-(Analítico!H$3&lt;='Gastos Gerais'!$E$4:$E$3143),-('Gastos Gerais'!$C$4:$C$3143))</f>
        <v>0</v>
      </c>
      <c r="I93" s="134">
        <f>SUMPRODUCT(-('Gastos Gerais'!$B$4:$B$3143=Analítico!$B93),-(Analítico!I$3&gt;='Gastos Gerais'!$D$4:$D$3143),-(Analítico!I$3&lt;='Gastos Gerais'!$E$4:$E$3143),-('Gastos Gerais'!$C$4:$C$3143))</f>
        <v>0</v>
      </c>
      <c r="J93" s="134">
        <f>SUMPRODUCT(-('Gastos Gerais'!$B$4:$B$3143=Analítico!$B93),-(Analítico!J$3&gt;='Gastos Gerais'!$D$4:$D$3143),-(Analítico!J$3&lt;='Gastos Gerais'!$E$4:$E$3143),-('Gastos Gerais'!$C$4:$C$3143))</f>
        <v>0</v>
      </c>
      <c r="K93" s="134">
        <f>SUMPRODUCT(-('Gastos Gerais'!$B$4:$B$3143=Analítico!$B93),-(Analítico!K$3&gt;='Gastos Gerais'!$D$4:$D$3143),-(Analítico!K$3&lt;='Gastos Gerais'!$E$4:$E$3143),-('Gastos Gerais'!$C$4:$C$3143))</f>
        <v>0</v>
      </c>
      <c r="L93" s="134">
        <f>SUMPRODUCT(-('Gastos Gerais'!$B$4:$B$3143=Analítico!$B93),-(Analítico!L$3&gt;='Gastos Gerais'!$D$4:$D$3143),-(Analítico!L$3&lt;='Gastos Gerais'!$E$4:$E$3143),-('Gastos Gerais'!$C$4:$C$3143))</f>
        <v>0</v>
      </c>
      <c r="M93" s="134">
        <f>SUMPRODUCT(-('Gastos Gerais'!$B$4:$B$3143=Analítico!$B93),-(Analítico!M$3&gt;='Gastos Gerais'!$D$4:$D$3143),-(Analítico!M$3&lt;='Gastos Gerais'!$E$4:$E$3143),-('Gastos Gerais'!$C$4:$C$3143))</f>
        <v>0</v>
      </c>
      <c r="N93" s="134">
        <f>SUMPRODUCT(-('Gastos Gerais'!$B$4:$B$3143=Analítico!$B93),-(Analítico!N$3&gt;='Gastos Gerais'!$D$4:$D$3143),-(Analítico!N$3&lt;='Gastos Gerais'!$E$4:$E$3143),-('Gastos Gerais'!$C$4:$C$3143))</f>
        <v>0</v>
      </c>
      <c r="O93" s="134">
        <f>SUMPRODUCT(-('Gastos Gerais'!$B$4:$B$3143=Analítico!$B93),-(Analítico!O$3&gt;='Gastos Gerais'!$D$4:$D$3143),-(Analítico!O$3&lt;='Gastos Gerais'!$E$4:$E$3143),-('Gastos Gerais'!$C$4:$C$3143))</f>
        <v>0</v>
      </c>
      <c r="P93" s="134">
        <f>SUMPRODUCT(-('Gastos Gerais'!$B$4:$B$3143=Analítico!$B93),-(Analítico!P$3&gt;='Gastos Gerais'!$D$4:$D$3143),-(Analítico!P$3&lt;='Gastos Gerais'!$E$4:$E$3143),-('Gastos Gerais'!$C$4:$C$3143))</f>
        <v>0</v>
      </c>
      <c r="Q93" s="134">
        <f>SUMPRODUCT(-('Gastos Gerais'!$B$4:$B$3143=Analítico!$B93),-(Analítico!Q$3&gt;='Gastos Gerais'!$D$4:$D$3143),-(Analítico!Q$3&lt;='Gastos Gerais'!$E$4:$E$3143),-('Gastos Gerais'!$C$4:$C$3143))</f>
        <v>0</v>
      </c>
      <c r="R93" s="134">
        <f>SUMPRODUCT(-('Gastos Gerais'!$B$4:$B$3143=Analítico!$B93),-(Analítico!R$3&gt;='Gastos Gerais'!$D$4:$D$3143),-(Analítico!R$3&lt;='Gastos Gerais'!$E$4:$E$3143),-('Gastos Gerais'!$C$4:$C$3143))</f>
        <v>0</v>
      </c>
      <c r="S93" s="134">
        <f>SUMPRODUCT(-('Gastos Gerais'!$B$4:$B$3143=Analítico!$B93),-(Analítico!S$3&gt;='Gastos Gerais'!$D$4:$D$3143),-(Analítico!S$3&lt;='Gastos Gerais'!$E$4:$E$3143),-('Gastos Gerais'!$C$4:$C$3143))</f>
        <v>0</v>
      </c>
      <c r="T93" s="134">
        <f>SUMPRODUCT(-('Gastos Gerais'!$B$4:$B$3143=Analítico!$B93),-(Analítico!T$3&gt;='Gastos Gerais'!$D$4:$D$3143),-(Analítico!T$3&lt;='Gastos Gerais'!$E$4:$E$3143),-('Gastos Gerais'!$C$4:$C$3143))</f>
        <v>0</v>
      </c>
      <c r="U93" s="134">
        <f>SUMPRODUCT(-('Gastos Gerais'!$B$4:$B$3143=Analítico!$B93),-(Analítico!U$3&gt;='Gastos Gerais'!$D$4:$D$3143),-(Analítico!U$3&lt;='Gastos Gerais'!$E$4:$E$3143),-('Gastos Gerais'!$C$4:$C$3143))</f>
        <v>0</v>
      </c>
      <c r="V93" s="134">
        <f>SUMPRODUCT(-('Gastos Gerais'!$B$4:$B$3143=Analítico!$B93),-(Analítico!V$3&gt;='Gastos Gerais'!$D$4:$D$3143),-(Analítico!V$3&lt;='Gastos Gerais'!$E$4:$E$3143),-('Gastos Gerais'!$C$4:$C$3143))</f>
        <v>0</v>
      </c>
      <c r="W93" s="134">
        <f>SUMPRODUCT(-('Gastos Gerais'!$B$4:$B$3143=Analítico!$B93),-(Analítico!W$3&gt;='Gastos Gerais'!$D$4:$D$3143),-(Analítico!W$3&lt;='Gastos Gerais'!$E$4:$E$3143),-('Gastos Gerais'!$C$4:$C$3143))</f>
        <v>0</v>
      </c>
      <c r="X93" s="134">
        <f>SUMPRODUCT(-('Gastos Gerais'!$B$4:$B$3143=Analítico!$B93),-(Analítico!X$3&gt;='Gastos Gerais'!$D$4:$D$3143),-(Analítico!X$3&lt;='Gastos Gerais'!$E$4:$E$3143),-('Gastos Gerais'!$C$4:$C$3143))</f>
        <v>0</v>
      </c>
      <c r="Y93" s="134">
        <f>SUMPRODUCT(-('Gastos Gerais'!$B$4:$B$3143=Analítico!$B93),-(Analítico!Y$3&gt;='Gastos Gerais'!$D$4:$D$3143),-(Analítico!Y$3&lt;='Gastos Gerais'!$E$4:$E$3143),-('Gastos Gerais'!$C$4:$C$3143))</f>
        <v>0</v>
      </c>
      <c r="Z93" s="134">
        <f>SUMPRODUCT(-('Gastos Gerais'!$B$4:$B$3143=Analítico!$B93),-(Analítico!Z$3&gt;='Gastos Gerais'!$D$4:$D$3143),-(Analítico!Z$3&lt;='Gastos Gerais'!$E$4:$E$3143),-('Gastos Gerais'!$C$4:$C$3143))</f>
        <v>0</v>
      </c>
      <c r="AA93" s="134">
        <f>SUMPRODUCT(-('Gastos Gerais'!$B$4:$B$3143=Analítico!$B93),-(Analítico!AA$3&gt;='Gastos Gerais'!$D$4:$D$3143),-(Analítico!AA$3&lt;='Gastos Gerais'!$E$4:$E$3143),-('Gastos Gerais'!$C$4:$C$3143))</f>
        <v>0</v>
      </c>
      <c r="AB93" s="134">
        <f>SUMPRODUCT(-('Gastos Gerais'!$B$4:$B$3143=Analítico!$B93),-(Analítico!AB$3&gt;='Gastos Gerais'!$D$4:$D$3143),-(Analítico!AB$3&lt;='Gastos Gerais'!$E$4:$E$3143),-('Gastos Gerais'!$C$4:$C$3143))</f>
        <v>0</v>
      </c>
      <c r="AC93" s="134">
        <f>SUMPRODUCT(-('Gastos Gerais'!$B$4:$B$3143=Analítico!$B93),-(Analítico!AC$3&gt;='Gastos Gerais'!$D$4:$D$3143),-(Analítico!AC$3&lt;='Gastos Gerais'!$E$4:$E$3143),-('Gastos Gerais'!$C$4:$C$3143))</f>
        <v>0</v>
      </c>
      <c r="AD93" s="134">
        <f>SUMPRODUCT(-('Gastos Gerais'!$B$4:$B$3143=Analítico!$B93),-(Analítico!AD$3&gt;='Gastos Gerais'!$D$4:$D$3143),-(Analítico!AD$3&lt;='Gastos Gerais'!$E$4:$E$3143),-('Gastos Gerais'!$C$4:$C$3143))</f>
        <v>0</v>
      </c>
      <c r="AE93" s="134">
        <f>SUMPRODUCT(-('Gastos Gerais'!$B$4:$B$3143=Analítico!$B93),-(Analítico!AE$3&gt;='Gastos Gerais'!$D$4:$D$3143),-(Analítico!AE$3&lt;='Gastos Gerais'!$E$4:$E$3143),-('Gastos Gerais'!$C$4:$C$3143))</f>
        <v>0</v>
      </c>
      <c r="AF93" s="134">
        <f>SUMPRODUCT(-('Gastos Gerais'!$B$4:$B$3143=Analítico!$B93),-(Analítico!AF$3&gt;='Gastos Gerais'!$D$4:$D$3143),-(Analítico!AF$3&lt;='Gastos Gerais'!$E$4:$E$3143),-('Gastos Gerais'!$C$4:$C$3143))</f>
        <v>0</v>
      </c>
      <c r="AG93" s="134">
        <f>SUMPRODUCT(-('Gastos Gerais'!$B$4:$B$3143=Analítico!$B93),-(Analítico!AG$3&gt;='Gastos Gerais'!$D$4:$D$3143),-(Analítico!AG$3&lt;='Gastos Gerais'!$E$4:$E$3143),-('Gastos Gerais'!$C$4:$C$3143))</f>
        <v>0</v>
      </c>
      <c r="AH93" s="134">
        <f>SUMPRODUCT(-('Gastos Gerais'!$B$4:$B$3143=Analítico!$B93),-(Analítico!AH$3&gt;='Gastos Gerais'!$D$4:$D$3143),-(Analítico!AH$3&lt;='Gastos Gerais'!$E$4:$E$3143),-('Gastos Gerais'!$C$4:$C$3143))</f>
        <v>0</v>
      </c>
      <c r="AI93" s="134">
        <f>SUMPRODUCT(-('Gastos Gerais'!$B$4:$B$3143=Analítico!$B93),-(Analítico!AI$3&gt;='Gastos Gerais'!$D$4:$D$3143),-(Analítico!AI$3&lt;='Gastos Gerais'!$E$4:$E$3143),-('Gastos Gerais'!$C$4:$C$3143))</f>
        <v>0</v>
      </c>
      <c r="AJ93" s="134">
        <f>SUMPRODUCT(-('Gastos Gerais'!$B$4:$B$3143=Analítico!$B93),-(Analítico!AJ$3&gt;='Gastos Gerais'!$D$4:$D$3143),-(Analítico!AJ$3&lt;='Gastos Gerais'!$E$4:$E$3143),-('Gastos Gerais'!$C$4:$C$3143))</f>
        <v>0</v>
      </c>
      <c r="AK93" s="134">
        <f>SUMPRODUCT(-('Gastos Gerais'!$B$4:$B$3143=Analítico!$B93),-(Analítico!AK$3&gt;='Gastos Gerais'!$D$4:$D$3143),-(Analítico!AK$3&lt;='Gastos Gerais'!$E$4:$E$3143),-('Gastos Gerais'!$C$4:$C$3143))</f>
        <v>0</v>
      </c>
      <c r="AL93" s="134">
        <f>SUMPRODUCT(-('Gastos Gerais'!$B$4:$B$3143=Analítico!$B93),-(Analítico!AL$3&gt;='Gastos Gerais'!$D$4:$D$3143),-(Analítico!AL$3&lt;='Gastos Gerais'!$E$4:$E$3143),-('Gastos Gerais'!$C$4:$C$3143))</f>
        <v>0</v>
      </c>
      <c r="AM93" s="134">
        <f>SUMPRODUCT(-('Gastos Gerais'!$B$4:$B$3143=Analítico!$B93),-(Analítico!AM$3&gt;='Gastos Gerais'!$D$4:$D$3143),-(Analítico!AM$3&lt;='Gastos Gerais'!$E$4:$E$3143),-('Gastos Gerais'!$C$4:$C$3143))</f>
        <v>0</v>
      </c>
      <c r="AN93" s="134">
        <f>SUMPRODUCT(-('Gastos Gerais'!$B$4:$B$3143=Analítico!$B93),-(Analítico!AN$3&gt;='Gastos Gerais'!$D$4:$D$3143),-(Analítico!AN$3&lt;='Gastos Gerais'!$E$4:$E$3143),-('Gastos Gerais'!$C$4:$C$3143))</f>
        <v>0</v>
      </c>
      <c r="AO93" s="134">
        <f>SUMPRODUCT(-('Gastos Gerais'!$B$4:$B$3143=Analítico!$B93),-(Analítico!AO$3&gt;='Gastos Gerais'!$D$4:$D$3143),-(Analítico!AO$3&lt;='Gastos Gerais'!$E$4:$E$3143),-('Gastos Gerais'!$C$4:$C$3143))</f>
        <v>0</v>
      </c>
      <c r="AP93" s="134">
        <f>SUMPRODUCT(-('Gastos Gerais'!$B$4:$B$3143=Analítico!$B93),-(Analítico!AP$3&gt;='Gastos Gerais'!$D$4:$D$3143),-(Analítico!AP$3&lt;='Gastos Gerais'!$E$4:$E$3143),-('Gastos Gerais'!$C$4:$C$3143))</f>
        <v>0</v>
      </c>
      <c r="AQ93" s="134">
        <f>SUMPRODUCT(-('Gastos Gerais'!$B$4:$B$3143=Analítico!$B93),-(Analítico!AQ$3&gt;='Gastos Gerais'!$D$4:$D$3143),-(Analítico!AQ$3&lt;='Gastos Gerais'!$E$4:$E$3143),-('Gastos Gerais'!$C$4:$C$3143))</f>
        <v>0</v>
      </c>
      <c r="AR93" s="134">
        <f>SUMPRODUCT(-('Gastos Gerais'!$B$4:$B$3143=Analítico!$B93),-(Analítico!AR$3&gt;='Gastos Gerais'!$D$4:$D$3143),-(Analítico!AR$3&lt;='Gastos Gerais'!$E$4:$E$3143),-('Gastos Gerais'!$C$4:$C$3143))</f>
        <v>0</v>
      </c>
      <c r="AS93" s="134">
        <f>SUMPRODUCT(-('Gastos Gerais'!$B$4:$B$3143=Analítico!$B93),-(Analítico!AS$3&gt;='Gastos Gerais'!$D$4:$D$3143),-(Analítico!AS$3&lt;='Gastos Gerais'!$E$4:$E$3143),-('Gastos Gerais'!$C$4:$C$3143))</f>
        <v>0</v>
      </c>
      <c r="AT93" s="134">
        <f>SUMPRODUCT(-('Gastos Gerais'!$B$4:$B$3143=Analítico!$B93),-(Analítico!AT$3&gt;='Gastos Gerais'!$D$4:$D$3143),-(Analítico!AT$3&lt;='Gastos Gerais'!$E$4:$E$3143),-('Gastos Gerais'!$C$4:$C$3143))</f>
        <v>0</v>
      </c>
      <c r="AU93" s="134">
        <f>SUMPRODUCT(-('Gastos Gerais'!$B$4:$B$3143=Analítico!$B93),-(Analítico!AU$3&gt;='Gastos Gerais'!$D$4:$D$3143),-(Analítico!AU$3&lt;='Gastos Gerais'!$E$4:$E$3143),-('Gastos Gerais'!$C$4:$C$3143))</f>
        <v>0</v>
      </c>
      <c r="AV93" s="134">
        <f>SUMPRODUCT(-('Gastos Gerais'!$B$4:$B$3143=Analítico!$B93),-(Analítico!AV$3&gt;='Gastos Gerais'!$D$4:$D$3143),-(Analítico!AV$3&lt;='Gastos Gerais'!$E$4:$E$3143),-('Gastos Gerais'!$C$4:$C$3143))</f>
        <v>0</v>
      </c>
      <c r="AW93" s="134">
        <f>SUMPRODUCT(-('Gastos Gerais'!$B$4:$B$3143=Analítico!$B93),-(Analítico!AW$3&gt;='Gastos Gerais'!$D$4:$D$3143),-(Analítico!AW$3&lt;='Gastos Gerais'!$E$4:$E$3143),-('Gastos Gerais'!$C$4:$C$3143))</f>
        <v>0</v>
      </c>
      <c r="AX93" s="134">
        <f>SUMPRODUCT(-('Gastos Gerais'!$B$4:$B$3143=Analítico!$B93),-(Analítico!AX$3&gt;='Gastos Gerais'!$D$4:$D$3143),-(Analítico!AX$3&lt;='Gastos Gerais'!$E$4:$E$3143),-('Gastos Gerais'!$C$4:$C$3143))</f>
        <v>0</v>
      </c>
      <c r="AY93" s="134">
        <f>SUMPRODUCT(-('Gastos Gerais'!$B$4:$B$3143=Analítico!$B93),-(Analítico!AY$3&gt;='Gastos Gerais'!$D$4:$D$3143),-(Analítico!AY$3&lt;='Gastos Gerais'!$E$4:$E$3143),-('Gastos Gerais'!$C$4:$C$3143))</f>
        <v>0</v>
      </c>
      <c r="AZ93" s="134">
        <f>SUMPRODUCT(-('Gastos Gerais'!$B$4:$B$3143=Analítico!$B93),-(Analítico!AZ$3&gt;='Gastos Gerais'!$D$4:$D$3143),-(Analítico!AZ$3&lt;='Gastos Gerais'!$E$4:$E$3143),-('Gastos Gerais'!$C$4:$C$3143))</f>
        <v>0</v>
      </c>
      <c r="BA93" s="134">
        <f>SUMPRODUCT(-('Gastos Gerais'!$B$4:$B$3143=Analítico!$B93),-(Analítico!BA$3&gt;='Gastos Gerais'!$D$4:$D$3143),-(Analítico!BA$3&lt;='Gastos Gerais'!$E$4:$E$3143),-('Gastos Gerais'!$C$4:$C$3143))</f>
        <v>0</v>
      </c>
      <c r="BB93" s="134">
        <f>SUMPRODUCT(-('Gastos Gerais'!$B$4:$B$3143=Analítico!$B93),-(Analítico!BB$3&gt;='Gastos Gerais'!$D$4:$D$3143),-(Analítico!BB$3&lt;='Gastos Gerais'!$E$4:$E$3143),-('Gastos Gerais'!$C$4:$C$3143))</f>
        <v>0</v>
      </c>
      <c r="BC93" s="134">
        <f>SUMPRODUCT(-('Gastos Gerais'!$B$4:$B$3143=Analítico!$B93),-(Analítico!BC$3&gt;='Gastos Gerais'!$D$4:$D$3143),-(Analítico!BC$3&lt;='Gastos Gerais'!$E$4:$E$3143),-('Gastos Gerais'!$C$4:$C$3143))</f>
        <v>0</v>
      </c>
      <c r="BD93" s="134">
        <f>SUMPRODUCT(-('Gastos Gerais'!$B$4:$B$3143=Analítico!$B93),-(Analítico!BD$3&gt;='Gastos Gerais'!$D$4:$D$3143),-(Analítico!BD$3&lt;='Gastos Gerais'!$E$4:$E$3143),-('Gastos Gerais'!$C$4:$C$3143))</f>
        <v>0</v>
      </c>
      <c r="BE93" s="134">
        <f>SUMPRODUCT(-('Gastos Gerais'!$B$4:$B$3143=Analítico!$B93),-(Analítico!BE$3&gt;='Gastos Gerais'!$D$4:$D$3143),-(Analítico!BE$3&lt;='Gastos Gerais'!$E$4:$E$3143),-('Gastos Gerais'!$C$4:$C$3143))</f>
        <v>0</v>
      </c>
      <c r="BF93" s="134">
        <f>SUMPRODUCT(-('Gastos Gerais'!$B$4:$B$3143=Analítico!$B93),-(Analítico!BF$3&gt;='Gastos Gerais'!$D$4:$D$3143),-(Analítico!BF$3&lt;='Gastos Gerais'!$E$4:$E$3143),-('Gastos Gerais'!$C$4:$C$3143))</f>
        <v>0</v>
      </c>
      <c r="BG93" s="134">
        <f>SUMPRODUCT(-('Gastos Gerais'!$B$4:$B$3143=Analítico!$B93),-(Analítico!BG$3&gt;='Gastos Gerais'!$D$4:$D$3143),-(Analítico!BG$3&lt;='Gastos Gerais'!$E$4:$E$3143),-('Gastos Gerais'!$C$4:$C$3143))</f>
        <v>0</v>
      </c>
      <c r="BH93" s="134">
        <f>SUMPRODUCT(-('Gastos Gerais'!$B$4:$B$3143=Analítico!$B93),-(Analítico!BH$3&gt;='Gastos Gerais'!$D$4:$D$3143),-(Analítico!BH$3&lt;='Gastos Gerais'!$E$4:$E$3143),-('Gastos Gerais'!$C$4:$C$3143))</f>
        <v>0</v>
      </c>
      <c r="BI93" s="134">
        <f>SUMPRODUCT(-('Gastos Gerais'!$B$4:$B$3143=Analítico!$B93),-(Analítico!BI$3&gt;='Gastos Gerais'!$D$4:$D$3143),-(Analítico!BI$3&lt;='Gastos Gerais'!$E$4:$E$3143),-('Gastos Gerais'!$C$4:$C$3143))</f>
        <v>0</v>
      </c>
      <c r="BJ93" s="134">
        <f>SUMPRODUCT(-('Gastos Gerais'!$B$4:$B$3143=Analítico!$B93),-(Analítico!BJ$3&gt;='Gastos Gerais'!$D$4:$D$3143),-(Analítico!BJ$3&lt;='Gastos Gerais'!$E$4:$E$3143),-('Gastos Gerais'!$C$4:$C$3143))</f>
        <v>0</v>
      </c>
      <c r="BK93" s="189">
        <f t="shared" si="26"/>
        <v>0</v>
      </c>
      <c r="BL93" s="136">
        <f t="shared" ca="1" si="27"/>
        <v>0</v>
      </c>
    </row>
    <row r="94" spans="1:64" s="160" customFormat="1" ht="23.25" customHeight="1">
      <c r="A94" s="229" t="s">
        <v>265</v>
      </c>
      <c r="B94" s="232" t="s">
        <v>266</v>
      </c>
      <c r="C94" s="188">
        <f>SUMPRODUCT(-('Gastos Gerais'!$B$4:$B$3143=Analítico!$B94),-(Analítico!C$3&gt;='Gastos Gerais'!$D$4:$D$3143),-(Analítico!C$3&lt;='Gastos Gerais'!$E$4:$E$3143),-('Gastos Gerais'!$C$4:$C$3143))</f>
        <v>26150</v>
      </c>
      <c r="D94" s="134">
        <f>SUMPRODUCT(-('Gastos Gerais'!$B$4:$B$3143=Analítico!$B94),-(Analítico!D$3&gt;='Gastos Gerais'!$D$4:$D$3143),-(Analítico!D$3&lt;='Gastos Gerais'!$E$4:$E$3143),-('Gastos Gerais'!$C$4:$C$3143))</f>
        <v>650</v>
      </c>
      <c r="E94" s="134">
        <f>SUMPRODUCT(-('Gastos Gerais'!$B$4:$B$3143=Analítico!$B94),-(Analítico!E$3&gt;='Gastos Gerais'!$D$4:$D$3143),-(Analítico!E$3&lt;='Gastos Gerais'!$E$4:$E$3143),-('Gastos Gerais'!$C$4:$C$3143))</f>
        <v>2150</v>
      </c>
      <c r="F94" s="134">
        <f>SUMPRODUCT(-('Gastos Gerais'!$B$4:$B$3143=Analítico!$B94),-(Analítico!F$3&gt;='Gastos Gerais'!$D$4:$D$3143),-(Analítico!F$3&lt;='Gastos Gerais'!$E$4:$E$3143),-('Gastos Gerais'!$C$4:$C$3143))</f>
        <v>2150</v>
      </c>
      <c r="G94" s="134">
        <f>SUMPRODUCT(-('Gastos Gerais'!$B$4:$B$3143=Analítico!$B94),-(Analítico!G$3&gt;='Gastos Gerais'!$D$4:$D$3143),-(Analítico!G$3&lt;='Gastos Gerais'!$E$4:$E$3143),-('Gastos Gerais'!$C$4:$C$3143))</f>
        <v>650</v>
      </c>
      <c r="H94" s="134">
        <f>SUMPRODUCT(-('Gastos Gerais'!$B$4:$B$3143=Analítico!$B94),-(Analítico!H$3&gt;='Gastos Gerais'!$D$4:$D$3143),-(Analítico!H$3&lt;='Gastos Gerais'!$E$4:$E$3143),-('Gastos Gerais'!$C$4:$C$3143))</f>
        <v>650</v>
      </c>
      <c r="I94" s="134">
        <f>SUMPRODUCT(-('Gastos Gerais'!$B$4:$B$3143=Analítico!$B94),-(Analítico!I$3&gt;='Gastos Gerais'!$D$4:$D$3143),-(Analítico!I$3&lt;='Gastos Gerais'!$E$4:$E$3143),-('Gastos Gerais'!$C$4:$C$3143))</f>
        <v>2150</v>
      </c>
      <c r="J94" s="134">
        <f>SUMPRODUCT(-('Gastos Gerais'!$B$4:$B$3143=Analítico!$B94),-(Analítico!J$3&gt;='Gastos Gerais'!$D$4:$D$3143),-(Analítico!J$3&lt;='Gastos Gerais'!$E$4:$E$3143),-('Gastos Gerais'!$C$4:$C$3143))</f>
        <v>650</v>
      </c>
      <c r="K94" s="134">
        <f>SUMPRODUCT(-('Gastos Gerais'!$B$4:$B$3143=Analítico!$B94),-(Analítico!K$3&gt;='Gastos Gerais'!$D$4:$D$3143),-(Analítico!K$3&lt;='Gastos Gerais'!$E$4:$E$3143),-('Gastos Gerais'!$C$4:$C$3143))</f>
        <v>650</v>
      </c>
      <c r="L94" s="134">
        <f>SUMPRODUCT(-('Gastos Gerais'!$B$4:$B$3143=Analítico!$B94),-(Analítico!L$3&gt;='Gastos Gerais'!$D$4:$D$3143),-(Analítico!L$3&lt;='Gastos Gerais'!$E$4:$E$3143),-('Gastos Gerais'!$C$4:$C$3143))</f>
        <v>1496</v>
      </c>
      <c r="M94" s="134">
        <f>SUMPRODUCT(-('Gastos Gerais'!$B$4:$B$3143=Analítico!$B94),-(Analítico!M$3&gt;='Gastos Gerais'!$D$4:$D$3143),-(Analítico!M$3&lt;='Gastos Gerais'!$E$4:$E$3143),-('Gastos Gerais'!$C$4:$C$3143))</f>
        <v>650</v>
      </c>
      <c r="N94" s="134">
        <f>SUMPRODUCT(-('Gastos Gerais'!$B$4:$B$3143=Analítico!$B94),-(Analítico!N$3&gt;='Gastos Gerais'!$D$4:$D$3143),-(Analítico!N$3&lt;='Gastos Gerais'!$E$4:$E$3143),-('Gastos Gerais'!$C$4:$C$3143))</f>
        <v>650</v>
      </c>
      <c r="O94" s="134">
        <f>SUMPRODUCT(-('Gastos Gerais'!$B$4:$B$3143=Analítico!$B94),-(Analítico!O$3&gt;='Gastos Gerais'!$D$4:$D$3143),-(Analítico!O$3&lt;='Gastos Gerais'!$E$4:$E$3143),-('Gastos Gerais'!$C$4:$C$3143))</f>
        <v>31496</v>
      </c>
      <c r="P94" s="134">
        <f>SUMPRODUCT(-('Gastos Gerais'!$B$4:$B$3143=Analítico!$B94),-(Analítico!P$3&gt;='Gastos Gerais'!$D$4:$D$3143),-(Analítico!P$3&lt;='Gastos Gerais'!$E$4:$E$3143),-('Gastos Gerais'!$C$4:$C$3143))</f>
        <v>650</v>
      </c>
      <c r="Q94" s="134">
        <f>SUMPRODUCT(-('Gastos Gerais'!$B$4:$B$3143=Analítico!$B94),-(Analítico!Q$3&gt;='Gastos Gerais'!$D$4:$D$3143),-(Analítico!Q$3&lt;='Gastos Gerais'!$E$4:$E$3143),-('Gastos Gerais'!$C$4:$C$3143))</f>
        <v>650</v>
      </c>
      <c r="R94" s="134">
        <f>SUMPRODUCT(-('Gastos Gerais'!$B$4:$B$3143=Analítico!$B94),-(Analítico!R$3&gt;='Gastos Gerais'!$D$4:$D$3143),-(Analítico!R$3&lt;='Gastos Gerais'!$E$4:$E$3143),-('Gastos Gerais'!$C$4:$C$3143))</f>
        <v>650</v>
      </c>
      <c r="S94" s="134">
        <f>SUMPRODUCT(-('Gastos Gerais'!$B$4:$B$3143=Analítico!$B94),-(Analítico!S$3&gt;='Gastos Gerais'!$D$4:$D$3143),-(Analítico!S$3&lt;='Gastos Gerais'!$E$4:$E$3143),-('Gastos Gerais'!$C$4:$C$3143))</f>
        <v>650</v>
      </c>
      <c r="T94" s="134">
        <f>SUMPRODUCT(-('Gastos Gerais'!$B$4:$B$3143=Analítico!$B94),-(Analítico!T$3&gt;='Gastos Gerais'!$D$4:$D$3143),-(Analítico!T$3&lt;='Gastos Gerais'!$E$4:$E$3143),-('Gastos Gerais'!$C$4:$C$3143))</f>
        <v>650</v>
      </c>
      <c r="U94" s="134">
        <f>SUMPRODUCT(-('Gastos Gerais'!$B$4:$B$3143=Analítico!$B94),-(Analítico!U$3&gt;='Gastos Gerais'!$D$4:$D$3143),-(Analítico!U$3&lt;='Gastos Gerais'!$E$4:$E$3143),-('Gastos Gerais'!$C$4:$C$3143))</f>
        <v>650</v>
      </c>
      <c r="V94" s="134">
        <f>SUMPRODUCT(-('Gastos Gerais'!$B$4:$B$3143=Analítico!$B94),-(Analítico!V$3&gt;='Gastos Gerais'!$D$4:$D$3143),-(Analítico!V$3&lt;='Gastos Gerais'!$E$4:$E$3143),-('Gastos Gerais'!$C$4:$C$3143))</f>
        <v>650</v>
      </c>
      <c r="W94" s="134">
        <f>SUMPRODUCT(-('Gastos Gerais'!$B$4:$B$3143=Analítico!$B94),-(Analítico!W$3&gt;='Gastos Gerais'!$D$4:$D$3143),-(Analítico!W$3&lt;='Gastos Gerais'!$E$4:$E$3143),-('Gastos Gerais'!$C$4:$C$3143))</f>
        <v>650</v>
      </c>
      <c r="X94" s="134">
        <f>SUMPRODUCT(-('Gastos Gerais'!$B$4:$B$3143=Analítico!$B94),-(Analítico!X$3&gt;='Gastos Gerais'!$D$4:$D$3143),-(Analítico!X$3&lt;='Gastos Gerais'!$E$4:$E$3143),-('Gastos Gerais'!$C$4:$C$3143))</f>
        <v>650</v>
      </c>
      <c r="Y94" s="134">
        <f>SUMPRODUCT(-('Gastos Gerais'!$B$4:$B$3143=Analítico!$B94),-(Analítico!Y$3&gt;='Gastos Gerais'!$D$4:$D$3143),-(Analítico!Y$3&lt;='Gastos Gerais'!$E$4:$E$3143),-('Gastos Gerais'!$C$4:$C$3143))</f>
        <v>650</v>
      </c>
      <c r="Z94" s="134">
        <f>SUMPRODUCT(-('Gastos Gerais'!$B$4:$B$3143=Analítico!$B94),-(Analítico!Z$3&gt;='Gastos Gerais'!$D$4:$D$3143),-(Analítico!Z$3&lt;='Gastos Gerais'!$E$4:$E$3143),-('Gastos Gerais'!$C$4:$C$3143))</f>
        <v>650</v>
      </c>
      <c r="AA94" s="134">
        <f>SUMPRODUCT(-('Gastos Gerais'!$B$4:$B$3143=Analítico!$B94),-(Analítico!AA$3&gt;='Gastos Gerais'!$D$4:$D$3143),-(Analítico!AA$3&lt;='Gastos Gerais'!$E$4:$E$3143),-('Gastos Gerais'!$C$4:$C$3143))</f>
        <v>31150</v>
      </c>
      <c r="AB94" s="134">
        <f>SUMPRODUCT(-('Gastos Gerais'!$B$4:$B$3143=Analítico!$B94),-(Analítico!AB$3&gt;='Gastos Gerais'!$D$4:$D$3143),-(Analítico!AB$3&lt;='Gastos Gerais'!$E$4:$E$3143),-('Gastos Gerais'!$C$4:$C$3143))</f>
        <v>650</v>
      </c>
      <c r="AC94" s="134">
        <f>SUMPRODUCT(-('Gastos Gerais'!$B$4:$B$3143=Analítico!$B94),-(Analítico!AC$3&gt;='Gastos Gerais'!$D$4:$D$3143),-(Analítico!AC$3&lt;='Gastos Gerais'!$E$4:$E$3143),-('Gastos Gerais'!$C$4:$C$3143))</f>
        <v>650</v>
      </c>
      <c r="AD94" s="134">
        <f>SUMPRODUCT(-('Gastos Gerais'!$B$4:$B$3143=Analítico!$B94),-(Analítico!AD$3&gt;='Gastos Gerais'!$D$4:$D$3143),-(Analítico!AD$3&lt;='Gastos Gerais'!$E$4:$E$3143),-('Gastos Gerais'!$C$4:$C$3143))</f>
        <v>650</v>
      </c>
      <c r="AE94" s="134">
        <f>SUMPRODUCT(-('Gastos Gerais'!$B$4:$B$3143=Analítico!$B94),-(Analítico!AE$3&gt;='Gastos Gerais'!$D$4:$D$3143),-(Analítico!AE$3&lt;='Gastos Gerais'!$E$4:$E$3143),-('Gastos Gerais'!$C$4:$C$3143))</f>
        <v>650</v>
      </c>
      <c r="AF94" s="134">
        <f>SUMPRODUCT(-('Gastos Gerais'!$B$4:$B$3143=Analítico!$B94),-(Analítico!AF$3&gt;='Gastos Gerais'!$D$4:$D$3143),-(Analítico!AF$3&lt;='Gastos Gerais'!$E$4:$E$3143),-('Gastos Gerais'!$C$4:$C$3143))</f>
        <v>650</v>
      </c>
      <c r="AG94" s="134">
        <f>SUMPRODUCT(-('Gastos Gerais'!$B$4:$B$3143=Analítico!$B94),-(Analítico!AG$3&gt;='Gastos Gerais'!$D$4:$D$3143),-(Analítico!AG$3&lt;='Gastos Gerais'!$E$4:$E$3143),-('Gastos Gerais'!$C$4:$C$3143))</f>
        <v>650</v>
      </c>
      <c r="AH94" s="134">
        <f>SUMPRODUCT(-('Gastos Gerais'!$B$4:$B$3143=Analítico!$B94),-(Analítico!AH$3&gt;='Gastos Gerais'!$D$4:$D$3143),-(Analítico!AH$3&lt;='Gastos Gerais'!$E$4:$E$3143),-('Gastos Gerais'!$C$4:$C$3143))</f>
        <v>650</v>
      </c>
      <c r="AI94" s="134">
        <f>SUMPRODUCT(-('Gastos Gerais'!$B$4:$B$3143=Analítico!$B94),-(Analítico!AI$3&gt;='Gastos Gerais'!$D$4:$D$3143),-(Analítico!AI$3&lt;='Gastos Gerais'!$E$4:$E$3143),-('Gastos Gerais'!$C$4:$C$3143))</f>
        <v>650</v>
      </c>
      <c r="AJ94" s="134">
        <f>SUMPRODUCT(-('Gastos Gerais'!$B$4:$B$3143=Analítico!$B94),-(Analítico!AJ$3&gt;='Gastos Gerais'!$D$4:$D$3143),-(Analítico!AJ$3&lt;='Gastos Gerais'!$E$4:$E$3143),-('Gastos Gerais'!$C$4:$C$3143))</f>
        <v>650</v>
      </c>
      <c r="AK94" s="134">
        <f>SUMPRODUCT(-('Gastos Gerais'!$B$4:$B$3143=Analítico!$B94),-(Analítico!AK$3&gt;='Gastos Gerais'!$D$4:$D$3143),-(Analítico!AK$3&lt;='Gastos Gerais'!$E$4:$E$3143),-('Gastos Gerais'!$C$4:$C$3143))</f>
        <v>650</v>
      </c>
      <c r="AL94" s="134">
        <f>SUMPRODUCT(-('Gastos Gerais'!$B$4:$B$3143=Analítico!$B94),-(Analítico!AL$3&gt;='Gastos Gerais'!$D$4:$D$3143),-(Analítico!AL$3&lt;='Gastos Gerais'!$E$4:$E$3143),-('Gastos Gerais'!$C$4:$C$3143))</f>
        <v>650</v>
      </c>
      <c r="AM94" s="134">
        <f>SUMPRODUCT(-('Gastos Gerais'!$B$4:$B$3143=Analítico!$B94),-(Analítico!AM$3&gt;='Gastos Gerais'!$D$4:$D$3143),-(Analítico!AM$3&lt;='Gastos Gerais'!$E$4:$E$3143),-('Gastos Gerais'!$C$4:$C$3143))</f>
        <v>16400</v>
      </c>
      <c r="AN94" s="134">
        <f>SUMPRODUCT(-('Gastos Gerais'!$B$4:$B$3143=Analítico!$B94),-(Analítico!AN$3&gt;='Gastos Gerais'!$D$4:$D$3143),-(Analítico!AN$3&lt;='Gastos Gerais'!$E$4:$E$3143),-('Gastos Gerais'!$C$4:$C$3143))</f>
        <v>650</v>
      </c>
      <c r="AO94" s="134">
        <f>SUMPRODUCT(-('Gastos Gerais'!$B$4:$B$3143=Analítico!$B94),-(Analítico!AO$3&gt;='Gastos Gerais'!$D$4:$D$3143),-(Analítico!AO$3&lt;='Gastos Gerais'!$E$4:$E$3143),-('Gastos Gerais'!$C$4:$C$3143))</f>
        <v>650</v>
      </c>
      <c r="AP94" s="134">
        <f>SUMPRODUCT(-('Gastos Gerais'!$B$4:$B$3143=Analítico!$B94),-(Analítico!AP$3&gt;='Gastos Gerais'!$D$4:$D$3143),-(Analítico!AP$3&lt;='Gastos Gerais'!$E$4:$E$3143),-('Gastos Gerais'!$C$4:$C$3143))</f>
        <v>650</v>
      </c>
      <c r="AQ94" s="134">
        <f>SUMPRODUCT(-('Gastos Gerais'!$B$4:$B$3143=Analítico!$B94),-(Analítico!AQ$3&gt;='Gastos Gerais'!$D$4:$D$3143),-(Analítico!AQ$3&lt;='Gastos Gerais'!$E$4:$E$3143),-('Gastos Gerais'!$C$4:$C$3143))</f>
        <v>650</v>
      </c>
      <c r="AR94" s="134">
        <f>SUMPRODUCT(-('Gastos Gerais'!$B$4:$B$3143=Analítico!$B94),-(Analítico!AR$3&gt;='Gastos Gerais'!$D$4:$D$3143),-(Analítico!AR$3&lt;='Gastos Gerais'!$E$4:$E$3143),-('Gastos Gerais'!$C$4:$C$3143))</f>
        <v>650</v>
      </c>
      <c r="AS94" s="134">
        <f>SUMPRODUCT(-('Gastos Gerais'!$B$4:$B$3143=Analítico!$B94),-(Analítico!AS$3&gt;='Gastos Gerais'!$D$4:$D$3143),-(Analítico!AS$3&lt;='Gastos Gerais'!$E$4:$E$3143),-('Gastos Gerais'!$C$4:$C$3143))</f>
        <v>650</v>
      </c>
      <c r="AT94" s="134">
        <f>SUMPRODUCT(-('Gastos Gerais'!$B$4:$B$3143=Analítico!$B94),-(Analítico!AT$3&gt;='Gastos Gerais'!$D$4:$D$3143),-(Analítico!AT$3&lt;='Gastos Gerais'!$E$4:$E$3143),-('Gastos Gerais'!$C$4:$C$3143))</f>
        <v>650</v>
      </c>
      <c r="AU94" s="134">
        <f>SUMPRODUCT(-('Gastos Gerais'!$B$4:$B$3143=Analítico!$B94),-(Analítico!AU$3&gt;='Gastos Gerais'!$D$4:$D$3143),-(Analítico!AU$3&lt;='Gastos Gerais'!$E$4:$E$3143),-('Gastos Gerais'!$C$4:$C$3143))</f>
        <v>650</v>
      </c>
      <c r="AV94" s="134">
        <f>SUMPRODUCT(-('Gastos Gerais'!$B$4:$B$3143=Analítico!$B94),-(Analítico!AV$3&gt;='Gastos Gerais'!$D$4:$D$3143),-(Analítico!AV$3&lt;='Gastos Gerais'!$E$4:$E$3143),-('Gastos Gerais'!$C$4:$C$3143))</f>
        <v>650</v>
      </c>
      <c r="AW94" s="134">
        <f>SUMPRODUCT(-('Gastos Gerais'!$B$4:$B$3143=Analítico!$B94),-(Analítico!AW$3&gt;='Gastos Gerais'!$D$4:$D$3143),-(Analítico!AW$3&lt;='Gastos Gerais'!$E$4:$E$3143),-('Gastos Gerais'!$C$4:$C$3143))</f>
        <v>650</v>
      </c>
      <c r="AX94" s="134">
        <f>SUMPRODUCT(-('Gastos Gerais'!$B$4:$B$3143=Analítico!$B94),-(Analítico!AX$3&gt;='Gastos Gerais'!$D$4:$D$3143),-(Analítico!AX$3&lt;='Gastos Gerais'!$E$4:$E$3143),-('Gastos Gerais'!$C$4:$C$3143))</f>
        <v>0</v>
      </c>
      <c r="AY94" s="134">
        <f>SUMPRODUCT(-('Gastos Gerais'!$B$4:$B$3143=Analítico!$B94),-(Analítico!AY$3&gt;='Gastos Gerais'!$D$4:$D$3143),-(Analítico!AY$3&lt;='Gastos Gerais'!$E$4:$E$3143),-('Gastos Gerais'!$C$4:$C$3143))</f>
        <v>0</v>
      </c>
      <c r="AZ94" s="134">
        <f>SUMPRODUCT(-('Gastos Gerais'!$B$4:$B$3143=Analítico!$B94),-(Analítico!AZ$3&gt;='Gastos Gerais'!$D$4:$D$3143),-(Analítico!AZ$3&lt;='Gastos Gerais'!$E$4:$E$3143),-('Gastos Gerais'!$C$4:$C$3143))</f>
        <v>0</v>
      </c>
      <c r="BA94" s="134">
        <f>SUMPRODUCT(-('Gastos Gerais'!$B$4:$B$3143=Analítico!$B94),-(Analítico!BA$3&gt;='Gastos Gerais'!$D$4:$D$3143),-(Analítico!BA$3&lt;='Gastos Gerais'!$E$4:$E$3143),-('Gastos Gerais'!$C$4:$C$3143))</f>
        <v>0</v>
      </c>
      <c r="BB94" s="134">
        <f>SUMPRODUCT(-('Gastos Gerais'!$B$4:$B$3143=Analítico!$B94),-(Analítico!BB$3&gt;='Gastos Gerais'!$D$4:$D$3143),-(Analítico!BB$3&lt;='Gastos Gerais'!$E$4:$E$3143),-('Gastos Gerais'!$C$4:$C$3143))</f>
        <v>0</v>
      </c>
      <c r="BC94" s="134">
        <f>SUMPRODUCT(-('Gastos Gerais'!$B$4:$B$3143=Analítico!$B94),-(Analítico!BC$3&gt;='Gastos Gerais'!$D$4:$D$3143),-(Analítico!BC$3&lt;='Gastos Gerais'!$E$4:$E$3143),-('Gastos Gerais'!$C$4:$C$3143))</f>
        <v>0</v>
      </c>
      <c r="BD94" s="134">
        <f>SUMPRODUCT(-('Gastos Gerais'!$B$4:$B$3143=Analítico!$B94),-(Analítico!BD$3&gt;='Gastos Gerais'!$D$4:$D$3143),-(Analítico!BD$3&lt;='Gastos Gerais'!$E$4:$E$3143),-('Gastos Gerais'!$C$4:$C$3143))</f>
        <v>0</v>
      </c>
      <c r="BE94" s="134">
        <f>SUMPRODUCT(-('Gastos Gerais'!$B$4:$B$3143=Analítico!$B94),-(Analítico!BE$3&gt;='Gastos Gerais'!$D$4:$D$3143),-(Analítico!BE$3&lt;='Gastos Gerais'!$E$4:$E$3143),-('Gastos Gerais'!$C$4:$C$3143))</f>
        <v>0</v>
      </c>
      <c r="BF94" s="134">
        <f>SUMPRODUCT(-('Gastos Gerais'!$B$4:$B$3143=Analítico!$B94),-(Analítico!BF$3&gt;='Gastos Gerais'!$D$4:$D$3143),-(Analítico!BF$3&lt;='Gastos Gerais'!$E$4:$E$3143),-('Gastos Gerais'!$C$4:$C$3143))</f>
        <v>0</v>
      </c>
      <c r="BG94" s="134">
        <f>SUMPRODUCT(-('Gastos Gerais'!$B$4:$B$3143=Analítico!$B94),-(Analítico!BG$3&gt;='Gastos Gerais'!$D$4:$D$3143),-(Analítico!BG$3&lt;='Gastos Gerais'!$E$4:$E$3143),-('Gastos Gerais'!$C$4:$C$3143))</f>
        <v>0</v>
      </c>
      <c r="BH94" s="134">
        <f>SUMPRODUCT(-('Gastos Gerais'!$B$4:$B$3143=Analítico!$B94),-(Analítico!BH$3&gt;='Gastos Gerais'!$D$4:$D$3143),-(Analítico!BH$3&lt;='Gastos Gerais'!$E$4:$E$3143),-('Gastos Gerais'!$C$4:$C$3143))</f>
        <v>0</v>
      </c>
      <c r="BI94" s="134">
        <f>SUMPRODUCT(-('Gastos Gerais'!$B$4:$B$3143=Analítico!$B94),-(Analítico!BI$3&gt;='Gastos Gerais'!$D$4:$D$3143),-(Analítico!BI$3&lt;='Gastos Gerais'!$E$4:$E$3143),-('Gastos Gerais'!$C$4:$C$3143))</f>
        <v>0</v>
      </c>
      <c r="BJ94" s="134">
        <f>SUMPRODUCT(-('Gastos Gerais'!$B$4:$B$3143=Analítico!$B94),-(Analítico!BJ$3&gt;='Gastos Gerais'!$D$4:$D$3143),-(Analítico!BJ$3&lt;='Gastos Gerais'!$E$4:$E$3143),-('Gastos Gerais'!$C$4:$C$3143))</f>
        <v>0</v>
      </c>
      <c r="BK94" s="189">
        <f t="shared" si="26"/>
        <v>138492</v>
      </c>
      <c r="BL94" s="136">
        <f t="shared" ca="1" si="27"/>
        <v>4.7682769415843216E-4</v>
      </c>
    </row>
    <row r="95" spans="1:64" s="160" customFormat="1" ht="23.25" customHeight="1">
      <c r="A95" s="229" t="s">
        <v>267</v>
      </c>
      <c r="B95" s="232" t="s">
        <v>268</v>
      </c>
      <c r="C95" s="188">
        <f>SUMPRODUCT(-('Gastos Gerais'!$B$4:$B$3143=Analítico!$B95),-(Analítico!C$3&gt;='Gastos Gerais'!$D$4:$D$3143),-(Analítico!C$3&lt;='Gastos Gerais'!$E$4:$E$3143),-('Gastos Gerais'!$C$4:$C$3143))</f>
        <v>0</v>
      </c>
      <c r="D95" s="134">
        <f>SUMPRODUCT(-('Gastos Gerais'!$B$4:$B$3143=Analítico!$B95),-(Analítico!D$3&gt;='Gastos Gerais'!$D$4:$D$3143),-(Analítico!D$3&lt;='Gastos Gerais'!$E$4:$E$3143),-('Gastos Gerais'!$C$4:$C$3143))</f>
        <v>0</v>
      </c>
      <c r="E95" s="134">
        <f>SUMPRODUCT(-('Gastos Gerais'!$B$4:$B$3143=Analítico!$B95),-(Analítico!E$3&gt;='Gastos Gerais'!$D$4:$D$3143),-(Analítico!E$3&lt;='Gastos Gerais'!$E$4:$E$3143),-('Gastos Gerais'!$C$4:$C$3143))</f>
        <v>0</v>
      </c>
      <c r="F95" s="134">
        <f>SUMPRODUCT(-('Gastos Gerais'!$B$4:$B$3143=Analítico!$B95),-(Analítico!F$3&gt;='Gastos Gerais'!$D$4:$D$3143),-(Analítico!F$3&lt;='Gastos Gerais'!$E$4:$E$3143),-('Gastos Gerais'!$C$4:$C$3143))</f>
        <v>0</v>
      </c>
      <c r="G95" s="134">
        <f>SUMPRODUCT(-('Gastos Gerais'!$B$4:$B$3143=Analítico!$B95),-(Analítico!G$3&gt;='Gastos Gerais'!$D$4:$D$3143),-(Analítico!G$3&lt;='Gastos Gerais'!$E$4:$E$3143),-('Gastos Gerais'!$C$4:$C$3143))</f>
        <v>0</v>
      </c>
      <c r="H95" s="134">
        <f>SUMPRODUCT(-('Gastos Gerais'!$B$4:$B$3143=Analítico!$B95),-(Analítico!H$3&gt;='Gastos Gerais'!$D$4:$D$3143),-(Analítico!H$3&lt;='Gastos Gerais'!$E$4:$E$3143),-('Gastos Gerais'!$C$4:$C$3143))</f>
        <v>0</v>
      </c>
      <c r="I95" s="134">
        <f>SUMPRODUCT(-('Gastos Gerais'!$B$4:$B$3143=Analítico!$B95),-(Analítico!I$3&gt;='Gastos Gerais'!$D$4:$D$3143),-(Analítico!I$3&lt;='Gastos Gerais'!$E$4:$E$3143),-('Gastos Gerais'!$C$4:$C$3143))</f>
        <v>0</v>
      </c>
      <c r="J95" s="134">
        <f>SUMPRODUCT(-('Gastos Gerais'!$B$4:$B$3143=Analítico!$B95),-(Analítico!J$3&gt;='Gastos Gerais'!$D$4:$D$3143),-(Analítico!J$3&lt;='Gastos Gerais'!$E$4:$E$3143),-('Gastos Gerais'!$C$4:$C$3143))</f>
        <v>0</v>
      </c>
      <c r="K95" s="134">
        <f>SUMPRODUCT(-('Gastos Gerais'!$B$4:$B$3143=Analítico!$B95),-(Analítico!K$3&gt;='Gastos Gerais'!$D$4:$D$3143),-(Analítico!K$3&lt;='Gastos Gerais'!$E$4:$E$3143),-('Gastos Gerais'!$C$4:$C$3143))</f>
        <v>0</v>
      </c>
      <c r="L95" s="134">
        <f>SUMPRODUCT(-('Gastos Gerais'!$B$4:$B$3143=Analítico!$B95),-(Analítico!L$3&gt;='Gastos Gerais'!$D$4:$D$3143),-(Analítico!L$3&lt;='Gastos Gerais'!$E$4:$E$3143),-('Gastos Gerais'!$C$4:$C$3143))</f>
        <v>0</v>
      </c>
      <c r="M95" s="134">
        <f>SUMPRODUCT(-('Gastos Gerais'!$B$4:$B$3143=Analítico!$B95),-(Analítico!M$3&gt;='Gastos Gerais'!$D$4:$D$3143),-(Analítico!M$3&lt;='Gastos Gerais'!$E$4:$E$3143),-('Gastos Gerais'!$C$4:$C$3143))</f>
        <v>0</v>
      </c>
      <c r="N95" s="134">
        <f>SUMPRODUCT(-('Gastos Gerais'!$B$4:$B$3143=Analítico!$B95),-(Analítico!N$3&gt;='Gastos Gerais'!$D$4:$D$3143),-(Analítico!N$3&lt;='Gastos Gerais'!$E$4:$E$3143),-('Gastos Gerais'!$C$4:$C$3143))</f>
        <v>0</v>
      </c>
      <c r="O95" s="134">
        <f>SUMPRODUCT(-('Gastos Gerais'!$B$4:$B$3143=Analítico!$B95),-(Analítico!O$3&gt;='Gastos Gerais'!$D$4:$D$3143),-(Analítico!O$3&lt;='Gastos Gerais'!$E$4:$E$3143),-('Gastos Gerais'!$C$4:$C$3143))</f>
        <v>0</v>
      </c>
      <c r="P95" s="134">
        <f>SUMPRODUCT(-('Gastos Gerais'!$B$4:$B$3143=Analítico!$B95),-(Analítico!P$3&gt;='Gastos Gerais'!$D$4:$D$3143),-(Analítico!P$3&lt;='Gastos Gerais'!$E$4:$E$3143),-('Gastos Gerais'!$C$4:$C$3143))</f>
        <v>0</v>
      </c>
      <c r="Q95" s="134">
        <f>SUMPRODUCT(-('Gastos Gerais'!$B$4:$B$3143=Analítico!$B95),-(Analítico!Q$3&gt;='Gastos Gerais'!$D$4:$D$3143),-(Analítico!Q$3&lt;='Gastos Gerais'!$E$4:$E$3143),-('Gastos Gerais'!$C$4:$C$3143))</f>
        <v>0</v>
      </c>
      <c r="R95" s="134">
        <f>SUMPRODUCT(-('Gastos Gerais'!$B$4:$B$3143=Analítico!$B95),-(Analítico!R$3&gt;='Gastos Gerais'!$D$4:$D$3143),-(Analítico!R$3&lt;='Gastos Gerais'!$E$4:$E$3143),-('Gastos Gerais'!$C$4:$C$3143))</f>
        <v>0</v>
      </c>
      <c r="S95" s="134">
        <f>SUMPRODUCT(-('Gastos Gerais'!$B$4:$B$3143=Analítico!$B95),-(Analítico!S$3&gt;='Gastos Gerais'!$D$4:$D$3143),-(Analítico!S$3&lt;='Gastos Gerais'!$E$4:$E$3143),-('Gastos Gerais'!$C$4:$C$3143))</f>
        <v>0</v>
      </c>
      <c r="T95" s="134">
        <f>SUMPRODUCT(-('Gastos Gerais'!$B$4:$B$3143=Analítico!$B95),-(Analítico!T$3&gt;='Gastos Gerais'!$D$4:$D$3143),-(Analítico!T$3&lt;='Gastos Gerais'!$E$4:$E$3143),-('Gastos Gerais'!$C$4:$C$3143))</f>
        <v>0</v>
      </c>
      <c r="U95" s="134">
        <f>SUMPRODUCT(-('Gastos Gerais'!$B$4:$B$3143=Analítico!$B95),-(Analítico!U$3&gt;='Gastos Gerais'!$D$4:$D$3143),-(Analítico!U$3&lt;='Gastos Gerais'!$E$4:$E$3143),-('Gastos Gerais'!$C$4:$C$3143))</f>
        <v>0</v>
      </c>
      <c r="V95" s="134">
        <f>SUMPRODUCT(-('Gastos Gerais'!$B$4:$B$3143=Analítico!$B95),-(Analítico!V$3&gt;='Gastos Gerais'!$D$4:$D$3143),-(Analítico!V$3&lt;='Gastos Gerais'!$E$4:$E$3143),-('Gastos Gerais'!$C$4:$C$3143))</f>
        <v>0</v>
      </c>
      <c r="W95" s="134">
        <f>SUMPRODUCT(-('Gastos Gerais'!$B$4:$B$3143=Analítico!$B95),-(Analítico!W$3&gt;='Gastos Gerais'!$D$4:$D$3143),-(Analítico!W$3&lt;='Gastos Gerais'!$E$4:$E$3143),-('Gastos Gerais'!$C$4:$C$3143))</f>
        <v>0</v>
      </c>
      <c r="X95" s="134">
        <f>SUMPRODUCT(-('Gastos Gerais'!$B$4:$B$3143=Analítico!$B95),-(Analítico!X$3&gt;='Gastos Gerais'!$D$4:$D$3143),-(Analítico!X$3&lt;='Gastos Gerais'!$E$4:$E$3143),-('Gastos Gerais'!$C$4:$C$3143))</f>
        <v>0</v>
      </c>
      <c r="Y95" s="134">
        <f>SUMPRODUCT(-('Gastos Gerais'!$B$4:$B$3143=Analítico!$B95),-(Analítico!Y$3&gt;='Gastos Gerais'!$D$4:$D$3143),-(Analítico!Y$3&lt;='Gastos Gerais'!$E$4:$E$3143),-('Gastos Gerais'!$C$4:$C$3143))</f>
        <v>0</v>
      </c>
      <c r="Z95" s="134">
        <f>SUMPRODUCT(-('Gastos Gerais'!$B$4:$B$3143=Analítico!$B95),-(Analítico!Z$3&gt;='Gastos Gerais'!$D$4:$D$3143),-(Analítico!Z$3&lt;='Gastos Gerais'!$E$4:$E$3143),-('Gastos Gerais'!$C$4:$C$3143))</f>
        <v>0</v>
      </c>
      <c r="AA95" s="134">
        <f>SUMPRODUCT(-('Gastos Gerais'!$B$4:$B$3143=Analítico!$B95),-(Analítico!AA$3&gt;='Gastos Gerais'!$D$4:$D$3143),-(Analítico!AA$3&lt;='Gastos Gerais'!$E$4:$E$3143),-('Gastos Gerais'!$C$4:$C$3143))</f>
        <v>0</v>
      </c>
      <c r="AB95" s="134">
        <f>SUMPRODUCT(-('Gastos Gerais'!$B$4:$B$3143=Analítico!$B95),-(Analítico!AB$3&gt;='Gastos Gerais'!$D$4:$D$3143),-(Analítico!AB$3&lt;='Gastos Gerais'!$E$4:$E$3143),-('Gastos Gerais'!$C$4:$C$3143))</f>
        <v>0</v>
      </c>
      <c r="AC95" s="134">
        <f>SUMPRODUCT(-('Gastos Gerais'!$B$4:$B$3143=Analítico!$B95),-(Analítico!AC$3&gt;='Gastos Gerais'!$D$4:$D$3143),-(Analítico!AC$3&lt;='Gastos Gerais'!$E$4:$E$3143),-('Gastos Gerais'!$C$4:$C$3143))</f>
        <v>0</v>
      </c>
      <c r="AD95" s="134">
        <f>SUMPRODUCT(-('Gastos Gerais'!$B$4:$B$3143=Analítico!$B95),-(Analítico!AD$3&gt;='Gastos Gerais'!$D$4:$D$3143),-(Analítico!AD$3&lt;='Gastos Gerais'!$E$4:$E$3143),-('Gastos Gerais'!$C$4:$C$3143))</f>
        <v>0</v>
      </c>
      <c r="AE95" s="134">
        <f>SUMPRODUCT(-('Gastos Gerais'!$B$4:$B$3143=Analítico!$B95),-(Analítico!AE$3&gt;='Gastos Gerais'!$D$4:$D$3143),-(Analítico!AE$3&lt;='Gastos Gerais'!$E$4:$E$3143),-('Gastos Gerais'!$C$4:$C$3143))</f>
        <v>0</v>
      </c>
      <c r="AF95" s="134">
        <f>SUMPRODUCT(-('Gastos Gerais'!$B$4:$B$3143=Analítico!$B95),-(Analítico!AF$3&gt;='Gastos Gerais'!$D$4:$D$3143),-(Analítico!AF$3&lt;='Gastos Gerais'!$E$4:$E$3143),-('Gastos Gerais'!$C$4:$C$3143))</f>
        <v>0</v>
      </c>
      <c r="AG95" s="134">
        <f>SUMPRODUCT(-('Gastos Gerais'!$B$4:$B$3143=Analítico!$B95),-(Analítico!AG$3&gt;='Gastos Gerais'!$D$4:$D$3143),-(Analítico!AG$3&lt;='Gastos Gerais'!$E$4:$E$3143),-('Gastos Gerais'!$C$4:$C$3143))</f>
        <v>0</v>
      </c>
      <c r="AH95" s="134">
        <f>SUMPRODUCT(-('Gastos Gerais'!$B$4:$B$3143=Analítico!$B95),-(Analítico!AH$3&gt;='Gastos Gerais'!$D$4:$D$3143),-(Analítico!AH$3&lt;='Gastos Gerais'!$E$4:$E$3143),-('Gastos Gerais'!$C$4:$C$3143))</f>
        <v>0</v>
      </c>
      <c r="AI95" s="134">
        <f>SUMPRODUCT(-('Gastos Gerais'!$B$4:$B$3143=Analítico!$B95),-(Analítico!AI$3&gt;='Gastos Gerais'!$D$4:$D$3143),-(Analítico!AI$3&lt;='Gastos Gerais'!$E$4:$E$3143),-('Gastos Gerais'!$C$4:$C$3143))</f>
        <v>0</v>
      </c>
      <c r="AJ95" s="134">
        <f>SUMPRODUCT(-('Gastos Gerais'!$B$4:$B$3143=Analítico!$B95),-(Analítico!AJ$3&gt;='Gastos Gerais'!$D$4:$D$3143),-(Analítico!AJ$3&lt;='Gastos Gerais'!$E$4:$E$3143),-('Gastos Gerais'!$C$4:$C$3143))</f>
        <v>0</v>
      </c>
      <c r="AK95" s="134">
        <f>SUMPRODUCT(-('Gastos Gerais'!$B$4:$B$3143=Analítico!$B95),-(Analítico!AK$3&gt;='Gastos Gerais'!$D$4:$D$3143),-(Analítico!AK$3&lt;='Gastos Gerais'!$E$4:$E$3143),-('Gastos Gerais'!$C$4:$C$3143))</f>
        <v>0</v>
      </c>
      <c r="AL95" s="134">
        <f>SUMPRODUCT(-('Gastos Gerais'!$B$4:$B$3143=Analítico!$B95),-(Analítico!AL$3&gt;='Gastos Gerais'!$D$4:$D$3143),-(Analítico!AL$3&lt;='Gastos Gerais'!$E$4:$E$3143),-('Gastos Gerais'!$C$4:$C$3143))</f>
        <v>0</v>
      </c>
      <c r="AM95" s="134">
        <f>SUMPRODUCT(-('Gastos Gerais'!$B$4:$B$3143=Analítico!$B95),-(Analítico!AM$3&gt;='Gastos Gerais'!$D$4:$D$3143),-(Analítico!AM$3&lt;='Gastos Gerais'!$E$4:$E$3143),-('Gastos Gerais'!$C$4:$C$3143))</f>
        <v>0</v>
      </c>
      <c r="AN95" s="134">
        <f>SUMPRODUCT(-('Gastos Gerais'!$B$4:$B$3143=Analítico!$B95),-(Analítico!AN$3&gt;='Gastos Gerais'!$D$4:$D$3143),-(Analítico!AN$3&lt;='Gastos Gerais'!$E$4:$E$3143),-('Gastos Gerais'!$C$4:$C$3143))</f>
        <v>0</v>
      </c>
      <c r="AO95" s="134">
        <f>SUMPRODUCT(-('Gastos Gerais'!$B$4:$B$3143=Analítico!$B95),-(Analítico!AO$3&gt;='Gastos Gerais'!$D$4:$D$3143),-(Analítico!AO$3&lt;='Gastos Gerais'!$E$4:$E$3143),-('Gastos Gerais'!$C$4:$C$3143))</f>
        <v>0</v>
      </c>
      <c r="AP95" s="134">
        <f>SUMPRODUCT(-('Gastos Gerais'!$B$4:$B$3143=Analítico!$B95),-(Analítico!AP$3&gt;='Gastos Gerais'!$D$4:$D$3143),-(Analítico!AP$3&lt;='Gastos Gerais'!$E$4:$E$3143),-('Gastos Gerais'!$C$4:$C$3143))</f>
        <v>0</v>
      </c>
      <c r="AQ95" s="134">
        <f>SUMPRODUCT(-('Gastos Gerais'!$B$4:$B$3143=Analítico!$B95),-(Analítico!AQ$3&gt;='Gastos Gerais'!$D$4:$D$3143),-(Analítico!AQ$3&lt;='Gastos Gerais'!$E$4:$E$3143),-('Gastos Gerais'!$C$4:$C$3143))</f>
        <v>0</v>
      </c>
      <c r="AR95" s="134">
        <f>SUMPRODUCT(-('Gastos Gerais'!$B$4:$B$3143=Analítico!$B95),-(Analítico!AR$3&gt;='Gastos Gerais'!$D$4:$D$3143),-(Analítico!AR$3&lt;='Gastos Gerais'!$E$4:$E$3143),-('Gastos Gerais'!$C$4:$C$3143))</f>
        <v>0</v>
      </c>
      <c r="AS95" s="134">
        <f>SUMPRODUCT(-('Gastos Gerais'!$B$4:$B$3143=Analítico!$B95),-(Analítico!AS$3&gt;='Gastos Gerais'!$D$4:$D$3143),-(Analítico!AS$3&lt;='Gastos Gerais'!$E$4:$E$3143),-('Gastos Gerais'!$C$4:$C$3143))</f>
        <v>0</v>
      </c>
      <c r="AT95" s="134">
        <f>SUMPRODUCT(-('Gastos Gerais'!$B$4:$B$3143=Analítico!$B95),-(Analítico!AT$3&gt;='Gastos Gerais'!$D$4:$D$3143),-(Analítico!AT$3&lt;='Gastos Gerais'!$E$4:$E$3143),-('Gastos Gerais'!$C$4:$C$3143))</f>
        <v>0</v>
      </c>
      <c r="AU95" s="134">
        <f>SUMPRODUCT(-('Gastos Gerais'!$B$4:$B$3143=Analítico!$B95),-(Analítico!AU$3&gt;='Gastos Gerais'!$D$4:$D$3143),-(Analítico!AU$3&lt;='Gastos Gerais'!$E$4:$E$3143),-('Gastos Gerais'!$C$4:$C$3143))</f>
        <v>0</v>
      </c>
      <c r="AV95" s="134">
        <f>SUMPRODUCT(-('Gastos Gerais'!$B$4:$B$3143=Analítico!$B95),-(Analítico!AV$3&gt;='Gastos Gerais'!$D$4:$D$3143),-(Analítico!AV$3&lt;='Gastos Gerais'!$E$4:$E$3143),-('Gastos Gerais'!$C$4:$C$3143))</f>
        <v>0</v>
      </c>
      <c r="AW95" s="134">
        <f>SUMPRODUCT(-('Gastos Gerais'!$B$4:$B$3143=Analítico!$B95),-(Analítico!AW$3&gt;='Gastos Gerais'!$D$4:$D$3143),-(Analítico!AW$3&lt;='Gastos Gerais'!$E$4:$E$3143),-('Gastos Gerais'!$C$4:$C$3143))</f>
        <v>0</v>
      </c>
      <c r="AX95" s="134">
        <f>SUMPRODUCT(-('Gastos Gerais'!$B$4:$B$3143=Analítico!$B95),-(Analítico!AX$3&gt;='Gastos Gerais'!$D$4:$D$3143),-(Analítico!AX$3&lt;='Gastos Gerais'!$E$4:$E$3143),-('Gastos Gerais'!$C$4:$C$3143))</f>
        <v>0</v>
      </c>
      <c r="AY95" s="134">
        <f>SUMPRODUCT(-('Gastos Gerais'!$B$4:$B$3143=Analítico!$B95),-(Analítico!AY$3&gt;='Gastos Gerais'!$D$4:$D$3143),-(Analítico!AY$3&lt;='Gastos Gerais'!$E$4:$E$3143),-('Gastos Gerais'!$C$4:$C$3143))</f>
        <v>0</v>
      </c>
      <c r="AZ95" s="134">
        <f>SUMPRODUCT(-('Gastos Gerais'!$B$4:$B$3143=Analítico!$B95),-(Analítico!AZ$3&gt;='Gastos Gerais'!$D$4:$D$3143),-(Analítico!AZ$3&lt;='Gastos Gerais'!$E$4:$E$3143),-('Gastos Gerais'!$C$4:$C$3143))</f>
        <v>0</v>
      </c>
      <c r="BA95" s="134">
        <f>SUMPRODUCT(-('Gastos Gerais'!$B$4:$B$3143=Analítico!$B95),-(Analítico!BA$3&gt;='Gastos Gerais'!$D$4:$D$3143),-(Analítico!BA$3&lt;='Gastos Gerais'!$E$4:$E$3143),-('Gastos Gerais'!$C$4:$C$3143))</f>
        <v>0</v>
      </c>
      <c r="BB95" s="134">
        <f>SUMPRODUCT(-('Gastos Gerais'!$B$4:$B$3143=Analítico!$B95),-(Analítico!BB$3&gt;='Gastos Gerais'!$D$4:$D$3143),-(Analítico!BB$3&lt;='Gastos Gerais'!$E$4:$E$3143),-('Gastos Gerais'!$C$4:$C$3143))</f>
        <v>0</v>
      </c>
      <c r="BC95" s="134">
        <f>SUMPRODUCT(-('Gastos Gerais'!$B$4:$B$3143=Analítico!$B95),-(Analítico!BC$3&gt;='Gastos Gerais'!$D$4:$D$3143),-(Analítico!BC$3&lt;='Gastos Gerais'!$E$4:$E$3143),-('Gastos Gerais'!$C$4:$C$3143))</f>
        <v>0</v>
      </c>
      <c r="BD95" s="134">
        <f>SUMPRODUCT(-('Gastos Gerais'!$B$4:$B$3143=Analítico!$B95),-(Analítico!BD$3&gt;='Gastos Gerais'!$D$4:$D$3143),-(Analítico!BD$3&lt;='Gastos Gerais'!$E$4:$E$3143),-('Gastos Gerais'!$C$4:$C$3143))</f>
        <v>0</v>
      </c>
      <c r="BE95" s="134">
        <f>SUMPRODUCT(-('Gastos Gerais'!$B$4:$B$3143=Analítico!$B95),-(Analítico!BE$3&gt;='Gastos Gerais'!$D$4:$D$3143),-(Analítico!BE$3&lt;='Gastos Gerais'!$E$4:$E$3143),-('Gastos Gerais'!$C$4:$C$3143))</f>
        <v>0</v>
      </c>
      <c r="BF95" s="134">
        <f>SUMPRODUCT(-('Gastos Gerais'!$B$4:$B$3143=Analítico!$B95),-(Analítico!BF$3&gt;='Gastos Gerais'!$D$4:$D$3143),-(Analítico!BF$3&lt;='Gastos Gerais'!$E$4:$E$3143),-('Gastos Gerais'!$C$4:$C$3143))</f>
        <v>0</v>
      </c>
      <c r="BG95" s="134">
        <f>SUMPRODUCT(-('Gastos Gerais'!$B$4:$B$3143=Analítico!$B95),-(Analítico!BG$3&gt;='Gastos Gerais'!$D$4:$D$3143),-(Analítico!BG$3&lt;='Gastos Gerais'!$E$4:$E$3143),-('Gastos Gerais'!$C$4:$C$3143))</f>
        <v>0</v>
      </c>
      <c r="BH95" s="134">
        <f>SUMPRODUCT(-('Gastos Gerais'!$B$4:$B$3143=Analítico!$B95),-(Analítico!BH$3&gt;='Gastos Gerais'!$D$4:$D$3143),-(Analítico!BH$3&lt;='Gastos Gerais'!$E$4:$E$3143),-('Gastos Gerais'!$C$4:$C$3143))</f>
        <v>0</v>
      </c>
      <c r="BI95" s="134">
        <f>SUMPRODUCT(-('Gastos Gerais'!$B$4:$B$3143=Analítico!$B95),-(Analítico!BI$3&gt;='Gastos Gerais'!$D$4:$D$3143),-(Analítico!BI$3&lt;='Gastos Gerais'!$E$4:$E$3143),-('Gastos Gerais'!$C$4:$C$3143))</f>
        <v>0</v>
      </c>
      <c r="BJ95" s="134">
        <f>SUMPRODUCT(-('Gastos Gerais'!$B$4:$B$3143=Analítico!$B95),-(Analítico!BJ$3&gt;='Gastos Gerais'!$D$4:$D$3143),-(Analítico!BJ$3&lt;='Gastos Gerais'!$E$4:$E$3143),-('Gastos Gerais'!$C$4:$C$3143))</f>
        <v>0</v>
      </c>
      <c r="BK95" s="189">
        <f t="shared" si="26"/>
        <v>0</v>
      </c>
      <c r="BL95" s="136">
        <f t="shared" ca="1" si="27"/>
        <v>0</v>
      </c>
    </row>
    <row r="96" spans="1:64" s="160" customFormat="1" ht="23.25" customHeight="1">
      <c r="A96" s="229" t="s">
        <v>269</v>
      </c>
      <c r="B96" s="232" t="s">
        <v>270</v>
      </c>
      <c r="C96" s="188">
        <f>SUMPRODUCT(-('Gastos Gerais'!$B$4:$B$3143=Analítico!$B96),-(Analítico!C$3&gt;='Gastos Gerais'!$D$4:$D$3143),-(Analítico!C$3&lt;='Gastos Gerais'!$E$4:$E$3143),-('Gastos Gerais'!$C$4:$C$3143))</f>
        <v>0</v>
      </c>
      <c r="D96" s="134">
        <f>SUMPRODUCT(-('Gastos Gerais'!$B$4:$B$3143=Analítico!$B96),-(Analítico!D$3&gt;='Gastos Gerais'!$D$4:$D$3143),-(Analítico!D$3&lt;='Gastos Gerais'!$E$4:$E$3143),-('Gastos Gerais'!$C$4:$C$3143))</f>
        <v>0</v>
      </c>
      <c r="E96" s="134">
        <f>SUMPRODUCT(-('Gastos Gerais'!$B$4:$B$3143=Analítico!$B96),-(Analítico!E$3&gt;='Gastos Gerais'!$D$4:$D$3143),-(Analítico!E$3&lt;='Gastos Gerais'!$E$4:$E$3143),-('Gastos Gerais'!$C$4:$C$3143))</f>
        <v>0</v>
      </c>
      <c r="F96" s="134">
        <f>SUMPRODUCT(-('Gastos Gerais'!$B$4:$B$3143=Analítico!$B96),-(Analítico!F$3&gt;='Gastos Gerais'!$D$4:$D$3143),-(Analítico!F$3&lt;='Gastos Gerais'!$E$4:$E$3143),-('Gastos Gerais'!$C$4:$C$3143))</f>
        <v>0</v>
      </c>
      <c r="G96" s="134">
        <f>SUMPRODUCT(-('Gastos Gerais'!$B$4:$B$3143=Analítico!$B96),-(Analítico!G$3&gt;='Gastos Gerais'!$D$4:$D$3143),-(Analítico!G$3&lt;='Gastos Gerais'!$E$4:$E$3143),-('Gastos Gerais'!$C$4:$C$3143))</f>
        <v>0</v>
      </c>
      <c r="H96" s="134">
        <f>SUMPRODUCT(-('Gastos Gerais'!$B$4:$B$3143=Analítico!$B96),-(Analítico!H$3&gt;='Gastos Gerais'!$D$4:$D$3143),-(Analítico!H$3&lt;='Gastos Gerais'!$E$4:$E$3143),-('Gastos Gerais'!$C$4:$C$3143))</f>
        <v>0</v>
      </c>
      <c r="I96" s="134">
        <f>SUMPRODUCT(-('Gastos Gerais'!$B$4:$B$3143=Analítico!$B96),-(Analítico!I$3&gt;='Gastos Gerais'!$D$4:$D$3143),-(Analítico!I$3&lt;='Gastos Gerais'!$E$4:$E$3143),-('Gastos Gerais'!$C$4:$C$3143))</f>
        <v>0</v>
      </c>
      <c r="J96" s="134">
        <f>SUMPRODUCT(-('Gastos Gerais'!$B$4:$B$3143=Analítico!$B96),-(Analítico!J$3&gt;='Gastos Gerais'!$D$4:$D$3143),-(Analítico!J$3&lt;='Gastos Gerais'!$E$4:$E$3143),-('Gastos Gerais'!$C$4:$C$3143))</f>
        <v>0</v>
      </c>
      <c r="K96" s="134">
        <f>SUMPRODUCT(-('Gastos Gerais'!$B$4:$B$3143=Analítico!$B96),-(Analítico!K$3&gt;='Gastos Gerais'!$D$4:$D$3143),-(Analítico!K$3&lt;='Gastos Gerais'!$E$4:$E$3143),-('Gastos Gerais'!$C$4:$C$3143))</f>
        <v>0</v>
      </c>
      <c r="L96" s="134">
        <f>SUMPRODUCT(-('Gastos Gerais'!$B$4:$B$3143=Analítico!$B96),-(Analítico!L$3&gt;='Gastos Gerais'!$D$4:$D$3143),-(Analítico!L$3&lt;='Gastos Gerais'!$E$4:$E$3143),-('Gastos Gerais'!$C$4:$C$3143))</f>
        <v>0</v>
      </c>
      <c r="M96" s="134">
        <f>SUMPRODUCT(-('Gastos Gerais'!$B$4:$B$3143=Analítico!$B96),-(Analítico!M$3&gt;='Gastos Gerais'!$D$4:$D$3143),-(Analítico!M$3&lt;='Gastos Gerais'!$E$4:$E$3143),-('Gastos Gerais'!$C$4:$C$3143))</f>
        <v>0</v>
      </c>
      <c r="N96" s="134">
        <f>SUMPRODUCT(-('Gastos Gerais'!$B$4:$B$3143=Analítico!$B96),-(Analítico!N$3&gt;='Gastos Gerais'!$D$4:$D$3143),-(Analítico!N$3&lt;='Gastos Gerais'!$E$4:$E$3143),-('Gastos Gerais'!$C$4:$C$3143))</f>
        <v>0</v>
      </c>
      <c r="O96" s="134">
        <f>SUMPRODUCT(-('Gastos Gerais'!$B$4:$B$3143=Analítico!$B96),-(Analítico!O$3&gt;='Gastos Gerais'!$D$4:$D$3143),-(Analítico!O$3&lt;='Gastos Gerais'!$E$4:$E$3143),-('Gastos Gerais'!$C$4:$C$3143))</f>
        <v>0</v>
      </c>
      <c r="P96" s="134">
        <f>SUMPRODUCT(-('Gastos Gerais'!$B$4:$B$3143=Analítico!$B96),-(Analítico!P$3&gt;='Gastos Gerais'!$D$4:$D$3143),-(Analítico!P$3&lt;='Gastos Gerais'!$E$4:$E$3143),-('Gastos Gerais'!$C$4:$C$3143))</f>
        <v>0</v>
      </c>
      <c r="Q96" s="134">
        <f>SUMPRODUCT(-('Gastos Gerais'!$B$4:$B$3143=Analítico!$B96),-(Analítico!Q$3&gt;='Gastos Gerais'!$D$4:$D$3143),-(Analítico!Q$3&lt;='Gastos Gerais'!$E$4:$E$3143),-('Gastos Gerais'!$C$4:$C$3143))</f>
        <v>0</v>
      </c>
      <c r="R96" s="134">
        <f>SUMPRODUCT(-('Gastos Gerais'!$B$4:$B$3143=Analítico!$B96),-(Analítico!R$3&gt;='Gastos Gerais'!$D$4:$D$3143),-(Analítico!R$3&lt;='Gastos Gerais'!$E$4:$E$3143),-('Gastos Gerais'!$C$4:$C$3143))</f>
        <v>0</v>
      </c>
      <c r="S96" s="134">
        <f>SUMPRODUCT(-('Gastos Gerais'!$B$4:$B$3143=Analítico!$B96),-(Analítico!S$3&gt;='Gastos Gerais'!$D$4:$D$3143),-(Analítico!S$3&lt;='Gastos Gerais'!$E$4:$E$3143),-('Gastos Gerais'!$C$4:$C$3143))</f>
        <v>0</v>
      </c>
      <c r="T96" s="134">
        <f>SUMPRODUCT(-('Gastos Gerais'!$B$4:$B$3143=Analítico!$B96),-(Analítico!T$3&gt;='Gastos Gerais'!$D$4:$D$3143),-(Analítico!T$3&lt;='Gastos Gerais'!$E$4:$E$3143),-('Gastos Gerais'!$C$4:$C$3143))</f>
        <v>0</v>
      </c>
      <c r="U96" s="134">
        <f>SUMPRODUCT(-('Gastos Gerais'!$B$4:$B$3143=Analítico!$B96),-(Analítico!U$3&gt;='Gastos Gerais'!$D$4:$D$3143),-(Analítico!U$3&lt;='Gastos Gerais'!$E$4:$E$3143),-('Gastos Gerais'!$C$4:$C$3143))</f>
        <v>0</v>
      </c>
      <c r="V96" s="134">
        <f>SUMPRODUCT(-('Gastos Gerais'!$B$4:$B$3143=Analítico!$B96),-(Analítico!V$3&gt;='Gastos Gerais'!$D$4:$D$3143),-(Analítico!V$3&lt;='Gastos Gerais'!$E$4:$E$3143),-('Gastos Gerais'!$C$4:$C$3143))</f>
        <v>0</v>
      </c>
      <c r="W96" s="134">
        <f>SUMPRODUCT(-('Gastos Gerais'!$B$4:$B$3143=Analítico!$B96),-(Analítico!W$3&gt;='Gastos Gerais'!$D$4:$D$3143),-(Analítico!W$3&lt;='Gastos Gerais'!$E$4:$E$3143),-('Gastos Gerais'!$C$4:$C$3143))</f>
        <v>0</v>
      </c>
      <c r="X96" s="134">
        <f>SUMPRODUCT(-('Gastos Gerais'!$B$4:$B$3143=Analítico!$B96),-(Analítico!X$3&gt;='Gastos Gerais'!$D$4:$D$3143),-(Analítico!X$3&lt;='Gastos Gerais'!$E$4:$E$3143),-('Gastos Gerais'!$C$4:$C$3143))</f>
        <v>0</v>
      </c>
      <c r="Y96" s="134">
        <f>SUMPRODUCT(-('Gastos Gerais'!$B$4:$B$3143=Analítico!$B96),-(Analítico!Y$3&gt;='Gastos Gerais'!$D$4:$D$3143),-(Analítico!Y$3&lt;='Gastos Gerais'!$E$4:$E$3143),-('Gastos Gerais'!$C$4:$C$3143))</f>
        <v>0</v>
      </c>
      <c r="Z96" s="134">
        <f>SUMPRODUCT(-('Gastos Gerais'!$B$4:$B$3143=Analítico!$B96),-(Analítico!Z$3&gt;='Gastos Gerais'!$D$4:$D$3143),-(Analítico!Z$3&lt;='Gastos Gerais'!$E$4:$E$3143),-('Gastos Gerais'!$C$4:$C$3143))</f>
        <v>0</v>
      </c>
      <c r="AA96" s="134">
        <f>SUMPRODUCT(-('Gastos Gerais'!$B$4:$B$3143=Analítico!$B96),-(Analítico!AA$3&gt;='Gastos Gerais'!$D$4:$D$3143),-(Analítico!AA$3&lt;='Gastos Gerais'!$E$4:$E$3143),-('Gastos Gerais'!$C$4:$C$3143))</f>
        <v>0</v>
      </c>
      <c r="AB96" s="134">
        <f>SUMPRODUCT(-('Gastos Gerais'!$B$4:$B$3143=Analítico!$B96),-(Analítico!AB$3&gt;='Gastos Gerais'!$D$4:$D$3143),-(Analítico!AB$3&lt;='Gastos Gerais'!$E$4:$E$3143),-('Gastos Gerais'!$C$4:$C$3143))</f>
        <v>0</v>
      </c>
      <c r="AC96" s="134">
        <f>SUMPRODUCT(-('Gastos Gerais'!$B$4:$B$3143=Analítico!$B96),-(Analítico!AC$3&gt;='Gastos Gerais'!$D$4:$D$3143),-(Analítico!AC$3&lt;='Gastos Gerais'!$E$4:$E$3143),-('Gastos Gerais'!$C$4:$C$3143))</f>
        <v>0</v>
      </c>
      <c r="AD96" s="134">
        <f>SUMPRODUCT(-('Gastos Gerais'!$B$4:$B$3143=Analítico!$B96),-(Analítico!AD$3&gt;='Gastos Gerais'!$D$4:$D$3143),-(Analítico!AD$3&lt;='Gastos Gerais'!$E$4:$E$3143),-('Gastos Gerais'!$C$4:$C$3143))</f>
        <v>0</v>
      </c>
      <c r="AE96" s="134">
        <f>SUMPRODUCT(-('Gastos Gerais'!$B$4:$B$3143=Analítico!$B96),-(Analítico!AE$3&gt;='Gastos Gerais'!$D$4:$D$3143),-(Analítico!AE$3&lt;='Gastos Gerais'!$E$4:$E$3143),-('Gastos Gerais'!$C$4:$C$3143))</f>
        <v>0</v>
      </c>
      <c r="AF96" s="134">
        <f>SUMPRODUCT(-('Gastos Gerais'!$B$4:$B$3143=Analítico!$B96),-(Analítico!AF$3&gt;='Gastos Gerais'!$D$4:$D$3143),-(Analítico!AF$3&lt;='Gastos Gerais'!$E$4:$E$3143),-('Gastos Gerais'!$C$4:$C$3143))</f>
        <v>0</v>
      </c>
      <c r="AG96" s="134">
        <f>SUMPRODUCT(-('Gastos Gerais'!$B$4:$B$3143=Analítico!$B96),-(Analítico!AG$3&gt;='Gastos Gerais'!$D$4:$D$3143),-(Analítico!AG$3&lt;='Gastos Gerais'!$E$4:$E$3143),-('Gastos Gerais'!$C$4:$C$3143))</f>
        <v>0</v>
      </c>
      <c r="AH96" s="134">
        <f>SUMPRODUCT(-('Gastos Gerais'!$B$4:$B$3143=Analítico!$B96),-(Analítico!AH$3&gt;='Gastos Gerais'!$D$4:$D$3143),-(Analítico!AH$3&lt;='Gastos Gerais'!$E$4:$E$3143),-('Gastos Gerais'!$C$4:$C$3143))</f>
        <v>0</v>
      </c>
      <c r="AI96" s="134">
        <f>SUMPRODUCT(-('Gastos Gerais'!$B$4:$B$3143=Analítico!$B96),-(Analítico!AI$3&gt;='Gastos Gerais'!$D$4:$D$3143),-(Analítico!AI$3&lt;='Gastos Gerais'!$E$4:$E$3143),-('Gastos Gerais'!$C$4:$C$3143))</f>
        <v>0</v>
      </c>
      <c r="AJ96" s="134">
        <f>SUMPRODUCT(-('Gastos Gerais'!$B$4:$B$3143=Analítico!$B96),-(Analítico!AJ$3&gt;='Gastos Gerais'!$D$4:$D$3143),-(Analítico!AJ$3&lt;='Gastos Gerais'!$E$4:$E$3143),-('Gastos Gerais'!$C$4:$C$3143))</f>
        <v>0</v>
      </c>
      <c r="AK96" s="134">
        <f>SUMPRODUCT(-('Gastos Gerais'!$B$4:$B$3143=Analítico!$B96),-(Analítico!AK$3&gt;='Gastos Gerais'!$D$4:$D$3143),-(Analítico!AK$3&lt;='Gastos Gerais'!$E$4:$E$3143),-('Gastos Gerais'!$C$4:$C$3143))</f>
        <v>0</v>
      </c>
      <c r="AL96" s="134">
        <f>SUMPRODUCT(-('Gastos Gerais'!$B$4:$B$3143=Analítico!$B96),-(Analítico!AL$3&gt;='Gastos Gerais'!$D$4:$D$3143),-(Analítico!AL$3&lt;='Gastos Gerais'!$E$4:$E$3143),-('Gastos Gerais'!$C$4:$C$3143))</f>
        <v>0</v>
      </c>
      <c r="AM96" s="134">
        <f>SUMPRODUCT(-('Gastos Gerais'!$B$4:$B$3143=Analítico!$B96),-(Analítico!AM$3&gt;='Gastos Gerais'!$D$4:$D$3143),-(Analítico!AM$3&lt;='Gastos Gerais'!$E$4:$E$3143),-('Gastos Gerais'!$C$4:$C$3143))</f>
        <v>0</v>
      </c>
      <c r="AN96" s="134">
        <f>SUMPRODUCT(-('Gastos Gerais'!$B$4:$B$3143=Analítico!$B96),-(Analítico!AN$3&gt;='Gastos Gerais'!$D$4:$D$3143),-(Analítico!AN$3&lt;='Gastos Gerais'!$E$4:$E$3143),-('Gastos Gerais'!$C$4:$C$3143))</f>
        <v>0</v>
      </c>
      <c r="AO96" s="134">
        <f>SUMPRODUCT(-('Gastos Gerais'!$B$4:$B$3143=Analítico!$B96),-(Analítico!AO$3&gt;='Gastos Gerais'!$D$4:$D$3143),-(Analítico!AO$3&lt;='Gastos Gerais'!$E$4:$E$3143),-('Gastos Gerais'!$C$4:$C$3143))</f>
        <v>0</v>
      </c>
      <c r="AP96" s="134">
        <f>SUMPRODUCT(-('Gastos Gerais'!$B$4:$B$3143=Analítico!$B96),-(Analítico!AP$3&gt;='Gastos Gerais'!$D$4:$D$3143),-(Analítico!AP$3&lt;='Gastos Gerais'!$E$4:$E$3143),-('Gastos Gerais'!$C$4:$C$3143))</f>
        <v>0</v>
      </c>
      <c r="AQ96" s="134">
        <f>SUMPRODUCT(-('Gastos Gerais'!$B$4:$B$3143=Analítico!$B96),-(Analítico!AQ$3&gt;='Gastos Gerais'!$D$4:$D$3143),-(Analítico!AQ$3&lt;='Gastos Gerais'!$E$4:$E$3143),-('Gastos Gerais'!$C$4:$C$3143))</f>
        <v>0</v>
      </c>
      <c r="AR96" s="134">
        <f>SUMPRODUCT(-('Gastos Gerais'!$B$4:$B$3143=Analítico!$B96),-(Analítico!AR$3&gt;='Gastos Gerais'!$D$4:$D$3143),-(Analítico!AR$3&lt;='Gastos Gerais'!$E$4:$E$3143),-('Gastos Gerais'!$C$4:$C$3143))</f>
        <v>0</v>
      </c>
      <c r="AS96" s="134">
        <f>SUMPRODUCT(-('Gastos Gerais'!$B$4:$B$3143=Analítico!$B96),-(Analítico!AS$3&gt;='Gastos Gerais'!$D$4:$D$3143),-(Analítico!AS$3&lt;='Gastos Gerais'!$E$4:$E$3143),-('Gastos Gerais'!$C$4:$C$3143))</f>
        <v>0</v>
      </c>
      <c r="AT96" s="134">
        <f>SUMPRODUCT(-('Gastos Gerais'!$B$4:$B$3143=Analítico!$B96),-(Analítico!AT$3&gt;='Gastos Gerais'!$D$4:$D$3143),-(Analítico!AT$3&lt;='Gastos Gerais'!$E$4:$E$3143),-('Gastos Gerais'!$C$4:$C$3143))</f>
        <v>0</v>
      </c>
      <c r="AU96" s="134">
        <f>SUMPRODUCT(-('Gastos Gerais'!$B$4:$B$3143=Analítico!$B96),-(Analítico!AU$3&gt;='Gastos Gerais'!$D$4:$D$3143),-(Analítico!AU$3&lt;='Gastos Gerais'!$E$4:$E$3143),-('Gastos Gerais'!$C$4:$C$3143))</f>
        <v>0</v>
      </c>
      <c r="AV96" s="134">
        <f>SUMPRODUCT(-('Gastos Gerais'!$B$4:$B$3143=Analítico!$B96),-(Analítico!AV$3&gt;='Gastos Gerais'!$D$4:$D$3143),-(Analítico!AV$3&lt;='Gastos Gerais'!$E$4:$E$3143),-('Gastos Gerais'!$C$4:$C$3143))</f>
        <v>0</v>
      </c>
      <c r="AW96" s="134">
        <f>SUMPRODUCT(-('Gastos Gerais'!$B$4:$B$3143=Analítico!$B96),-(Analítico!AW$3&gt;='Gastos Gerais'!$D$4:$D$3143),-(Analítico!AW$3&lt;='Gastos Gerais'!$E$4:$E$3143),-('Gastos Gerais'!$C$4:$C$3143))</f>
        <v>0</v>
      </c>
      <c r="AX96" s="134">
        <f>SUMPRODUCT(-('Gastos Gerais'!$B$4:$B$3143=Analítico!$B96),-(Analítico!AX$3&gt;='Gastos Gerais'!$D$4:$D$3143),-(Analítico!AX$3&lt;='Gastos Gerais'!$E$4:$E$3143),-('Gastos Gerais'!$C$4:$C$3143))</f>
        <v>0</v>
      </c>
      <c r="AY96" s="134">
        <f>SUMPRODUCT(-('Gastos Gerais'!$B$4:$B$3143=Analítico!$B96),-(Analítico!AY$3&gt;='Gastos Gerais'!$D$4:$D$3143),-(Analítico!AY$3&lt;='Gastos Gerais'!$E$4:$E$3143),-('Gastos Gerais'!$C$4:$C$3143))</f>
        <v>0</v>
      </c>
      <c r="AZ96" s="134">
        <f>SUMPRODUCT(-('Gastos Gerais'!$B$4:$B$3143=Analítico!$B96),-(Analítico!AZ$3&gt;='Gastos Gerais'!$D$4:$D$3143),-(Analítico!AZ$3&lt;='Gastos Gerais'!$E$4:$E$3143),-('Gastos Gerais'!$C$4:$C$3143))</f>
        <v>0</v>
      </c>
      <c r="BA96" s="134">
        <f>SUMPRODUCT(-('Gastos Gerais'!$B$4:$B$3143=Analítico!$B96),-(Analítico!BA$3&gt;='Gastos Gerais'!$D$4:$D$3143),-(Analítico!BA$3&lt;='Gastos Gerais'!$E$4:$E$3143),-('Gastos Gerais'!$C$4:$C$3143))</f>
        <v>0</v>
      </c>
      <c r="BB96" s="134">
        <f>SUMPRODUCT(-('Gastos Gerais'!$B$4:$B$3143=Analítico!$B96),-(Analítico!BB$3&gt;='Gastos Gerais'!$D$4:$D$3143),-(Analítico!BB$3&lt;='Gastos Gerais'!$E$4:$E$3143),-('Gastos Gerais'!$C$4:$C$3143))</f>
        <v>0</v>
      </c>
      <c r="BC96" s="134">
        <f>SUMPRODUCT(-('Gastos Gerais'!$B$4:$B$3143=Analítico!$B96),-(Analítico!BC$3&gt;='Gastos Gerais'!$D$4:$D$3143),-(Analítico!BC$3&lt;='Gastos Gerais'!$E$4:$E$3143),-('Gastos Gerais'!$C$4:$C$3143))</f>
        <v>0</v>
      </c>
      <c r="BD96" s="134">
        <f>SUMPRODUCT(-('Gastos Gerais'!$B$4:$B$3143=Analítico!$B96),-(Analítico!BD$3&gt;='Gastos Gerais'!$D$4:$D$3143),-(Analítico!BD$3&lt;='Gastos Gerais'!$E$4:$E$3143),-('Gastos Gerais'!$C$4:$C$3143))</f>
        <v>0</v>
      </c>
      <c r="BE96" s="134">
        <f>SUMPRODUCT(-('Gastos Gerais'!$B$4:$B$3143=Analítico!$B96),-(Analítico!BE$3&gt;='Gastos Gerais'!$D$4:$D$3143),-(Analítico!BE$3&lt;='Gastos Gerais'!$E$4:$E$3143),-('Gastos Gerais'!$C$4:$C$3143))</f>
        <v>0</v>
      </c>
      <c r="BF96" s="134">
        <f>SUMPRODUCT(-('Gastos Gerais'!$B$4:$B$3143=Analítico!$B96),-(Analítico!BF$3&gt;='Gastos Gerais'!$D$4:$D$3143),-(Analítico!BF$3&lt;='Gastos Gerais'!$E$4:$E$3143),-('Gastos Gerais'!$C$4:$C$3143))</f>
        <v>0</v>
      </c>
      <c r="BG96" s="134">
        <f>SUMPRODUCT(-('Gastos Gerais'!$B$4:$B$3143=Analítico!$B96),-(Analítico!BG$3&gt;='Gastos Gerais'!$D$4:$D$3143),-(Analítico!BG$3&lt;='Gastos Gerais'!$E$4:$E$3143),-('Gastos Gerais'!$C$4:$C$3143))</f>
        <v>0</v>
      </c>
      <c r="BH96" s="134">
        <f>SUMPRODUCT(-('Gastos Gerais'!$B$4:$B$3143=Analítico!$B96),-(Analítico!BH$3&gt;='Gastos Gerais'!$D$4:$D$3143),-(Analítico!BH$3&lt;='Gastos Gerais'!$E$4:$E$3143),-('Gastos Gerais'!$C$4:$C$3143))</f>
        <v>0</v>
      </c>
      <c r="BI96" s="134">
        <f>SUMPRODUCT(-('Gastos Gerais'!$B$4:$B$3143=Analítico!$B96),-(Analítico!BI$3&gt;='Gastos Gerais'!$D$4:$D$3143),-(Analítico!BI$3&lt;='Gastos Gerais'!$E$4:$E$3143),-('Gastos Gerais'!$C$4:$C$3143))</f>
        <v>0</v>
      </c>
      <c r="BJ96" s="134">
        <f>SUMPRODUCT(-('Gastos Gerais'!$B$4:$B$3143=Analítico!$B96),-(Analítico!BJ$3&gt;='Gastos Gerais'!$D$4:$D$3143),-(Analítico!BJ$3&lt;='Gastos Gerais'!$E$4:$E$3143),-('Gastos Gerais'!$C$4:$C$3143))</f>
        <v>0</v>
      </c>
      <c r="BK96" s="189">
        <f t="shared" si="26"/>
        <v>0</v>
      </c>
      <c r="BL96" s="136">
        <f t="shared" ca="1" si="27"/>
        <v>0</v>
      </c>
    </row>
    <row r="97" spans="1:64" s="160" customFormat="1" ht="23.25" customHeight="1">
      <c r="A97" s="229" t="s">
        <v>271</v>
      </c>
      <c r="B97" s="232" t="s">
        <v>272</v>
      </c>
      <c r="C97" s="188">
        <f>SUMPRODUCT(-('Gastos Gerais'!$B$4:$B$3143=Analítico!$B97),-(Analítico!C$3&gt;='Gastos Gerais'!$D$4:$D$3143),-(Analítico!C$3&lt;='Gastos Gerais'!$E$4:$E$3143),-('Gastos Gerais'!$C$4:$C$3143))</f>
        <v>0</v>
      </c>
      <c r="D97" s="134">
        <f>SUMPRODUCT(-('Gastos Gerais'!$B$4:$B$3143=Analítico!$B97),-(Analítico!D$3&gt;='Gastos Gerais'!$D$4:$D$3143),-(Analítico!D$3&lt;='Gastos Gerais'!$E$4:$E$3143),-('Gastos Gerais'!$C$4:$C$3143))</f>
        <v>0</v>
      </c>
      <c r="E97" s="134">
        <f>SUMPRODUCT(-('Gastos Gerais'!$B$4:$B$3143=Analítico!$B97),-(Analítico!E$3&gt;='Gastos Gerais'!$D$4:$D$3143),-(Analítico!E$3&lt;='Gastos Gerais'!$E$4:$E$3143),-('Gastos Gerais'!$C$4:$C$3143))</f>
        <v>0</v>
      </c>
      <c r="F97" s="134">
        <f>SUMPRODUCT(-('Gastos Gerais'!$B$4:$B$3143=Analítico!$B97),-(Analítico!F$3&gt;='Gastos Gerais'!$D$4:$D$3143),-(Analítico!F$3&lt;='Gastos Gerais'!$E$4:$E$3143),-('Gastos Gerais'!$C$4:$C$3143))</f>
        <v>0</v>
      </c>
      <c r="G97" s="134">
        <f>SUMPRODUCT(-('Gastos Gerais'!$B$4:$B$3143=Analítico!$B97),-(Analítico!G$3&gt;='Gastos Gerais'!$D$4:$D$3143),-(Analítico!G$3&lt;='Gastos Gerais'!$E$4:$E$3143),-('Gastos Gerais'!$C$4:$C$3143))</f>
        <v>0</v>
      </c>
      <c r="H97" s="134">
        <f>SUMPRODUCT(-('Gastos Gerais'!$B$4:$B$3143=Analítico!$B97),-(Analítico!H$3&gt;='Gastos Gerais'!$D$4:$D$3143),-(Analítico!H$3&lt;='Gastos Gerais'!$E$4:$E$3143),-('Gastos Gerais'!$C$4:$C$3143))</f>
        <v>0</v>
      </c>
      <c r="I97" s="134">
        <f>SUMPRODUCT(-('Gastos Gerais'!$B$4:$B$3143=Analítico!$B97),-(Analítico!I$3&gt;='Gastos Gerais'!$D$4:$D$3143),-(Analítico!I$3&lt;='Gastos Gerais'!$E$4:$E$3143),-('Gastos Gerais'!$C$4:$C$3143))</f>
        <v>0</v>
      </c>
      <c r="J97" s="134">
        <f>SUMPRODUCT(-('Gastos Gerais'!$B$4:$B$3143=Analítico!$B97),-(Analítico!J$3&gt;='Gastos Gerais'!$D$4:$D$3143),-(Analítico!J$3&lt;='Gastos Gerais'!$E$4:$E$3143),-('Gastos Gerais'!$C$4:$C$3143))</f>
        <v>0</v>
      </c>
      <c r="K97" s="134">
        <f>SUMPRODUCT(-('Gastos Gerais'!$B$4:$B$3143=Analítico!$B97),-(Analítico!K$3&gt;='Gastos Gerais'!$D$4:$D$3143),-(Analítico!K$3&lt;='Gastos Gerais'!$E$4:$E$3143),-('Gastos Gerais'!$C$4:$C$3143))</f>
        <v>0</v>
      </c>
      <c r="L97" s="134">
        <f>SUMPRODUCT(-('Gastos Gerais'!$B$4:$B$3143=Analítico!$B97),-(Analítico!L$3&gt;='Gastos Gerais'!$D$4:$D$3143),-(Analítico!L$3&lt;='Gastos Gerais'!$E$4:$E$3143),-('Gastos Gerais'!$C$4:$C$3143))</f>
        <v>0</v>
      </c>
      <c r="M97" s="134">
        <f>SUMPRODUCT(-('Gastos Gerais'!$B$4:$B$3143=Analítico!$B97),-(Analítico!M$3&gt;='Gastos Gerais'!$D$4:$D$3143),-(Analítico!M$3&lt;='Gastos Gerais'!$E$4:$E$3143),-('Gastos Gerais'!$C$4:$C$3143))</f>
        <v>0</v>
      </c>
      <c r="N97" s="134">
        <f>SUMPRODUCT(-('Gastos Gerais'!$B$4:$B$3143=Analítico!$B97),-(Analítico!N$3&gt;='Gastos Gerais'!$D$4:$D$3143),-(Analítico!N$3&lt;='Gastos Gerais'!$E$4:$E$3143),-('Gastos Gerais'!$C$4:$C$3143))</f>
        <v>0</v>
      </c>
      <c r="O97" s="134">
        <f>SUMPRODUCT(-('Gastos Gerais'!$B$4:$B$3143=Analítico!$B97),-(Analítico!O$3&gt;='Gastos Gerais'!$D$4:$D$3143),-(Analítico!O$3&lt;='Gastos Gerais'!$E$4:$E$3143),-('Gastos Gerais'!$C$4:$C$3143))</f>
        <v>0</v>
      </c>
      <c r="P97" s="134">
        <f>SUMPRODUCT(-('Gastos Gerais'!$B$4:$B$3143=Analítico!$B97),-(Analítico!P$3&gt;='Gastos Gerais'!$D$4:$D$3143),-(Analítico!P$3&lt;='Gastos Gerais'!$E$4:$E$3143),-('Gastos Gerais'!$C$4:$C$3143))</f>
        <v>0</v>
      </c>
      <c r="Q97" s="134">
        <f>SUMPRODUCT(-('Gastos Gerais'!$B$4:$B$3143=Analítico!$B97),-(Analítico!Q$3&gt;='Gastos Gerais'!$D$4:$D$3143),-(Analítico!Q$3&lt;='Gastos Gerais'!$E$4:$E$3143),-('Gastos Gerais'!$C$4:$C$3143))</f>
        <v>0</v>
      </c>
      <c r="R97" s="134">
        <f>SUMPRODUCT(-('Gastos Gerais'!$B$4:$B$3143=Analítico!$B97),-(Analítico!R$3&gt;='Gastos Gerais'!$D$4:$D$3143),-(Analítico!R$3&lt;='Gastos Gerais'!$E$4:$E$3143),-('Gastos Gerais'!$C$4:$C$3143))</f>
        <v>0</v>
      </c>
      <c r="S97" s="134">
        <f>SUMPRODUCT(-('Gastos Gerais'!$B$4:$B$3143=Analítico!$B97),-(Analítico!S$3&gt;='Gastos Gerais'!$D$4:$D$3143),-(Analítico!S$3&lt;='Gastos Gerais'!$E$4:$E$3143),-('Gastos Gerais'!$C$4:$C$3143))</f>
        <v>0</v>
      </c>
      <c r="T97" s="134">
        <f>SUMPRODUCT(-('Gastos Gerais'!$B$4:$B$3143=Analítico!$B97),-(Analítico!T$3&gt;='Gastos Gerais'!$D$4:$D$3143),-(Analítico!T$3&lt;='Gastos Gerais'!$E$4:$E$3143),-('Gastos Gerais'!$C$4:$C$3143))</f>
        <v>0</v>
      </c>
      <c r="U97" s="134">
        <f>SUMPRODUCT(-('Gastos Gerais'!$B$4:$B$3143=Analítico!$B97),-(Analítico!U$3&gt;='Gastos Gerais'!$D$4:$D$3143),-(Analítico!U$3&lt;='Gastos Gerais'!$E$4:$E$3143),-('Gastos Gerais'!$C$4:$C$3143))</f>
        <v>0</v>
      </c>
      <c r="V97" s="134">
        <f>SUMPRODUCT(-('Gastos Gerais'!$B$4:$B$3143=Analítico!$B97),-(Analítico!V$3&gt;='Gastos Gerais'!$D$4:$D$3143),-(Analítico!V$3&lt;='Gastos Gerais'!$E$4:$E$3143),-('Gastos Gerais'!$C$4:$C$3143))</f>
        <v>0</v>
      </c>
      <c r="W97" s="134">
        <f>SUMPRODUCT(-('Gastos Gerais'!$B$4:$B$3143=Analítico!$B97),-(Analítico!W$3&gt;='Gastos Gerais'!$D$4:$D$3143),-(Analítico!W$3&lt;='Gastos Gerais'!$E$4:$E$3143),-('Gastos Gerais'!$C$4:$C$3143))</f>
        <v>0</v>
      </c>
      <c r="X97" s="134">
        <f>SUMPRODUCT(-('Gastos Gerais'!$B$4:$B$3143=Analítico!$B97),-(Analítico!X$3&gt;='Gastos Gerais'!$D$4:$D$3143),-(Analítico!X$3&lt;='Gastos Gerais'!$E$4:$E$3143),-('Gastos Gerais'!$C$4:$C$3143))</f>
        <v>0</v>
      </c>
      <c r="Y97" s="134">
        <f>SUMPRODUCT(-('Gastos Gerais'!$B$4:$B$3143=Analítico!$B97),-(Analítico!Y$3&gt;='Gastos Gerais'!$D$4:$D$3143),-(Analítico!Y$3&lt;='Gastos Gerais'!$E$4:$E$3143),-('Gastos Gerais'!$C$4:$C$3143))</f>
        <v>0</v>
      </c>
      <c r="Z97" s="134">
        <f>SUMPRODUCT(-('Gastos Gerais'!$B$4:$B$3143=Analítico!$B97),-(Analítico!Z$3&gt;='Gastos Gerais'!$D$4:$D$3143),-(Analítico!Z$3&lt;='Gastos Gerais'!$E$4:$E$3143),-('Gastos Gerais'!$C$4:$C$3143))</f>
        <v>0</v>
      </c>
      <c r="AA97" s="134">
        <f>SUMPRODUCT(-('Gastos Gerais'!$B$4:$B$3143=Analítico!$B97),-(Analítico!AA$3&gt;='Gastos Gerais'!$D$4:$D$3143),-(Analítico!AA$3&lt;='Gastos Gerais'!$E$4:$E$3143),-('Gastos Gerais'!$C$4:$C$3143))</f>
        <v>0</v>
      </c>
      <c r="AB97" s="134">
        <f>SUMPRODUCT(-('Gastos Gerais'!$B$4:$B$3143=Analítico!$B97),-(Analítico!AB$3&gt;='Gastos Gerais'!$D$4:$D$3143),-(Analítico!AB$3&lt;='Gastos Gerais'!$E$4:$E$3143),-('Gastos Gerais'!$C$4:$C$3143))</f>
        <v>0</v>
      </c>
      <c r="AC97" s="134">
        <f>SUMPRODUCT(-('Gastos Gerais'!$B$4:$B$3143=Analítico!$B97),-(Analítico!AC$3&gt;='Gastos Gerais'!$D$4:$D$3143),-(Analítico!AC$3&lt;='Gastos Gerais'!$E$4:$E$3143),-('Gastos Gerais'!$C$4:$C$3143))</f>
        <v>0</v>
      </c>
      <c r="AD97" s="134">
        <f>SUMPRODUCT(-('Gastos Gerais'!$B$4:$B$3143=Analítico!$B97),-(Analítico!AD$3&gt;='Gastos Gerais'!$D$4:$D$3143),-(Analítico!AD$3&lt;='Gastos Gerais'!$E$4:$E$3143),-('Gastos Gerais'!$C$4:$C$3143))</f>
        <v>0</v>
      </c>
      <c r="AE97" s="134">
        <f>SUMPRODUCT(-('Gastos Gerais'!$B$4:$B$3143=Analítico!$B97),-(Analítico!AE$3&gt;='Gastos Gerais'!$D$4:$D$3143),-(Analítico!AE$3&lt;='Gastos Gerais'!$E$4:$E$3143),-('Gastos Gerais'!$C$4:$C$3143))</f>
        <v>0</v>
      </c>
      <c r="AF97" s="134">
        <f>SUMPRODUCT(-('Gastos Gerais'!$B$4:$B$3143=Analítico!$B97),-(Analítico!AF$3&gt;='Gastos Gerais'!$D$4:$D$3143),-(Analítico!AF$3&lt;='Gastos Gerais'!$E$4:$E$3143),-('Gastos Gerais'!$C$4:$C$3143))</f>
        <v>0</v>
      </c>
      <c r="AG97" s="134">
        <f>SUMPRODUCT(-('Gastos Gerais'!$B$4:$B$3143=Analítico!$B97),-(Analítico!AG$3&gt;='Gastos Gerais'!$D$4:$D$3143),-(Analítico!AG$3&lt;='Gastos Gerais'!$E$4:$E$3143),-('Gastos Gerais'!$C$4:$C$3143))</f>
        <v>0</v>
      </c>
      <c r="AH97" s="134">
        <f>SUMPRODUCT(-('Gastos Gerais'!$B$4:$B$3143=Analítico!$B97),-(Analítico!AH$3&gt;='Gastos Gerais'!$D$4:$D$3143),-(Analítico!AH$3&lt;='Gastos Gerais'!$E$4:$E$3143),-('Gastos Gerais'!$C$4:$C$3143))</f>
        <v>0</v>
      </c>
      <c r="AI97" s="134">
        <f>SUMPRODUCT(-('Gastos Gerais'!$B$4:$B$3143=Analítico!$B97),-(Analítico!AI$3&gt;='Gastos Gerais'!$D$4:$D$3143),-(Analítico!AI$3&lt;='Gastos Gerais'!$E$4:$E$3143),-('Gastos Gerais'!$C$4:$C$3143))</f>
        <v>0</v>
      </c>
      <c r="AJ97" s="134">
        <f>SUMPRODUCT(-('Gastos Gerais'!$B$4:$B$3143=Analítico!$B97),-(Analítico!AJ$3&gt;='Gastos Gerais'!$D$4:$D$3143),-(Analítico!AJ$3&lt;='Gastos Gerais'!$E$4:$E$3143),-('Gastos Gerais'!$C$4:$C$3143))</f>
        <v>0</v>
      </c>
      <c r="AK97" s="134">
        <f>SUMPRODUCT(-('Gastos Gerais'!$B$4:$B$3143=Analítico!$B97),-(Analítico!AK$3&gt;='Gastos Gerais'!$D$4:$D$3143),-(Analítico!AK$3&lt;='Gastos Gerais'!$E$4:$E$3143),-('Gastos Gerais'!$C$4:$C$3143))</f>
        <v>0</v>
      </c>
      <c r="AL97" s="134">
        <f>SUMPRODUCT(-('Gastos Gerais'!$B$4:$B$3143=Analítico!$B97),-(Analítico!AL$3&gt;='Gastos Gerais'!$D$4:$D$3143),-(Analítico!AL$3&lt;='Gastos Gerais'!$E$4:$E$3143),-('Gastos Gerais'!$C$4:$C$3143))</f>
        <v>0</v>
      </c>
      <c r="AM97" s="134">
        <f>SUMPRODUCT(-('Gastos Gerais'!$B$4:$B$3143=Analítico!$B97),-(Analítico!AM$3&gt;='Gastos Gerais'!$D$4:$D$3143),-(Analítico!AM$3&lt;='Gastos Gerais'!$E$4:$E$3143),-('Gastos Gerais'!$C$4:$C$3143))</f>
        <v>0</v>
      </c>
      <c r="AN97" s="134">
        <f>SUMPRODUCT(-('Gastos Gerais'!$B$4:$B$3143=Analítico!$B97),-(Analítico!AN$3&gt;='Gastos Gerais'!$D$4:$D$3143),-(Analítico!AN$3&lt;='Gastos Gerais'!$E$4:$E$3143),-('Gastos Gerais'!$C$4:$C$3143))</f>
        <v>0</v>
      </c>
      <c r="AO97" s="134">
        <f>SUMPRODUCT(-('Gastos Gerais'!$B$4:$B$3143=Analítico!$B97),-(Analítico!AO$3&gt;='Gastos Gerais'!$D$4:$D$3143),-(Analítico!AO$3&lt;='Gastos Gerais'!$E$4:$E$3143),-('Gastos Gerais'!$C$4:$C$3143))</f>
        <v>0</v>
      </c>
      <c r="AP97" s="134">
        <f>SUMPRODUCT(-('Gastos Gerais'!$B$4:$B$3143=Analítico!$B97),-(Analítico!AP$3&gt;='Gastos Gerais'!$D$4:$D$3143),-(Analítico!AP$3&lt;='Gastos Gerais'!$E$4:$E$3143),-('Gastos Gerais'!$C$4:$C$3143))</f>
        <v>0</v>
      </c>
      <c r="AQ97" s="134">
        <f>SUMPRODUCT(-('Gastos Gerais'!$B$4:$B$3143=Analítico!$B97),-(Analítico!AQ$3&gt;='Gastos Gerais'!$D$4:$D$3143),-(Analítico!AQ$3&lt;='Gastos Gerais'!$E$4:$E$3143),-('Gastos Gerais'!$C$4:$C$3143))</f>
        <v>0</v>
      </c>
      <c r="AR97" s="134">
        <f>SUMPRODUCT(-('Gastos Gerais'!$B$4:$B$3143=Analítico!$B97),-(Analítico!AR$3&gt;='Gastos Gerais'!$D$4:$D$3143),-(Analítico!AR$3&lt;='Gastos Gerais'!$E$4:$E$3143),-('Gastos Gerais'!$C$4:$C$3143))</f>
        <v>0</v>
      </c>
      <c r="AS97" s="134">
        <f>SUMPRODUCT(-('Gastos Gerais'!$B$4:$B$3143=Analítico!$B97),-(Analítico!AS$3&gt;='Gastos Gerais'!$D$4:$D$3143),-(Analítico!AS$3&lt;='Gastos Gerais'!$E$4:$E$3143),-('Gastos Gerais'!$C$4:$C$3143))</f>
        <v>0</v>
      </c>
      <c r="AT97" s="134">
        <f>SUMPRODUCT(-('Gastos Gerais'!$B$4:$B$3143=Analítico!$B97),-(Analítico!AT$3&gt;='Gastos Gerais'!$D$4:$D$3143),-(Analítico!AT$3&lt;='Gastos Gerais'!$E$4:$E$3143),-('Gastos Gerais'!$C$4:$C$3143))</f>
        <v>0</v>
      </c>
      <c r="AU97" s="134">
        <f>SUMPRODUCT(-('Gastos Gerais'!$B$4:$B$3143=Analítico!$B97),-(Analítico!AU$3&gt;='Gastos Gerais'!$D$4:$D$3143),-(Analítico!AU$3&lt;='Gastos Gerais'!$E$4:$E$3143),-('Gastos Gerais'!$C$4:$C$3143))</f>
        <v>0</v>
      </c>
      <c r="AV97" s="134">
        <f>SUMPRODUCT(-('Gastos Gerais'!$B$4:$B$3143=Analítico!$B97),-(Analítico!AV$3&gt;='Gastos Gerais'!$D$4:$D$3143),-(Analítico!AV$3&lt;='Gastos Gerais'!$E$4:$E$3143),-('Gastos Gerais'!$C$4:$C$3143))</f>
        <v>0</v>
      </c>
      <c r="AW97" s="134">
        <f>SUMPRODUCT(-('Gastos Gerais'!$B$4:$B$3143=Analítico!$B97),-(Analítico!AW$3&gt;='Gastos Gerais'!$D$4:$D$3143),-(Analítico!AW$3&lt;='Gastos Gerais'!$E$4:$E$3143),-('Gastos Gerais'!$C$4:$C$3143))</f>
        <v>0</v>
      </c>
      <c r="AX97" s="134">
        <f>SUMPRODUCT(-('Gastos Gerais'!$B$4:$B$3143=Analítico!$B97),-(Analítico!AX$3&gt;='Gastos Gerais'!$D$4:$D$3143),-(Analítico!AX$3&lt;='Gastos Gerais'!$E$4:$E$3143),-('Gastos Gerais'!$C$4:$C$3143))</f>
        <v>0</v>
      </c>
      <c r="AY97" s="134">
        <f>SUMPRODUCT(-('Gastos Gerais'!$B$4:$B$3143=Analítico!$B97),-(Analítico!AY$3&gt;='Gastos Gerais'!$D$4:$D$3143),-(Analítico!AY$3&lt;='Gastos Gerais'!$E$4:$E$3143),-('Gastos Gerais'!$C$4:$C$3143))</f>
        <v>0</v>
      </c>
      <c r="AZ97" s="134">
        <f>SUMPRODUCT(-('Gastos Gerais'!$B$4:$B$3143=Analítico!$B97),-(Analítico!AZ$3&gt;='Gastos Gerais'!$D$4:$D$3143),-(Analítico!AZ$3&lt;='Gastos Gerais'!$E$4:$E$3143),-('Gastos Gerais'!$C$4:$C$3143))</f>
        <v>0</v>
      </c>
      <c r="BA97" s="134">
        <f>SUMPRODUCT(-('Gastos Gerais'!$B$4:$B$3143=Analítico!$B97),-(Analítico!BA$3&gt;='Gastos Gerais'!$D$4:$D$3143),-(Analítico!BA$3&lt;='Gastos Gerais'!$E$4:$E$3143),-('Gastos Gerais'!$C$4:$C$3143))</f>
        <v>0</v>
      </c>
      <c r="BB97" s="134">
        <f>SUMPRODUCT(-('Gastos Gerais'!$B$4:$B$3143=Analítico!$B97),-(Analítico!BB$3&gt;='Gastos Gerais'!$D$4:$D$3143),-(Analítico!BB$3&lt;='Gastos Gerais'!$E$4:$E$3143),-('Gastos Gerais'!$C$4:$C$3143))</f>
        <v>0</v>
      </c>
      <c r="BC97" s="134">
        <f>SUMPRODUCT(-('Gastos Gerais'!$B$4:$B$3143=Analítico!$B97),-(Analítico!BC$3&gt;='Gastos Gerais'!$D$4:$D$3143),-(Analítico!BC$3&lt;='Gastos Gerais'!$E$4:$E$3143),-('Gastos Gerais'!$C$4:$C$3143))</f>
        <v>0</v>
      </c>
      <c r="BD97" s="134">
        <f>SUMPRODUCT(-('Gastos Gerais'!$B$4:$B$3143=Analítico!$B97),-(Analítico!BD$3&gt;='Gastos Gerais'!$D$4:$D$3143),-(Analítico!BD$3&lt;='Gastos Gerais'!$E$4:$E$3143),-('Gastos Gerais'!$C$4:$C$3143))</f>
        <v>0</v>
      </c>
      <c r="BE97" s="134">
        <f>SUMPRODUCT(-('Gastos Gerais'!$B$4:$B$3143=Analítico!$B97),-(Analítico!BE$3&gt;='Gastos Gerais'!$D$4:$D$3143),-(Analítico!BE$3&lt;='Gastos Gerais'!$E$4:$E$3143),-('Gastos Gerais'!$C$4:$C$3143))</f>
        <v>0</v>
      </c>
      <c r="BF97" s="134">
        <f>SUMPRODUCT(-('Gastos Gerais'!$B$4:$B$3143=Analítico!$B97),-(Analítico!BF$3&gt;='Gastos Gerais'!$D$4:$D$3143),-(Analítico!BF$3&lt;='Gastos Gerais'!$E$4:$E$3143),-('Gastos Gerais'!$C$4:$C$3143))</f>
        <v>0</v>
      </c>
      <c r="BG97" s="134">
        <f>SUMPRODUCT(-('Gastos Gerais'!$B$4:$B$3143=Analítico!$B97),-(Analítico!BG$3&gt;='Gastos Gerais'!$D$4:$D$3143),-(Analítico!BG$3&lt;='Gastos Gerais'!$E$4:$E$3143),-('Gastos Gerais'!$C$4:$C$3143))</f>
        <v>0</v>
      </c>
      <c r="BH97" s="134">
        <f>SUMPRODUCT(-('Gastos Gerais'!$B$4:$B$3143=Analítico!$B97),-(Analítico!BH$3&gt;='Gastos Gerais'!$D$4:$D$3143),-(Analítico!BH$3&lt;='Gastos Gerais'!$E$4:$E$3143),-('Gastos Gerais'!$C$4:$C$3143))</f>
        <v>0</v>
      </c>
      <c r="BI97" s="134">
        <f>SUMPRODUCT(-('Gastos Gerais'!$B$4:$B$3143=Analítico!$B97),-(Analítico!BI$3&gt;='Gastos Gerais'!$D$4:$D$3143),-(Analítico!BI$3&lt;='Gastos Gerais'!$E$4:$E$3143),-('Gastos Gerais'!$C$4:$C$3143))</f>
        <v>0</v>
      </c>
      <c r="BJ97" s="134">
        <f>SUMPRODUCT(-('Gastos Gerais'!$B$4:$B$3143=Analítico!$B97),-(Analítico!BJ$3&gt;='Gastos Gerais'!$D$4:$D$3143),-(Analítico!BJ$3&lt;='Gastos Gerais'!$E$4:$E$3143),-('Gastos Gerais'!$C$4:$C$3143))</f>
        <v>0</v>
      </c>
      <c r="BK97" s="189">
        <f t="shared" si="26"/>
        <v>0</v>
      </c>
      <c r="BL97" s="136">
        <f t="shared" ca="1" si="27"/>
        <v>0</v>
      </c>
    </row>
    <row r="98" spans="1:64" s="160" customFormat="1" ht="23.25" customHeight="1">
      <c r="A98" s="229" t="s">
        <v>273</v>
      </c>
      <c r="B98" s="232" t="s">
        <v>274</v>
      </c>
      <c r="C98" s="188">
        <f>SUMPRODUCT(-('Gastos Gerais'!$B$4:$B$3143=Analítico!$B98),-(Analítico!C$3&gt;='Gastos Gerais'!$D$4:$D$3143),-(Analítico!C$3&lt;='Gastos Gerais'!$E$4:$E$3143),-('Gastos Gerais'!$C$4:$C$3143))</f>
        <v>15950</v>
      </c>
      <c r="D98" s="134">
        <f>SUMPRODUCT(-('Gastos Gerais'!$B$4:$B$3143=Analítico!$B98),-(Analítico!D$3&gt;='Gastos Gerais'!$D$4:$D$3143),-(Analítico!D$3&lt;='Gastos Gerais'!$E$4:$E$3143),-('Gastos Gerais'!$C$4:$C$3143))</f>
        <v>15950</v>
      </c>
      <c r="E98" s="134">
        <f>SUMPRODUCT(-('Gastos Gerais'!$B$4:$B$3143=Analítico!$B98),-(Analítico!E$3&gt;='Gastos Gerais'!$D$4:$D$3143),-(Analítico!E$3&lt;='Gastos Gerais'!$E$4:$E$3143),-('Gastos Gerais'!$C$4:$C$3143))</f>
        <v>16800</v>
      </c>
      <c r="F98" s="134">
        <f>SUMPRODUCT(-('Gastos Gerais'!$B$4:$B$3143=Analítico!$B98),-(Analítico!F$3&gt;='Gastos Gerais'!$D$4:$D$3143),-(Analítico!F$3&lt;='Gastos Gerais'!$E$4:$E$3143),-('Gastos Gerais'!$C$4:$C$3143))</f>
        <v>17650</v>
      </c>
      <c r="G98" s="134">
        <f>SUMPRODUCT(-('Gastos Gerais'!$B$4:$B$3143=Analítico!$B98),-(Analítico!G$3&gt;='Gastos Gerais'!$D$4:$D$3143),-(Analítico!G$3&lt;='Gastos Gerais'!$E$4:$E$3143),-('Gastos Gerais'!$C$4:$C$3143))</f>
        <v>17650</v>
      </c>
      <c r="H98" s="134">
        <f>SUMPRODUCT(-('Gastos Gerais'!$B$4:$B$3143=Analítico!$B98),-(Analítico!H$3&gt;='Gastos Gerais'!$D$4:$D$3143),-(Analítico!H$3&lt;='Gastos Gerais'!$E$4:$E$3143),-('Gastos Gerais'!$C$4:$C$3143))</f>
        <v>17650</v>
      </c>
      <c r="I98" s="134">
        <f>SUMPRODUCT(-('Gastos Gerais'!$B$4:$B$3143=Analítico!$B98),-(Analítico!I$3&gt;='Gastos Gerais'!$D$4:$D$3143),-(Analítico!I$3&lt;='Gastos Gerais'!$E$4:$E$3143),-('Gastos Gerais'!$C$4:$C$3143))</f>
        <v>18500</v>
      </c>
      <c r="J98" s="134">
        <f>SUMPRODUCT(-('Gastos Gerais'!$B$4:$B$3143=Analítico!$B98),-(Analítico!J$3&gt;='Gastos Gerais'!$D$4:$D$3143),-(Analítico!J$3&lt;='Gastos Gerais'!$E$4:$E$3143),-('Gastos Gerais'!$C$4:$C$3143))</f>
        <v>18500</v>
      </c>
      <c r="K98" s="134">
        <f>SUMPRODUCT(-('Gastos Gerais'!$B$4:$B$3143=Analítico!$B98),-(Analítico!K$3&gt;='Gastos Gerais'!$D$4:$D$3143),-(Analítico!K$3&lt;='Gastos Gerais'!$E$4:$E$3143),-('Gastos Gerais'!$C$4:$C$3143))</f>
        <v>18500</v>
      </c>
      <c r="L98" s="134">
        <f>SUMPRODUCT(-('Gastos Gerais'!$B$4:$B$3143=Analítico!$B98),-(Analítico!L$3&gt;='Gastos Gerais'!$D$4:$D$3143),-(Analítico!L$3&lt;='Gastos Gerais'!$E$4:$E$3143),-('Gastos Gerais'!$C$4:$C$3143))</f>
        <v>19350</v>
      </c>
      <c r="M98" s="134">
        <f>SUMPRODUCT(-('Gastos Gerais'!$B$4:$B$3143=Analítico!$B98),-(Analítico!M$3&gt;='Gastos Gerais'!$D$4:$D$3143),-(Analítico!M$3&lt;='Gastos Gerais'!$E$4:$E$3143),-('Gastos Gerais'!$C$4:$C$3143))</f>
        <v>19350</v>
      </c>
      <c r="N98" s="134">
        <f>SUMPRODUCT(-('Gastos Gerais'!$B$4:$B$3143=Analítico!$B98),-(Analítico!N$3&gt;='Gastos Gerais'!$D$4:$D$3143),-(Analítico!N$3&lt;='Gastos Gerais'!$E$4:$E$3143),-('Gastos Gerais'!$C$4:$C$3143))</f>
        <v>19350</v>
      </c>
      <c r="O98" s="134">
        <f>SUMPRODUCT(-('Gastos Gerais'!$B$4:$B$3143=Analítico!$B98),-(Analítico!O$3&gt;='Gastos Gerais'!$D$4:$D$3143),-(Analítico!O$3&lt;='Gastos Gerais'!$E$4:$E$3143),-('Gastos Gerais'!$C$4:$C$3143))</f>
        <v>19350</v>
      </c>
      <c r="P98" s="134">
        <f>SUMPRODUCT(-('Gastos Gerais'!$B$4:$B$3143=Analítico!$B98),-(Analítico!P$3&gt;='Gastos Gerais'!$D$4:$D$3143),-(Analítico!P$3&lt;='Gastos Gerais'!$E$4:$E$3143),-('Gastos Gerais'!$C$4:$C$3143))</f>
        <v>19350</v>
      </c>
      <c r="Q98" s="134">
        <f>SUMPRODUCT(-('Gastos Gerais'!$B$4:$B$3143=Analítico!$B98),-(Analítico!Q$3&gt;='Gastos Gerais'!$D$4:$D$3143),-(Analítico!Q$3&lt;='Gastos Gerais'!$E$4:$E$3143),-('Gastos Gerais'!$C$4:$C$3143))</f>
        <v>19350</v>
      </c>
      <c r="R98" s="134">
        <f>SUMPRODUCT(-('Gastos Gerais'!$B$4:$B$3143=Analítico!$B98),-(Analítico!R$3&gt;='Gastos Gerais'!$D$4:$D$3143),-(Analítico!R$3&lt;='Gastos Gerais'!$E$4:$E$3143),-('Gastos Gerais'!$C$4:$C$3143))</f>
        <v>19350</v>
      </c>
      <c r="S98" s="134">
        <f>SUMPRODUCT(-('Gastos Gerais'!$B$4:$B$3143=Analítico!$B98),-(Analítico!S$3&gt;='Gastos Gerais'!$D$4:$D$3143),-(Analítico!S$3&lt;='Gastos Gerais'!$E$4:$E$3143),-('Gastos Gerais'!$C$4:$C$3143))</f>
        <v>19350</v>
      </c>
      <c r="T98" s="134">
        <f>SUMPRODUCT(-('Gastos Gerais'!$B$4:$B$3143=Analítico!$B98),-(Analítico!T$3&gt;='Gastos Gerais'!$D$4:$D$3143),-(Analítico!T$3&lt;='Gastos Gerais'!$E$4:$E$3143),-('Gastos Gerais'!$C$4:$C$3143))</f>
        <v>19350</v>
      </c>
      <c r="U98" s="134">
        <f>SUMPRODUCT(-('Gastos Gerais'!$B$4:$B$3143=Analítico!$B98),-(Analítico!U$3&gt;='Gastos Gerais'!$D$4:$D$3143),-(Analítico!U$3&lt;='Gastos Gerais'!$E$4:$E$3143),-('Gastos Gerais'!$C$4:$C$3143))</f>
        <v>19350</v>
      </c>
      <c r="V98" s="134">
        <f>SUMPRODUCT(-('Gastos Gerais'!$B$4:$B$3143=Analítico!$B98),-(Analítico!V$3&gt;='Gastos Gerais'!$D$4:$D$3143),-(Analítico!V$3&lt;='Gastos Gerais'!$E$4:$E$3143),-('Gastos Gerais'!$C$4:$C$3143))</f>
        <v>19350</v>
      </c>
      <c r="W98" s="134">
        <f>SUMPRODUCT(-('Gastos Gerais'!$B$4:$B$3143=Analítico!$B98),-(Analítico!W$3&gt;='Gastos Gerais'!$D$4:$D$3143),-(Analítico!W$3&lt;='Gastos Gerais'!$E$4:$E$3143),-('Gastos Gerais'!$C$4:$C$3143))</f>
        <v>19350</v>
      </c>
      <c r="X98" s="134">
        <f>SUMPRODUCT(-('Gastos Gerais'!$B$4:$B$3143=Analítico!$B98),-(Analítico!X$3&gt;='Gastos Gerais'!$D$4:$D$3143),-(Analítico!X$3&lt;='Gastos Gerais'!$E$4:$E$3143),-('Gastos Gerais'!$C$4:$C$3143))</f>
        <v>19350</v>
      </c>
      <c r="Y98" s="134">
        <f>SUMPRODUCT(-('Gastos Gerais'!$B$4:$B$3143=Analítico!$B98),-(Analítico!Y$3&gt;='Gastos Gerais'!$D$4:$D$3143),-(Analítico!Y$3&lt;='Gastos Gerais'!$E$4:$E$3143),-('Gastos Gerais'!$C$4:$C$3143))</f>
        <v>19350</v>
      </c>
      <c r="Z98" s="134">
        <f>SUMPRODUCT(-('Gastos Gerais'!$B$4:$B$3143=Analítico!$B98),-(Analítico!Z$3&gt;='Gastos Gerais'!$D$4:$D$3143),-(Analítico!Z$3&lt;='Gastos Gerais'!$E$4:$E$3143),-('Gastos Gerais'!$C$4:$C$3143))</f>
        <v>19350</v>
      </c>
      <c r="AA98" s="134">
        <f>SUMPRODUCT(-('Gastos Gerais'!$B$4:$B$3143=Analítico!$B98),-(Analítico!AA$3&gt;='Gastos Gerais'!$D$4:$D$3143),-(Analítico!AA$3&lt;='Gastos Gerais'!$E$4:$E$3143),-('Gastos Gerais'!$C$4:$C$3143))</f>
        <v>19350</v>
      </c>
      <c r="AB98" s="134">
        <f>SUMPRODUCT(-('Gastos Gerais'!$B$4:$B$3143=Analítico!$B98),-(Analítico!AB$3&gt;='Gastos Gerais'!$D$4:$D$3143),-(Analítico!AB$3&lt;='Gastos Gerais'!$E$4:$E$3143),-('Gastos Gerais'!$C$4:$C$3143))</f>
        <v>19350</v>
      </c>
      <c r="AC98" s="134">
        <f>SUMPRODUCT(-('Gastos Gerais'!$B$4:$B$3143=Analítico!$B98),-(Analítico!AC$3&gt;='Gastos Gerais'!$D$4:$D$3143),-(Analítico!AC$3&lt;='Gastos Gerais'!$E$4:$E$3143),-('Gastos Gerais'!$C$4:$C$3143))</f>
        <v>19350</v>
      </c>
      <c r="AD98" s="134">
        <f>SUMPRODUCT(-('Gastos Gerais'!$B$4:$B$3143=Analítico!$B98),-(Analítico!AD$3&gt;='Gastos Gerais'!$D$4:$D$3143),-(Analítico!AD$3&lt;='Gastos Gerais'!$E$4:$E$3143),-('Gastos Gerais'!$C$4:$C$3143))</f>
        <v>19350</v>
      </c>
      <c r="AE98" s="134">
        <f>SUMPRODUCT(-('Gastos Gerais'!$B$4:$B$3143=Analítico!$B98),-(Analítico!AE$3&gt;='Gastos Gerais'!$D$4:$D$3143),-(Analítico!AE$3&lt;='Gastos Gerais'!$E$4:$E$3143),-('Gastos Gerais'!$C$4:$C$3143))</f>
        <v>19350</v>
      </c>
      <c r="AF98" s="134">
        <f>SUMPRODUCT(-('Gastos Gerais'!$B$4:$B$3143=Analítico!$B98),-(Analítico!AF$3&gt;='Gastos Gerais'!$D$4:$D$3143),-(Analítico!AF$3&lt;='Gastos Gerais'!$E$4:$E$3143),-('Gastos Gerais'!$C$4:$C$3143))</f>
        <v>19350</v>
      </c>
      <c r="AG98" s="134">
        <f>SUMPRODUCT(-('Gastos Gerais'!$B$4:$B$3143=Analítico!$B98),-(Analítico!AG$3&gt;='Gastos Gerais'!$D$4:$D$3143),-(Analítico!AG$3&lt;='Gastos Gerais'!$E$4:$E$3143),-('Gastos Gerais'!$C$4:$C$3143))</f>
        <v>19350</v>
      </c>
      <c r="AH98" s="134">
        <f>SUMPRODUCT(-('Gastos Gerais'!$B$4:$B$3143=Analítico!$B98),-(Analítico!AH$3&gt;='Gastos Gerais'!$D$4:$D$3143),-(Analítico!AH$3&lt;='Gastos Gerais'!$E$4:$E$3143),-('Gastos Gerais'!$C$4:$C$3143))</f>
        <v>19350</v>
      </c>
      <c r="AI98" s="134">
        <f>SUMPRODUCT(-('Gastos Gerais'!$B$4:$B$3143=Analítico!$B98),-(Analítico!AI$3&gt;='Gastos Gerais'!$D$4:$D$3143),-(Analítico!AI$3&lt;='Gastos Gerais'!$E$4:$E$3143),-('Gastos Gerais'!$C$4:$C$3143))</f>
        <v>19350</v>
      </c>
      <c r="AJ98" s="134">
        <f>SUMPRODUCT(-('Gastos Gerais'!$B$4:$B$3143=Analítico!$B98),-(Analítico!AJ$3&gt;='Gastos Gerais'!$D$4:$D$3143),-(Analítico!AJ$3&lt;='Gastos Gerais'!$E$4:$E$3143),-('Gastos Gerais'!$C$4:$C$3143))</f>
        <v>19350</v>
      </c>
      <c r="AK98" s="134">
        <f>SUMPRODUCT(-('Gastos Gerais'!$B$4:$B$3143=Analítico!$B98),-(Analítico!AK$3&gt;='Gastos Gerais'!$D$4:$D$3143),-(Analítico!AK$3&lt;='Gastos Gerais'!$E$4:$E$3143),-('Gastos Gerais'!$C$4:$C$3143))</f>
        <v>19350</v>
      </c>
      <c r="AL98" s="134">
        <f>SUMPRODUCT(-('Gastos Gerais'!$B$4:$B$3143=Analítico!$B98),-(Analítico!AL$3&gt;='Gastos Gerais'!$D$4:$D$3143),-(Analítico!AL$3&lt;='Gastos Gerais'!$E$4:$E$3143),-('Gastos Gerais'!$C$4:$C$3143))</f>
        <v>19350</v>
      </c>
      <c r="AM98" s="134">
        <f>SUMPRODUCT(-('Gastos Gerais'!$B$4:$B$3143=Analítico!$B98),-(Analítico!AM$3&gt;='Gastos Gerais'!$D$4:$D$3143),-(Analítico!AM$3&lt;='Gastos Gerais'!$E$4:$E$3143),-('Gastos Gerais'!$C$4:$C$3143))</f>
        <v>10200</v>
      </c>
      <c r="AN98" s="134">
        <f>SUMPRODUCT(-('Gastos Gerais'!$B$4:$B$3143=Analítico!$B98),-(Analítico!AN$3&gt;='Gastos Gerais'!$D$4:$D$3143),-(Analítico!AN$3&lt;='Gastos Gerais'!$E$4:$E$3143),-('Gastos Gerais'!$C$4:$C$3143))</f>
        <v>10200</v>
      </c>
      <c r="AO98" s="134">
        <f>SUMPRODUCT(-('Gastos Gerais'!$B$4:$B$3143=Analítico!$B98),-(Analítico!AO$3&gt;='Gastos Gerais'!$D$4:$D$3143),-(Analítico!AO$3&lt;='Gastos Gerais'!$E$4:$E$3143),-('Gastos Gerais'!$C$4:$C$3143))</f>
        <v>10200</v>
      </c>
      <c r="AP98" s="134">
        <f>SUMPRODUCT(-('Gastos Gerais'!$B$4:$B$3143=Analítico!$B98),-(Analítico!AP$3&gt;='Gastos Gerais'!$D$4:$D$3143),-(Analítico!AP$3&lt;='Gastos Gerais'!$E$4:$E$3143),-('Gastos Gerais'!$C$4:$C$3143))</f>
        <v>10200</v>
      </c>
      <c r="AQ98" s="134">
        <f>SUMPRODUCT(-('Gastos Gerais'!$B$4:$B$3143=Analítico!$B98),-(Analítico!AQ$3&gt;='Gastos Gerais'!$D$4:$D$3143),-(Analítico!AQ$3&lt;='Gastos Gerais'!$E$4:$E$3143),-('Gastos Gerais'!$C$4:$C$3143))</f>
        <v>10200</v>
      </c>
      <c r="AR98" s="134">
        <f>SUMPRODUCT(-('Gastos Gerais'!$B$4:$B$3143=Analítico!$B98),-(Analítico!AR$3&gt;='Gastos Gerais'!$D$4:$D$3143),-(Analítico!AR$3&lt;='Gastos Gerais'!$E$4:$E$3143),-('Gastos Gerais'!$C$4:$C$3143))</f>
        <v>10200</v>
      </c>
      <c r="AS98" s="134">
        <f>SUMPRODUCT(-('Gastos Gerais'!$B$4:$B$3143=Analítico!$B98),-(Analítico!AS$3&gt;='Gastos Gerais'!$D$4:$D$3143),-(Analítico!AS$3&lt;='Gastos Gerais'!$E$4:$E$3143),-('Gastos Gerais'!$C$4:$C$3143))</f>
        <v>10200</v>
      </c>
      <c r="AT98" s="134">
        <f>SUMPRODUCT(-('Gastos Gerais'!$B$4:$B$3143=Analítico!$B98),-(Analítico!AT$3&gt;='Gastos Gerais'!$D$4:$D$3143),-(Analítico!AT$3&lt;='Gastos Gerais'!$E$4:$E$3143),-('Gastos Gerais'!$C$4:$C$3143))</f>
        <v>10200</v>
      </c>
      <c r="AU98" s="134">
        <f>SUMPRODUCT(-('Gastos Gerais'!$B$4:$B$3143=Analítico!$B98),-(Analítico!AU$3&gt;='Gastos Gerais'!$D$4:$D$3143),-(Analítico!AU$3&lt;='Gastos Gerais'!$E$4:$E$3143),-('Gastos Gerais'!$C$4:$C$3143))</f>
        <v>10200</v>
      </c>
      <c r="AV98" s="134">
        <f>SUMPRODUCT(-('Gastos Gerais'!$B$4:$B$3143=Analítico!$B98),-(Analítico!AV$3&gt;='Gastos Gerais'!$D$4:$D$3143),-(Analítico!AV$3&lt;='Gastos Gerais'!$E$4:$E$3143),-('Gastos Gerais'!$C$4:$C$3143))</f>
        <v>10200</v>
      </c>
      <c r="AW98" s="134">
        <f>SUMPRODUCT(-('Gastos Gerais'!$B$4:$B$3143=Analítico!$B98),-(Analítico!AW$3&gt;='Gastos Gerais'!$D$4:$D$3143),-(Analítico!AW$3&lt;='Gastos Gerais'!$E$4:$E$3143),-('Gastos Gerais'!$C$4:$C$3143))</f>
        <v>10200</v>
      </c>
      <c r="AX98" s="134">
        <f>SUMPRODUCT(-('Gastos Gerais'!$B$4:$B$3143=Analítico!$B98),-(Analítico!AX$3&gt;='Gastos Gerais'!$D$4:$D$3143),-(Analítico!AX$3&lt;='Gastos Gerais'!$E$4:$E$3143),-('Gastos Gerais'!$C$4:$C$3143))</f>
        <v>0</v>
      </c>
      <c r="AY98" s="134">
        <f>SUMPRODUCT(-('Gastos Gerais'!$B$4:$B$3143=Analítico!$B98),-(Analítico!AY$3&gt;='Gastos Gerais'!$D$4:$D$3143),-(Analítico!AY$3&lt;='Gastos Gerais'!$E$4:$E$3143),-('Gastos Gerais'!$C$4:$C$3143))</f>
        <v>0</v>
      </c>
      <c r="AZ98" s="134">
        <f>SUMPRODUCT(-('Gastos Gerais'!$B$4:$B$3143=Analítico!$B98),-(Analítico!AZ$3&gt;='Gastos Gerais'!$D$4:$D$3143),-(Analítico!AZ$3&lt;='Gastos Gerais'!$E$4:$E$3143),-('Gastos Gerais'!$C$4:$C$3143))</f>
        <v>0</v>
      </c>
      <c r="BA98" s="134">
        <f>SUMPRODUCT(-('Gastos Gerais'!$B$4:$B$3143=Analítico!$B98),-(Analítico!BA$3&gt;='Gastos Gerais'!$D$4:$D$3143),-(Analítico!BA$3&lt;='Gastos Gerais'!$E$4:$E$3143),-('Gastos Gerais'!$C$4:$C$3143))</f>
        <v>0</v>
      </c>
      <c r="BB98" s="134">
        <f>SUMPRODUCT(-('Gastos Gerais'!$B$4:$B$3143=Analítico!$B98),-(Analítico!BB$3&gt;='Gastos Gerais'!$D$4:$D$3143),-(Analítico!BB$3&lt;='Gastos Gerais'!$E$4:$E$3143),-('Gastos Gerais'!$C$4:$C$3143))</f>
        <v>0</v>
      </c>
      <c r="BC98" s="134">
        <f>SUMPRODUCT(-('Gastos Gerais'!$B$4:$B$3143=Analítico!$B98),-(Analítico!BC$3&gt;='Gastos Gerais'!$D$4:$D$3143),-(Analítico!BC$3&lt;='Gastos Gerais'!$E$4:$E$3143),-('Gastos Gerais'!$C$4:$C$3143))</f>
        <v>0</v>
      </c>
      <c r="BD98" s="134">
        <f>SUMPRODUCT(-('Gastos Gerais'!$B$4:$B$3143=Analítico!$B98),-(Analítico!BD$3&gt;='Gastos Gerais'!$D$4:$D$3143),-(Analítico!BD$3&lt;='Gastos Gerais'!$E$4:$E$3143),-('Gastos Gerais'!$C$4:$C$3143))</f>
        <v>0</v>
      </c>
      <c r="BE98" s="134">
        <f>SUMPRODUCT(-('Gastos Gerais'!$B$4:$B$3143=Analítico!$B98),-(Analítico!BE$3&gt;='Gastos Gerais'!$D$4:$D$3143),-(Analítico!BE$3&lt;='Gastos Gerais'!$E$4:$E$3143),-('Gastos Gerais'!$C$4:$C$3143))</f>
        <v>0</v>
      </c>
      <c r="BF98" s="134">
        <f>SUMPRODUCT(-('Gastos Gerais'!$B$4:$B$3143=Analítico!$B98),-(Analítico!BF$3&gt;='Gastos Gerais'!$D$4:$D$3143),-(Analítico!BF$3&lt;='Gastos Gerais'!$E$4:$E$3143),-('Gastos Gerais'!$C$4:$C$3143))</f>
        <v>0</v>
      </c>
      <c r="BG98" s="134">
        <f>SUMPRODUCT(-('Gastos Gerais'!$B$4:$B$3143=Analítico!$B98),-(Analítico!BG$3&gt;='Gastos Gerais'!$D$4:$D$3143),-(Analítico!BG$3&lt;='Gastos Gerais'!$E$4:$E$3143),-('Gastos Gerais'!$C$4:$C$3143))</f>
        <v>0</v>
      </c>
      <c r="BH98" s="134">
        <f>SUMPRODUCT(-('Gastos Gerais'!$B$4:$B$3143=Analítico!$B98),-(Analítico!BH$3&gt;='Gastos Gerais'!$D$4:$D$3143),-(Analítico!BH$3&lt;='Gastos Gerais'!$E$4:$E$3143),-('Gastos Gerais'!$C$4:$C$3143))</f>
        <v>0</v>
      </c>
      <c r="BI98" s="134">
        <f>SUMPRODUCT(-('Gastos Gerais'!$B$4:$B$3143=Analítico!$B98),-(Analítico!BI$3&gt;='Gastos Gerais'!$D$4:$D$3143),-(Analítico!BI$3&lt;='Gastos Gerais'!$E$4:$E$3143),-('Gastos Gerais'!$C$4:$C$3143))</f>
        <v>0</v>
      </c>
      <c r="BJ98" s="134">
        <f>SUMPRODUCT(-('Gastos Gerais'!$B$4:$B$3143=Analítico!$B98),-(Analítico!BJ$3&gt;='Gastos Gerais'!$D$4:$D$3143),-(Analítico!BJ$3&lt;='Gastos Gerais'!$E$4:$E$3143),-('Gastos Gerais'!$C$4:$C$3143))</f>
        <v>0</v>
      </c>
      <c r="BK98" s="189">
        <f t="shared" si="26"/>
        <v>791800</v>
      </c>
      <c r="BL98" s="136">
        <f t="shared" ca="1" si="27"/>
        <v>2.7261659029737934E-3</v>
      </c>
    </row>
    <row r="99" spans="1:64" s="160" customFormat="1" ht="23.25" customHeight="1">
      <c r="A99" s="229" t="s">
        <v>275</v>
      </c>
      <c r="B99" s="232" t="s">
        <v>276</v>
      </c>
      <c r="C99" s="188">
        <f>SUMPRODUCT(-('Gastos Gerais'!$B$4:$B$3143=Analítico!$B99),-(Analítico!C$3&gt;='Gastos Gerais'!$D$4:$D$3143),-(Analítico!C$3&lt;='Gastos Gerais'!$E$4:$E$3143),-('Gastos Gerais'!$C$4:$C$3143))</f>
        <v>9200</v>
      </c>
      <c r="D99" s="134">
        <f>SUMPRODUCT(-('Gastos Gerais'!$B$4:$B$3143=Analítico!$B99),-(Analítico!D$3&gt;='Gastos Gerais'!$D$4:$D$3143),-(Analítico!D$3&lt;='Gastos Gerais'!$E$4:$E$3143),-('Gastos Gerais'!$C$4:$C$3143))</f>
        <v>9200</v>
      </c>
      <c r="E99" s="134">
        <f>SUMPRODUCT(-('Gastos Gerais'!$B$4:$B$3143=Analítico!$B99),-(Analítico!E$3&gt;='Gastos Gerais'!$D$4:$D$3143),-(Analítico!E$3&lt;='Gastos Gerais'!$E$4:$E$3143),-('Gastos Gerais'!$C$4:$C$3143))</f>
        <v>9700</v>
      </c>
      <c r="F99" s="134">
        <f>SUMPRODUCT(-('Gastos Gerais'!$B$4:$B$3143=Analítico!$B99),-(Analítico!F$3&gt;='Gastos Gerais'!$D$4:$D$3143),-(Analítico!F$3&lt;='Gastos Gerais'!$E$4:$E$3143),-('Gastos Gerais'!$C$4:$C$3143))</f>
        <v>9700</v>
      </c>
      <c r="G99" s="134">
        <f>SUMPRODUCT(-('Gastos Gerais'!$B$4:$B$3143=Analítico!$B99),-(Analítico!G$3&gt;='Gastos Gerais'!$D$4:$D$3143),-(Analítico!G$3&lt;='Gastos Gerais'!$E$4:$E$3143),-('Gastos Gerais'!$C$4:$C$3143))</f>
        <v>9700</v>
      </c>
      <c r="H99" s="134">
        <f>SUMPRODUCT(-('Gastos Gerais'!$B$4:$B$3143=Analítico!$B99),-(Analítico!H$3&gt;='Gastos Gerais'!$D$4:$D$3143),-(Analítico!H$3&lt;='Gastos Gerais'!$E$4:$E$3143),-('Gastos Gerais'!$C$4:$C$3143))</f>
        <v>9200</v>
      </c>
      <c r="I99" s="134">
        <f>SUMPRODUCT(-('Gastos Gerais'!$B$4:$B$3143=Analítico!$B99),-(Analítico!I$3&gt;='Gastos Gerais'!$D$4:$D$3143),-(Analítico!I$3&lt;='Gastos Gerais'!$E$4:$E$3143),-('Gastos Gerais'!$C$4:$C$3143))</f>
        <v>9700</v>
      </c>
      <c r="J99" s="134">
        <f>SUMPRODUCT(-('Gastos Gerais'!$B$4:$B$3143=Analítico!$B99),-(Analítico!J$3&gt;='Gastos Gerais'!$D$4:$D$3143),-(Analítico!J$3&lt;='Gastos Gerais'!$E$4:$E$3143),-('Gastos Gerais'!$C$4:$C$3143))</f>
        <v>9700</v>
      </c>
      <c r="K99" s="134">
        <f>SUMPRODUCT(-('Gastos Gerais'!$B$4:$B$3143=Analítico!$B99),-(Analítico!K$3&gt;='Gastos Gerais'!$D$4:$D$3143),-(Analítico!K$3&lt;='Gastos Gerais'!$E$4:$E$3143),-('Gastos Gerais'!$C$4:$C$3143))</f>
        <v>9700</v>
      </c>
      <c r="L99" s="134">
        <f>SUMPRODUCT(-('Gastos Gerais'!$B$4:$B$3143=Analítico!$B99),-(Analítico!L$3&gt;='Gastos Gerais'!$D$4:$D$3143),-(Analítico!L$3&lt;='Gastos Gerais'!$E$4:$E$3143),-('Gastos Gerais'!$C$4:$C$3143))</f>
        <v>10200</v>
      </c>
      <c r="M99" s="134">
        <f>SUMPRODUCT(-('Gastos Gerais'!$B$4:$B$3143=Analítico!$B99),-(Analítico!M$3&gt;='Gastos Gerais'!$D$4:$D$3143),-(Analítico!M$3&lt;='Gastos Gerais'!$E$4:$E$3143),-('Gastos Gerais'!$C$4:$C$3143))</f>
        <v>10200</v>
      </c>
      <c r="N99" s="134">
        <f>SUMPRODUCT(-('Gastos Gerais'!$B$4:$B$3143=Analítico!$B99),-(Analítico!N$3&gt;='Gastos Gerais'!$D$4:$D$3143),-(Analítico!N$3&lt;='Gastos Gerais'!$E$4:$E$3143),-('Gastos Gerais'!$C$4:$C$3143))</f>
        <v>10200</v>
      </c>
      <c r="O99" s="134">
        <f>SUMPRODUCT(-('Gastos Gerais'!$B$4:$B$3143=Analítico!$B99),-(Analítico!O$3&gt;='Gastos Gerais'!$D$4:$D$3143),-(Analítico!O$3&lt;='Gastos Gerais'!$E$4:$E$3143),-('Gastos Gerais'!$C$4:$C$3143))</f>
        <v>11200</v>
      </c>
      <c r="P99" s="134">
        <f>SUMPRODUCT(-('Gastos Gerais'!$B$4:$B$3143=Analítico!$B99),-(Analítico!P$3&gt;='Gastos Gerais'!$D$4:$D$3143),-(Analítico!P$3&lt;='Gastos Gerais'!$E$4:$E$3143),-('Gastos Gerais'!$C$4:$C$3143))</f>
        <v>11200</v>
      </c>
      <c r="Q99" s="134">
        <f>SUMPRODUCT(-('Gastos Gerais'!$B$4:$B$3143=Analítico!$B99),-(Analítico!Q$3&gt;='Gastos Gerais'!$D$4:$D$3143),-(Analítico!Q$3&lt;='Gastos Gerais'!$E$4:$E$3143),-('Gastos Gerais'!$C$4:$C$3143))</f>
        <v>11200</v>
      </c>
      <c r="R99" s="134">
        <f>SUMPRODUCT(-('Gastos Gerais'!$B$4:$B$3143=Analítico!$B99),-(Analítico!R$3&gt;='Gastos Gerais'!$D$4:$D$3143),-(Analítico!R$3&lt;='Gastos Gerais'!$E$4:$E$3143),-('Gastos Gerais'!$C$4:$C$3143))</f>
        <v>10200</v>
      </c>
      <c r="S99" s="134">
        <f>SUMPRODUCT(-('Gastos Gerais'!$B$4:$B$3143=Analítico!$B99),-(Analítico!S$3&gt;='Gastos Gerais'!$D$4:$D$3143),-(Analítico!S$3&lt;='Gastos Gerais'!$E$4:$E$3143),-('Gastos Gerais'!$C$4:$C$3143))</f>
        <v>10200</v>
      </c>
      <c r="T99" s="134">
        <f>SUMPRODUCT(-('Gastos Gerais'!$B$4:$B$3143=Analítico!$B99),-(Analítico!T$3&gt;='Gastos Gerais'!$D$4:$D$3143),-(Analítico!T$3&lt;='Gastos Gerais'!$E$4:$E$3143),-('Gastos Gerais'!$C$4:$C$3143))</f>
        <v>10200</v>
      </c>
      <c r="U99" s="134">
        <f>SUMPRODUCT(-('Gastos Gerais'!$B$4:$B$3143=Analítico!$B99),-(Analítico!U$3&gt;='Gastos Gerais'!$D$4:$D$3143),-(Analítico!U$3&lt;='Gastos Gerais'!$E$4:$E$3143),-('Gastos Gerais'!$C$4:$C$3143))</f>
        <v>10200</v>
      </c>
      <c r="V99" s="134">
        <f>SUMPRODUCT(-('Gastos Gerais'!$B$4:$B$3143=Analítico!$B99),-(Analítico!V$3&gt;='Gastos Gerais'!$D$4:$D$3143),-(Analítico!V$3&lt;='Gastos Gerais'!$E$4:$E$3143),-('Gastos Gerais'!$C$4:$C$3143))</f>
        <v>10200</v>
      </c>
      <c r="W99" s="134">
        <f>SUMPRODUCT(-('Gastos Gerais'!$B$4:$B$3143=Analítico!$B99),-(Analítico!W$3&gt;='Gastos Gerais'!$D$4:$D$3143),-(Analítico!W$3&lt;='Gastos Gerais'!$E$4:$E$3143),-('Gastos Gerais'!$C$4:$C$3143))</f>
        <v>10200</v>
      </c>
      <c r="X99" s="134">
        <f>SUMPRODUCT(-('Gastos Gerais'!$B$4:$B$3143=Analítico!$B99),-(Analítico!X$3&gt;='Gastos Gerais'!$D$4:$D$3143),-(Analítico!X$3&lt;='Gastos Gerais'!$E$4:$E$3143),-('Gastos Gerais'!$C$4:$C$3143))</f>
        <v>10200</v>
      </c>
      <c r="Y99" s="134">
        <f>SUMPRODUCT(-('Gastos Gerais'!$B$4:$B$3143=Analítico!$B99),-(Analítico!Y$3&gt;='Gastos Gerais'!$D$4:$D$3143),-(Analítico!Y$3&lt;='Gastos Gerais'!$E$4:$E$3143),-('Gastos Gerais'!$C$4:$C$3143))</f>
        <v>10200</v>
      </c>
      <c r="Z99" s="134">
        <f>SUMPRODUCT(-('Gastos Gerais'!$B$4:$B$3143=Analítico!$B99),-(Analítico!Z$3&gt;='Gastos Gerais'!$D$4:$D$3143),-(Analítico!Z$3&lt;='Gastos Gerais'!$E$4:$E$3143),-('Gastos Gerais'!$C$4:$C$3143))</f>
        <v>10200</v>
      </c>
      <c r="AA99" s="134">
        <f>SUMPRODUCT(-('Gastos Gerais'!$B$4:$B$3143=Analítico!$B99),-(Analítico!AA$3&gt;='Gastos Gerais'!$D$4:$D$3143),-(Analítico!AA$3&lt;='Gastos Gerais'!$E$4:$E$3143),-('Gastos Gerais'!$C$4:$C$3143))</f>
        <v>11200</v>
      </c>
      <c r="AB99" s="134">
        <f>SUMPRODUCT(-('Gastos Gerais'!$B$4:$B$3143=Analítico!$B99),-(Analítico!AB$3&gt;='Gastos Gerais'!$D$4:$D$3143),-(Analítico!AB$3&lt;='Gastos Gerais'!$E$4:$E$3143),-('Gastos Gerais'!$C$4:$C$3143))</f>
        <v>11200</v>
      </c>
      <c r="AC99" s="134">
        <f>SUMPRODUCT(-('Gastos Gerais'!$B$4:$B$3143=Analítico!$B99),-(Analítico!AC$3&gt;='Gastos Gerais'!$D$4:$D$3143),-(Analítico!AC$3&lt;='Gastos Gerais'!$E$4:$E$3143),-('Gastos Gerais'!$C$4:$C$3143))</f>
        <v>11200</v>
      </c>
      <c r="AD99" s="134">
        <f>SUMPRODUCT(-('Gastos Gerais'!$B$4:$B$3143=Analítico!$B99),-(Analítico!AD$3&gt;='Gastos Gerais'!$D$4:$D$3143),-(Analítico!AD$3&lt;='Gastos Gerais'!$E$4:$E$3143),-('Gastos Gerais'!$C$4:$C$3143))</f>
        <v>10200</v>
      </c>
      <c r="AE99" s="134">
        <f>SUMPRODUCT(-('Gastos Gerais'!$B$4:$B$3143=Analítico!$B99),-(Analítico!AE$3&gt;='Gastos Gerais'!$D$4:$D$3143),-(Analítico!AE$3&lt;='Gastos Gerais'!$E$4:$E$3143),-('Gastos Gerais'!$C$4:$C$3143))</f>
        <v>10200</v>
      </c>
      <c r="AF99" s="134">
        <f>SUMPRODUCT(-('Gastos Gerais'!$B$4:$B$3143=Analítico!$B99),-(Analítico!AF$3&gt;='Gastos Gerais'!$D$4:$D$3143),-(Analítico!AF$3&lt;='Gastos Gerais'!$E$4:$E$3143),-('Gastos Gerais'!$C$4:$C$3143))</f>
        <v>10200</v>
      </c>
      <c r="AG99" s="134">
        <f>SUMPRODUCT(-('Gastos Gerais'!$B$4:$B$3143=Analítico!$B99),-(Analítico!AG$3&gt;='Gastos Gerais'!$D$4:$D$3143),-(Analítico!AG$3&lt;='Gastos Gerais'!$E$4:$E$3143),-('Gastos Gerais'!$C$4:$C$3143))</f>
        <v>10200</v>
      </c>
      <c r="AH99" s="134">
        <f>SUMPRODUCT(-('Gastos Gerais'!$B$4:$B$3143=Analítico!$B99),-(Analítico!AH$3&gt;='Gastos Gerais'!$D$4:$D$3143),-(Analítico!AH$3&lt;='Gastos Gerais'!$E$4:$E$3143),-('Gastos Gerais'!$C$4:$C$3143))</f>
        <v>10200</v>
      </c>
      <c r="AI99" s="134">
        <f>SUMPRODUCT(-('Gastos Gerais'!$B$4:$B$3143=Analítico!$B99),-(Analítico!AI$3&gt;='Gastos Gerais'!$D$4:$D$3143),-(Analítico!AI$3&lt;='Gastos Gerais'!$E$4:$E$3143),-('Gastos Gerais'!$C$4:$C$3143))</f>
        <v>10200</v>
      </c>
      <c r="AJ99" s="134">
        <f>SUMPRODUCT(-('Gastos Gerais'!$B$4:$B$3143=Analítico!$B99),-(Analítico!AJ$3&gt;='Gastos Gerais'!$D$4:$D$3143),-(Analítico!AJ$3&lt;='Gastos Gerais'!$E$4:$E$3143),-('Gastos Gerais'!$C$4:$C$3143))</f>
        <v>10200</v>
      </c>
      <c r="AK99" s="134">
        <f>SUMPRODUCT(-('Gastos Gerais'!$B$4:$B$3143=Analítico!$B99),-(Analítico!AK$3&gt;='Gastos Gerais'!$D$4:$D$3143),-(Analítico!AK$3&lt;='Gastos Gerais'!$E$4:$E$3143),-('Gastos Gerais'!$C$4:$C$3143))</f>
        <v>10200</v>
      </c>
      <c r="AL99" s="134">
        <f>SUMPRODUCT(-('Gastos Gerais'!$B$4:$B$3143=Analítico!$B99),-(Analítico!AL$3&gt;='Gastos Gerais'!$D$4:$D$3143),-(Analítico!AL$3&lt;='Gastos Gerais'!$E$4:$E$3143),-('Gastos Gerais'!$C$4:$C$3143))</f>
        <v>10200</v>
      </c>
      <c r="AM99" s="134">
        <f>SUMPRODUCT(-('Gastos Gerais'!$B$4:$B$3143=Analítico!$B99),-(Analítico!AM$3&gt;='Gastos Gerais'!$D$4:$D$3143),-(Analítico!AM$3&lt;='Gastos Gerais'!$E$4:$E$3143),-('Gastos Gerais'!$C$4:$C$3143))</f>
        <v>6200</v>
      </c>
      <c r="AN99" s="134">
        <f>SUMPRODUCT(-('Gastos Gerais'!$B$4:$B$3143=Analítico!$B99),-(Analítico!AN$3&gt;='Gastos Gerais'!$D$4:$D$3143),-(Analítico!AN$3&lt;='Gastos Gerais'!$E$4:$E$3143),-('Gastos Gerais'!$C$4:$C$3143))</f>
        <v>6200</v>
      </c>
      <c r="AO99" s="134">
        <f>SUMPRODUCT(-('Gastos Gerais'!$B$4:$B$3143=Analítico!$B99),-(Analítico!AO$3&gt;='Gastos Gerais'!$D$4:$D$3143),-(Analítico!AO$3&lt;='Gastos Gerais'!$E$4:$E$3143),-('Gastos Gerais'!$C$4:$C$3143))</f>
        <v>6200</v>
      </c>
      <c r="AP99" s="134">
        <f>SUMPRODUCT(-('Gastos Gerais'!$B$4:$B$3143=Analítico!$B99),-(Analítico!AP$3&gt;='Gastos Gerais'!$D$4:$D$3143),-(Analítico!AP$3&lt;='Gastos Gerais'!$E$4:$E$3143),-('Gastos Gerais'!$C$4:$C$3143))</f>
        <v>5700</v>
      </c>
      <c r="AQ99" s="134">
        <f>SUMPRODUCT(-('Gastos Gerais'!$B$4:$B$3143=Analítico!$B99),-(Analítico!AQ$3&gt;='Gastos Gerais'!$D$4:$D$3143),-(Analítico!AQ$3&lt;='Gastos Gerais'!$E$4:$E$3143),-('Gastos Gerais'!$C$4:$C$3143))</f>
        <v>5700</v>
      </c>
      <c r="AR99" s="134">
        <f>SUMPRODUCT(-('Gastos Gerais'!$B$4:$B$3143=Analítico!$B99),-(Analítico!AR$3&gt;='Gastos Gerais'!$D$4:$D$3143),-(Analítico!AR$3&lt;='Gastos Gerais'!$E$4:$E$3143),-('Gastos Gerais'!$C$4:$C$3143))</f>
        <v>5700</v>
      </c>
      <c r="AS99" s="134">
        <f>SUMPRODUCT(-('Gastos Gerais'!$B$4:$B$3143=Analítico!$B99),-(Analítico!AS$3&gt;='Gastos Gerais'!$D$4:$D$3143),-(Analítico!AS$3&lt;='Gastos Gerais'!$E$4:$E$3143),-('Gastos Gerais'!$C$4:$C$3143))</f>
        <v>5700</v>
      </c>
      <c r="AT99" s="134">
        <f>SUMPRODUCT(-('Gastos Gerais'!$B$4:$B$3143=Analítico!$B99),-(Analítico!AT$3&gt;='Gastos Gerais'!$D$4:$D$3143),-(Analítico!AT$3&lt;='Gastos Gerais'!$E$4:$E$3143),-('Gastos Gerais'!$C$4:$C$3143))</f>
        <v>5700</v>
      </c>
      <c r="AU99" s="134">
        <f>SUMPRODUCT(-('Gastos Gerais'!$B$4:$B$3143=Analítico!$B99),-(Analítico!AU$3&gt;='Gastos Gerais'!$D$4:$D$3143),-(Analítico!AU$3&lt;='Gastos Gerais'!$E$4:$E$3143),-('Gastos Gerais'!$C$4:$C$3143))</f>
        <v>5700</v>
      </c>
      <c r="AV99" s="134">
        <f>SUMPRODUCT(-('Gastos Gerais'!$B$4:$B$3143=Analítico!$B99),-(Analítico!AV$3&gt;='Gastos Gerais'!$D$4:$D$3143),-(Analítico!AV$3&lt;='Gastos Gerais'!$E$4:$E$3143),-('Gastos Gerais'!$C$4:$C$3143))</f>
        <v>5700</v>
      </c>
      <c r="AW99" s="134">
        <f>SUMPRODUCT(-('Gastos Gerais'!$B$4:$B$3143=Analítico!$B99),-(Analítico!AW$3&gt;='Gastos Gerais'!$D$4:$D$3143),-(Analítico!AW$3&lt;='Gastos Gerais'!$E$4:$E$3143),-('Gastos Gerais'!$C$4:$C$3143))</f>
        <v>5700</v>
      </c>
      <c r="AX99" s="134">
        <f>SUMPRODUCT(-('Gastos Gerais'!$B$4:$B$3143=Analítico!$B99),-(Analítico!AX$3&gt;='Gastos Gerais'!$D$4:$D$3143),-(Analítico!AX$3&lt;='Gastos Gerais'!$E$4:$E$3143),-('Gastos Gerais'!$C$4:$C$3143))</f>
        <v>0</v>
      </c>
      <c r="AY99" s="134">
        <f>SUMPRODUCT(-('Gastos Gerais'!$B$4:$B$3143=Analítico!$B99),-(Analítico!AY$3&gt;='Gastos Gerais'!$D$4:$D$3143),-(Analítico!AY$3&lt;='Gastos Gerais'!$E$4:$E$3143),-('Gastos Gerais'!$C$4:$C$3143))</f>
        <v>0</v>
      </c>
      <c r="AZ99" s="134">
        <f>SUMPRODUCT(-('Gastos Gerais'!$B$4:$B$3143=Analítico!$B99),-(Analítico!AZ$3&gt;='Gastos Gerais'!$D$4:$D$3143),-(Analítico!AZ$3&lt;='Gastos Gerais'!$E$4:$E$3143),-('Gastos Gerais'!$C$4:$C$3143))</f>
        <v>0</v>
      </c>
      <c r="BA99" s="134">
        <f>SUMPRODUCT(-('Gastos Gerais'!$B$4:$B$3143=Analítico!$B99),-(Analítico!BA$3&gt;='Gastos Gerais'!$D$4:$D$3143),-(Analítico!BA$3&lt;='Gastos Gerais'!$E$4:$E$3143),-('Gastos Gerais'!$C$4:$C$3143))</f>
        <v>0</v>
      </c>
      <c r="BB99" s="134">
        <f>SUMPRODUCT(-('Gastos Gerais'!$B$4:$B$3143=Analítico!$B99),-(Analítico!BB$3&gt;='Gastos Gerais'!$D$4:$D$3143),-(Analítico!BB$3&lt;='Gastos Gerais'!$E$4:$E$3143),-('Gastos Gerais'!$C$4:$C$3143))</f>
        <v>0</v>
      </c>
      <c r="BC99" s="134">
        <f>SUMPRODUCT(-('Gastos Gerais'!$B$4:$B$3143=Analítico!$B99),-(Analítico!BC$3&gt;='Gastos Gerais'!$D$4:$D$3143),-(Analítico!BC$3&lt;='Gastos Gerais'!$E$4:$E$3143),-('Gastos Gerais'!$C$4:$C$3143))</f>
        <v>0</v>
      </c>
      <c r="BD99" s="134">
        <f>SUMPRODUCT(-('Gastos Gerais'!$B$4:$B$3143=Analítico!$B99),-(Analítico!BD$3&gt;='Gastos Gerais'!$D$4:$D$3143),-(Analítico!BD$3&lt;='Gastos Gerais'!$E$4:$E$3143),-('Gastos Gerais'!$C$4:$C$3143))</f>
        <v>0</v>
      </c>
      <c r="BE99" s="134">
        <f>SUMPRODUCT(-('Gastos Gerais'!$B$4:$B$3143=Analítico!$B99),-(Analítico!BE$3&gt;='Gastos Gerais'!$D$4:$D$3143),-(Analítico!BE$3&lt;='Gastos Gerais'!$E$4:$E$3143),-('Gastos Gerais'!$C$4:$C$3143))</f>
        <v>0</v>
      </c>
      <c r="BF99" s="134">
        <f>SUMPRODUCT(-('Gastos Gerais'!$B$4:$B$3143=Analítico!$B99),-(Analítico!BF$3&gt;='Gastos Gerais'!$D$4:$D$3143),-(Analítico!BF$3&lt;='Gastos Gerais'!$E$4:$E$3143),-('Gastos Gerais'!$C$4:$C$3143))</f>
        <v>0</v>
      </c>
      <c r="BG99" s="134">
        <f>SUMPRODUCT(-('Gastos Gerais'!$B$4:$B$3143=Analítico!$B99),-(Analítico!BG$3&gt;='Gastos Gerais'!$D$4:$D$3143),-(Analítico!BG$3&lt;='Gastos Gerais'!$E$4:$E$3143),-('Gastos Gerais'!$C$4:$C$3143))</f>
        <v>0</v>
      </c>
      <c r="BH99" s="134">
        <f>SUMPRODUCT(-('Gastos Gerais'!$B$4:$B$3143=Analítico!$B99),-(Analítico!BH$3&gt;='Gastos Gerais'!$D$4:$D$3143),-(Analítico!BH$3&lt;='Gastos Gerais'!$E$4:$E$3143),-('Gastos Gerais'!$C$4:$C$3143))</f>
        <v>0</v>
      </c>
      <c r="BI99" s="134">
        <f>SUMPRODUCT(-('Gastos Gerais'!$B$4:$B$3143=Analítico!$B99),-(Analítico!BI$3&gt;='Gastos Gerais'!$D$4:$D$3143),-(Analítico!BI$3&lt;='Gastos Gerais'!$E$4:$E$3143),-('Gastos Gerais'!$C$4:$C$3143))</f>
        <v>0</v>
      </c>
      <c r="BJ99" s="134">
        <f>SUMPRODUCT(-('Gastos Gerais'!$B$4:$B$3143=Analítico!$B99),-(Analítico!BJ$3&gt;='Gastos Gerais'!$D$4:$D$3143),-(Analítico!BJ$3&lt;='Gastos Gerais'!$E$4:$E$3143),-('Gastos Gerais'!$C$4:$C$3143))</f>
        <v>0</v>
      </c>
      <c r="BK99" s="189">
        <f t="shared" si="26"/>
        <v>431400</v>
      </c>
      <c r="BL99" s="136">
        <f t="shared" ca="1" si="27"/>
        <v>1.4853093843683941E-3</v>
      </c>
    </row>
    <row r="100" spans="1:64" s="160" customFormat="1" ht="23.25" customHeight="1">
      <c r="A100" s="229" t="s">
        <v>277</v>
      </c>
      <c r="B100" s="232" t="s">
        <v>278</v>
      </c>
      <c r="C100" s="188">
        <f>SUMPRODUCT(-('Gastos Gerais'!$B$4:$B$3143=Analítico!$B100),-(Analítico!C$3&gt;='Gastos Gerais'!$D$4:$D$3143),-(Analítico!C$3&lt;='Gastos Gerais'!$E$4:$E$3143),-('Gastos Gerais'!$C$4:$C$3143))</f>
        <v>548000</v>
      </c>
      <c r="D100" s="134">
        <f>SUMPRODUCT(-('Gastos Gerais'!$B$4:$B$3143=Analítico!$B100),-(Analítico!D$3&gt;='Gastos Gerais'!$D$4:$D$3143),-(Analítico!D$3&lt;='Gastos Gerais'!$E$4:$E$3143),-('Gastos Gerais'!$C$4:$C$3143))</f>
        <v>548000</v>
      </c>
      <c r="E100" s="134">
        <f>SUMPRODUCT(-('Gastos Gerais'!$B$4:$B$3143=Analítico!$B100),-(Analítico!E$3&gt;='Gastos Gerais'!$D$4:$D$3143),-(Analítico!E$3&lt;='Gastos Gerais'!$E$4:$E$3143),-('Gastos Gerais'!$C$4:$C$3143))</f>
        <v>581000</v>
      </c>
      <c r="F100" s="134">
        <f>SUMPRODUCT(-('Gastos Gerais'!$B$4:$B$3143=Analítico!$B100),-(Analítico!F$3&gt;='Gastos Gerais'!$D$4:$D$3143),-(Analítico!F$3&lt;='Gastos Gerais'!$E$4:$E$3143),-('Gastos Gerais'!$C$4:$C$3143))</f>
        <v>614000</v>
      </c>
      <c r="G100" s="134">
        <f>SUMPRODUCT(-('Gastos Gerais'!$B$4:$B$3143=Analítico!$B100),-(Analítico!G$3&gt;='Gastos Gerais'!$D$4:$D$3143),-(Analítico!G$3&lt;='Gastos Gerais'!$E$4:$E$3143),-('Gastos Gerais'!$C$4:$C$3143))</f>
        <v>614000</v>
      </c>
      <c r="H100" s="134">
        <f>SUMPRODUCT(-('Gastos Gerais'!$B$4:$B$3143=Analítico!$B100),-(Analítico!H$3&gt;='Gastos Gerais'!$D$4:$D$3143),-(Analítico!H$3&lt;='Gastos Gerais'!$E$4:$E$3143),-('Gastos Gerais'!$C$4:$C$3143))</f>
        <v>614000</v>
      </c>
      <c r="I100" s="134">
        <f>SUMPRODUCT(-('Gastos Gerais'!$B$4:$B$3143=Analítico!$B100),-(Analítico!I$3&gt;='Gastos Gerais'!$D$4:$D$3143),-(Analítico!I$3&lt;='Gastos Gerais'!$E$4:$E$3143),-('Gastos Gerais'!$C$4:$C$3143))</f>
        <v>647000</v>
      </c>
      <c r="J100" s="134">
        <f>SUMPRODUCT(-('Gastos Gerais'!$B$4:$B$3143=Analítico!$B100),-(Analítico!J$3&gt;='Gastos Gerais'!$D$4:$D$3143),-(Analítico!J$3&lt;='Gastos Gerais'!$E$4:$E$3143),-('Gastos Gerais'!$C$4:$C$3143))</f>
        <v>647000</v>
      </c>
      <c r="K100" s="134">
        <f>SUMPRODUCT(-('Gastos Gerais'!$B$4:$B$3143=Analítico!$B100),-(Analítico!K$3&gt;='Gastos Gerais'!$D$4:$D$3143),-(Analítico!K$3&lt;='Gastos Gerais'!$E$4:$E$3143),-('Gastos Gerais'!$C$4:$C$3143))</f>
        <v>647000</v>
      </c>
      <c r="L100" s="134">
        <f>SUMPRODUCT(-('Gastos Gerais'!$B$4:$B$3143=Analítico!$B100),-(Analítico!L$3&gt;='Gastos Gerais'!$D$4:$D$3143),-(Analítico!L$3&lt;='Gastos Gerais'!$E$4:$E$3143),-('Gastos Gerais'!$C$4:$C$3143))</f>
        <v>680000</v>
      </c>
      <c r="M100" s="134">
        <f>SUMPRODUCT(-('Gastos Gerais'!$B$4:$B$3143=Analítico!$B100),-(Analítico!M$3&gt;='Gastos Gerais'!$D$4:$D$3143),-(Analítico!M$3&lt;='Gastos Gerais'!$E$4:$E$3143),-('Gastos Gerais'!$C$4:$C$3143))</f>
        <v>680000</v>
      </c>
      <c r="N100" s="134">
        <f>SUMPRODUCT(-('Gastos Gerais'!$B$4:$B$3143=Analítico!$B100),-(Analítico!N$3&gt;='Gastos Gerais'!$D$4:$D$3143),-(Analítico!N$3&lt;='Gastos Gerais'!$E$4:$E$3143),-('Gastos Gerais'!$C$4:$C$3143))</f>
        <v>680000</v>
      </c>
      <c r="O100" s="134">
        <f>SUMPRODUCT(-('Gastos Gerais'!$B$4:$B$3143=Analítico!$B100),-(Analítico!O$3&gt;='Gastos Gerais'!$D$4:$D$3143),-(Analítico!O$3&lt;='Gastos Gerais'!$E$4:$E$3143),-('Gastos Gerais'!$C$4:$C$3143))</f>
        <v>650300</v>
      </c>
      <c r="P100" s="134">
        <f>SUMPRODUCT(-('Gastos Gerais'!$B$4:$B$3143=Analítico!$B100),-(Analítico!P$3&gt;='Gastos Gerais'!$D$4:$D$3143),-(Analítico!P$3&lt;='Gastos Gerais'!$E$4:$E$3143),-('Gastos Gerais'!$C$4:$C$3143))</f>
        <v>650300</v>
      </c>
      <c r="Q100" s="134">
        <f>SUMPRODUCT(-('Gastos Gerais'!$B$4:$B$3143=Analítico!$B100),-(Analítico!Q$3&gt;='Gastos Gerais'!$D$4:$D$3143),-(Analítico!Q$3&lt;='Gastos Gerais'!$E$4:$E$3143),-('Gastos Gerais'!$C$4:$C$3143))</f>
        <v>650300</v>
      </c>
      <c r="R100" s="134">
        <f>SUMPRODUCT(-('Gastos Gerais'!$B$4:$B$3143=Analítico!$B100),-(Analítico!R$3&gt;='Gastos Gerais'!$D$4:$D$3143),-(Analítico!R$3&lt;='Gastos Gerais'!$E$4:$E$3143),-('Gastos Gerais'!$C$4:$C$3143))</f>
        <v>650300</v>
      </c>
      <c r="S100" s="134">
        <f>SUMPRODUCT(-('Gastos Gerais'!$B$4:$B$3143=Analítico!$B100),-(Analítico!S$3&gt;='Gastos Gerais'!$D$4:$D$3143),-(Analítico!S$3&lt;='Gastos Gerais'!$E$4:$E$3143),-('Gastos Gerais'!$C$4:$C$3143))</f>
        <v>650300</v>
      </c>
      <c r="T100" s="134">
        <f>SUMPRODUCT(-('Gastos Gerais'!$B$4:$B$3143=Analítico!$B100),-(Analítico!T$3&gt;='Gastos Gerais'!$D$4:$D$3143),-(Analítico!T$3&lt;='Gastos Gerais'!$E$4:$E$3143),-('Gastos Gerais'!$C$4:$C$3143))</f>
        <v>650300</v>
      </c>
      <c r="U100" s="134">
        <f>SUMPRODUCT(-('Gastos Gerais'!$B$4:$B$3143=Analítico!$B100),-(Analítico!U$3&gt;='Gastos Gerais'!$D$4:$D$3143),-(Analítico!U$3&lt;='Gastos Gerais'!$E$4:$E$3143),-('Gastos Gerais'!$C$4:$C$3143))</f>
        <v>650300</v>
      </c>
      <c r="V100" s="134">
        <f>SUMPRODUCT(-('Gastos Gerais'!$B$4:$B$3143=Analítico!$B100),-(Analítico!V$3&gt;='Gastos Gerais'!$D$4:$D$3143),-(Analítico!V$3&lt;='Gastos Gerais'!$E$4:$E$3143),-('Gastos Gerais'!$C$4:$C$3143))</f>
        <v>650300</v>
      </c>
      <c r="W100" s="134">
        <f>SUMPRODUCT(-('Gastos Gerais'!$B$4:$B$3143=Analítico!$B100),-(Analítico!W$3&gt;='Gastos Gerais'!$D$4:$D$3143),-(Analítico!W$3&lt;='Gastos Gerais'!$E$4:$E$3143),-('Gastos Gerais'!$C$4:$C$3143))</f>
        <v>650300</v>
      </c>
      <c r="X100" s="134">
        <f>SUMPRODUCT(-('Gastos Gerais'!$B$4:$B$3143=Analítico!$B100),-(Analítico!X$3&gt;='Gastos Gerais'!$D$4:$D$3143),-(Analítico!X$3&lt;='Gastos Gerais'!$E$4:$E$3143),-('Gastos Gerais'!$C$4:$C$3143))</f>
        <v>650300</v>
      </c>
      <c r="Y100" s="134">
        <f>SUMPRODUCT(-('Gastos Gerais'!$B$4:$B$3143=Analítico!$B100),-(Analítico!Y$3&gt;='Gastos Gerais'!$D$4:$D$3143),-(Analítico!Y$3&lt;='Gastos Gerais'!$E$4:$E$3143),-('Gastos Gerais'!$C$4:$C$3143))</f>
        <v>650300</v>
      </c>
      <c r="Z100" s="134">
        <f>SUMPRODUCT(-('Gastos Gerais'!$B$4:$B$3143=Analítico!$B100),-(Analítico!Z$3&gt;='Gastos Gerais'!$D$4:$D$3143),-(Analítico!Z$3&lt;='Gastos Gerais'!$E$4:$E$3143),-('Gastos Gerais'!$C$4:$C$3143))</f>
        <v>650300</v>
      </c>
      <c r="AA100" s="134">
        <f>SUMPRODUCT(-('Gastos Gerais'!$B$4:$B$3143=Analítico!$B100),-(Analítico!AA$3&gt;='Gastos Gerais'!$D$4:$D$3143),-(Analítico!AA$3&lt;='Gastos Gerais'!$E$4:$E$3143),-('Gastos Gerais'!$C$4:$C$3143))</f>
        <v>680000</v>
      </c>
      <c r="AB100" s="134">
        <f>SUMPRODUCT(-('Gastos Gerais'!$B$4:$B$3143=Analítico!$B100),-(Analítico!AB$3&gt;='Gastos Gerais'!$D$4:$D$3143),-(Analítico!AB$3&lt;='Gastos Gerais'!$E$4:$E$3143),-('Gastos Gerais'!$C$4:$C$3143))</f>
        <v>680000</v>
      </c>
      <c r="AC100" s="134">
        <f>SUMPRODUCT(-('Gastos Gerais'!$B$4:$B$3143=Analítico!$B100),-(Analítico!AC$3&gt;='Gastos Gerais'!$D$4:$D$3143),-(Analítico!AC$3&lt;='Gastos Gerais'!$E$4:$E$3143),-('Gastos Gerais'!$C$4:$C$3143))</f>
        <v>680000</v>
      </c>
      <c r="AD100" s="134">
        <f>SUMPRODUCT(-('Gastos Gerais'!$B$4:$B$3143=Analítico!$B100),-(Analítico!AD$3&gt;='Gastos Gerais'!$D$4:$D$3143),-(Analítico!AD$3&lt;='Gastos Gerais'!$E$4:$E$3143),-('Gastos Gerais'!$C$4:$C$3143))</f>
        <v>680000</v>
      </c>
      <c r="AE100" s="134">
        <f>SUMPRODUCT(-('Gastos Gerais'!$B$4:$B$3143=Analítico!$B100),-(Analítico!AE$3&gt;='Gastos Gerais'!$D$4:$D$3143),-(Analítico!AE$3&lt;='Gastos Gerais'!$E$4:$E$3143),-('Gastos Gerais'!$C$4:$C$3143))</f>
        <v>680000</v>
      </c>
      <c r="AF100" s="134">
        <f>SUMPRODUCT(-('Gastos Gerais'!$B$4:$B$3143=Analítico!$B100),-(Analítico!AF$3&gt;='Gastos Gerais'!$D$4:$D$3143),-(Analítico!AF$3&lt;='Gastos Gerais'!$E$4:$E$3143),-('Gastos Gerais'!$C$4:$C$3143))</f>
        <v>680000</v>
      </c>
      <c r="AG100" s="134">
        <f>SUMPRODUCT(-('Gastos Gerais'!$B$4:$B$3143=Analítico!$B100),-(Analítico!AG$3&gt;='Gastos Gerais'!$D$4:$D$3143),-(Analítico!AG$3&lt;='Gastos Gerais'!$E$4:$E$3143),-('Gastos Gerais'!$C$4:$C$3143))</f>
        <v>680000</v>
      </c>
      <c r="AH100" s="134">
        <f>SUMPRODUCT(-('Gastos Gerais'!$B$4:$B$3143=Analítico!$B100),-(Analítico!AH$3&gt;='Gastos Gerais'!$D$4:$D$3143),-(Analítico!AH$3&lt;='Gastos Gerais'!$E$4:$E$3143),-('Gastos Gerais'!$C$4:$C$3143))</f>
        <v>680000</v>
      </c>
      <c r="AI100" s="134">
        <f>SUMPRODUCT(-('Gastos Gerais'!$B$4:$B$3143=Analítico!$B100),-(Analítico!AI$3&gt;='Gastos Gerais'!$D$4:$D$3143),-(Analítico!AI$3&lt;='Gastos Gerais'!$E$4:$E$3143),-('Gastos Gerais'!$C$4:$C$3143))</f>
        <v>680000</v>
      </c>
      <c r="AJ100" s="134">
        <f>SUMPRODUCT(-('Gastos Gerais'!$B$4:$B$3143=Analítico!$B100),-(Analítico!AJ$3&gt;='Gastos Gerais'!$D$4:$D$3143),-(Analítico!AJ$3&lt;='Gastos Gerais'!$E$4:$E$3143),-('Gastos Gerais'!$C$4:$C$3143))</f>
        <v>680000</v>
      </c>
      <c r="AK100" s="134">
        <f>SUMPRODUCT(-('Gastos Gerais'!$B$4:$B$3143=Analítico!$B100),-(Analítico!AK$3&gt;='Gastos Gerais'!$D$4:$D$3143),-(Analítico!AK$3&lt;='Gastos Gerais'!$E$4:$E$3143),-('Gastos Gerais'!$C$4:$C$3143))</f>
        <v>680000</v>
      </c>
      <c r="AL100" s="134">
        <f>SUMPRODUCT(-('Gastos Gerais'!$B$4:$B$3143=Analítico!$B100),-(Analítico!AL$3&gt;='Gastos Gerais'!$D$4:$D$3143),-(Analítico!AL$3&lt;='Gastos Gerais'!$E$4:$E$3143),-('Gastos Gerais'!$C$4:$C$3143))</f>
        <v>680000</v>
      </c>
      <c r="AM100" s="134">
        <f>SUMPRODUCT(-('Gastos Gerais'!$B$4:$B$3143=Analítico!$B100),-(Analítico!AM$3&gt;='Gastos Gerais'!$D$4:$D$3143),-(Analítico!AM$3&lt;='Gastos Gerais'!$E$4:$E$3143),-('Gastos Gerais'!$C$4:$C$3143))</f>
        <v>365500</v>
      </c>
      <c r="AN100" s="134">
        <f>SUMPRODUCT(-('Gastos Gerais'!$B$4:$B$3143=Analítico!$B100),-(Analítico!AN$3&gt;='Gastos Gerais'!$D$4:$D$3143),-(Analítico!AN$3&lt;='Gastos Gerais'!$E$4:$E$3143),-('Gastos Gerais'!$C$4:$C$3143))</f>
        <v>365500</v>
      </c>
      <c r="AO100" s="134">
        <f>SUMPRODUCT(-('Gastos Gerais'!$B$4:$B$3143=Analítico!$B100),-(Analítico!AO$3&gt;='Gastos Gerais'!$D$4:$D$3143),-(Analítico!AO$3&lt;='Gastos Gerais'!$E$4:$E$3143),-('Gastos Gerais'!$C$4:$C$3143))</f>
        <v>365500</v>
      </c>
      <c r="AP100" s="134">
        <f>SUMPRODUCT(-('Gastos Gerais'!$B$4:$B$3143=Analítico!$B100),-(Analítico!AP$3&gt;='Gastos Gerais'!$D$4:$D$3143),-(Analítico!AP$3&lt;='Gastos Gerais'!$E$4:$E$3143),-('Gastos Gerais'!$C$4:$C$3143))</f>
        <v>365500</v>
      </c>
      <c r="AQ100" s="134">
        <f>SUMPRODUCT(-('Gastos Gerais'!$B$4:$B$3143=Analítico!$B100),-(Analítico!AQ$3&gt;='Gastos Gerais'!$D$4:$D$3143),-(Analítico!AQ$3&lt;='Gastos Gerais'!$E$4:$E$3143),-('Gastos Gerais'!$C$4:$C$3143))</f>
        <v>365500</v>
      </c>
      <c r="AR100" s="134">
        <f>SUMPRODUCT(-('Gastos Gerais'!$B$4:$B$3143=Analítico!$B100),-(Analítico!AR$3&gt;='Gastos Gerais'!$D$4:$D$3143),-(Analítico!AR$3&lt;='Gastos Gerais'!$E$4:$E$3143),-('Gastos Gerais'!$C$4:$C$3143))</f>
        <v>365500</v>
      </c>
      <c r="AS100" s="134">
        <f>SUMPRODUCT(-('Gastos Gerais'!$B$4:$B$3143=Analítico!$B100),-(Analítico!AS$3&gt;='Gastos Gerais'!$D$4:$D$3143),-(Analítico!AS$3&lt;='Gastos Gerais'!$E$4:$E$3143),-('Gastos Gerais'!$C$4:$C$3143))</f>
        <v>365500</v>
      </c>
      <c r="AT100" s="134">
        <f>SUMPRODUCT(-('Gastos Gerais'!$B$4:$B$3143=Analítico!$B100),-(Analítico!AT$3&gt;='Gastos Gerais'!$D$4:$D$3143),-(Analítico!AT$3&lt;='Gastos Gerais'!$E$4:$E$3143),-('Gastos Gerais'!$C$4:$C$3143))</f>
        <v>365500</v>
      </c>
      <c r="AU100" s="134">
        <f>SUMPRODUCT(-('Gastos Gerais'!$B$4:$B$3143=Analítico!$B100),-(Analítico!AU$3&gt;='Gastos Gerais'!$D$4:$D$3143),-(Analítico!AU$3&lt;='Gastos Gerais'!$E$4:$E$3143),-('Gastos Gerais'!$C$4:$C$3143))</f>
        <v>365500</v>
      </c>
      <c r="AV100" s="134">
        <f>SUMPRODUCT(-('Gastos Gerais'!$B$4:$B$3143=Analítico!$B100),-(Analítico!AV$3&gt;='Gastos Gerais'!$D$4:$D$3143),-(Analítico!AV$3&lt;='Gastos Gerais'!$E$4:$E$3143),-('Gastos Gerais'!$C$4:$C$3143))</f>
        <v>365500</v>
      </c>
      <c r="AW100" s="134">
        <f>SUMPRODUCT(-('Gastos Gerais'!$B$4:$B$3143=Analítico!$B100),-(Analítico!AW$3&gt;='Gastos Gerais'!$D$4:$D$3143),-(Analítico!AW$3&lt;='Gastos Gerais'!$E$4:$E$3143),-('Gastos Gerais'!$C$4:$C$3143))</f>
        <v>365500</v>
      </c>
      <c r="AX100" s="134">
        <f>SUMPRODUCT(-('Gastos Gerais'!$B$4:$B$3143=Analítico!$B100),-(Analítico!AX$3&gt;='Gastos Gerais'!$D$4:$D$3143),-(Analítico!AX$3&lt;='Gastos Gerais'!$E$4:$E$3143),-('Gastos Gerais'!$C$4:$C$3143))</f>
        <v>0</v>
      </c>
      <c r="AY100" s="134">
        <f>SUMPRODUCT(-('Gastos Gerais'!$B$4:$B$3143=Analítico!$B100),-(Analítico!AY$3&gt;='Gastos Gerais'!$D$4:$D$3143),-(Analítico!AY$3&lt;='Gastos Gerais'!$E$4:$E$3143),-('Gastos Gerais'!$C$4:$C$3143))</f>
        <v>0</v>
      </c>
      <c r="AZ100" s="134">
        <f>SUMPRODUCT(-('Gastos Gerais'!$B$4:$B$3143=Analítico!$B100),-(Analítico!AZ$3&gt;='Gastos Gerais'!$D$4:$D$3143),-(Analítico!AZ$3&lt;='Gastos Gerais'!$E$4:$E$3143),-('Gastos Gerais'!$C$4:$C$3143))</f>
        <v>0</v>
      </c>
      <c r="BA100" s="134">
        <f>SUMPRODUCT(-('Gastos Gerais'!$B$4:$B$3143=Analítico!$B100),-(Analítico!BA$3&gt;='Gastos Gerais'!$D$4:$D$3143),-(Analítico!BA$3&lt;='Gastos Gerais'!$E$4:$E$3143),-('Gastos Gerais'!$C$4:$C$3143))</f>
        <v>0</v>
      </c>
      <c r="BB100" s="134">
        <f>SUMPRODUCT(-('Gastos Gerais'!$B$4:$B$3143=Analítico!$B100),-(Analítico!BB$3&gt;='Gastos Gerais'!$D$4:$D$3143),-(Analítico!BB$3&lt;='Gastos Gerais'!$E$4:$E$3143),-('Gastos Gerais'!$C$4:$C$3143))</f>
        <v>0</v>
      </c>
      <c r="BC100" s="134">
        <f>SUMPRODUCT(-('Gastos Gerais'!$B$4:$B$3143=Analítico!$B100),-(Analítico!BC$3&gt;='Gastos Gerais'!$D$4:$D$3143),-(Analítico!BC$3&lt;='Gastos Gerais'!$E$4:$E$3143),-('Gastos Gerais'!$C$4:$C$3143))</f>
        <v>0</v>
      </c>
      <c r="BD100" s="134">
        <f>SUMPRODUCT(-('Gastos Gerais'!$B$4:$B$3143=Analítico!$B100),-(Analítico!BD$3&gt;='Gastos Gerais'!$D$4:$D$3143),-(Analítico!BD$3&lt;='Gastos Gerais'!$E$4:$E$3143),-('Gastos Gerais'!$C$4:$C$3143))</f>
        <v>0</v>
      </c>
      <c r="BE100" s="134">
        <f>SUMPRODUCT(-('Gastos Gerais'!$B$4:$B$3143=Analítico!$B100),-(Analítico!BE$3&gt;='Gastos Gerais'!$D$4:$D$3143),-(Analítico!BE$3&lt;='Gastos Gerais'!$E$4:$E$3143),-('Gastos Gerais'!$C$4:$C$3143))</f>
        <v>0</v>
      </c>
      <c r="BF100" s="134">
        <f>SUMPRODUCT(-('Gastos Gerais'!$B$4:$B$3143=Analítico!$B100),-(Analítico!BF$3&gt;='Gastos Gerais'!$D$4:$D$3143),-(Analítico!BF$3&lt;='Gastos Gerais'!$E$4:$E$3143),-('Gastos Gerais'!$C$4:$C$3143))</f>
        <v>0</v>
      </c>
      <c r="BG100" s="134">
        <f>SUMPRODUCT(-('Gastos Gerais'!$B$4:$B$3143=Analítico!$B100),-(Analítico!BG$3&gt;='Gastos Gerais'!$D$4:$D$3143),-(Analítico!BG$3&lt;='Gastos Gerais'!$E$4:$E$3143),-('Gastos Gerais'!$C$4:$C$3143))</f>
        <v>0</v>
      </c>
      <c r="BH100" s="134">
        <f>SUMPRODUCT(-('Gastos Gerais'!$B$4:$B$3143=Analítico!$B100),-(Analítico!BH$3&gt;='Gastos Gerais'!$D$4:$D$3143),-(Analítico!BH$3&lt;='Gastos Gerais'!$E$4:$E$3143),-('Gastos Gerais'!$C$4:$C$3143))</f>
        <v>0</v>
      </c>
      <c r="BI100" s="134">
        <f>SUMPRODUCT(-('Gastos Gerais'!$B$4:$B$3143=Analítico!$B100),-(Analítico!BI$3&gt;='Gastos Gerais'!$D$4:$D$3143),-(Analítico!BI$3&lt;='Gastos Gerais'!$E$4:$E$3143),-('Gastos Gerais'!$C$4:$C$3143))</f>
        <v>0</v>
      </c>
      <c r="BJ100" s="134">
        <f>SUMPRODUCT(-('Gastos Gerais'!$B$4:$B$3143=Analítico!$B100),-(Analítico!BJ$3&gt;='Gastos Gerais'!$D$4:$D$3143),-(Analítico!BJ$3&lt;='Gastos Gerais'!$E$4:$E$3143),-('Gastos Gerais'!$C$4:$C$3143))</f>
        <v>0</v>
      </c>
      <c r="BK100" s="189">
        <f t="shared" si="26"/>
        <v>27484100</v>
      </c>
      <c r="BL100" s="136">
        <f t="shared" ca="1" si="27"/>
        <v>9.4627704336855301E-2</v>
      </c>
    </row>
    <row r="101" spans="1:64" s="160" customFormat="1" ht="23.25" customHeight="1">
      <c r="A101" s="229" t="s">
        <v>279</v>
      </c>
      <c r="B101" s="232" t="s">
        <v>280</v>
      </c>
      <c r="C101" s="188">
        <f>SUMPRODUCT(-('Gastos Gerais'!$B$4:$B$3143=Analítico!$B101),-(Analítico!C$3&gt;='Gastos Gerais'!$D$4:$D$3143),-(Analítico!C$3&lt;='Gastos Gerais'!$E$4:$E$3143),-('Gastos Gerais'!$C$4:$C$3143))</f>
        <v>2300</v>
      </c>
      <c r="D101" s="134">
        <f>SUMPRODUCT(-('Gastos Gerais'!$B$4:$B$3143=Analítico!$B101),-(Analítico!D$3&gt;='Gastos Gerais'!$D$4:$D$3143),-(Analítico!D$3&lt;='Gastos Gerais'!$E$4:$E$3143),-('Gastos Gerais'!$C$4:$C$3143))</f>
        <v>2300</v>
      </c>
      <c r="E101" s="134">
        <f>SUMPRODUCT(-('Gastos Gerais'!$B$4:$B$3143=Analítico!$B101),-(Analítico!E$3&gt;='Gastos Gerais'!$D$4:$D$3143),-(Analítico!E$3&lt;='Gastos Gerais'!$E$4:$E$3143),-('Gastos Gerais'!$C$4:$C$3143))</f>
        <v>2300</v>
      </c>
      <c r="F101" s="134">
        <f>SUMPRODUCT(-('Gastos Gerais'!$B$4:$B$3143=Analítico!$B101),-(Analítico!F$3&gt;='Gastos Gerais'!$D$4:$D$3143),-(Analítico!F$3&lt;='Gastos Gerais'!$E$4:$E$3143),-('Gastos Gerais'!$C$4:$C$3143))</f>
        <v>2400</v>
      </c>
      <c r="G101" s="134">
        <f>SUMPRODUCT(-('Gastos Gerais'!$B$4:$B$3143=Analítico!$B101),-(Analítico!G$3&gt;='Gastos Gerais'!$D$4:$D$3143),-(Analítico!G$3&lt;='Gastos Gerais'!$E$4:$E$3143),-('Gastos Gerais'!$C$4:$C$3143))</f>
        <v>2400</v>
      </c>
      <c r="H101" s="134">
        <f>SUMPRODUCT(-('Gastos Gerais'!$B$4:$B$3143=Analítico!$B101),-(Analítico!H$3&gt;='Gastos Gerais'!$D$4:$D$3143),-(Analítico!H$3&lt;='Gastos Gerais'!$E$4:$E$3143),-('Gastos Gerais'!$C$4:$C$3143))</f>
        <v>2500</v>
      </c>
      <c r="I101" s="134">
        <f>SUMPRODUCT(-('Gastos Gerais'!$B$4:$B$3143=Analítico!$B101),-(Analítico!I$3&gt;='Gastos Gerais'!$D$4:$D$3143),-(Analítico!I$3&lt;='Gastos Gerais'!$E$4:$E$3143),-('Gastos Gerais'!$C$4:$C$3143))</f>
        <v>2600</v>
      </c>
      <c r="J101" s="134">
        <f>SUMPRODUCT(-('Gastos Gerais'!$B$4:$B$3143=Analítico!$B101),-(Analítico!J$3&gt;='Gastos Gerais'!$D$4:$D$3143),-(Analítico!J$3&lt;='Gastos Gerais'!$E$4:$E$3143),-('Gastos Gerais'!$C$4:$C$3143))</f>
        <v>2600</v>
      </c>
      <c r="K101" s="134">
        <f>SUMPRODUCT(-('Gastos Gerais'!$B$4:$B$3143=Analítico!$B101),-(Analítico!K$3&gt;='Gastos Gerais'!$D$4:$D$3143),-(Analítico!K$3&lt;='Gastos Gerais'!$E$4:$E$3143),-('Gastos Gerais'!$C$4:$C$3143))</f>
        <v>2600</v>
      </c>
      <c r="L101" s="134">
        <f>SUMPRODUCT(-('Gastos Gerais'!$B$4:$B$3143=Analítico!$B101),-(Analítico!L$3&gt;='Gastos Gerais'!$D$4:$D$3143),-(Analítico!L$3&lt;='Gastos Gerais'!$E$4:$E$3143),-('Gastos Gerais'!$C$4:$C$3143))</f>
        <v>2700</v>
      </c>
      <c r="M101" s="134">
        <f>SUMPRODUCT(-('Gastos Gerais'!$B$4:$B$3143=Analítico!$B101),-(Analítico!M$3&gt;='Gastos Gerais'!$D$4:$D$3143),-(Analítico!M$3&lt;='Gastos Gerais'!$E$4:$E$3143),-('Gastos Gerais'!$C$4:$C$3143))</f>
        <v>2700</v>
      </c>
      <c r="N101" s="134">
        <f>SUMPRODUCT(-('Gastos Gerais'!$B$4:$B$3143=Analítico!$B101),-(Analítico!N$3&gt;='Gastos Gerais'!$D$4:$D$3143),-(Analítico!N$3&lt;='Gastos Gerais'!$E$4:$E$3143),-('Gastos Gerais'!$C$4:$C$3143))</f>
        <v>2700</v>
      </c>
      <c r="O101" s="134">
        <f>SUMPRODUCT(-('Gastos Gerais'!$B$4:$B$3143=Analítico!$B101),-(Analítico!O$3&gt;='Gastos Gerais'!$D$4:$D$3143),-(Analítico!O$3&lt;='Gastos Gerais'!$E$4:$E$3143),-('Gastos Gerais'!$C$4:$C$3143))</f>
        <v>2700</v>
      </c>
      <c r="P101" s="134">
        <f>SUMPRODUCT(-('Gastos Gerais'!$B$4:$B$3143=Analítico!$B101),-(Analítico!P$3&gt;='Gastos Gerais'!$D$4:$D$3143),-(Analítico!P$3&lt;='Gastos Gerais'!$E$4:$E$3143),-('Gastos Gerais'!$C$4:$C$3143))</f>
        <v>2700</v>
      </c>
      <c r="Q101" s="134">
        <f>SUMPRODUCT(-('Gastos Gerais'!$B$4:$B$3143=Analítico!$B101),-(Analítico!Q$3&gt;='Gastos Gerais'!$D$4:$D$3143),-(Analítico!Q$3&lt;='Gastos Gerais'!$E$4:$E$3143),-('Gastos Gerais'!$C$4:$C$3143))</f>
        <v>2700</v>
      </c>
      <c r="R101" s="134">
        <f>SUMPRODUCT(-('Gastos Gerais'!$B$4:$B$3143=Analítico!$B101),-(Analítico!R$3&gt;='Gastos Gerais'!$D$4:$D$3143),-(Analítico!R$3&lt;='Gastos Gerais'!$E$4:$E$3143),-('Gastos Gerais'!$C$4:$C$3143))</f>
        <v>2700</v>
      </c>
      <c r="S101" s="134">
        <f>SUMPRODUCT(-('Gastos Gerais'!$B$4:$B$3143=Analítico!$B101),-(Analítico!S$3&gt;='Gastos Gerais'!$D$4:$D$3143),-(Analítico!S$3&lt;='Gastos Gerais'!$E$4:$E$3143),-('Gastos Gerais'!$C$4:$C$3143))</f>
        <v>2700</v>
      </c>
      <c r="T101" s="134">
        <f>SUMPRODUCT(-('Gastos Gerais'!$B$4:$B$3143=Analítico!$B101),-(Analítico!T$3&gt;='Gastos Gerais'!$D$4:$D$3143),-(Analítico!T$3&lt;='Gastos Gerais'!$E$4:$E$3143),-('Gastos Gerais'!$C$4:$C$3143))</f>
        <v>2700</v>
      </c>
      <c r="U101" s="134">
        <f>SUMPRODUCT(-('Gastos Gerais'!$B$4:$B$3143=Analítico!$B101),-(Analítico!U$3&gt;='Gastos Gerais'!$D$4:$D$3143),-(Analítico!U$3&lt;='Gastos Gerais'!$E$4:$E$3143),-('Gastos Gerais'!$C$4:$C$3143))</f>
        <v>2700</v>
      </c>
      <c r="V101" s="134">
        <f>SUMPRODUCT(-('Gastos Gerais'!$B$4:$B$3143=Analítico!$B101),-(Analítico!V$3&gt;='Gastos Gerais'!$D$4:$D$3143),-(Analítico!V$3&lt;='Gastos Gerais'!$E$4:$E$3143),-('Gastos Gerais'!$C$4:$C$3143))</f>
        <v>2700</v>
      </c>
      <c r="W101" s="134">
        <f>SUMPRODUCT(-('Gastos Gerais'!$B$4:$B$3143=Analítico!$B101),-(Analítico!W$3&gt;='Gastos Gerais'!$D$4:$D$3143),-(Analítico!W$3&lt;='Gastos Gerais'!$E$4:$E$3143),-('Gastos Gerais'!$C$4:$C$3143))</f>
        <v>2700</v>
      </c>
      <c r="X101" s="134">
        <f>SUMPRODUCT(-('Gastos Gerais'!$B$4:$B$3143=Analítico!$B101),-(Analítico!X$3&gt;='Gastos Gerais'!$D$4:$D$3143),-(Analítico!X$3&lt;='Gastos Gerais'!$E$4:$E$3143),-('Gastos Gerais'!$C$4:$C$3143))</f>
        <v>2700</v>
      </c>
      <c r="Y101" s="134">
        <f>SUMPRODUCT(-('Gastos Gerais'!$B$4:$B$3143=Analítico!$B101),-(Analítico!Y$3&gt;='Gastos Gerais'!$D$4:$D$3143),-(Analítico!Y$3&lt;='Gastos Gerais'!$E$4:$E$3143),-('Gastos Gerais'!$C$4:$C$3143))</f>
        <v>2700</v>
      </c>
      <c r="Z101" s="134">
        <f>SUMPRODUCT(-('Gastos Gerais'!$B$4:$B$3143=Analítico!$B101),-(Analítico!Z$3&gt;='Gastos Gerais'!$D$4:$D$3143),-(Analítico!Z$3&lt;='Gastos Gerais'!$E$4:$E$3143),-('Gastos Gerais'!$C$4:$C$3143))</f>
        <v>2700</v>
      </c>
      <c r="AA101" s="134">
        <f>SUMPRODUCT(-('Gastos Gerais'!$B$4:$B$3143=Analítico!$B101),-(Analítico!AA$3&gt;='Gastos Gerais'!$D$4:$D$3143),-(Analítico!AA$3&lt;='Gastos Gerais'!$E$4:$E$3143),-('Gastos Gerais'!$C$4:$C$3143))</f>
        <v>2750</v>
      </c>
      <c r="AB101" s="134">
        <f>SUMPRODUCT(-('Gastos Gerais'!$B$4:$B$3143=Analítico!$B101),-(Analítico!AB$3&gt;='Gastos Gerais'!$D$4:$D$3143),-(Analítico!AB$3&lt;='Gastos Gerais'!$E$4:$E$3143),-('Gastos Gerais'!$C$4:$C$3143))</f>
        <v>2750</v>
      </c>
      <c r="AC101" s="134">
        <f>SUMPRODUCT(-('Gastos Gerais'!$B$4:$B$3143=Analítico!$B101),-(Analítico!AC$3&gt;='Gastos Gerais'!$D$4:$D$3143),-(Analítico!AC$3&lt;='Gastos Gerais'!$E$4:$E$3143),-('Gastos Gerais'!$C$4:$C$3143))</f>
        <v>2750</v>
      </c>
      <c r="AD101" s="134">
        <f>SUMPRODUCT(-('Gastos Gerais'!$B$4:$B$3143=Analítico!$B101),-(Analítico!AD$3&gt;='Gastos Gerais'!$D$4:$D$3143),-(Analítico!AD$3&lt;='Gastos Gerais'!$E$4:$E$3143),-('Gastos Gerais'!$C$4:$C$3143))</f>
        <v>2750</v>
      </c>
      <c r="AE101" s="134">
        <f>SUMPRODUCT(-('Gastos Gerais'!$B$4:$B$3143=Analítico!$B101),-(Analítico!AE$3&gt;='Gastos Gerais'!$D$4:$D$3143),-(Analítico!AE$3&lt;='Gastos Gerais'!$E$4:$E$3143),-('Gastos Gerais'!$C$4:$C$3143))</f>
        <v>2750</v>
      </c>
      <c r="AF101" s="134">
        <f>SUMPRODUCT(-('Gastos Gerais'!$B$4:$B$3143=Analítico!$B101),-(Analítico!AF$3&gt;='Gastos Gerais'!$D$4:$D$3143),-(Analítico!AF$3&lt;='Gastos Gerais'!$E$4:$E$3143),-('Gastos Gerais'!$C$4:$C$3143))</f>
        <v>2750</v>
      </c>
      <c r="AG101" s="134">
        <f>SUMPRODUCT(-('Gastos Gerais'!$B$4:$B$3143=Analítico!$B101),-(Analítico!AG$3&gt;='Gastos Gerais'!$D$4:$D$3143),-(Analítico!AG$3&lt;='Gastos Gerais'!$E$4:$E$3143),-('Gastos Gerais'!$C$4:$C$3143))</f>
        <v>2750</v>
      </c>
      <c r="AH101" s="134">
        <f>SUMPRODUCT(-('Gastos Gerais'!$B$4:$B$3143=Analítico!$B101),-(Analítico!AH$3&gt;='Gastos Gerais'!$D$4:$D$3143),-(Analítico!AH$3&lt;='Gastos Gerais'!$E$4:$E$3143),-('Gastos Gerais'!$C$4:$C$3143))</f>
        <v>2750</v>
      </c>
      <c r="AI101" s="134">
        <f>SUMPRODUCT(-('Gastos Gerais'!$B$4:$B$3143=Analítico!$B101),-(Analítico!AI$3&gt;='Gastos Gerais'!$D$4:$D$3143),-(Analítico!AI$3&lt;='Gastos Gerais'!$E$4:$E$3143),-('Gastos Gerais'!$C$4:$C$3143))</f>
        <v>2750</v>
      </c>
      <c r="AJ101" s="134">
        <f>SUMPRODUCT(-('Gastos Gerais'!$B$4:$B$3143=Analítico!$B101),-(Analítico!AJ$3&gt;='Gastos Gerais'!$D$4:$D$3143),-(Analítico!AJ$3&lt;='Gastos Gerais'!$E$4:$E$3143),-('Gastos Gerais'!$C$4:$C$3143))</f>
        <v>2750</v>
      </c>
      <c r="AK101" s="134">
        <f>SUMPRODUCT(-('Gastos Gerais'!$B$4:$B$3143=Analítico!$B101),-(Analítico!AK$3&gt;='Gastos Gerais'!$D$4:$D$3143),-(Analítico!AK$3&lt;='Gastos Gerais'!$E$4:$E$3143),-('Gastos Gerais'!$C$4:$C$3143))</f>
        <v>2750</v>
      </c>
      <c r="AL101" s="134">
        <f>SUMPRODUCT(-('Gastos Gerais'!$B$4:$B$3143=Analítico!$B101),-(Analítico!AL$3&gt;='Gastos Gerais'!$D$4:$D$3143),-(Analítico!AL$3&lt;='Gastos Gerais'!$E$4:$E$3143),-('Gastos Gerais'!$C$4:$C$3143))</f>
        <v>2750</v>
      </c>
      <c r="AM101" s="134">
        <f>SUMPRODUCT(-('Gastos Gerais'!$B$4:$B$3143=Analítico!$B101),-(Analítico!AM$3&gt;='Gastos Gerais'!$D$4:$D$3143),-(Analítico!AM$3&lt;='Gastos Gerais'!$E$4:$E$3143),-('Gastos Gerais'!$C$4:$C$3143))</f>
        <v>1700</v>
      </c>
      <c r="AN101" s="134">
        <f>SUMPRODUCT(-('Gastos Gerais'!$B$4:$B$3143=Analítico!$B101),-(Analítico!AN$3&gt;='Gastos Gerais'!$D$4:$D$3143),-(Analítico!AN$3&lt;='Gastos Gerais'!$E$4:$E$3143),-('Gastos Gerais'!$C$4:$C$3143))</f>
        <v>1700</v>
      </c>
      <c r="AO101" s="134">
        <f>SUMPRODUCT(-('Gastos Gerais'!$B$4:$B$3143=Analítico!$B101),-(Analítico!AO$3&gt;='Gastos Gerais'!$D$4:$D$3143),-(Analítico!AO$3&lt;='Gastos Gerais'!$E$4:$E$3143),-('Gastos Gerais'!$C$4:$C$3143))</f>
        <v>1700</v>
      </c>
      <c r="AP101" s="134">
        <f>SUMPRODUCT(-('Gastos Gerais'!$B$4:$B$3143=Analítico!$B101),-(Analítico!AP$3&gt;='Gastos Gerais'!$D$4:$D$3143),-(Analítico!AP$3&lt;='Gastos Gerais'!$E$4:$E$3143),-('Gastos Gerais'!$C$4:$C$3143))</f>
        <v>1700</v>
      </c>
      <c r="AQ101" s="134">
        <f>SUMPRODUCT(-('Gastos Gerais'!$B$4:$B$3143=Analítico!$B101),-(Analítico!AQ$3&gt;='Gastos Gerais'!$D$4:$D$3143),-(Analítico!AQ$3&lt;='Gastos Gerais'!$E$4:$E$3143),-('Gastos Gerais'!$C$4:$C$3143))</f>
        <v>1700</v>
      </c>
      <c r="AR101" s="134">
        <f>SUMPRODUCT(-('Gastos Gerais'!$B$4:$B$3143=Analítico!$B101),-(Analítico!AR$3&gt;='Gastos Gerais'!$D$4:$D$3143),-(Analítico!AR$3&lt;='Gastos Gerais'!$E$4:$E$3143),-('Gastos Gerais'!$C$4:$C$3143))</f>
        <v>1700</v>
      </c>
      <c r="AS101" s="134">
        <f>SUMPRODUCT(-('Gastos Gerais'!$B$4:$B$3143=Analítico!$B101),-(Analítico!AS$3&gt;='Gastos Gerais'!$D$4:$D$3143),-(Analítico!AS$3&lt;='Gastos Gerais'!$E$4:$E$3143),-('Gastos Gerais'!$C$4:$C$3143))</f>
        <v>1700</v>
      </c>
      <c r="AT101" s="134">
        <f>SUMPRODUCT(-('Gastos Gerais'!$B$4:$B$3143=Analítico!$B101),-(Analítico!AT$3&gt;='Gastos Gerais'!$D$4:$D$3143),-(Analítico!AT$3&lt;='Gastos Gerais'!$E$4:$E$3143),-('Gastos Gerais'!$C$4:$C$3143))</f>
        <v>1700</v>
      </c>
      <c r="AU101" s="134">
        <f>SUMPRODUCT(-('Gastos Gerais'!$B$4:$B$3143=Analítico!$B101),-(Analítico!AU$3&gt;='Gastos Gerais'!$D$4:$D$3143),-(Analítico!AU$3&lt;='Gastos Gerais'!$E$4:$E$3143),-('Gastos Gerais'!$C$4:$C$3143))</f>
        <v>1700</v>
      </c>
      <c r="AV101" s="134">
        <f>SUMPRODUCT(-('Gastos Gerais'!$B$4:$B$3143=Analítico!$B101),-(Analítico!AV$3&gt;='Gastos Gerais'!$D$4:$D$3143),-(Analítico!AV$3&lt;='Gastos Gerais'!$E$4:$E$3143),-('Gastos Gerais'!$C$4:$C$3143))</f>
        <v>1700</v>
      </c>
      <c r="AW101" s="134">
        <f>SUMPRODUCT(-('Gastos Gerais'!$B$4:$B$3143=Analítico!$B101),-(Analítico!AW$3&gt;='Gastos Gerais'!$D$4:$D$3143),-(Analítico!AW$3&lt;='Gastos Gerais'!$E$4:$E$3143),-('Gastos Gerais'!$C$4:$C$3143))</f>
        <v>1700</v>
      </c>
      <c r="AX101" s="134">
        <f>SUMPRODUCT(-('Gastos Gerais'!$B$4:$B$3143=Analítico!$B101),-(Analítico!AX$3&gt;='Gastos Gerais'!$D$4:$D$3143),-(Analítico!AX$3&lt;='Gastos Gerais'!$E$4:$E$3143),-('Gastos Gerais'!$C$4:$C$3143))</f>
        <v>0</v>
      </c>
      <c r="AY101" s="134">
        <f>SUMPRODUCT(-('Gastos Gerais'!$B$4:$B$3143=Analítico!$B101),-(Analítico!AY$3&gt;='Gastos Gerais'!$D$4:$D$3143),-(Analítico!AY$3&lt;='Gastos Gerais'!$E$4:$E$3143),-('Gastos Gerais'!$C$4:$C$3143))</f>
        <v>0</v>
      </c>
      <c r="AZ101" s="134">
        <f>SUMPRODUCT(-('Gastos Gerais'!$B$4:$B$3143=Analítico!$B101),-(Analítico!AZ$3&gt;='Gastos Gerais'!$D$4:$D$3143),-(Analítico!AZ$3&lt;='Gastos Gerais'!$E$4:$E$3143),-('Gastos Gerais'!$C$4:$C$3143))</f>
        <v>0</v>
      </c>
      <c r="BA101" s="134">
        <f>SUMPRODUCT(-('Gastos Gerais'!$B$4:$B$3143=Analítico!$B101),-(Analítico!BA$3&gt;='Gastos Gerais'!$D$4:$D$3143),-(Analítico!BA$3&lt;='Gastos Gerais'!$E$4:$E$3143),-('Gastos Gerais'!$C$4:$C$3143))</f>
        <v>0</v>
      </c>
      <c r="BB101" s="134">
        <f>SUMPRODUCT(-('Gastos Gerais'!$B$4:$B$3143=Analítico!$B101),-(Analítico!BB$3&gt;='Gastos Gerais'!$D$4:$D$3143),-(Analítico!BB$3&lt;='Gastos Gerais'!$E$4:$E$3143),-('Gastos Gerais'!$C$4:$C$3143))</f>
        <v>0</v>
      </c>
      <c r="BC101" s="134">
        <f>SUMPRODUCT(-('Gastos Gerais'!$B$4:$B$3143=Analítico!$B101),-(Analítico!BC$3&gt;='Gastos Gerais'!$D$4:$D$3143),-(Analítico!BC$3&lt;='Gastos Gerais'!$E$4:$E$3143),-('Gastos Gerais'!$C$4:$C$3143))</f>
        <v>0</v>
      </c>
      <c r="BD101" s="134">
        <f>SUMPRODUCT(-('Gastos Gerais'!$B$4:$B$3143=Analítico!$B101),-(Analítico!BD$3&gt;='Gastos Gerais'!$D$4:$D$3143),-(Analítico!BD$3&lt;='Gastos Gerais'!$E$4:$E$3143),-('Gastos Gerais'!$C$4:$C$3143))</f>
        <v>0</v>
      </c>
      <c r="BE101" s="134">
        <f>SUMPRODUCT(-('Gastos Gerais'!$B$4:$B$3143=Analítico!$B101),-(Analítico!BE$3&gt;='Gastos Gerais'!$D$4:$D$3143),-(Analítico!BE$3&lt;='Gastos Gerais'!$E$4:$E$3143),-('Gastos Gerais'!$C$4:$C$3143))</f>
        <v>0</v>
      </c>
      <c r="BF101" s="134">
        <f>SUMPRODUCT(-('Gastos Gerais'!$B$4:$B$3143=Analítico!$B101),-(Analítico!BF$3&gt;='Gastos Gerais'!$D$4:$D$3143),-(Analítico!BF$3&lt;='Gastos Gerais'!$E$4:$E$3143),-('Gastos Gerais'!$C$4:$C$3143))</f>
        <v>0</v>
      </c>
      <c r="BG101" s="134">
        <f>SUMPRODUCT(-('Gastos Gerais'!$B$4:$B$3143=Analítico!$B101),-(Analítico!BG$3&gt;='Gastos Gerais'!$D$4:$D$3143),-(Analítico!BG$3&lt;='Gastos Gerais'!$E$4:$E$3143),-('Gastos Gerais'!$C$4:$C$3143))</f>
        <v>0</v>
      </c>
      <c r="BH101" s="134">
        <f>SUMPRODUCT(-('Gastos Gerais'!$B$4:$B$3143=Analítico!$B101),-(Analítico!BH$3&gt;='Gastos Gerais'!$D$4:$D$3143),-(Analítico!BH$3&lt;='Gastos Gerais'!$E$4:$E$3143),-('Gastos Gerais'!$C$4:$C$3143))</f>
        <v>0</v>
      </c>
      <c r="BI101" s="134">
        <f>SUMPRODUCT(-('Gastos Gerais'!$B$4:$B$3143=Analítico!$B101),-(Analítico!BI$3&gt;='Gastos Gerais'!$D$4:$D$3143),-(Analítico!BI$3&lt;='Gastos Gerais'!$E$4:$E$3143),-('Gastos Gerais'!$C$4:$C$3143))</f>
        <v>0</v>
      </c>
      <c r="BJ101" s="134">
        <f>SUMPRODUCT(-('Gastos Gerais'!$B$4:$B$3143=Analítico!$B101),-(Analítico!BJ$3&gt;='Gastos Gerais'!$D$4:$D$3143),-(Analítico!BJ$3&lt;='Gastos Gerais'!$E$4:$E$3143),-('Gastos Gerais'!$C$4:$C$3143))</f>
        <v>0</v>
      </c>
      <c r="BK101" s="189">
        <f t="shared" si="26"/>
        <v>114200</v>
      </c>
      <c r="BL101" s="136">
        <f t="shared" ca="1" si="27"/>
        <v>3.9319038408639455E-4</v>
      </c>
    </row>
    <row r="102" spans="1:64" s="160" customFormat="1" ht="23.25" customHeight="1">
      <c r="A102" s="229" t="s">
        <v>281</v>
      </c>
      <c r="B102" s="232" t="s">
        <v>282</v>
      </c>
      <c r="C102" s="188">
        <f>SUMPRODUCT(-('Gastos Gerais'!$B$4:$B$3143=Analítico!$B102),-(Analítico!C$3&gt;='Gastos Gerais'!$D$4:$D$3143),-(Analítico!C$3&lt;='Gastos Gerais'!$E$4:$E$3143),-('Gastos Gerais'!$C$4:$C$3143))</f>
        <v>8050</v>
      </c>
      <c r="D102" s="134">
        <f>SUMPRODUCT(-('Gastos Gerais'!$B$4:$B$3143=Analítico!$B102),-(Analítico!D$3&gt;='Gastos Gerais'!$D$4:$D$3143),-(Analítico!D$3&lt;='Gastos Gerais'!$E$4:$E$3143),-('Gastos Gerais'!$C$4:$C$3143))</f>
        <v>8050</v>
      </c>
      <c r="E102" s="134">
        <f>SUMPRODUCT(-('Gastos Gerais'!$B$4:$B$3143=Analítico!$B102),-(Analítico!E$3&gt;='Gastos Gerais'!$D$4:$D$3143),-(Analítico!E$3&lt;='Gastos Gerais'!$E$4:$E$3143),-('Gastos Gerais'!$C$4:$C$3143))</f>
        <v>8500</v>
      </c>
      <c r="F102" s="134">
        <f>SUMPRODUCT(-('Gastos Gerais'!$B$4:$B$3143=Analítico!$B102),-(Analítico!F$3&gt;='Gastos Gerais'!$D$4:$D$3143),-(Analítico!F$3&lt;='Gastos Gerais'!$E$4:$E$3143),-('Gastos Gerais'!$C$4:$C$3143))</f>
        <v>8950</v>
      </c>
      <c r="G102" s="134">
        <f>SUMPRODUCT(-('Gastos Gerais'!$B$4:$B$3143=Analítico!$B102),-(Analítico!G$3&gt;='Gastos Gerais'!$D$4:$D$3143),-(Analítico!G$3&lt;='Gastos Gerais'!$E$4:$E$3143),-('Gastos Gerais'!$C$4:$C$3143))</f>
        <v>8950</v>
      </c>
      <c r="H102" s="134">
        <f>SUMPRODUCT(-('Gastos Gerais'!$B$4:$B$3143=Analítico!$B102),-(Analítico!H$3&gt;='Gastos Gerais'!$D$4:$D$3143),-(Analítico!H$3&lt;='Gastos Gerais'!$E$4:$E$3143),-('Gastos Gerais'!$C$4:$C$3143))</f>
        <v>8950</v>
      </c>
      <c r="I102" s="134">
        <f>SUMPRODUCT(-('Gastos Gerais'!$B$4:$B$3143=Analítico!$B102),-(Analítico!I$3&gt;='Gastos Gerais'!$D$4:$D$3143),-(Analítico!I$3&lt;='Gastos Gerais'!$E$4:$E$3143),-('Gastos Gerais'!$C$4:$C$3143))</f>
        <v>9400</v>
      </c>
      <c r="J102" s="134">
        <f>SUMPRODUCT(-('Gastos Gerais'!$B$4:$B$3143=Analítico!$B102),-(Analítico!J$3&gt;='Gastos Gerais'!$D$4:$D$3143),-(Analítico!J$3&lt;='Gastos Gerais'!$E$4:$E$3143),-('Gastos Gerais'!$C$4:$C$3143))</f>
        <v>9400</v>
      </c>
      <c r="K102" s="134">
        <f>SUMPRODUCT(-('Gastos Gerais'!$B$4:$B$3143=Analítico!$B102),-(Analítico!K$3&gt;='Gastos Gerais'!$D$4:$D$3143),-(Analítico!K$3&lt;='Gastos Gerais'!$E$4:$E$3143),-('Gastos Gerais'!$C$4:$C$3143))</f>
        <v>9400</v>
      </c>
      <c r="L102" s="134">
        <f>SUMPRODUCT(-('Gastos Gerais'!$B$4:$B$3143=Analítico!$B102),-(Analítico!L$3&gt;='Gastos Gerais'!$D$4:$D$3143),-(Analítico!L$3&lt;='Gastos Gerais'!$E$4:$E$3143),-('Gastos Gerais'!$C$4:$C$3143))</f>
        <v>9850</v>
      </c>
      <c r="M102" s="134">
        <f>SUMPRODUCT(-('Gastos Gerais'!$B$4:$B$3143=Analítico!$B102),-(Analítico!M$3&gt;='Gastos Gerais'!$D$4:$D$3143),-(Analítico!M$3&lt;='Gastos Gerais'!$E$4:$E$3143),-('Gastos Gerais'!$C$4:$C$3143))</f>
        <v>9850</v>
      </c>
      <c r="N102" s="134">
        <f>SUMPRODUCT(-('Gastos Gerais'!$B$4:$B$3143=Analítico!$B102),-(Analítico!N$3&gt;='Gastos Gerais'!$D$4:$D$3143),-(Analítico!N$3&lt;='Gastos Gerais'!$E$4:$E$3143),-('Gastos Gerais'!$C$4:$C$3143))</f>
        <v>9850</v>
      </c>
      <c r="O102" s="134">
        <f>SUMPRODUCT(-('Gastos Gerais'!$B$4:$B$3143=Analítico!$B102),-(Analítico!O$3&gt;='Gastos Gerais'!$D$4:$D$3143),-(Analítico!O$3&lt;='Gastos Gerais'!$E$4:$E$3143),-('Gastos Gerais'!$C$4:$C$3143))</f>
        <v>9850</v>
      </c>
      <c r="P102" s="134">
        <f>SUMPRODUCT(-('Gastos Gerais'!$B$4:$B$3143=Analítico!$B102),-(Analítico!P$3&gt;='Gastos Gerais'!$D$4:$D$3143),-(Analítico!P$3&lt;='Gastos Gerais'!$E$4:$E$3143),-('Gastos Gerais'!$C$4:$C$3143))</f>
        <v>9850</v>
      </c>
      <c r="Q102" s="134">
        <f>SUMPRODUCT(-('Gastos Gerais'!$B$4:$B$3143=Analítico!$B102),-(Analítico!Q$3&gt;='Gastos Gerais'!$D$4:$D$3143),-(Analítico!Q$3&lt;='Gastos Gerais'!$E$4:$E$3143),-('Gastos Gerais'!$C$4:$C$3143))</f>
        <v>9850</v>
      </c>
      <c r="R102" s="134">
        <f>SUMPRODUCT(-('Gastos Gerais'!$B$4:$B$3143=Analítico!$B102),-(Analítico!R$3&gt;='Gastos Gerais'!$D$4:$D$3143),-(Analítico!R$3&lt;='Gastos Gerais'!$E$4:$E$3143),-('Gastos Gerais'!$C$4:$C$3143))</f>
        <v>9850</v>
      </c>
      <c r="S102" s="134">
        <f>SUMPRODUCT(-('Gastos Gerais'!$B$4:$B$3143=Analítico!$B102),-(Analítico!S$3&gt;='Gastos Gerais'!$D$4:$D$3143),-(Analítico!S$3&lt;='Gastos Gerais'!$E$4:$E$3143),-('Gastos Gerais'!$C$4:$C$3143))</f>
        <v>9850</v>
      </c>
      <c r="T102" s="134">
        <f>SUMPRODUCT(-('Gastos Gerais'!$B$4:$B$3143=Analítico!$B102),-(Analítico!T$3&gt;='Gastos Gerais'!$D$4:$D$3143),-(Analítico!T$3&lt;='Gastos Gerais'!$E$4:$E$3143),-('Gastos Gerais'!$C$4:$C$3143))</f>
        <v>9850</v>
      </c>
      <c r="U102" s="134">
        <f>SUMPRODUCT(-('Gastos Gerais'!$B$4:$B$3143=Analítico!$B102),-(Analítico!U$3&gt;='Gastos Gerais'!$D$4:$D$3143),-(Analítico!U$3&lt;='Gastos Gerais'!$E$4:$E$3143),-('Gastos Gerais'!$C$4:$C$3143))</f>
        <v>9850</v>
      </c>
      <c r="V102" s="134">
        <f>SUMPRODUCT(-('Gastos Gerais'!$B$4:$B$3143=Analítico!$B102),-(Analítico!V$3&gt;='Gastos Gerais'!$D$4:$D$3143),-(Analítico!V$3&lt;='Gastos Gerais'!$E$4:$E$3143),-('Gastos Gerais'!$C$4:$C$3143))</f>
        <v>9850</v>
      </c>
      <c r="W102" s="134">
        <f>SUMPRODUCT(-('Gastos Gerais'!$B$4:$B$3143=Analítico!$B102),-(Analítico!W$3&gt;='Gastos Gerais'!$D$4:$D$3143),-(Analítico!W$3&lt;='Gastos Gerais'!$E$4:$E$3143),-('Gastos Gerais'!$C$4:$C$3143))</f>
        <v>9850</v>
      </c>
      <c r="X102" s="134">
        <f>SUMPRODUCT(-('Gastos Gerais'!$B$4:$B$3143=Analítico!$B102),-(Analítico!X$3&gt;='Gastos Gerais'!$D$4:$D$3143),-(Analítico!X$3&lt;='Gastos Gerais'!$E$4:$E$3143),-('Gastos Gerais'!$C$4:$C$3143))</f>
        <v>9850</v>
      </c>
      <c r="Y102" s="134">
        <f>SUMPRODUCT(-('Gastos Gerais'!$B$4:$B$3143=Analítico!$B102),-(Analítico!Y$3&gt;='Gastos Gerais'!$D$4:$D$3143),-(Analítico!Y$3&lt;='Gastos Gerais'!$E$4:$E$3143),-('Gastos Gerais'!$C$4:$C$3143))</f>
        <v>9850</v>
      </c>
      <c r="Z102" s="134">
        <f>SUMPRODUCT(-('Gastos Gerais'!$B$4:$B$3143=Analítico!$B102),-(Analítico!Z$3&gt;='Gastos Gerais'!$D$4:$D$3143),-(Analítico!Z$3&lt;='Gastos Gerais'!$E$4:$E$3143),-('Gastos Gerais'!$C$4:$C$3143))</f>
        <v>9850</v>
      </c>
      <c r="AA102" s="134">
        <f>SUMPRODUCT(-('Gastos Gerais'!$B$4:$B$3143=Analítico!$B102),-(Analítico!AA$3&gt;='Gastos Gerais'!$D$4:$D$3143),-(Analítico!AA$3&lt;='Gastos Gerais'!$E$4:$E$3143),-('Gastos Gerais'!$C$4:$C$3143))</f>
        <v>10000</v>
      </c>
      <c r="AB102" s="134">
        <f>SUMPRODUCT(-('Gastos Gerais'!$B$4:$B$3143=Analítico!$B102),-(Analítico!AB$3&gt;='Gastos Gerais'!$D$4:$D$3143),-(Analítico!AB$3&lt;='Gastos Gerais'!$E$4:$E$3143),-('Gastos Gerais'!$C$4:$C$3143))</f>
        <v>10000</v>
      </c>
      <c r="AC102" s="134">
        <f>SUMPRODUCT(-('Gastos Gerais'!$B$4:$B$3143=Analítico!$B102),-(Analítico!AC$3&gt;='Gastos Gerais'!$D$4:$D$3143),-(Analítico!AC$3&lt;='Gastos Gerais'!$E$4:$E$3143),-('Gastos Gerais'!$C$4:$C$3143))</f>
        <v>10000</v>
      </c>
      <c r="AD102" s="134">
        <f>SUMPRODUCT(-('Gastos Gerais'!$B$4:$B$3143=Analítico!$B102),-(Analítico!AD$3&gt;='Gastos Gerais'!$D$4:$D$3143),-(Analítico!AD$3&lt;='Gastos Gerais'!$E$4:$E$3143),-('Gastos Gerais'!$C$4:$C$3143))</f>
        <v>10000</v>
      </c>
      <c r="AE102" s="134">
        <f>SUMPRODUCT(-('Gastos Gerais'!$B$4:$B$3143=Analítico!$B102),-(Analítico!AE$3&gt;='Gastos Gerais'!$D$4:$D$3143),-(Analítico!AE$3&lt;='Gastos Gerais'!$E$4:$E$3143),-('Gastos Gerais'!$C$4:$C$3143))</f>
        <v>10000</v>
      </c>
      <c r="AF102" s="134">
        <f>SUMPRODUCT(-('Gastos Gerais'!$B$4:$B$3143=Analítico!$B102),-(Analítico!AF$3&gt;='Gastos Gerais'!$D$4:$D$3143),-(Analítico!AF$3&lt;='Gastos Gerais'!$E$4:$E$3143),-('Gastos Gerais'!$C$4:$C$3143))</f>
        <v>10000</v>
      </c>
      <c r="AG102" s="134">
        <f>SUMPRODUCT(-('Gastos Gerais'!$B$4:$B$3143=Analítico!$B102),-(Analítico!AG$3&gt;='Gastos Gerais'!$D$4:$D$3143),-(Analítico!AG$3&lt;='Gastos Gerais'!$E$4:$E$3143),-('Gastos Gerais'!$C$4:$C$3143))</f>
        <v>10000</v>
      </c>
      <c r="AH102" s="134">
        <f>SUMPRODUCT(-('Gastos Gerais'!$B$4:$B$3143=Analítico!$B102),-(Analítico!AH$3&gt;='Gastos Gerais'!$D$4:$D$3143),-(Analítico!AH$3&lt;='Gastos Gerais'!$E$4:$E$3143),-('Gastos Gerais'!$C$4:$C$3143))</f>
        <v>10000</v>
      </c>
      <c r="AI102" s="134">
        <f>SUMPRODUCT(-('Gastos Gerais'!$B$4:$B$3143=Analítico!$B102),-(Analítico!AI$3&gt;='Gastos Gerais'!$D$4:$D$3143),-(Analítico!AI$3&lt;='Gastos Gerais'!$E$4:$E$3143),-('Gastos Gerais'!$C$4:$C$3143))</f>
        <v>10000</v>
      </c>
      <c r="AJ102" s="134">
        <f>SUMPRODUCT(-('Gastos Gerais'!$B$4:$B$3143=Analítico!$B102),-(Analítico!AJ$3&gt;='Gastos Gerais'!$D$4:$D$3143),-(Analítico!AJ$3&lt;='Gastos Gerais'!$E$4:$E$3143),-('Gastos Gerais'!$C$4:$C$3143))</f>
        <v>10000</v>
      </c>
      <c r="AK102" s="134">
        <f>SUMPRODUCT(-('Gastos Gerais'!$B$4:$B$3143=Analítico!$B102),-(Analítico!AK$3&gt;='Gastos Gerais'!$D$4:$D$3143),-(Analítico!AK$3&lt;='Gastos Gerais'!$E$4:$E$3143),-('Gastos Gerais'!$C$4:$C$3143))</f>
        <v>10000</v>
      </c>
      <c r="AL102" s="134">
        <f>SUMPRODUCT(-('Gastos Gerais'!$B$4:$B$3143=Analítico!$B102),-(Analítico!AL$3&gt;='Gastos Gerais'!$D$4:$D$3143),-(Analítico!AL$3&lt;='Gastos Gerais'!$E$4:$E$3143),-('Gastos Gerais'!$C$4:$C$3143))</f>
        <v>10000</v>
      </c>
      <c r="AM102" s="134">
        <f>SUMPRODUCT(-('Gastos Gerais'!$B$4:$B$3143=Analítico!$B102),-(Analítico!AM$3&gt;='Gastos Gerais'!$D$4:$D$3143),-(Analítico!AM$3&lt;='Gastos Gerais'!$E$4:$E$3143),-('Gastos Gerais'!$C$4:$C$3143))</f>
        <v>4950</v>
      </c>
      <c r="AN102" s="134">
        <f>SUMPRODUCT(-('Gastos Gerais'!$B$4:$B$3143=Analítico!$B102),-(Analítico!AN$3&gt;='Gastos Gerais'!$D$4:$D$3143),-(Analítico!AN$3&lt;='Gastos Gerais'!$E$4:$E$3143),-('Gastos Gerais'!$C$4:$C$3143))</f>
        <v>4950</v>
      </c>
      <c r="AO102" s="134">
        <f>SUMPRODUCT(-('Gastos Gerais'!$B$4:$B$3143=Analítico!$B102),-(Analítico!AO$3&gt;='Gastos Gerais'!$D$4:$D$3143),-(Analítico!AO$3&lt;='Gastos Gerais'!$E$4:$E$3143),-('Gastos Gerais'!$C$4:$C$3143))</f>
        <v>4950</v>
      </c>
      <c r="AP102" s="134">
        <f>SUMPRODUCT(-('Gastos Gerais'!$B$4:$B$3143=Analítico!$B102),-(Analítico!AP$3&gt;='Gastos Gerais'!$D$4:$D$3143),-(Analítico!AP$3&lt;='Gastos Gerais'!$E$4:$E$3143),-('Gastos Gerais'!$C$4:$C$3143))</f>
        <v>4950</v>
      </c>
      <c r="AQ102" s="134">
        <f>SUMPRODUCT(-('Gastos Gerais'!$B$4:$B$3143=Analítico!$B102),-(Analítico!AQ$3&gt;='Gastos Gerais'!$D$4:$D$3143),-(Analítico!AQ$3&lt;='Gastos Gerais'!$E$4:$E$3143),-('Gastos Gerais'!$C$4:$C$3143))</f>
        <v>4950</v>
      </c>
      <c r="AR102" s="134">
        <f>SUMPRODUCT(-('Gastos Gerais'!$B$4:$B$3143=Analítico!$B102),-(Analítico!AR$3&gt;='Gastos Gerais'!$D$4:$D$3143),-(Analítico!AR$3&lt;='Gastos Gerais'!$E$4:$E$3143),-('Gastos Gerais'!$C$4:$C$3143))</f>
        <v>4950</v>
      </c>
      <c r="AS102" s="134">
        <f>SUMPRODUCT(-('Gastos Gerais'!$B$4:$B$3143=Analítico!$B102),-(Analítico!AS$3&gt;='Gastos Gerais'!$D$4:$D$3143),-(Analítico!AS$3&lt;='Gastos Gerais'!$E$4:$E$3143),-('Gastos Gerais'!$C$4:$C$3143))</f>
        <v>4950</v>
      </c>
      <c r="AT102" s="134">
        <f>SUMPRODUCT(-('Gastos Gerais'!$B$4:$B$3143=Analítico!$B102),-(Analítico!AT$3&gt;='Gastos Gerais'!$D$4:$D$3143),-(Analítico!AT$3&lt;='Gastos Gerais'!$E$4:$E$3143),-('Gastos Gerais'!$C$4:$C$3143))</f>
        <v>4950</v>
      </c>
      <c r="AU102" s="134">
        <f>SUMPRODUCT(-('Gastos Gerais'!$B$4:$B$3143=Analítico!$B102),-(Analítico!AU$3&gt;='Gastos Gerais'!$D$4:$D$3143),-(Analítico!AU$3&lt;='Gastos Gerais'!$E$4:$E$3143),-('Gastos Gerais'!$C$4:$C$3143))</f>
        <v>4950</v>
      </c>
      <c r="AV102" s="134">
        <f>SUMPRODUCT(-('Gastos Gerais'!$B$4:$B$3143=Analítico!$B102),-(Analítico!AV$3&gt;='Gastos Gerais'!$D$4:$D$3143),-(Analítico!AV$3&lt;='Gastos Gerais'!$E$4:$E$3143),-('Gastos Gerais'!$C$4:$C$3143))</f>
        <v>4950</v>
      </c>
      <c r="AW102" s="134">
        <f>SUMPRODUCT(-('Gastos Gerais'!$B$4:$B$3143=Analítico!$B102),-(Analítico!AW$3&gt;='Gastos Gerais'!$D$4:$D$3143),-(Analítico!AW$3&lt;='Gastos Gerais'!$E$4:$E$3143),-('Gastos Gerais'!$C$4:$C$3143))</f>
        <v>4950</v>
      </c>
      <c r="AX102" s="134">
        <f>SUMPRODUCT(-('Gastos Gerais'!$B$4:$B$3143=Analítico!$B102),-(Analítico!AX$3&gt;='Gastos Gerais'!$D$4:$D$3143),-(Analítico!AX$3&lt;='Gastos Gerais'!$E$4:$E$3143),-('Gastos Gerais'!$C$4:$C$3143))</f>
        <v>0</v>
      </c>
      <c r="AY102" s="134">
        <f>SUMPRODUCT(-('Gastos Gerais'!$B$4:$B$3143=Analítico!$B102),-(Analítico!AY$3&gt;='Gastos Gerais'!$D$4:$D$3143),-(Analítico!AY$3&lt;='Gastos Gerais'!$E$4:$E$3143),-('Gastos Gerais'!$C$4:$C$3143))</f>
        <v>0</v>
      </c>
      <c r="AZ102" s="134">
        <f>SUMPRODUCT(-('Gastos Gerais'!$B$4:$B$3143=Analítico!$B102),-(Analítico!AZ$3&gt;='Gastos Gerais'!$D$4:$D$3143),-(Analítico!AZ$3&lt;='Gastos Gerais'!$E$4:$E$3143),-('Gastos Gerais'!$C$4:$C$3143))</f>
        <v>0</v>
      </c>
      <c r="BA102" s="134">
        <f>SUMPRODUCT(-('Gastos Gerais'!$B$4:$B$3143=Analítico!$B102),-(Analítico!BA$3&gt;='Gastos Gerais'!$D$4:$D$3143),-(Analítico!BA$3&lt;='Gastos Gerais'!$E$4:$E$3143),-('Gastos Gerais'!$C$4:$C$3143))</f>
        <v>0</v>
      </c>
      <c r="BB102" s="134">
        <f>SUMPRODUCT(-('Gastos Gerais'!$B$4:$B$3143=Analítico!$B102),-(Analítico!BB$3&gt;='Gastos Gerais'!$D$4:$D$3143),-(Analítico!BB$3&lt;='Gastos Gerais'!$E$4:$E$3143),-('Gastos Gerais'!$C$4:$C$3143))</f>
        <v>0</v>
      </c>
      <c r="BC102" s="134">
        <f>SUMPRODUCT(-('Gastos Gerais'!$B$4:$B$3143=Analítico!$B102),-(Analítico!BC$3&gt;='Gastos Gerais'!$D$4:$D$3143),-(Analítico!BC$3&lt;='Gastos Gerais'!$E$4:$E$3143),-('Gastos Gerais'!$C$4:$C$3143))</f>
        <v>0</v>
      </c>
      <c r="BD102" s="134">
        <f>SUMPRODUCT(-('Gastos Gerais'!$B$4:$B$3143=Analítico!$B102),-(Analítico!BD$3&gt;='Gastos Gerais'!$D$4:$D$3143),-(Analítico!BD$3&lt;='Gastos Gerais'!$E$4:$E$3143),-('Gastos Gerais'!$C$4:$C$3143))</f>
        <v>0</v>
      </c>
      <c r="BE102" s="134">
        <f>SUMPRODUCT(-('Gastos Gerais'!$B$4:$B$3143=Analítico!$B102),-(Analítico!BE$3&gt;='Gastos Gerais'!$D$4:$D$3143),-(Analítico!BE$3&lt;='Gastos Gerais'!$E$4:$E$3143),-('Gastos Gerais'!$C$4:$C$3143))</f>
        <v>0</v>
      </c>
      <c r="BF102" s="134">
        <f>SUMPRODUCT(-('Gastos Gerais'!$B$4:$B$3143=Analítico!$B102),-(Analítico!BF$3&gt;='Gastos Gerais'!$D$4:$D$3143),-(Analítico!BF$3&lt;='Gastos Gerais'!$E$4:$E$3143),-('Gastos Gerais'!$C$4:$C$3143))</f>
        <v>0</v>
      </c>
      <c r="BG102" s="134">
        <f>SUMPRODUCT(-('Gastos Gerais'!$B$4:$B$3143=Analítico!$B102),-(Analítico!BG$3&gt;='Gastos Gerais'!$D$4:$D$3143),-(Analítico!BG$3&lt;='Gastos Gerais'!$E$4:$E$3143),-('Gastos Gerais'!$C$4:$C$3143))</f>
        <v>0</v>
      </c>
      <c r="BH102" s="134">
        <f>SUMPRODUCT(-('Gastos Gerais'!$B$4:$B$3143=Analítico!$B102),-(Analítico!BH$3&gt;='Gastos Gerais'!$D$4:$D$3143),-(Analítico!BH$3&lt;='Gastos Gerais'!$E$4:$E$3143),-('Gastos Gerais'!$C$4:$C$3143))</f>
        <v>0</v>
      </c>
      <c r="BI102" s="134">
        <f>SUMPRODUCT(-('Gastos Gerais'!$B$4:$B$3143=Analítico!$B102),-(Analítico!BI$3&gt;='Gastos Gerais'!$D$4:$D$3143),-(Analítico!BI$3&lt;='Gastos Gerais'!$E$4:$E$3143),-('Gastos Gerais'!$C$4:$C$3143))</f>
        <v>0</v>
      </c>
      <c r="BJ102" s="134">
        <f>SUMPRODUCT(-('Gastos Gerais'!$B$4:$B$3143=Analítico!$B102),-(Analítico!BJ$3&gt;='Gastos Gerais'!$D$4:$D$3143),-(Analítico!BJ$3&lt;='Gastos Gerais'!$E$4:$E$3143),-('Gastos Gerais'!$C$4:$C$3143))</f>
        <v>0</v>
      </c>
      <c r="BK102" s="189">
        <f t="shared" si="26"/>
        <v>401850</v>
      </c>
      <c r="BL102" s="136">
        <f t="shared" ca="1" si="27"/>
        <v>1.3835687902374575E-3</v>
      </c>
    </row>
    <row r="103" spans="1:64" s="160" customFormat="1" ht="23.25" customHeight="1">
      <c r="A103" s="229" t="s">
        <v>283</v>
      </c>
      <c r="B103" s="232" t="s">
        <v>284</v>
      </c>
      <c r="C103" s="188">
        <f>SUMPRODUCT(-('Gastos Gerais'!$B$4:$B$3143=Analítico!$B103),-(Analítico!C$3&gt;='Gastos Gerais'!$D$4:$D$3143),-(Analítico!C$3&lt;='Gastos Gerais'!$E$4:$E$3143),-('Gastos Gerais'!$C$4:$C$3143))</f>
        <v>17850</v>
      </c>
      <c r="D103" s="134">
        <f>SUMPRODUCT(-('Gastos Gerais'!$B$4:$B$3143=Analítico!$B103),-(Analítico!D$3&gt;='Gastos Gerais'!$D$4:$D$3143),-(Analítico!D$3&lt;='Gastos Gerais'!$E$4:$E$3143),-('Gastos Gerais'!$C$4:$C$3143))</f>
        <v>17850</v>
      </c>
      <c r="E103" s="134">
        <f>SUMPRODUCT(-('Gastos Gerais'!$B$4:$B$3143=Analítico!$B103),-(Analítico!E$3&gt;='Gastos Gerais'!$D$4:$D$3143),-(Analítico!E$3&lt;='Gastos Gerais'!$E$4:$E$3143),-('Gastos Gerais'!$C$4:$C$3143))</f>
        <v>18800</v>
      </c>
      <c r="F103" s="134">
        <f>SUMPRODUCT(-('Gastos Gerais'!$B$4:$B$3143=Analítico!$B103),-(Analítico!F$3&gt;='Gastos Gerais'!$D$4:$D$3143),-(Analítico!F$3&lt;='Gastos Gerais'!$E$4:$E$3143),-('Gastos Gerais'!$C$4:$C$3143))</f>
        <v>19750</v>
      </c>
      <c r="G103" s="134">
        <f>SUMPRODUCT(-('Gastos Gerais'!$B$4:$B$3143=Analítico!$B103),-(Analítico!G$3&gt;='Gastos Gerais'!$D$4:$D$3143),-(Analítico!G$3&lt;='Gastos Gerais'!$E$4:$E$3143),-('Gastos Gerais'!$C$4:$C$3143))</f>
        <v>19750</v>
      </c>
      <c r="H103" s="134">
        <f>SUMPRODUCT(-('Gastos Gerais'!$B$4:$B$3143=Analítico!$B103),-(Analítico!H$3&gt;='Gastos Gerais'!$D$4:$D$3143),-(Analítico!H$3&lt;='Gastos Gerais'!$E$4:$E$3143),-('Gastos Gerais'!$C$4:$C$3143))</f>
        <v>19750</v>
      </c>
      <c r="I103" s="134">
        <f>SUMPRODUCT(-('Gastos Gerais'!$B$4:$B$3143=Analítico!$B103),-(Analítico!I$3&gt;='Gastos Gerais'!$D$4:$D$3143),-(Analítico!I$3&lt;='Gastos Gerais'!$E$4:$E$3143),-('Gastos Gerais'!$C$4:$C$3143))</f>
        <v>20700</v>
      </c>
      <c r="J103" s="134">
        <f>SUMPRODUCT(-('Gastos Gerais'!$B$4:$B$3143=Analítico!$B103),-(Analítico!J$3&gt;='Gastos Gerais'!$D$4:$D$3143),-(Analítico!J$3&lt;='Gastos Gerais'!$E$4:$E$3143),-('Gastos Gerais'!$C$4:$C$3143))</f>
        <v>20700</v>
      </c>
      <c r="K103" s="134">
        <f>SUMPRODUCT(-('Gastos Gerais'!$B$4:$B$3143=Analítico!$B103),-(Analítico!K$3&gt;='Gastos Gerais'!$D$4:$D$3143),-(Analítico!K$3&lt;='Gastos Gerais'!$E$4:$E$3143),-('Gastos Gerais'!$C$4:$C$3143))</f>
        <v>20700</v>
      </c>
      <c r="L103" s="134">
        <f>SUMPRODUCT(-('Gastos Gerais'!$B$4:$B$3143=Analítico!$B103),-(Analítico!L$3&gt;='Gastos Gerais'!$D$4:$D$3143),-(Analítico!L$3&lt;='Gastos Gerais'!$E$4:$E$3143),-('Gastos Gerais'!$C$4:$C$3143))</f>
        <v>21650</v>
      </c>
      <c r="M103" s="134">
        <f>SUMPRODUCT(-('Gastos Gerais'!$B$4:$B$3143=Analítico!$B103),-(Analítico!M$3&gt;='Gastos Gerais'!$D$4:$D$3143),-(Analítico!M$3&lt;='Gastos Gerais'!$E$4:$E$3143),-('Gastos Gerais'!$C$4:$C$3143))</f>
        <v>21650</v>
      </c>
      <c r="N103" s="134">
        <f>SUMPRODUCT(-('Gastos Gerais'!$B$4:$B$3143=Analítico!$B103),-(Analítico!N$3&gt;='Gastos Gerais'!$D$4:$D$3143),-(Analítico!N$3&lt;='Gastos Gerais'!$E$4:$E$3143),-('Gastos Gerais'!$C$4:$C$3143))</f>
        <v>21650</v>
      </c>
      <c r="O103" s="134">
        <f>SUMPRODUCT(-('Gastos Gerais'!$B$4:$B$3143=Analítico!$B103),-(Analítico!O$3&gt;='Gastos Gerais'!$D$4:$D$3143),-(Analítico!O$3&lt;='Gastos Gerais'!$E$4:$E$3143),-('Gastos Gerais'!$C$4:$C$3143))</f>
        <v>21650</v>
      </c>
      <c r="P103" s="134">
        <f>SUMPRODUCT(-('Gastos Gerais'!$B$4:$B$3143=Analítico!$B103),-(Analítico!P$3&gt;='Gastos Gerais'!$D$4:$D$3143),-(Analítico!P$3&lt;='Gastos Gerais'!$E$4:$E$3143),-('Gastos Gerais'!$C$4:$C$3143))</f>
        <v>21650</v>
      </c>
      <c r="Q103" s="134">
        <f>SUMPRODUCT(-('Gastos Gerais'!$B$4:$B$3143=Analítico!$B103),-(Analítico!Q$3&gt;='Gastos Gerais'!$D$4:$D$3143),-(Analítico!Q$3&lt;='Gastos Gerais'!$E$4:$E$3143),-('Gastos Gerais'!$C$4:$C$3143))</f>
        <v>21650</v>
      </c>
      <c r="R103" s="134">
        <f>SUMPRODUCT(-('Gastos Gerais'!$B$4:$B$3143=Analítico!$B103),-(Analítico!R$3&gt;='Gastos Gerais'!$D$4:$D$3143),-(Analítico!R$3&lt;='Gastos Gerais'!$E$4:$E$3143),-('Gastos Gerais'!$C$4:$C$3143))</f>
        <v>21650</v>
      </c>
      <c r="S103" s="134">
        <f>SUMPRODUCT(-('Gastos Gerais'!$B$4:$B$3143=Analítico!$B103),-(Analítico!S$3&gt;='Gastos Gerais'!$D$4:$D$3143),-(Analítico!S$3&lt;='Gastos Gerais'!$E$4:$E$3143),-('Gastos Gerais'!$C$4:$C$3143))</f>
        <v>21650</v>
      </c>
      <c r="T103" s="134">
        <f>SUMPRODUCT(-('Gastos Gerais'!$B$4:$B$3143=Analítico!$B103),-(Analítico!T$3&gt;='Gastos Gerais'!$D$4:$D$3143),-(Analítico!T$3&lt;='Gastos Gerais'!$E$4:$E$3143),-('Gastos Gerais'!$C$4:$C$3143))</f>
        <v>21650</v>
      </c>
      <c r="U103" s="134">
        <f>SUMPRODUCT(-('Gastos Gerais'!$B$4:$B$3143=Analítico!$B103),-(Analítico!U$3&gt;='Gastos Gerais'!$D$4:$D$3143),-(Analítico!U$3&lt;='Gastos Gerais'!$E$4:$E$3143),-('Gastos Gerais'!$C$4:$C$3143))</f>
        <v>21650</v>
      </c>
      <c r="V103" s="134">
        <f>SUMPRODUCT(-('Gastos Gerais'!$B$4:$B$3143=Analítico!$B103),-(Analítico!V$3&gt;='Gastos Gerais'!$D$4:$D$3143),-(Analítico!V$3&lt;='Gastos Gerais'!$E$4:$E$3143),-('Gastos Gerais'!$C$4:$C$3143))</f>
        <v>21650</v>
      </c>
      <c r="W103" s="134">
        <f>SUMPRODUCT(-('Gastos Gerais'!$B$4:$B$3143=Analítico!$B103),-(Analítico!W$3&gt;='Gastos Gerais'!$D$4:$D$3143),-(Analítico!W$3&lt;='Gastos Gerais'!$E$4:$E$3143),-('Gastos Gerais'!$C$4:$C$3143))</f>
        <v>21650</v>
      </c>
      <c r="X103" s="134">
        <f>SUMPRODUCT(-('Gastos Gerais'!$B$4:$B$3143=Analítico!$B103),-(Analítico!X$3&gt;='Gastos Gerais'!$D$4:$D$3143),-(Analítico!X$3&lt;='Gastos Gerais'!$E$4:$E$3143),-('Gastos Gerais'!$C$4:$C$3143))</f>
        <v>21650</v>
      </c>
      <c r="Y103" s="134">
        <f>SUMPRODUCT(-('Gastos Gerais'!$B$4:$B$3143=Analítico!$B103),-(Analítico!Y$3&gt;='Gastos Gerais'!$D$4:$D$3143),-(Analítico!Y$3&lt;='Gastos Gerais'!$E$4:$E$3143),-('Gastos Gerais'!$C$4:$C$3143))</f>
        <v>21650</v>
      </c>
      <c r="Z103" s="134">
        <f>SUMPRODUCT(-('Gastos Gerais'!$B$4:$B$3143=Analítico!$B103),-(Analítico!Z$3&gt;='Gastos Gerais'!$D$4:$D$3143),-(Analítico!Z$3&lt;='Gastos Gerais'!$E$4:$E$3143),-('Gastos Gerais'!$C$4:$C$3143))</f>
        <v>21650</v>
      </c>
      <c r="AA103" s="134">
        <f>SUMPRODUCT(-('Gastos Gerais'!$B$4:$B$3143=Analítico!$B103),-(Analítico!AA$3&gt;='Gastos Gerais'!$D$4:$D$3143),-(Analítico!AA$3&lt;='Gastos Gerais'!$E$4:$E$3143),-('Gastos Gerais'!$C$4:$C$3143))</f>
        <v>22050</v>
      </c>
      <c r="AB103" s="134">
        <f>SUMPRODUCT(-('Gastos Gerais'!$B$4:$B$3143=Analítico!$B103),-(Analítico!AB$3&gt;='Gastos Gerais'!$D$4:$D$3143),-(Analítico!AB$3&lt;='Gastos Gerais'!$E$4:$E$3143),-('Gastos Gerais'!$C$4:$C$3143))</f>
        <v>22050</v>
      </c>
      <c r="AC103" s="134">
        <f>SUMPRODUCT(-('Gastos Gerais'!$B$4:$B$3143=Analítico!$B103),-(Analítico!AC$3&gt;='Gastos Gerais'!$D$4:$D$3143),-(Analítico!AC$3&lt;='Gastos Gerais'!$E$4:$E$3143),-('Gastos Gerais'!$C$4:$C$3143))</f>
        <v>22050</v>
      </c>
      <c r="AD103" s="134">
        <f>SUMPRODUCT(-('Gastos Gerais'!$B$4:$B$3143=Analítico!$B103),-(Analítico!AD$3&gt;='Gastos Gerais'!$D$4:$D$3143),-(Analítico!AD$3&lt;='Gastos Gerais'!$E$4:$E$3143),-('Gastos Gerais'!$C$4:$C$3143))</f>
        <v>22050</v>
      </c>
      <c r="AE103" s="134">
        <f>SUMPRODUCT(-('Gastos Gerais'!$B$4:$B$3143=Analítico!$B103),-(Analítico!AE$3&gt;='Gastos Gerais'!$D$4:$D$3143),-(Analítico!AE$3&lt;='Gastos Gerais'!$E$4:$E$3143),-('Gastos Gerais'!$C$4:$C$3143))</f>
        <v>22050</v>
      </c>
      <c r="AF103" s="134">
        <f>SUMPRODUCT(-('Gastos Gerais'!$B$4:$B$3143=Analítico!$B103),-(Analítico!AF$3&gt;='Gastos Gerais'!$D$4:$D$3143),-(Analítico!AF$3&lt;='Gastos Gerais'!$E$4:$E$3143),-('Gastos Gerais'!$C$4:$C$3143))</f>
        <v>22050</v>
      </c>
      <c r="AG103" s="134">
        <f>SUMPRODUCT(-('Gastos Gerais'!$B$4:$B$3143=Analítico!$B103),-(Analítico!AG$3&gt;='Gastos Gerais'!$D$4:$D$3143),-(Analítico!AG$3&lt;='Gastos Gerais'!$E$4:$E$3143),-('Gastos Gerais'!$C$4:$C$3143))</f>
        <v>22050</v>
      </c>
      <c r="AH103" s="134">
        <f>SUMPRODUCT(-('Gastos Gerais'!$B$4:$B$3143=Analítico!$B103),-(Analítico!AH$3&gt;='Gastos Gerais'!$D$4:$D$3143),-(Analítico!AH$3&lt;='Gastos Gerais'!$E$4:$E$3143),-('Gastos Gerais'!$C$4:$C$3143))</f>
        <v>22050</v>
      </c>
      <c r="AI103" s="134">
        <f>SUMPRODUCT(-('Gastos Gerais'!$B$4:$B$3143=Analítico!$B103),-(Analítico!AI$3&gt;='Gastos Gerais'!$D$4:$D$3143),-(Analítico!AI$3&lt;='Gastos Gerais'!$E$4:$E$3143),-('Gastos Gerais'!$C$4:$C$3143))</f>
        <v>22050</v>
      </c>
      <c r="AJ103" s="134">
        <f>SUMPRODUCT(-('Gastos Gerais'!$B$4:$B$3143=Analítico!$B103),-(Analítico!AJ$3&gt;='Gastos Gerais'!$D$4:$D$3143),-(Analítico!AJ$3&lt;='Gastos Gerais'!$E$4:$E$3143),-('Gastos Gerais'!$C$4:$C$3143))</f>
        <v>22050</v>
      </c>
      <c r="AK103" s="134">
        <f>SUMPRODUCT(-('Gastos Gerais'!$B$4:$B$3143=Analítico!$B103),-(Analítico!AK$3&gt;='Gastos Gerais'!$D$4:$D$3143),-(Analítico!AK$3&lt;='Gastos Gerais'!$E$4:$E$3143),-('Gastos Gerais'!$C$4:$C$3143))</f>
        <v>22050</v>
      </c>
      <c r="AL103" s="134">
        <f>SUMPRODUCT(-('Gastos Gerais'!$B$4:$B$3143=Analítico!$B103),-(Analítico!AL$3&gt;='Gastos Gerais'!$D$4:$D$3143),-(Analítico!AL$3&lt;='Gastos Gerais'!$E$4:$E$3143),-('Gastos Gerais'!$C$4:$C$3143))</f>
        <v>22050</v>
      </c>
      <c r="AM103" s="134">
        <f>SUMPRODUCT(-('Gastos Gerais'!$B$4:$B$3143=Analítico!$B103),-(Analítico!AM$3&gt;='Gastos Gerais'!$D$4:$D$3143),-(Analítico!AM$3&lt;='Gastos Gerais'!$E$4:$E$3143),-('Gastos Gerais'!$C$4:$C$3143))</f>
        <v>10100</v>
      </c>
      <c r="AN103" s="134">
        <f>SUMPRODUCT(-('Gastos Gerais'!$B$4:$B$3143=Analítico!$B103),-(Analítico!AN$3&gt;='Gastos Gerais'!$D$4:$D$3143),-(Analítico!AN$3&lt;='Gastos Gerais'!$E$4:$E$3143),-('Gastos Gerais'!$C$4:$C$3143))</f>
        <v>10100</v>
      </c>
      <c r="AO103" s="134">
        <f>SUMPRODUCT(-('Gastos Gerais'!$B$4:$B$3143=Analítico!$B103),-(Analítico!AO$3&gt;='Gastos Gerais'!$D$4:$D$3143),-(Analítico!AO$3&lt;='Gastos Gerais'!$E$4:$E$3143),-('Gastos Gerais'!$C$4:$C$3143))</f>
        <v>10100</v>
      </c>
      <c r="AP103" s="134">
        <f>SUMPRODUCT(-('Gastos Gerais'!$B$4:$B$3143=Analítico!$B103),-(Analítico!AP$3&gt;='Gastos Gerais'!$D$4:$D$3143),-(Analítico!AP$3&lt;='Gastos Gerais'!$E$4:$E$3143),-('Gastos Gerais'!$C$4:$C$3143))</f>
        <v>10100</v>
      </c>
      <c r="AQ103" s="134">
        <f>SUMPRODUCT(-('Gastos Gerais'!$B$4:$B$3143=Analítico!$B103),-(Analítico!AQ$3&gt;='Gastos Gerais'!$D$4:$D$3143),-(Analítico!AQ$3&lt;='Gastos Gerais'!$E$4:$E$3143),-('Gastos Gerais'!$C$4:$C$3143))</f>
        <v>10100</v>
      </c>
      <c r="AR103" s="134">
        <f>SUMPRODUCT(-('Gastos Gerais'!$B$4:$B$3143=Analítico!$B103),-(Analítico!AR$3&gt;='Gastos Gerais'!$D$4:$D$3143),-(Analítico!AR$3&lt;='Gastos Gerais'!$E$4:$E$3143),-('Gastos Gerais'!$C$4:$C$3143))</f>
        <v>10100</v>
      </c>
      <c r="AS103" s="134">
        <f>SUMPRODUCT(-('Gastos Gerais'!$B$4:$B$3143=Analítico!$B103),-(Analítico!AS$3&gt;='Gastos Gerais'!$D$4:$D$3143),-(Analítico!AS$3&lt;='Gastos Gerais'!$E$4:$E$3143),-('Gastos Gerais'!$C$4:$C$3143))</f>
        <v>10100</v>
      </c>
      <c r="AT103" s="134">
        <f>SUMPRODUCT(-('Gastos Gerais'!$B$4:$B$3143=Analítico!$B103),-(Analítico!AT$3&gt;='Gastos Gerais'!$D$4:$D$3143),-(Analítico!AT$3&lt;='Gastos Gerais'!$E$4:$E$3143),-('Gastos Gerais'!$C$4:$C$3143))</f>
        <v>10100</v>
      </c>
      <c r="AU103" s="134">
        <f>SUMPRODUCT(-('Gastos Gerais'!$B$4:$B$3143=Analítico!$B103),-(Analítico!AU$3&gt;='Gastos Gerais'!$D$4:$D$3143),-(Analítico!AU$3&lt;='Gastos Gerais'!$E$4:$E$3143),-('Gastos Gerais'!$C$4:$C$3143))</f>
        <v>10100</v>
      </c>
      <c r="AV103" s="134">
        <f>SUMPRODUCT(-('Gastos Gerais'!$B$4:$B$3143=Analítico!$B103),-(Analítico!AV$3&gt;='Gastos Gerais'!$D$4:$D$3143),-(Analítico!AV$3&lt;='Gastos Gerais'!$E$4:$E$3143),-('Gastos Gerais'!$C$4:$C$3143))</f>
        <v>10100</v>
      </c>
      <c r="AW103" s="134">
        <f>SUMPRODUCT(-('Gastos Gerais'!$B$4:$B$3143=Analítico!$B103),-(Analítico!AW$3&gt;='Gastos Gerais'!$D$4:$D$3143),-(Analítico!AW$3&lt;='Gastos Gerais'!$E$4:$E$3143),-('Gastos Gerais'!$C$4:$C$3143))</f>
        <v>10100</v>
      </c>
      <c r="AX103" s="134">
        <f>SUMPRODUCT(-('Gastos Gerais'!$B$4:$B$3143=Analítico!$B103),-(Analítico!AX$3&gt;='Gastos Gerais'!$D$4:$D$3143),-(Analítico!AX$3&lt;='Gastos Gerais'!$E$4:$E$3143),-('Gastos Gerais'!$C$4:$C$3143))</f>
        <v>0</v>
      </c>
      <c r="AY103" s="134">
        <f>SUMPRODUCT(-('Gastos Gerais'!$B$4:$B$3143=Analítico!$B103),-(Analítico!AY$3&gt;='Gastos Gerais'!$D$4:$D$3143),-(Analítico!AY$3&lt;='Gastos Gerais'!$E$4:$E$3143),-('Gastos Gerais'!$C$4:$C$3143))</f>
        <v>0</v>
      </c>
      <c r="AZ103" s="134">
        <f>SUMPRODUCT(-('Gastos Gerais'!$B$4:$B$3143=Analítico!$B103),-(Analítico!AZ$3&gt;='Gastos Gerais'!$D$4:$D$3143),-(Analítico!AZ$3&lt;='Gastos Gerais'!$E$4:$E$3143),-('Gastos Gerais'!$C$4:$C$3143))</f>
        <v>0</v>
      </c>
      <c r="BA103" s="134">
        <f>SUMPRODUCT(-('Gastos Gerais'!$B$4:$B$3143=Analítico!$B103),-(Analítico!BA$3&gt;='Gastos Gerais'!$D$4:$D$3143),-(Analítico!BA$3&lt;='Gastos Gerais'!$E$4:$E$3143),-('Gastos Gerais'!$C$4:$C$3143))</f>
        <v>0</v>
      </c>
      <c r="BB103" s="134">
        <f>SUMPRODUCT(-('Gastos Gerais'!$B$4:$B$3143=Analítico!$B103),-(Analítico!BB$3&gt;='Gastos Gerais'!$D$4:$D$3143),-(Analítico!BB$3&lt;='Gastos Gerais'!$E$4:$E$3143),-('Gastos Gerais'!$C$4:$C$3143))</f>
        <v>0</v>
      </c>
      <c r="BC103" s="134">
        <f>SUMPRODUCT(-('Gastos Gerais'!$B$4:$B$3143=Analítico!$B103),-(Analítico!BC$3&gt;='Gastos Gerais'!$D$4:$D$3143),-(Analítico!BC$3&lt;='Gastos Gerais'!$E$4:$E$3143),-('Gastos Gerais'!$C$4:$C$3143))</f>
        <v>0</v>
      </c>
      <c r="BD103" s="134">
        <f>SUMPRODUCT(-('Gastos Gerais'!$B$4:$B$3143=Analítico!$B103),-(Analítico!BD$3&gt;='Gastos Gerais'!$D$4:$D$3143),-(Analítico!BD$3&lt;='Gastos Gerais'!$E$4:$E$3143),-('Gastos Gerais'!$C$4:$C$3143))</f>
        <v>0</v>
      </c>
      <c r="BE103" s="134">
        <f>SUMPRODUCT(-('Gastos Gerais'!$B$4:$B$3143=Analítico!$B103),-(Analítico!BE$3&gt;='Gastos Gerais'!$D$4:$D$3143),-(Analítico!BE$3&lt;='Gastos Gerais'!$E$4:$E$3143),-('Gastos Gerais'!$C$4:$C$3143))</f>
        <v>0</v>
      </c>
      <c r="BF103" s="134">
        <f>SUMPRODUCT(-('Gastos Gerais'!$B$4:$B$3143=Analítico!$B103),-(Analítico!BF$3&gt;='Gastos Gerais'!$D$4:$D$3143),-(Analítico!BF$3&lt;='Gastos Gerais'!$E$4:$E$3143),-('Gastos Gerais'!$C$4:$C$3143))</f>
        <v>0</v>
      </c>
      <c r="BG103" s="134">
        <f>SUMPRODUCT(-('Gastos Gerais'!$B$4:$B$3143=Analítico!$B103),-(Analítico!BG$3&gt;='Gastos Gerais'!$D$4:$D$3143),-(Analítico!BG$3&lt;='Gastos Gerais'!$E$4:$E$3143),-('Gastos Gerais'!$C$4:$C$3143))</f>
        <v>0</v>
      </c>
      <c r="BH103" s="134">
        <f>SUMPRODUCT(-('Gastos Gerais'!$B$4:$B$3143=Analítico!$B103),-(Analítico!BH$3&gt;='Gastos Gerais'!$D$4:$D$3143),-(Analítico!BH$3&lt;='Gastos Gerais'!$E$4:$E$3143),-('Gastos Gerais'!$C$4:$C$3143))</f>
        <v>0</v>
      </c>
      <c r="BI103" s="134">
        <f>SUMPRODUCT(-('Gastos Gerais'!$B$4:$B$3143=Analítico!$B103),-(Analítico!BI$3&gt;='Gastos Gerais'!$D$4:$D$3143),-(Analítico!BI$3&lt;='Gastos Gerais'!$E$4:$E$3143),-('Gastos Gerais'!$C$4:$C$3143))</f>
        <v>0</v>
      </c>
      <c r="BJ103" s="134">
        <f>SUMPRODUCT(-('Gastos Gerais'!$B$4:$B$3143=Analítico!$B103),-(Analítico!BJ$3&gt;='Gastos Gerais'!$D$4:$D$3143),-(Analítico!BJ$3&lt;='Gastos Gerais'!$E$4:$E$3143),-('Gastos Gerais'!$C$4:$C$3143))</f>
        <v>0</v>
      </c>
      <c r="BK103" s="189">
        <f t="shared" si="26"/>
        <v>876300</v>
      </c>
      <c r="BL103" s="136">
        <f t="shared" ca="1" si="27"/>
        <v>3.0170992432128505E-3</v>
      </c>
    </row>
    <row r="104" spans="1:64" s="160" customFormat="1" ht="23.25" customHeight="1">
      <c r="A104" s="229" t="s">
        <v>285</v>
      </c>
      <c r="B104" s="231" t="s">
        <v>286</v>
      </c>
      <c r="C104" s="188">
        <f>SUMPRODUCT(-('Gastos Gerais'!$B$4:$B$3143=Analítico!$B104),-(Analítico!C$3&gt;='Gastos Gerais'!$D$4:$D$3143),-(Analítico!C$3&lt;='Gastos Gerais'!$E$4:$E$3143),-('Gastos Gerais'!$C$4:$C$3143))</f>
        <v>18500</v>
      </c>
      <c r="D104" s="134">
        <f>SUMPRODUCT(-('Gastos Gerais'!$B$4:$B$3143=Analítico!$B104),-(Analítico!D$3&gt;='Gastos Gerais'!$D$4:$D$3143),-(Analítico!D$3&lt;='Gastos Gerais'!$E$4:$E$3143),-('Gastos Gerais'!$C$4:$C$3143))</f>
        <v>18500</v>
      </c>
      <c r="E104" s="134">
        <f>SUMPRODUCT(-('Gastos Gerais'!$B$4:$B$3143=Analítico!$B104),-(Analítico!E$3&gt;='Gastos Gerais'!$D$4:$D$3143),-(Analítico!E$3&lt;='Gastos Gerais'!$E$4:$E$3143),-('Gastos Gerais'!$C$4:$C$3143))</f>
        <v>19500</v>
      </c>
      <c r="F104" s="134">
        <f>SUMPRODUCT(-('Gastos Gerais'!$B$4:$B$3143=Analítico!$B104),-(Analítico!F$3&gt;='Gastos Gerais'!$D$4:$D$3143),-(Analítico!F$3&lt;='Gastos Gerais'!$E$4:$E$3143),-('Gastos Gerais'!$C$4:$C$3143))</f>
        <v>20500</v>
      </c>
      <c r="G104" s="134">
        <f>SUMPRODUCT(-('Gastos Gerais'!$B$4:$B$3143=Analítico!$B104),-(Analítico!G$3&gt;='Gastos Gerais'!$D$4:$D$3143),-(Analítico!G$3&lt;='Gastos Gerais'!$E$4:$E$3143),-('Gastos Gerais'!$C$4:$C$3143))</f>
        <v>20500</v>
      </c>
      <c r="H104" s="134">
        <f>SUMPRODUCT(-('Gastos Gerais'!$B$4:$B$3143=Analítico!$B104),-(Analítico!H$3&gt;='Gastos Gerais'!$D$4:$D$3143),-(Analítico!H$3&lt;='Gastos Gerais'!$E$4:$E$3143),-('Gastos Gerais'!$C$4:$C$3143))</f>
        <v>20500</v>
      </c>
      <c r="I104" s="134">
        <f>SUMPRODUCT(-('Gastos Gerais'!$B$4:$B$3143=Analítico!$B104),-(Analítico!I$3&gt;='Gastos Gerais'!$D$4:$D$3143),-(Analítico!I$3&lt;='Gastos Gerais'!$E$4:$E$3143),-('Gastos Gerais'!$C$4:$C$3143))</f>
        <v>21500</v>
      </c>
      <c r="J104" s="134">
        <f>SUMPRODUCT(-('Gastos Gerais'!$B$4:$B$3143=Analítico!$B104),-(Analítico!J$3&gt;='Gastos Gerais'!$D$4:$D$3143),-(Analítico!J$3&lt;='Gastos Gerais'!$E$4:$E$3143),-('Gastos Gerais'!$C$4:$C$3143))</f>
        <v>21500</v>
      </c>
      <c r="K104" s="134">
        <f>SUMPRODUCT(-('Gastos Gerais'!$B$4:$B$3143=Analítico!$B104),-(Analítico!K$3&gt;='Gastos Gerais'!$D$4:$D$3143),-(Analítico!K$3&lt;='Gastos Gerais'!$E$4:$E$3143),-('Gastos Gerais'!$C$4:$C$3143))</f>
        <v>21500</v>
      </c>
      <c r="L104" s="134">
        <f>SUMPRODUCT(-('Gastos Gerais'!$B$4:$B$3143=Analítico!$B104),-(Analítico!L$3&gt;='Gastos Gerais'!$D$4:$D$3143),-(Analítico!L$3&lt;='Gastos Gerais'!$E$4:$E$3143),-('Gastos Gerais'!$C$4:$C$3143))</f>
        <v>22500</v>
      </c>
      <c r="M104" s="134">
        <f>SUMPRODUCT(-('Gastos Gerais'!$B$4:$B$3143=Analítico!$B104),-(Analítico!M$3&gt;='Gastos Gerais'!$D$4:$D$3143),-(Analítico!M$3&lt;='Gastos Gerais'!$E$4:$E$3143),-('Gastos Gerais'!$C$4:$C$3143))</f>
        <v>22500</v>
      </c>
      <c r="N104" s="134">
        <f>SUMPRODUCT(-('Gastos Gerais'!$B$4:$B$3143=Analítico!$B104),-(Analítico!N$3&gt;='Gastos Gerais'!$D$4:$D$3143),-(Analítico!N$3&lt;='Gastos Gerais'!$E$4:$E$3143),-('Gastos Gerais'!$C$4:$C$3143))</f>
        <v>22500</v>
      </c>
      <c r="O104" s="134">
        <f>SUMPRODUCT(-('Gastos Gerais'!$B$4:$B$3143=Analítico!$B104),-(Analítico!O$3&gt;='Gastos Gerais'!$D$4:$D$3143),-(Analítico!O$3&lt;='Gastos Gerais'!$E$4:$E$3143),-('Gastos Gerais'!$C$4:$C$3143))</f>
        <v>22500</v>
      </c>
      <c r="P104" s="134">
        <f>SUMPRODUCT(-('Gastos Gerais'!$B$4:$B$3143=Analítico!$B104),-(Analítico!P$3&gt;='Gastos Gerais'!$D$4:$D$3143),-(Analítico!P$3&lt;='Gastos Gerais'!$E$4:$E$3143),-('Gastos Gerais'!$C$4:$C$3143))</f>
        <v>22500</v>
      </c>
      <c r="Q104" s="134">
        <f>SUMPRODUCT(-('Gastos Gerais'!$B$4:$B$3143=Analítico!$B104),-(Analítico!Q$3&gt;='Gastos Gerais'!$D$4:$D$3143),-(Analítico!Q$3&lt;='Gastos Gerais'!$E$4:$E$3143),-('Gastos Gerais'!$C$4:$C$3143))</f>
        <v>22500</v>
      </c>
      <c r="R104" s="134">
        <f>SUMPRODUCT(-('Gastos Gerais'!$B$4:$B$3143=Analítico!$B104),-(Analítico!R$3&gt;='Gastos Gerais'!$D$4:$D$3143),-(Analítico!R$3&lt;='Gastos Gerais'!$E$4:$E$3143),-('Gastos Gerais'!$C$4:$C$3143))</f>
        <v>22500</v>
      </c>
      <c r="S104" s="134">
        <f>SUMPRODUCT(-('Gastos Gerais'!$B$4:$B$3143=Analítico!$B104),-(Analítico!S$3&gt;='Gastos Gerais'!$D$4:$D$3143),-(Analítico!S$3&lt;='Gastos Gerais'!$E$4:$E$3143),-('Gastos Gerais'!$C$4:$C$3143))</f>
        <v>22500</v>
      </c>
      <c r="T104" s="134">
        <f>SUMPRODUCT(-('Gastos Gerais'!$B$4:$B$3143=Analítico!$B104),-(Analítico!T$3&gt;='Gastos Gerais'!$D$4:$D$3143),-(Analítico!T$3&lt;='Gastos Gerais'!$E$4:$E$3143),-('Gastos Gerais'!$C$4:$C$3143))</f>
        <v>22500</v>
      </c>
      <c r="U104" s="134">
        <f>SUMPRODUCT(-('Gastos Gerais'!$B$4:$B$3143=Analítico!$B104),-(Analítico!U$3&gt;='Gastos Gerais'!$D$4:$D$3143),-(Analítico!U$3&lt;='Gastos Gerais'!$E$4:$E$3143),-('Gastos Gerais'!$C$4:$C$3143))</f>
        <v>22500</v>
      </c>
      <c r="V104" s="134">
        <f>SUMPRODUCT(-('Gastos Gerais'!$B$4:$B$3143=Analítico!$B104),-(Analítico!V$3&gt;='Gastos Gerais'!$D$4:$D$3143),-(Analítico!V$3&lt;='Gastos Gerais'!$E$4:$E$3143),-('Gastos Gerais'!$C$4:$C$3143))</f>
        <v>22500</v>
      </c>
      <c r="W104" s="134">
        <f>SUMPRODUCT(-('Gastos Gerais'!$B$4:$B$3143=Analítico!$B104),-(Analítico!W$3&gt;='Gastos Gerais'!$D$4:$D$3143),-(Analítico!W$3&lt;='Gastos Gerais'!$E$4:$E$3143),-('Gastos Gerais'!$C$4:$C$3143))</f>
        <v>22500</v>
      </c>
      <c r="X104" s="134">
        <f>SUMPRODUCT(-('Gastos Gerais'!$B$4:$B$3143=Analítico!$B104),-(Analítico!X$3&gt;='Gastos Gerais'!$D$4:$D$3143),-(Analítico!X$3&lt;='Gastos Gerais'!$E$4:$E$3143),-('Gastos Gerais'!$C$4:$C$3143))</f>
        <v>22500</v>
      </c>
      <c r="Y104" s="134">
        <f>SUMPRODUCT(-('Gastos Gerais'!$B$4:$B$3143=Analítico!$B104),-(Analítico!Y$3&gt;='Gastos Gerais'!$D$4:$D$3143),-(Analítico!Y$3&lt;='Gastos Gerais'!$E$4:$E$3143),-('Gastos Gerais'!$C$4:$C$3143))</f>
        <v>22500</v>
      </c>
      <c r="Z104" s="134">
        <f>SUMPRODUCT(-('Gastos Gerais'!$B$4:$B$3143=Analítico!$B104),-(Analítico!Z$3&gt;='Gastos Gerais'!$D$4:$D$3143),-(Analítico!Z$3&lt;='Gastos Gerais'!$E$4:$E$3143),-('Gastos Gerais'!$C$4:$C$3143))</f>
        <v>22500</v>
      </c>
      <c r="AA104" s="134">
        <f>SUMPRODUCT(-('Gastos Gerais'!$B$4:$B$3143=Analítico!$B104),-(Analítico!AA$3&gt;='Gastos Gerais'!$D$4:$D$3143),-(Analítico!AA$3&lt;='Gastos Gerais'!$E$4:$E$3143),-('Gastos Gerais'!$C$4:$C$3143))</f>
        <v>23000</v>
      </c>
      <c r="AB104" s="134">
        <f>SUMPRODUCT(-('Gastos Gerais'!$B$4:$B$3143=Analítico!$B104),-(Analítico!AB$3&gt;='Gastos Gerais'!$D$4:$D$3143),-(Analítico!AB$3&lt;='Gastos Gerais'!$E$4:$E$3143),-('Gastos Gerais'!$C$4:$C$3143))</f>
        <v>23000</v>
      </c>
      <c r="AC104" s="134">
        <f>SUMPRODUCT(-('Gastos Gerais'!$B$4:$B$3143=Analítico!$B104),-(Analítico!AC$3&gt;='Gastos Gerais'!$D$4:$D$3143),-(Analítico!AC$3&lt;='Gastos Gerais'!$E$4:$E$3143),-('Gastos Gerais'!$C$4:$C$3143))</f>
        <v>23000</v>
      </c>
      <c r="AD104" s="134">
        <f>SUMPRODUCT(-('Gastos Gerais'!$B$4:$B$3143=Analítico!$B104),-(Analítico!AD$3&gt;='Gastos Gerais'!$D$4:$D$3143),-(Analítico!AD$3&lt;='Gastos Gerais'!$E$4:$E$3143),-('Gastos Gerais'!$C$4:$C$3143))</f>
        <v>23000</v>
      </c>
      <c r="AE104" s="134">
        <f>SUMPRODUCT(-('Gastos Gerais'!$B$4:$B$3143=Analítico!$B104),-(Analítico!AE$3&gt;='Gastos Gerais'!$D$4:$D$3143),-(Analítico!AE$3&lt;='Gastos Gerais'!$E$4:$E$3143),-('Gastos Gerais'!$C$4:$C$3143))</f>
        <v>23000</v>
      </c>
      <c r="AF104" s="134">
        <f>SUMPRODUCT(-('Gastos Gerais'!$B$4:$B$3143=Analítico!$B104),-(Analítico!AF$3&gt;='Gastos Gerais'!$D$4:$D$3143),-(Analítico!AF$3&lt;='Gastos Gerais'!$E$4:$E$3143),-('Gastos Gerais'!$C$4:$C$3143))</f>
        <v>23000</v>
      </c>
      <c r="AG104" s="134">
        <f>SUMPRODUCT(-('Gastos Gerais'!$B$4:$B$3143=Analítico!$B104),-(Analítico!AG$3&gt;='Gastos Gerais'!$D$4:$D$3143),-(Analítico!AG$3&lt;='Gastos Gerais'!$E$4:$E$3143),-('Gastos Gerais'!$C$4:$C$3143))</f>
        <v>23000</v>
      </c>
      <c r="AH104" s="134">
        <f>SUMPRODUCT(-('Gastos Gerais'!$B$4:$B$3143=Analítico!$B104),-(Analítico!AH$3&gt;='Gastos Gerais'!$D$4:$D$3143),-(Analítico!AH$3&lt;='Gastos Gerais'!$E$4:$E$3143),-('Gastos Gerais'!$C$4:$C$3143))</f>
        <v>23000</v>
      </c>
      <c r="AI104" s="134">
        <f>SUMPRODUCT(-('Gastos Gerais'!$B$4:$B$3143=Analítico!$B104),-(Analítico!AI$3&gt;='Gastos Gerais'!$D$4:$D$3143),-(Analítico!AI$3&lt;='Gastos Gerais'!$E$4:$E$3143),-('Gastos Gerais'!$C$4:$C$3143))</f>
        <v>23000</v>
      </c>
      <c r="AJ104" s="134">
        <f>SUMPRODUCT(-('Gastos Gerais'!$B$4:$B$3143=Analítico!$B104),-(Analítico!AJ$3&gt;='Gastos Gerais'!$D$4:$D$3143),-(Analítico!AJ$3&lt;='Gastos Gerais'!$E$4:$E$3143),-('Gastos Gerais'!$C$4:$C$3143))</f>
        <v>23000</v>
      </c>
      <c r="AK104" s="134">
        <f>SUMPRODUCT(-('Gastos Gerais'!$B$4:$B$3143=Analítico!$B104),-(Analítico!AK$3&gt;='Gastos Gerais'!$D$4:$D$3143),-(Analítico!AK$3&lt;='Gastos Gerais'!$E$4:$E$3143),-('Gastos Gerais'!$C$4:$C$3143))</f>
        <v>23000</v>
      </c>
      <c r="AL104" s="134">
        <f>SUMPRODUCT(-('Gastos Gerais'!$B$4:$B$3143=Analítico!$B104),-(Analítico!AL$3&gt;='Gastos Gerais'!$D$4:$D$3143),-(Analítico!AL$3&lt;='Gastos Gerais'!$E$4:$E$3143),-('Gastos Gerais'!$C$4:$C$3143))</f>
        <v>23000</v>
      </c>
      <c r="AM104" s="134">
        <f>SUMPRODUCT(-('Gastos Gerais'!$B$4:$B$3143=Analítico!$B104),-(Analítico!AM$3&gt;='Gastos Gerais'!$D$4:$D$3143),-(Analítico!AM$3&lt;='Gastos Gerais'!$E$4:$E$3143),-('Gastos Gerais'!$C$4:$C$3143))</f>
        <v>12000</v>
      </c>
      <c r="AN104" s="134">
        <f>SUMPRODUCT(-('Gastos Gerais'!$B$4:$B$3143=Analítico!$B104),-(Analítico!AN$3&gt;='Gastos Gerais'!$D$4:$D$3143),-(Analítico!AN$3&lt;='Gastos Gerais'!$E$4:$E$3143),-('Gastos Gerais'!$C$4:$C$3143))</f>
        <v>12000</v>
      </c>
      <c r="AO104" s="134">
        <f>SUMPRODUCT(-('Gastos Gerais'!$B$4:$B$3143=Analítico!$B104),-(Analítico!AO$3&gt;='Gastos Gerais'!$D$4:$D$3143),-(Analítico!AO$3&lt;='Gastos Gerais'!$E$4:$E$3143),-('Gastos Gerais'!$C$4:$C$3143))</f>
        <v>12000</v>
      </c>
      <c r="AP104" s="134">
        <f>SUMPRODUCT(-('Gastos Gerais'!$B$4:$B$3143=Analítico!$B104),-(Analítico!AP$3&gt;='Gastos Gerais'!$D$4:$D$3143),-(Analítico!AP$3&lt;='Gastos Gerais'!$E$4:$E$3143),-('Gastos Gerais'!$C$4:$C$3143))</f>
        <v>12000</v>
      </c>
      <c r="AQ104" s="134">
        <f>SUMPRODUCT(-('Gastos Gerais'!$B$4:$B$3143=Analítico!$B104),-(Analítico!AQ$3&gt;='Gastos Gerais'!$D$4:$D$3143),-(Analítico!AQ$3&lt;='Gastos Gerais'!$E$4:$E$3143),-('Gastos Gerais'!$C$4:$C$3143))</f>
        <v>12000</v>
      </c>
      <c r="AR104" s="134">
        <f>SUMPRODUCT(-('Gastos Gerais'!$B$4:$B$3143=Analítico!$B104),-(Analítico!AR$3&gt;='Gastos Gerais'!$D$4:$D$3143),-(Analítico!AR$3&lt;='Gastos Gerais'!$E$4:$E$3143),-('Gastos Gerais'!$C$4:$C$3143))</f>
        <v>12000</v>
      </c>
      <c r="AS104" s="134">
        <f>SUMPRODUCT(-('Gastos Gerais'!$B$4:$B$3143=Analítico!$B104),-(Analítico!AS$3&gt;='Gastos Gerais'!$D$4:$D$3143),-(Analítico!AS$3&lt;='Gastos Gerais'!$E$4:$E$3143),-('Gastos Gerais'!$C$4:$C$3143))</f>
        <v>12000</v>
      </c>
      <c r="AT104" s="134">
        <f>SUMPRODUCT(-('Gastos Gerais'!$B$4:$B$3143=Analítico!$B104),-(Analítico!AT$3&gt;='Gastos Gerais'!$D$4:$D$3143),-(Analítico!AT$3&lt;='Gastos Gerais'!$E$4:$E$3143),-('Gastos Gerais'!$C$4:$C$3143))</f>
        <v>12000</v>
      </c>
      <c r="AU104" s="134">
        <f>SUMPRODUCT(-('Gastos Gerais'!$B$4:$B$3143=Analítico!$B104),-(Analítico!AU$3&gt;='Gastos Gerais'!$D$4:$D$3143),-(Analítico!AU$3&lt;='Gastos Gerais'!$E$4:$E$3143),-('Gastos Gerais'!$C$4:$C$3143))</f>
        <v>12000</v>
      </c>
      <c r="AV104" s="134">
        <f>SUMPRODUCT(-('Gastos Gerais'!$B$4:$B$3143=Analítico!$B104),-(Analítico!AV$3&gt;='Gastos Gerais'!$D$4:$D$3143),-(Analítico!AV$3&lt;='Gastos Gerais'!$E$4:$E$3143),-('Gastos Gerais'!$C$4:$C$3143))</f>
        <v>12000</v>
      </c>
      <c r="AW104" s="134">
        <f>SUMPRODUCT(-('Gastos Gerais'!$B$4:$B$3143=Analítico!$B104),-(Analítico!AW$3&gt;='Gastos Gerais'!$D$4:$D$3143),-(Analítico!AW$3&lt;='Gastos Gerais'!$E$4:$E$3143),-('Gastos Gerais'!$C$4:$C$3143))</f>
        <v>12000</v>
      </c>
      <c r="AX104" s="134">
        <f>SUMPRODUCT(-('Gastos Gerais'!$B$4:$B$3143=Analítico!$B104),-(Analítico!AX$3&gt;='Gastos Gerais'!$D$4:$D$3143),-(Analítico!AX$3&lt;='Gastos Gerais'!$E$4:$E$3143),-('Gastos Gerais'!$C$4:$C$3143))</f>
        <v>0</v>
      </c>
      <c r="AY104" s="134">
        <f>SUMPRODUCT(-('Gastos Gerais'!$B$4:$B$3143=Analítico!$B104),-(Analítico!AY$3&gt;='Gastos Gerais'!$D$4:$D$3143),-(Analítico!AY$3&lt;='Gastos Gerais'!$E$4:$E$3143),-('Gastos Gerais'!$C$4:$C$3143))</f>
        <v>0</v>
      </c>
      <c r="AZ104" s="134">
        <f>SUMPRODUCT(-('Gastos Gerais'!$B$4:$B$3143=Analítico!$B104),-(Analítico!AZ$3&gt;='Gastos Gerais'!$D$4:$D$3143),-(Analítico!AZ$3&lt;='Gastos Gerais'!$E$4:$E$3143),-('Gastos Gerais'!$C$4:$C$3143))</f>
        <v>0</v>
      </c>
      <c r="BA104" s="134">
        <f>SUMPRODUCT(-('Gastos Gerais'!$B$4:$B$3143=Analítico!$B104),-(Analítico!BA$3&gt;='Gastos Gerais'!$D$4:$D$3143),-(Analítico!BA$3&lt;='Gastos Gerais'!$E$4:$E$3143),-('Gastos Gerais'!$C$4:$C$3143))</f>
        <v>0</v>
      </c>
      <c r="BB104" s="134">
        <f>SUMPRODUCT(-('Gastos Gerais'!$B$4:$B$3143=Analítico!$B104),-(Analítico!BB$3&gt;='Gastos Gerais'!$D$4:$D$3143),-(Analítico!BB$3&lt;='Gastos Gerais'!$E$4:$E$3143),-('Gastos Gerais'!$C$4:$C$3143))</f>
        <v>0</v>
      </c>
      <c r="BC104" s="134">
        <f>SUMPRODUCT(-('Gastos Gerais'!$B$4:$B$3143=Analítico!$B104),-(Analítico!BC$3&gt;='Gastos Gerais'!$D$4:$D$3143),-(Analítico!BC$3&lt;='Gastos Gerais'!$E$4:$E$3143),-('Gastos Gerais'!$C$4:$C$3143))</f>
        <v>0</v>
      </c>
      <c r="BD104" s="134">
        <f>SUMPRODUCT(-('Gastos Gerais'!$B$4:$B$3143=Analítico!$B104),-(Analítico!BD$3&gt;='Gastos Gerais'!$D$4:$D$3143),-(Analítico!BD$3&lt;='Gastos Gerais'!$E$4:$E$3143),-('Gastos Gerais'!$C$4:$C$3143))</f>
        <v>0</v>
      </c>
      <c r="BE104" s="134">
        <f>SUMPRODUCT(-('Gastos Gerais'!$B$4:$B$3143=Analítico!$B104),-(Analítico!BE$3&gt;='Gastos Gerais'!$D$4:$D$3143),-(Analítico!BE$3&lt;='Gastos Gerais'!$E$4:$E$3143),-('Gastos Gerais'!$C$4:$C$3143))</f>
        <v>0</v>
      </c>
      <c r="BF104" s="134">
        <f>SUMPRODUCT(-('Gastos Gerais'!$B$4:$B$3143=Analítico!$B104),-(Analítico!BF$3&gt;='Gastos Gerais'!$D$4:$D$3143),-(Analítico!BF$3&lt;='Gastos Gerais'!$E$4:$E$3143),-('Gastos Gerais'!$C$4:$C$3143))</f>
        <v>0</v>
      </c>
      <c r="BG104" s="134">
        <f>SUMPRODUCT(-('Gastos Gerais'!$B$4:$B$3143=Analítico!$B104),-(Analítico!BG$3&gt;='Gastos Gerais'!$D$4:$D$3143),-(Analítico!BG$3&lt;='Gastos Gerais'!$E$4:$E$3143),-('Gastos Gerais'!$C$4:$C$3143))</f>
        <v>0</v>
      </c>
      <c r="BH104" s="134">
        <f>SUMPRODUCT(-('Gastos Gerais'!$B$4:$B$3143=Analítico!$B104),-(Analítico!BH$3&gt;='Gastos Gerais'!$D$4:$D$3143),-(Analítico!BH$3&lt;='Gastos Gerais'!$E$4:$E$3143),-('Gastos Gerais'!$C$4:$C$3143))</f>
        <v>0</v>
      </c>
      <c r="BI104" s="134">
        <f>SUMPRODUCT(-('Gastos Gerais'!$B$4:$B$3143=Analítico!$B104),-(Analítico!BI$3&gt;='Gastos Gerais'!$D$4:$D$3143),-(Analítico!BI$3&lt;='Gastos Gerais'!$E$4:$E$3143),-('Gastos Gerais'!$C$4:$C$3143))</f>
        <v>0</v>
      </c>
      <c r="BJ104" s="134">
        <f>SUMPRODUCT(-('Gastos Gerais'!$B$4:$B$3143=Analítico!$B104),-(Analítico!BJ$3&gt;='Gastos Gerais'!$D$4:$D$3143),-(Analítico!BJ$3&lt;='Gastos Gerais'!$E$4:$E$3143),-('Gastos Gerais'!$C$4:$C$3143))</f>
        <v>0</v>
      </c>
      <c r="BK104" s="189">
        <f t="shared" si="26"/>
        <v>928000</v>
      </c>
      <c r="BL104" s="136">
        <f t="shared" ca="1" si="27"/>
        <v>3.1951022454656227E-3</v>
      </c>
    </row>
    <row r="105" spans="1:64" s="160" customFormat="1" ht="23.25" customHeight="1">
      <c r="A105" s="229" t="s">
        <v>287</v>
      </c>
      <c r="B105" s="233" t="s">
        <v>288</v>
      </c>
      <c r="C105" s="188">
        <f>SUMPRODUCT(-('Gastos Gerais'!$B$4:$B$3143=Analítico!$B105),-(Analítico!C$3&gt;='Gastos Gerais'!$D$4:$D$3143),-(Analítico!C$3&lt;='Gastos Gerais'!$E$4:$E$3143),-('Gastos Gerais'!$C$4:$C$3143))</f>
        <v>4600</v>
      </c>
      <c r="D105" s="134">
        <f>SUMPRODUCT(-('Gastos Gerais'!$B$4:$B$3143=Analítico!$B105),-(Analítico!D$3&gt;='Gastos Gerais'!$D$4:$D$3143),-(Analítico!D$3&lt;='Gastos Gerais'!$E$4:$E$3143),-('Gastos Gerais'!$C$4:$C$3143))</f>
        <v>4600</v>
      </c>
      <c r="E105" s="134">
        <f>SUMPRODUCT(-('Gastos Gerais'!$B$4:$B$3143=Analítico!$B105),-(Analítico!E$3&gt;='Gastos Gerais'!$D$4:$D$3143),-(Analítico!E$3&lt;='Gastos Gerais'!$E$4:$E$3143),-('Gastos Gerais'!$C$4:$C$3143))</f>
        <v>4600</v>
      </c>
      <c r="F105" s="134">
        <f>SUMPRODUCT(-('Gastos Gerais'!$B$4:$B$3143=Analítico!$B105),-(Analítico!F$3&gt;='Gastos Gerais'!$D$4:$D$3143),-(Analítico!F$3&lt;='Gastos Gerais'!$E$4:$E$3143),-('Gastos Gerais'!$C$4:$C$3143))</f>
        <v>4800</v>
      </c>
      <c r="G105" s="134">
        <f>SUMPRODUCT(-('Gastos Gerais'!$B$4:$B$3143=Analítico!$B105),-(Analítico!G$3&gt;='Gastos Gerais'!$D$4:$D$3143),-(Analítico!G$3&lt;='Gastos Gerais'!$E$4:$E$3143),-('Gastos Gerais'!$C$4:$C$3143))</f>
        <v>4800</v>
      </c>
      <c r="H105" s="134">
        <f>SUMPRODUCT(-('Gastos Gerais'!$B$4:$B$3143=Analítico!$B105),-(Analítico!H$3&gt;='Gastos Gerais'!$D$4:$D$3143),-(Analítico!H$3&lt;='Gastos Gerais'!$E$4:$E$3143),-('Gastos Gerais'!$C$4:$C$3143))</f>
        <v>5000</v>
      </c>
      <c r="I105" s="134">
        <f>SUMPRODUCT(-('Gastos Gerais'!$B$4:$B$3143=Analítico!$B105),-(Analítico!I$3&gt;='Gastos Gerais'!$D$4:$D$3143),-(Analítico!I$3&lt;='Gastos Gerais'!$E$4:$E$3143),-('Gastos Gerais'!$C$4:$C$3143))</f>
        <v>5200</v>
      </c>
      <c r="J105" s="134">
        <f>SUMPRODUCT(-('Gastos Gerais'!$B$4:$B$3143=Analítico!$B105),-(Analítico!J$3&gt;='Gastos Gerais'!$D$4:$D$3143),-(Analítico!J$3&lt;='Gastos Gerais'!$E$4:$E$3143),-('Gastos Gerais'!$C$4:$C$3143))</f>
        <v>5200</v>
      </c>
      <c r="K105" s="134">
        <f>SUMPRODUCT(-('Gastos Gerais'!$B$4:$B$3143=Analítico!$B105),-(Analítico!K$3&gt;='Gastos Gerais'!$D$4:$D$3143),-(Analítico!K$3&lt;='Gastos Gerais'!$E$4:$E$3143),-('Gastos Gerais'!$C$4:$C$3143))</f>
        <v>5200</v>
      </c>
      <c r="L105" s="134">
        <f>SUMPRODUCT(-('Gastos Gerais'!$B$4:$B$3143=Analítico!$B105),-(Analítico!L$3&gt;='Gastos Gerais'!$D$4:$D$3143),-(Analítico!L$3&lt;='Gastos Gerais'!$E$4:$E$3143),-('Gastos Gerais'!$C$4:$C$3143))</f>
        <v>5400</v>
      </c>
      <c r="M105" s="134">
        <f>SUMPRODUCT(-('Gastos Gerais'!$B$4:$B$3143=Analítico!$B105),-(Analítico!M$3&gt;='Gastos Gerais'!$D$4:$D$3143),-(Analítico!M$3&lt;='Gastos Gerais'!$E$4:$E$3143),-('Gastos Gerais'!$C$4:$C$3143))</f>
        <v>5400</v>
      </c>
      <c r="N105" s="134">
        <f>SUMPRODUCT(-('Gastos Gerais'!$B$4:$B$3143=Analítico!$B105),-(Analítico!N$3&gt;='Gastos Gerais'!$D$4:$D$3143),-(Analítico!N$3&lt;='Gastos Gerais'!$E$4:$E$3143),-('Gastos Gerais'!$C$4:$C$3143))</f>
        <v>5400</v>
      </c>
      <c r="O105" s="134">
        <f>SUMPRODUCT(-('Gastos Gerais'!$B$4:$B$3143=Analítico!$B105),-(Analítico!O$3&gt;='Gastos Gerais'!$D$4:$D$3143),-(Analítico!O$3&lt;='Gastos Gerais'!$E$4:$E$3143),-('Gastos Gerais'!$C$4:$C$3143))</f>
        <v>5400</v>
      </c>
      <c r="P105" s="134">
        <f>SUMPRODUCT(-('Gastos Gerais'!$B$4:$B$3143=Analítico!$B105),-(Analítico!P$3&gt;='Gastos Gerais'!$D$4:$D$3143),-(Analítico!P$3&lt;='Gastos Gerais'!$E$4:$E$3143),-('Gastos Gerais'!$C$4:$C$3143))</f>
        <v>5400</v>
      </c>
      <c r="Q105" s="134">
        <f>SUMPRODUCT(-('Gastos Gerais'!$B$4:$B$3143=Analítico!$B105),-(Analítico!Q$3&gt;='Gastos Gerais'!$D$4:$D$3143),-(Analítico!Q$3&lt;='Gastos Gerais'!$E$4:$E$3143),-('Gastos Gerais'!$C$4:$C$3143))</f>
        <v>5400</v>
      </c>
      <c r="R105" s="134">
        <f>SUMPRODUCT(-('Gastos Gerais'!$B$4:$B$3143=Analítico!$B105),-(Analítico!R$3&gt;='Gastos Gerais'!$D$4:$D$3143),-(Analítico!R$3&lt;='Gastos Gerais'!$E$4:$E$3143),-('Gastos Gerais'!$C$4:$C$3143))</f>
        <v>5400</v>
      </c>
      <c r="S105" s="134">
        <f>SUMPRODUCT(-('Gastos Gerais'!$B$4:$B$3143=Analítico!$B105),-(Analítico!S$3&gt;='Gastos Gerais'!$D$4:$D$3143),-(Analítico!S$3&lt;='Gastos Gerais'!$E$4:$E$3143),-('Gastos Gerais'!$C$4:$C$3143))</f>
        <v>5400</v>
      </c>
      <c r="T105" s="134">
        <f>SUMPRODUCT(-('Gastos Gerais'!$B$4:$B$3143=Analítico!$B105),-(Analítico!T$3&gt;='Gastos Gerais'!$D$4:$D$3143),-(Analítico!T$3&lt;='Gastos Gerais'!$E$4:$E$3143),-('Gastos Gerais'!$C$4:$C$3143))</f>
        <v>5400</v>
      </c>
      <c r="U105" s="134">
        <f>SUMPRODUCT(-('Gastos Gerais'!$B$4:$B$3143=Analítico!$B105),-(Analítico!U$3&gt;='Gastos Gerais'!$D$4:$D$3143),-(Analítico!U$3&lt;='Gastos Gerais'!$E$4:$E$3143),-('Gastos Gerais'!$C$4:$C$3143))</f>
        <v>5400</v>
      </c>
      <c r="V105" s="134">
        <f>SUMPRODUCT(-('Gastos Gerais'!$B$4:$B$3143=Analítico!$B105),-(Analítico!V$3&gt;='Gastos Gerais'!$D$4:$D$3143),-(Analítico!V$3&lt;='Gastos Gerais'!$E$4:$E$3143),-('Gastos Gerais'!$C$4:$C$3143))</f>
        <v>5400</v>
      </c>
      <c r="W105" s="134">
        <f>SUMPRODUCT(-('Gastos Gerais'!$B$4:$B$3143=Analítico!$B105),-(Analítico!W$3&gt;='Gastos Gerais'!$D$4:$D$3143),-(Analítico!W$3&lt;='Gastos Gerais'!$E$4:$E$3143),-('Gastos Gerais'!$C$4:$C$3143))</f>
        <v>5400</v>
      </c>
      <c r="X105" s="134">
        <f>SUMPRODUCT(-('Gastos Gerais'!$B$4:$B$3143=Analítico!$B105),-(Analítico!X$3&gt;='Gastos Gerais'!$D$4:$D$3143),-(Analítico!X$3&lt;='Gastos Gerais'!$E$4:$E$3143),-('Gastos Gerais'!$C$4:$C$3143))</f>
        <v>5400</v>
      </c>
      <c r="Y105" s="134">
        <f>SUMPRODUCT(-('Gastos Gerais'!$B$4:$B$3143=Analítico!$B105),-(Analítico!Y$3&gt;='Gastos Gerais'!$D$4:$D$3143),-(Analítico!Y$3&lt;='Gastos Gerais'!$E$4:$E$3143),-('Gastos Gerais'!$C$4:$C$3143))</f>
        <v>5400</v>
      </c>
      <c r="Z105" s="134">
        <f>SUMPRODUCT(-('Gastos Gerais'!$B$4:$B$3143=Analítico!$B105),-(Analítico!Z$3&gt;='Gastos Gerais'!$D$4:$D$3143),-(Analítico!Z$3&lt;='Gastos Gerais'!$E$4:$E$3143),-('Gastos Gerais'!$C$4:$C$3143))</f>
        <v>5400</v>
      </c>
      <c r="AA105" s="134">
        <f>SUMPRODUCT(-('Gastos Gerais'!$B$4:$B$3143=Analítico!$B105),-(Analítico!AA$3&gt;='Gastos Gerais'!$D$4:$D$3143),-(Analítico!AA$3&lt;='Gastos Gerais'!$E$4:$E$3143),-('Gastos Gerais'!$C$4:$C$3143))</f>
        <v>5500</v>
      </c>
      <c r="AB105" s="134">
        <f>SUMPRODUCT(-('Gastos Gerais'!$B$4:$B$3143=Analítico!$B105),-(Analítico!AB$3&gt;='Gastos Gerais'!$D$4:$D$3143),-(Analítico!AB$3&lt;='Gastos Gerais'!$E$4:$E$3143),-('Gastos Gerais'!$C$4:$C$3143))</f>
        <v>5500</v>
      </c>
      <c r="AC105" s="134">
        <f>SUMPRODUCT(-('Gastos Gerais'!$B$4:$B$3143=Analítico!$B105),-(Analítico!AC$3&gt;='Gastos Gerais'!$D$4:$D$3143),-(Analítico!AC$3&lt;='Gastos Gerais'!$E$4:$E$3143),-('Gastos Gerais'!$C$4:$C$3143))</f>
        <v>5500</v>
      </c>
      <c r="AD105" s="134">
        <f>SUMPRODUCT(-('Gastos Gerais'!$B$4:$B$3143=Analítico!$B105),-(Analítico!AD$3&gt;='Gastos Gerais'!$D$4:$D$3143),-(Analítico!AD$3&lt;='Gastos Gerais'!$E$4:$E$3143),-('Gastos Gerais'!$C$4:$C$3143))</f>
        <v>5500</v>
      </c>
      <c r="AE105" s="134">
        <f>SUMPRODUCT(-('Gastos Gerais'!$B$4:$B$3143=Analítico!$B105),-(Analítico!AE$3&gt;='Gastos Gerais'!$D$4:$D$3143),-(Analítico!AE$3&lt;='Gastos Gerais'!$E$4:$E$3143),-('Gastos Gerais'!$C$4:$C$3143))</f>
        <v>5500</v>
      </c>
      <c r="AF105" s="134">
        <f>SUMPRODUCT(-('Gastos Gerais'!$B$4:$B$3143=Analítico!$B105),-(Analítico!AF$3&gt;='Gastos Gerais'!$D$4:$D$3143),-(Analítico!AF$3&lt;='Gastos Gerais'!$E$4:$E$3143),-('Gastos Gerais'!$C$4:$C$3143))</f>
        <v>5500</v>
      </c>
      <c r="AG105" s="134">
        <f>SUMPRODUCT(-('Gastos Gerais'!$B$4:$B$3143=Analítico!$B105),-(Analítico!AG$3&gt;='Gastos Gerais'!$D$4:$D$3143),-(Analítico!AG$3&lt;='Gastos Gerais'!$E$4:$E$3143),-('Gastos Gerais'!$C$4:$C$3143))</f>
        <v>5500</v>
      </c>
      <c r="AH105" s="134">
        <f>SUMPRODUCT(-('Gastos Gerais'!$B$4:$B$3143=Analítico!$B105),-(Analítico!AH$3&gt;='Gastos Gerais'!$D$4:$D$3143),-(Analítico!AH$3&lt;='Gastos Gerais'!$E$4:$E$3143),-('Gastos Gerais'!$C$4:$C$3143))</f>
        <v>5500</v>
      </c>
      <c r="AI105" s="134">
        <f>SUMPRODUCT(-('Gastos Gerais'!$B$4:$B$3143=Analítico!$B105),-(Analítico!AI$3&gt;='Gastos Gerais'!$D$4:$D$3143),-(Analítico!AI$3&lt;='Gastos Gerais'!$E$4:$E$3143),-('Gastos Gerais'!$C$4:$C$3143))</f>
        <v>5500</v>
      </c>
      <c r="AJ105" s="134">
        <f>SUMPRODUCT(-('Gastos Gerais'!$B$4:$B$3143=Analítico!$B105),-(Analítico!AJ$3&gt;='Gastos Gerais'!$D$4:$D$3143),-(Analítico!AJ$3&lt;='Gastos Gerais'!$E$4:$E$3143),-('Gastos Gerais'!$C$4:$C$3143))</f>
        <v>5500</v>
      </c>
      <c r="AK105" s="134">
        <f>SUMPRODUCT(-('Gastos Gerais'!$B$4:$B$3143=Analítico!$B105),-(Analítico!AK$3&gt;='Gastos Gerais'!$D$4:$D$3143),-(Analítico!AK$3&lt;='Gastos Gerais'!$E$4:$E$3143),-('Gastos Gerais'!$C$4:$C$3143))</f>
        <v>5500</v>
      </c>
      <c r="AL105" s="134">
        <f>SUMPRODUCT(-('Gastos Gerais'!$B$4:$B$3143=Analítico!$B105),-(Analítico!AL$3&gt;='Gastos Gerais'!$D$4:$D$3143),-(Analítico!AL$3&lt;='Gastos Gerais'!$E$4:$E$3143),-('Gastos Gerais'!$C$4:$C$3143))</f>
        <v>5500</v>
      </c>
      <c r="AM105" s="134">
        <f>SUMPRODUCT(-('Gastos Gerais'!$B$4:$B$3143=Analítico!$B105),-(Analítico!AM$3&gt;='Gastos Gerais'!$D$4:$D$3143),-(Analítico!AM$3&lt;='Gastos Gerais'!$E$4:$E$3143),-('Gastos Gerais'!$C$4:$C$3143))</f>
        <v>3400</v>
      </c>
      <c r="AN105" s="134">
        <f>SUMPRODUCT(-('Gastos Gerais'!$B$4:$B$3143=Analítico!$B105),-(Analítico!AN$3&gt;='Gastos Gerais'!$D$4:$D$3143),-(Analítico!AN$3&lt;='Gastos Gerais'!$E$4:$E$3143),-('Gastos Gerais'!$C$4:$C$3143))</f>
        <v>3400</v>
      </c>
      <c r="AO105" s="134">
        <f>SUMPRODUCT(-('Gastos Gerais'!$B$4:$B$3143=Analítico!$B105),-(Analítico!AO$3&gt;='Gastos Gerais'!$D$4:$D$3143),-(Analítico!AO$3&lt;='Gastos Gerais'!$E$4:$E$3143),-('Gastos Gerais'!$C$4:$C$3143))</f>
        <v>3400</v>
      </c>
      <c r="AP105" s="134">
        <f>SUMPRODUCT(-('Gastos Gerais'!$B$4:$B$3143=Analítico!$B105),-(Analítico!AP$3&gt;='Gastos Gerais'!$D$4:$D$3143),-(Analítico!AP$3&lt;='Gastos Gerais'!$E$4:$E$3143),-('Gastos Gerais'!$C$4:$C$3143))</f>
        <v>3400</v>
      </c>
      <c r="AQ105" s="134">
        <f>SUMPRODUCT(-('Gastos Gerais'!$B$4:$B$3143=Analítico!$B105),-(Analítico!AQ$3&gt;='Gastos Gerais'!$D$4:$D$3143),-(Analítico!AQ$3&lt;='Gastos Gerais'!$E$4:$E$3143),-('Gastos Gerais'!$C$4:$C$3143))</f>
        <v>3400</v>
      </c>
      <c r="AR105" s="134">
        <f>SUMPRODUCT(-('Gastos Gerais'!$B$4:$B$3143=Analítico!$B105),-(Analítico!AR$3&gt;='Gastos Gerais'!$D$4:$D$3143),-(Analítico!AR$3&lt;='Gastos Gerais'!$E$4:$E$3143),-('Gastos Gerais'!$C$4:$C$3143))</f>
        <v>3400</v>
      </c>
      <c r="AS105" s="134">
        <f>SUMPRODUCT(-('Gastos Gerais'!$B$4:$B$3143=Analítico!$B105),-(Analítico!AS$3&gt;='Gastos Gerais'!$D$4:$D$3143),-(Analítico!AS$3&lt;='Gastos Gerais'!$E$4:$E$3143),-('Gastos Gerais'!$C$4:$C$3143))</f>
        <v>3400</v>
      </c>
      <c r="AT105" s="134">
        <f>SUMPRODUCT(-('Gastos Gerais'!$B$4:$B$3143=Analítico!$B105),-(Analítico!AT$3&gt;='Gastos Gerais'!$D$4:$D$3143),-(Analítico!AT$3&lt;='Gastos Gerais'!$E$4:$E$3143),-('Gastos Gerais'!$C$4:$C$3143))</f>
        <v>3400</v>
      </c>
      <c r="AU105" s="134">
        <f>SUMPRODUCT(-('Gastos Gerais'!$B$4:$B$3143=Analítico!$B105),-(Analítico!AU$3&gt;='Gastos Gerais'!$D$4:$D$3143),-(Analítico!AU$3&lt;='Gastos Gerais'!$E$4:$E$3143),-('Gastos Gerais'!$C$4:$C$3143))</f>
        <v>3400</v>
      </c>
      <c r="AV105" s="134">
        <f>SUMPRODUCT(-('Gastos Gerais'!$B$4:$B$3143=Analítico!$B105),-(Analítico!AV$3&gt;='Gastos Gerais'!$D$4:$D$3143),-(Analítico!AV$3&lt;='Gastos Gerais'!$E$4:$E$3143),-('Gastos Gerais'!$C$4:$C$3143))</f>
        <v>3400</v>
      </c>
      <c r="AW105" s="134">
        <f>SUMPRODUCT(-('Gastos Gerais'!$B$4:$B$3143=Analítico!$B105),-(Analítico!AW$3&gt;='Gastos Gerais'!$D$4:$D$3143),-(Analítico!AW$3&lt;='Gastos Gerais'!$E$4:$E$3143),-('Gastos Gerais'!$C$4:$C$3143))</f>
        <v>3400</v>
      </c>
      <c r="AX105" s="134">
        <f>SUMPRODUCT(-('Gastos Gerais'!$B$4:$B$3143=Analítico!$B105),-(Analítico!AX$3&gt;='Gastos Gerais'!$D$4:$D$3143),-(Analítico!AX$3&lt;='Gastos Gerais'!$E$4:$E$3143),-('Gastos Gerais'!$C$4:$C$3143))</f>
        <v>0</v>
      </c>
      <c r="AY105" s="134">
        <f>SUMPRODUCT(-('Gastos Gerais'!$B$4:$B$3143=Analítico!$B105),-(Analítico!AY$3&gt;='Gastos Gerais'!$D$4:$D$3143),-(Analítico!AY$3&lt;='Gastos Gerais'!$E$4:$E$3143),-('Gastos Gerais'!$C$4:$C$3143))</f>
        <v>0</v>
      </c>
      <c r="AZ105" s="134">
        <f>SUMPRODUCT(-('Gastos Gerais'!$B$4:$B$3143=Analítico!$B105),-(Analítico!AZ$3&gt;='Gastos Gerais'!$D$4:$D$3143),-(Analítico!AZ$3&lt;='Gastos Gerais'!$E$4:$E$3143),-('Gastos Gerais'!$C$4:$C$3143))</f>
        <v>0</v>
      </c>
      <c r="BA105" s="134">
        <f>SUMPRODUCT(-('Gastos Gerais'!$B$4:$B$3143=Analítico!$B105),-(Analítico!BA$3&gt;='Gastos Gerais'!$D$4:$D$3143),-(Analítico!BA$3&lt;='Gastos Gerais'!$E$4:$E$3143),-('Gastos Gerais'!$C$4:$C$3143))</f>
        <v>0</v>
      </c>
      <c r="BB105" s="134">
        <f>SUMPRODUCT(-('Gastos Gerais'!$B$4:$B$3143=Analítico!$B105),-(Analítico!BB$3&gt;='Gastos Gerais'!$D$4:$D$3143),-(Analítico!BB$3&lt;='Gastos Gerais'!$E$4:$E$3143),-('Gastos Gerais'!$C$4:$C$3143))</f>
        <v>0</v>
      </c>
      <c r="BC105" s="134">
        <f>SUMPRODUCT(-('Gastos Gerais'!$B$4:$B$3143=Analítico!$B105),-(Analítico!BC$3&gt;='Gastos Gerais'!$D$4:$D$3143),-(Analítico!BC$3&lt;='Gastos Gerais'!$E$4:$E$3143),-('Gastos Gerais'!$C$4:$C$3143))</f>
        <v>0</v>
      </c>
      <c r="BD105" s="134">
        <f>SUMPRODUCT(-('Gastos Gerais'!$B$4:$B$3143=Analítico!$B105),-(Analítico!BD$3&gt;='Gastos Gerais'!$D$4:$D$3143),-(Analítico!BD$3&lt;='Gastos Gerais'!$E$4:$E$3143),-('Gastos Gerais'!$C$4:$C$3143))</f>
        <v>0</v>
      </c>
      <c r="BE105" s="134">
        <f>SUMPRODUCT(-('Gastos Gerais'!$B$4:$B$3143=Analítico!$B105),-(Analítico!BE$3&gt;='Gastos Gerais'!$D$4:$D$3143),-(Analítico!BE$3&lt;='Gastos Gerais'!$E$4:$E$3143),-('Gastos Gerais'!$C$4:$C$3143))</f>
        <v>0</v>
      </c>
      <c r="BF105" s="134">
        <f>SUMPRODUCT(-('Gastos Gerais'!$B$4:$B$3143=Analítico!$B105),-(Analítico!BF$3&gt;='Gastos Gerais'!$D$4:$D$3143),-(Analítico!BF$3&lt;='Gastos Gerais'!$E$4:$E$3143),-('Gastos Gerais'!$C$4:$C$3143))</f>
        <v>0</v>
      </c>
      <c r="BG105" s="134">
        <f>SUMPRODUCT(-('Gastos Gerais'!$B$4:$B$3143=Analítico!$B105),-(Analítico!BG$3&gt;='Gastos Gerais'!$D$4:$D$3143),-(Analítico!BG$3&lt;='Gastos Gerais'!$E$4:$E$3143),-('Gastos Gerais'!$C$4:$C$3143))</f>
        <v>0</v>
      </c>
      <c r="BH105" s="134">
        <f>SUMPRODUCT(-('Gastos Gerais'!$B$4:$B$3143=Analítico!$B105),-(Analítico!BH$3&gt;='Gastos Gerais'!$D$4:$D$3143),-(Analítico!BH$3&lt;='Gastos Gerais'!$E$4:$E$3143),-('Gastos Gerais'!$C$4:$C$3143))</f>
        <v>0</v>
      </c>
      <c r="BI105" s="134">
        <f>SUMPRODUCT(-('Gastos Gerais'!$B$4:$B$3143=Analítico!$B105),-(Analítico!BI$3&gt;='Gastos Gerais'!$D$4:$D$3143),-(Analítico!BI$3&lt;='Gastos Gerais'!$E$4:$E$3143),-('Gastos Gerais'!$C$4:$C$3143))</f>
        <v>0</v>
      </c>
      <c r="BJ105" s="134">
        <f>SUMPRODUCT(-('Gastos Gerais'!$B$4:$B$3143=Analítico!$B105),-(Analítico!BJ$3&gt;='Gastos Gerais'!$D$4:$D$3143),-(Analítico!BJ$3&lt;='Gastos Gerais'!$E$4:$E$3143),-('Gastos Gerais'!$C$4:$C$3143))</f>
        <v>0</v>
      </c>
      <c r="BK105" s="189">
        <f t="shared" si="26"/>
        <v>228400</v>
      </c>
      <c r="BL105" s="136">
        <f t="shared" ca="1" si="27"/>
        <v>7.8638076817278909E-4</v>
      </c>
    </row>
    <row r="106" spans="1:64" s="160" customFormat="1" ht="23.25" customHeight="1">
      <c r="A106" s="229" t="s">
        <v>289</v>
      </c>
      <c r="B106" s="231" t="s">
        <v>290</v>
      </c>
      <c r="C106" s="188">
        <f>SUMPRODUCT(-('Gastos Gerais'!$B$4:$B$3143=Analítico!$B106),-(Analítico!C$3&gt;='Gastos Gerais'!$D$4:$D$3143),-(Analítico!C$3&lt;='Gastos Gerais'!$E$4:$E$3143),-('Gastos Gerais'!$C$4:$C$3143))</f>
        <v>200</v>
      </c>
      <c r="D106" s="134">
        <f>SUMPRODUCT(-('Gastos Gerais'!$B$4:$B$3143=Analítico!$B106),-(Analítico!D$3&gt;='Gastos Gerais'!$D$4:$D$3143),-(Analítico!D$3&lt;='Gastos Gerais'!$E$4:$E$3143),-('Gastos Gerais'!$C$4:$C$3143))</f>
        <v>200</v>
      </c>
      <c r="E106" s="134">
        <f>SUMPRODUCT(-('Gastos Gerais'!$B$4:$B$3143=Analítico!$B106),-(Analítico!E$3&gt;='Gastos Gerais'!$D$4:$D$3143),-(Analítico!E$3&lt;='Gastos Gerais'!$E$4:$E$3143),-('Gastos Gerais'!$C$4:$C$3143))</f>
        <v>200</v>
      </c>
      <c r="F106" s="134">
        <f>SUMPRODUCT(-('Gastos Gerais'!$B$4:$B$3143=Analítico!$B106),-(Analítico!F$3&gt;='Gastos Gerais'!$D$4:$D$3143),-(Analítico!F$3&lt;='Gastos Gerais'!$E$4:$E$3143),-('Gastos Gerais'!$C$4:$C$3143))</f>
        <v>200</v>
      </c>
      <c r="G106" s="134">
        <f>SUMPRODUCT(-('Gastos Gerais'!$B$4:$B$3143=Analítico!$B106),-(Analítico!G$3&gt;='Gastos Gerais'!$D$4:$D$3143),-(Analítico!G$3&lt;='Gastos Gerais'!$E$4:$E$3143),-('Gastos Gerais'!$C$4:$C$3143))</f>
        <v>200</v>
      </c>
      <c r="H106" s="134">
        <f>SUMPRODUCT(-('Gastos Gerais'!$B$4:$B$3143=Analítico!$B106),-(Analítico!H$3&gt;='Gastos Gerais'!$D$4:$D$3143),-(Analítico!H$3&lt;='Gastos Gerais'!$E$4:$E$3143),-('Gastos Gerais'!$C$4:$C$3143))</f>
        <v>200</v>
      </c>
      <c r="I106" s="134">
        <f>SUMPRODUCT(-('Gastos Gerais'!$B$4:$B$3143=Analítico!$B106),-(Analítico!I$3&gt;='Gastos Gerais'!$D$4:$D$3143),-(Analítico!I$3&lt;='Gastos Gerais'!$E$4:$E$3143),-('Gastos Gerais'!$C$4:$C$3143))</f>
        <v>200</v>
      </c>
      <c r="J106" s="134">
        <f>SUMPRODUCT(-('Gastos Gerais'!$B$4:$B$3143=Analítico!$B106),-(Analítico!J$3&gt;='Gastos Gerais'!$D$4:$D$3143),-(Analítico!J$3&lt;='Gastos Gerais'!$E$4:$E$3143),-('Gastos Gerais'!$C$4:$C$3143))</f>
        <v>200</v>
      </c>
      <c r="K106" s="134">
        <f>SUMPRODUCT(-('Gastos Gerais'!$B$4:$B$3143=Analítico!$B106),-(Analítico!K$3&gt;='Gastos Gerais'!$D$4:$D$3143),-(Analítico!K$3&lt;='Gastos Gerais'!$E$4:$E$3143),-('Gastos Gerais'!$C$4:$C$3143))</f>
        <v>200</v>
      </c>
      <c r="L106" s="134">
        <f>SUMPRODUCT(-('Gastos Gerais'!$B$4:$B$3143=Analítico!$B106),-(Analítico!L$3&gt;='Gastos Gerais'!$D$4:$D$3143),-(Analítico!L$3&lt;='Gastos Gerais'!$E$4:$E$3143),-('Gastos Gerais'!$C$4:$C$3143))</f>
        <v>200</v>
      </c>
      <c r="M106" s="134">
        <f>SUMPRODUCT(-('Gastos Gerais'!$B$4:$B$3143=Analítico!$B106),-(Analítico!M$3&gt;='Gastos Gerais'!$D$4:$D$3143),-(Analítico!M$3&lt;='Gastos Gerais'!$E$4:$E$3143),-('Gastos Gerais'!$C$4:$C$3143))</f>
        <v>200</v>
      </c>
      <c r="N106" s="134">
        <f>SUMPRODUCT(-('Gastos Gerais'!$B$4:$B$3143=Analítico!$B106),-(Analítico!N$3&gt;='Gastos Gerais'!$D$4:$D$3143),-(Analítico!N$3&lt;='Gastos Gerais'!$E$4:$E$3143),-('Gastos Gerais'!$C$4:$C$3143))</f>
        <v>200</v>
      </c>
      <c r="O106" s="134">
        <f>SUMPRODUCT(-('Gastos Gerais'!$B$4:$B$3143=Analítico!$B106),-(Analítico!O$3&gt;='Gastos Gerais'!$D$4:$D$3143),-(Analítico!O$3&lt;='Gastos Gerais'!$E$4:$E$3143),-('Gastos Gerais'!$C$4:$C$3143))</f>
        <v>200</v>
      </c>
      <c r="P106" s="134">
        <f>SUMPRODUCT(-('Gastos Gerais'!$B$4:$B$3143=Analítico!$B106),-(Analítico!P$3&gt;='Gastos Gerais'!$D$4:$D$3143),-(Analítico!P$3&lt;='Gastos Gerais'!$E$4:$E$3143),-('Gastos Gerais'!$C$4:$C$3143))</f>
        <v>200</v>
      </c>
      <c r="Q106" s="134">
        <f>SUMPRODUCT(-('Gastos Gerais'!$B$4:$B$3143=Analítico!$B106),-(Analítico!Q$3&gt;='Gastos Gerais'!$D$4:$D$3143),-(Analítico!Q$3&lt;='Gastos Gerais'!$E$4:$E$3143),-('Gastos Gerais'!$C$4:$C$3143))</f>
        <v>200</v>
      </c>
      <c r="R106" s="134">
        <f>SUMPRODUCT(-('Gastos Gerais'!$B$4:$B$3143=Analítico!$B106),-(Analítico!R$3&gt;='Gastos Gerais'!$D$4:$D$3143),-(Analítico!R$3&lt;='Gastos Gerais'!$E$4:$E$3143),-('Gastos Gerais'!$C$4:$C$3143))</f>
        <v>200</v>
      </c>
      <c r="S106" s="134">
        <f>SUMPRODUCT(-('Gastos Gerais'!$B$4:$B$3143=Analítico!$B106),-(Analítico!S$3&gt;='Gastos Gerais'!$D$4:$D$3143),-(Analítico!S$3&lt;='Gastos Gerais'!$E$4:$E$3143),-('Gastos Gerais'!$C$4:$C$3143))</f>
        <v>200</v>
      </c>
      <c r="T106" s="134">
        <f>SUMPRODUCT(-('Gastos Gerais'!$B$4:$B$3143=Analítico!$B106),-(Analítico!T$3&gt;='Gastos Gerais'!$D$4:$D$3143),-(Analítico!T$3&lt;='Gastos Gerais'!$E$4:$E$3143),-('Gastos Gerais'!$C$4:$C$3143))</f>
        <v>200</v>
      </c>
      <c r="U106" s="134">
        <f>SUMPRODUCT(-('Gastos Gerais'!$B$4:$B$3143=Analítico!$B106),-(Analítico!U$3&gt;='Gastos Gerais'!$D$4:$D$3143),-(Analítico!U$3&lt;='Gastos Gerais'!$E$4:$E$3143),-('Gastos Gerais'!$C$4:$C$3143))</f>
        <v>200</v>
      </c>
      <c r="V106" s="134">
        <f>SUMPRODUCT(-('Gastos Gerais'!$B$4:$B$3143=Analítico!$B106),-(Analítico!V$3&gt;='Gastos Gerais'!$D$4:$D$3143),-(Analítico!V$3&lt;='Gastos Gerais'!$E$4:$E$3143),-('Gastos Gerais'!$C$4:$C$3143))</f>
        <v>200</v>
      </c>
      <c r="W106" s="134">
        <f>SUMPRODUCT(-('Gastos Gerais'!$B$4:$B$3143=Analítico!$B106),-(Analítico!W$3&gt;='Gastos Gerais'!$D$4:$D$3143),-(Analítico!W$3&lt;='Gastos Gerais'!$E$4:$E$3143),-('Gastos Gerais'!$C$4:$C$3143))</f>
        <v>200</v>
      </c>
      <c r="X106" s="134">
        <f>SUMPRODUCT(-('Gastos Gerais'!$B$4:$B$3143=Analítico!$B106),-(Analítico!X$3&gt;='Gastos Gerais'!$D$4:$D$3143),-(Analítico!X$3&lt;='Gastos Gerais'!$E$4:$E$3143),-('Gastos Gerais'!$C$4:$C$3143))</f>
        <v>200</v>
      </c>
      <c r="Y106" s="134">
        <f>SUMPRODUCT(-('Gastos Gerais'!$B$4:$B$3143=Analítico!$B106),-(Analítico!Y$3&gt;='Gastos Gerais'!$D$4:$D$3143),-(Analítico!Y$3&lt;='Gastos Gerais'!$E$4:$E$3143),-('Gastos Gerais'!$C$4:$C$3143))</f>
        <v>200</v>
      </c>
      <c r="Z106" s="134">
        <f>SUMPRODUCT(-('Gastos Gerais'!$B$4:$B$3143=Analítico!$B106),-(Analítico!Z$3&gt;='Gastos Gerais'!$D$4:$D$3143),-(Analítico!Z$3&lt;='Gastos Gerais'!$E$4:$E$3143),-('Gastos Gerais'!$C$4:$C$3143))</f>
        <v>200</v>
      </c>
      <c r="AA106" s="134">
        <f>SUMPRODUCT(-('Gastos Gerais'!$B$4:$B$3143=Analítico!$B106),-(Analítico!AA$3&gt;='Gastos Gerais'!$D$4:$D$3143),-(Analítico!AA$3&lt;='Gastos Gerais'!$E$4:$E$3143),-('Gastos Gerais'!$C$4:$C$3143))</f>
        <v>200</v>
      </c>
      <c r="AB106" s="134">
        <f>SUMPRODUCT(-('Gastos Gerais'!$B$4:$B$3143=Analítico!$B106),-(Analítico!AB$3&gt;='Gastos Gerais'!$D$4:$D$3143),-(Analítico!AB$3&lt;='Gastos Gerais'!$E$4:$E$3143),-('Gastos Gerais'!$C$4:$C$3143))</f>
        <v>200</v>
      </c>
      <c r="AC106" s="134">
        <f>SUMPRODUCT(-('Gastos Gerais'!$B$4:$B$3143=Analítico!$B106),-(Analítico!AC$3&gt;='Gastos Gerais'!$D$4:$D$3143),-(Analítico!AC$3&lt;='Gastos Gerais'!$E$4:$E$3143),-('Gastos Gerais'!$C$4:$C$3143))</f>
        <v>200</v>
      </c>
      <c r="AD106" s="134">
        <f>SUMPRODUCT(-('Gastos Gerais'!$B$4:$B$3143=Analítico!$B106),-(Analítico!AD$3&gt;='Gastos Gerais'!$D$4:$D$3143),-(Analítico!AD$3&lt;='Gastos Gerais'!$E$4:$E$3143),-('Gastos Gerais'!$C$4:$C$3143))</f>
        <v>200</v>
      </c>
      <c r="AE106" s="134">
        <f>SUMPRODUCT(-('Gastos Gerais'!$B$4:$B$3143=Analítico!$B106),-(Analítico!AE$3&gt;='Gastos Gerais'!$D$4:$D$3143),-(Analítico!AE$3&lt;='Gastos Gerais'!$E$4:$E$3143),-('Gastos Gerais'!$C$4:$C$3143))</f>
        <v>200</v>
      </c>
      <c r="AF106" s="134">
        <f>SUMPRODUCT(-('Gastos Gerais'!$B$4:$B$3143=Analítico!$B106),-(Analítico!AF$3&gt;='Gastos Gerais'!$D$4:$D$3143),-(Analítico!AF$3&lt;='Gastos Gerais'!$E$4:$E$3143),-('Gastos Gerais'!$C$4:$C$3143))</f>
        <v>200</v>
      </c>
      <c r="AG106" s="134">
        <f>SUMPRODUCT(-('Gastos Gerais'!$B$4:$B$3143=Analítico!$B106),-(Analítico!AG$3&gt;='Gastos Gerais'!$D$4:$D$3143),-(Analítico!AG$3&lt;='Gastos Gerais'!$E$4:$E$3143),-('Gastos Gerais'!$C$4:$C$3143))</f>
        <v>200</v>
      </c>
      <c r="AH106" s="134">
        <f>SUMPRODUCT(-('Gastos Gerais'!$B$4:$B$3143=Analítico!$B106),-(Analítico!AH$3&gt;='Gastos Gerais'!$D$4:$D$3143),-(Analítico!AH$3&lt;='Gastos Gerais'!$E$4:$E$3143),-('Gastos Gerais'!$C$4:$C$3143))</f>
        <v>200</v>
      </c>
      <c r="AI106" s="134">
        <f>SUMPRODUCT(-('Gastos Gerais'!$B$4:$B$3143=Analítico!$B106),-(Analítico!AI$3&gt;='Gastos Gerais'!$D$4:$D$3143),-(Analítico!AI$3&lt;='Gastos Gerais'!$E$4:$E$3143),-('Gastos Gerais'!$C$4:$C$3143))</f>
        <v>200</v>
      </c>
      <c r="AJ106" s="134">
        <f>SUMPRODUCT(-('Gastos Gerais'!$B$4:$B$3143=Analítico!$B106),-(Analítico!AJ$3&gt;='Gastos Gerais'!$D$4:$D$3143),-(Analítico!AJ$3&lt;='Gastos Gerais'!$E$4:$E$3143),-('Gastos Gerais'!$C$4:$C$3143))</f>
        <v>200</v>
      </c>
      <c r="AK106" s="134">
        <f>SUMPRODUCT(-('Gastos Gerais'!$B$4:$B$3143=Analítico!$B106),-(Analítico!AK$3&gt;='Gastos Gerais'!$D$4:$D$3143),-(Analítico!AK$3&lt;='Gastos Gerais'!$E$4:$E$3143),-('Gastos Gerais'!$C$4:$C$3143))</f>
        <v>200</v>
      </c>
      <c r="AL106" s="134">
        <f>SUMPRODUCT(-('Gastos Gerais'!$B$4:$B$3143=Analítico!$B106),-(Analítico!AL$3&gt;='Gastos Gerais'!$D$4:$D$3143),-(Analítico!AL$3&lt;='Gastos Gerais'!$E$4:$E$3143),-('Gastos Gerais'!$C$4:$C$3143))</f>
        <v>200</v>
      </c>
      <c r="AM106" s="134">
        <f>SUMPRODUCT(-('Gastos Gerais'!$B$4:$B$3143=Analítico!$B106),-(Analítico!AM$3&gt;='Gastos Gerais'!$D$4:$D$3143),-(Analítico!AM$3&lt;='Gastos Gerais'!$E$4:$E$3143),-('Gastos Gerais'!$C$4:$C$3143))</f>
        <v>200</v>
      </c>
      <c r="AN106" s="134">
        <f>SUMPRODUCT(-('Gastos Gerais'!$B$4:$B$3143=Analítico!$B106),-(Analítico!AN$3&gt;='Gastos Gerais'!$D$4:$D$3143),-(Analítico!AN$3&lt;='Gastos Gerais'!$E$4:$E$3143),-('Gastos Gerais'!$C$4:$C$3143))</f>
        <v>200</v>
      </c>
      <c r="AO106" s="134">
        <f>SUMPRODUCT(-('Gastos Gerais'!$B$4:$B$3143=Analítico!$B106),-(Analítico!AO$3&gt;='Gastos Gerais'!$D$4:$D$3143),-(Analítico!AO$3&lt;='Gastos Gerais'!$E$4:$E$3143),-('Gastos Gerais'!$C$4:$C$3143))</f>
        <v>0</v>
      </c>
      <c r="AP106" s="134">
        <f>SUMPRODUCT(-('Gastos Gerais'!$B$4:$B$3143=Analítico!$B106),-(Analítico!AP$3&gt;='Gastos Gerais'!$D$4:$D$3143),-(Analítico!AP$3&lt;='Gastos Gerais'!$E$4:$E$3143),-('Gastos Gerais'!$C$4:$C$3143))</f>
        <v>0</v>
      </c>
      <c r="AQ106" s="134">
        <f>SUMPRODUCT(-('Gastos Gerais'!$B$4:$B$3143=Analítico!$B106),-(Analítico!AQ$3&gt;='Gastos Gerais'!$D$4:$D$3143),-(Analítico!AQ$3&lt;='Gastos Gerais'!$E$4:$E$3143),-('Gastos Gerais'!$C$4:$C$3143))</f>
        <v>0</v>
      </c>
      <c r="AR106" s="134">
        <f>SUMPRODUCT(-('Gastos Gerais'!$B$4:$B$3143=Analítico!$B106),-(Analítico!AR$3&gt;='Gastos Gerais'!$D$4:$D$3143),-(Analítico!AR$3&lt;='Gastos Gerais'!$E$4:$E$3143),-('Gastos Gerais'!$C$4:$C$3143))</f>
        <v>0</v>
      </c>
      <c r="AS106" s="134">
        <f>SUMPRODUCT(-('Gastos Gerais'!$B$4:$B$3143=Analítico!$B106),-(Analítico!AS$3&gt;='Gastos Gerais'!$D$4:$D$3143),-(Analítico!AS$3&lt;='Gastos Gerais'!$E$4:$E$3143),-('Gastos Gerais'!$C$4:$C$3143))</f>
        <v>0</v>
      </c>
      <c r="AT106" s="134">
        <f>SUMPRODUCT(-('Gastos Gerais'!$B$4:$B$3143=Analítico!$B106),-(Analítico!AT$3&gt;='Gastos Gerais'!$D$4:$D$3143),-(Analítico!AT$3&lt;='Gastos Gerais'!$E$4:$E$3143),-('Gastos Gerais'!$C$4:$C$3143))</f>
        <v>0</v>
      </c>
      <c r="AU106" s="134">
        <f>SUMPRODUCT(-('Gastos Gerais'!$B$4:$B$3143=Analítico!$B106),-(Analítico!AU$3&gt;='Gastos Gerais'!$D$4:$D$3143),-(Analítico!AU$3&lt;='Gastos Gerais'!$E$4:$E$3143),-('Gastos Gerais'!$C$4:$C$3143))</f>
        <v>0</v>
      </c>
      <c r="AV106" s="134">
        <f>SUMPRODUCT(-('Gastos Gerais'!$B$4:$B$3143=Analítico!$B106),-(Analítico!AV$3&gt;='Gastos Gerais'!$D$4:$D$3143),-(Analítico!AV$3&lt;='Gastos Gerais'!$E$4:$E$3143),-('Gastos Gerais'!$C$4:$C$3143))</f>
        <v>0</v>
      </c>
      <c r="AW106" s="134">
        <f>SUMPRODUCT(-('Gastos Gerais'!$B$4:$B$3143=Analítico!$B106),-(Analítico!AW$3&gt;='Gastos Gerais'!$D$4:$D$3143),-(Analítico!AW$3&lt;='Gastos Gerais'!$E$4:$E$3143),-('Gastos Gerais'!$C$4:$C$3143))</f>
        <v>0</v>
      </c>
      <c r="AX106" s="134">
        <f>SUMPRODUCT(-('Gastos Gerais'!$B$4:$B$3143=Analítico!$B106),-(Analítico!AX$3&gt;='Gastos Gerais'!$D$4:$D$3143),-(Analítico!AX$3&lt;='Gastos Gerais'!$E$4:$E$3143),-('Gastos Gerais'!$C$4:$C$3143))</f>
        <v>0</v>
      </c>
      <c r="AY106" s="134">
        <f>SUMPRODUCT(-('Gastos Gerais'!$B$4:$B$3143=Analítico!$B106),-(Analítico!AY$3&gt;='Gastos Gerais'!$D$4:$D$3143),-(Analítico!AY$3&lt;='Gastos Gerais'!$E$4:$E$3143),-('Gastos Gerais'!$C$4:$C$3143))</f>
        <v>0</v>
      </c>
      <c r="AZ106" s="134">
        <f>SUMPRODUCT(-('Gastos Gerais'!$B$4:$B$3143=Analítico!$B106),-(Analítico!AZ$3&gt;='Gastos Gerais'!$D$4:$D$3143),-(Analítico!AZ$3&lt;='Gastos Gerais'!$E$4:$E$3143),-('Gastos Gerais'!$C$4:$C$3143))</f>
        <v>0</v>
      </c>
      <c r="BA106" s="134">
        <f>SUMPRODUCT(-('Gastos Gerais'!$B$4:$B$3143=Analítico!$B106),-(Analítico!BA$3&gt;='Gastos Gerais'!$D$4:$D$3143),-(Analítico!BA$3&lt;='Gastos Gerais'!$E$4:$E$3143),-('Gastos Gerais'!$C$4:$C$3143))</f>
        <v>0</v>
      </c>
      <c r="BB106" s="134">
        <f>SUMPRODUCT(-('Gastos Gerais'!$B$4:$B$3143=Analítico!$B106),-(Analítico!BB$3&gt;='Gastos Gerais'!$D$4:$D$3143),-(Analítico!BB$3&lt;='Gastos Gerais'!$E$4:$E$3143),-('Gastos Gerais'!$C$4:$C$3143))</f>
        <v>0</v>
      </c>
      <c r="BC106" s="134">
        <f>SUMPRODUCT(-('Gastos Gerais'!$B$4:$B$3143=Analítico!$B106),-(Analítico!BC$3&gt;='Gastos Gerais'!$D$4:$D$3143),-(Analítico!BC$3&lt;='Gastos Gerais'!$E$4:$E$3143),-('Gastos Gerais'!$C$4:$C$3143))</f>
        <v>0</v>
      </c>
      <c r="BD106" s="134">
        <f>SUMPRODUCT(-('Gastos Gerais'!$B$4:$B$3143=Analítico!$B106),-(Analítico!BD$3&gt;='Gastos Gerais'!$D$4:$D$3143),-(Analítico!BD$3&lt;='Gastos Gerais'!$E$4:$E$3143),-('Gastos Gerais'!$C$4:$C$3143))</f>
        <v>0</v>
      </c>
      <c r="BE106" s="134">
        <f>SUMPRODUCT(-('Gastos Gerais'!$B$4:$B$3143=Analítico!$B106),-(Analítico!BE$3&gt;='Gastos Gerais'!$D$4:$D$3143),-(Analítico!BE$3&lt;='Gastos Gerais'!$E$4:$E$3143),-('Gastos Gerais'!$C$4:$C$3143))</f>
        <v>0</v>
      </c>
      <c r="BF106" s="134">
        <f>SUMPRODUCT(-('Gastos Gerais'!$B$4:$B$3143=Analítico!$B106),-(Analítico!BF$3&gt;='Gastos Gerais'!$D$4:$D$3143),-(Analítico!BF$3&lt;='Gastos Gerais'!$E$4:$E$3143),-('Gastos Gerais'!$C$4:$C$3143))</f>
        <v>0</v>
      </c>
      <c r="BG106" s="134">
        <f>SUMPRODUCT(-('Gastos Gerais'!$B$4:$B$3143=Analítico!$B106),-(Analítico!BG$3&gt;='Gastos Gerais'!$D$4:$D$3143),-(Analítico!BG$3&lt;='Gastos Gerais'!$E$4:$E$3143),-('Gastos Gerais'!$C$4:$C$3143))</f>
        <v>0</v>
      </c>
      <c r="BH106" s="134">
        <f>SUMPRODUCT(-('Gastos Gerais'!$B$4:$B$3143=Analítico!$B106),-(Analítico!BH$3&gt;='Gastos Gerais'!$D$4:$D$3143),-(Analítico!BH$3&lt;='Gastos Gerais'!$E$4:$E$3143),-('Gastos Gerais'!$C$4:$C$3143))</f>
        <v>0</v>
      </c>
      <c r="BI106" s="134">
        <f>SUMPRODUCT(-('Gastos Gerais'!$B$4:$B$3143=Analítico!$B106),-(Analítico!BI$3&gt;='Gastos Gerais'!$D$4:$D$3143),-(Analítico!BI$3&lt;='Gastos Gerais'!$E$4:$E$3143),-('Gastos Gerais'!$C$4:$C$3143))</f>
        <v>0</v>
      </c>
      <c r="BJ106" s="134">
        <f>SUMPRODUCT(-('Gastos Gerais'!$B$4:$B$3143=Analítico!$B106),-(Analítico!BJ$3&gt;='Gastos Gerais'!$D$4:$D$3143),-(Analítico!BJ$3&lt;='Gastos Gerais'!$E$4:$E$3143),-('Gastos Gerais'!$C$4:$C$3143))</f>
        <v>0</v>
      </c>
      <c r="BK106" s="189">
        <f t="shared" si="26"/>
        <v>7600</v>
      </c>
      <c r="BL106" s="136">
        <f t="shared" ca="1" si="27"/>
        <v>2.6166785630968463E-5</v>
      </c>
    </row>
    <row r="107" spans="1:64" s="160" customFormat="1" ht="23.25" customHeight="1">
      <c r="A107" s="229" t="s">
        <v>291</v>
      </c>
      <c r="B107" s="232" t="s">
        <v>292</v>
      </c>
      <c r="C107" s="188">
        <f>SUMPRODUCT(-('Gastos Gerais'!$B$4:$B$3143=Analítico!$B107),-(Analítico!C$3&gt;='Gastos Gerais'!$D$4:$D$3143),-(Analítico!C$3&lt;='Gastos Gerais'!$E$4:$E$3143),-('Gastos Gerais'!$C$4:$C$3143))</f>
        <v>500</v>
      </c>
      <c r="D107" s="134">
        <f>SUMPRODUCT(-('Gastos Gerais'!$B$4:$B$3143=Analítico!$B107),-(Analítico!D$3&gt;='Gastos Gerais'!$D$4:$D$3143),-(Analítico!D$3&lt;='Gastos Gerais'!$E$4:$E$3143),-('Gastos Gerais'!$C$4:$C$3143))</f>
        <v>500</v>
      </c>
      <c r="E107" s="134">
        <f>SUMPRODUCT(-('Gastos Gerais'!$B$4:$B$3143=Analítico!$B107),-(Analítico!E$3&gt;='Gastos Gerais'!$D$4:$D$3143),-(Analítico!E$3&lt;='Gastos Gerais'!$E$4:$E$3143),-('Gastos Gerais'!$C$4:$C$3143))</f>
        <v>500</v>
      </c>
      <c r="F107" s="134">
        <f>SUMPRODUCT(-('Gastos Gerais'!$B$4:$B$3143=Analítico!$B107),-(Analítico!F$3&gt;='Gastos Gerais'!$D$4:$D$3143),-(Analítico!F$3&lt;='Gastos Gerais'!$E$4:$E$3143),-('Gastos Gerais'!$C$4:$C$3143))</f>
        <v>500</v>
      </c>
      <c r="G107" s="134">
        <f>SUMPRODUCT(-('Gastos Gerais'!$B$4:$B$3143=Analítico!$B107),-(Analítico!G$3&gt;='Gastos Gerais'!$D$4:$D$3143),-(Analítico!G$3&lt;='Gastos Gerais'!$E$4:$E$3143),-('Gastos Gerais'!$C$4:$C$3143))</f>
        <v>500</v>
      </c>
      <c r="H107" s="134">
        <f>SUMPRODUCT(-('Gastos Gerais'!$B$4:$B$3143=Analítico!$B107),-(Analítico!H$3&gt;='Gastos Gerais'!$D$4:$D$3143),-(Analítico!H$3&lt;='Gastos Gerais'!$E$4:$E$3143),-('Gastos Gerais'!$C$4:$C$3143))</f>
        <v>500</v>
      </c>
      <c r="I107" s="134">
        <f>SUMPRODUCT(-('Gastos Gerais'!$B$4:$B$3143=Analítico!$B107),-(Analítico!I$3&gt;='Gastos Gerais'!$D$4:$D$3143),-(Analítico!I$3&lt;='Gastos Gerais'!$E$4:$E$3143),-('Gastos Gerais'!$C$4:$C$3143))</f>
        <v>500</v>
      </c>
      <c r="J107" s="134">
        <f>SUMPRODUCT(-('Gastos Gerais'!$B$4:$B$3143=Analítico!$B107),-(Analítico!J$3&gt;='Gastos Gerais'!$D$4:$D$3143),-(Analítico!J$3&lt;='Gastos Gerais'!$E$4:$E$3143),-('Gastos Gerais'!$C$4:$C$3143))</f>
        <v>500</v>
      </c>
      <c r="K107" s="134">
        <f>SUMPRODUCT(-('Gastos Gerais'!$B$4:$B$3143=Analítico!$B107),-(Analítico!K$3&gt;='Gastos Gerais'!$D$4:$D$3143),-(Analítico!K$3&lt;='Gastos Gerais'!$E$4:$E$3143),-('Gastos Gerais'!$C$4:$C$3143))</f>
        <v>500</v>
      </c>
      <c r="L107" s="134">
        <f>SUMPRODUCT(-('Gastos Gerais'!$B$4:$B$3143=Analítico!$B107),-(Analítico!L$3&gt;='Gastos Gerais'!$D$4:$D$3143),-(Analítico!L$3&lt;='Gastos Gerais'!$E$4:$E$3143),-('Gastos Gerais'!$C$4:$C$3143))</f>
        <v>500</v>
      </c>
      <c r="M107" s="134">
        <f>SUMPRODUCT(-('Gastos Gerais'!$B$4:$B$3143=Analítico!$B107),-(Analítico!M$3&gt;='Gastos Gerais'!$D$4:$D$3143),-(Analítico!M$3&lt;='Gastos Gerais'!$E$4:$E$3143),-('Gastos Gerais'!$C$4:$C$3143))</f>
        <v>20500</v>
      </c>
      <c r="N107" s="134">
        <f>SUMPRODUCT(-('Gastos Gerais'!$B$4:$B$3143=Analítico!$B107),-(Analítico!N$3&gt;='Gastos Gerais'!$D$4:$D$3143),-(Analítico!N$3&lt;='Gastos Gerais'!$E$4:$E$3143),-('Gastos Gerais'!$C$4:$C$3143))</f>
        <v>500</v>
      </c>
      <c r="O107" s="134">
        <f>SUMPRODUCT(-('Gastos Gerais'!$B$4:$B$3143=Analítico!$B107),-(Analítico!O$3&gt;='Gastos Gerais'!$D$4:$D$3143),-(Analítico!O$3&lt;='Gastos Gerais'!$E$4:$E$3143),-('Gastos Gerais'!$C$4:$C$3143))</f>
        <v>500</v>
      </c>
      <c r="P107" s="134">
        <f>SUMPRODUCT(-('Gastos Gerais'!$B$4:$B$3143=Analítico!$B107),-(Analítico!P$3&gt;='Gastos Gerais'!$D$4:$D$3143),-(Analítico!P$3&lt;='Gastos Gerais'!$E$4:$E$3143),-('Gastos Gerais'!$C$4:$C$3143))</f>
        <v>500</v>
      </c>
      <c r="Q107" s="134">
        <f>SUMPRODUCT(-('Gastos Gerais'!$B$4:$B$3143=Analítico!$B107),-(Analítico!Q$3&gt;='Gastos Gerais'!$D$4:$D$3143),-(Analítico!Q$3&lt;='Gastos Gerais'!$E$4:$E$3143),-('Gastos Gerais'!$C$4:$C$3143))</f>
        <v>500</v>
      </c>
      <c r="R107" s="134">
        <f>SUMPRODUCT(-('Gastos Gerais'!$B$4:$B$3143=Analítico!$B107),-(Analítico!R$3&gt;='Gastos Gerais'!$D$4:$D$3143),-(Analítico!R$3&lt;='Gastos Gerais'!$E$4:$E$3143),-('Gastos Gerais'!$C$4:$C$3143))</f>
        <v>500</v>
      </c>
      <c r="S107" s="134">
        <f>SUMPRODUCT(-('Gastos Gerais'!$B$4:$B$3143=Analítico!$B107),-(Analítico!S$3&gt;='Gastos Gerais'!$D$4:$D$3143),-(Analítico!S$3&lt;='Gastos Gerais'!$E$4:$E$3143),-('Gastos Gerais'!$C$4:$C$3143))</f>
        <v>500</v>
      </c>
      <c r="T107" s="134">
        <f>SUMPRODUCT(-('Gastos Gerais'!$B$4:$B$3143=Analítico!$B107),-(Analítico!T$3&gt;='Gastos Gerais'!$D$4:$D$3143),-(Analítico!T$3&lt;='Gastos Gerais'!$E$4:$E$3143),-('Gastos Gerais'!$C$4:$C$3143))</f>
        <v>500</v>
      </c>
      <c r="U107" s="134">
        <f>SUMPRODUCT(-('Gastos Gerais'!$B$4:$B$3143=Analítico!$B107),-(Analítico!U$3&gt;='Gastos Gerais'!$D$4:$D$3143),-(Analítico!U$3&lt;='Gastos Gerais'!$E$4:$E$3143),-('Gastos Gerais'!$C$4:$C$3143))</f>
        <v>500</v>
      </c>
      <c r="V107" s="134">
        <f>SUMPRODUCT(-('Gastos Gerais'!$B$4:$B$3143=Analítico!$B107),-(Analítico!V$3&gt;='Gastos Gerais'!$D$4:$D$3143),-(Analítico!V$3&lt;='Gastos Gerais'!$E$4:$E$3143),-('Gastos Gerais'!$C$4:$C$3143))</f>
        <v>500</v>
      </c>
      <c r="W107" s="134">
        <f>SUMPRODUCT(-('Gastos Gerais'!$B$4:$B$3143=Analítico!$B107),-(Analítico!W$3&gt;='Gastos Gerais'!$D$4:$D$3143),-(Analítico!W$3&lt;='Gastos Gerais'!$E$4:$E$3143),-('Gastos Gerais'!$C$4:$C$3143))</f>
        <v>500</v>
      </c>
      <c r="X107" s="134">
        <f>SUMPRODUCT(-('Gastos Gerais'!$B$4:$B$3143=Analítico!$B107),-(Analítico!X$3&gt;='Gastos Gerais'!$D$4:$D$3143),-(Analítico!X$3&lt;='Gastos Gerais'!$E$4:$E$3143),-('Gastos Gerais'!$C$4:$C$3143))</f>
        <v>500</v>
      </c>
      <c r="Y107" s="134">
        <f>SUMPRODUCT(-('Gastos Gerais'!$B$4:$B$3143=Analítico!$B107),-(Analítico!Y$3&gt;='Gastos Gerais'!$D$4:$D$3143),-(Analítico!Y$3&lt;='Gastos Gerais'!$E$4:$E$3143),-('Gastos Gerais'!$C$4:$C$3143))</f>
        <v>20500</v>
      </c>
      <c r="Z107" s="134">
        <f>SUMPRODUCT(-('Gastos Gerais'!$B$4:$B$3143=Analítico!$B107),-(Analítico!Z$3&gt;='Gastos Gerais'!$D$4:$D$3143),-(Analítico!Z$3&lt;='Gastos Gerais'!$E$4:$E$3143),-('Gastos Gerais'!$C$4:$C$3143))</f>
        <v>500</v>
      </c>
      <c r="AA107" s="134">
        <f>SUMPRODUCT(-('Gastos Gerais'!$B$4:$B$3143=Analítico!$B107),-(Analítico!AA$3&gt;='Gastos Gerais'!$D$4:$D$3143),-(Analítico!AA$3&lt;='Gastos Gerais'!$E$4:$E$3143),-('Gastos Gerais'!$C$4:$C$3143))</f>
        <v>500</v>
      </c>
      <c r="AB107" s="134">
        <f>SUMPRODUCT(-('Gastos Gerais'!$B$4:$B$3143=Analítico!$B107),-(Analítico!AB$3&gt;='Gastos Gerais'!$D$4:$D$3143),-(Analítico!AB$3&lt;='Gastos Gerais'!$E$4:$E$3143),-('Gastos Gerais'!$C$4:$C$3143))</f>
        <v>500</v>
      </c>
      <c r="AC107" s="134">
        <f>SUMPRODUCT(-('Gastos Gerais'!$B$4:$B$3143=Analítico!$B107),-(Analítico!AC$3&gt;='Gastos Gerais'!$D$4:$D$3143),-(Analítico!AC$3&lt;='Gastos Gerais'!$E$4:$E$3143),-('Gastos Gerais'!$C$4:$C$3143))</f>
        <v>500</v>
      </c>
      <c r="AD107" s="134">
        <f>SUMPRODUCT(-('Gastos Gerais'!$B$4:$B$3143=Analítico!$B107),-(Analítico!AD$3&gt;='Gastos Gerais'!$D$4:$D$3143),-(Analítico!AD$3&lt;='Gastos Gerais'!$E$4:$E$3143),-('Gastos Gerais'!$C$4:$C$3143))</f>
        <v>500</v>
      </c>
      <c r="AE107" s="134">
        <f>SUMPRODUCT(-('Gastos Gerais'!$B$4:$B$3143=Analítico!$B107),-(Analítico!AE$3&gt;='Gastos Gerais'!$D$4:$D$3143),-(Analítico!AE$3&lt;='Gastos Gerais'!$E$4:$E$3143),-('Gastos Gerais'!$C$4:$C$3143))</f>
        <v>500</v>
      </c>
      <c r="AF107" s="134">
        <f>SUMPRODUCT(-('Gastos Gerais'!$B$4:$B$3143=Analítico!$B107),-(Analítico!AF$3&gt;='Gastos Gerais'!$D$4:$D$3143),-(Analítico!AF$3&lt;='Gastos Gerais'!$E$4:$E$3143),-('Gastos Gerais'!$C$4:$C$3143))</f>
        <v>500</v>
      </c>
      <c r="AG107" s="134">
        <f>SUMPRODUCT(-('Gastos Gerais'!$B$4:$B$3143=Analítico!$B107),-(Analítico!AG$3&gt;='Gastos Gerais'!$D$4:$D$3143),-(Analítico!AG$3&lt;='Gastos Gerais'!$E$4:$E$3143),-('Gastos Gerais'!$C$4:$C$3143))</f>
        <v>500</v>
      </c>
      <c r="AH107" s="134">
        <f>SUMPRODUCT(-('Gastos Gerais'!$B$4:$B$3143=Analítico!$B107),-(Analítico!AH$3&gt;='Gastos Gerais'!$D$4:$D$3143),-(Analítico!AH$3&lt;='Gastos Gerais'!$E$4:$E$3143),-('Gastos Gerais'!$C$4:$C$3143))</f>
        <v>500</v>
      </c>
      <c r="AI107" s="134">
        <f>SUMPRODUCT(-('Gastos Gerais'!$B$4:$B$3143=Analítico!$B107),-(Analítico!AI$3&gt;='Gastos Gerais'!$D$4:$D$3143),-(Analítico!AI$3&lt;='Gastos Gerais'!$E$4:$E$3143),-('Gastos Gerais'!$C$4:$C$3143))</f>
        <v>500</v>
      </c>
      <c r="AJ107" s="134">
        <f>SUMPRODUCT(-('Gastos Gerais'!$B$4:$B$3143=Analítico!$B107),-(Analítico!AJ$3&gt;='Gastos Gerais'!$D$4:$D$3143),-(Analítico!AJ$3&lt;='Gastos Gerais'!$E$4:$E$3143),-('Gastos Gerais'!$C$4:$C$3143))</f>
        <v>500</v>
      </c>
      <c r="AK107" s="134">
        <f>SUMPRODUCT(-('Gastos Gerais'!$B$4:$B$3143=Analítico!$B107),-(Analítico!AK$3&gt;='Gastos Gerais'!$D$4:$D$3143),-(Analítico!AK$3&lt;='Gastos Gerais'!$E$4:$E$3143),-('Gastos Gerais'!$C$4:$C$3143))</f>
        <v>20500</v>
      </c>
      <c r="AL107" s="134">
        <f>SUMPRODUCT(-('Gastos Gerais'!$B$4:$B$3143=Analítico!$B107),-(Analítico!AL$3&gt;='Gastos Gerais'!$D$4:$D$3143),-(Analítico!AL$3&lt;='Gastos Gerais'!$E$4:$E$3143),-('Gastos Gerais'!$C$4:$C$3143))</f>
        <v>500</v>
      </c>
      <c r="AM107" s="134">
        <f>SUMPRODUCT(-('Gastos Gerais'!$B$4:$B$3143=Analítico!$B107),-(Analítico!AM$3&gt;='Gastos Gerais'!$D$4:$D$3143),-(Analítico!AM$3&lt;='Gastos Gerais'!$E$4:$E$3143),-('Gastos Gerais'!$C$4:$C$3143))</f>
        <v>500</v>
      </c>
      <c r="AN107" s="134">
        <f>SUMPRODUCT(-('Gastos Gerais'!$B$4:$B$3143=Analítico!$B107),-(Analítico!AN$3&gt;='Gastos Gerais'!$D$4:$D$3143),-(Analítico!AN$3&lt;='Gastos Gerais'!$E$4:$E$3143),-('Gastos Gerais'!$C$4:$C$3143))</f>
        <v>500</v>
      </c>
      <c r="AO107" s="134">
        <f>SUMPRODUCT(-('Gastos Gerais'!$B$4:$B$3143=Analítico!$B107),-(Analítico!AO$3&gt;='Gastos Gerais'!$D$4:$D$3143),-(Analítico!AO$3&lt;='Gastos Gerais'!$E$4:$E$3143),-('Gastos Gerais'!$C$4:$C$3143))</f>
        <v>500</v>
      </c>
      <c r="AP107" s="134">
        <f>SUMPRODUCT(-('Gastos Gerais'!$B$4:$B$3143=Analítico!$B107),-(Analítico!AP$3&gt;='Gastos Gerais'!$D$4:$D$3143),-(Analítico!AP$3&lt;='Gastos Gerais'!$E$4:$E$3143),-('Gastos Gerais'!$C$4:$C$3143))</f>
        <v>500</v>
      </c>
      <c r="AQ107" s="134">
        <f>SUMPRODUCT(-('Gastos Gerais'!$B$4:$B$3143=Analítico!$B107),-(Analítico!AQ$3&gt;='Gastos Gerais'!$D$4:$D$3143),-(Analítico!AQ$3&lt;='Gastos Gerais'!$E$4:$E$3143),-('Gastos Gerais'!$C$4:$C$3143))</f>
        <v>500</v>
      </c>
      <c r="AR107" s="134">
        <f>SUMPRODUCT(-('Gastos Gerais'!$B$4:$B$3143=Analítico!$B107),-(Analítico!AR$3&gt;='Gastos Gerais'!$D$4:$D$3143),-(Analítico!AR$3&lt;='Gastos Gerais'!$E$4:$E$3143),-('Gastos Gerais'!$C$4:$C$3143))</f>
        <v>500</v>
      </c>
      <c r="AS107" s="134">
        <f>SUMPRODUCT(-('Gastos Gerais'!$B$4:$B$3143=Analítico!$B107),-(Analítico!AS$3&gt;='Gastos Gerais'!$D$4:$D$3143),-(Analítico!AS$3&lt;='Gastos Gerais'!$E$4:$E$3143),-('Gastos Gerais'!$C$4:$C$3143))</f>
        <v>500</v>
      </c>
      <c r="AT107" s="134">
        <f>SUMPRODUCT(-('Gastos Gerais'!$B$4:$B$3143=Analítico!$B107),-(Analítico!AT$3&gt;='Gastos Gerais'!$D$4:$D$3143),-(Analítico!AT$3&lt;='Gastos Gerais'!$E$4:$E$3143),-('Gastos Gerais'!$C$4:$C$3143))</f>
        <v>500</v>
      </c>
      <c r="AU107" s="134">
        <f>SUMPRODUCT(-('Gastos Gerais'!$B$4:$B$3143=Analítico!$B107),-(Analítico!AU$3&gt;='Gastos Gerais'!$D$4:$D$3143),-(Analítico!AU$3&lt;='Gastos Gerais'!$E$4:$E$3143),-('Gastos Gerais'!$C$4:$C$3143))</f>
        <v>500</v>
      </c>
      <c r="AV107" s="134">
        <f>SUMPRODUCT(-('Gastos Gerais'!$B$4:$B$3143=Analítico!$B107),-(Analítico!AV$3&gt;='Gastos Gerais'!$D$4:$D$3143),-(Analítico!AV$3&lt;='Gastos Gerais'!$E$4:$E$3143),-('Gastos Gerais'!$C$4:$C$3143))</f>
        <v>500</v>
      </c>
      <c r="AW107" s="134">
        <f>SUMPRODUCT(-('Gastos Gerais'!$B$4:$B$3143=Analítico!$B107),-(Analítico!AW$3&gt;='Gastos Gerais'!$D$4:$D$3143),-(Analítico!AW$3&lt;='Gastos Gerais'!$E$4:$E$3143),-('Gastos Gerais'!$C$4:$C$3143))</f>
        <v>20500</v>
      </c>
      <c r="AX107" s="134">
        <f>SUMPRODUCT(-('Gastos Gerais'!$B$4:$B$3143=Analítico!$B107),-(Analítico!AX$3&gt;='Gastos Gerais'!$D$4:$D$3143),-(Analítico!AX$3&lt;='Gastos Gerais'!$E$4:$E$3143),-('Gastos Gerais'!$C$4:$C$3143))</f>
        <v>0</v>
      </c>
      <c r="AY107" s="134">
        <f>SUMPRODUCT(-('Gastos Gerais'!$B$4:$B$3143=Analítico!$B107),-(Analítico!AY$3&gt;='Gastos Gerais'!$D$4:$D$3143),-(Analítico!AY$3&lt;='Gastos Gerais'!$E$4:$E$3143),-('Gastos Gerais'!$C$4:$C$3143))</f>
        <v>0</v>
      </c>
      <c r="AZ107" s="134">
        <f>SUMPRODUCT(-('Gastos Gerais'!$B$4:$B$3143=Analítico!$B107),-(Analítico!AZ$3&gt;='Gastos Gerais'!$D$4:$D$3143),-(Analítico!AZ$3&lt;='Gastos Gerais'!$E$4:$E$3143),-('Gastos Gerais'!$C$4:$C$3143))</f>
        <v>0</v>
      </c>
      <c r="BA107" s="134">
        <f>SUMPRODUCT(-('Gastos Gerais'!$B$4:$B$3143=Analítico!$B107),-(Analítico!BA$3&gt;='Gastos Gerais'!$D$4:$D$3143),-(Analítico!BA$3&lt;='Gastos Gerais'!$E$4:$E$3143),-('Gastos Gerais'!$C$4:$C$3143))</f>
        <v>0</v>
      </c>
      <c r="BB107" s="134">
        <f>SUMPRODUCT(-('Gastos Gerais'!$B$4:$B$3143=Analítico!$B107),-(Analítico!BB$3&gt;='Gastos Gerais'!$D$4:$D$3143),-(Analítico!BB$3&lt;='Gastos Gerais'!$E$4:$E$3143),-('Gastos Gerais'!$C$4:$C$3143))</f>
        <v>0</v>
      </c>
      <c r="BC107" s="134">
        <f>SUMPRODUCT(-('Gastos Gerais'!$B$4:$B$3143=Analítico!$B107),-(Analítico!BC$3&gt;='Gastos Gerais'!$D$4:$D$3143),-(Analítico!BC$3&lt;='Gastos Gerais'!$E$4:$E$3143),-('Gastos Gerais'!$C$4:$C$3143))</f>
        <v>0</v>
      </c>
      <c r="BD107" s="134">
        <f>SUMPRODUCT(-('Gastos Gerais'!$B$4:$B$3143=Analítico!$B107),-(Analítico!BD$3&gt;='Gastos Gerais'!$D$4:$D$3143),-(Analítico!BD$3&lt;='Gastos Gerais'!$E$4:$E$3143),-('Gastos Gerais'!$C$4:$C$3143))</f>
        <v>0</v>
      </c>
      <c r="BE107" s="134">
        <f>SUMPRODUCT(-('Gastos Gerais'!$B$4:$B$3143=Analítico!$B107),-(Analítico!BE$3&gt;='Gastos Gerais'!$D$4:$D$3143),-(Analítico!BE$3&lt;='Gastos Gerais'!$E$4:$E$3143),-('Gastos Gerais'!$C$4:$C$3143))</f>
        <v>0</v>
      </c>
      <c r="BF107" s="134">
        <f>SUMPRODUCT(-('Gastos Gerais'!$B$4:$B$3143=Analítico!$B107),-(Analítico!BF$3&gt;='Gastos Gerais'!$D$4:$D$3143),-(Analítico!BF$3&lt;='Gastos Gerais'!$E$4:$E$3143),-('Gastos Gerais'!$C$4:$C$3143))</f>
        <v>0</v>
      </c>
      <c r="BG107" s="134">
        <f>SUMPRODUCT(-('Gastos Gerais'!$B$4:$B$3143=Analítico!$B107),-(Analítico!BG$3&gt;='Gastos Gerais'!$D$4:$D$3143),-(Analítico!BG$3&lt;='Gastos Gerais'!$E$4:$E$3143),-('Gastos Gerais'!$C$4:$C$3143))</f>
        <v>0</v>
      </c>
      <c r="BH107" s="134">
        <f>SUMPRODUCT(-('Gastos Gerais'!$B$4:$B$3143=Analítico!$B107),-(Analítico!BH$3&gt;='Gastos Gerais'!$D$4:$D$3143),-(Analítico!BH$3&lt;='Gastos Gerais'!$E$4:$E$3143),-('Gastos Gerais'!$C$4:$C$3143))</f>
        <v>0</v>
      </c>
      <c r="BI107" s="134">
        <f>SUMPRODUCT(-('Gastos Gerais'!$B$4:$B$3143=Analítico!$B107),-(Analítico!BI$3&gt;='Gastos Gerais'!$D$4:$D$3143),-(Analítico!BI$3&lt;='Gastos Gerais'!$E$4:$E$3143),-('Gastos Gerais'!$C$4:$C$3143))</f>
        <v>0</v>
      </c>
      <c r="BJ107" s="134">
        <f>SUMPRODUCT(-('Gastos Gerais'!$B$4:$B$3143=Analítico!$B107),-(Analítico!BJ$3&gt;='Gastos Gerais'!$D$4:$D$3143),-(Analítico!BJ$3&lt;='Gastos Gerais'!$E$4:$E$3143),-('Gastos Gerais'!$C$4:$C$3143))</f>
        <v>0</v>
      </c>
      <c r="BK107" s="189">
        <f t="shared" si="26"/>
        <v>103500</v>
      </c>
      <c r="BL107" s="136">
        <f t="shared" ca="1" si="27"/>
        <v>3.5635030431647839E-4</v>
      </c>
    </row>
    <row r="108" spans="1:64" s="160" customFormat="1" ht="23.25" customHeight="1">
      <c r="A108" s="229" t="s">
        <v>293</v>
      </c>
      <c r="B108" s="232" t="s">
        <v>294</v>
      </c>
      <c r="C108" s="188">
        <f>SUMPRODUCT(-('Gastos Gerais'!$B$4:$B$3143=Analítico!$B108),-(Analítico!C$3&gt;='Gastos Gerais'!$D$4:$D$3143),-(Analítico!C$3&lt;='Gastos Gerais'!$E$4:$E$3143),-('Gastos Gerais'!$C$4:$C$3143))</f>
        <v>50500</v>
      </c>
      <c r="D108" s="134">
        <f>SUMPRODUCT(-('Gastos Gerais'!$B$4:$B$3143=Analítico!$B108),-(Analítico!D$3&gt;='Gastos Gerais'!$D$4:$D$3143),-(Analítico!D$3&lt;='Gastos Gerais'!$E$4:$E$3143),-('Gastos Gerais'!$C$4:$C$3143))</f>
        <v>50500</v>
      </c>
      <c r="E108" s="134">
        <f>SUMPRODUCT(-('Gastos Gerais'!$B$4:$B$3143=Analítico!$B108),-(Analítico!E$3&gt;='Gastos Gerais'!$D$4:$D$3143),-(Analítico!E$3&lt;='Gastos Gerais'!$E$4:$E$3143),-('Gastos Gerais'!$C$4:$C$3143))</f>
        <v>50700</v>
      </c>
      <c r="F108" s="134">
        <f>SUMPRODUCT(-('Gastos Gerais'!$B$4:$B$3143=Analítico!$B108),-(Analítico!F$3&gt;='Gastos Gerais'!$D$4:$D$3143),-(Analítico!F$3&lt;='Gastos Gerais'!$E$4:$E$3143),-('Gastos Gerais'!$C$4:$C$3143))</f>
        <v>53700</v>
      </c>
      <c r="G108" s="134">
        <f>SUMPRODUCT(-('Gastos Gerais'!$B$4:$B$3143=Analítico!$B108),-(Analítico!G$3&gt;='Gastos Gerais'!$D$4:$D$3143),-(Analítico!G$3&lt;='Gastos Gerais'!$E$4:$E$3143),-('Gastos Gerais'!$C$4:$C$3143))</f>
        <v>53700</v>
      </c>
      <c r="H108" s="134">
        <f>SUMPRODUCT(-('Gastos Gerais'!$B$4:$B$3143=Analítico!$B108),-(Analítico!H$3&gt;='Gastos Gerais'!$D$4:$D$3143),-(Analítico!H$3&lt;='Gastos Gerais'!$E$4:$E$3143),-('Gastos Gerais'!$C$4:$C$3143))</f>
        <v>53700</v>
      </c>
      <c r="I108" s="134">
        <f>SUMPRODUCT(-('Gastos Gerais'!$B$4:$B$3143=Analítico!$B108),-(Analítico!I$3&gt;='Gastos Gerais'!$D$4:$D$3143),-(Analítico!I$3&lt;='Gastos Gerais'!$E$4:$E$3143),-('Gastos Gerais'!$C$4:$C$3143))</f>
        <v>55700</v>
      </c>
      <c r="J108" s="134">
        <f>SUMPRODUCT(-('Gastos Gerais'!$B$4:$B$3143=Analítico!$B108),-(Analítico!J$3&gt;='Gastos Gerais'!$D$4:$D$3143),-(Analítico!J$3&lt;='Gastos Gerais'!$E$4:$E$3143),-('Gastos Gerais'!$C$4:$C$3143))</f>
        <v>55700</v>
      </c>
      <c r="K108" s="134">
        <f>SUMPRODUCT(-('Gastos Gerais'!$B$4:$B$3143=Analítico!$B108),-(Analítico!K$3&gt;='Gastos Gerais'!$D$4:$D$3143),-(Analítico!K$3&lt;='Gastos Gerais'!$E$4:$E$3143),-('Gastos Gerais'!$C$4:$C$3143))</f>
        <v>55700</v>
      </c>
      <c r="L108" s="134">
        <f>SUMPRODUCT(-('Gastos Gerais'!$B$4:$B$3143=Analítico!$B108),-(Analítico!L$3&gt;='Gastos Gerais'!$D$4:$D$3143),-(Analítico!L$3&lt;='Gastos Gerais'!$E$4:$E$3143),-('Gastos Gerais'!$C$4:$C$3143))</f>
        <v>57700</v>
      </c>
      <c r="M108" s="134">
        <f>SUMPRODUCT(-('Gastos Gerais'!$B$4:$B$3143=Analítico!$B108),-(Analítico!M$3&gt;='Gastos Gerais'!$D$4:$D$3143),-(Analítico!M$3&lt;='Gastos Gerais'!$E$4:$E$3143),-('Gastos Gerais'!$C$4:$C$3143))</f>
        <v>57700</v>
      </c>
      <c r="N108" s="134">
        <f>SUMPRODUCT(-('Gastos Gerais'!$B$4:$B$3143=Analítico!$B108),-(Analítico!N$3&gt;='Gastos Gerais'!$D$4:$D$3143),-(Analítico!N$3&lt;='Gastos Gerais'!$E$4:$E$3143),-('Gastos Gerais'!$C$4:$C$3143))</f>
        <v>57700</v>
      </c>
      <c r="O108" s="134">
        <f>SUMPRODUCT(-('Gastos Gerais'!$B$4:$B$3143=Analítico!$B108),-(Analítico!O$3&gt;='Gastos Gerais'!$D$4:$D$3143),-(Analítico!O$3&lt;='Gastos Gerais'!$E$4:$E$3143),-('Gastos Gerais'!$C$4:$C$3143))</f>
        <v>57700</v>
      </c>
      <c r="P108" s="134">
        <f>SUMPRODUCT(-('Gastos Gerais'!$B$4:$B$3143=Analítico!$B108),-(Analítico!P$3&gt;='Gastos Gerais'!$D$4:$D$3143),-(Analítico!P$3&lt;='Gastos Gerais'!$E$4:$E$3143),-('Gastos Gerais'!$C$4:$C$3143))</f>
        <v>57700</v>
      </c>
      <c r="Q108" s="134">
        <f>SUMPRODUCT(-('Gastos Gerais'!$B$4:$B$3143=Analítico!$B108),-(Analítico!Q$3&gt;='Gastos Gerais'!$D$4:$D$3143),-(Analítico!Q$3&lt;='Gastos Gerais'!$E$4:$E$3143),-('Gastos Gerais'!$C$4:$C$3143))</f>
        <v>57700</v>
      </c>
      <c r="R108" s="134">
        <f>SUMPRODUCT(-('Gastos Gerais'!$B$4:$B$3143=Analítico!$B108),-(Analítico!R$3&gt;='Gastos Gerais'!$D$4:$D$3143),-(Analítico!R$3&lt;='Gastos Gerais'!$E$4:$E$3143),-('Gastos Gerais'!$C$4:$C$3143))</f>
        <v>57700</v>
      </c>
      <c r="S108" s="134">
        <f>SUMPRODUCT(-('Gastos Gerais'!$B$4:$B$3143=Analítico!$B108),-(Analítico!S$3&gt;='Gastos Gerais'!$D$4:$D$3143),-(Analítico!S$3&lt;='Gastos Gerais'!$E$4:$E$3143),-('Gastos Gerais'!$C$4:$C$3143))</f>
        <v>57700</v>
      </c>
      <c r="T108" s="134">
        <f>SUMPRODUCT(-('Gastos Gerais'!$B$4:$B$3143=Analítico!$B108),-(Analítico!T$3&gt;='Gastos Gerais'!$D$4:$D$3143),-(Analítico!T$3&lt;='Gastos Gerais'!$E$4:$E$3143),-('Gastos Gerais'!$C$4:$C$3143))</f>
        <v>57700</v>
      </c>
      <c r="U108" s="134">
        <f>SUMPRODUCT(-('Gastos Gerais'!$B$4:$B$3143=Analítico!$B108),-(Analítico!U$3&gt;='Gastos Gerais'!$D$4:$D$3143),-(Analítico!U$3&lt;='Gastos Gerais'!$E$4:$E$3143),-('Gastos Gerais'!$C$4:$C$3143))</f>
        <v>57700</v>
      </c>
      <c r="V108" s="134">
        <f>SUMPRODUCT(-('Gastos Gerais'!$B$4:$B$3143=Analítico!$B108),-(Analítico!V$3&gt;='Gastos Gerais'!$D$4:$D$3143),-(Analítico!V$3&lt;='Gastos Gerais'!$E$4:$E$3143),-('Gastos Gerais'!$C$4:$C$3143))</f>
        <v>57700</v>
      </c>
      <c r="W108" s="134">
        <f>SUMPRODUCT(-('Gastos Gerais'!$B$4:$B$3143=Analítico!$B108),-(Analítico!W$3&gt;='Gastos Gerais'!$D$4:$D$3143),-(Analítico!W$3&lt;='Gastos Gerais'!$E$4:$E$3143),-('Gastos Gerais'!$C$4:$C$3143))</f>
        <v>57700</v>
      </c>
      <c r="X108" s="134">
        <f>SUMPRODUCT(-('Gastos Gerais'!$B$4:$B$3143=Analítico!$B108),-(Analítico!X$3&gt;='Gastos Gerais'!$D$4:$D$3143),-(Analítico!X$3&lt;='Gastos Gerais'!$E$4:$E$3143),-('Gastos Gerais'!$C$4:$C$3143))</f>
        <v>57700</v>
      </c>
      <c r="Y108" s="134">
        <f>SUMPRODUCT(-('Gastos Gerais'!$B$4:$B$3143=Analítico!$B108),-(Analítico!Y$3&gt;='Gastos Gerais'!$D$4:$D$3143),-(Analítico!Y$3&lt;='Gastos Gerais'!$E$4:$E$3143),-('Gastos Gerais'!$C$4:$C$3143))</f>
        <v>57700</v>
      </c>
      <c r="Z108" s="134">
        <f>SUMPRODUCT(-('Gastos Gerais'!$B$4:$B$3143=Analítico!$B108),-(Analítico!Z$3&gt;='Gastos Gerais'!$D$4:$D$3143),-(Analítico!Z$3&lt;='Gastos Gerais'!$E$4:$E$3143),-('Gastos Gerais'!$C$4:$C$3143))</f>
        <v>57700</v>
      </c>
      <c r="AA108" s="134">
        <f>SUMPRODUCT(-('Gastos Gerais'!$B$4:$B$3143=Analítico!$B108),-(Analítico!AA$3&gt;='Gastos Gerais'!$D$4:$D$3143),-(Analítico!AA$3&lt;='Gastos Gerais'!$E$4:$E$3143),-('Gastos Gerais'!$C$4:$C$3143))</f>
        <v>59100</v>
      </c>
      <c r="AB108" s="134">
        <f>SUMPRODUCT(-('Gastos Gerais'!$B$4:$B$3143=Analítico!$B108),-(Analítico!AB$3&gt;='Gastos Gerais'!$D$4:$D$3143),-(Analítico!AB$3&lt;='Gastos Gerais'!$E$4:$E$3143),-('Gastos Gerais'!$C$4:$C$3143))</f>
        <v>59100</v>
      </c>
      <c r="AC108" s="134">
        <f>SUMPRODUCT(-('Gastos Gerais'!$B$4:$B$3143=Analítico!$B108),-(Analítico!AC$3&gt;='Gastos Gerais'!$D$4:$D$3143),-(Analítico!AC$3&lt;='Gastos Gerais'!$E$4:$E$3143),-('Gastos Gerais'!$C$4:$C$3143))</f>
        <v>59100</v>
      </c>
      <c r="AD108" s="134">
        <f>SUMPRODUCT(-('Gastos Gerais'!$B$4:$B$3143=Analítico!$B108),-(Analítico!AD$3&gt;='Gastos Gerais'!$D$4:$D$3143),-(Analítico!AD$3&lt;='Gastos Gerais'!$E$4:$E$3143),-('Gastos Gerais'!$C$4:$C$3143))</f>
        <v>59100</v>
      </c>
      <c r="AE108" s="134">
        <f>SUMPRODUCT(-('Gastos Gerais'!$B$4:$B$3143=Analítico!$B108),-(Analítico!AE$3&gt;='Gastos Gerais'!$D$4:$D$3143),-(Analítico!AE$3&lt;='Gastos Gerais'!$E$4:$E$3143),-('Gastos Gerais'!$C$4:$C$3143))</f>
        <v>59100</v>
      </c>
      <c r="AF108" s="134">
        <f>SUMPRODUCT(-('Gastos Gerais'!$B$4:$B$3143=Analítico!$B108),-(Analítico!AF$3&gt;='Gastos Gerais'!$D$4:$D$3143),-(Analítico!AF$3&lt;='Gastos Gerais'!$E$4:$E$3143),-('Gastos Gerais'!$C$4:$C$3143))</f>
        <v>59100</v>
      </c>
      <c r="AG108" s="134">
        <f>SUMPRODUCT(-('Gastos Gerais'!$B$4:$B$3143=Analítico!$B108),-(Analítico!AG$3&gt;='Gastos Gerais'!$D$4:$D$3143),-(Analítico!AG$3&lt;='Gastos Gerais'!$E$4:$E$3143),-('Gastos Gerais'!$C$4:$C$3143))</f>
        <v>59100</v>
      </c>
      <c r="AH108" s="134">
        <f>SUMPRODUCT(-('Gastos Gerais'!$B$4:$B$3143=Analítico!$B108),-(Analítico!AH$3&gt;='Gastos Gerais'!$D$4:$D$3143),-(Analítico!AH$3&lt;='Gastos Gerais'!$E$4:$E$3143),-('Gastos Gerais'!$C$4:$C$3143))</f>
        <v>59100</v>
      </c>
      <c r="AI108" s="134">
        <f>SUMPRODUCT(-('Gastos Gerais'!$B$4:$B$3143=Analítico!$B108),-(Analítico!AI$3&gt;='Gastos Gerais'!$D$4:$D$3143),-(Analítico!AI$3&lt;='Gastos Gerais'!$E$4:$E$3143),-('Gastos Gerais'!$C$4:$C$3143))</f>
        <v>59100</v>
      </c>
      <c r="AJ108" s="134">
        <f>SUMPRODUCT(-('Gastos Gerais'!$B$4:$B$3143=Analítico!$B108),-(Analítico!AJ$3&gt;='Gastos Gerais'!$D$4:$D$3143),-(Analítico!AJ$3&lt;='Gastos Gerais'!$E$4:$E$3143),-('Gastos Gerais'!$C$4:$C$3143))</f>
        <v>59100</v>
      </c>
      <c r="AK108" s="134">
        <f>SUMPRODUCT(-('Gastos Gerais'!$B$4:$B$3143=Analítico!$B108),-(Analítico!AK$3&gt;='Gastos Gerais'!$D$4:$D$3143),-(Analítico!AK$3&lt;='Gastos Gerais'!$E$4:$E$3143),-('Gastos Gerais'!$C$4:$C$3143))</f>
        <v>59100</v>
      </c>
      <c r="AL108" s="134">
        <f>SUMPRODUCT(-('Gastos Gerais'!$B$4:$B$3143=Analítico!$B108),-(Analítico!AL$3&gt;='Gastos Gerais'!$D$4:$D$3143),-(Analítico!AL$3&lt;='Gastos Gerais'!$E$4:$E$3143),-('Gastos Gerais'!$C$4:$C$3143))</f>
        <v>59100</v>
      </c>
      <c r="AM108" s="134">
        <f>SUMPRODUCT(-('Gastos Gerais'!$B$4:$B$3143=Analítico!$B108),-(Analítico!AM$3&gt;='Gastos Gerais'!$D$4:$D$3143),-(Analítico!AM$3&lt;='Gastos Gerais'!$E$4:$E$3143),-('Gastos Gerais'!$C$4:$C$3143))</f>
        <v>45500</v>
      </c>
      <c r="AN108" s="134">
        <f>SUMPRODUCT(-('Gastos Gerais'!$B$4:$B$3143=Analítico!$B108),-(Analítico!AN$3&gt;='Gastos Gerais'!$D$4:$D$3143),-(Analítico!AN$3&lt;='Gastos Gerais'!$E$4:$E$3143),-('Gastos Gerais'!$C$4:$C$3143))</f>
        <v>45500</v>
      </c>
      <c r="AO108" s="134">
        <f>SUMPRODUCT(-('Gastos Gerais'!$B$4:$B$3143=Analítico!$B108),-(Analítico!AO$3&gt;='Gastos Gerais'!$D$4:$D$3143),-(Analítico!AO$3&lt;='Gastos Gerais'!$E$4:$E$3143),-('Gastos Gerais'!$C$4:$C$3143))</f>
        <v>45500</v>
      </c>
      <c r="AP108" s="134">
        <f>SUMPRODUCT(-('Gastos Gerais'!$B$4:$B$3143=Analítico!$B108),-(Analítico!AP$3&gt;='Gastos Gerais'!$D$4:$D$3143),-(Analítico!AP$3&lt;='Gastos Gerais'!$E$4:$E$3143),-('Gastos Gerais'!$C$4:$C$3143))</f>
        <v>45500</v>
      </c>
      <c r="AQ108" s="134">
        <f>SUMPRODUCT(-('Gastos Gerais'!$B$4:$B$3143=Analítico!$B108),-(Analítico!AQ$3&gt;='Gastos Gerais'!$D$4:$D$3143),-(Analítico!AQ$3&lt;='Gastos Gerais'!$E$4:$E$3143),-('Gastos Gerais'!$C$4:$C$3143))</f>
        <v>45500</v>
      </c>
      <c r="AR108" s="134">
        <f>SUMPRODUCT(-('Gastos Gerais'!$B$4:$B$3143=Analítico!$B108),-(Analítico!AR$3&gt;='Gastos Gerais'!$D$4:$D$3143),-(Analítico!AR$3&lt;='Gastos Gerais'!$E$4:$E$3143),-('Gastos Gerais'!$C$4:$C$3143))</f>
        <v>45500</v>
      </c>
      <c r="AS108" s="134">
        <f>SUMPRODUCT(-('Gastos Gerais'!$B$4:$B$3143=Analítico!$B108),-(Analítico!AS$3&gt;='Gastos Gerais'!$D$4:$D$3143),-(Analítico!AS$3&lt;='Gastos Gerais'!$E$4:$E$3143),-('Gastos Gerais'!$C$4:$C$3143))</f>
        <v>45500</v>
      </c>
      <c r="AT108" s="134">
        <f>SUMPRODUCT(-('Gastos Gerais'!$B$4:$B$3143=Analítico!$B108),-(Analítico!AT$3&gt;='Gastos Gerais'!$D$4:$D$3143),-(Analítico!AT$3&lt;='Gastos Gerais'!$E$4:$E$3143),-('Gastos Gerais'!$C$4:$C$3143))</f>
        <v>45500</v>
      </c>
      <c r="AU108" s="134">
        <f>SUMPRODUCT(-('Gastos Gerais'!$B$4:$B$3143=Analítico!$B108),-(Analítico!AU$3&gt;='Gastos Gerais'!$D$4:$D$3143),-(Analítico!AU$3&lt;='Gastos Gerais'!$E$4:$E$3143),-('Gastos Gerais'!$C$4:$C$3143))</f>
        <v>45500</v>
      </c>
      <c r="AV108" s="134">
        <f>SUMPRODUCT(-('Gastos Gerais'!$B$4:$B$3143=Analítico!$B108),-(Analítico!AV$3&gt;='Gastos Gerais'!$D$4:$D$3143),-(Analítico!AV$3&lt;='Gastos Gerais'!$E$4:$E$3143),-('Gastos Gerais'!$C$4:$C$3143))</f>
        <v>45500</v>
      </c>
      <c r="AW108" s="134">
        <f>SUMPRODUCT(-('Gastos Gerais'!$B$4:$B$3143=Analítico!$B108),-(Analítico!AW$3&gt;='Gastos Gerais'!$D$4:$D$3143),-(Analítico!AW$3&lt;='Gastos Gerais'!$E$4:$E$3143),-('Gastos Gerais'!$C$4:$C$3143))</f>
        <v>45500</v>
      </c>
      <c r="AX108" s="134">
        <f>SUMPRODUCT(-('Gastos Gerais'!$B$4:$B$3143=Analítico!$B108),-(Analítico!AX$3&gt;='Gastos Gerais'!$D$4:$D$3143),-(Analítico!AX$3&lt;='Gastos Gerais'!$E$4:$E$3143),-('Gastos Gerais'!$C$4:$C$3143))</f>
        <v>0</v>
      </c>
      <c r="AY108" s="134">
        <f>SUMPRODUCT(-('Gastos Gerais'!$B$4:$B$3143=Analítico!$B108),-(Analítico!AY$3&gt;='Gastos Gerais'!$D$4:$D$3143),-(Analítico!AY$3&lt;='Gastos Gerais'!$E$4:$E$3143),-('Gastos Gerais'!$C$4:$C$3143))</f>
        <v>0</v>
      </c>
      <c r="AZ108" s="134">
        <f>SUMPRODUCT(-('Gastos Gerais'!$B$4:$B$3143=Analítico!$B108),-(Analítico!AZ$3&gt;='Gastos Gerais'!$D$4:$D$3143),-(Analítico!AZ$3&lt;='Gastos Gerais'!$E$4:$E$3143),-('Gastos Gerais'!$C$4:$C$3143))</f>
        <v>0</v>
      </c>
      <c r="BA108" s="134">
        <f>SUMPRODUCT(-('Gastos Gerais'!$B$4:$B$3143=Analítico!$B108),-(Analítico!BA$3&gt;='Gastos Gerais'!$D$4:$D$3143),-(Analítico!BA$3&lt;='Gastos Gerais'!$E$4:$E$3143),-('Gastos Gerais'!$C$4:$C$3143))</f>
        <v>0</v>
      </c>
      <c r="BB108" s="134">
        <f>SUMPRODUCT(-('Gastos Gerais'!$B$4:$B$3143=Analítico!$B108),-(Analítico!BB$3&gt;='Gastos Gerais'!$D$4:$D$3143),-(Analítico!BB$3&lt;='Gastos Gerais'!$E$4:$E$3143),-('Gastos Gerais'!$C$4:$C$3143))</f>
        <v>0</v>
      </c>
      <c r="BC108" s="134">
        <f>SUMPRODUCT(-('Gastos Gerais'!$B$4:$B$3143=Analítico!$B108),-(Analítico!BC$3&gt;='Gastos Gerais'!$D$4:$D$3143),-(Analítico!BC$3&lt;='Gastos Gerais'!$E$4:$E$3143),-('Gastos Gerais'!$C$4:$C$3143))</f>
        <v>0</v>
      </c>
      <c r="BD108" s="134">
        <f>SUMPRODUCT(-('Gastos Gerais'!$B$4:$B$3143=Analítico!$B108),-(Analítico!BD$3&gt;='Gastos Gerais'!$D$4:$D$3143),-(Analítico!BD$3&lt;='Gastos Gerais'!$E$4:$E$3143),-('Gastos Gerais'!$C$4:$C$3143))</f>
        <v>0</v>
      </c>
      <c r="BE108" s="134">
        <f>SUMPRODUCT(-('Gastos Gerais'!$B$4:$B$3143=Analítico!$B108),-(Analítico!BE$3&gt;='Gastos Gerais'!$D$4:$D$3143),-(Analítico!BE$3&lt;='Gastos Gerais'!$E$4:$E$3143),-('Gastos Gerais'!$C$4:$C$3143))</f>
        <v>0</v>
      </c>
      <c r="BF108" s="134">
        <f>SUMPRODUCT(-('Gastos Gerais'!$B$4:$B$3143=Analítico!$B108),-(Analítico!BF$3&gt;='Gastos Gerais'!$D$4:$D$3143),-(Analítico!BF$3&lt;='Gastos Gerais'!$E$4:$E$3143),-('Gastos Gerais'!$C$4:$C$3143))</f>
        <v>0</v>
      </c>
      <c r="BG108" s="134">
        <f>SUMPRODUCT(-('Gastos Gerais'!$B$4:$B$3143=Analítico!$B108),-(Analítico!BG$3&gt;='Gastos Gerais'!$D$4:$D$3143),-(Analítico!BG$3&lt;='Gastos Gerais'!$E$4:$E$3143),-('Gastos Gerais'!$C$4:$C$3143))</f>
        <v>0</v>
      </c>
      <c r="BH108" s="134">
        <f>SUMPRODUCT(-('Gastos Gerais'!$B$4:$B$3143=Analítico!$B108),-(Analítico!BH$3&gt;='Gastos Gerais'!$D$4:$D$3143),-(Analítico!BH$3&lt;='Gastos Gerais'!$E$4:$E$3143),-('Gastos Gerais'!$C$4:$C$3143))</f>
        <v>0</v>
      </c>
      <c r="BI108" s="134">
        <f>SUMPRODUCT(-('Gastos Gerais'!$B$4:$B$3143=Analítico!$B108),-(Analítico!BI$3&gt;='Gastos Gerais'!$D$4:$D$3143),-(Analítico!BI$3&lt;='Gastos Gerais'!$E$4:$E$3143),-('Gastos Gerais'!$C$4:$C$3143))</f>
        <v>0</v>
      </c>
      <c r="BJ108" s="134">
        <f>SUMPRODUCT(-('Gastos Gerais'!$B$4:$B$3143=Analítico!$B108),-(Analítico!BJ$3&gt;='Gastos Gerais'!$D$4:$D$3143),-(Analítico!BJ$3&lt;='Gastos Gerais'!$E$4:$E$3143),-('Gastos Gerais'!$C$4:$C$3143))</f>
        <v>0</v>
      </c>
      <c r="BK108" s="189">
        <f t="shared" si="26"/>
        <v>2555100</v>
      </c>
      <c r="BL108" s="136">
        <f t="shared" ca="1" si="27"/>
        <v>8.7972044691694111E-3</v>
      </c>
    </row>
    <row r="109" spans="1:64" s="160" customFormat="1" ht="23.25" customHeight="1">
      <c r="A109" s="229" t="s">
        <v>295</v>
      </c>
      <c r="B109" s="232" t="s">
        <v>296</v>
      </c>
      <c r="C109" s="188">
        <f>SUMPRODUCT(-('Gastos Gerais'!$B$4:$B$3143=Analítico!$B109),-(Analítico!C$3&gt;='Gastos Gerais'!$D$4:$D$3143),-(Analítico!C$3&lt;='Gastos Gerais'!$E$4:$E$3143),-('Gastos Gerais'!$C$4:$C$3143))</f>
        <v>100</v>
      </c>
      <c r="D109" s="134">
        <f>SUMPRODUCT(-('Gastos Gerais'!$B$4:$B$3143=Analítico!$B109),-(Analítico!D$3&gt;='Gastos Gerais'!$D$4:$D$3143),-(Analítico!D$3&lt;='Gastos Gerais'!$E$4:$E$3143),-('Gastos Gerais'!$C$4:$C$3143))</f>
        <v>100</v>
      </c>
      <c r="E109" s="134">
        <f>SUMPRODUCT(-('Gastos Gerais'!$B$4:$B$3143=Analítico!$B109),-(Analítico!E$3&gt;='Gastos Gerais'!$D$4:$D$3143),-(Analítico!E$3&lt;='Gastos Gerais'!$E$4:$E$3143),-('Gastos Gerais'!$C$4:$C$3143))</f>
        <v>100</v>
      </c>
      <c r="F109" s="134">
        <f>SUMPRODUCT(-('Gastos Gerais'!$B$4:$B$3143=Analítico!$B109),-(Analítico!F$3&gt;='Gastos Gerais'!$D$4:$D$3143),-(Analítico!F$3&lt;='Gastos Gerais'!$E$4:$E$3143),-('Gastos Gerais'!$C$4:$C$3143))</f>
        <v>100</v>
      </c>
      <c r="G109" s="134">
        <f>SUMPRODUCT(-('Gastos Gerais'!$B$4:$B$3143=Analítico!$B109),-(Analítico!G$3&gt;='Gastos Gerais'!$D$4:$D$3143),-(Analítico!G$3&lt;='Gastos Gerais'!$E$4:$E$3143),-('Gastos Gerais'!$C$4:$C$3143))</f>
        <v>100</v>
      </c>
      <c r="H109" s="134">
        <f>SUMPRODUCT(-('Gastos Gerais'!$B$4:$B$3143=Analítico!$B109),-(Analítico!H$3&gt;='Gastos Gerais'!$D$4:$D$3143),-(Analítico!H$3&lt;='Gastos Gerais'!$E$4:$E$3143),-('Gastos Gerais'!$C$4:$C$3143))</f>
        <v>100</v>
      </c>
      <c r="I109" s="134">
        <f>SUMPRODUCT(-('Gastos Gerais'!$B$4:$B$3143=Analítico!$B109),-(Analítico!I$3&gt;='Gastos Gerais'!$D$4:$D$3143),-(Analítico!I$3&lt;='Gastos Gerais'!$E$4:$E$3143),-('Gastos Gerais'!$C$4:$C$3143))</f>
        <v>100</v>
      </c>
      <c r="J109" s="134">
        <f>SUMPRODUCT(-('Gastos Gerais'!$B$4:$B$3143=Analítico!$B109),-(Analítico!J$3&gt;='Gastos Gerais'!$D$4:$D$3143),-(Analítico!J$3&lt;='Gastos Gerais'!$E$4:$E$3143),-('Gastos Gerais'!$C$4:$C$3143))</f>
        <v>100</v>
      </c>
      <c r="K109" s="134">
        <f>SUMPRODUCT(-('Gastos Gerais'!$B$4:$B$3143=Analítico!$B109),-(Analítico!K$3&gt;='Gastos Gerais'!$D$4:$D$3143),-(Analítico!K$3&lt;='Gastos Gerais'!$E$4:$E$3143),-('Gastos Gerais'!$C$4:$C$3143))</f>
        <v>100</v>
      </c>
      <c r="L109" s="134">
        <f>SUMPRODUCT(-('Gastos Gerais'!$B$4:$B$3143=Analítico!$B109),-(Analítico!L$3&gt;='Gastos Gerais'!$D$4:$D$3143),-(Analítico!L$3&lt;='Gastos Gerais'!$E$4:$E$3143),-('Gastos Gerais'!$C$4:$C$3143))</f>
        <v>100</v>
      </c>
      <c r="M109" s="134">
        <f>SUMPRODUCT(-('Gastos Gerais'!$B$4:$B$3143=Analítico!$B109),-(Analítico!M$3&gt;='Gastos Gerais'!$D$4:$D$3143),-(Analítico!M$3&lt;='Gastos Gerais'!$E$4:$E$3143),-('Gastos Gerais'!$C$4:$C$3143))</f>
        <v>100</v>
      </c>
      <c r="N109" s="134">
        <f>SUMPRODUCT(-('Gastos Gerais'!$B$4:$B$3143=Analítico!$B109),-(Analítico!N$3&gt;='Gastos Gerais'!$D$4:$D$3143),-(Analítico!N$3&lt;='Gastos Gerais'!$E$4:$E$3143),-('Gastos Gerais'!$C$4:$C$3143))</f>
        <v>100</v>
      </c>
      <c r="O109" s="134">
        <f>SUMPRODUCT(-('Gastos Gerais'!$B$4:$B$3143=Analítico!$B109),-(Analítico!O$3&gt;='Gastos Gerais'!$D$4:$D$3143),-(Analítico!O$3&lt;='Gastos Gerais'!$E$4:$E$3143),-('Gastos Gerais'!$C$4:$C$3143))</f>
        <v>100</v>
      </c>
      <c r="P109" s="134">
        <f>SUMPRODUCT(-('Gastos Gerais'!$B$4:$B$3143=Analítico!$B109),-(Analítico!P$3&gt;='Gastos Gerais'!$D$4:$D$3143),-(Analítico!P$3&lt;='Gastos Gerais'!$E$4:$E$3143),-('Gastos Gerais'!$C$4:$C$3143))</f>
        <v>100</v>
      </c>
      <c r="Q109" s="134">
        <f>SUMPRODUCT(-('Gastos Gerais'!$B$4:$B$3143=Analítico!$B109),-(Analítico!Q$3&gt;='Gastos Gerais'!$D$4:$D$3143),-(Analítico!Q$3&lt;='Gastos Gerais'!$E$4:$E$3143),-('Gastos Gerais'!$C$4:$C$3143))</f>
        <v>100</v>
      </c>
      <c r="R109" s="134">
        <f>SUMPRODUCT(-('Gastos Gerais'!$B$4:$B$3143=Analítico!$B109),-(Analítico!R$3&gt;='Gastos Gerais'!$D$4:$D$3143),-(Analítico!R$3&lt;='Gastos Gerais'!$E$4:$E$3143),-('Gastos Gerais'!$C$4:$C$3143))</f>
        <v>100</v>
      </c>
      <c r="S109" s="134">
        <f>SUMPRODUCT(-('Gastos Gerais'!$B$4:$B$3143=Analítico!$B109),-(Analítico!S$3&gt;='Gastos Gerais'!$D$4:$D$3143),-(Analítico!S$3&lt;='Gastos Gerais'!$E$4:$E$3143),-('Gastos Gerais'!$C$4:$C$3143))</f>
        <v>100</v>
      </c>
      <c r="T109" s="134">
        <f>SUMPRODUCT(-('Gastos Gerais'!$B$4:$B$3143=Analítico!$B109),-(Analítico!T$3&gt;='Gastos Gerais'!$D$4:$D$3143),-(Analítico!T$3&lt;='Gastos Gerais'!$E$4:$E$3143),-('Gastos Gerais'!$C$4:$C$3143))</f>
        <v>100</v>
      </c>
      <c r="U109" s="134">
        <f>SUMPRODUCT(-('Gastos Gerais'!$B$4:$B$3143=Analítico!$B109),-(Analítico!U$3&gt;='Gastos Gerais'!$D$4:$D$3143),-(Analítico!U$3&lt;='Gastos Gerais'!$E$4:$E$3143),-('Gastos Gerais'!$C$4:$C$3143))</f>
        <v>100</v>
      </c>
      <c r="V109" s="134">
        <f>SUMPRODUCT(-('Gastos Gerais'!$B$4:$B$3143=Analítico!$B109),-(Analítico!V$3&gt;='Gastos Gerais'!$D$4:$D$3143),-(Analítico!V$3&lt;='Gastos Gerais'!$E$4:$E$3143),-('Gastos Gerais'!$C$4:$C$3143))</f>
        <v>100</v>
      </c>
      <c r="W109" s="134">
        <f>SUMPRODUCT(-('Gastos Gerais'!$B$4:$B$3143=Analítico!$B109),-(Analítico!W$3&gt;='Gastos Gerais'!$D$4:$D$3143),-(Analítico!W$3&lt;='Gastos Gerais'!$E$4:$E$3143),-('Gastos Gerais'!$C$4:$C$3143))</f>
        <v>100</v>
      </c>
      <c r="X109" s="134">
        <f>SUMPRODUCT(-('Gastos Gerais'!$B$4:$B$3143=Analítico!$B109),-(Analítico!X$3&gt;='Gastos Gerais'!$D$4:$D$3143),-(Analítico!X$3&lt;='Gastos Gerais'!$E$4:$E$3143),-('Gastos Gerais'!$C$4:$C$3143))</f>
        <v>100</v>
      </c>
      <c r="Y109" s="134">
        <f>SUMPRODUCT(-('Gastos Gerais'!$B$4:$B$3143=Analítico!$B109),-(Analítico!Y$3&gt;='Gastos Gerais'!$D$4:$D$3143),-(Analítico!Y$3&lt;='Gastos Gerais'!$E$4:$E$3143),-('Gastos Gerais'!$C$4:$C$3143))</f>
        <v>100</v>
      </c>
      <c r="Z109" s="134">
        <f>SUMPRODUCT(-('Gastos Gerais'!$B$4:$B$3143=Analítico!$B109),-(Analítico!Z$3&gt;='Gastos Gerais'!$D$4:$D$3143),-(Analítico!Z$3&lt;='Gastos Gerais'!$E$4:$E$3143),-('Gastos Gerais'!$C$4:$C$3143))</f>
        <v>100</v>
      </c>
      <c r="AA109" s="134">
        <f>SUMPRODUCT(-('Gastos Gerais'!$B$4:$B$3143=Analítico!$B109),-(Analítico!AA$3&gt;='Gastos Gerais'!$D$4:$D$3143),-(Analítico!AA$3&lt;='Gastos Gerais'!$E$4:$E$3143),-('Gastos Gerais'!$C$4:$C$3143))</f>
        <v>100</v>
      </c>
      <c r="AB109" s="134">
        <f>SUMPRODUCT(-('Gastos Gerais'!$B$4:$B$3143=Analítico!$B109),-(Analítico!AB$3&gt;='Gastos Gerais'!$D$4:$D$3143),-(Analítico!AB$3&lt;='Gastos Gerais'!$E$4:$E$3143),-('Gastos Gerais'!$C$4:$C$3143))</f>
        <v>100</v>
      </c>
      <c r="AC109" s="134">
        <f>SUMPRODUCT(-('Gastos Gerais'!$B$4:$B$3143=Analítico!$B109),-(Analítico!AC$3&gt;='Gastos Gerais'!$D$4:$D$3143),-(Analítico!AC$3&lt;='Gastos Gerais'!$E$4:$E$3143),-('Gastos Gerais'!$C$4:$C$3143))</f>
        <v>100</v>
      </c>
      <c r="AD109" s="134">
        <f>SUMPRODUCT(-('Gastos Gerais'!$B$4:$B$3143=Analítico!$B109),-(Analítico!AD$3&gt;='Gastos Gerais'!$D$4:$D$3143),-(Analítico!AD$3&lt;='Gastos Gerais'!$E$4:$E$3143),-('Gastos Gerais'!$C$4:$C$3143))</f>
        <v>100</v>
      </c>
      <c r="AE109" s="134">
        <f>SUMPRODUCT(-('Gastos Gerais'!$B$4:$B$3143=Analítico!$B109),-(Analítico!AE$3&gt;='Gastos Gerais'!$D$4:$D$3143),-(Analítico!AE$3&lt;='Gastos Gerais'!$E$4:$E$3143),-('Gastos Gerais'!$C$4:$C$3143))</f>
        <v>100</v>
      </c>
      <c r="AF109" s="134">
        <f>SUMPRODUCT(-('Gastos Gerais'!$B$4:$B$3143=Analítico!$B109),-(Analítico!AF$3&gt;='Gastos Gerais'!$D$4:$D$3143),-(Analítico!AF$3&lt;='Gastos Gerais'!$E$4:$E$3143),-('Gastos Gerais'!$C$4:$C$3143))</f>
        <v>100</v>
      </c>
      <c r="AG109" s="134">
        <f>SUMPRODUCT(-('Gastos Gerais'!$B$4:$B$3143=Analítico!$B109),-(Analítico!AG$3&gt;='Gastos Gerais'!$D$4:$D$3143),-(Analítico!AG$3&lt;='Gastos Gerais'!$E$4:$E$3143),-('Gastos Gerais'!$C$4:$C$3143))</f>
        <v>100</v>
      </c>
      <c r="AH109" s="134">
        <f>SUMPRODUCT(-('Gastos Gerais'!$B$4:$B$3143=Analítico!$B109),-(Analítico!AH$3&gt;='Gastos Gerais'!$D$4:$D$3143),-(Analítico!AH$3&lt;='Gastos Gerais'!$E$4:$E$3143),-('Gastos Gerais'!$C$4:$C$3143))</f>
        <v>100</v>
      </c>
      <c r="AI109" s="134">
        <f>SUMPRODUCT(-('Gastos Gerais'!$B$4:$B$3143=Analítico!$B109),-(Analítico!AI$3&gt;='Gastos Gerais'!$D$4:$D$3143),-(Analítico!AI$3&lt;='Gastos Gerais'!$E$4:$E$3143),-('Gastos Gerais'!$C$4:$C$3143))</f>
        <v>100</v>
      </c>
      <c r="AJ109" s="134">
        <f>SUMPRODUCT(-('Gastos Gerais'!$B$4:$B$3143=Analítico!$B109),-(Analítico!AJ$3&gt;='Gastos Gerais'!$D$4:$D$3143),-(Analítico!AJ$3&lt;='Gastos Gerais'!$E$4:$E$3143),-('Gastos Gerais'!$C$4:$C$3143))</f>
        <v>100</v>
      </c>
      <c r="AK109" s="134">
        <f>SUMPRODUCT(-('Gastos Gerais'!$B$4:$B$3143=Analítico!$B109),-(Analítico!AK$3&gt;='Gastos Gerais'!$D$4:$D$3143),-(Analítico!AK$3&lt;='Gastos Gerais'!$E$4:$E$3143),-('Gastos Gerais'!$C$4:$C$3143))</f>
        <v>100</v>
      </c>
      <c r="AL109" s="134">
        <f>SUMPRODUCT(-('Gastos Gerais'!$B$4:$B$3143=Analítico!$B109),-(Analítico!AL$3&gt;='Gastos Gerais'!$D$4:$D$3143),-(Analítico!AL$3&lt;='Gastos Gerais'!$E$4:$E$3143),-('Gastos Gerais'!$C$4:$C$3143))</f>
        <v>100</v>
      </c>
      <c r="AM109" s="134">
        <f>SUMPRODUCT(-('Gastos Gerais'!$B$4:$B$3143=Analítico!$B109),-(Analítico!AM$3&gt;='Gastos Gerais'!$D$4:$D$3143),-(Analítico!AM$3&lt;='Gastos Gerais'!$E$4:$E$3143),-('Gastos Gerais'!$C$4:$C$3143))</f>
        <v>100</v>
      </c>
      <c r="AN109" s="134">
        <f>SUMPRODUCT(-('Gastos Gerais'!$B$4:$B$3143=Analítico!$B109),-(Analítico!AN$3&gt;='Gastos Gerais'!$D$4:$D$3143),-(Analítico!AN$3&lt;='Gastos Gerais'!$E$4:$E$3143),-('Gastos Gerais'!$C$4:$C$3143))</f>
        <v>100</v>
      </c>
      <c r="AO109" s="134">
        <f>SUMPRODUCT(-('Gastos Gerais'!$B$4:$B$3143=Analítico!$B109),-(Analítico!AO$3&gt;='Gastos Gerais'!$D$4:$D$3143),-(Analítico!AO$3&lt;='Gastos Gerais'!$E$4:$E$3143),-('Gastos Gerais'!$C$4:$C$3143))</f>
        <v>100</v>
      </c>
      <c r="AP109" s="134">
        <f>SUMPRODUCT(-('Gastos Gerais'!$B$4:$B$3143=Analítico!$B109),-(Analítico!AP$3&gt;='Gastos Gerais'!$D$4:$D$3143),-(Analítico!AP$3&lt;='Gastos Gerais'!$E$4:$E$3143),-('Gastos Gerais'!$C$4:$C$3143))</f>
        <v>100</v>
      </c>
      <c r="AQ109" s="134">
        <f>SUMPRODUCT(-('Gastos Gerais'!$B$4:$B$3143=Analítico!$B109),-(Analítico!AQ$3&gt;='Gastos Gerais'!$D$4:$D$3143),-(Analítico!AQ$3&lt;='Gastos Gerais'!$E$4:$E$3143),-('Gastos Gerais'!$C$4:$C$3143))</f>
        <v>100</v>
      </c>
      <c r="AR109" s="134">
        <f>SUMPRODUCT(-('Gastos Gerais'!$B$4:$B$3143=Analítico!$B109),-(Analítico!AR$3&gt;='Gastos Gerais'!$D$4:$D$3143),-(Analítico!AR$3&lt;='Gastos Gerais'!$E$4:$E$3143),-('Gastos Gerais'!$C$4:$C$3143))</f>
        <v>100</v>
      </c>
      <c r="AS109" s="134">
        <f>SUMPRODUCT(-('Gastos Gerais'!$B$4:$B$3143=Analítico!$B109),-(Analítico!AS$3&gt;='Gastos Gerais'!$D$4:$D$3143),-(Analítico!AS$3&lt;='Gastos Gerais'!$E$4:$E$3143),-('Gastos Gerais'!$C$4:$C$3143))</f>
        <v>100</v>
      </c>
      <c r="AT109" s="134">
        <f>SUMPRODUCT(-('Gastos Gerais'!$B$4:$B$3143=Analítico!$B109),-(Analítico!AT$3&gt;='Gastos Gerais'!$D$4:$D$3143),-(Analítico!AT$3&lt;='Gastos Gerais'!$E$4:$E$3143),-('Gastos Gerais'!$C$4:$C$3143))</f>
        <v>100</v>
      </c>
      <c r="AU109" s="134">
        <f>SUMPRODUCT(-('Gastos Gerais'!$B$4:$B$3143=Analítico!$B109),-(Analítico!AU$3&gt;='Gastos Gerais'!$D$4:$D$3143),-(Analítico!AU$3&lt;='Gastos Gerais'!$E$4:$E$3143),-('Gastos Gerais'!$C$4:$C$3143))</f>
        <v>100</v>
      </c>
      <c r="AV109" s="134">
        <f>SUMPRODUCT(-('Gastos Gerais'!$B$4:$B$3143=Analítico!$B109),-(Analítico!AV$3&gt;='Gastos Gerais'!$D$4:$D$3143),-(Analítico!AV$3&lt;='Gastos Gerais'!$E$4:$E$3143),-('Gastos Gerais'!$C$4:$C$3143))</f>
        <v>100</v>
      </c>
      <c r="AW109" s="134">
        <f>SUMPRODUCT(-('Gastos Gerais'!$B$4:$B$3143=Analítico!$B109),-(Analítico!AW$3&gt;='Gastos Gerais'!$D$4:$D$3143),-(Analítico!AW$3&lt;='Gastos Gerais'!$E$4:$E$3143),-('Gastos Gerais'!$C$4:$C$3143))</f>
        <v>100</v>
      </c>
      <c r="AX109" s="134">
        <f>SUMPRODUCT(-('Gastos Gerais'!$B$4:$B$3143=Analítico!$B109),-(Analítico!AX$3&gt;='Gastos Gerais'!$D$4:$D$3143),-(Analítico!AX$3&lt;='Gastos Gerais'!$E$4:$E$3143),-('Gastos Gerais'!$C$4:$C$3143))</f>
        <v>0</v>
      </c>
      <c r="AY109" s="134">
        <f>SUMPRODUCT(-('Gastos Gerais'!$B$4:$B$3143=Analítico!$B109),-(Analítico!AY$3&gt;='Gastos Gerais'!$D$4:$D$3143),-(Analítico!AY$3&lt;='Gastos Gerais'!$E$4:$E$3143),-('Gastos Gerais'!$C$4:$C$3143))</f>
        <v>0</v>
      </c>
      <c r="AZ109" s="134">
        <f>SUMPRODUCT(-('Gastos Gerais'!$B$4:$B$3143=Analítico!$B109),-(Analítico!AZ$3&gt;='Gastos Gerais'!$D$4:$D$3143),-(Analítico!AZ$3&lt;='Gastos Gerais'!$E$4:$E$3143),-('Gastos Gerais'!$C$4:$C$3143))</f>
        <v>0</v>
      </c>
      <c r="BA109" s="134">
        <f>SUMPRODUCT(-('Gastos Gerais'!$B$4:$B$3143=Analítico!$B109),-(Analítico!BA$3&gt;='Gastos Gerais'!$D$4:$D$3143),-(Analítico!BA$3&lt;='Gastos Gerais'!$E$4:$E$3143),-('Gastos Gerais'!$C$4:$C$3143))</f>
        <v>0</v>
      </c>
      <c r="BB109" s="134">
        <f>SUMPRODUCT(-('Gastos Gerais'!$B$4:$B$3143=Analítico!$B109),-(Analítico!BB$3&gt;='Gastos Gerais'!$D$4:$D$3143),-(Analítico!BB$3&lt;='Gastos Gerais'!$E$4:$E$3143),-('Gastos Gerais'!$C$4:$C$3143))</f>
        <v>0</v>
      </c>
      <c r="BC109" s="134">
        <f>SUMPRODUCT(-('Gastos Gerais'!$B$4:$B$3143=Analítico!$B109),-(Analítico!BC$3&gt;='Gastos Gerais'!$D$4:$D$3143),-(Analítico!BC$3&lt;='Gastos Gerais'!$E$4:$E$3143),-('Gastos Gerais'!$C$4:$C$3143))</f>
        <v>0</v>
      </c>
      <c r="BD109" s="134">
        <f>SUMPRODUCT(-('Gastos Gerais'!$B$4:$B$3143=Analítico!$B109),-(Analítico!BD$3&gt;='Gastos Gerais'!$D$4:$D$3143),-(Analítico!BD$3&lt;='Gastos Gerais'!$E$4:$E$3143),-('Gastos Gerais'!$C$4:$C$3143))</f>
        <v>0</v>
      </c>
      <c r="BE109" s="134">
        <f>SUMPRODUCT(-('Gastos Gerais'!$B$4:$B$3143=Analítico!$B109),-(Analítico!BE$3&gt;='Gastos Gerais'!$D$4:$D$3143),-(Analítico!BE$3&lt;='Gastos Gerais'!$E$4:$E$3143),-('Gastos Gerais'!$C$4:$C$3143))</f>
        <v>0</v>
      </c>
      <c r="BF109" s="134">
        <f>SUMPRODUCT(-('Gastos Gerais'!$B$4:$B$3143=Analítico!$B109),-(Analítico!BF$3&gt;='Gastos Gerais'!$D$4:$D$3143),-(Analítico!BF$3&lt;='Gastos Gerais'!$E$4:$E$3143),-('Gastos Gerais'!$C$4:$C$3143))</f>
        <v>0</v>
      </c>
      <c r="BG109" s="134">
        <f>SUMPRODUCT(-('Gastos Gerais'!$B$4:$B$3143=Analítico!$B109),-(Analítico!BG$3&gt;='Gastos Gerais'!$D$4:$D$3143),-(Analítico!BG$3&lt;='Gastos Gerais'!$E$4:$E$3143),-('Gastos Gerais'!$C$4:$C$3143))</f>
        <v>0</v>
      </c>
      <c r="BH109" s="134">
        <f>SUMPRODUCT(-('Gastos Gerais'!$B$4:$B$3143=Analítico!$B109),-(Analítico!BH$3&gt;='Gastos Gerais'!$D$4:$D$3143),-(Analítico!BH$3&lt;='Gastos Gerais'!$E$4:$E$3143),-('Gastos Gerais'!$C$4:$C$3143))</f>
        <v>0</v>
      </c>
      <c r="BI109" s="134">
        <f>SUMPRODUCT(-('Gastos Gerais'!$B$4:$B$3143=Analítico!$B109),-(Analítico!BI$3&gt;='Gastos Gerais'!$D$4:$D$3143),-(Analítico!BI$3&lt;='Gastos Gerais'!$E$4:$E$3143),-('Gastos Gerais'!$C$4:$C$3143))</f>
        <v>0</v>
      </c>
      <c r="BJ109" s="134">
        <f>SUMPRODUCT(-('Gastos Gerais'!$B$4:$B$3143=Analítico!$B109),-(Analítico!BJ$3&gt;='Gastos Gerais'!$D$4:$D$3143),-(Analítico!BJ$3&lt;='Gastos Gerais'!$E$4:$E$3143),-('Gastos Gerais'!$C$4:$C$3143))</f>
        <v>0</v>
      </c>
      <c r="BK109" s="189">
        <f t="shared" si="26"/>
        <v>4700</v>
      </c>
      <c r="BL109" s="136">
        <f t="shared" ca="1" si="27"/>
        <v>1.6182091113888392E-5</v>
      </c>
    </row>
    <row r="110" spans="1:64" s="160" customFormat="1" ht="23.25" customHeight="1">
      <c r="A110" s="229" t="s">
        <v>297</v>
      </c>
      <c r="B110" s="232" t="s">
        <v>298</v>
      </c>
      <c r="C110" s="188">
        <f>SUMPRODUCT(-('Gastos Gerais'!$B$4:$B$3143=Analítico!$B110),-(Analítico!C$3&gt;='Gastos Gerais'!$D$4:$D$3143),-(Analítico!C$3&lt;='Gastos Gerais'!$E$4:$E$3143),-('Gastos Gerais'!$C$4:$C$3143))</f>
        <v>53585.440000000002</v>
      </c>
      <c r="D110" s="134">
        <f>SUMPRODUCT(-('Gastos Gerais'!$B$4:$B$3143=Analítico!$B110),-(Analítico!D$3&gt;='Gastos Gerais'!$D$4:$D$3143),-(Analítico!D$3&lt;='Gastos Gerais'!$E$4:$E$3143),-('Gastos Gerais'!$C$4:$C$3143))</f>
        <v>53585.440000000002</v>
      </c>
      <c r="E110" s="134">
        <f>SUMPRODUCT(-('Gastos Gerais'!$B$4:$B$3143=Analítico!$B110),-(Analítico!E$3&gt;='Gastos Gerais'!$D$4:$D$3143),-(Analítico!E$3&lt;='Gastos Gerais'!$E$4:$E$3143),-('Gastos Gerais'!$C$4:$C$3143))</f>
        <v>53585.440000000002</v>
      </c>
      <c r="F110" s="134">
        <f>SUMPRODUCT(-('Gastos Gerais'!$B$4:$B$3143=Analítico!$B110),-(Analítico!F$3&gt;='Gastos Gerais'!$D$4:$D$3143),-(Analítico!F$3&lt;='Gastos Gerais'!$E$4:$E$3143),-('Gastos Gerais'!$C$4:$C$3143))</f>
        <v>56035.44</v>
      </c>
      <c r="G110" s="134">
        <f>SUMPRODUCT(-('Gastos Gerais'!$B$4:$B$3143=Analítico!$B110),-(Analítico!G$3&gt;='Gastos Gerais'!$D$4:$D$3143),-(Analítico!G$3&lt;='Gastos Gerais'!$E$4:$E$3143),-('Gastos Gerais'!$C$4:$C$3143))</f>
        <v>56035.44</v>
      </c>
      <c r="H110" s="134">
        <f>SUMPRODUCT(-('Gastos Gerais'!$B$4:$B$3143=Analítico!$B110),-(Analítico!H$3&gt;='Gastos Gerais'!$D$4:$D$3143),-(Analítico!H$3&lt;='Gastos Gerais'!$E$4:$E$3143),-('Gastos Gerais'!$C$4:$C$3143))</f>
        <v>56035.44</v>
      </c>
      <c r="I110" s="134">
        <f>SUMPRODUCT(-('Gastos Gerais'!$B$4:$B$3143=Analítico!$B110),-(Analítico!I$3&gt;='Gastos Gerais'!$D$4:$D$3143),-(Analítico!I$3&lt;='Gastos Gerais'!$E$4:$E$3143),-('Gastos Gerais'!$C$4:$C$3143))</f>
        <v>58485.440000000002</v>
      </c>
      <c r="J110" s="134">
        <f>SUMPRODUCT(-('Gastos Gerais'!$B$4:$B$3143=Analítico!$B110),-(Analítico!J$3&gt;='Gastos Gerais'!$D$4:$D$3143),-(Analítico!J$3&lt;='Gastos Gerais'!$E$4:$E$3143),-('Gastos Gerais'!$C$4:$C$3143))</f>
        <v>58485.440000000002</v>
      </c>
      <c r="K110" s="134">
        <f>SUMPRODUCT(-('Gastos Gerais'!$B$4:$B$3143=Analítico!$B110),-(Analítico!K$3&gt;='Gastos Gerais'!$D$4:$D$3143),-(Analítico!K$3&lt;='Gastos Gerais'!$E$4:$E$3143),-('Gastos Gerais'!$C$4:$C$3143))</f>
        <v>58485.440000000002</v>
      </c>
      <c r="L110" s="134">
        <f>SUMPRODUCT(-('Gastos Gerais'!$B$4:$B$3143=Analítico!$B110),-(Analítico!L$3&gt;='Gastos Gerais'!$D$4:$D$3143),-(Analítico!L$3&lt;='Gastos Gerais'!$E$4:$E$3143),-('Gastos Gerais'!$C$4:$C$3143))</f>
        <v>60935.44</v>
      </c>
      <c r="M110" s="134">
        <f>SUMPRODUCT(-('Gastos Gerais'!$B$4:$B$3143=Analítico!$B110),-(Analítico!M$3&gt;='Gastos Gerais'!$D$4:$D$3143),-(Analítico!M$3&lt;='Gastos Gerais'!$E$4:$E$3143),-('Gastos Gerais'!$C$4:$C$3143))</f>
        <v>61409.71</v>
      </c>
      <c r="N110" s="134">
        <f>SUMPRODUCT(-('Gastos Gerais'!$B$4:$B$3143=Analítico!$B110),-(Analítico!N$3&gt;='Gastos Gerais'!$D$4:$D$3143),-(Analítico!N$3&lt;='Gastos Gerais'!$E$4:$E$3143),-('Gastos Gerais'!$C$4:$C$3143))</f>
        <v>61409.71</v>
      </c>
      <c r="O110" s="134">
        <f>SUMPRODUCT(-('Gastos Gerais'!$B$4:$B$3143=Analítico!$B110),-(Analítico!O$3&gt;='Gastos Gerais'!$D$4:$D$3143),-(Analítico!O$3&lt;='Gastos Gerais'!$E$4:$E$3143),-('Gastos Gerais'!$C$4:$C$3143))</f>
        <v>61409.71</v>
      </c>
      <c r="P110" s="134">
        <f>SUMPRODUCT(-('Gastos Gerais'!$B$4:$B$3143=Analítico!$B110),-(Analítico!P$3&gt;='Gastos Gerais'!$D$4:$D$3143),-(Analítico!P$3&lt;='Gastos Gerais'!$E$4:$E$3143),-('Gastos Gerais'!$C$4:$C$3143))</f>
        <v>61409.71</v>
      </c>
      <c r="Q110" s="134">
        <f>SUMPRODUCT(-('Gastos Gerais'!$B$4:$B$3143=Analítico!$B110),-(Analítico!Q$3&gt;='Gastos Gerais'!$D$4:$D$3143),-(Analítico!Q$3&lt;='Gastos Gerais'!$E$4:$E$3143),-('Gastos Gerais'!$C$4:$C$3143))</f>
        <v>61409.71</v>
      </c>
      <c r="R110" s="134">
        <f>SUMPRODUCT(-('Gastos Gerais'!$B$4:$B$3143=Analítico!$B110),-(Analítico!R$3&gt;='Gastos Gerais'!$D$4:$D$3143),-(Analítico!R$3&lt;='Gastos Gerais'!$E$4:$E$3143),-('Gastos Gerais'!$C$4:$C$3143))</f>
        <v>61409.71</v>
      </c>
      <c r="S110" s="134">
        <f>SUMPRODUCT(-('Gastos Gerais'!$B$4:$B$3143=Analítico!$B110),-(Analítico!S$3&gt;='Gastos Gerais'!$D$4:$D$3143),-(Analítico!S$3&lt;='Gastos Gerais'!$E$4:$E$3143),-('Gastos Gerais'!$C$4:$C$3143))</f>
        <v>61409.71</v>
      </c>
      <c r="T110" s="134">
        <f>SUMPRODUCT(-('Gastos Gerais'!$B$4:$B$3143=Analítico!$B110),-(Analítico!T$3&gt;='Gastos Gerais'!$D$4:$D$3143),-(Analítico!T$3&lt;='Gastos Gerais'!$E$4:$E$3143),-('Gastos Gerais'!$C$4:$C$3143))</f>
        <v>61409.71</v>
      </c>
      <c r="U110" s="134">
        <f>SUMPRODUCT(-('Gastos Gerais'!$B$4:$B$3143=Analítico!$B110),-(Analítico!U$3&gt;='Gastos Gerais'!$D$4:$D$3143),-(Analítico!U$3&lt;='Gastos Gerais'!$E$4:$E$3143),-('Gastos Gerais'!$C$4:$C$3143))</f>
        <v>61409.71</v>
      </c>
      <c r="V110" s="134">
        <f>SUMPRODUCT(-('Gastos Gerais'!$B$4:$B$3143=Analítico!$B110),-(Analítico!V$3&gt;='Gastos Gerais'!$D$4:$D$3143),-(Analítico!V$3&lt;='Gastos Gerais'!$E$4:$E$3143),-('Gastos Gerais'!$C$4:$C$3143))</f>
        <v>61409.71</v>
      </c>
      <c r="W110" s="134">
        <f>SUMPRODUCT(-('Gastos Gerais'!$B$4:$B$3143=Analítico!$B110),-(Analítico!W$3&gt;='Gastos Gerais'!$D$4:$D$3143),-(Analítico!W$3&lt;='Gastos Gerais'!$E$4:$E$3143),-('Gastos Gerais'!$C$4:$C$3143))</f>
        <v>61409.71</v>
      </c>
      <c r="X110" s="134">
        <f>SUMPRODUCT(-('Gastos Gerais'!$B$4:$B$3143=Analítico!$B110),-(Analítico!X$3&gt;='Gastos Gerais'!$D$4:$D$3143),-(Analítico!X$3&lt;='Gastos Gerais'!$E$4:$E$3143),-('Gastos Gerais'!$C$4:$C$3143))</f>
        <v>61409.71</v>
      </c>
      <c r="Y110" s="134">
        <f>SUMPRODUCT(-('Gastos Gerais'!$B$4:$B$3143=Analítico!$B110),-(Analítico!Y$3&gt;='Gastos Gerais'!$D$4:$D$3143),-(Analítico!Y$3&lt;='Gastos Gerais'!$E$4:$E$3143),-('Gastos Gerais'!$C$4:$C$3143))</f>
        <v>61907.69</v>
      </c>
      <c r="Z110" s="134">
        <f>SUMPRODUCT(-('Gastos Gerais'!$B$4:$B$3143=Analítico!$B110),-(Analítico!Z$3&gt;='Gastos Gerais'!$D$4:$D$3143),-(Analítico!Z$3&lt;='Gastos Gerais'!$E$4:$E$3143),-('Gastos Gerais'!$C$4:$C$3143))</f>
        <v>61907.69</v>
      </c>
      <c r="AA110" s="134">
        <f>SUMPRODUCT(-('Gastos Gerais'!$B$4:$B$3143=Analítico!$B110),-(Analítico!AA$3&gt;='Gastos Gerais'!$D$4:$D$3143),-(Analítico!AA$3&lt;='Gastos Gerais'!$E$4:$E$3143),-('Gastos Gerais'!$C$4:$C$3143))</f>
        <v>63157.69</v>
      </c>
      <c r="AB110" s="134">
        <f>SUMPRODUCT(-('Gastos Gerais'!$B$4:$B$3143=Analítico!$B110),-(Analítico!AB$3&gt;='Gastos Gerais'!$D$4:$D$3143),-(Analítico!AB$3&lt;='Gastos Gerais'!$E$4:$E$3143),-('Gastos Gerais'!$C$4:$C$3143))</f>
        <v>63157.69</v>
      </c>
      <c r="AC110" s="134">
        <f>SUMPRODUCT(-('Gastos Gerais'!$B$4:$B$3143=Analítico!$B110),-(Analítico!AC$3&gt;='Gastos Gerais'!$D$4:$D$3143),-(Analítico!AC$3&lt;='Gastos Gerais'!$E$4:$E$3143),-('Gastos Gerais'!$C$4:$C$3143))</f>
        <v>63157.69</v>
      </c>
      <c r="AD110" s="134">
        <f>SUMPRODUCT(-('Gastos Gerais'!$B$4:$B$3143=Analítico!$B110),-(Analítico!AD$3&gt;='Gastos Gerais'!$D$4:$D$3143),-(Analítico!AD$3&lt;='Gastos Gerais'!$E$4:$E$3143),-('Gastos Gerais'!$C$4:$C$3143))</f>
        <v>63157.69</v>
      </c>
      <c r="AE110" s="134">
        <f>SUMPRODUCT(-('Gastos Gerais'!$B$4:$B$3143=Analítico!$B110),-(Analítico!AE$3&gt;='Gastos Gerais'!$D$4:$D$3143),-(Analítico!AE$3&lt;='Gastos Gerais'!$E$4:$E$3143),-('Gastos Gerais'!$C$4:$C$3143))</f>
        <v>63157.69</v>
      </c>
      <c r="AF110" s="134">
        <f>SUMPRODUCT(-('Gastos Gerais'!$B$4:$B$3143=Analítico!$B110),-(Analítico!AF$3&gt;='Gastos Gerais'!$D$4:$D$3143),-(Analítico!AF$3&lt;='Gastos Gerais'!$E$4:$E$3143),-('Gastos Gerais'!$C$4:$C$3143))</f>
        <v>63157.69</v>
      </c>
      <c r="AG110" s="134">
        <f>SUMPRODUCT(-('Gastos Gerais'!$B$4:$B$3143=Analítico!$B110),-(Analítico!AG$3&gt;='Gastos Gerais'!$D$4:$D$3143),-(Analítico!AG$3&lt;='Gastos Gerais'!$E$4:$E$3143),-('Gastos Gerais'!$C$4:$C$3143))</f>
        <v>63157.69</v>
      </c>
      <c r="AH110" s="134">
        <f>SUMPRODUCT(-('Gastos Gerais'!$B$4:$B$3143=Analítico!$B110),-(Analítico!AH$3&gt;='Gastos Gerais'!$D$4:$D$3143),-(Analítico!AH$3&lt;='Gastos Gerais'!$E$4:$E$3143),-('Gastos Gerais'!$C$4:$C$3143))</f>
        <v>63157.69</v>
      </c>
      <c r="AI110" s="134">
        <f>SUMPRODUCT(-('Gastos Gerais'!$B$4:$B$3143=Analítico!$B110),-(Analítico!AI$3&gt;='Gastos Gerais'!$D$4:$D$3143),-(Analítico!AI$3&lt;='Gastos Gerais'!$E$4:$E$3143),-('Gastos Gerais'!$C$4:$C$3143))</f>
        <v>63157.69</v>
      </c>
      <c r="AJ110" s="134">
        <f>SUMPRODUCT(-('Gastos Gerais'!$B$4:$B$3143=Analítico!$B110),-(Analítico!AJ$3&gt;='Gastos Gerais'!$D$4:$D$3143),-(Analítico!AJ$3&lt;='Gastos Gerais'!$E$4:$E$3143),-('Gastos Gerais'!$C$4:$C$3143))</f>
        <v>63157.69</v>
      </c>
      <c r="AK110" s="134">
        <f>SUMPRODUCT(-('Gastos Gerais'!$B$4:$B$3143=Analítico!$B110),-(Analítico!AK$3&gt;='Gastos Gerais'!$D$4:$D$3143),-(Analítico!AK$3&lt;='Gastos Gerais'!$E$4:$E$3143),-('Gastos Gerais'!$C$4:$C$3143))</f>
        <v>63680.58</v>
      </c>
      <c r="AL110" s="134">
        <f>SUMPRODUCT(-('Gastos Gerais'!$B$4:$B$3143=Analítico!$B110),-(Analítico!AL$3&gt;='Gastos Gerais'!$D$4:$D$3143),-(Analítico!AL$3&lt;='Gastos Gerais'!$E$4:$E$3143),-('Gastos Gerais'!$C$4:$C$3143))</f>
        <v>63680.58</v>
      </c>
      <c r="AM110" s="134">
        <f>SUMPRODUCT(-('Gastos Gerais'!$B$4:$B$3143=Analítico!$B110),-(Analítico!AM$3&gt;='Gastos Gerais'!$D$4:$D$3143),-(Analítico!AM$3&lt;='Gastos Gerais'!$E$4:$E$3143),-('Gastos Gerais'!$C$4:$C$3143))</f>
        <v>37230.58</v>
      </c>
      <c r="AN110" s="134">
        <f>SUMPRODUCT(-('Gastos Gerais'!$B$4:$B$3143=Analítico!$B110),-(Analítico!AN$3&gt;='Gastos Gerais'!$D$4:$D$3143),-(Analítico!AN$3&lt;='Gastos Gerais'!$E$4:$E$3143),-('Gastos Gerais'!$C$4:$C$3143))</f>
        <v>37230.58</v>
      </c>
      <c r="AO110" s="134">
        <f>SUMPRODUCT(-('Gastos Gerais'!$B$4:$B$3143=Analítico!$B110),-(Analítico!AO$3&gt;='Gastos Gerais'!$D$4:$D$3143),-(Analítico!AO$3&lt;='Gastos Gerais'!$E$4:$E$3143),-('Gastos Gerais'!$C$4:$C$3143))</f>
        <v>37230.58</v>
      </c>
      <c r="AP110" s="134">
        <f>SUMPRODUCT(-('Gastos Gerais'!$B$4:$B$3143=Analítico!$B110),-(Analítico!AP$3&gt;='Gastos Gerais'!$D$4:$D$3143),-(Analítico!AP$3&lt;='Gastos Gerais'!$E$4:$E$3143),-('Gastos Gerais'!$C$4:$C$3143))</f>
        <v>37230.58</v>
      </c>
      <c r="AQ110" s="134">
        <f>SUMPRODUCT(-('Gastos Gerais'!$B$4:$B$3143=Analítico!$B110),-(Analítico!AQ$3&gt;='Gastos Gerais'!$D$4:$D$3143),-(Analítico!AQ$3&lt;='Gastos Gerais'!$E$4:$E$3143),-('Gastos Gerais'!$C$4:$C$3143))</f>
        <v>37230.58</v>
      </c>
      <c r="AR110" s="134">
        <f>SUMPRODUCT(-('Gastos Gerais'!$B$4:$B$3143=Analítico!$B110),-(Analítico!AR$3&gt;='Gastos Gerais'!$D$4:$D$3143),-(Analítico!AR$3&lt;='Gastos Gerais'!$E$4:$E$3143),-('Gastos Gerais'!$C$4:$C$3143))</f>
        <v>37230.58</v>
      </c>
      <c r="AS110" s="134">
        <f>SUMPRODUCT(-('Gastos Gerais'!$B$4:$B$3143=Analítico!$B110),-(Analítico!AS$3&gt;='Gastos Gerais'!$D$4:$D$3143),-(Analítico!AS$3&lt;='Gastos Gerais'!$E$4:$E$3143),-('Gastos Gerais'!$C$4:$C$3143))</f>
        <v>37230.58</v>
      </c>
      <c r="AT110" s="134">
        <f>SUMPRODUCT(-('Gastos Gerais'!$B$4:$B$3143=Analítico!$B110),-(Analítico!AT$3&gt;='Gastos Gerais'!$D$4:$D$3143),-(Analítico!AT$3&lt;='Gastos Gerais'!$E$4:$E$3143),-('Gastos Gerais'!$C$4:$C$3143))</f>
        <v>37230.58</v>
      </c>
      <c r="AU110" s="134">
        <f>SUMPRODUCT(-('Gastos Gerais'!$B$4:$B$3143=Analítico!$B110),-(Analítico!AU$3&gt;='Gastos Gerais'!$D$4:$D$3143),-(Analítico!AU$3&lt;='Gastos Gerais'!$E$4:$E$3143),-('Gastos Gerais'!$C$4:$C$3143))</f>
        <v>37230.58</v>
      </c>
      <c r="AV110" s="134">
        <f>SUMPRODUCT(-('Gastos Gerais'!$B$4:$B$3143=Analítico!$B110),-(Analítico!AV$3&gt;='Gastos Gerais'!$D$4:$D$3143),-(Analítico!AV$3&lt;='Gastos Gerais'!$E$4:$E$3143),-('Gastos Gerais'!$C$4:$C$3143))</f>
        <v>37230.58</v>
      </c>
      <c r="AW110" s="134">
        <f>SUMPRODUCT(-('Gastos Gerais'!$B$4:$B$3143=Analítico!$B110),-(Analítico!AW$3&gt;='Gastos Gerais'!$D$4:$D$3143),-(Analítico!AW$3&lt;='Gastos Gerais'!$E$4:$E$3143),-('Gastos Gerais'!$C$4:$C$3143))</f>
        <v>37230.58</v>
      </c>
      <c r="AX110" s="134">
        <f>SUMPRODUCT(-('Gastos Gerais'!$B$4:$B$3143=Analítico!$B110),-(Analítico!AX$3&gt;='Gastos Gerais'!$D$4:$D$3143),-(Analítico!AX$3&lt;='Gastos Gerais'!$E$4:$E$3143),-('Gastos Gerais'!$C$4:$C$3143))</f>
        <v>0</v>
      </c>
      <c r="AY110" s="134">
        <f>SUMPRODUCT(-('Gastos Gerais'!$B$4:$B$3143=Analítico!$B110),-(Analítico!AY$3&gt;='Gastos Gerais'!$D$4:$D$3143),-(Analítico!AY$3&lt;='Gastos Gerais'!$E$4:$E$3143),-('Gastos Gerais'!$C$4:$C$3143))</f>
        <v>0</v>
      </c>
      <c r="AZ110" s="134">
        <f>SUMPRODUCT(-('Gastos Gerais'!$B$4:$B$3143=Analítico!$B110),-(Analítico!AZ$3&gt;='Gastos Gerais'!$D$4:$D$3143),-(Analítico!AZ$3&lt;='Gastos Gerais'!$E$4:$E$3143),-('Gastos Gerais'!$C$4:$C$3143))</f>
        <v>0</v>
      </c>
      <c r="BA110" s="134">
        <f>SUMPRODUCT(-('Gastos Gerais'!$B$4:$B$3143=Analítico!$B110),-(Analítico!BA$3&gt;='Gastos Gerais'!$D$4:$D$3143),-(Analítico!BA$3&lt;='Gastos Gerais'!$E$4:$E$3143),-('Gastos Gerais'!$C$4:$C$3143))</f>
        <v>0</v>
      </c>
      <c r="BB110" s="134">
        <f>SUMPRODUCT(-('Gastos Gerais'!$B$4:$B$3143=Analítico!$B110),-(Analítico!BB$3&gt;='Gastos Gerais'!$D$4:$D$3143),-(Analítico!BB$3&lt;='Gastos Gerais'!$E$4:$E$3143),-('Gastos Gerais'!$C$4:$C$3143))</f>
        <v>0</v>
      </c>
      <c r="BC110" s="134">
        <f>SUMPRODUCT(-('Gastos Gerais'!$B$4:$B$3143=Analítico!$B110),-(Analítico!BC$3&gt;='Gastos Gerais'!$D$4:$D$3143),-(Analítico!BC$3&lt;='Gastos Gerais'!$E$4:$E$3143),-('Gastos Gerais'!$C$4:$C$3143))</f>
        <v>0</v>
      </c>
      <c r="BD110" s="134">
        <f>SUMPRODUCT(-('Gastos Gerais'!$B$4:$B$3143=Analítico!$B110),-(Analítico!BD$3&gt;='Gastos Gerais'!$D$4:$D$3143),-(Analítico!BD$3&lt;='Gastos Gerais'!$E$4:$E$3143),-('Gastos Gerais'!$C$4:$C$3143))</f>
        <v>0</v>
      </c>
      <c r="BE110" s="134">
        <f>SUMPRODUCT(-('Gastos Gerais'!$B$4:$B$3143=Analítico!$B110),-(Analítico!BE$3&gt;='Gastos Gerais'!$D$4:$D$3143),-(Analítico!BE$3&lt;='Gastos Gerais'!$E$4:$E$3143),-('Gastos Gerais'!$C$4:$C$3143))</f>
        <v>0</v>
      </c>
      <c r="BF110" s="134">
        <f>SUMPRODUCT(-('Gastos Gerais'!$B$4:$B$3143=Analítico!$B110),-(Analítico!BF$3&gt;='Gastos Gerais'!$D$4:$D$3143),-(Analítico!BF$3&lt;='Gastos Gerais'!$E$4:$E$3143),-('Gastos Gerais'!$C$4:$C$3143))</f>
        <v>0</v>
      </c>
      <c r="BG110" s="134">
        <f>SUMPRODUCT(-('Gastos Gerais'!$B$4:$B$3143=Analítico!$B110),-(Analítico!BG$3&gt;='Gastos Gerais'!$D$4:$D$3143),-(Analítico!BG$3&lt;='Gastos Gerais'!$E$4:$E$3143),-('Gastos Gerais'!$C$4:$C$3143))</f>
        <v>0</v>
      </c>
      <c r="BH110" s="134">
        <f>SUMPRODUCT(-('Gastos Gerais'!$B$4:$B$3143=Analítico!$B110),-(Analítico!BH$3&gt;='Gastos Gerais'!$D$4:$D$3143),-(Analítico!BH$3&lt;='Gastos Gerais'!$E$4:$E$3143),-('Gastos Gerais'!$C$4:$C$3143))</f>
        <v>0</v>
      </c>
      <c r="BI110" s="134">
        <f>SUMPRODUCT(-('Gastos Gerais'!$B$4:$B$3143=Analítico!$B110),-(Analítico!BI$3&gt;='Gastos Gerais'!$D$4:$D$3143),-(Analítico!BI$3&lt;='Gastos Gerais'!$E$4:$E$3143),-('Gastos Gerais'!$C$4:$C$3143))</f>
        <v>0</v>
      </c>
      <c r="BJ110" s="134">
        <f>SUMPRODUCT(-('Gastos Gerais'!$B$4:$B$3143=Analítico!$B110),-(Analítico!BJ$3&gt;='Gastos Gerais'!$D$4:$D$3143),-(Analítico!BJ$3&lt;='Gastos Gerais'!$E$4:$E$3143),-('Gastos Gerais'!$C$4:$C$3143))</f>
        <v>0</v>
      </c>
      <c r="BK110" s="189">
        <f t="shared" si="26"/>
        <v>2594460.7399999998</v>
      </c>
      <c r="BL110" s="136">
        <f t="shared" ca="1" si="27"/>
        <v>8.9327234225715525E-3</v>
      </c>
    </row>
    <row r="111" spans="1:64" s="160" customFormat="1" ht="23.25" customHeight="1">
      <c r="A111" s="229" t="s">
        <v>299</v>
      </c>
      <c r="B111" s="232" t="s">
        <v>300</v>
      </c>
      <c r="C111" s="188">
        <f>SUMPRODUCT(-('Gastos Gerais'!$B$4:$B$3143=Analítico!$B111),-(Analítico!C$3&gt;='Gastos Gerais'!$D$4:$D$3143),-(Analítico!C$3&lt;='Gastos Gerais'!$E$4:$E$3143),-('Gastos Gerais'!$C$4:$C$3143))</f>
        <v>1200</v>
      </c>
      <c r="D111" s="134">
        <f>SUMPRODUCT(-('Gastos Gerais'!$B$4:$B$3143=Analítico!$B111),-(Analítico!D$3&gt;='Gastos Gerais'!$D$4:$D$3143),-(Analítico!D$3&lt;='Gastos Gerais'!$E$4:$E$3143),-('Gastos Gerais'!$C$4:$C$3143))</f>
        <v>1200</v>
      </c>
      <c r="E111" s="134">
        <f>SUMPRODUCT(-('Gastos Gerais'!$B$4:$B$3143=Analítico!$B111),-(Analítico!E$3&gt;='Gastos Gerais'!$D$4:$D$3143),-(Analítico!E$3&lt;='Gastos Gerais'!$E$4:$E$3143),-('Gastos Gerais'!$C$4:$C$3143))</f>
        <v>1200</v>
      </c>
      <c r="F111" s="134">
        <f>SUMPRODUCT(-('Gastos Gerais'!$B$4:$B$3143=Analítico!$B111),-(Analítico!F$3&gt;='Gastos Gerais'!$D$4:$D$3143),-(Analítico!F$3&lt;='Gastos Gerais'!$E$4:$E$3143),-('Gastos Gerais'!$C$4:$C$3143))</f>
        <v>1200</v>
      </c>
      <c r="G111" s="134">
        <f>SUMPRODUCT(-('Gastos Gerais'!$B$4:$B$3143=Analítico!$B111),-(Analítico!G$3&gt;='Gastos Gerais'!$D$4:$D$3143),-(Analítico!G$3&lt;='Gastos Gerais'!$E$4:$E$3143),-('Gastos Gerais'!$C$4:$C$3143))</f>
        <v>1200</v>
      </c>
      <c r="H111" s="134">
        <f>SUMPRODUCT(-('Gastos Gerais'!$B$4:$B$3143=Analítico!$B111),-(Analítico!H$3&gt;='Gastos Gerais'!$D$4:$D$3143),-(Analítico!H$3&lt;='Gastos Gerais'!$E$4:$E$3143),-('Gastos Gerais'!$C$4:$C$3143))</f>
        <v>1200</v>
      </c>
      <c r="I111" s="134">
        <f>SUMPRODUCT(-('Gastos Gerais'!$B$4:$B$3143=Analítico!$B111),-(Analítico!I$3&gt;='Gastos Gerais'!$D$4:$D$3143),-(Analítico!I$3&lt;='Gastos Gerais'!$E$4:$E$3143),-('Gastos Gerais'!$C$4:$C$3143))</f>
        <v>1200</v>
      </c>
      <c r="J111" s="134">
        <f>SUMPRODUCT(-('Gastos Gerais'!$B$4:$B$3143=Analítico!$B111),-(Analítico!J$3&gt;='Gastos Gerais'!$D$4:$D$3143),-(Analítico!J$3&lt;='Gastos Gerais'!$E$4:$E$3143),-('Gastos Gerais'!$C$4:$C$3143))</f>
        <v>1200</v>
      </c>
      <c r="K111" s="134">
        <f>SUMPRODUCT(-('Gastos Gerais'!$B$4:$B$3143=Analítico!$B111),-(Analítico!K$3&gt;='Gastos Gerais'!$D$4:$D$3143),-(Analítico!K$3&lt;='Gastos Gerais'!$E$4:$E$3143),-('Gastos Gerais'!$C$4:$C$3143))</f>
        <v>1200</v>
      </c>
      <c r="L111" s="134">
        <f>SUMPRODUCT(-('Gastos Gerais'!$B$4:$B$3143=Analítico!$B111),-(Analítico!L$3&gt;='Gastos Gerais'!$D$4:$D$3143),-(Analítico!L$3&lt;='Gastos Gerais'!$E$4:$E$3143),-('Gastos Gerais'!$C$4:$C$3143))</f>
        <v>1200</v>
      </c>
      <c r="M111" s="134">
        <f>SUMPRODUCT(-('Gastos Gerais'!$B$4:$B$3143=Analítico!$B111),-(Analítico!M$3&gt;='Gastos Gerais'!$D$4:$D$3143),-(Analítico!M$3&lt;='Gastos Gerais'!$E$4:$E$3143),-('Gastos Gerais'!$C$4:$C$3143))</f>
        <v>1200</v>
      </c>
      <c r="N111" s="134">
        <f>SUMPRODUCT(-('Gastos Gerais'!$B$4:$B$3143=Analítico!$B111),-(Analítico!N$3&gt;='Gastos Gerais'!$D$4:$D$3143),-(Analítico!N$3&lt;='Gastos Gerais'!$E$4:$E$3143),-('Gastos Gerais'!$C$4:$C$3143))</f>
        <v>1200</v>
      </c>
      <c r="O111" s="134">
        <f>SUMPRODUCT(-('Gastos Gerais'!$B$4:$B$3143=Analítico!$B111),-(Analítico!O$3&gt;='Gastos Gerais'!$D$4:$D$3143),-(Analítico!O$3&lt;='Gastos Gerais'!$E$4:$E$3143),-('Gastos Gerais'!$C$4:$C$3143))</f>
        <v>1200</v>
      </c>
      <c r="P111" s="134">
        <f>SUMPRODUCT(-('Gastos Gerais'!$B$4:$B$3143=Analítico!$B111),-(Analítico!P$3&gt;='Gastos Gerais'!$D$4:$D$3143),-(Analítico!P$3&lt;='Gastos Gerais'!$E$4:$E$3143),-('Gastos Gerais'!$C$4:$C$3143))</f>
        <v>1200</v>
      </c>
      <c r="Q111" s="134">
        <f>SUMPRODUCT(-('Gastos Gerais'!$B$4:$B$3143=Analítico!$B111),-(Analítico!Q$3&gt;='Gastos Gerais'!$D$4:$D$3143),-(Analítico!Q$3&lt;='Gastos Gerais'!$E$4:$E$3143),-('Gastos Gerais'!$C$4:$C$3143))</f>
        <v>1200</v>
      </c>
      <c r="R111" s="134">
        <f>SUMPRODUCT(-('Gastos Gerais'!$B$4:$B$3143=Analítico!$B111),-(Analítico!R$3&gt;='Gastos Gerais'!$D$4:$D$3143),-(Analítico!R$3&lt;='Gastos Gerais'!$E$4:$E$3143),-('Gastos Gerais'!$C$4:$C$3143))</f>
        <v>1200</v>
      </c>
      <c r="S111" s="134">
        <f>SUMPRODUCT(-('Gastos Gerais'!$B$4:$B$3143=Analítico!$B111),-(Analítico!S$3&gt;='Gastos Gerais'!$D$4:$D$3143),-(Analítico!S$3&lt;='Gastos Gerais'!$E$4:$E$3143),-('Gastos Gerais'!$C$4:$C$3143))</f>
        <v>1200</v>
      </c>
      <c r="T111" s="134">
        <f>SUMPRODUCT(-('Gastos Gerais'!$B$4:$B$3143=Analítico!$B111),-(Analítico!T$3&gt;='Gastos Gerais'!$D$4:$D$3143),-(Analítico!T$3&lt;='Gastos Gerais'!$E$4:$E$3143),-('Gastos Gerais'!$C$4:$C$3143))</f>
        <v>1200</v>
      </c>
      <c r="U111" s="134">
        <f>SUMPRODUCT(-('Gastos Gerais'!$B$4:$B$3143=Analítico!$B111),-(Analítico!U$3&gt;='Gastos Gerais'!$D$4:$D$3143),-(Analítico!U$3&lt;='Gastos Gerais'!$E$4:$E$3143),-('Gastos Gerais'!$C$4:$C$3143))</f>
        <v>1200</v>
      </c>
      <c r="V111" s="134">
        <f>SUMPRODUCT(-('Gastos Gerais'!$B$4:$B$3143=Analítico!$B111),-(Analítico!V$3&gt;='Gastos Gerais'!$D$4:$D$3143),-(Analítico!V$3&lt;='Gastos Gerais'!$E$4:$E$3143),-('Gastos Gerais'!$C$4:$C$3143))</f>
        <v>1200</v>
      </c>
      <c r="W111" s="134">
        <f>SUMPRODUCT(-('Gastos Gerais'!$B$4:$B$3143=Analítico!$B111),-(Analítico!W$3&gt;='Gastos Gerais'!$D$4:$D$3143),-(Analítico!W$3&lt;='Gastos Gerais'!$E$4:$E$3143),-('Gastos Gerais'!$C$4:$C$3143))</f>
        <v>1200</v>
      </c>
      <c r="X111" s="134">
        <f>SUMPRODUCT(-('Gastos Gerais'!$B$4:$B$3143=Analítico!$B111),-(Analítico!X$3&gt;='Gastos Gerais'!$D$4:$D$3143),-(Analítico!X$3&lt;='Gastos Gerais'!$E$4:$E$3143),-('Gastos Gerais'!$C$4:$C$3143))</f>
        <v>1200</v>
      </c>
      <c r="Y111" s="134">
        <f>SUMPRODUCT(-('Gastos Gerais'!$B$4:$B$3143=Analítico!$B111),-(Analítico!Y$3&gt;='Gastos Gerais'!$D$4:$D$3143),-(Analítico!Y$3&lt;='Gastos Gerais'!$E$4:$E$3143),-('Gastos Gerais'!$C$4:$C$3143))</f>
        <v>1200</v>
      </c>
      <c r="Z111" s="134">
        <f>SUMPRODUCT(-('Gastos Gerais'!$B$4:$B$3143=Analítico!$B111),-(Analítico!Z$3&gt;='Gastos Gerais'!$D$4:$D$3143),-(Analítico!Z$3&lt;='Gastos Gerais'!$E$4:$E$3143),-('Gastos Gerais'!$C$4:$C$3143))</f>
        <v>1200</v>
      </c>
      <c r="AA111" s="134">
        <f>SUMPRODUCT(-('Gastos Gerais'!$B$4:$B$3143=Analítico!$B111),-(Analítico!AA$3&gt;='Gastos Gerais'!$D$4:$D$3143),-(Analítico!AA$3&lt;='Gastos Gerais'!$E$4:$E$3143),-('Gastos Gerais'!$C$4:$C$3143))</f>
        <v>1200</v>
      </c>
      <c r="AB111" s="134">
        <f>SUMPRODUCT(-('Gastos Gerais'!$B$4:$B$3143=Analítico!$B111),-(Analítico!AB$3&gt;='Gastos Gerais'!$D$4:$D$3143),-(Analítico!AB$3&lt;='Gastos Gerais'!$E$4:$E$3143),-('Gastos Gerais'!$C$4:$C$3143))</f>
        <v>1200</v>
      </c>
      <c r="AC111" s="134">
        <f>SUMPRODUCT(-('Gastos Gerais'!$B$4:$B$3143=Analítico!$B111),-(Analítico!AC$3&gt;='Gastos Gerais'!$D$4:$D$3143),-(Analítico!AC$3&lt;='Gastos Gerais'!$E$4:$E$3143),-('Gastos Gerais'!$C$4:$C$3143))</f>
        <v>1200</v>
      </c>
      <c r="AD111" s="134">
        <f>SUMPRODUCT(-('Gastos Gerais'!$B$4:$B$3143=Analítico!$B111),-(Analítico!AD$3&gt;='Gastos Gerais'!$D$4:$D$3143),-(Analítico!AD$3&lt;='Gastos Gerais'!$E$4:$E$3143),-('Gastos Gerais'!$C$4:$C$3143))</f>
        <v>1200</v>
      </c>
      <c r="AE111" s="134">
        <f>SUMPRODUCT(-('Gastos Gerais'!$B$4:$B$3143=Analítico!$B111),-(Analítico!AE$3&gt;='Gastos Gerais'!$D$4:$D$3143),-(Analítico!AE$3&lt;='Gastos Gerais'!$E$4:$E$3143),-('Gastos Gerais'!$C$4:$C$3143))</f>
        <v>1200</v>
      </c>
      <c r="AF111" s="134">
        <f>SUMPRODUCT(-('Gastos Gerais'!$B$4:$B$3143=Analítico!$B111),-(Analítico!AF$3&gt;='Gastos Gerais'!$D$4:$D$3143),-(Analítico!AF$3&lt;='Gastos Gerais'!$E$4:$E$3143),-('Gastos Gerais'!$C$4:$C$3143))</f>
        <v>1200</v>
      </c>
      <c r="AG111" s="134">
        <f>SUMPRODUCT(-('Gastos Gerais'!$B$4:$B$3143=Analítico!$B111),-(Analítico!AG$3&gt;='Gastos Gerais'!$D$4:$D$3143),-(Analítico!AG$3&lt;='Gastos Gerais'!$E$4:$E$3143),-('Gastos Gerais'!$C$4:$C$3143))</f>
        <v>1200</v>
      </c>
      <c r="AH111" s="134">
        <f>SUMPRODUCT(-('Gastos Gerais'!$B$4:$B$3143=Analítico!$B111),-(Analítico!AH$3&gt;='Gastos Gerais'!$D$4:$D$3143),-(Analítico!AH$3&lt;='Gastos Gerais'!$E$4:$E$3143),-('Gastos Gerais'!$C$4:$C$3143))</f>
        <v>1200</v>
      </c>
      <c r="AI111" s="134">
        <f>SUMPRODUCT(-('Gastos Gerais'!$B$4:$B$3143=Analítico!$B111),-(Analítico!AI$3&gt;='Gastos Gerais'!$D$4:$D$3143),-(Analítico!AI$3&lt;='Gastos Gerais'!$E$4:$E$3143),-('Gastos Gerais'!$C$4:$C$3143))</f>
        <v>1200</v>
      </c>
      <c r="AJ111" s="134">
        <f>SUMPRODUCT(-('Gastos Gerais'!$B$4:$B$3143=Analítico!$B111),-(Analítico!AJ$3&gt;='Gastos Gerais'!$D$4:$D$3143),-(Analítico!AJ$3&lt;='Gastos Gerais'!$E$4:$E$3143),-('Gastos Gerais'!$C$4:$C$3143))</f>
        <v>1200</v>
      </c>
      <c r="AK111" s="134">
        <f>SUMPRODUCT(-('Gastos Gerais'!$B$4:$B$3143=Analítico!$B111),-(Analítico!AK$3&gt;='Gastos Gerais'!$D$4:$D$3143),-(Analítico!AK$3&lt;='Gastos Gerais'!$E$4:$E$3143),-('Gastos Gerais'!$C$4:$C$3143))</f>
        <v>1200</v>
      </c>
      <c r="AL111" s="134">
        <f>SUMPRODUCT(-('Gastos Gerais'!$B$4:$B$3143=Analítico!$B111),-(Analítico!AL$3&gt;='Gastos Gerais'!$D$4:$D$3143),-(Analítico!AL$3&lt;='Gastos Gerais'!$E$4:$E$3143),-('Gastos Gerais'!$C$4:$C$3143))</f>
        <v>1200</v>
      </c>
      <c r="AM111" s="134">
        <f>SUMPRODUCT(-('Gastos Gerais'!$B$4:$B$3143=Analítico!$B111),-(Analítico!AM$3&gt;='Gastos Gerais'!$D$4:$D$3143),-(Analítico!AM$3&lt;='Gastos Gerais'!$E$4:$E$3143),-('Gastos Gerais'!$C$4:$C$3143))</f>
        <v>1200</v>
      </c>
      <c r="AN111" s="134">
        <f>SUMPRODUCT(-('Gastos Gerais'!$B$4:$B$3143=Analítico!$B111),-(Analítico!AN$3&gt;='Gastos Gerais'!$D$4:$D$3143),-(Analítico!AN$3&lt;='Gastos Gerais'!$E$4:$E$3143),-('Gastos Gerais'!$C$4:$C$3143))</f>
        <v>1200</v>
      </c>
      <c r="AO111" s="134">
        <f>SUMPRODUCT(-('Gastos Gerais'!$B$4:$B$3143=Analítico!$B111),-(Analítico!AO$3&gt;='Gastos Gerais'!$D$4:$D$3143),-(Analítico!AO$3&lt;='Gastos Gerais'!$E$4:$E$3143),-('Gastos Gerais'!$C$4:$C$3143))</f>
        <v>1200</v>
      </c>
      <c r="AP111" s="134">
        <f>SUMPRODUCT(-('Gastos Gerais'!$B$4:$B$3143=Analítico!$B111),-(Analítico!AP$3&gt;='Gastos Gerais'!$D$4:$D$3143),-(Analítico!AP$3&lt;='Gastos Gerais'!$E$4:$E$3143),-('Gastos Gerais'!$C$4:$C$3143))</f>
        <v>1200</v>
      </c>
      <c r="AQ111" s="134">
        <f>SUMPRODUCT(-('Gastos Gerais'!$B$4:$B$3143=Analítico!$B111),-(Analítico!AQ$3&gt;='Gastos Gerais'!$D$4:$D$3143),-(Analítico!AQ$3&lt;='Gastos Gerais'!$E$4:$E$3143),-('Gastos Gerais'!$C$4:$C$3143))</f>
        <v>1200</v>
      </c>
      <c r="AR111" s="134">
        <f>SUMPRODUCT(-('Gastos Gerais'!$B$4:$B$3143=Analítico!$B111),-(Analítico!AR$3&gt;='Gastos Gerais'!$D$4:$D$3143),-(Analítico!AR$3&lt;='Gastos Gerais'!$E$4:$E$3143),-('Gastos Gerais'!$C$4:$C$3143))</f>
        <v>1200</v>
      </c>
      <c r="AS111" s="134">
        <f>SUMPRODUCT(-('Gastos Gerais'!$B$4:$B$3143=Analítico!$B111),-(Analítico!AS$3&gt;='Gastos Gerais'!$D$4:$D$3143),-(Analítico!AS$3&lt;='Gastos Gerais'!$E$4:$E$3143),-('Gastos Gerais'!$C$4:$C$3143))</f>
        <v>1200</v>
      </c>
      <c r="AT111" s="134">
        <f>SUMPRODUCT(-('Gastos Gerais'!$B$4:$B$3143=Analítico!$B111),-(Analítico!AT$3&gt;='Gastos Gerais'!$D$4:$D$3143),-(Analítico!AT$3&lt;='Gastos Gerais'!$E$4:$E$3143),-('Gastos Gerais'!$C$4:$C$3143))</f>
        <v>1200</v>
      </c>
      <c r="AU111" s="134">
        <f>SUMPRODUCT(-('Gastos Gerais'!$B$4:$B$3143=Analítico!$B111),-(Analítico!AU$3&gt;='Gastos Gerais'!$D$4:$D$3143),-(Analítico!AU$3&lt;='Gastos Gerais'!$E$4:$E$3143),-('Gastos Gerais'!$C$4:$C$3143))</f>
        <v>1200</v>
      </c>
      <c r="AV111" s="134">
        <f>SUMPRODUCT(-('Gastos Gerais'!$B$4:$B$3143=Analítico!$B111),-(Analítico!AV$3&gt;='Gastos Gerais'!$D$4:$D$3143),-(Analítico!AV$3&lt;='Gastos Gerais'!$E$4:$E$3143),-('Gastos Gerais'!$C$4:$C$3143))</f>
        <v>1200</v>
      </c>
      <c r="AW111" s="134">
        <f>SUMPRODUCT(-('Gastos Gerais'!$B$4:$B$3143=Analítico!$B111),-(Analítico!AW$3&gt;='Gastos Gerais'!$D$4:$D$3143),-(Analítico!AW$3&lt;='Gastos Gerais'!$E$4:$E$3143),-('Gastos Gerais'!$C$4:$C$3143))</f>
        <v>1200</v>
      </c>
      <c r="AX111" s="134">
        <f>SUMPRODUCT(-('Gastos Gerais'!$B$4:$B$3143=Analítico!$B111),-(Analítico!AX$3&gt;='Gastos Gerais'!$D$4:$D$3143),-(Analítico!AX$3&lt;='Gastos Gerais'!$E$4:$E$3143),-('Gastos Gerais'!$C$4:$C$3143))</f>
        <v>0</v>
      </c>
      <c r="AY111" s="134">
        <f>SUMPRODUCT(-('Gastos Gerais'!$B$4:$B$3143=Analítico!$B111),-(Analítico!AY$3&gt;='Gastos Gerais'!$D$4:$D$3143),-(Analítico!AY$3&lt;='Gastos Gerais'!$E$4:$E$3143),-('Gastos Gerais'!$C$4:$C$3143))</f>
        <v>0</v>
      </c>
      <c r="AZ111" s="134">
        <f>SUMPRODUCT(-('Gastos Gerais'!$B$4:$B$3143=Analítico!$B111),-(Analítico!AZ$3&gt;='Gastos Gerais'!$D$4:$D$3143),-(Analítico!AZ$3&lt;='Gastos Gerais'!$E$4:$E$3143),-('Gastos Gerais'!$C$4:$C$3143))</f>
        <v>0</v>
      </c>
      <c r="BA111" s="134">
        <f>SUMPRODUCT(-('Gastos Gerais'!$B$4:$B$3143=Analítico!$B111),-(Analítico!BA$3&gt;='Gastos Gerais'!$D$4:$D$3143),-(Analítico!BA$3&lt;='Gastos Gerais'!$E$4:$E$3143),-('Gastos Gerais'!$C$4:$C$3143))</f>
        <v>0</v>
      </c>
      <c r="BB111" s="134">
        <f>SUMPRODUCT(-('Gastos Gerais'!$B$4:$B$3143=Analítico!$B111),-(Analítico!BB$3&gt;='Gastos Gerais'!$D$4:$D$3143),-(Analítico!BB$3&lt;='Gastos Gerais'!$E$4:$E$3143),-('Gastos Gerais'!$C$4:$C$3143))</f>
        <v>0</v>
      </c>
      <c r="BC111" s="134">
        <f>SUMPRODUCT(-('Gastos Gerais'!$B$4:$B$3143=Analítico!$B111),-(Analítico!BC$3&gt;='Gastos Gerais'!$D$4:$D$3143),-(Analítico!BC$3&lt;='Gastos Gerais'!$E$4:$E$3143),-('Gastos Gerais'!$C$4:$C$3143))</f>
        <v>0</v>
      </c>
      <c r="BD111" s="134">
        <f>SUMPRODUCT(-('Gastos Gerais'!$B$4:$B$3143=Analítico!$B111),-(Analítico!BD$3&gt;='Gastos Gerais'!$D$4:$D$3143),-(Analítico!BD$3&lt;='Gastos Gerais'!$E$4:$E$3143),-('Gastos Gerais'!$C$4:$C$3143))</f>
        <v>0</v>
      </c>
      <c r="BE111" s="134">
        <f>SUMPRODUCT(-('Gastos Gerais'!$B$4:$B$3143=Analítico!$B111),-(Analítico!BE$3&gt;='Gastos Gerais'!$D$4:$D$3143),-(Analítico!BE$3&lt;='Gastos Gerais'!$E$4:$E$3143),-('Gastos Gerais'!$C$4:$C$3143))</f>
        <v>0</v>
      </c>
      <c r="BF111" s="134">
        <f>SUMPRODUCT(-('Gastos Gerais'!$B$4:$B$3143=Analítico!$B111),-(Analítico!BF$3&gt;='Gastos Gerais'!$D$4:$D$3143),-(Analítico!BF$3&lt;='Gastos Gerais'!$E$4:$E$3143),-('Gastos Gerais'!$C$4:$C$3143))</f>
        <v>0</v>
      </c>
      <c r="BG111" s="134">
        <f>SUMPRODUCT(-('Gastos Gerais'!$B$4:$B$3143=Analítico!$B111),-(Analítico!BG$3&gt;='Gastos Gerais'!$D$4:$D$3143),-(Analítico!BG$3&lt;='Gastos Gerais'!$E$4:$E$3143),-('Gastos Gerais'!$C$4:$C$3143))</f>
        <v>0</v>
      </c>
      <c r="BH111" s="134">
        <f>SUMPRODUCT(-('Gastos Gerais'!$B$4:$B$3143=Analítico!$B111),-(Analítico!BH$3&gt;='Gastos Gerais'!$D$4:$D$3143),-(Analítico!BH$3&lt;='Gastos Gerais'!$E$4:$E$3143),-('Gastos Gerais'!$C$4:$C$3143))</f>
        <v>0</v>
      </c>
      <c r="BI111" s="134">
        <f>SUMPRODUCT(-('Gastos Gerais'!$B$4:$B$3143=Analítico!$B111),-(Analítico!BI$3&gt;='Gastos Gerais'!$D$4:$D$3143),-(Analítico!BI$3&lt;='Gastos Gerais'!$E$4:$E$3143),-('Gastos Gerais'!$C$4:$C$3143))</f>
        <v>0</v>
      </c>
      <c r="BJ111" s="134">
        <f>SUMPRODUCT(-('Gastos Gerais'!$B$4:$B$3143=Analítico!$B111),-(Analítico!BJ$3&gt;='Gastos Gerais'!$D$4:$D$3143),-(Analítico!BJ$3&lt;='Gastos Gerais'!$E$4:$E$3143),-('Gastos Gerais'!$C$4:$C$3143))</f>
        <v>0</v>
      </c>
      <c r="BK111" s="189">
        <f t="shared" si="26"/>
        <v>56400</v>
      </c>
      <c r="BL111" s="136">
        <f t="shared" ca="1" si="27"/>
        <v>1.9418509336666069E-4</v>
      </c>
    </row>
    <row r="112" spans="1:64" s="160" customFormat="1" ht="23.25" customHeight="1">
      <c r="A112" s="229" t="s">
        <v>301</v>
      </c>
      <c r="B112" s="232" t="s">
        <v>302</v>
      </c>
      <c r="C112" s="188">
        <f>SUMPRODUCT(-('Gastos Gerais'!$B$4:$B$3143=Analítico!$B112),-(Analítico!C$3&gt;='Gastos Gerais'!$D$4:$D$3143),-(Analítico!C$3&lt;='Gastos Gerais'!$E$4:$E$3143),-('Gastos Gerais'!$C$4:$C$3143))</f>
        <v>1900</v>
      </c>
      <c r="D112" s="134">
        <f>SUMPRODUCT(-('Gastos Gerais'!$B$4:$B$3143=Analítico!$B112),-(Analítico!D$3&gt;='Gastos Gerais'!$D$4:$D$3143),-(Analítico!D$3&lt;='Gastos Gerais'!$E$4:$E$3143),-('Gastos Gerais'!$C$4:$C$3143))</f>
        <v>1900</v>
      </c>
      <c r="E112" s="134">
        <f>SUMPRODUCT(-('Gastos Gerais'!$B$4:$B$3143=Analítico!$B112),-(Analítico!E$3&gt;='Gastos Gerais'!$D$4:$D$3143),-(Analítico!E$3&lt;='Gastos Gerais'!$E$4:$E$3143),-('Gastos Gerais'!$C$4:$C$3143))</f>
        <v>2000</v>
      </c>
      <c r="F112" s="134">
        <f>SUMPRODUCT(-('Gastos Gerais'!$B$4:$B$3143=Analítico!$B112),-(Analítico!F$3&gt;='Gastos Gerais'!$D$4:$D$3143),-(Analítico!F$3&lt;='Gastos Gerais'!$E$4:$E$3143),-('Gastos Gerais'!$C$4:$C$3143))</f>
        <v>2100</v>
      </c>
      <c r="G112" s="134">
        <f>SUMPRODUCT(-('Gastos Gerais'!$B$4:$B$3143=Analítico!$B112),-(Analítico!G$3&gt;='Gastos Gerais'!$D$4:$D$3143),-(Analítico!G$3&lt;='Gastos Gerais'!$E$4:$E$3143),-('Gastos Gerais'!$C$4:$C$3143))</f>
        <v>2100</v>
      </c>
      <c r="H112" s="134">
        <f>SUMPRODUCT(-('Gastos Gerais'!$B$4:$B$3143=Analítico!$B112),-(Analítico!H$3&gt;='Gastos Gerais'!$D$4:$D$3143),-(Analítico!H$3&lt;='Gastos Gerais'!$E$4:$E$3143),-('Gastos Gerais'!$C$4:$C$3143))</f>
        <v>2100</v>
      </c>
      <c r="I112" s="134">
        <f>SUMPRODUCT(-('Gastos Gerais'!$B$4:$B$3143=Analítico!$B112),-(Analítico!I$3&gt;='Gastos Gerais'!$D$4:$D$3143),-(Analítico!I$3&lt;='Gastos Gerais'!$E$4:$E$3143),-('Gastos Gerais'!$C$4:$C$3143))</f>
        <v>2000</v>
      </c>
      <c r="J112" s="134">
        <f>SUMPRODUCT(-('Gastos Gerais'!$B$4:$B$3143=Analítico!$B112),-(Analítico!J$3&gt;='Gastos Gerais'!$D$4:$D$3143),-(Analítico!J$3&lt;='Gastos Gerais'!$E$4:$E$3143),-('Gastos Gerais'!$C$4:$C$3143))</f>
        <v>2000</v>
      </c>
      <c r="K112" s="134">
        <f>SUMPRODUCT(-('Gastos Gerais'!$B$4:$B$3143=Analítico!$B112),-(Analítico!K$3&gt;='Gastos Gerais'!$D$4:$D$3143),-(Analítico!K$3&lt;='Gastos Gerais'!$E$4:$E$3143),-('Gastos Gerais'!$C$4:$C$3143))</f>
        <v>2000</v>
      </c>
      <c r="L112" s="134">
        <f>SUMPRODUCT(-('Gastos Gerais'!$B$4:$B$3143=Analítico!$B112),-(Analítico!L$3&gt;='Gastos Gerais'!$D$4:$D$3143),-(Analítico!L$3&lt;='Gastos Gerais'!$E$4:$E$3143),-('Gastos Gerais'!$C$4:$C$3143))</f>
        <v>2100</v>
      </c>
      <c r="M112" s="134">
        <f>SUMPRODUCT(-('Gastos Gerais'!$B$4:$B$3143=Analítico!$B112),-(Analítico!M$3&gt;='Gastos Gerais'!$D$4:$D$3143),-(Analítico!M$3&lt;='Gastos Gerais'!$E$4:$E$3143),-('Gastos Gerais'!$C$4:$C$3143))</f>
        <v>2100</v>
      </c>
      <c r="N112" s="134">
        <f>SUMPRODUCT(-('Gastos Gerais'!$B$4:$B$3143=Analítico!$B112),-(Analítico!N$3&gt;='Gastos Gerais'!$D$4:$D$3143),-(Analítico!N$3&lt;='Gastos Gerais'!$E$4:$E$3143),-('Gastos Gerais'!$C$4:$C$3143))</f>
        <v>2100</v>
      </c>
      <c r="O112" s="134">
        <f>SUMPRODUCT(-('Gastos Gerais'!$B$4:$B$3143=Analítico!$B112),-(Analítico!O$3&gt;='Gastos Gerais'!$D$4:$D$3143),-(Analítico!O$3&lt;='Gastos Gerais'!$E$4:$E$3143),-('Gastos Gerais'!$C$4:$C$3143))</f>
        <v>2300</v>
      </c>
      <c r="P112" s="134">
        <f>SUMPRODUCT(-('Gastos Gerais'!$B$4:$B$3143=Analítico!$B112),-(Analítico!P$3&gt;='Gastos Gerais'!$D$4:$D$3143),-(Analítico!P$3&lt;='Gastos Gerais'!$E$4:$E$3143),-('Gastos Gerais'!$C$4:$C$3143))</f>
        <v>2300</v>
      </c>
      <c r="Q112" s="134">
        <f>SUMPRODUCT(-('Gastos Gerais'!$B$4:$B$3143=Analítico!$B112),-(Analítico!Q$3&gt;='Gastos Gerais'!$D$4:$D$3143),-(Analítico!Q$3&lt;='Gastos Gerais'!$E$4:$E$3143),-('Gastos Gerais'!$C$4:$C$3143))</f>
        <v>2300</v>
      </c>
      <c r="R112" s="134">
        <f>SUMPRODUCT(-('Gastos Gerais'!$B$4:$B$3143=Analítico!$B112),-(Analítico!R$3&gt;='Gastos Gerais'!$D$4:$D$3143),-(Analítico!R$3&lt;='Gastos Gerais'!$E$4:$E$3143),-('Gastos Gerais'!$C$4:$C$3143))</f>
        <v>2300</v>
      </c>
      <c r="S112" s="134">
        <f>SUMPRODUCT(-('Gastos Gerais'!$B$4:$B$3143=Analítico!$B112),-(Analítico!S$3&gt;='Gastos Gerais'!$D$4:$D$3143),-(Analítico!S$3&lt;='Gastos Gerais'!$E$4:$E$3143),-('Gastos Gerais'!$C$4:$C$3143))</f>
        <v>2300</v>
      </c>
      <c r="T112" s="134">
        <f>SUMPRODUCT(-('Gastos Gerais'!$B$4:$B$3143=Analítico!$B112),-(Analítico!T$3&gt;='Gastos Gerais'!$D$4:$D$3143),-(Analítico!T$3&lt;='Gastos Gerais'!$E$4:$E$3143),-('Gastos Gerais'!$C$4:$C$3143))</f>
        <v>2300</v>
      </c>
      <c r="U112" s="134">
        <f>SUMPRODUCT(-('Gastos Gerais'!$B$4:$B$3143=Analítico!$B112),-(Analítico!U$3&gt;='Gastos Gerais'!$D$4:$D$3143),-(Analítico!U$3&lt;='Gastos Gerais'!$E$4:$E$3143),-('Gastos Gerais'!$C$4:$C$3143))</f>
        <v>2200</v>
      </c>
      <c r="V112" s="134">
        <f>SUMPRODUCT(-('Gastos Gerais'!$B$4:$B$3143=Analítico!$B112),-(Analítico!V$3&gt;='Gastos Gerais'!$D$4:$D$3143),-(Analítico!V$3&lt;='Gastos Gerais'!$E$4:$E$3143),-('Gastos Gerais'!$C$4:$C$3143))</f>
        <v>2200</v>
      </c>
      <c r="W112" s="134">
        <f>SUMPRODUCT(-('Gastos Gerais'!$B$4:$B$3143=Analítico!$B112),-(Analítico!W$3&gt;='Gastos Gerais'!$D$4:$D$3143),-(Analítico!W$3&lt;='Gastos Gerais'!$E$4:$E$3143),-('Gastos Gerais'!$C$4:$C$3143))</f>
        <v>2200</v>
      </c>
      <c r="X112" s="134">
        <f>SUMPRODUCT(-('Gastos Gerais'!$B$4:$B$3143=Analítico!$B112),-(Analítico!X$3&gt;='Gastos Gerais'!$D$4:$D$3143),-(Analítico!X$3&lt;='Gastos Gerais'!$E$4:$E$3143),-('Gastos Gerais'!$C$4:$C$3143))</f>
        <v>2200</v>
      </c>
      <c r="Y112" s="134">
        <f>SUMPRODUCT(-('Gastos Gerais'!$B$4:$B$3143=Analítico!$B112),-(Analítico!Y$3&gt;='Gastos Gerais'!$D$4:$D$3143),-(Analítico!Y$3&lt;='Gastos Gerais'!$E$4:$E$3143),-('Gastos Gerais'!$C$4:$C$3143))</f>
        <v>2200</v>
      </c>
      <c r="Z112" s="134">
        <f>SUMPRODUCT(-('Gastos Gerais'!$B$4:$B$3143=Analítico!$B112),-(Analítico!Z$3&gt;='Gastos Gerais'!$D$4:$D$3143),-(Analítico!Z$3&lt;='Gastos Gerais'!$E$4:$E$3143),-('Gastos Gerais'!$C$4:$C$3143))</f>
        <v>2200</v>
      </c>
      <c r="AA112" s="134">
        <f>SUMPRODUCT(-('Gastos Gerais'!$B$4:$B$3143=Analítico!$B112),-(Analítico!AA$3&gt;='Gastos Gerais'!$D$4:$D$3143),-(Analítico!AA$3&lt;='Gastos Gerais'!$E$4:$E$3143),-('Gastos Gerais'!$C$4:$C$3143))</f>
        <v>2300</v>
      </c>
      <c r="AB112" s="134">
        <f>SUMPRODUCT(-('Gastos Gerais'!$B$4:$B$3143=Analítico!$B112),-(Analítico!AB$3&gt;='Gastos Gerais'!$D$4:$D$3143),-(Analítico!AB$3&lt;='Gastos Gerais'!$E$4:$E$3143),-('Gastos Gerais'!$C$4:$C$3143))</f>
        <v>2300</v>
      </c>
      <c r="AC112" s="134">
        <f>SUMPRODUCT(-('Gastos Gerais'!$B$4:$B$3143=Analítico!$B112),-(Analítico!AC$3&gt;='Gastos Gerais'!$D$4:$D$3143),-(Analítico!AC$3&lt;='Gastos Gerais'!$E$4:$E$3143),-('Gastos Gerais'!$C$4:$C$3143))</f>
        <v>2300</v>
      </c>
      <c r="AD112" s="134">
        <f>SUMPRODUCT(-('Gastos Gerais'!$B$4:$B$3143=Analítico!$B112),-(Analítico!AD$3&gt;='Gastos Gerais'!$D$4:$D$3143),-(Analítico!AD$3&lt;='Gastos Gerais'!$E$4:$E$3143),-('Gastos Gerais'!$C$4:$C$3143))</f>
        <v>2300</v>
      </c>
      <c r="AE112" s="134">
        <f>SUMPRODUCT(-('Gastos Gerais'!$B$4:$B$3143=Analítico!$B112),-(Analítico!AE$3&gt;='Gastos Gerais'!$D$4:$D$3143),-(Analítico!AE$3&lt;='Gastos Gerais'!$E$4:$E$3143),-('Gastos Gerais'!$C$4:$C$3143))</f>
        <v>2300</v>
      </c>
      <c r="AF112" s="134">
        <f>SUMPRODUCT(-('Gastos Gerais'!$B$4:$B$3143=Analítico!$B112),-(Analítico!AF$3&gt;='Gastos Gerais'!$D$4:$D$3143),-(Analítico!AF$3&lt;='Gastos Gerais'!$E$4:$E$3143),-('Gastos Gerais'!$C$4:$C$3143))</f>
        <v>2300</v>
      </c>
      <c r="AG112" s="134">
        <f>SUMPRODUCT(-('Gastos Gerais'!$B$4:$B$3143=Analítico!$B112),-(Analítico!AG$3&gt;='Gastos Gerais'!$D$4:$D$3143),-(Analítico!AG$3&lt;='Gastos Gerais'!$E$4:$E$3143),-('Gastos Gerais'!$C$4:$C$3143))</f>
        <v>2200</v>
      </c>
      <c r="AH112" s="134">
        <f>SUMPRODUCT(-('Gastos Gerais'!$B$4:$B$3143=Analítico!$B112),-(Analítico!AH$3&gt;='Gastos Gerais'!$D$4:$D$3143),-(Analítico!AH$3&lt;='Gastos Gerais'!$E$4:$E$3143),-('Gastos Gerais'!$C$4:$C$3143))</f>
        <v>2200</v>
      </c>
      <c r="AI112" s="134">
        <f>SUMPRODUCT(-('Gastos Gerais'!$B$4:$B$3143=Analítico!$B112),-(Analítico!AI$3&gt;='Gastos Gerais'!$D$4:$D$3143),-(Analítico!AI$3&lt;='Gastos Gerais'!$E$4:$E$3143),-('Gastos Gerais'!$C$4:$C$3143))</f>
        <v>2200</v>
      </c>
      <c r="AJ112" s="134">
        <f>SUMPRODUCT(-('Gastos Gerais'!$B$4:$B$3143=Analítico!$B112),-(Analítico!AJ$3&gt;='Gastos Gerais'!$D$4:$D$3143),-(Analítico!AJ$3&lt;='Gastos Gerais'!$E$4:$E$3143),-('Gastos Gerais'!$C$4:$C$3143))</f>
        <v>2200</v>
      </c>
      <c r="AK112" s="134">
        <f>SUMPRODUCT(-('Gastos Gerais'!$B$4:$B$3143=Analítico!$B112),-(Analítico!AK$3&gt;='Gastos Gerais'!$D$4:$D$3143),-(Analítico!AK$3&lt;='Gastos Gerais'!$E$4:$E$3143),-('Gastos Gerais'!$C$4:$C$3143))</f>
        <v>2200</v>
      </c>
      <c r="AL112" s="134">
        <f>SUMPRODUCT(-('Gastos Gerais'!$B$4:$B$3143=Analítico!$B112),-(Analítico!AL$3&gt;='Gastos Gerais'!$D$4:$D$3143),-(Analítico!AL$3&lt;='Gastos Gerais'!$E$4:$E$3143),-('Gastos Gerais'!$C$4:$C$3143))</f>
        <v>2200</v>
      </c>
      <c r="AM112" s="134">
        <f>SUMPRODUCT(-('Gastos Gerais'!$B$4:$B$3143=Analítico!$B112),-(Analítico!AM$3&gt;='Gastos Gerais'!$D$4:$D$3143),-(Analítico!AM$3&lt;='Gastos Gerais'!$E$4:$E$3143),-('Gastos Gerais'!$C$4:$C$3143))</f>
        <v>1300</v>
      </c>
      <c r="AN112" s="134">
        <f>SUMPRODUCT(-('Gastos Gerais'!$B$4:$B$3143=Analítico!$B112),-(Analítico!AN$3&gt;='Gastos Gerais'!$D$4:$D$3143),-(Analítico!AN$3&lt;='Gastos Gerais'!$E$4:$E$3143),-('Gastos Gerais'!$C$4:$C$3143))</f>
        <v>1300</v>
      </c>
      <c r="AO112" s="134">
        <f>SUMPRODUCT(-('Gastos Gerais'!$B$4:$B$3143=Analítico!$B112),-(Analítico!AO$3&gt;='Gastos Gerais'!$D$4:$D$3143),-(Analítico!AO$3&lt;='Gastos Gerais'!$E$4:$E$3143),-('Gastos Gerais'!$C$4:$C$3143))</f>
        <v>1300</v>
      </c>
      <c r="AP112" s="134">
        <f>SUMPRODUCT(-('Gastos Gerais'!$B$4:$B$3143=Analítico!$B112),-(Analítico!AP$3&gt;='Gastos Gerais'!$D$4:$D$3143),-(Analítico!AP$3&lt;='Gastos Gerais'!$E$4:$E$3143),-('Gastos Gerais'!$C$4:$C$3143))</f>
        <v>1300</v>
      </c>
      <c r="AQ112" s="134">
        <f>SUMPRODUCT(-('Gastos Gerais'!$B$4:$B$3143=Analítico!$B112),-(Analítico!AQ$3&gt;='Gastos Gerais'!$D$4:$D$3143),-(Analítico!AQ$3&lt;='Gastos Gerais'!$E$4:$E$3143),-('Gastos Gerais'!$C$4:$C$3143))</f>
        <v>1300</v>
      </c>
      <c r="AR112" s="134">
        <f>SUMPRODUCT(-('Gastos Gerais'!$B$4:$B$3143=Analítico!$B112),-(Analítico!AR$3&gt;='Gastos Gerais'!$D$4:$D$3143),-(Analítico!AR$3&lt;='Gastos Gerais'!$E$4:$E$3143),-('Gastos Gerais'!$C$4:$C$3143))</f>
        <v>1300</v>
      </c>
      <c r="AS112" s="134">
        <f>SUMPRODUCT(-('Gastos Gerais'!$B$4:$B$3143=Analítico!$B112),-(Analítico!AS$3&gt;='Gastos Gerais'!$D$4:$D$3143),-(Analítico!AS$3&lt;='Gastos Gerais'!$E$4:$E$3143),-('Gastos Gerais'!$C$4:$C$3143))</f>
        <v>1250</v>
      </c>
      <c r="AT112" s="134">
        <f>SUMPRODUCT(-('Gastos Gerais'!$B$4:$B$3143=Analítico!$B112),-(Analítico!AT$3&gt;='Gastos Gerais'!$D$4:$D$3143),-(Analítico!AT$3&lt;='Gastos Gerais'!$E$4:$E$3143),-('Gastos Gerais'!$C$4:$C$3143))</f>
        <v>1250</v>
      </c>
      <c r="AU112" s="134">
        <f>SUMPRODUCT(-('Gastos Gerais'!$B$4:$B$3143=Analítico!$B112),-(Analítico!AU$3&gt;='Gastos Gerais'!$D$4:$D$3143),-(Analítico!AU$3&lt;='Gastos Gerais'!$E$4:$E$3143),-('Gastos Gerais'!$C$4:$C$3143))</f>
        <v>1250</v>
      </c>
      <c r="AV112" s="134">
        <f>SUMPRODUCT(-('Gastos Gerais'!$B$4:$B$3143=Analítico!$B112),-(Analítico!AV$3&gt;='Gastos Gerais'!$D$4:$D$3143),-(Analítico!AV$3&lt;='Gastos Gerais'!$E$4:$E$3143),-('Gastos Gerais'!$C$4:$C$3143))</f>
        <v>1250</v>
      </c>
      <c r="AW112" s="134">
        <f>SUMPRODUCT(-('Gastos Gerais'!$B$4:$B$3143=Analítico!$B112),-(Analítico!AW$3&gt;='Gastos Gerais'!$D$4:$D$3143),-(Analítico!AW$3&lt;='Gastos Gerais'!$E$4:$E$3143),-('Gastos Gerais'!$C$4:$C$3143))</f>
        <v>1250</v>
      </c>
      <c r="AX112" s="134">
        <f>SUMPRODUCT(-('Gastos Gerais'!$B$4:$B$3143=Analítico!$B112),-(Analítico!AX$3&gt;='Gastos Gerais'!$D$4:$D$3143),-(Analítico!AX$3&lt;='Gastos Gerais'!$E$4:$E$3143),-('Gastos Gerais'!$C$4:$C$3143))</f>
        <v>0</v>
      </c>
      <c r="AY112" s="134">
        <f>SUMPRODUCT(-('Gastos Gerais'!$B$4:$B$3143=Analítico!$B112),-(Analítico!AY$3&gt;='Gastos Gerais'!$D$4:$D$3143),-(Analítico!AY$3&lt;='Gastos Gerais'!$E$4:$E$3143),-('Gastos Gerais'!$C$4:$C$3143))</f>
        <v>0</v>
      </c>
      <c r="AZ112" s="134">
        <f>SUMPRODUCT(-('Gastos Gerais'!$B$4:$B$3143=Analítico!$B112),-(Analítico!AZ$3&gt;='Gastos Gerais'!$D$4:$D$3143),-(Analítico!AZ$3&lt;='Gastos Gerais'!$E$4:$E$3143),-('Gastos Gerais'!$C$4:$C$3143))</f>
        <v>0</v>
      </c>
      <c r="BA112" s="134">
        <f>SUMPRODUCT(-('Gastos Gerais'!$B$4:$B$3143=Analítico!$B112),-(Analítico!BA$3&gt;='Gastos Gerais'!$D$4:$D$3143),-(Analítico!BA$3&lt;='Gastos Gerais'!$E$4:$E$3143),-('Gastos Gerais'!$C$4:$C$3143))</f>
        <v>0</v>
      </c>
      <c r="BB112" s="134">
        <f>SUMPRODUCT(-('Gastos Gerais'!$B$4:$B$3143=Analítico!$B112),-(Analítico!BB$3&gt;='Gastos Gerais'!$D$4:$D$3143),-(Analítico!BB$3&lt;='Gastos Gerais'!$E$4:$E$3143),-('Gastos Gerais'!$C$4:$C$3143))</f>
        <v>0</v>
      </c>
      <c r="BC112" s="134">
        <f>SUMPRODUCT(-('Gastos Gerais'!$B$4:$B$3143=Analítico!$B112),-(Analítico!BC$3&gt;='Gastos Gerais'!$D$4:$D$3143),-(Analítico!BC$3&lt;='Gastos Gerais'!$E$4:$E$3143),-('Gastos Gerais'!$C$4:$C$3143))</f>
        <v>0</v>
      </c>
      <c r="BD112" s="134">
        <f>SUMPRODUCT(-('Gastos Gerais'!$B$4:$B$3143=Analítico!$B112),-(Analítico!BD$3&gt;='Gastos Gerais'!$D$4:$D$3143),-(Analítico!BD$3&lt;='Gastos Gerais'!$E$4:$E$3143),-('Gastos Gerais'!$C$4:$C$3143))</f>
        <v>0</v>
      </c>
      <c r="BE112" s="134">
        <f>SUMPRODUCT(-('Gastos Gerais'!$B$4:$B$3143=Analítico!$B112),-(Analítico!BE$3&gt;='Gastos Gerais'!$D$4:$D$3143),-(Analítico!BE$3&lt;='Gastos Gerais'!$E$4:$E$3143),-('Gastos Gerais'!$C$4:$C$3143))</f>
        <v>0</v>
      </c>
      <c r="BF112" s="134">
        <f>SUMPRODUCT(-('Gastos Gerais'!$B$4:$B$3143=Analítico!$B112),-(Analítico!BF$3&gt;='Gastos Gerais'!$D$4:$D$3143),-(Analítico!BF$3&lt;='Gastos Gerais'!$E$4:$E$3143),-('Gastos Gerais'!$C$4:$C$3143))</f>
        <v>0</v>
      </c>
      <c r="BG112" s="134">
        <f>SUMPRODUCT(-('Gastos Gerais'!$B$4:$B$3143=Analítico!$B112),-(Analítico!BG$3&gt;='Gastos Gerais'!$D$4:$D$3143),-(Analítico!BG$3&lt;='Gastos Gerais'!$E$4:$E$3143),-('Gastos Gerais'!$C$4:$C$3143))</f>
        <v>0</v>
      </c>
      <c r="BH112" s="134">
        <f>SUMPRODUCT(-('Gastos Gerais'!$B$4:$B$3143=Analítico!$B112),-(Analítico!BH$3&gt;='Gastos Gerais'!$D$4:$D$3143),-(Analítico!BH$3&lt;='Gastos Gerais'!$E$4:$E$3143),-('Gastos Gerais'!$C$4:$C$3143))</f>
        <v>0</v>
      </c>
      <c r="BI112" s="134">
        <f>SUMPRODUCT(-('Gastos Gerais'!$B$4:$B$3143=Analítico!$B112),-(Analítico!BI$3&gt;='Gastos Gerais'!$D$4:$D$3143),-(Analítico!BI$3&lt;='Gastos Gerais'!$E$4:$E$3143),-('Gastos Gerais'!$C$4:$C$3143))</f>
        <v>0</v>
      </c>
      <c r="BJ112" s="134">
        <f>SUMPRODUCT(-('Gastos Gerais'!$B$4:$B$3143=Analítico!$B112),-(Analítico!BJ$3&gt;='Gastos Gerais'!$D$4:$D$3143),-(Analítico!BJ$3&lt;='Gastos Gerais'!$E$4:$E$3143),-('Gastos Gerais'!$C$4:$C$3143))</f>
        <v>0</v>
      </c>
      <c r="BK112" s="189">
        <f t="shared" si="26"/>
        <v>92450</v>
      </c>
      <c r="BL112" s="136">
        <f t="shared" ca="1" si="27"/>
        <v>3.1830517520829401E-4</v>
      </c>
    </row>
    <row r="113" spans="1:64" s="160" customFormat="1" ht="23.25" customHeight="1">
      <c r="A113" s="229" t="s">
        <v>303</v>
      </c>
      <c r="B113" s="232" t="s">
        <v>304</v>
      </c>
      <c r="C113" s="188">
        <f>SUMPRODUCT(-('Gastos Gerais'!$B$4:$B$3143=Analítico!$B113),-(Analítico!C$3&gt;='Gastos Gerais'!$D$4:$D$3143),-(Analítico!C$3&lt;='Gastos Gerais'!$E$4:$E$3143),-('Gastos Gerais'!$C$4:$C$3143))</f>
        <v>19000</v>
      </c>
      <c r="D113" s="134">
        <f>SUMPRODUCT(-('Gastos Gerais'!$B$4:$B$3143=Analítico!$B113),-(Analítico!D$3&gt;='Gastos Gerais'!$D$4:$D$3143),-(Analítico!D$3&lt;='Gastos Gerais'!$E$4:$E$3143),-('Gastos Gerais'!$C$4:$C$3143))</f>
        <v>19000</v>
      </c>
      <c r="E113" s="134">
        <f>SUMPRODUCT(-('Gastos Gerais'!$B$4:$B$3143=Analítico!$B113),-(Analítico!E$3&gt;='Gastos Gerais'!$D$4:$D$3143),-(Analítico!E$3&lt;='Gastos Gerais'!$E$4:$E$3143),-('Gastos Gerais'!$C$4:$C$3143))</f>
        <v>20000</v>
      </c>
      <c r="F113" s="134">
        <f>SUMPRODUCT(-('Gastos Gerais'!$B$4:$B$3143=Analítico!$B113),-(Analítico!F$3&gt;='Gastos Gerais'!$D$4:$D$3143),-(Analítico!F$3&lt;='Gastos Gerais'!$E$4:$E$3143),-('Gastos Gerais'!$C$4:$C$3143))</f>
        <v>21000</v>
      </c>
      <c r="G113" s="134">
        <f>SUMPRODUCT(-('Gastos Gerais'!$B$4:$B$3143=Analítico!$B113),-(Analítico!G$3&gt;='Gastos Gerais'!$D$4:$D$3143),-(Analítico!G$3&lt;='Gastos Gerais'!$E$4:$E$3143),-('Gastos Gerais'!$C$4:$C$3143))</f>
        <v>21000</v>
      </c>
      <c r="H113" s="134">
        <f>SUMPRODUCT(-('Gastos Gerais'!$B$4:$B$3143=Analítico!$B113),-(Analítico!H$3&gt;='Gastos Gerais'!$D$4:$D$3143),-(Analítico!H$3&lt;='Gastos Gerais'!$E$4:$E$3143),-('Gastos Gerais'!$C$4:$C$3143))</f>
        <v>21000</v>
      </c>
      <c r="I113" s="134">
        <f>SUMPRODUCT(-('Gastos Gerais'!$B$4:$B$3143=Analítico!$B113),-(Analítico!I$3&gt;='Gastos Gerais'!$D$4:$D$3143),-(Analítico!I$3&lt;='Gastos Gerais'!$E$4:$E$3143),-('Gastos Gerais'!$C$4:$C$3143))</f>
        <v>22000</v>
      </c>
      <c r="J113" s="134">
        <f>SUMPRODUCT(-('Gastos Gerais'!$B$4:$B$3143=Analítico!$B113),-(Analítico!J$3&gt;='Gastos Gerais'!$D$4:$D$3143),-(Analítico!J$3&lt;='Gastos Gerais'!$E$4:$E$3143),-('Gastos Gerais'!$C$4:$C$3143))</f>
        <v>22000</v>
      </c>
      <c r="K113" s="134">
        <f>SUMPRODUCT(-('Gastos Gerais'!$B$4:$B$3143=Analítico!$B113),-(Analítico!K$3&gt;='Gastos Gerais'!$D$4:$D$3143),-(Analítico!K$3&lt;='Gastos Gerais'!$E$4:$E$3143),-('Gastos Gerais'!$C$4:$C$3143))</f>
        <v>22000</v>
      </c>
      <c r="L113" s="134">
        <f>SUMPRODUCT(-('Gastos Gerais'!$B$4:$B$3143=Analítico!$B113),-(Analítico!L$3&gt;='Gastos Gerais'!$D$4:$D$3143),-(Analítico!L$3&lt;='Gastos Gerais'!$E$4:$E$3143),-('Gastos Gerais'!$C$4:$C$3143))</f>
        <v>23000</v>
      </c>
      <c r="M113" s="134">
        <f>SUMPRODUCT(-('Gastos Gerais'!$B$4:$B$3143=Analítico!$B113),-(Analítico!M$3&gt;='Gastos Gerais'!$D$4:$D$3143),-(Analítico!M$3&lt;='Gastos Gerais'!$E$4:$E$3143),-('Gastos Gerais'!$C$4:$C$3143))</f>
        <v>23000</v>
      </c>
      <c r="N113" s="134">
        <f>SUMPRODUCT(-('Gastos Gerais'!$B$4:$B$3143=Analítico!$B113),-(Analítico!N$3&gt;='Gastos Gerais'!$D$4:$D$3143),-(Analítico!N$3&lt;='Gastos Gerais'!$E$4:$E$3143),-('Gastos Gerais'!$C$4:$C$3143))</f>
        <v>23000</v>
      </c>
      <c r="O113" s="134">
        <f>SUMPRODUCT(-('Gastos Gerais'!$B$4:$B$3143=Analítico!$B113),-(Analítico!O$3&gt;='Gastos Gerais'!$D$4:$D$3143),-(Analítico!O$3&lt;='Gastos Gerais'!$E$4:$E$3143),-('Gastos Gerais'!$C$4:$C$3143))</f>
        <v>23000</v>
      </c>
      <c r="P113" s="134">
        <f>SUMPRODUCT(-('Gastos Gerais'!$B$4:$B$3143=Analítico!$B113),-(Analítico!P$3&gt;='Gastos Gerais'!$D$4:$D$3143),-(Analítico!P$3&lt;='Gastos Gerais'!$E$4:$E$3143),-('Gastos Gerais'!$C$4:$C$3143))</f>
        <v>23000</v>
      </c>
      <c r="Q113" s="134">
        <f>SUMPRODUCT(-('Gastos Gerais'!$B$4:$B$3143=Analítico!$B113),-(Analítico!Q$3&gt;='Gastos Gerais'!$D$4:$D$3143),-(Analítico!Q$3&lt;='Gastos Gerais'!$E$4:$E$3143),-('Gastos Gerais'!$C$4:$C$3143))</f>
        <v>23000</v>
      </c>
      <c r="R113" s="134">
        <f>SUMPRODUCT(-('Gastos Gerais'!$B$4:$B$3143=Analítico!$B113),-(Analítico!R$3&gt;='Gastos Gerais'!$D$4:$D$3143),-(Analítico!R$3&lt;='Gastos Gerais'!$E$4:$E$3143),-('Gastos Gerais'!$C$4:$C$3143))</f>
        <v>23000</v>
      </c>
      <c r="S113" s="134">
        <f>SUMPRODUCT(-('Gastos Gerais'!$B$4:$B$3143=Analítico!$B113),-(Analítico!S$3&gt;='Gastos Gerais'!$D$4:$D$3143),-(Analítico!S$3&lt;='Gastos Gerais'!$E$4:$E$3143),-('Gastos Gerais'!$C$4:$C$3143))</f>
        <v>23000</v>
      </c>
      <c r="T113" s="134">
        <f>SUMPRODUCT(-('Gastos Gerais'!$B$4:$B$3143=Analítico!$B113),-(Analítico!T$3&gt;='Gastos Gerais'!$D$4:$D$3143),-(Analítico!T$3&lt;='Gastos Gerais'!$E$4:$E$3143),-('Gastos Gerais'!$C$4:$C$3143))</f>
        <v>23000</v>
      </c>
      <c r="U113" s="134">
        <f>SUMPRODUCT(-('Gastos Gerais'!$B$4:$B$3143=Analítico!$B113),-(Analítico!U$3&gt;='Gastos Gerais'!$D$4:$D$3143),-(Analítico!U$3&lt;='Gastos Gerais'!$E$4:$E$3143),-('Gastos Gerais'!$C$4:$C$3143))</f>
        <v>23000</v>
      </c>
      <c r="V113" s="134">
        <f>SUMPRODUCT(-('Gastos Gerais'!$B$4:$B$3143=Analítico!$B113),-(Analítico!V$3&gt;='Gastos Gerais'!$D$4:$D$3143),-(Analítico!V$3&lt;='Gastos Gerais'!$E$4:$E$3143),-('Gastos Gerais'!$C$4:$C$3143))</f>
        <v>23000</v>
      </c>
      <c r="W113" s="134">
        <f>SUMPRODUCT(-('Gastos Gerais'!$B$4:$B$3143=Analítico!$B113),-(Analítico!W$3&gt;='Gastos Gerais'!$D$4:$D$3143),-(Analítico!W$3&lt;='Gastos Gerais'!$E$4:$E$3143),-('Gastos Gerais'!$C$4:$C$3143))</f>
        <v>23000</v>
      </c>
      <c r="X113" s="134">
        <f>SUMPRODUCT(-('Gastos Gerais'!$B$4:$B$3143=Analítico!$B113),-(Analítico!X$3&gt;='Gastos Gerais'!$D$4:$D$3143),-(Analítico!X$3&lt;='Gastos Gerais'!$E$4:$E$3143),-('Gastos Gerais'!$C$4:$C$3143))</f>
        <v>23000</v>
      </c>
      <c r="Y113" s="134">
        <f>SUMPRODUCT(-('Gastos Gerais'!$B$4:$B$3143=Analítico!$B113),-(Analítico!Y$3&gt;='Gastos Gerais'!$D$4:$D$3143),-(Analítico!Y$3&lt;='Gastos Gerais'!$E$4:$E$3143),-('Gastos Gerais'!$C$4:$C$3143))</f>
        <v>23000</v>
      </c>
      <c r="Z113" s="134">
        <f>SUMPRODUCT(-('Gastos Gerais'!$B$4:$B$3143=Analítico!$B113),-(Analítico!Z$3&gt;='Gastos Gerais'!$D$4:$D$3143),-(Analítico!Z$3&lt;='Gastos Gerais'!$E$4:$E$3143),-('Gastos Gerais'!$C$4:$C$3143))</f>
        <v>23000</v>
      </c>
      <c r="AA113" s="134">
        <f>SUMPRODUCT(-('Gastos Gerais'!$B$4:$B$3143=Analítico!$B113),-(Analítico!AA$3&gt;='Gastos Gerais'!$D$4:$D$3143),-(Analítico!AA$3&lt;='Gastos Gerais'!$E$4:$E$3143),-('Gastos Gerais'!$C$4:$C$3143))</f>
        <v>23000</v>
      </c>
      <c r="AB113" s="134">
        <f>SUMPRODUCT(-('Gastos Gerais'!$B$4:$B$3143=Analítico!$B113),-(Analítico!AB$3&gt;='Gastos Gerais'!$D$4:$D$3143),-(Analítico!AB$3&lt;='Gastos Gerais'!$E$4:$E$3143),-('Gastos Gerais'!$C$4:$C$3143))</f>
        <v>23000</v>
      </c>
      <c r="AC113" s="134">
        <f>SUMPRODUCT(-('Gastos Gerais'!$B$4:$B$3143=Analítico!$B113),-(Analítico!AC$3&gt;='Gastos Gerais'!$D$4:$D$3143),-(Analítico!AC$3&lt;='Gastos Gerais'!$E$4:$E$3143),-('Gastos Gerais'!$C$4:$C$3143))</f>
        <v>23000</v>
      </c>
      <c r="AD113" s="134">
        <f>SUMPRODUCT(-('Gastos Gerais'!$B$4:$B$3143=Analítico!$B113),-(Analítico!AD$3&gt;='Gastos Gerais'!$D$4:$D$3143),-(Analítico!AD$3&lt;='Gastos Gerais'!$E$4:$E$3143),-('Gastos Gerais'!$C$4:$C$3143))</f>
        <v>23000</v>
      </c>
      <c r="AE113" s="134">
        <f>SUMPRODUCT(-('Gastos Gerais'!$B$4:$B$3143=Analítico!$B113),-(Analítico!AE$3&gt;='Gastos Gerais'!$D$4:$D$3143),-(Analítico!AE$3&lt;='Gastos Gerais'!$E$4:$E$3143),-('Gastos Gerais'!$C$4:$C$3143))</f>
        <v>23000</v>
      </c>
      <c r="AF113" s="134">
        <f>SUMPRODUCT(-('Gastos Gerais'!$B$4:$B$3143=Analítico!$B113),-(Analítico!AF$3&gt;='Gastos Gerais'!$D$4:$D$3143),-(Analítico!AF$3&lt;='Gastos Gerais'!$E$4:$E$3143),-('Gastos Gerais'!$C$4:$C$3143))</f>
        <v>23000</v>
      </c>
      <c r="AG113" s="134">
        <f>SUMPRODUCT(-('Gastos Gerais'!$B$4:$B$3143=Analítico!$B113),-(Analítico!AG$3&gt;='Gastos Gerais'!$D$4:$D$3143),-(Analítico!AG$3&lt;='Gastos Gerais'!$E$4:$E$3143),-('Gastos Gerais'!$C$4:$C$3143))</f>
        <v>23000</v>
      </c>
      <c r="AH113" s="134">
        <f>SUMPRODUCT(-('Gastos Gerais'!$B$4:$B$3143=Analítico!$B113),-(Analítico!AH$3&gt;='Gastos Gerais'!$D$4:$D$3143),-(Analítico!AH$3&lt;='Gastos Gerais'!$E$4:$E$3143),-('Gastos Gerais'!$C$4:$C$3143))</f>
        <v>23000</v>
      </c>
      <c r="AI113" s="134">
        <f>SUMPRODUCT(-('Gastos Gerais'!$B$4:$B$3143=Analítico!$B113),-(Analítico!AI$3&gt;='Gastos Gerais'!$D$4:$D$3143),-(Analítico!AI$3&lt;='Gastos Gerais'!$E$4:$E$3143),-('Gastos Gerais'!$C$4:$C$3143))</f>
        <v>23000</v>
      </c>
      <c r="AJ113" s="134">
        <f>SUMPRODUCT(-('Gastos Gerais'!$B$4:$B$3143=Analítico!$B113),-(Analítico!AJ$3&gt;='Gastos Gerais'!$D$4:$D$3143),-(Analítico!AJ$3&lt;='Gastos Gerais'!$E$4:$E$3143),-('Gastos Gerais'!$C$4:$C$3143))</f>
        <v>23000</v>
      </c>
      <c r="AK113" s="134">
        <f>SUMPRODUCT(-('Gastos Gerais'!$B$4:$B$3143=Analítico!$B113),-(Analítico!AK$3&gt;='Gastos Gerais'!$D$4:$D$3143),-(Analítico!AK$3&lt;='Gastos Gerais'!$E$4:$E$3143),-('Gastos Gerais'!$C$4:$C$3143))</f>
        <v>22000</v>
      </c>
      <c r="AL113" s="134">
        <f>SUMPRODUCT(-('Gastos Gerais'!$B$4:$B$3143=Analítico!$B113),-(Analítico!AL$3&gt;='Gastos Gerais'!$D$4:$D$3143),-(Analítico!AL$3&lt;='Gastos Gerais'!$E$4:$E$3143),-('Gastos Gerais'!$C$4:$C$3143))</f>
        <v>22000</v>
      </c>
      <c r="AM113" s="134">
        <f>SUMPRODUCT(-('Gastos Gerais'!$B$4:$B$3143=Analítico!$B113),-(Analítico!AM$3&gt;='Gastos Gerais'!$D$4:$D$3143),-(Analítico!AM$3&lt;='Gastos Gerais'!$E$4:$E$3143),-('Gastos Gerais'!$C$4:$C$3143))</f>
        <v>11500</v>
      </c>
      <c r="AN113" s="134">
        <f>SUMPRODUCT(-('Gastos Gerais'!$B$4:$B$3143=Analítico!$B113),-(Analítico!AN$3&gt;='Gastos Gerais'!$D$4:$D$3143),-(Analítico!AN$3&lt;='Gastos Gerais'!$E$4:$E$3143),-('Gastos Gerais'!$C$4:$C$3143))</f>
        <v>11500</v>
      </c>
      <c r="AO113" s="134">
        <f>SUMPRODUCT(-('Gastos Gerais'!$B$4:$B$3143=Analítico!$B113),-(Analítico!AO$3&gt;='Gastos Gerais'!$D$4:$D$3143),-(Analítico!AO$3&lt;='Gastos Gerais'!$E$4:$E$3143),-('Gastos Gerais'!$C$4:$C$3143))</f>
        <v>11500</v>
      </c>
      <c r="AP113" s="134">
        <f>SUMPRODUCT(-('Gastos Gerais'!$B$4:$B$3143=Analítico!$B113),-(Analítico!AP$3&gt;='Gastos Gerais'!$D$4:$D$3143),-(Analítico!AP$3&lt;='Gastos Gerais'!$E$4:$E$3143),-('Gastos Gerais'!$C$4:$C$3143))</f>
        <v>11500</v>
      </c>
      <c r="AQ113" s="134">
        <f>SUMPRODUCT(-('Gastos Gerais'!$B$4:$B$3143=Analítico!$B113),-(Analítico!AQ$3&gt;='Gastos Gerais'!$D$4:$D$3143),-(Analítico!AQ$3&lt;='Gastos Gerais'!$E$4:$E$3143),-('Gastos Gerais'!$C$4:$C$3143))</f>
        <v>11500</v>
      </c>
      <c r="AR113" s="134">
        <f>SUMPRODUCT(-('Gastos Gerais'!$B$4:$B$3143=Analítico!$B113),-(Analítico!AR$3&gt;='Gastos Gerais'!$D$4:$D$3143),-(Analítico!AR$3&lt;='Gastos Gerais'!$E$4:$E$3143),-('Gastos Gerais'!$C$4:$C$3143))</f>
        <v>11500</v>
      </c>
      <c r="AS113" s="134">
        <f>SUMPRODUCT(-('Gastos Gerais'!$B$4:$B$3143=Analítico!$B113),-(Analítico!AS$3&gt;='Gastos Gerais'!$D$4:$D$3143),-(Analítico!AS$3&lt;='Gastos Gerais'!$E$4:$E$3143),-('Gastos Gerais'!$C$4:$C$3143))</f>
        <v>11500</v>
      </c>
      <c r="AT113" s="134">
        <f>SUMPRODUCT(-('Gastos Gerais'!$B$4:$B$3143=Analítico!$B113),-(Analítico!AT$3&gt;='Gastos Gerais'!$D$4:$D$3143),-(Analítico!AT$3&lt;='Gastos Gerais'!$E$4:$E$3143),-('Gastos Gerais'!$C$4:$C$3143))</f>
        <v>11500</v>
      </c>
      <c r="AU113" s="134">
        <f>SUMPRODUCT(-('Gastos Gerais'!$B$4:$B$3143=Analítico!$B113),-(Analítico!AU$3&gt;='Gastos Gerais'!$D$4:$D$3143),-(Analítico!AU$3&lt;='Gastos Gerais'!$E$4:$E$3143),-('Gastos Gerais'!$C$4:$C$3143))</f>
        <v>11500</v>
      </c>
      <c r="AV113" s="134">
        <f>SUMPRODUCT(-('Gastos Gerais'!$B$4:$B$3143=Analítico!$B113),-(Analítico!AV$3&gt;='Gastos Gerais'!$D$4:$D$3143),-(Analítico!AV$3&lt;='Gastos Gerais'!$E$4:$E$3143),-('Gastos Gerais'!$C$4:$C$3143))</f>
        <v>11500</v>
      </c>
      <c r="AW113" s="134">
        <f>SUMPRODUCT(-('Gastos Gerais'!$B$4:$B$3143=Analítico!$B113),-(Analítico!AW$3&gt;='Gastos Gerais'!$D$4:$D$3143),-(Analítico!AW$3&lt;='Gastos Gerais'!$E$4:$E$3143),-('Gastos Gerais'!$C$4:$C$3143))</f>
        <v>11500</v>
      </c>
      <c r="AX113" s="134">
        <f>SUMPRODUCT(-('Gastos Gerais'!$B$4:$B$3143=Analítico!$B113),-(Analítico!AX$3&gt;='Gastos Gerais'!$D$4:$D$3143),-(Analítico!AX$3&lt;='Gastos Gerais'!$E$4:$E$3143),-('Gastos Gerais'!$C$4:$C$3143))</f>
        <v>0</v>
      </c>
      <c r="AY113" s="134">
        <f>SUMPRODUCT(-('Gastos Gerais'!$B$4:$B$3143=Analítico!$B113),-(Analítico!AY$3&gt;='Gastos Gerais'!$D$4:$D$3143),-(Analítico!AY$3&lt;='Gastos Gerais'!$E$4:$E$3143),-('Gastos Gerais'!$C$4:$C$3143))</f>
        <v>0</v>
      </c>
      <c r="AZ113" s="134">
        <f>SUMPRODUCT(-('Gastos Gerais'!$B$4:$B$3143=Analítico!$B113),-(Analítico!AZ$3&gt;='Gastos Gerais'!$D$4:$D$3143),-(Analítico!AZ$3&lt;='Gastos Gerais'!$E$4:$E$3143),-('Gastos Gerais'!$C$4:$C$3143))</f>
        <v>0</v>
      </c>
      <c r="BA113" s="134">
        <f>SUMPRODUCT(-('Gastos Gerais'!$B$4:$B$3143=Analítico!$B113),-(Analítico!BA$3&gt;='Gastos Gerais'!$D$4:$D$3143),-(Analítico!BA$3&lt;='Gastos Gerais'!$E$4:$E$3143),-('Gastos Gerais'!$C$4:$C$3143))</f>
        <v>0</v>
      </c>
      <c r="BB113" s="134">
        <f>SUMPRODUCT(-('Gastos Gerais'!$B$4:$B$3143=Analítico!$B113),-(Analítico!BB$3&gt;='Gastos Gerais'!$D$4:$D$3143),-(Analítico!BB$3&lt;='Gastos Gerais'!$E$4:$E$3143),-('Gastos Gerais'!$C$4:$C$3143))</f>
        <v>0</v>
      </c>
      <c r="BC113" s="134">
        <f>SUMPRODUCT(-('Gastos Gerais'!$B$4:$B$3143=Analítico!$B113),-(Analítico!BC$3&gt;='Gastos Gerais'!$D$4:$D$3143),-(Analítico!BC$3&lt;='Gastos Gerais'!$E$4:$E$3143),-('Gastos Gerais'!$C$4:$C$3143))</f>
        <v>0</v>
      </c>
      <c r="BD113" s="134">
        <f>SUMPRODUCT(-('Gastos Gerais'!$B$4:$B$3143=Analítico!$B113),-(Analítico!BD$3&gt;='Gastos Gerais'!$D$4:$D$3143),-(Analítico!BD$3&lt;='Gastos Gerais'!$E$4:$E$3143),-('Gastos Gerais'!$C$4:$C$3143))</f>
        <v>0</v>
      </c>
      <c r="BE113" s="134">
        <f>SUMPRODUCT(-('Gastos Gerais'!$B$4:$B$3143=Analítico!$B113),-(Analítico!BE$3&gt;='Gastos Gerais'!$D$4:$D$3143),-(Analítico!BE$3&lt;='Gastos Gerais'!$E$4:$E$3143),-('Gastos Gerais'!$C$4:$C$3143))</f>
        <v>0</v>
      </c>
      <c r="BF113" s="134">
        <f>SUMPRODUCT(-('Gastos Gerais'!$B$4:$B$3143=Analítico!$B113),-(Analítico!BF$3&gt;='Gastos Gerais'!$D$4:$D$3143),-(Analítico!BF$3&lt;='Gastos Gerais'!$E$4:$E$3143),-('Gastos Gerais'!$C$4:$C$3143))</f>
        <v>0</v>
      </c>
      <c r="BG113" s="134">
        <f>SUMPRODUCT(-('Gastos Gerais'!$B$4:$B$3143=Analítico!$B113),-(Analítico!BG$3&gt;='Gastos Gerais'!$D$4:$D$3143),-(Analítico!BG$3&lt;='Gastos Gerais'!$E$4:$E$3143),-('Gastos Gerais'!$C$4:$C$3143))</f>
        <v>0</v>
      </c>
      <c r="BH113" s="134">
        <f>SUMPRODUCT(-('Gastos Gerais'!$B$4:$B$3143=Analítico!$B113),-(Analítico!BH$3&gt;='Gastos Gerais'!$D$4:$D$3143),-(Analítico!BH$3&lt;='Gastos Gerais'!$E$4:$E$3143),-('Gastos Gerais'!$C$4:$C$3143))</f>
        <v>0</v>
      </c>
      <c r="BI113" s="134">
        <f>SUMPRODUCT(-('Gastos Gerais'!$B$4:$B$3143=Analítico!$B113),-(Analítico!BI$3&gt;='Gastos Gerais'!$D$4:$D$3143),-(Analítico!BI$3&lt;='Gastos Gerais'!$E$4:$E$3143),-('Gastos Gerais'!$C$4:$C$3143))</f>
        <v>0</v>
      </c>
      <c r="BJ113" s="134">
        <f>SUMPRODUCT(-('Gastos Gerais'!$B$4:$B$3143=Analítico!$B113),-(Analítico!BJ$3&gt;='Gastos Gerais'!$D$4:$D$3143),-(Analítico!BJ$3&lt;='Gastos Gerais'!$E$4:$E$3143),-('Gastos Gerais'!$C$4:$C$3143))</f>
        <v>0</v>
      </c>
      <c r="BK113" s="189">
        <f t="shared" si="26"/>
        <v>932500</v>
      </c>
      <c r="BL113" s="136">
        <f t="shared" ca="1" si="27"/>
        <v>3.2105957369576435E-3</v>
      </c>
    </row>
    <row r="114" spans="1:64" s="160" customFormat="1" ht="23.25" customHeight="1">
      <c r="A114" s="229" t="s">
        <v>305</v>
      </c>
      <c r="B114" s="232" t="s">
        <v>306</v>
      </c>
      <c r="C114" s="188">
        <f>SUMPRODUCT(-('Gastos Gerais'!$B$4:$B$3143=Analítico!$B114),-(Analítico!C$3&gt;='Gastos Gerais'!$D$4:$D$3143),-(Analítico!C$3&lt;='Gastos Gerais'!$E$4:$E$3143),-('Gastos Gerais'!$C$4:$C$3143))</f>
        <v>50</v>
      </c>
      <c r="D114" s="134">
        <f>SUMPRODUCT(-('Gastos Gerais'!$B$4:$B$3143=Analítico!$B114),-(Analítico!D$3&gt;='Gastos Gerais'!$D$4:$D$3143),-(Analítico!D$3&lt;='Gastos Gerais'!$E$4:$E$3143),-('Gastos Gerais'!$C$4:$C$3143))</f>
        <v>50</v>
      </c>
      <c r="E114" s="134">
        <f>SUMPRODUCT(-('Gastos Gerais'!$B$4:$B$3143=Analítico!$B114),-(Analítico!E$3&gt;='Gastos Gerais'!$D$4:$D$3143),-(Analítico!E$3&lt;='Gastos Gerais'!$E$4:$E$3143),-('Gastos Gerais'!$C$4:$C$3143))</f>
        <v>50</v>
      </c>
      <c r="F114" s="134">
        <f>SUMPRODUCT(-('Gastos Gerais'!$B$4:$B$3143=Analítico!$B114),-(Analítico!F$3&gt;='Gastos Gerais'!$D$4:$D$3143),-(Analítico!F$3&lt;='Gastos Gerais'!$E$4:$E$3143),-('Gastos Gerais'!$C$4:$C$3143))</f>
        <v>50</v>
      </c>
      <c r="G114" s="134">
        <f>SUMPRODUCT(-('Gastos Gerais'!$B$4:$B$3143=Analítico!$B114),-(Analítico!G$3&gt;='Gastos Gerais'!$D$4:$D$3143),-(Analítico!G$3&lt;='Gastos Gerais'!$E$4:$E$3143),-('Gastos Gerais'!$C$4:$C$3143))</f>
        <v>50</v>
      </c>
      <c r="H114" s="134">
        <f>SUMPRODUCT(-('Gastos Gerais'!$B$4:$B$3143=Analítico!$B114),-(Analítico!H$3&gt;='Gastos Gerais'!$D$4:$D$3143),-(Analítico!H$3&lt;='Gastos Gerais'!$E$4:$E$3143),-('Gastos Gerais'!$C$4:$C$3143))</f>
        <v>50</v>
      </c>
      <c r="I114" s="134">
        <f>SUMPRODUCT(-('Gastos Gerais'!$B$4:$B$3143=Analítico!$B114),-(Analítico!I$3&gt;='Gastos Gerais'!$D$4:$D$3143),-(Analítico!I$3&lt;='Gastos Gerais'!$E$4:$E$3143),-('Gastos Gerais'!$C$4:$C$3143))</f>
        <v>50</v>
      </c>
      <c r="J114" s="134">
        <f>SUMPRODUCT(-('Gastos Gerais'!$B$4:$B$3143=Analítico!$B114),-(Analítico!J$3&gt;='Gastos Gerais'!$D$4:$D$3143),-(Analítico!J$3&lt;='Gastos Gerais'!$E$4:$E$3143),-('Gastos Gerais'!$C$4:$C$3143))</f>
        <v>50</v>
      </c>
      <c r="K114" s="134">
        <f>SUMPRODUCT(-('Gastos Gerais'!$B$4:$B$3143=Analítico!$B114),-(Analítico!K$3&gt;='Gastos Gerais'!$D$4:$D$3143),-(Analítico!K$3&lt;='Gastos Gerais'!$E$4:$E$3143),-('Gastos Gerais'!$C$4:$C$3143))</f>
        <v>50</v>
      </c>
      <c r="L114" s="134">
        <f>SUMPRODUCT(-('Gastos Gerais'!$B$4:$B$3143=Analítico!$B114),-(Analítico!L$3&gt;='Gastos Gerais'!$D$4:$D$3143),-(Analítico!L$3&lt;='Gastos Gerais'!$E$4:$E$3143),-('Gastos Gerais'!$C$4:$C$3143))</f>
        <v>50</v>
      </c>
      <c r="M114" s="134">
        <f>SUMPRODUCT(-('Gastos Gerais'!$B$4:$B$3143=Analítico!$B114),-(Analítico!M$3&gt;='Gastos Gerais'!$D$4:$D$3143),-(Analítico!M$3&lt;='Gastos Gerais'!$E$4:$E$3143),-('Gastos Gerais'!$C$4:$C$3143))</f>
        <v>50</v>
      </c>
      <c r="N114" s="134">
        <f>SUMPRODUCT(-('Gastos Gerais'!$B$4:$B$3143=Analítico!$B114),-(Analítico!N$3&gt;='Gastos Gerais'!$D$4:$D$3143),-(Analítico!N$3&lt;='Gastos Gerais'!$E$4:$E$3143),-('Gastos Gerais'!$C$4:$C$3143))</f>
        <v>50</v>
      </c>
      <c r="O114" s="134">
        <f>SUMPRODUCT(-('Gastos Gerais'!$B$4:$B$3143=Analítico!$B114),-(Analítico!O$3&gt;='Gastos Gerais'!$D$4:$D$3143),-(Analítico!O$3&lt;='Gastos Gerais'!$E$4:$E$3143),-('Gastos Gerais'!$C$4:$C$3143))</f>
        <v>50</v>
      </c>
      <c r="P114" s="134">
        <f>SUMPRODUCT(-('Gastos Gerais'!$B$4:$B$3143=Analítico!$B114),-(Analítico!P$3&gt;='Gastos Gerais'!$D$4:$D$3143),-(Analítico!P$3&lt;='Gastos Gerais'!$E$4:$E$3143),-('Gastos Gerais'!$C$4:$C$3143))</f>
        <v>50</v>
      </c>
      <c r="Q114" s="134">
        <f>SUMPRODUCT(-('Gastos Gerais'!$B$4:$B$3143=Analítico!$B114),-(Analítico!Q$3&gt;='Gastos Gerais'!$D$4:$D$3143),-(Analítico!Q$3&lt;='Gastos Gerais'!$E$4:$E$3143),-('Gastos Gerais'!$C$4:$C$3143))</f>
        <v>50</v>
      </c>
      <c r="R114" s="134">
        <f>SUMPRODUCT(-('Gastos Gerais'!$B$4:$B$3143=Analítico!$B114),-(Analítico!R$3&gt;='Gastos Gerais'!$D$4:$D$3143),-(Analítico!R$3&lt;='Gastos Gerais'!$E$4:$E$3143),-('Gastos Gerais'!$C$4:$C$3143))</f>
        <v>50</v>
      </c>
      <c r="S114" s="134">
        <f>SUMPRODUCT(-('Gastos Gerais'!$B$4:$B$3143=Analítico!$B114),-(Analítico!S$3&gt;='Gastos Gerais'!$D$4:$D$3143),-(Analítico!S$3&lt;='Gastos Gerais'!$E$4:$E$3143),-('Gastos Gerais'!$C$4:$C$3143))</f>
        <v>50</v>
      </c>
      <c r="T114" s="134">
        <f>SUMPRODUCT(-('Gastos Gerais'!$B$4:$B$3143=Analítico!$B114),-(Analítico!T$3&gt;='Gastos Gerais'!$D$4:$D$3143),-(Analítico!T$3&lt;='Gastos Gerais'!$E$4:$E$3143),-('Gastos Gerais'!$C$4:$C$3143))</f>
        <v>50</v>
      </c>
      <c r="U114" s="134">
        <f>SUMPRODUCT(-('Gastos Gerais'!$B$4:$B$3143=Analítico!$B114),-(Analítico!U$3&gt;='Gastos Gerais'!$D$4:$D$3143),-(Analítico!U$3&lt;='Gastos Gerais'!$E$4:$E$3143),-('Gastos Gerais'!$C$4:$C$3143))</f>
        <v>50</v>
      </c>
      <c r="V114" s="134">
        <f>SUMPRODUCT(-('Gastos Gerais'!$B$4:$B$3143=Analítico!$B114),-(Analítico!V$3&gt;='Gastos Gerais'!$D$4:$D$3143),-(Analítico!V$3&lt;='Gastos Gerais'!$E$4:$E$3143),-('Gastos Gerais'!$C$4:$C$3143))</f>
        <v>50</v>
      </c>
      <c r="W114" s="134">
        <f>SUMPRODUCT(-('Gastos Gerais'!$B$4:$B$3143=Analítico!$B114),-(Analítico!W$3&gt;='Gastos Gerais'!$D$4:$D$3143),-(Analítico!W$3&lt;='Gastos Gerais'!$E$4:$E$3143),-('Gastos Gerais'!$C$4:$C$3143))</f>
        <v>50</v>
      </c>
      <c r="X114" s="134">
        <f>SUMPRODUCT(-('Gastos Gerais'!$B$4:$B$3143=Analítico!$B114),-(Analítico!X$3&gt;='Gastos Gerais'!$D$4:$D$3143),-(Analítico!X$3&lt;='Gastos Gerais'!$E$4:$E$3143),-('Gastos Gerais'!$C$4:$C$3143))</f>
        <v>50</v>
      </c>
      <c r="Y114" s="134">
        <f>SUMPRODUCT(-('Gastos Gerais'!$B$4:$B$3143=Analítico!$B114),-(Analítico!Y$3&gt;='Gastos Gerais'!$D$4:$D$3143),-(Analítico!Y$3&lt;='Gastos Gerais'!$E$4:$E$3143),-('Gastos Gerais'!$C$4:$C$3143))</f>
        <v>50</v>
      </c>
      <c r="Z114" s="134">
        <f>SUMPRODUCT(-('Gastos Gerais'!$B$4:$B$3143=Analítico!$B114),-(Analítico!Z$3&gt;='Gastos Gerais'!$D$4:$D$3143),-(Analítico!Z$3&lt;='Gastos Gerais'!$E$4:$E$3143),-('Gastos Gerais'!$C$4:$C$3143))</f>
        <v>50</v>
      </c>
      <c r="AA114" s="134">
        <f>SUMPRODUCT(-('Gastos Gerais'!$B$4:$B$3143=Analítico!$B114),-(Analítico!AA$3&gt;='Gastos Gerais'!$D$4:$D$3143),-(Analítico!AA$3&lt;='Gastos Gerais'!$E$4:$E$3143),-('Gastos Gerais'!$C$4:$C$3143))</f>
        <v>50</v>
      </c>
      <c r="AB114" s="134">
        <f>SUMPRODUCT(-('Gastos Gerais'!$B$4:$B$3143=Analítico!$B114),-(Analítico!AB$3&gt;='Gastos Gerais'!$D$4:$D$3143),-(Analítico!AB$3&lt;='Gastos Gerais'!$E$4:$E$3143),-('Gastos Gerais'!$C$4:$C$3143))</f>
        <v>50</v>
      </c>
      <c r="AC114" s="134">
        <f>SUMPRODUCT(-('Gastos Gerais'!$B$4:$B$3143=Analítico!$B114),-(Analítico!AC$3&gt;='Gastos Gerais'!$D$4:$D$3143),-(Analítico!AC$3&lt;='Gastos Gerais'!$E$4:$E$3143),-('Gastos Gerais'!$C$4:$C$3143))</f>
        <v>50</v>
      </c>
      <c r="AD114" s="134">
        <f>SUMPRODUCT(-('Gastos Gerais'!$B$4:$B$3143=Analítico!$B114),-(Analítico!AD$3&gt;='Gastos Gerais'!$D$4:$D$3143),-(Analítico!AD$3&lt;='Gastos Gerais'!$E$4:$E$3143),-('Gastos Gerais'!$C$4:$C$3143))</f>
        <v>50</v>
      </c>
      <c r="AE114" s="134">
        <f>SUMPRODUCT(-('Gastos Gerais'!$B$4:$B$3143=Analítico!$B114),-(Analítico!AE$3&gt;='Gastos Gerais'!$D$4:$D$3143),-(Analítico!AE$3&lt;='Gastos Gerais'!$E$4:$E$3143),-('Gastos Gerais'!$C$4:$C$3143))</f>
        <v>50</v>
      </c>
      <c r="AF114" s="134">
        <f>SUMPRODUCT(-('Gastos Gerais'!$B$4:$B$3143=Analítico!$B114),-(Analítico!AF$3&gt;='Gastos Gerais'!$D$4:$D$3143),-(Analítico!AF$3&lt;='Gastos Gerais'!$E$4:$E$3143),-('Gastos Gerais'!$C$4:$C$3143))</f>
        <v>50</v>
      </c>
      <c r="AG114" s="134">
        <f>SUMPRODUCT(-('Gastos Gerais'!$B$4:$B$3143=Analítico!$B114),-(Analítico!AG$3&gt;='Gastos Gerais'!$D$4:$D$3143),-(Analítico!AG$3&lt;='Gastos Gerais'!$E$4:$E$3143),-('Gastos Gerais'!$C$4:$C$3143))</f>
        <v>50</v>
      </c>
      <c r="AH114" s="134">
        <f>SUMPRODUCT(-('Gastos Gerais'!$B$4:$B$3143=Analítico!$B114),-(Analítico!AH$3&gt;='Gastos Gerais'!$D$4:$D$3143),-(Analítico!AH$3&lt;='Gastos Gerais'!$E$4:$E$3143),-('Gastos Gerais'!$C$4:$C$3143))</f>
        <v>50</v>
      </c>
      <c r="AI114" s="134">
        <f>SUMPRODUCT(-('Gastos Gerais'!$B$4:$B$3143=Analítico!$B114),-(Analítico!AI$3&gt;='Gastos Gerais'!$D$4:$D$3143),-(Analítico!AI$3&lt;='Gastos Gerais'!$E$4:$E$3143),-('Gastos Gerais'!$C$4:$C$3143))</f>
        <v>50</v>
      </c>
      <c r="AJ114" s="134">
        <f>SUMPRODUCT(-('Gastos Gerais'!$B$4:$B$3143=Analítico!$B114),-(Analítico!AJ$3&gt;='Gastos Gerais'!$D$4:$D$3143),-(Analítico!AJ$3&lt;='Gastos Gerais'!$E$4:$E$3143),-('Gastos Gerais'!$C$4:$C$3143))</f>
        <v>50</v>
      </c>
      <c r="AK114" s="134">
        <f>SUMPRODUCT(-('Gastos Gerais'!$B$4:$B$3143=Analítico!$B114),-(Analítico!AK$3&gt;='Gastos Gerais'!$D$4:$D$3143),-(Analítico!AK$3&lt;='Gastos Gerais'!$E$4:$E$3143),-('Gastos Gerais'!$C$4:$C$3143))</f>
        <v>50</v>
      </c>
      <c r="AL114" s="134">
        <f>SUMPRODUCT(-('Gastos Gerais'!$B$4:$B$3143=Analítico!$B114),-(Analítico!AL$3&gt;='Gastos Gerais'!$D$4:$D$3143),-(Analítico!AL$3&lt;='Gastos Gerais'!$E$4:$E$3143),-('Gastos Gerais'!$C$4:$C$3143))</f>
        <v>50</v>
      </c>
      <c r="AM114" s="134">
        <f>SUMPRODUCT(-('Gastos Gerais'!$B$4:$B$3143=Analítico!$B114),-(Analítico!AM$3&gt;='Gastos Gerais'!$D$4:$D$3143),-(Analítico!AM$3&lt;='Gastos Gerais'!$E$4:$E$3143),-('Gastos Gerais'!$C$4:$C$3143))</f>
        <v>50</v>
      </c>
      <c r="AN114" s="134">
        <f>SUMPRODUCT(-('Gastos Gerais'!$B$4:$B$3143=Analítico!$B114),-(Analítico!AN$3&gt;='Gastos Gerais'!$D$4:$D$3143),-(Analítico!AN$3&lt;='Gastos Gerais'!$E$4:$E$3143),-('Gastos Gerais'!$C$4:$C$3143))</f>
        <v>50</v>
      </c>
      <c r="AO114" s="134">
        <f>SUMPRODUCT(-('Gastos Gerais'!$B$4:$B$3143=Analítico!$B114),-(Analítico!AO$3&gt;='Gastos Gerais'!$D$4:$D$3143),-(Analítico!AO$3&lt;='Gastos Gerais'!$E$4:$E$3143),-('Gastos Gerais'!$C$4:$C$3143))</f>
        <v>50</v>
      </c>
      <c r="AP114" s="134">
        <f>SUMPRODUCT(-('Gastos Gerais'!$B$4:$B$3143=Analítico!$B114),-(Analítico!AP$3&gt;='Gastos Gerais'!$D$4:$D$3143),-(Analítico!AP$3&lt;='Gastos Gerais'!$E$4:$E$3143),-('Gastos Gerais'!$C$4:$C$3143))</f>
        <v>50</v>
      </c>
      <c r="AQ114" s="134">
        <f>SUMPRODUCT(-('Gastos Gerais'!$B$4:$B$3143=Analítico!$B114),-(Analítico!AQ$3&gt;='Gastos Gerais'!$D$4:$D$3143),-(Analítico!AQ$3&lt;='Gastos Gerais'!$E$4:$E$3143),-('Gastos Gerais'!$C$4:$C$3143))</f>
        <v>50</v>
      </c>
      <c r="AR114" s="134">
        <f>SUMPRODUCT(-('Gastos Gerais'!$B$4:$B$3143=Analítico!$B114),-(Analítico!AR$3&gt;='Gastos Gerais'!$D$4:$D$3143),-(Analítico!AR$3&lt;='Gastos Gerais'!$E$4:$E$3143),-('Gastos Gerais'!$C$4:$C$3143))</f>
        <v>50</v>
      </c>
      <c r="AS114" s="134">
        <f>SUMPRODUCT(-('Gastos Gerais'!$B$4:$B$3143=Analítico!$B114),-(Analítico!AS$3&gt;='Gastos Gerais'!$D$4:$D$3143),-(Analítico!AS$3&lt;='Gastos Gerais'!$E$4:$E$3143),-('Gastos Gerais'!$C$4:$C$3143))</f>
        <v>50</v>
      </c>
      <c r="AT114" s="134">
        <f>SUMPRODUCT(-('Gastos Gerais'!$B$4:$B$3143=Analítico!$B114),-(Analítico!AT$3&gt;='Gastos Gerais'!$D$4:$D$3143),-(Analítico!AT$3&lt;='Gastos Gerais'!$E$4:$E$3143),-('Gastos Gerais'!$C$4:$C$3143))</f>
        <v>50</v>
      </c>
      <c r="AU114" s="134">
        <f>SUMPRODUCT(-('Gastos Gerais'!$B$4:$B$3143=Analítico!$B114),-(Analítico!AU$3&gt;='Gastos Gerais'!$D$4:$D$3143),-(Analítico!AU$3&lt;='Gastos Gerais'!$E$4:$E$3143),-('Gastos Gerais'!$C$4:$C$3143))</f>
        <v>50</v>
      </c>
      <c r="AV114" s="134">
        <f>SUMPRODUCT(-('Gastos Gerais'!$B$4:$B$3143=Analítico!$B114),-(Analítico!AV$3&gt;='Gastos Gerais'!$D$4:$D$3143),-(Analítico!AV$3&lt;='Gastos Gerais'!$E$4:$E$3143),-('Gastos Gerais'!$C$4:$C$3143))</f>
        <v>50</v>
      </c>
      <c r="AW114" s="134">
        <f>SUMPRODUCT(-('Gastos Gerais'!$B$4:$B$3143=Analítico!$B114),-(Analítico!AW$3&gt;='Gastos Gerais'!$D$4:$D$3143),-(Analítico!AW$3&lt;='Gastos Gerais'!$E$4:$E$3143),-('Gastos Gerais'!$C$4:$C$3143))</f>
        <v>50</v>
      </c>
      <c r="AX114" s="134">
        <f>SUMPRODUCT(-('Gastos Gerais'!$B$4:$B$3143=Analítico!$B114),-(Analítico!AX$3&gt;='Gastos Gerais'!$D$4:$D$3143),-(Analítico!AX$3&lt;='Gastos Gerais'!$E$4:$E$3143),-('Gastos Gerais'!$C$4:$C$3143))</f>
        <v>0</v>
      </c>
      <c r="AY114" s="134">
        <f>SUMPRODUCT(-('Gastos Gerais'!$B$4:$B$3143=Analítico!$B114),-(Analítico!AY$3&gt;='Gastos Gerais'!$D$4:$D$3143),-(Analítico!AY$3&lt;='Gastos Gerais'!$E$4:$E$3143),-('Gastos Gerais'!$C$4:$C$3143))</f>
        <v>0</v>
      </c>
      <c r="AZ114" s="134">
        <f>SUMPRODUCT(-('Gastos Gerais'!$B$4:$B$3143=Analítico!$B114),-(Analítico!AZ$3&gt;='Gastos Gerais'!$D$4:$D$3143),-(Analítico!AZ$3&lt;='Gastos Gerais'!$E$4:$E$3143),-('Gastos Gerais'!$C$4:$C$3143))</f>
        <v>0</v>
      </c>
      <c r="BA114" s="134">
        <f>SUMPRODUCT(-('Gastos Gerais'!$B$4:$B$3143=Analítico!$B114),-(Analítico!BA$3&gt;='Gastos Gerais'!$D$4:$D$3143),-(Analítico!BA$3&lt;='Gastos Gerais'!$E$4:$E$3143),-('Gastos Gerais'!$C$4:$C$3143))</f>
        <v>0</v>
      </c>
      <c r="BB114" s="134">
        <f>SUMPRODUCT(-('Gastos Gerais'!$B$4:$B$3143=Analítico!$B114),-(Analítico!BB$3&gt;='Gastos Gerais'!$D$4:$D$3143),-(Analítico!BB$3&lt;='Gastos Gerais'!$E$4:$E$3143),-('Gastos Gerais'!$C$4:$C$3143))</f>
        <v>0</v>
      </c>
      <c r="BC114" s="134">
        <f>SUMPRODUCT(-('Gastos Gerais'!$B$4:$B$3143=Analítico!$B114),-(Analítico!BC$3&gt;='Gastos Gerais'!$D$4:$D$3143),-(Analítico!BC$3&lt;='Gastos Gerais'!$E$4:$E$3143),-('Gastos Gerais'!$C$4:$C$3143))</f>
        <v>0</v>
      </c>
      <c r="BD114" s="134">
        <f>SUMPRODUCT(-('Gastos Gerais'!$B$4:$B$3143=Analítico!$B114),-(Analítico!BD$3&gt;='Gastos Gerais'!$D$4:$D$3143),-(Analítico!BD$3&lt;='Gastos Gerais'!$E$4:$E$3143),-('Gastos Gerais'!$C$4:$C$3143))</f>
        <v>0</v>
      </c>
      <c r="BE114" s="134">
        <f>SUMPRODUCT(-('Gastos Gerais'!$B$4:$B$3143=Analítico!$B114),-(Analítico!BE$3&gt;='Gastos Gerais'!$D$4:$D$3143),-(Analítico!BE$3&lt;='Gastos Gerais'!$E$4:$E$3143),-('Gastos Gerais'!$C$4:$C$3143))</f>
        <v>0</v>
      </c>
      <c r="BF114" s="134">
        <f>SUMPRODUCT(-('Gastos Gerais'!$B$4:$B$3143=Analítico!$B114),-(Analítico!BF$3&gt;='Gastos Gerais'!$D$4:$D$3143),-(Analítico!BF$3&lt;='Gastos Gerais'!$E$4:$E$3143),-('Gastos Gerais'!$C$4:$C$3143))</f>
        <v>0</v>
      </c>
      <c r="BG114" s="134">
        <f>SUMPRODUCT(-('Gastos Gerais'!$B$4:$B$3143=Analítico!$B114),-(Analítico!BG$3&gt;='Gastos Gerais'!$D$4:$D$3143),-(Analítico!BG$3&lt;='Gastos Gerais'!$E$4:$E$3143),-('Gastos Gerais'!$C$4:$C$3143))</f>
        <v>0</v>
      </c>
      <c r="BH114" s="134">
        <f>SUMPRODUCT(-('Gastos Gerais'!$B$4:$B$3143=Analítico!$B114),-(Analítico!BH$3&gt;='Gastos Gerais'!$D$4:$D$3143),-(Analítico!BH$3&lt;='Gastos Gerais'!$E$4:$E$3143),-('Gastos Gerais'!$C$4:$C$3143))</f>
        <v>0</v>
      </c>
      <c r="BI114" s="134">
        <f>SUMPRODUCT(-('Gastos Gerais'!$B$4:$B$3143=Analítico!$B114),-(Analítico!BI$3&gt;='Gastos Gerais'!$D$4:$D$3143),-(Analítico!BI$3&lt;='Gastos Gerais'!$E$4:$E$3143),-('Gastos Gerais'!$C$4:$C$3143))</f>
        <v>0</v>
      </c>
      <c r="BJ114" s="134">
        <f>SUMPRODUCT(-('Gastos Gerais'!$B$4:$B$3143=Analítico!$B114),-(Analítico!BJ$3&gt;='Gastos Gerais'!$D$4:$D$3143),-(Analítico!BJ$3&lt;='Gastos Gerais'!$E$4:$E$3143),-('Gastos Gerais'!$C$4:$C$3143))</f>
        <v>0</v>
      </c>
      <c r="BK114" s="189">
        <f t="shared" si="26"/>
        <v>2350</v>
      </c>
      <c r="BL114" s="136">
        <f t="shared" ca="1" si="27"/>
        <v>8.0910455569441959E-6</v>
      </c>
    </row>
    <row r="115" spans="1:64" s="160" customFormat="1" ht="23.25" customHeight="1">
      <c r="A115" s="229" t="s">
        <v>307</v>
      </c>
      <c r="B115" s="232" t="s">
        <v>308</v>
      </c>
      <c r="C115" s="188">
        <f>SUMPRODUCT(-('Gastos Gerais'!$B$4:$B$3143=Analítico!$B115),-(Analítico!C$3&gt;='Gastos Gerais'!$D$4:$D$3143),-(Analítico!C$3&lt;='Gastos Gerais'!$E$4:$E$3143),-('Gastos Gerais'!$C$4:$C$3143))</f>
        <v>800</v>
      </c>
      <c r="D115" s="134">
        <f>SUMPRODUCT(-('Gastos Gerais'!$B$4:$B$3143=Analítico!$B115),-(Analítico!D$3&gt;='Gastos Gerais'!$D$4:$D$3143),-(Analítico!D$3&lt;='Gastos Gerais'!$E$4:$E$3143),-('Gastos Gerais'!$C$4:$C$3143))</f>
        <v>800</v>
      </c>
      <c r="E115" s="134">
        <f>SUMPRODUCT(-('Gastos Gerais'!$B$4:$B$3143=Analítico!$B115),-(Analítico!E$3&gt;='Gastos Gerais'!$D$4:$D$3143),-(Analítico!E$3&lt;='Gastos Gerais'!$E$4:$E$3143),-('Gastos Gerais'!$C$4:$C$3143))</f>
        <v>800</v>
      </c>
      <c r="F115" s="134">
        <f>SUMPRODUCT(-('Gastos Gerais'!$B$4:$B$3143=Analítico!$B115),-(Analítico!F$3&gt;='Gastos Gerais'!$D$4:$D$3143),-(Analítico!F$3&lt;='Gastos Gerais'!$E$4:$E$3143),-('Gastos Gerais'!$C$4:$C$3143))</f>
        <v>800</v>
      </c>
      <c r="G115" s="134">
        <f>SUMPRODUCT(-('Gastos Gerais'!$B$4:$B$3143=Analítico!$B115),-(Analítico!G$3&gt;='Gastos Gerais'!$D$4:$D$3143),-(Analítico!G$3&lt;='Gastos Gerais'!$E$4:$E$3143),-('Gastos Gerais'!$C$4:$C$3143))</f>
        <v>800</v>
      </c>
      <c r="H115" s="134">
        <f>SUMPRODUCT(-('Gastos Gerais'!$B$4:$B$3143=Analítico!$B115),-(Analítico!H$3&gt;='Gastos Gerais'!$D$4:$D$3143),-(Analítico!H$3&lt;='Gastos Gerais'!$E$4:$E$3143),-('Gastos Gerais'!$C$4:$C$3143))</f>
        <v>200</v>
      </c>
      <c r="I115" s="134">
        <f>SUMPRODUCT(-('Gastos Gerais'!$B$4:$B$3143=Analítico!$B115),-(Analítico!I$3&gt;='Gastos Gerais'!$D$4:$D$3143),-(Analítico!I$3&lt;='Gastos Gerais'!$E$4:$E$3143),-('Gastos Gerais'!$C$4:$C$3143))</f>
        <v>200</v>
      </c>
      <c r="J115" s="134">
        <f>SUMPRODUCT(-('Gastos Gerais'!$B$4:$B$3143=Analítico!$B115),-(Analítico!J$3&gt;='Gastos Gerais'!$D$4:$D$3143),-(Analítico!J$3&lt;='Gastos Gerais'!$E$4:$E$3143),-('Gastos Gerais'!$C$4:$C$3143))</f>
        <v>200</v>
      </c>
      <c r="K115" s="134">
        <f>SUMPRODUCT(-('Gastos Gerais'!$B$4:$B$3143=Analítico!$B115),-(Analítico!K$3&gt;='Gastos Gerais'!$D$4:$D$3143),-(Analítico!K$3&lt;='Gastos Gerais'!$E$4:$E$3143),-('Gastos Gerais'!$C$4:$C$3143))</f>
        <v>200</v>
      </c>
      <c r="L115" s="134">
        <f>SUMPRODUCT(-('Gastos Gerais'!$B$4:$B$3143=Analítico!$B115),-(Analítico!L$3&gt;='Gastos Gerais'!$D$4:$D$3143),-(Analítico!L$3&lt;='Gastos Gerais'!$E$4:$E$3143),-('Gastos Gerais'!$C$4:$C$3143))</f>
        <v>200</v>
      </c>
      <c r="M115" s="134">
        <f>SUMPRODUCT(-('Gastos Gerais'!$B$4:$B$3143=Analítico!$B115),-(Analítico!M$3&gt;='Gastos Gerais'!$D$4:$D$3143),-(Analítico!M$3&lt;='Gastos Gerais'!$E$4:$E$3143),-('Gastos Gerais'!$C$4:$C$3143))</f>
        <v>200</v>
      </c>
      <c r="N115" s="134">
        <f>SUMPRODUCT(-('Gastos Gerais'!$B$4:$B$3143=Analítico!$B115),-(Analítico!N$3&gt;='Gastos Gerais'!$D$4:$D$3143),-(Analítico!N$3&lt;='Gastos Gerais'!$E$4:$E$3143),-('Gastos Gerais'!$C$4:$C$3143))</f>
        <v>200</v>
      </c>
      <c r="O115" s="134">
        <f>SUMPRODUCT(-('Gastos Gerais'!$B$4:$B$3143=Analítico!$B115),-(Analítico!O$3&gt;='Gastos Gerais'!$D$4:$D$3143),-(Analítico!O$3&lt;='Gastos Gerais'!$E$4:$E$3143),-('Gastos Gerais'!$C$4:$C$3143))</f>
        <v>800</v>
      </c>
      <c r="P115" s="134">
        <f>SUMPRODUCT(-('Gastos Gerais'!$B$4:$B$3143=Analítico!$B115),-(Analítico!P$3&gt;='Gastos Gerais'!$D$4:$D$3143),-(Analítico!P$3&lt;='Gastos Gerais'!$E$4:$E$3143),-('Gastos Gerais'!$C$4:$C$3143))</f>
        <v>800</v>
      </c>
      <c r="Q115" s="134">
        <f>SUMPRODUCT(-('Gastos Gerais'!$B$4:$B$3143=Analítico!$B115),-(Analítico!Q$3&gt;='Gastos Gerais'!$D$4:$D$3143),-(Analítico!Q$3&lt;='Gastos Gerais'!$E$4:$E$3143),-('Gastos Gerais'!$C$4:$C$3143))</f>
        <v>800</v>
      </c>
      <c r="R115" s="134">
        <f>SUMPRODUCT(-('Gastos Gerais'!$B$4:$B$3143=Analítico!$B115),-(Analítico!R$3&gt;='Gastos Gerais'!$D$4:$D$3143),-(Analítico!R$3&lt;='Gastos Gerais'!$E$4:$E$3143),-('Gastos Gerais'!$C$4:$C$3143))</f>
        <v>800</v>
      </c>
      <c r="S115" s="134">
        <f>SUMPRODUCT(-('Gastos Gerais'!$B$4:$B$3143=Analítico!$B115),-(Analítico!S$3&gt;='Gastos Gerais'!$D$4:$D$3143),-(Analítico!S$3&lt;='Gastos Gerais'!$E$4:$E$3143),-('Gastos Gerais'!$C$4:$C$3143))</f>
        <v>800</v>
      </c>
      <c r="T115" s="134">
        <f>SUMPRODUCT(-('Gastos Gerais'!$B$4:$B$3143=Analítico!$B115),-(Analítico!T$3&gt;='Gastos Gerais'!$D$4:$D$3143),-(Analítico!T$3&lt;='Gastos Gerais'!$E$4:$E$3143),-('Gastos Gerais'!$C$4:$C$3143))</f>
        <v>200</v>
      </c>
      <c r="U115" s="134">
        <f>SUMPRODUCT(-('Gastos Gerais'!$B$4:$B$3143=Analítico!$B115),-(Analítico!U$3&gt;='Gastos Gerais'!$D$4:$D$3143),-(Analítico!U$3&lt;='Gastos Gerais'!$E$4:$E$3143),-('Gastos Gerais'!$C$4:$C$3143))</f>
        <v>200</v>
      </c>
      <c r="V115" s="134">
        <f>SUMPRODUCT(-('Gastos Gerais'!$B$4:$B$3143=Analítico!$B115),-(Analítico!V$3&gt;='Gastos Gerais'!$D$4:$D$3143),-(Analítico!V$3&lt;='Gastos Gerais'!$E$4:$E$3143),-('Gastos Gerais'!$C$4:$C$3143))</f>
        <v>200</v>
      </c>
      <c r="W115" s="134">
        <f>SUMPRODUCT(-('Gastos Gerais'!$B$4:$B$3143=Analítico!$B115),-(Analítico!W$3&gt;='Gastos Gerais'!$D$4:$D$3143),-(Analítico!W$3&lt;='Gastos Gerais'!$E$4:$E$3143),-('Gastos Gerais'!$C$4:$C$3143))</f>
        <v>200</v>
      </c>
      <c r="X115" s="134">
        <f>SUMPRODUCT(-('Gastos Gerais'!$B$4:$B$3143=Analítico!$B115),-(Analítico!X$3&gt;='Gastos Gerais'!$D$4:$D$3143),-(Analítico!X$3&lt;='Gastos Gerais'!$E$4:$E$3143),-('Gastos Gerais'!$C$4:$C$3143))</f>
        <v>200</v>
      </c>
      <c r="Y115" s="134">
        <f>SUMPRODUCT(-('Gastos Gerais'!$B$4:$B$3143=Analítico!$B115),-(Analítico!Y$3&gt;='Gastos Gerais'!$D$4:$D$3143),-(Analítico!Y$3&lt;='Gastos Gerais'!$E$4:$E$3143),-('Gastos Gerais'!$C$4:$C$3143))</f>
        <v>200</v>
      </c>
      <c r="Z115" s="134">
        <f>SUMPRODUCT(-('Gastos Gerais'!$B$4:$B$3143=Analítico!$B115),-(Analítico!Z$3&gt;='Gastos Gerais'!$D$4:$D$3143),-(Analítico!Z$3&lt;='Gastos Gerais'!$E$4:$E$3143),-('Gastos Gerais'!$C$4:$C$3143))</f>
        <v>200</v>
      </c>
      <c r="AA115" s="134">
        <f>SUMPRODUCT(-('Gastos Gerais'!$B$4:$B$3143=Analítico!$B115),-(Analítico!AA$3&gt;='Gastos Gerais'!$D$4:$D$3143),-(Analítico!AA$3&lt;='Gastos Gerais'!$E$4:$E$3143),-('Gastos Gerais'!$C$4:$C$3143))</f>
        <v>800</v>
      </c>
      <c r="AB115" s="134">
        <f>SUMPRODUCT(-('Gastos Gerais'!$B$4:$B$3143=Analítico!$B115),-(Analítico!AB$3&gt;='Gastos Gerais'!$D$4:$D$3143),-(Analítico!AB$3&lt;='Gastos Gerais'!$E$4:$E$3143),-('Gastos Gerais'!$C$4:$C$3143))</f>
        <v>800</v>
      </c>
      <c r="AC115" s="134">
        <f>SUMPRODUCT(-('Gastos Gerais'!$B$4:$B$3143=Analítico!$B115),-(Analítico!AC$3&gt;='Gastos Gerais'!$D$4:$D$3143),-(Analítico!AC$3&lt;='Gastos Gerais'!$E$4:$E$3143),-('Gastos Gerais'!$C$4:$C$3143))</f>
        <v>800</v>
      </c>
      <c r="AD115" s="134">
        <f>SUMPRODUCT(-('Gastos Gerais'!$B$4:$B$3143=Analítico!$B115),-(Analítico!AD$3&gt;='Gastos Gerais'!$D$4:$D$3143),-(Analítico!AD$3&lt;='Gastos Gerais'!$E$4:$E$3143),-('Gastos Gerais'!$C$4:$C$3143))</f>
        <v>800</v>
      </c>
      <c r="AE115" s="134">
        <f>SUMPRODUCT(-('Gastos Gerais'!$B$4:$B$3143=Analítico!$B115),-(Analítico!AE$3&gt;='Gastos Gerais'!$D$4:$D$3143),-(Analítico!AE$3&lt;='Gastos Gerais'!$E$4:$E$3143),-('Gastos Gerais'!$C$4:$C$3143))</f>
        <v>800</v>
      </c>
      <c r="AF115" s="134">
        <f>SUMPRODUCT(-('Gastos Gerais'!$B$4:$B$3143=Analítico!$B115),-(Analítico!AF$3&gt;='Gastos Gerais'!$D$4:$D$3143),-(Analítico!AF$3&lt;='Gastos Gerais'!$E$4:$E$3143),-('Gastos Gerais'!$C$4:$C$3143))</f>
        <v>200</v>
      </c>
      <c r="AG115" s="134">
        <f>SUMPRODUCT(-('Gastos Gerais'!$B$4:$B$3143=Analítico!$B115),-(Analítico!AG$3&gt;='Gastos Gerais'!$D$4:$D$3143),-(Analítico!AG$3&lt;='Gastos Gerais'!$E$4:$E$3143),-('Gastos Gerais'!$C$4:$C$3143))</f>
        <v>200</v>
      </c>
      <c r="AH115" s="134">
        <f>SUMPRODUCT(-('Gastos Gerais'!$B$4:$B$3143=Analítico!$B115),-(Analítico!AH$3&gt;='Gastos Gerais'!$D$4:$D$3143),-(Analítico!AH$3&lt;='Gastos Gerais'!$E$4:$E$3143),-('Gastos Gerais'!$C$4:$C$3143))</f>
        <v>200</v>
      </c>
      <c r="AI115" s="134">
        <f>SUMPRODUCT(-('Gastos Gerais'!$B$4:$B$3143=Analítico!$B115),-(Analítico!AI$3&gt;='Gastos Gerais'!$D$4:$D$3143),-(Analítico!AI$3&lt;='Gastos Gerais'!$E$4:$E$3143),-('Gastos Gerais'!$C$4:$C$3143))</f>
        <v>200</v>
      </c>
      <c r="AJ115" s="134">
        <f>SUMPRODUCT(-('Gastos Gerais'!$B$4:$B$3143=Analítico!$B115),-(Analítico!AJ$3&gt;='Gastos Gerais'!$D$4:$D$3143),-(Analítico!AJ$3&lt;='Gastos Gerais'!$E$4:$E$3143),-('Gastos Gerais'!$C$4:$C$3143))</f>
        <v>200</v>
      </c>
      <c r="AK115" s="134">
        <f>SUMPRODUCT(-('Gastos Gerais'!$B$4:$B$3143=Analítico!$B115),-(Analítico!AK$3&gt;='Gastos Gerais'!$D$4:$D$3143),-(Analítico!AK$3&lt;='Gastos Gerais'!$E$4:$E$3143),-('Gastos Gerais'!$C$4:$C$3143))</f>
        <v>200</v>
      </c>
      <c r="AL115" s="134">
        <f>SUMPRODUCT(-('Gastos Gerais'!$B$4:$B$3143=Analítico!$B115),-(Analítico!AL$3&gt;='Gastos Gerais'!$D$4:$D$3143),-(Analítico!AL$3&lt;='Gastos Gerais'!$E$4:$E$3143),-('Gastos Gerais'!$C$4:$C$3143))</f>
        <v>200</v>
      </c>
      <c r="AM115" s="134">
        <f>SUMPRODUCT(-('Gastos Gerais'!$B$4:$B$3143=Analítico!$B115),-(Analítico!AM$3&gt;='Gastos Gerais'!$D$4:$D$3143),-(Analítico!AM$3&lt;='Gastos Gerais'!$E$4:$E$3143),-('Gastos Gerais'!$C$4:$C$3143))</f>
        <v>800</v>
      </c>
      <c r="AN115" s="134">
        <f>SUMPRODUCT(-('Gastos Gerais'!$B$4:$B$3143=Analítico!$B115),-(Analítico!AN$3&gt;='Gastos Gerais'!$D$4:$D$3143),-(Analítico!AN$3&lt;='Gastos Gerais'!$E$4:$E$3143),-('Gastos Gerais'!$C$4:$C$3143))</f>
        <v>800</v>
      </c>
      <c r="AO115" s="134">
        <f>SUMPRODUCT(-('Gastos Gerais'!$B$4:$B$3143=Analítico!$B115),-(Analítico!AO$3&gt;='Gastos Gerais'!$D$4:$D$3143),-(Analítico!AO$3&lt;='Gastos Gerais'!$E$4:$E$3143),-('Gastos Gerais'!$C$4:$C$3143))</f>
        <v>800</v>
      </c>
      <c r="AP115" s="134">
        <f>SUMPRODUCT(-('Gastos Gerais'!$B$4:$B$3143=Analítico!$B115),-(Analítico!AP$3&gt;='Gastos Gerais'!$D$4:$D$3143),-(Analítico!AP$3&lt;='Gastos Gerais'!$E$4:$E$3143),-('Gastos Gerais'!$C$4:$C$3143))</f>
        <v>800</v>
      </c>
      <c r="AQ115" s="134">
        <f>SUMPRODUCT(-('Gastos Gerais'!$B$4:$B$3143=Analítico!$B115),-(Analítico!AQ$3&gt;='Gastos Gerais'!$D$4:$D$3143),-(Analítico!AQ$3&lt;='Gastos Gerais'!$E$4:$E$3143),-('Gastos Gerais'!$C$4:$C$3143))</f>
        <v>800</v>
      </c>
      <c r="AR115" s="134">
        <f>SUMPRODUCT(-('Gastos Gerais'!$B$4:$B$3143=Analítico!$B115),-(Analítico!AR$3&gt;='Gastos Gerais'!$D$4:$D$3143),-(Analítico!AR$3&lt;='Gastos Gerais'!$E$4:$E$3143),-('Gastos Gerais'!$C$4:$C$3143))</f>
        <v>200</v>
      </c>
      <c r="AS115" s="134">
        <f>SUMPRODUCT(-('Gastos Gerais'!$B$4:$B$3143=Analítico!$B115),-(Analítico!AS$3&gt;='Gastos Gerais'!$D$4:$D$3143),-(Analítico!AS$3&lt;='Gastos Gerais'!$E$4:$E$3143),-('Gastos Gerais'!$C$4:$C$3143))</f>
        <v>200</v>
      </c>
      <c r="AT115" s="134">
        <f>SUMPRODUCT(-('Gastos Gerais'!$B$4:$B$3143=Analítico!$B115),-(Analítico!AT$3&gt;='Gastos Gerais'!$D$4:$D$3143),-(Analítico!AT$3&lt;='Gastos Gerais'!$E$4:$E$3143),-('Gastos Gerais'!$C$4:$C$3143))</f>
        <v>200</v>
      </c>
      <c r="AU115" s="134">
        <f>SUMPRODUCT(-('Gastos Gerais'!$B$4:$B$3143=Analítico!$B115),-(Analítico!AU$3&gt;='Gastos Gerais'!$D$4:$D$3143),-(Analítico!AU$3&lt;='Gastos Gerais'!$E$4:$E$3143),-('Gastos Gerais'!$C$4:$C$3143))</f>
        <v>200</v>
      </c>
      <c r="AV115" s="134">
        <f>SUMPRODUCT(-('Gastos Gerais'!$B$4:$B$3143=Analítico!$B115),-(Analítico!AV$3&gt;='Gastos Gerais'!$D$4:$D$3143),-(Analítico!AV$3&lt;='Gastos Gerais'!$E$4:$E$3143),-('Gastos Gerais'!$C$4:$C$3143))</f>
        <v>200</v>
      </c>
      <c r="AW115" s="134">
        <f>SUMPRODUCT(-('Gastos Gerais'!$B$4:$B$3143=Analítico!$B115),-(Analítico!AW$3&gt;='Gastos Gerais'!$D$4:$D$3143),-(Analítico!AW$3&lt;='Gastos Gerais'!$E$4:$E$3143),-('Gastos Gerais'!$C$4:$C$3143))</f>
        <v>200</v>
      </c>
      <c r="AX115" s="134">
        <f>SUMPRODUCT(-('Gastos Gerais'!$B$4:$B$3143=Analítico!$B115),-(Analítico!AX$3&gt;='Gastos Gerais'!$D$4:$D$3143),-(Analítico!AX$3&lt;='Gastos Gerais'!$E$4:$E$3143),-('Gastos Gerais'!$C$4:$C$3143))</f>
        <v>0</v>
      </c>
      <c r="AY115" s="134">
        <f>SUMPRODUCT(-('Gastos Gerais'!$B$4:$B$3143=Analítico!$B115),-(Analítico!AY$3&gt;='Gastos Gerais'!$D$4:$D$3143),-(Analítico!AY$3&lt;='Gastos Gerais'!$E$4:$E$3143),-('Gastos Gerais'!$C$4:$C$3143))</f>
        <v>0</v>
      </c>
      <c r="AZ115" s="134">
        <f>SUMPRODUCT(-('Gastos Gerais'!$B$4:$B$3143=Analítico!$B115),-(Analítico!AZ$3&gt;='Gastos Gerais'!$D$4:$D$3143),-(Analítico!AZ$3&lt;='Gastos Gerais'!$E$4:$E$3143),-('Gastos Gerais'!$C$4:$C$3143))</f>
        <v>0</v>
      </c>
      <c r="BA115" s="134">
        <f>SUMPRODUCT(-('Gastos Gerais'!$B$4:$B$3143=Analítico!$B115),-(Analítico!BA$3&gt;='Gastos Gerais'!$D$4:$D$3143),-(Analítico!BA$3&lt;='Gastos Gerais'!$E$4:$E$3143),-('Gastos Gerais'!$C$4:$C$3143))</f>
        <v>0</v>
      </c>
      <c r="BB115" s="134">
        <f>SUMPRODUCT(-('Gastos Gerais'!$B$4:$B$3143=Analítico!$B115),-(Analítico!BB$3&gt;='Gastos Gerais'!$D$4:$D$3143),-(Analítico!BB$3&lt;='Gastos Gerais'!$E$4:$E$3143),-('Gastos Gerais'!$C$4:$C$3143))</f>
        <v>0</v>
      </c>
      <c r="BC115" s="134">
        <f>SUMPRODUCT(-('Gastos Gerais'!$B$4:$B$3143=Analítico!$B115),-(Analítico!BC$3&gt;='Gastos Gerais'!$D$4:$D$3143),-(Analítico!BC$3&lt;='Gastos Gerais'!$E$4:$E$3143),-('Gastos Gerais'!$C$4:$C$3143))</f>
        <v>0</v>
      </c>
      <c r="BD115" s="134">
        <f>SUMPRODUCT(-('Gastos Gerais'!$B$4:$B$3143=Analítico!$B115),-(Analítico!BD$3&gt;='Gastos Gerais'!$D$4:$D$3143),-(Analítico!BD$3&lt;='Gastos Gerais'!$E$4:$E$3143),-('Gastos Gerais'!$C$4:$C$3143))</f>
        <v>0</v>
      </c>
      <c r="BE115" s="134">
        <f>SUMPRODUCT(-('Gastos Gerais'!$B$4:$B$3143=Analítico!$B115),-(Analítico!BE$3&gt;='Gastos Gerais'!$D$4:$D$3143),-(Analítico!BE$3&lt;='Gastos Gerais'!$E$4:$E$3143),-('Gastos Gerais'!$C$4:$C$3143))</f>
        <v>0</v>
      </c>
      <c r="BF115" s="134">
        <f>SUMPRODUCT(-('Gastos Gerais'!$B$4:$B$3143=Analítico!$B115),-(Analítico!BF$3&gt;='Gastos Gerais'!$D$4:$D$3143),-(Analítico!BF$3&lt;='Gastos Gerais'!$E$4:$E$3143),-('Gastos Gerais'!$C$4:$C$3143))</f>
        <v>0</v>
      </c>
      <c r="BG115" s="134">
        <f>SUMPRODUCT(-('Gastos Gerais'!$B$4:$B$3143=Analítico!$B115),-(Analítico!BG$3&gt;='Gastos Gerais'!$D$4:$D$3143),-(Analítico!BG$3&lt;='Gastos Gerais'!$E$4:$E$3143),-('Gastos Gerais'!$C$4:$C$3143))</f>
        <v>0</v>
      </c>
      <c r="BH115" s="134">
        <f>SUMPRODUCT(-('Gastos Gerais'!$B$4:$B$3143=Analítico!$B115),-(Analítico!BH$3&gt;='Gastos Gerais'!$D$4:$D$3143),-(Analítico!BH$3&lt;='Gastos Gerais'!$E$4:$E$3143),-('Gastos Gerais'!$C$4:$C$3143))</f>
        <v>0</v>
      </c>
      <c r="BI115" s="134">
        <f>SUMPRODUCT(-('Gastos Gerais'!$B$4:$B$3143=Analítico!$B115),-(Analítico!BI$3&gt;='Gastos Gerais'!$D$4:$D$3143),-(Analítico!BI$3&lt;='Gastos Gerais'!$E$4:$E$3143),-('Gastos Gerais'!$C$4:$C$3143))</f>
        <v>0</v>
      </c>
      <c r="BJ115" s="134">
        <f>SUMPRODUCT(-('Gastos Gerais'!$B$4:$B$3143=Analítico!$B115),-(Analítico!BJ$3&gt;='Gastos Gerais'!$D$4:$D$3143),-(Analítico!BJ$3&lt;='Gastos Gerais'!$E$4:$E$3143),-('Gastos Gerais'!$C$4:$C$3143))</f>
        <v>0</v>
      </c>
      <c r="BK115" s="189">
        <f t="shared" si="26"/>
        <v>21400</v>
      </c>
      <c r="BL115" s="136">
        <f t="shared" ca="1" si="27"/>
        <v>7.3680159539832245E-5</v>
      </c>
    </row>
    <row r="116" spans="1:64" s="160" customFormat="1" ht="23.25" customHeight="1">
      <c r="A116" s="229" t="s">
        <v>309</v>
      </c>
      <c r="B116" s="232" t="s">
        <v>310</v>
      </c>
      <c r="C116" s="188">
        <f>SUMPRODUCT(-('Gastos Gerais'!$B$4:$B$3143=Analítico!$B116),-(Analítico!C$3&gt;='Gastos Gerais'!$D$4:$D$3143),-(Analítico!C$3&lt;='Gastos Gerais'!$E$4:$E$3143),-('Gastos Gerais'!$C$4:$C$3143))</f>
        <v>1500</v>
      </c>
      <c r="D116" s="134">
        <f>SUMPRODUCT(-('Gastos Gerais'!$B$4:$B$3143=Analítico!$B116),-(Analítico!D$3&gt;='Gastos Gerais'!$D$4:$D$3143),-(Analítico!D$3&lt;='Gastos Gerais'!$E$4:$E$3143),-('Gastos Gerais'!$C$4:$C$3143))</f>
        <v>1500</v>
      </c>
      <c r="E116" s="134">
        <f>SUMPRODUCT(-('Gastos Gerais'!$B$4:$B$3143=Analítico!$B116),-(Analítico!E$3&gt;='Gastos Gerais'!$D$4:$D$3143),-(Analítico!E$3&lt;='Gastos Gerais'!$E$4:$E$3143),-('Gastos Gerais'!$C$4:$C$3143))</f>
        <v>1500</v>
      </c>
      <c r="F116" s="134">
        <f>SUMPRODUCT(-('Gastos Gerais'!$B$4:$B$3143=Analítico!$B116),-(Analítico!F$3&gt;='Gastos Gerais'!$D$4:$D$3143),-(Analítico!F$3&lt;='Gastos Gerais'!$E$4:$E$3143),-('Gastos Gerais'!$C$4:$C$3143))</f>
        <v>1500</v>
      </c>
      <c r="G116" s="134">
        <f>SUMPRODUCT(-('Gastos Gerais'!$B$4:$B$3143=Analítico!$B116),-(Analítico!G$3&gt;='Gastos Gerais'!$D$4:$D$3143),-(Analítico!G$3&lt;='Gastos Gerais'!$E$4:$E$3143),-('Gastos Gerais'!$C$4:$C$3143))</f>
        <v>0</v>
      </c>
      <c r="H116" s="134">
        <f>SUMPRODUCT(-('Gastos Gerais'!$B$4:$B$3143=Analítico!$B116),-(Analítico!H$3&gt;='Gastos Gerais'!$D$4:$D$3143),-(Analítico!H$3&lt;='Gastos Gerais'!$E$4:$E$3143),-('Gastos Gerais'!$C$4:$C$3143))</f>
        <v>0</v>
      </c>
      <c r="I116" s="134">
        <f>SUMPRODUCT(-('Gastos Gerais'!$B$4:$B$3143=Analítico!$B116),-(Analítico!I$3&gt;='Gastos Gerais'!$D$4:$D$3143),-(Analítico!I$3&lt;='Gastos Gerais'!$E$4:$E$3143),-('Gastos Gerais'!$C$4:$C$3143))</f>
        <v>0</v>
      </c>
      <c r="J116" s="134">
        <f>SUMPRODUCT(-('Gastos Gerais'!$B$4:$B$3143=Analítico!$B116),-(Analítico!J$3&gt;='Gastos Gerais'!$D$4:$D$3143),-(Analítico!J$3&lt;='Gastos Gerais'!$E$4:$E$3143),-('Gastos Gerais'!$C$4:$C$3143))</f>
        <v>0</v>
      </c>
      <c r="K116" s="134">
        <f>SUMPRODUCT(-('Gastos Gerais'!$B$4:$B$3143=Analítico!$B116),-(Analítico!K$3&gt;='Gastos Gerais'!$D$4:$D$3143),-(Analítico!K$3&lt;='Gastos Gerais'!$E$4:$E$3143),-('Gastos Gerais'!$C$4:$C$3143))</f>
        <v>0</v>
      </c>
      <c r="L116" s="134">
        <f>SUMPRODUCT(-('Gastos Gerais'!$B$4:$B$3143=Analítico!$B116),-(Analítico!L$3&gt;='Gastos Gerais'!$D$4:$D$3143),-(Analítico!L$3&lt;='Gastos Gerais'!$E$4:$E$3143),-('Gastos Gerais'!$C$4:$C$3143))</f>
        <v>0</v>
      </c>
      <c r="M116" s="134">
        <f>SUMPRODUCT(-('Gastos Gerais'!$B$4:$B$3143=Analítico!$B116),-(Analítico!M$3&gt;='Gastos Gerais'!$D$4:$D$3143),-(Analítico!M$3&lt;='Gastos Gerais'!$E$4:$E$3143),-('Gastos Gerais'!$C$4:$C$3143))</f>
        <v>0</v>
      </c>
      <c r="N116" s="134">
        <f>SUMPRODUCT(-('Gastos Gerais'!$B$4:$B$3143=Analítico!$B116),-(Analítico!N$3&gt;='Gastos Gerais'!$D$4:$D$3143),-(Analítico!N$3&lt;='Gastos Gerais'!$E$4:$E$3143),-('Gastos Gerais'!$C$4:$C$3143))</f>
        <v>0</v>
      </c>
      <c r="O116" s="134">
        <f>SUMPRODUCT(-('Gastos Gerais'!$B$4:$B$3143=Analítico!$B116),-(Analítico!O$3&gt;='Gastos Gerais'!$D$4:$D$3143),-(Analítico!O$3&lt;='Gastos Gerais'!$E$4:$E$3143),-('Gastos Gerais'!$C$4:$C$3143))</f>
        <v>1500</v>
      </c>
      <c r="P116" s="134">
        <f>SUMPRODUCT(-('Gastos Gerais'!$B$4:$B$3143=Analítico!$B116),-(Analítico!P$3&gt;='Gastos Gerais'!$D$4:$D$3143),-(Analítico!P$3&lt;='Gastos Gerais'!$E$4:$E$3143),-('Gastos Gerais'!$C$4:$C$3143))</f>
        <v>1500</v>
      </c>
      <c r="Q116" s="134">
        <f>SUMPRODUCT(-('Gastos Gerais'!$B$4:$B$3143=Analítico!$B116),-(Analítico!Q$3&gt;='Gastos Gerais'!$D$4:$D$3143),-(Analítico!Q$3&lt;='Gastos Gerais'!$E$4:$E$3143),-('Gastos Gerais'!$C$4:$C$3143))</f>
        <v>1500</v>
      </c>
      <c r="R116" s="134">
        <f>SUMPRODUCT(-('Gastos Gerais'!$B$4:$B$3143=Analítico!$B116),-(Analítico!R$3&gt;='Gastos Gerais'!$D$4:$D$3143),-(Analítico!R$3&lt;='Gastos Gerais'!$E$4:$E$3143),-('Gastos Gerais'!$C$4:$C$3143))</f>
        <v>1500</v>
      </c>
      <c r="S116" s="134">
        <f>SUMPRODUCT(-('Gastos Gerais'!$B$4:$B$3143=Analítico!$B116),-(Analítico!S$3&gt;='Gastos Gerais'!$D$4:$D$3143),-(Analítico!S$3&lt;='Gastos Gerais'!$E$4:$E$3143),-('Gastos Gerais'!$C$4:$C$3143))</f>
        <v>0</v>
      </c>
      <c r="T116" s="134">
        <f>SUMPRODUCT(-('Gastos Gerais'!$B$4:$B$3143=Analítico!$B116),-(Analítico!T$3&gt;='Gastos Gerais'!$D$4:$D$3143),-(Analítico!T$3&lt;='Gastos Gerais'!$E$4:$E$3143),-('Gastos Gerais'!$C$4:$C$3143))</f>
        <v>0</v>
      </c>
      <c r="U116" s="134">
        <f>SUMPRODUCT(-('Gastos Gerais'!$B$4:$B$3143=Analítico!$B116),-(Analítico!U$3&gt;='Gastos Gerais'!$D$4:$D$3143),-(Analítico!U$3&lt;='Gastos Gerais'!$E$4:$E$3143),-('Gastos Gerais'!$C$4:$C$3143))</f>
        <v>0</v>
      </c>
      <c r="V116" s="134">
        <f>SUMPRODUCT(-('Gastos Gerais'!$B$4:$B$3143=Analítico!$B116),-(Analítico!V$3&gt;='Gastos Gerais'!$D$4:$D$3143),-(Analítico!V$3&lt;='Gastos Gerais'!$E$4:$E$3143),-('Gastos Gerais'!$C$4:$C$3143))</f>
        <v>0</v>
      </c>
      <c r="W116" s="134">
        <f>SUMPRODUCT(-('Gastos Gerais'!$B$4:$B$3143=Analítico!$B116),-(Analítico!W$3&gt;='Gastos Gerais'!$D$4:$D$3143),-(Analítico!W$3&lt;='Gastos Gerais'!$E$4:$E$3143),-('Gastos Gerais'!$C$4:$C$3143))</f>
        <v>0</v>
      </c>
      <c r="X116" s="134">
        <f>SUMPRODUCT(-('Gastos Gerais'!$B$4:$B$3143=Analítico!$B116),-(Analítico!X$3&gt;='Gastos Gerais'!$D$4:$D$3143),-(Analítico!X$3&lt;='Gastos Gerais'!$E$4:$E$3143),-('Gastos Gerais'!$C$4:$C$3143))</f>
        <v>0</v>
      </c>
      <c r="Y116" s="134">
        <f>SUMPRODUCT(-('Gastos Gerais'!$B$4:$B$3143=Analítico!$B116),-(Analítico!Y$3&gt;='Gastos Gerais'!$D$4:$D$3143),-(Analítico!Y$3&lt;='Gastos Gerais'!$E$4:$E$3143),-('Gastos Gerais'!$C$4:$C$3143))</f>
        <v>0</v>
      </c>
      <c r="Z116" s="134">
        <f>SUMPRODUCT(-('Gastos Gerais'!$B$4:$B$3143=Analítico!$B116),-(Analítico!Z$3&gt;='Gastos Gerais'!$D$4:$D$3143),-(Analítico!Z$3&lt;='Gastos Gerais'!$E$4:$E$3143),-('Gastos Gerais'!$C$4:$C$3143))</f>
        <v>0</v>
      </c>
      <c r="AA116" s="134">
        <f>SUMPRODUCT(-('Gastos Gerais'!$B$4:$B$3143=Analítico!$B116),-(Analítico!AA$3&gt;='Gastos Gerais'!$D$4:$D$3143),-(Analítico!AA$3&lt;='Gastos Gerais'!$E$4:$E$3143),-('Gastos Gerais'!$C$4:$C$3143))</f>
        <v>1500</v>
      </c>
      <c r="AB116" s="134">
        <f>SUMPRODUCT(-('Gastos Gerais'!$B$4:$B$3143=Analítico!$B116),-(Analítico!AB$3&gt;='Gastos Gerais'!$D$4:$D$3143),-(Analítico!AB$3&lt;='Gastos Gerais'!$E$4:$E$3143),-('Gastos Gerais'!$C$4:$C$3143))</f>
        <v>1500</v>
      </c>
      <c r="AC116" s="134">
        <f>SUMPRODUCT(-('Gastos Gerais'!$B$4:$B$3143=Analítico!$B116),-(Analítico!AC$3&gt;='Gastos Gerais'!$D$4:$D$3143),-(Analítico!AC$3&lt;='Gastos Gerais'!$E$4:$E$3143),-('Gastos Gerais'!$C$4:$C$3143))</f>
        <v>1500</v>
      </c>
      <c r="AD116" s="134">
        <f>SUMPRODUCT(-('Gastos Gerais'!$B$4:$B$3143=Analítico!$B116),-(Analítico!AD$3&gt;='Gastos Gerais'!$D$4:$D$3143),-(Analítico!AD$3&lt;='Gastos Gerais'!$E$4:$E$3143),-('Gastos Gerais'!$C$4:$C$3143))</f>
        <v>1500</v>
      </c>
      <c r="AE116" s="134">
        <f>SUMPRODUCT(-('Gastos Gerais'!$B$4:$B$3143=Analítico!$B116),-(Analítico!AE$3&gt;='Gastos Gerais'!$D$4:$D$3143),-(Analítico!AE$3&lt;='Gastos Gerais'!$E$4:$E$3143),-('Gastos Gerais'!$C$4:$C$3143))</f>
        <v>0</v>
      </c>
      <c r="AF116" s="134">
        <f>SUMPRODUCT(-('Gastos Gerais'!$B$4:$B$3143=Analítico!$B116),-(Analítico!AF$3&gt;='Gastos Gerais'!$D$4:$D$3143),-(Analítico!AF$3&lt;='Gastos Gerais'!$E$4:$E$3143),-('Gastos Gerais'!$C$4:$C$3143))</f>
        <v>0</v>
      </c>
      <c r="AG116" s="134">
        <f>SUMPRODUCT(-('Gastos Gerais'!$B$4:$B$3143=Analítico!$B116),-(Analítico!AG$3&gt;='Gastos Gerais'!$D$4:$D$3143),-(Analítico!AG$3&lt;='Gastos Gerais'!$E$4:$E$3143),-('Gastos Gerais'!$C$4:$C$3143))</f>
        <v>0</v>
      </c>
      <c r="AH116" s="134">
        <f>SUMPRODUCT(-('Gastos Gerais'!$B$4:$B$3143=Analítico!$B116),-(Analítico!AH$3&gt;='Gastos Gerais'!$D$4:$D$3143),-(Analítico!AH$3&lt;='Gastos Gerais'!$E$4:$E$3143),-('Gastos Gerais'!$C$4:$C$3143))</f>
        <v>0</v>
      </c>
      <c r="AI116" s="134">
        <f>SUMPRODUCT(-('Gastos Gerais'!$B$4:$B$3143=Analítico!$B116),-(Analítico!AI$3&gt;='Gastos Gerais'!$D$4:$D$3143),-(Analítico!AI$3&lt;='Gastos Gerais'!$E$4:$E$3143),-('Gastos Gerais'!$C$4:$C$3143))</f>
        <v>0</v>
      </c>
      <c r="AJ116" s="134">
        <f>SUMPRODUCT(-('Gastos Gerais'!$B$4:$B$3143=Analítico!$B116),-(Analítico!AJ$3&gt;='Gastos Gerais'!$D$4:$D$3143),-(Analítico!AJ$3&lt;='Gastos Gerais'!$E$4:$E$3143),-('Gastos Gerais'!$C$4:$C$3143))</f>
        <v>0</v>
      </c>
      <c r="AK116" s="134">
        <f>SUMPRODUCT(-('Gastos Gerais'!$B$4:$B$3143=Analítico!$B116),-(Analítico!AK$3&gt;='Gastos Gerais'!$D$4:$D$3143),-(Analítico!AK$3&lt;='Gastos Gerais'!$E$4:$E$3143),-('Gastos Gerais'!$C$4:$C$3143))</f>
        <v>0</v>
      </c>
      <c r="AL116" s="134">
        <f>SUMPRODUCT(-('Gastos Gerais'!$B$4:$B$3143=Analítico!$B116),-(Analítico!AL$3&gt;='Gastos Gerais'!$D$4:$D$3143),-(Analítico!AL$3&lt;='Gastos Gerais'!$E$4:$E$3143),-('Gastos Gerais'!$C$4:$C$3143))</f>
        <v>0</v>
      </c>
      <c r="AM116" s="134">
        <f>SUMPRODUCT(-('Gastos Gerais'!$B$4:$B$3143=Analítico!$B116),-(Analítico!AM$3&gt;='Gastos Gerais'!$D$4:$D$3143),-(Analítico!AM$3&lt;='Gastos Gerais'!$E$4:$E$3143),-('Gastos Gerais'!$C$4:$C$3143))</f>
        <v>1500</v>
      </c>
      <c r="AN116" s="134">
        <f>SUMPRODUCT(-('Gastos Gerais'!$B$4:$B$3143=Analítico!$B116),-(Analítico!AN$3&gt;='Gastos Gerais'!$D$4:$D$3143),-(Analítico!AN$3&lt;='Gastos Gerais'!$E$4:$E$3143),-('Gastos Gerais'!$C$4:$C$3143))</f>
        <v>1500</v>
      </c>
      <c r="AO116" s="134">
        <f>SUMPRODUCT(-('Gastos Gerais'!$B$4:$B$3143=Analítico!$B116),-(Analítico!AO$3&gt;='Gastos Gerais'!$D$4:$D$3143),-(Analítico!AO$3&lt;='Gastos Gerais'!$E$4:$E$3143),-('Gastos Gerais'!$C$4:$C$3143))</f>
        <v>1500</v>
      </c>
      <c r="AP116" s="134">
        <f>SUMPRODUCT(-('Gastos Gerais'!$B$4:$B$3143=Analítico!$B116),-(Analítico!AP$3&gt;='Gastos Gerais'!$D$4:$D$3143),-(Analítico!AP$3&lt;='Gastos Gerais'!$E$4:$E$3143),-('Gastos Gerais'!$C$4:$C$3143))</f>
        <v>1500</v>
      </c>
      <c r="AQ116" s="134">
        <f>SUMPRODUCT(-('Gastos Gerais'!$B$4:$B$3143=Analítico!$B116),-(Analítico!AQ$3&gt;='Gastos Gerais'!$D$4:$D$3143),-(Analítico!AQ$3&lt;='Gastos Gerais'!$E$4:$E$3143),-('Gastos Gerais'!$C$4:$C$3143))</f>
        <v>0</v>
      </c>
      <c r="AR116" s="134">
        <f>SUMPRODUCT(-('Gastos Gerais'!$B$4:$B$3143=Analítico!$B116),-(Analítico!AR$3&gt;='Gastos Gerais'!$D$4:$D$3143),-(Analítico!AR$3&lt;='Gastos Gerais'!$E$4:$E$3143),-('Gastos Gerais'!$C$4:$C$3143))</f>
        <v>0</v>
      </c>
      <c r="AS116" s="134">
        <f>SUMPRODUCT(-('Gastos Gerais'!$B$4:$B$3143=Analítico!$B116),-(Analítico!AS$3&gt;='Gastos Gerais'!$D$4:$D$3143),-(Analítico!AS$3&lt;='Gastos Gerais'!$E$4:$E$3143),-('Gastos Gerais'!$C$4:$C$3143))</f>
        <v>0</v>
      </c>
      <c r="AT116" s="134">
        <f>SUMPRODUCT(-('Gastos Gerais'!$B$4:$B$3143=Analítico!$B116),-(Analítico!AT$3&gt;='Gastos Gerais'!$D$4:$D$3143),-(Analítico!AT$3&lt;='Gastos Gerais'!$E$4:$E$3143),-('Gastos Gerais'!$C$4:$C$3143))</f>
        <v>0</v>
      </c>
      <c r="AU116" s="134">
        <f>SUMPRODUCT(-('Gastos Gerais'!$B$4:$B$3143=Analítico!$B116),-(Analítico!AU$3&gt;='Gastos Gerais'!$D$4:$D$3143),-(Analítico!AU$3&lt;='Gastos Gerais'!$E$4:$E$3143),-('Gastos Gerais'!$C$4:$C$3143))</f>
        <v>0</v>
      </c>
      <c r="AV116" s="134">
        <f>SUMPRODUCT(-('Gastos Gerais'!$B$4:$B$3143=Analítico!$B116),-(Analítico!AV$3&gt;='Gastos Gerais'!$D$4:$D$3143),-(Analítico!AV$3&lt;='Gastos Gerais'!$E$4:$E$3143),-('Gastos Gerais'!$C$4:$C$3143))</f>
        <v>0</v>
      </c>
      <c r="AW116" s="134">
        <f>SUMPRODUCT(-('Gastos Gerais'!$B$4:$B$3143=Analítico!$B116),-(Analítico!AW$3&gt;='Gastos Gerais'!$D$4:$D$3143),-(Analítico!AW$3&lt;='Gastos Gerais'!$E$4:$E$3143),-('Gastos Gerais'!$C$4:$C$3143))</f>
        <v>0</v>
      </c>
      <c r="AX116" s="134">
        <f>SUMPRODUCT(-('Gastos Gerais'!$B$4:$B$3143=Analítico!$B116),-(Analítico!AX$3&gt;='Gastos Gerais'!$D$4:$D$3143),-(Analítico!AX$3&lt;='Gastos Gerais'!$E$4:$E$3143),-('Gastos Gerais'!$C$4:$C$3143))</f>
        <v>0</v>
      </c>
      <c r="AY116" s="134">
        <f>SUMPRODUCT(-('Gastos Gerais'!$B$4:$B$3143=Analítico!$B116),-(Analítico!AY$3&gt;='Gastos Gerais'!$D$4:$D$3143),-(Analítico!AY$3&lt;='Gastos Gerais'!$E$4:$E$3143),-('Gastos Gerais'!$C$4:$C$3143))</f>
        <v>0</v>
      </c>
      <c r="AZ116" s="134">
        <f>SUMPRODUCT(-('Gastos Gerais'!$B$4:$B$3143=Analítico!$B116),-(Analítico!AZ$3&gt;='Gastos Gerais'!$D$4:$D$3143),-(Analítico!AZ$3&lt;='Gastos Gerais'!$E$4:$E$3143),-('Gastos Gerais'!$C$4:$C$3143))</f>
        <v>0</v>
      </c>
      <c r="BA116" s="134">
        <f>SUMPRODUCT(-('Gastos Gerais'!$B$4:$B$3143=Analítico!$B116),-(Analítico!BA$3&gt;='Gastos Gerais'!$D$4:$D$3143),-(Analítico!BA$3&lt;='Gastos Gerais'!$E$4:$E$3143),-('Gastos Gerais'!$C$4:$C$3143))</f>
        <v>0</v>
      </c>
      <c r="BB116" s="134">
        <f>SUMPRODUCT(-('Gastos Gerais'!$B$4:$B$3143=Analítico!$B116),-(Analítico!BB$3&gt;='Gastos Gerais'!$D$4:$D$3143),-(Analítico!BB$3&lt;='Gastos Gerais'!$E$4:$E$3143),-('Gastos Gerais'!$C$4:$C$3143))</f>
        <v>0</v>
      </c>
      <c r="BC116" s="134">
        <f>SUMPRODUCT(-('Gastos Gerais'!$B$4:$B$3143=Analítico!$B116),-(Analítico!BC$3&gt;='Gastos Gerais'!$D$4:$D$3143),-(Analítico!BC$3&lt;='Gastos Gerais'!$E$4:$E$3143),-('Gastos Gerais'!$C$4:$C$3143))</f>
        <v>0</v>
      </c>
      <c r="BD116" s="134">
        <f>SUMPRODUCT(-('Gastos Gerais'!$B$4:$B$3143=Analítico!$B116),-(Analítico!BD$3&gt;='Gastos Gerais'!$D$4:$D$3143),-(Analítico!BD$3&lt;='Gastos Gerais'!$E$4:$E$3143),-('Gastos Gerais'!$C$4:$C$3143))</f>
        <v>0</v>
      </c>
      <c r="BE116" s="134">
        <f>SUMPRODUCT(-('Gastos Gerais'!$B$4:$B$3143=Analítico!$B116),-(Analítico!BE$3&gt;='Gastos Gerais'!$D$4:$D$3143),-(Analítico!BE$3&lt;='Gastos Gerais'!$E$4:$E$3143),-('Gastos Gerais'!$C$4:$C$3143))</f>
        <v>0</v>
      </c>
      <c r="BF116" s="134">
        <f>SUMPRODUCT(-('Gastos Gerais'!$B$4:$B$3143=Analítico!$B116),-(Analítico!BF$3&gt;='Gastos Gerais'!$D$4:$D$3143),-(Analítico!BF$3&lt;='Gastos Gerais'!$E$4:$E$3143),-('Gastos Gerais'!$C$4:$C$3143))</f>
        <v>0</v>
      </c>
      <c r="BG116" s="134">
        <f>SUMPRODUCT(-('Gastos Gerais'!$B$4:$B$3143=Analítico!$B116),-(Analítico!BG$3&gt;='Gastos Gerais'!$D$4:$D$3143),-(Analítico!BG$3&lt;='Gastos Gerais'!$E$4:$E$3143),-('Gastos Gerais'!$C$4:$C$3143))</f>
        <v>0</v>
      </c>
      <c r="BH116" s="134">
        <f>SUMPRODUCT(-('Gastos Gerais'!$B$4:$B$3143=Analítico!$B116),-(Analítico!BH$3&gt;='Gastos Gerais'!$D$4:$D$3143),-(Analítico!BH$3&lt;='Gastos Gerais'!$E$4:$E$3143),-('Gastos Gerais'!$C$4:$C$3143))</f>
        <v>0</v>
      </c>
      <c r="BI116" s="134">
        <f>SUMPRODUCT(-('Gastos Gerais'!$B$4:$B$3143=Analítico!$B116),-(Analítico!BI$3&gt;='Gastos Gerais'!$D$4:$D$3143),-(Analítico!BI$3&lt;='Gastos Gerais'!$E$4:$E$3143),-('Gastos Gerais'!$C$4:$C$3143))</f>
        <v>0</v>
      </c>
      <c r="BJ116" s="134">
        <f>SUMPRODUCT(-('Gastos Gerais'!$B$4:$B$3143=Analítico!$B116),-(Analítico!BJ$3&gt;='Gastos Gerais'!$D$4:$D$3143),-(Analítico!BJ$3&lt;='Gastos Gerais'!$E$4:$E$3143),-('Gastos Gerais'!$C$4:$C$3143))</f>
        <v>0</v>
      </c>
      <c r="BK116" s="189">
        <f t="shared" si="26"/>
        <v>24000</v>
      </c>
      <c r="BL116" s="136">
        <f t="shared" ca="1" si="27"/>
        <v>8.2631954624110937E-5</v>
      </c>
    </row>
    <row r="117" spans="1:64" s="160" customFormat="1" ht="23.25" customHeight="1">
      <c r="A117" s="229" t="s">
        <v>311</v>
      </c>
      <c r="B117" s="232" t="s">
        <v>312</v>
      </c>
      <c r="C117" s="188">
        <f>SUMPRODUCT(-('Gastos Gerais'!$B$4:$B$3143=Analítico!$B117),-(Analítico!C$3&gt;='Gastos Gerais'!$D$4:$D$3143),-(Analítico!C$3&lt;='Gastos Gerais'!$E$4:$E$3143),-('Gastos Gerais'!$C$4:$C$3143))</f>
        <v>3600</v>
      </c>
      <c r="D117" s="134">
        <f>SUMPRODUCT(-('Gastos Gerais'!$B$4:$B$3143=Analítico!$B117),-(Analítico!D$3&gt;='Gastos Gerais'!$D$4:$D$3143),-(Analítico!D$3&lt;='Gastos Gerais'!$E$4:$E$3143),-('Gastos Gerais'!$C$4:$C$3143))</f>
        <v>3600</v>
      </c>
      <c r="E117" s="134">
        <f>SUMPRODUCT(-('Gastos Gerais'!$B$4:$B$3143=Analítico!$B117),-(Analítico!E$3&gt;='Gastos Gerais'!$D$4:$D$3143),-(Analítico!E$3&lt;='Gastos Gerais'!$E$4:$E$3143),-('Gastos Gerais'!$C$4:$C$3143))</f>
        <v>3800</v>
      </c>
      <c r="F117" s="134">
        <f>SUMPRODUCT(-('Gastos Gerais'!$B$4:$B$3143=Analítico!$B117),-(Analítico!F$3&gt;='Gastos Gerais'!$D$4:$D$3143),-(Analítico!F$3&lt;='Gastos Gerais'!$E$4:$E$3143),-('Gastos Gerais'!$C$4:$C$3143))</f>
        <v>4000</v>
      </c>
      <c r="G117" s="134">
        <f>SUMPRODUCT(-('Gastos Gerais'!$B$4:$B$3143=Analítico!$B117),-(Analítico!G$3&gt;='Gastos Gerais'!$D$4:$D$3143),-(Analítico!G$3&lt;='Gastos Gerais'!$E$4:$E$3143),-('Gastos Gerais'!$C$4:$C$3143))</f>
        <v>4000</v>
      </c>
      <c r="H117" s="134">
        <f>SUMPRODUCT(-('Gastos Gerais'!$B$4:$B$3143=Analítico!$B117),-(Analítico!H$3&gt;='Gastos Gerais'!$D$4:$D$3143),-(Analítico!H$3&lt;='Gastos Gerais'!$E$4:$E$3143),-('Gastos Gerais'!$C$4:$C$3143))</f>
        <v>4000</v>
      </c>
      <c r="I117" s="134">
        <f>SUMPRODUCT(-('Gastos Gerais'!$B$4:$B$3143=Analítico!$B117),-(Analítico!I$3&gt;='Gastos Gerais'!$D$4:$D$3143),-(Analítico!I$3&lt;='Gastos Gerais'!$E$4:$E$3143),-('Gastos Gerais'!$C$4:$C$3143))</f>
        <v>4200</v>
      </c>
      <c r="J117" s="134">
        <f>SUMPRODUCT(-('Gastos Gerais'!$B$4:$B$3143=Analítico!$B117),-(Analítico!J$3&gt;='Gastos Gerais'!$D$4:$D$3143),-(Analítico!J$3&lt;='Gastos Gerais'!$E$4:$E$3143),-('Gastos Gerais'!$C$4:$C$3143))</f>
        <v>4200</v>
      </c>
      <c r="K117" s="134">
        <f>SUMPRODUCT(-('Gastos Gerais'!$B$4:$B$3143=Analítico!$B117),-(Analítico!K$3&gt;='Gastos Gerais'!$D$4:$D$3143),-(Analítico!K$3&lt;='Gastos Gerais'!$E$4:$E$3143),-('Gastos Gerais'!$C$4:$C$3143))</f>
        <v>4200</v>
      </c>
      <c r="L117" s="134">
        <f>SUMPRODUCT(-('Gastos Gerais'!$B$4:$B$3143=Analítico!$B117),-(Analítico!L$3&gt;='Gastos Gerais'!$D$4:$D$3143),-(Analítico!L$3&lt;='Gastos Gerais'!$E$4:$E$3143),-('Gastos Gerais'!$C$4:$C$3143))</f>
        <v>4400</v>
      </c>
      <c r="M117" s="134">
        <f>SUMPRODUCT(-('Gastos Gerais'!$B$4:$B$3143=Analítico!$B117),-(Analítico!M$3&gt;='Gastos Gerais'!$D$4:$D$3143),-(Analítico!M$3&lt;='Gastos Gerais'!$E$4:$E$3143),-('Gastos Gerais'!$C$4:$C$3143))</f>
        <v>4400</v>
      </c>
      <c r="N117" s="134">
        <f>SUMPRODUCT(-('Gastos Gerais'!$B$4:$B$3143=Analítico!$B117),-(Analítico!N$3&gt;='Gastos Gerais'!$D$4:$D$3143),-(Analítico!N$3&lt;='Gastos Gerais'!$E$4:$E$3143),-('Gastos Gerais'!$C$4:$C$3143))</f>
        <v>4400</v>
      </c>
      <c r="O117" s="134">
        <f>SUMPRODUCT(-('Gastos Gerais'!$B$4:$B$3143=Analítico!$B117),-(Analítico!O$3&gt;='Gastos Gerais'!$D$4:$D$3143),-(Analítico!O$3&lt;='Gastos Gerais'!$E$4:$E$3143),-('Gastos Gerais'!$C$4:$C$3143))</f>
        <v>4400</v>
      </c>
      <c r="P117" s="134">
        <f>SUMPRODUCT(-('Gastos Gerais'!$B$4:$B$3143=Analítico!$B117),-(Analítico!P$3&gt;='Gastos Gerais'!$D$4:$D$3143),-(Analítico!P$3&lt;='Gastos Gerais'!$E$4:$E$3143),-('Gastos Gerais'!$C$4:$C$3143))</f>
        <v>4400</v>
      </c>
      <c r="Q117" s="134">
        <f>SUMPRODUCT(-('Gastos Gerais'!$B$4:$B$3143=Analítico!$B117),-(Analítico!Q$3&gt;='Gastos Gerais'!$D$4:$D$3143),-(Analítico!Q$3&lt;='Gastos Gerais'!$E$4:$E$3143),-('Gastos Gerais'!$C$4:$C$3143))</f>
        <v>4400</v>
      </c>
      <c r="R117" s="134">
        <f>SUMPRODUCT(-('Gastos Gerais'!$B$4:$B$3143=Analítico!$B117),-(Analítico!R$3&gt;='Gastos Gerais'!$D$4:$D$3143),-(Analítico!R$3&lt;='Gastos Gerais'!$E$4:$E$3143),-('Gastos Gerais'!$C$4:$C$3143))</f>
        <v>4400</v>
      </c>
      <c r="S117" s="134">
        <f>SUMPRODUCT(-('Gastos Gerais'!$B$4:$B$3143=Analítico!$B117),-(Analítico!S$3&gt;='Gastos Gerais'!$D$4:$D$3143),-(Analítico!S$3&lt;='Gastos Gerais'!$E$4:$E$3143),-('Gastos Gerais'!$C$4:$C$3143))</f>
        <v>4400</v>
      </c>
      <c r="T117" s="134">
        <f>SUMPRODUCT(-('Gastos Gerais'!$B$4:$B$3143=Analítico!$B117),-(Analítico!T$3&gt;='Gastos Gerais'!$D$4:$D$3143),-(Analítico!T$3&lt;='Gastos Gerais'!$E$4:$E$3143),-('Gastos Gerais'!$C$4:$C$3143))</f>
        <v>4400</v>
      </c>
      <c r="U117" s="134">
        <f>SUMPRODUCT(-('Gastos Gerais'!$B$4:$B$3143=Analítico!$B117),-(Analítico!U$3&gt;='Gastos Gerais'!$D$4:$D$3143),-(Analítico!U$3&lt;='Gastos Gerais'!$E$4:$E$3143),-('Gastos Gerais'!$C$4:$C$3143))</f>
        <v>4400</v>
      </c>
      <c r="V117" s="134">
        <f>SUMPRODUCT(-('Gastos Gerais'!$B$4:$B$3143=Analítico!$B117),-(Analítico!V$3&gt;='Gastos Gerais'!$D$4:$D$3143),-(Analítico!V$3&lt;='Gastos Gerais'!$E$4:$E$3143),-('Gastos Gerais'!$C$4:$C$3143))</f>
        <v>4400</v>
      </c>
      <c r="W117" s="134">
        <f>SUMPRODUCT(-('Gastos Gerais'!$B$4:$B$3143=Analítico!$B117),-(Analítico!W$3&gt;='Gastos Gerais'!$D$4:$D$3143),-(Analítico!W$3&lt;='Gastos Gerais'!$E$4:$E$3143),-('Gastos Gerais'!$C$4:$C$3143))</f>
        <v>4400</v>
      </c>
      <c r="X117" s="134">
        <f>SUMPRODUCT(-('Gastos Gerais'!$B$4:$B$3143=Analítico!$B117),-(Analítico!X$3&gt;='Gastos Gerais'!$D$4:$D$3143),-(Analítico!X$3&lt;='Gastos Gerais'!$E$4:$E$3143),-('Gastos Gerais'!$C$4:$C$3143))</f>
        <v>4400</v>
      </c>
      <c r="Y117" s="134">
        <f>SUMPRODUCT(-('Gastos Gerais'!$B$4:$B$3143=Analítico!$B117),-(Analítico!Y$3&gt;='Gastos Gerais'!$D$4:$D$3143),-(Analítico!Y$3&lt;='Gastos Gerais'!$E$4:$E$3143),-('Gastos Gerais'!$C$4:$C$3143))</f>
        <v>4400</v>
      </c>
      <c r="Z117" s="134">
        <f>SUMPRODUCT(-('Gastos Gerais'!$B$4:$B$3143=Analítico!$B117),-(Analítico!Z$3&gt;='Gastos Gerais'!$D$4:$D$3143),-(Analítico!Z$3&lt;='Gastos Gerais'!$E$4:$E$3143),-('Gastos Gerais'!$C$4:$C$3143))</f>
        <v>4400</v>
      </c>
      <c r="AA117" s="134">
        <f>SUMPRODUCT(-('Gastos Gerais'!$B$4:$B$3143=Analítico!$B117),-(Analítico!AA$3&gt;='Gastos Gerais'!$D$4:$D$3143),-(Analítico!AA$3&lt;='Gastos Gerais'!$E$4:$E$3143),-('Gastos Gerais'!$C$4:$C$3143))</f>
        <v>4500</v>
      </c>
      <c r="AB117" s="134">
        <f>SUMPRODUCT(-('Gastos Gerais'!$B$4:$B$3143=Analítico!$B117),-(Analítico!AB$3&gt;='Gastos Gerais'!$D$4:$D$3143),-(Analítico!AB$3&lt;='Gastos Gerais'!$E$4:$E$3143),-('Gastos Gerais'!$C$4:$C$3143))</f>
        <v>4500</v>
      </c>
      <c r="AC117" s="134">
        <f>SUMPRODUCT(-('Gastos Gerais'!$B$4:$B$3143=Analítico!$B117),-(Analítico!AC$3&gt;='Gastos Gerais'!$D$4:$D$3143),-(Analítico!AC$3&lt;='Gastos Gerais'!$E$4:$E$3143),-('Gastos Gerais'!$C$4:$C$3143))</f>
        <v>4500</v>
      </c>
      <c r="AD117" s="134">
        <f>SUMPRODUCT(-('Gastos Gerais'!$B$4:$B$3143=Analítico!$B117),-(Analítico!AD$3&gt;='Gastos Gerais'!$D$4:$D$3143),-(Analítico!AD$3&lt;='Gastos Gerais'!$E$4:$E$3143),-('Gastos Gerais'!$C$4:$C$3143))</f>
        <v>4500</v>
      </c>
      <c r="AE117" s="134">
        <f>SUMPRODUCT(-('Gastos Gerais'!$B$4:$B$3143=Analítico!$B117),-(Analítico!AE$3&gt;='Gastos Gerais'!$D$4:$D$3143),-(Analítico!AE$3&lt;='Gastos Gerais'!$E$4:$E$3143),-('Gastos Gerais'!$C$4:$C$3143))</f>
        <v>4500</v>
      </c>
      <c r="AF117" s="134">
        <f>SUMPRODUCT(-('Gastos Gerais'!$B$4:$B$3143=Analítico!$B117),-(Analítico!AF$3&gt;='Gastos Gerais'!$D$4:$D$3143),-(Analítico!AF$3&lt;='Gastos Gerais'!$E$4:$E$3143),-('Gastos Gerais'!$C$4:$C$3143))</f>
        <v>4500</v>
      </c>
      <c r="AG117" s="134">
        <f>SUMPRODUCT(-('Gastos Gerais'!$B$4:$B$3143=Analítico!$B117),-(Analítico!AG$3&gt;='Gastos Gerais'!$D$4:$D$3143),-(Analítico!AG$3&lt;='Gastos Gerais'!$E$4:$E$3143),-('Gastos Gerais'!$C$4:$C$3143))</f>
        <v>4500</v>
      </c>
      <c r="AH117" s="134">
        <f>SUMPRODUCT(-('Gastos Gerais'!$B$4:$B$3143=Analítico!$B117),-(Analítico!AH$3&gt;='Gastos Gerais'!$D$4:$D$3143),-(Analítico!AH$3&lt;='Gastos Gerais'!$E$4:$E$3143),-('Gastos Gerais'!$C$4:$C$3143))</f>
        <v>4500</v>
      </c>
      <c r="AI117" s="134">
        <f>SUMPRODUCT(-('Gastos Gerais'!$B$4:$B$3143=Analítico!$B117),-(Analítico!AI$3&gt;='Gastos Gerais'!$D$4:$D$3143),-(Analítico!AI$3&lt;='Gastos Gerais'!$E$4:$E$3143),-('Gastos Gerais'!$C$4:$C$3143))</f>
        <v>4500</v>
      </c>
      <c r="AJ117" s="134">
        <f>SUMPRODUCT(-('Gastos Gerais'!$B$4:$B$3143=Analítico!$B117),-(Analítico!AJ$3&gt;='Gastos Gerais'!$D$4:$D$3143),-(Analítico!AJ$3&lt;='Gastos Gerais'!$E$4:$E$3143),-('Gastos Gerais'!$C$4:$C$3143))</f>
        <v>4500</v>
      </c>
      <c r="AK117" s="134">
        <f>SUMPRODUCT(-('Gastos Gerais'!$B$4:$B$3143=Analítico!$B117),-(Analítico!AK$3&gt;='Gastos Gerais'!$D$4:$D$3143),-(Analítico!AK$3&lt;='Gastos Gerais'!$E$4:$E$3143),-('Gastos Gerais'!$C$4:$C$3143))</f>
        <v>4400</v>
      </c>
      <c r="AL117" s="134">
        <f>SUMPRODUCT(-('Gastos Gerais'!$B$4:$B$3143=Analítico!$B117),-(Analítico!AL$3&gt;='Gastos Gerais'!$D$4:$D$3143),-(Analítico!AL$3&lt;='Gastos Gerais'!$E$4:$E$3143),-('Gastos Gerais'!$C$4:$C$3143))</f>
        <v>4400</v>
      </c>
      <c r="AM117" s="134">
        <f>SUMPRODUCT(-('Gastos Gerais'!$B$4:$B$3143=Analítico!$B117),-(Analítico!AM$3&gt;='Gastos Gerais'!$D$4:$D$3143),-(Analítico!AM$3&lt;='Gastos Gerais'!$E$4:$E$3143),-('Gastos Gerais'!$C$4:$C$3143))</f>
        <v>2200</v>
      </c>
      <c r="AN117" s="134">
        <f>SUMPRODUCT(-('Gastos Gerais'!$B$4:$B$3143=Analítico!$B117),-(Analítico!AN$3&gt;='Gastos Gerais'!$D$4:$D$3143),-(Analítico!AN$3&lt;='Gastos Gerais'!$E$4:$E$3143),-('Gastos Gerais'!$C$4:$C$3143))</f>
        <v>2200</v>
      </c>
      <c r="AO117" s="134">
        <f>SUMPRODUCT(-('Gastos Gerais'!$B$4:$B$3143=Analítico!$B117),-(Analítico!AO$3&gt;='Gastos Gerais'!$D$4:$D$3143),-(Analítico!AO$3&lt;='Gastos Gerais'!$E$4:$E$3143),-('Gastos Gerais'!$C$4:$C$3143))</f>
        <v>2200</v>
      </c>
      <c r="AP117" s="134">
        <f>SUMPRODUCT(-('Gastos Gerais'!$B$4:$B$3143=Analítico!$B117),-(Analítico!AP$3&gt;='Gastos Gerais'!$D$4:$D$3143),-(Analítico!AP$3&lt;='Gastos Gerais'!$E$4:$E$3143),-('Gastos Gerais'!$C$4:$C$3143))</f>
        <v>2200</v>
      </c>
      <c r="AQ117" s="134">
        <f>SUMPRODUCT(-('Gastos Gerais'!$B$4:$B$3143=Analítico!$B117),-(Analítico!AQ$3&gt;='Gastos Gerais'!$D$4:$D$3143),-(Analítico!AQ$3&lt;='Gastos Gerais'!$E$4:$E$3143),-('Gastos Gerais'!$C$4:$C$3143))</f>
        <v>2200</v>
      </c>
      <c r="AR117" s="134">
        <f>SUMPRODUCT(-('Gastos Gerais'!$B$4:$B$3143=Analítico!$B117),-(Analítico!AR$3&gt;='Gastos Gerais'!$D$4:$D$3143),-(Analítico!AR$3&lt;='Gastos Gerais'!$E$4:$E$3143),-('Gastos Gerais'!$C$4:$C$3143))</f>
        <v>2200</v>
      </c>
      <c r="AS117" s="134">
        <f>SUMPRODUCT(-('Gastos Gerais'!$B$4:$B$3143=Analítico!$B117),-(Analítico!AS$3&gt;='Gastos Gerais'!$D$4:$D$3143),-(Analítico!AS$3&lt;='Gastos Gerais'!$E$4:$E$3143),-('Gastos Gerais'!$C$4:$C$3143))</f>
        <v>2200</v>
      </c>
      <c r="AT117" s="134">
        <f>SUMPRODUCT(-('Gastos Gerais'!$B$4:$B$3143=Analítico!$B117),-(Analítico!AT$3&gt;='Gastos Gerais'!$D$4:$D$3143),-(Analítico!AT$3&lt;='Gastos Gerais'!$E$4:$E$3143),-('Gastos Gerais'!$C$4:$C$3143))</f>
        <v>2200</v>
      </c>
      <c r="AU117" s="134">
        <f>SUMPRODUCT(-('Gastos Gerais'!$B$4:$B$3143=Analítico!$B117),-(Analítico!AU$3&gt;='Gastos Gerais'!$D$4:$D$3143),-(Analítico!AU$3&lt;='Gastos Gerais'!$E$4:$E$3143),-('Gastos Gerais'!$C$4:$C$3143))</f>
        <v>2200</v>
      </c>
      <c r="AV117" s="134">
        <f>SUMPRODUCT(-('Gastos Gerais'!$B$4:$B$3143=Analítico!$B117),-(Analítico!AV$3&gt;='Gastos Gerais'!$D$4:$D$3143),-(Analítico!AV$3&lt;='Gastos Gerais'!$E$4:$E$3143),-('Gastos Gerais'!$C$4:$C$3143))</f>
        <v>2200</v>
      </c>
      <c r="AW117" s="134">
        <f>SUMPRODUCT(-('Gastos Gerais'!$B$4:$B$3143=Analítico!$B117),-(Analítico!AW$3&gt;='Gastos Gerais'!$D$4:$D$3143),-(Analítico!AW$3&lt;='Gastos Gerais'!$E$4:$E$3143),-('Gastos Gerais'!$C$4:$C$3143))</f>
        <v>2200</v>
      </c>
      <c r="AX117" s="134">
        <f>SUMPRODUCT(-('Gastos Gerais'!$B$4:$B$3143=Analítico!$B117),-(Analítico!AX$3&gt;='Gastos Gerais'!$D$4:$D$3143),-(Analítico!AX$3&lt;='Gastos Gerais'!$E$4:$E$3143),-('Gastos Gerais'!$C$4:$C$3143))</f>
        <v>0</v>
      </c>
      <c r="AY117" s="134">
        <f>SUMPRODUCT(-('Gastos Gerais'!$B$4:$B$3143=Analítico!$B117),-(Analítico!AY$3&gt;='Gastos Gerais'!$D$4:$D$3143),-(Analítico!AY$3&lt;='Gastos Gerais'!$E$4:$E$3143),-('Gastos Gerais'!$C$4:$C$3143))</f>
        <v>0</v>
      </c>
      <c r="AZ117" s="134">
        <f>SUMPRODUCT(-('Gastos Gerais'!$B$4:$B$3143=Analítico!$B117),-(Analítico!AZ$3&gt;='Gastos Gerais'!$D$4:$D$3143),-(Analítico!AZ$3&lt;='Gastos Gerais'!$E$4:$E$3143),-('Gastos Gerais'!$C$4:$C$3143))</f>
        <v>0</v>
      </c>
      <c r="BA117" s="134">
        <f>SUMPRODUCT(-('Gastos Gerais'!$B$4:$B$3143=Analítico!$B117),-(Analítico!BA$3&gt;='Gastos Gerais'!$D$4:$D$3143),-(Analítico!BA$3&lt;='Gastos Gerais'!$E$4:$E$3143),-('Gastos Gerais'!$C$4:$C$3143))</f>
        <v>0</v>
      </c>
      <c r="BB117" s="134">
        <f>SUMPRODUCT(-('Gastos Gerais'!$B$4:$B$3143=Analítico!$B117),-(Analítico!BB$3&gt;='Gastos Gerais'!$D$4:$D$3143),-(Analítico!BB$3&lt;='Gastos Gerais'!$E$4:$E$3143),-('Gastos Gerais'!$C$4:$C$3143))</f>
        <v>0</v>
      </c>
      <c r="BC117" s="134">
        <f>SUMPRODUCT(-('Gastos Gerais'!$B$4:$B$3143=Analítico!$B117),-(Analítico!BC$3&gt;='Gastos Gerais'!$D$4:$D$3143),-(Analítico!BC$3&lt;='Gastos Gerais'!$E$4:$E$3143),-('Gastos Gerais'!$C$4:$C$3143))</f>
        <v>0</v>
      </c>
      <c r="BD117" s="134">
        <f>SUMPRODUCT(-('Gastos Gerais'!$B$4:$B$3143=Analítico!$B117),-(Analítico!BD$3&gt;='Gastos Gerais'!$D$4:$D$3143),-(Analítico!BD$3&lt;='Gastos Gerais'!$E$4:$E$3143),-('Gastos Gerais'!$C$4:$C$3143))</f>
        <v>0</v>
      </c>
      <c r="BE117" s="134">
        <f>SUMPRODUCT(-('Gastos Gerais'!$B$4:$B$3143=Analítico!$B117),-(Analítico!BE$3&gt;='Gastos Gerais'!$D$4:$D$3143),-(Analítico!BE$3&lt;='Gastos Gerais'!$E$4:$E$3143),-('Gastos Gerais'!$C$4:$C$3143))</f>
        <v>0</v>
      </c>
      <c r="BF117" s="134">
        <f>SUMPRODUCT(-('Gastos Gerais'!$B$4:$B$3143=Analítico!$B117),-(Analítico!BF$3&gt;='Gastos Gerais'!$D$4:$D$3143),-(Analítico!BF$3&lt;='Gastos Gerais'!$E$4:$E$3143),-('Gastos Gerais'!$C$4:$C$3143))</f>
        <v>0</v>
      </c>
      <c r="BG117" s="134">
        <f>SUMPRODUCT(-('Gastos Gerais'!$B$4:$B$3143=Analítico!$B117),-(Analítico!BG$3&gt;='Gastos Gerais'!$D$4:$D$3143),-(Analítico!BG$3&lt;='Gastos Gerais'!$E$4:$E$3143),-('Gastos Gerais'!$C$4:$C$3143))</f>
        <v>0</v>
      </c>
      <c r="BH117" s="134">
        <f>SUMPRODUCT(-('Gastos Gerais'!$B$4:$B$3143=Analítico!$B117),-(Analítico!BH$3&gt;='Gastos Gerais'!$D$4:$D$3143),-(Analítico!BH$3&lt;='Gastos Gerais'!$E$4:$E$3143),-('Gastos Gerais'!$C$4:$C$3143))</f>
        <v>0</v>
      </c>
      <c r="BI117" s="134">
        <f>SUMPRODUCT(-('Gastos Gerais'!$B$4:$B$3143=Analítico!$B117),-(Analítico!BI$3&gt;='Gastos Gerais'!$D$4:$D$3143),-(Analítico!BI$3&lt;='Gastos Gerais'!$E$4:$E$3143),-('Gastos Gerais'!$C$4:$C$3143))</f>
        <v>0</v>
      </c>
      <c r="BJ117" s="134">
        <f>SUMPRODUCT(-('Gastos Gerais'!$B$4:$B$3143=Analítico!$B117),-(Analítico!BJ$3&gt;='Gastos Gerais'!$D$4:$D$3143),-(Analítico!BJ$3&lt;='Gastos Gerais'!$E$4:$E$3143),-('Gastos Gerais'!$C$4:$C$3143))</f>
        <v>0</v>
      </c>
      <c r="BK117" s="189">
        <f t="shared" si="26"/>
        <v>179600</v>
      </c>
      <c r="BL117" s="136">
        <f t="shared" ca="1" si="27"/>
        <v>6.1836246043709677E-4</v>
      </c>
    </row>
    <row r="118" spans="1:64" s="160" customFormat="1" ht="23.25" customHeight="1">
      <c r="A118" s="229" t="s">
        <v>313</v>
      </c>
      <c r="B118" s="232" t="s">
        <v>314</v>
      </c>
      <c r="C118" s="188">
        <f>SUMPRODUCT(-('Gastos Gerais'!$B$4:$B$3143=Analítico!$B118),-(Analítico!C$3&gt;='Gastos Gerais'!$D$4:$D$3143),-(Analítico!C$3&lt;='Gastos Gerais'!$E$4:$E$3143),-('Gastos Gerais'!$C$4:$C$3143))</f>
        <v>500</v>
      </c>
      <c r="D118" s="134">
        <f>SUMPRODUCT(-('Gastos Gerais'!$B$4:$B$3143=Analítico!$B118),-(Analítico!D$3&gt;='Gastos Gerais'!$D$4:$D$3143),-(Analítico!D$3&lt;='Gastos Gerais'!$E$4:$E$3143),-('Gastos Gerais'!$C$4:$C$3143))</f>
        <v>500</v>
      </c>
      <c r="E118" s="134">
        <f>SUMPRODUCT(-('Gastos Gerais'!$B$4:$B$3143=Analítico!$B118),-(Analítico!E$3&gt;='Gastos Gerais'!$D$4:$D$3143),-(Analítico!E$3&lt;='Gastos Gerais'!$E$4:$E$3143),-('Gastos Gerais'!$C$4:$C$3143))</f>
        <v>500</v>
      </c>
      <c r="F118" s="134">
        <f>SUMPRODUCT(-('Gastos Gerais'!$B$4:$B$3143=Analítico!$B118),-(Analítico!F$3&gt;='Gastos Gerais'!$D$4:$D$3143),-(Analítico!F$3&lt;='Gastos Gerais'!$E$4:$E$3143),-('Gastos Gerais'!$C$4:$C$3143))</f>
        <v>500</v>
      </c>
      <c r="G118" s="134">
        <f>SUMPRODUCT(-('Gastos Gerais'!$B$4:$B$3143=Analítico!$B118),-(Analítico!G$3&gt;='Gastos Gerais'!$D$4:$D$3143),-(Analítico!G$3&lt;='Gastos Gerais'!$E$4:$E$3143),-('Gastos Gerais'!$C$4:$C$3143))</f>
        <v>500</v>
      </c>
      <c r="H118" s="134">
        <f>SUMPRODUCT(-('Gastos Gerais'!$B$4:$B$3143=Analítico!$B118),-(Analítico!H$3&gt;='Gastos Gerais'!$D$4:$D$3143),-(Analítico!H$3&lt;='Gastos Gerais'!$E$4:$E$3143),-('Gastos Gerais'!$C$4:$C$3143))</f>
        <v>500</v>
      </c>
      <c r="I118" s="134">
        <f>SUMPRODUCT(-('Gastos Gerais'!$B$4:$B$3143=Analítico!$B118),-(Analítico!I$3&gt;='Gastos Gerais'!$D$4:$D$3143),-(Analítico!I$3&lt;='Gastos Gerais'!$E$4:$E$3143),-('Gastos Gerais'!$C$4:$C$3143))</f>
        <v>500</v>
      </c>
      <c r="J118" s="134">
        <f>SUMPRODUCT(-('Gastos Gerais'!$B$4:$B$3143=Analítico!$B118),-(Analítico!J$3&gt;='Gastos Gerais'!$D$4:$D$3143),-(Analítico!J$3&lt;='Gastos Gerais'!$E$4:$E$3143),-('Gastos Gerais'!$C$4:$C$3143))</f>
        <v>500</v>
      </c>
      <c r="K118" s="134">
        <f>SUMPRODUCT(-('Gastos Gerais'!$B$4:$B$3143=Analítico!$B118),-(Analítico!K$3&gt;='Gastos Gerais'!$D$4:$D$3143),-(Analítico!K$3&lt;='Gastos Gerais'!$E$4:$E$3143),-('Gastos Gerais'!$C$4:$C$3143))</f>
        <v>500</v>
      </c>
      <c r="L118" s="134">
        <f>SUMPRODUCT(-('Gastos Gerais'!$B$4:$B$3143=Analítico!$B118),-(Analítico!L$3&gt;='Gastos Gerais'!$D$4:$D$3143),-(Analítico!L$3&lt;='Gastos Gerais'!$E$4:$E$3143),-('Gastos Gerais'!$C$4:$C$3143))</f>
        <v>500</v>
      </c>
      <c r="M118" s="134">
        <f>SUMPRODUCT(-('Gastos Gerais'!$B$4:$B$3143=Analítico!$B118),-(Analítico!M$3&gt;='Gastos Gerais'!$D$4:$D$3143),-(Analítico!M$3&lt;='Gastos Gerais'!$E$4:$E$3143),-('Gastos Gerais'!$C$4:$C$3143))</f>
        <v>500</v>
      </c>
      <c r="N118" s="134">
        <f>SUMPRODUCT(-('Gastos Gerais'!$B$4:$B$3143=Analítico!$B118),-(Analítico!N$3&gt;='Gastos Gerais'!$D$4:$D$3143),-(Analítico!N$3&lt;='Gastos Gerais'!$E$4:$E$3143),-('Gastos Gerais'!$C$4:$C$3143))</f>
        <v>500</v>
      </c>
      <c r="O118" s="134">
        <f>SUMPRODUCT(-('Gastos Gerais'!$B$4:$B$3143=Analítico!$B118),-(Analítico!O$3&gt;='Gastos Gerais'!$D$4:$D$3143),-(Analítico!O$3&lt;='Gastos Gerais'!$E$4:$E$3143),-('Gastos Gerais'!$C$4:$C$3143))</f>
        <v>500</v>
      </c>
      <c r="P118" s="134">
        <f>SUMPRODUCT(-('Gastos Gerais'!$B$4:$B$3143=Analítico!$B118),-(Analítico!P$3&gt;='Gastos Gerais'!$D$4:$D$3143),-(Analítico!P$3&lt;='Gastos Gerais'!$E$4:$E$3143),-('Gastos Gerais'!$C$4:$C$3143))</f>
        <v>500</v>
      </c>
      <c r="Q118" s="134">
        <f>SUMPRODUCT(-('Gastos Gerais'!$B$4:$B$3143=Analítico!$B118),-(Analítico!Q$3&gt;='Gastos Gerais'!$D$4:$D$3143),-(Analítico!Q$3&lt;='Gastos Gerais'!$E$4:$E$3143),-('Gastos Gerais'!$C$4:$C$3143))</f>
        <v>500</v>
      </c>
      <c r="R118" s="134">
        <f>SUMPRODUCT(-('Gastos Gerais'!$B$4:$B$3143=Analítico!$B118),-(Analítico!R$3&gt;='Gastos Gerais'!$D$4:$D$3143),-(Analítico!R$3&lt;='Gastos Gerais'!$E$4:$E$3143),-('Gastos Gerais'!$C$4:$C$3143))</f>
        <v>500</v>
      </c>
      <c r="S118" s="134">
        <f>SUMPRODUCT(-('Gastos Gerais'!$B$4:$B$3143=Analítico!$B118),-(Analítico!S$3&gt;='Gastos Gerais'!$D$4:$D$3143),-(Analítico!S$3&lt;='Gastos Gerais'!$E$4:$E$3143),-('Gastos Gerais'!$C$4:$C$3143))</f>
        <v>500</v>
      </c>
      <c r="T118" s="134">
        <f>SUMPRODUCT(-('Gastos Gerais'!$B$4:$B$3143=Analítico!$B118),-(Analítico!T$3&gt;='Gastos Gerais'!$D$4:$D$3143),-(Analítico!T$3&lt;='Gastos Gerais'!$E$4:$E$3143),-('Gastos Gerais'!$C$4:$C$3143))</f>
        <v>500</v>
      </c>
      <c r="U118" s="134">
        <f>SUMPRODUCT(-('Gastos Gerais'!$B$4:$B$3143=Analítico!$B118),-(Analítico!U$3&gt;='Gastos Gerais'!$D$4:$D$3143),-(Analítico!U$3&lt;='Gastos Gerais'!$E$4:$E$3143),-('Gastos Gerais'!$C$4:$C$3143))</f>
        <v>500</v>
      </c>
      <c r="V118" s="134">
        <f>SUMPRODUCT(-('Gastos Gerais'!$B$4:$B$3143=Analítico!$B118),-(Analítico!V$3&gt;='Gastos Gerais'!$D$4:$D$3143),-(Analítico!V$3&lt;='Gastos Gerais'!$E$4:$E$3143),-('Gastos Gerais'!$C$4:$C$3143))</f>
        <v>500</v>
      </c>
      <c r="W118" s="134">
        <f>SUMPRODUCT(-('Gastos Gerais'!$B$4:$B$3143=Analítico!$B118),-(Analítico!W$3&gt;='Gastos Gerais'!$D$4:$D$3143),-(Analítico!W$3&lt;='Gastos Gerais'!$E$4:$E$3143),-('Gastos Gerais'!$C$4:$C$3143))</f>
        <v>500</v>
      </c>
      <c r="X118" s="134">
        <f>SUMPRODUCT(-('Gastos Gerais'!$B$4:$B$3143=Analítico!$B118),-(Analítico!X$3&gt;='Gastos Gerais'!$D$4:$D$3143),-(Analítico!X$3&lt;='Gastos Gerais'!$E$4:$E$3143),-('Gastos Gerais'!$C$4:$C$3143))</f>
        <v>500</v>
      </c>
      <c r="Y118" s="134">
        <f>SUMPRODUCT(-('Gastos Gerais'!$B$4:$B$3143=Analítico!$B118),-(Analítico!Y$3&gt;='Gastos Gerais'!$D$4:$D$3143),-(Analítico!Y$3&lt;='Gastos Gerais'!$E$4:$E$3143),-('Gastos Gerais'!$C$4:$C$3143))</f>
        <v>500</v>
      </c>
      <c r="Z118" s="134">
        <f>SUMPRODUCT(-('Gastos Gerais'!$B$4:$B$3143=Analítico!$B118),-(Analítico!Z$3&gt;='Gastos Gerais'!$D$4:$D$3143),-(Analítico!Z$3&lt;='Gastos Gerais'!$E$4:$E$3143),-('Gastos Gerais'!$C$4:$C$3143))</f>
        <v>500</v>
      </c>
      <c r="AA118" s="134">
        <f>SUMPRODUCT(-('Gastos Gerais'!$B$4:$B$3143=Analítico!$B118),-(Analítico!AA$3&gt;='Gastos Gerais'!$D$4:$D$3143),-(Analítico!AA$3&lt;='Gastos Gerais'!$E$4:$E$3143),-('Gastos Gerais'!$C$4:$C$3143))</f>
        <v>500</v>
      </c>
      <c r="AB118" s="134">
        <f>SUMPRODUCT(-('Gastos Gerais'!$B$4:$B$3143=Analítico!$B118),-(Analítico!AB$3&gt;='Gastos Gerais'!$D$4:$D$3143),-(Analítico!AB$3&lt;='Gastos Gerais'!$E$4:$E$3143),-('Gastos Gerais'!$C$4:$C$3143))</f>
        <v>500</v>
      </c>
      <c r="AC118" s="134">
        <f>SUMPRODUCT(-('Gastos Gerais'!$B$4:$B$3143=Analítico!$B118),-(Analítico!AC$3&gt;='Gastos Gerais'!$D$4:$D$3143),-(Analítico!AC$3&lt;='Gastos Gerais'!$E$4:$E$3143),-('Gastos Gerais'!$C$4:$C$3143))</f>
        <v>500</v>
      </c>
      <c r="AD118" s="134">
        <f>SUMPRODUCT(-('Gastos Gerais'!$B$4:$B$3143=Analítico!$B118),-(Analítico!AD$3&gt;='Gastos Gerais'!$D$4:$D$3143),-(Analítico!AD$3&lt;='Gastos Gerais'!$E$4:$E$3143),-('Gastos Gerais'!$C$4:$C$3143))</f>
        <v>500</v>
      </c>
      <c r="AE118" s="134">
        <f>SUMPRODUCT(-('Gastos Gerais'!$B$4:$B$3143=Analítico!$B118),-(Analítico!AE$3&gt;='Gastos Gerais'!$D$4:$D$3143),-(Analítico!AE$3&lt;='Gastos Gerais'!$E$4:$E$3143),-('Gastos Gerais'!$C$4:$C$3143))</f>
        <v>500</v>
      </c>
      <c r="AF118" s="134">
        <f>SUMPRODUCT(-('Gastos Gerais'!$B$4:$B$3143=Analítico!$B118),-(Analítico!AF$3&gt;='Gastos Gerais'!$D$4:$D$3143),-(Analítico!AF$3&lt;='Gastos Gerais'!$E$4:$E$3143),-('Gastos Gerais'!$C$4:$C$3143))</f>
        <v>500</v>
      </c>
      <c r="AG118" s="134">
        <f>SUMPRODUCT(-('Gastos Gerais'!$B$4:$B$3143=Analítico!$B118),-(Analítico!AG$3&gt;='Gastos Gerais'!$D$4:$D$3143),-(Analítico!AG$3&lt;='Gastos Gerais'!$E$4:$E$3143),-('Gastos Gerais'!$C$4:$C$3143))</f>
        <v>500</v>
      </c>
      <c r="AH118" s="134">
        <f>SUMPRODUCT(-('Gastos Gerais'!$B$4:$B$3143=Analítico!$B118),-(Analítico!AH$3&gt;='Gastos Gerais'!$D$4:$D$3143),-(Analítico!AH$3&lt;='Gastos Gerais'!$E$4:$E$3143),-('Gastos Gerais'!$C$4:$C$3143))</f>
        <v>500</v>
      </c>
      <c r="AI118" s="134">
        <f>SUMPRODUCT(-('Gastos Gerais'!$B$4:$B$3143=Analítico!$B118),-(Analítico!AI$3&gt;='Gastos Gerais'!$D$4:$D$3143),-(Analítico!AI$3&lt;='Gastos Gerais'!$E$4:$E$3143),-('Gastos Gerais'!$C$4:$C$3143))</f>
        <v>500</v>
      </c>
      <c r="AJ118" s="134">
        <f>SUMPRODUCT(-('Gastos Gerais'!$B$4:$B$3143=Analítico!$B118),-(Analítico!AJ$3&gt;='Gastos Gerais'!$D$4:$D$3143),-(Analítico!AJ$3&lt;='Gastos Gerais'!$E$4:$E$3143),-('Gastos Gerais'!$C$4:$C$3143))</f>
        <v>500</v>
      </c>
      <c r="AK118" s="134">
        <f>SUMPRODUCT(-('Gastos Gerais'!$B$4:$B$3143=Analítico!$B118),-(Analítico!AK$3&gt;='Gastos Gerais'!$D$4:$D$3143),-(Analítico!AK$3&lt;='Gastos Gerais'!$E$4:$E$3143),-('Gastos Gerais'!$C$4:$C$3143))</f>
        <v>500</v>
      </c>
      <c r="AL118" s="134">
        <f>SUMPRODUCT(-('Gastos Gerais'!$B$4:$B$3143=Analítico!$B118),-(Analítico!AL$3&gt;='Gastos Gerais'!$D$4:$D$3143),-(Analítico!AL$3&lt;='Gastos Gerais'!$E$4:$E$3143),-('Gastos Gerais'!$C$4:$C$3143))</f>
        <v>500</v>
      </c>
      <c r="AM118" s="134">
        <f>SUMPRODUCT(-('Gastos Gerais'!$B$4:$B$3143=Analítico!$B118),-(Analítico!AM$3&gt;='Gastos Gerais'!$D$4:$D$3143),-(Analítico!AM$3&lt;='Gastos Gerais'!$E$4:$E$3143),-('Gastos Gerais'!$C$4:$C$3143))</f>
        <v>500</v>
      </c>
      <c r="AN118" s="134">
        <f>SUMPRODUCT(-('Gastos Gerais'!$B$4:$B$3143=Analítico!$B118),-(Analítico!AN$3&gt;='Gastos Gerais'!$D$4:$D$3143),-(Analítico!AN$3&lt;='Gastos Gerais'!$E$4:$E$3143),-('Gastos Gerais'!$C$4:$C$3143))</f>
        <v>500</v>
      </c>
      <c r="AO118" s="134">
        <f>SUMPRODUCT(-('Gastos Gerais'!$B$4:$B$3143=Analítico!$B118),-(Analítico!AO$3&gt;='Gastos Gerais'!$D$4:$D$3143),-(Analítico!AO$3&lt;='Gastos Gerais'!$E$4:$E$3143),-('Gastos Gerais'!$C$4:$C$3143))</f>
        <v>500</v>
      </c>
      <c r="AP118" s="134">
        <f>SUMPRODUCT(-('Gastos Gerais'!$B$4:$B$3143=Analítico!$B118),-(Analítico!AP$3&gt;='Gastos Gerais'!$D$4:$D$3143),-(Analítico!AP$3&lt;='Gastos Gerais'!$E$4:$E$3143),-('Gastos Gerais'!$C$4:$C$3143))</f>
        <v>500</v>
      </c>
      <c r="AQ118" s="134">
        <f>SUMPRODUCT(-('Gastos Gerais'!$B$4:$B$3143=Analítico!$B118),-(Analítico!AQ$3&gt;='Gastos Gerais'!$D$4:$D$3143),-(Analítico!AQ$3&lt;='Gastos Gerais'!$E$4:$E$3143),-('Gastos Gerais'!$C$4:$C$3143))</f>
        <v>500</v>
      </c>
      <c r="AR118" s="134">
        <f>SUMPRODUCT(-('Gastos Gerais'!$B$4:$B$3143=Analítico!$B118),-(Analítico!AR$3&gt;='Gastos Gerais'!$D$4:$D$3143),-(Analítico!AR$3&lt;='Gastos Gerais'!$E$4:$E$3143),-('Gastos Gerais'!$C$4:$C$3143))</f>
        <v>500</v>
      </c>
      <c r="AS118" s="134">
        <f>SUMPRODUCT(-('Gastos Gerais'!$B$4:$B$3143=Analítico!$B118),-(Analítico!AS$3&gt;='Gastos Gerais'!$D$4:$D$3143),-(Analítico!AS$3&lt;='Gastos Gerais'!$E$4:$E$3143),-('Gastos Gerais'!$C$4:$C$3143))</f>
        <v>500</v>
      </c>
      <c r="AT118" s="134">
        <f>SUMPRODUCT(-('Gastos Gerais'!$B$4:$B$3143=Analítico!$B118),-(Analítico!AT$3&gt;='Gastos Gerais'!$D$4:$D$3143),-(Analítico!AT$3&lt;='Gastos Gerais'!$E$4:$E$3143),-('Gastos Gerais'!$C$4:$C$3143))</f>
        <v>500</v>
      </c>
      <c r="AU118" s="134">
        <f>SUMPRODUCT(-('Gastos Gerais'!$B$4:$B$3143=Analítico!$B118),-(Analítico!AU$3&gt;='Gastos Gerais'!$D$4:$D$3143),-(Analítico!AU$3&lt;='Gastos Gerais'!$E$4:$E$3143),-('Gastos Gerais'!$C$4:$C$3143))</f>
        <v>500</v>
      </c>
      <c r="AV118" s="134">
        <f>SUMPRODUCT(-('Gastos Gerais'!$B$4:$B$3143=Analítico!$B118),-(Analítico!AV$3&gt;='Gastos Gerais'!$D$4:$D$3143),-(Analítico!AV$3&lt;='Gastos Gerais'!$E$4:$E$3143),-('Gastos Gerais'!$C$4:$C$3143))</f>
        <v>500</v>
      </c>
      <c r="AW118" s="134">
        <f>SUMPRODUCT(-('Gastos Gerais'!$B$4:$B$3143=Analítico!$B118),-(Analítico!AW$3&gt;='Gastos Gerais'!$D$4:$D$3143),-(Analítico!AW$3&lt;='Gastos Gerais'!$E$4:$E$3143),-('Gastos Gerais'!$C$4:$C$3143))</f>
        <v>500</v>
      </c>
      <c r="AX118" s="134">
        <f>SUMPRODUCT(-('Gastos Gerais'!$B$4:$B$3143=Analítico!$B118),-(Analítico!AX$3&gt;='Gastos Gerais'!$D$4:$D$3143),-(Analítico!AX$3&lt;='Gastos Gerais'!$E$4:$E$3143),-('Gastos Gerais'!$C$4:$C$3143))</f>
        <v>0</v>
      </c>
      <c r="AY118" s="134">
        <f>SUMPRODUCT(-('Gastos Gerais'!$B$4:$B$3143=Analítico!$B118),-(Analítico!AY$3&gt;='Gastos Gerais'!$D$4:$D$3143),-(Analítico!AY$3&lt;='Gastos Gerais'!$E$4:$E$3143),-('Gastos Gerais'!$C$4:$C$3143))</f>
        <v>0</v>
      </c>
      <c r="AZ118" s="134">
        <f>SUMPRODUCT(-('Gastos Gerais'!$B$4:$B$3143=Analítico!$B118),-(Analítico!AZ$3&gt;='Gastos Gerais'!$D$4:$D$3143),-(Analítico!AZ$3&lt;='Gastos Gerais'!$E$4:$E$3143),-('Gastos Gerais'!$C$4:$C$3143))</f>
        <v>0</v>
      </c>
      <c r="BA118" s="134">
        <f>SUMPRODUCT(-('Gastos Gerais'!$B$4:$B$3143=Analítico!$B118),-(Analítico!BA$3&gt;='Gastos Gerais'!$D$4:$D$3143),-(Analítico!BA$3&lt;='Gastos Gerais'!$E$4:$E$3143),-('Gastos Gerais'!$C$4:$C$3143))</f>
        <v>0</v>
      </c>
      <c r="BB118" s="134">
        <f>SUMPRODUCT(-('Gastos Gerais'!$B$4:$B$3143=Analítico!$B118),-(Analítico!BB$3&gt;='Gastos Gerais'!$D$4:$D$3143),-(Analítico!BB$3&lt;='Gastos Gerais'!$E$4:$E$3143),-('Gastos Gerais'!$C$4:$C$3143))</f>
        <v>0</v>
      </c>
      <c r="BC118" s="134">
        <f>SUMPRODUCT(-('Gastos Gerais'!$B$4:$B$3143=Analítico!$B118),-(Analítico!BC$3&gt;='Gastos Gerais'!$D$4:$D$3143),-(Analítico!BC$3&lt;='Gastos Gerais'!$E$4:$E$3143),-('Gastos Gerais'!$C$4:$C$3143))</f>
        <v>0</v>
      </c>
      <c r="BD118" s="134">
        <f>SUMPRODUCT(-('Gastos Gerais'!$B$4:$B$3143=Analítico!$B118),-(Analítico!BD$3&gt;='Gastos Gerais'!$D$4:$D$3143),-(Analítico!BD$3&lt;='Gastos Gerais'!$E$4:$E$3143),-('Gastos Gerais'!$C$4:$C$3143))</f>
        <v>0</v>
      </c>
      <c r="BE118" s="134">
        <f>SUMPRODUCT(-('Gastos Gerais'!$B$4:$B$3143=Analítico!$B118),-(Analítico!BE$3&gt;='Gastos Gerais'!$D$4:$D$3143),-(Analítico!BE$3&lt;='Gastos Gerais'!$E$4:$E$3143),-('Gastos Gerais'!$C$4:$C$3143))</f>
        <v>0</v>
      </c>
      <c r="BF118" s="134">
        <f>SUMPRODUCT(-('Gastos Gerais'!$B$4:$B$3143=Analítico!$B118),-(Analítico!BF$3&gt;='Gastos Gerais'!$D$4:$D$3143),-(Analítico!BF$3&lt;='Gastos Gerais'!$E$4:$E$3143),-('Gastos Gerais'!$C$4:$C$3143))</f>
        <v>0</v>
      </c>
      <c r="BG118" s="134">
        <f>SUMPRODUCT(-('Gastos Gerais'!$B$4:$B$3143=Analítico!$B118),-(Analítico!BG$3&gt;='Gastos Gerais'!$D$4:$D$3143),-(Analítico!BG$3&lt;='Gastos Gerais'!$E$4:$E$3143),-('Gastos Gerais'!$C$4:$C$3143))</f>
        <v>0</v>
      </c>
      <c r="BH118" s="134">
        <f>SUMPRODUCT(-('Gastos Gerais'!$B$4:$B$3143=Analítico!$B118),-(Analítico!BH$3&gt;='Gastos Gerais'!$D$4:$D$3143),-(Analítico!BH$3&lt;='Gastos Gerais'!$E$4:$E$3143),-('Gastos Gerais'!$C$4:$C$3143))</f>
        <v>0</v>
      </c>
      <c r="BI118" s="134">
        <f>SUMPRODUCT(-('Gastos Gerais'!$B$4:$B$3143=Analítico!$B118),-(Analítico!BI$3&gt;='Gastos Gerais'!$D$4:$D$3143),-(Analítico!BI$3&lt;='Gastos Gerais'!$E$4:$E$3143),-('Gastos Gerais'!$C$4:$C$3143))</f>
        <v>0</v>
      </c>
      <c r="BJ118" s="134">
        <f>SUMPRODUCT(-('Gastos Gerais'!$B$4:$B$3143=Analítico!$B118),-(Analítico!BJ$3&gt;='Gastos Gerais'!$D$4:$D$3143),-(Analítico!BJ$3&lt;='Gastos Gerais'!$E$4:$E$3143),-('Gastos Gerais'!$C$4:$C$3143))</f>
        <v>0</v>
      </c>
      <c r="BK118" s="189">
        <f t="shared" si="26"/>
        <v>23500</v>
      </c>
      <c r="BL118" s="136">
        <f t="shared" ca="1" si="27"/>
        <v>8.0910455569441962E-5</v>
      </c>
    </row>
    <row r="119" spans="1:64" s="160" customFormat="1" ht="23.25" customHeight="1">
      <c r="A119" s="229" t="s">
        <v>315</v>
      </c>
      <c r="B119" s="232" t="s">
        <v>316</v>
      </c>
      <c r="C119" s="188">
        <f>SUMPRODUCT(-('Gastos Gerais'!$B$4:$B$3143=Analítico!$B119),-(Analítico!C$3&gt;='Gastos Gerais'!$D$4:$D$3143),-(Analítico!C$3&lt;='Gastos Gerais'!$E$4:$E$3143),-('Gastos Gerais'!$C$4:$C$3143))</f>
        <v>15100</v>
      </c>
      <c r="D119" s="134">
        <f>SUMPRODUCT(-('Gastos Gerais'!$B$4:$B$3143=Analítico!$B119),-(Analítico!D$3&gt;='Gastos Gerais'!$D$4:$D$3143),-(Analítico!D$3&lt;='Gastos Gerais'!$E$4:$E$3143),-('Gastos Gerais'!$C$4:$C$3143))</f>
        <v>15100</v>
      </c>
      <c r="E119" s="134">
        <f>SUMPRODUCT(-('Gastos Gerais'!$B$4:$B$3143=Analítico!$B119),-(Analítico!E$3&gt;='Gastos Gerais'!$D$4:$D$3143),-(Analítico!E$3&lt;='Gastos Gerais'!$E$4:$E$3143),-('Gastos Gerais'!$C$4:$C$3143))</f>
        <v>15900</v>
      </c>
      <c r="F119" s="134">
        <f>SUMPRODUCT(-('Gastos Gerais'!$B$4:$B$3143=Analítico!$B119),-(Analítico!F$3&gt;='Gastos Gerais'!$D$4:$D$3143),-(Analítico!F$3&lt;='Gastos Gerais'!$E$4:$E$3143),-('Gastos Gerais'!$C$4:$C$3143))</f>
        <v>16700</v>
      </c>
      <c r="G119" s="134">
        <f>SUMPRODUCT(-('Gastos Gerais'!$B$4:$B$3143=Analítico!$B119),-(Analítico!G$3&gt;='Gastos Gerais'!$D$4:$D$3143),-(Analítico!G$3&lt;='Gastos Gerais'!$E$4:$E$3143),-('Gastos Gerais'!$C$4:$C$3143))</f>
        <v>16700</v>
      </c>
      <c r="H119" s="134">
        <f>SUMPRODUCT(-('Gastos Gerais'!$B$4:$B$3143=Analítico!$B119),-(Analítico!H$3&gt;='Gastos Gerais'!$D$4:$D$3143),-(Analítico!H$3&lt;='Gastos Gerais'!$E$4:$E$3143),-('Gastos Gerais'!$C$4:$C$3143))</f>
        <v>16700</v>
      </c>
      <c r="I119" s="134">
        <f>SUMPRODUCT(-('Gastos Gerais'!$B$4:$B$3143=Analítico!$B119),-(Analítico!I$3&gt;='Gastos Gerais'!$D$4:$D$3143),-(Analítico!I$3&lt;='Gastos Gerais'!$E$4:$E$3143),-('Gastos Gerais'!$C$4:$C$3143))</f>
        <v>17500</v>
      </c>
      <c r="J119" s="134">
        <f>SUMPRODUCT(-('Gastos Gerais'!$B$4:$B$3143=Analítico!$B119),-(Analítico!J$3&gt;='Gastos Gerais'!$D$4:$D$3143),-(Analítico!J$3&lt;='Gastos Gerais'!$E$4:$E$3143),-('Gastos Gerais'!$C$4:$C$3143))</f>
        <v>17500</v>
      </c>
      <c r="K119" s="134">
        <f>SUMPRODUCT(-('Gastos Gerais'!$B$4:$B$3143=Analítico!$B119),-(Analítico!K$3&gt;='Gastos Gerais'!$D$4:$D$3143),-(Analítico!K$3&lt;='Gastos Gerais'!$E$4:$E$3143),-('Gastos Gerais'!$C$4:$C$3143))</f>
        <v>17500</v>
      </c>
      <c r="L119" s="134">
        <f>SUMPRODUCT(-('Gastos Gerais'!$B$4:$B$3143=Analítico!$B119),-(Analítico!L$3&gt;='Gastos Gerais'!$D$4:$D$3143),-(Analítico!L$3&lt;='Gastos Gerais'!$E$4:$E$3143),-('Gastos Gerais'!$C$4:$C$3143))</f>
        <v>18300</v>
      </c>
      <c r="M119" s="134">
        <f>SUMPRODUCT(-('Gastos Gerais'!$B$4:$B$3143=Analítico!$B119),-(Analítico!M$3&gt;='Gastos Gerais'!$D$4:$D$3143),-(Analítico!M$3&lt;='Gastos Gerais'!$E$4:$E$3143),-('Gastos Gerais'!$C$4:$C$3143))</f>
        <v>18300</v>
      </c>
      <c r="N119" s="134">
        <f>SUMPRODUCT(-('Gastos Gerais'!$B$4:$B$3143=Analítico!$B119),-(Analítico!N$3&gt;='Gastos Gerais'!$D$4:$D$3143),-(Analítico!N$3&lt;='Gastos Gerais'!$E$4:$E$3143),-('Gastos Gerais'!$C$4:$C$3143))</f>
        <v>18300</v>
      </c>
      <c r="O119" s="134">
        <f>SUMPRODUCT(-('Gastos Gerais'!$B$4:$B$3143=Analítico!$B119),-(Analítico!O$3&gt;='Gastos Gerais'!$D$4:$D$3143),-(Analítico!O$3&lt;='Gastos Gerais'!$E$4:$E$3143),-('Gastos Gerais'!$C$4:$C$3143))</f>
        <v>18300</v>
      </c>
      <c r="P119" s="134">
        <f>SUMPRODUCT(-('Gastos Gerais'!$B$4:$B$3143=Analítico!$B119),-(Analítico!P$3&gt;='Gastos Gerais'!$D$4:$D$3143),-(Analítico!P$3&lt;='Gastos Gerais'!$E$4:$E$3143),-('Gastos Gerais'!$C$4:$C$3143))</f>
        <v>18300</v>
      </c>
      <c r="Q119" s="134">
        <f>SUMPRODUCT(-('Gastos Gerais'!$B$4:$B$3143=Analítico!$B119),-(Analítico!Q$3&gt;='Gastos Gerais'!$D$4:$D$3143),-(Analítico!Q$3&lt;='Gastos Gerais'!$E$4:$E$3143),-('Gastos Gerais'!$C$4:$C$3143))</f>
        <v>18300</v>
      </c>
      <c r="R119" s="134">
        <f>SUMPRODUCT(-('Gastos Gerais'!$B$4:$B$3143=Analítico!$B119),-(Analítico!R$3&gt;='Gastos Gerais'!$D$4:$D$3143),-(Analítico!R$3&lt;='Gastos Gerais'!$E$4:$E$3143),-('Gastos Gerais'!$C$4:$C$3143))</f>
        <v>18300</v>
      </c>
      <c r="S119" s="134">
        <f>SUMPRODUCT(-('Gastos Gerais'!$B$4:$B$3143=Analítico!$B119),-(Analítico!S$3&gt;='Gastos Gerais'!$D$4:$D$3143),-(Analítico!S$3&lt;='Gastos Gerais'!$E$4:$E$3143),-('Gastos Gerais'!$C$4:$C$3143))</f>
        <v>18300</v>
      </c>
      <c r="T119" s="134">
        <f>SUMPRODUCT(-('Gastos Gerais'!$B$4:$B$3143=Analítico!$B119),-(Analítico!T$3&gt;='Gastos Gerais'!$D$4:$D$3143),-(Analítico!T$3&lt;='Gastos Gerais'!$E$4:$E$3143),-('Gastos Gerais'!$C$4:$C$3143))</f>
        <v>18300</v>
      </c>
      <c r="U119" s="134">
        <f>SUMPRODUCT(-('Gastos Gerais'!$B$4:$B$3143=Analítico!$B119),-(Analítico!U$3&gt;='Gastos Gerais'!$D$4:$D$3143),-(Analítico!U$3&lt;='Gastos Gerais'!$E$4:$E$3143),-('Gastos Gerais'!$C$4:$C$3143))</f>
        <v>18300</v>
      </c>
      <c r="V119" s="134">
        <f>SUMPRODUCT(-('Gastos Gerais'!$B$4:$B$3143=Analítico!$B119),-(Analítico!V$3&gt;='Gastos Gerais'!$D$4:$D$3143),-(Analítico!V$3&lt;='Gastos Gerais'!$E$4:$E$3143),-('Gastos Gerais'!$C$4:$C$3143))</f>
        <v>18300</v>
      </c>
      <c r="W119" s="134">
        <f>SUMPRODUCT(-('Gastos Gerais'!$B$4:$B$3143=Analítico!$B119),-(Analítico!W$3&gt;='Gastos Gerais'!$D$4:$D$3143),-(Analítico!W$3&lt;='Gastos Gerais'!$E$4:$E$3143),-('Gastos Gerais'!$C$4:$C$3143))</f>
        <v>18300</v>
      </c>
      <c r="X119" s="134">
        <f>SUMPRODUCT(-('Gastos Gerais'!$B$4:$B$3143=Analítico!$B119),-(Analítico!X$3&gt;='Gastos Gerais'!$D$4:$D$3143),-(Analítico!X$3&lt;='Gastos Gerais'!$E$4:$E$3143),-('Gastos Gerais'!$C$4:$C$3143))</f>
        <v>18300</v>
      </c>
      <c r="Y119" s="134">
        <f>SUMPRODUCT(-('Gastos Gerais'!$B$4:$B$3143=Analítico!$B119),-(Analítico!Y$3&gt;='Gastos Gerais'!$D$4:$D$3143),-(Analítico!Y$3&lt;='Gastos Gerais'!$E$4:$E$3143),-('Gastos Gerais'!$C$4:$C$3143))</f>
        <v>18300</v>
      </c>
      <c r="Z119" s="134">
        <f>SUMPRODUCT(-('Gastos Gerais'!$B$4:$B$3143=Analítico!$B119),-(Analítico!Z$3&gt;='Gastos Gerais'!$D$4:$D$3143),-(Analítico!Z$3&lt;='Gastos Gerais'!$E$4:$E$3143),-('Gastos Gerais'!$C$4:$C$3143))</f>
        <v>18300</v>
      </c>
      <c r="AA119" s="134">
        <f>SUMPRODUCT(-('Gastos Gerais'!$B$4:$B$3143=Analítico!$B119),-(Analítico!AA$3&gt;='Gastos Gerais'!$D$4:$D$3143),-(Analítico!AA$3&lt;='Gastos Gerais'!$E$4:$E$3143),-('Gastos Gerais'!$C$4:$C$3143))</f>
        <v>18700</v>
      </c>
      <c r="AB119" s="134">
        <f>SUMPRODUCT(-('Gastos Gerais'!$B$4:$B$3143=Analítico!$B119),-(Analítico!AB$3&gt;='Gastos Gerais'!$D$4:$D$3143),-(Analítico!AB$3&lt;='Gastos Gerais'!$E$4:$E$3143),-('Gastos Gerais'!$C$4:$C$3143))</f>
        <v>18700</v>
      </c>
      <c r="AC119" s="134">
        <f>SUMPRODUCT(-('Gastos Gerais'!$B$4:$B$3143=Analítico!$B119),-(Analítico!AC$3&gt;='Gastos Gerais'!$D$4:$D$3143),-(Analítico!AC$3&lt;='Gastos Gerais'!$E$4:$E$3143),-('Gastos Gerais'!$C$4:$C$3143))</f>
        <v>18700</v>
      </c>
      <c r="AD119" s="134">
        <f>SUMPRODUCT(-('Gastos Gerais'!$B$4:$B$3143=Analítico!$B119),-(Analítico!AD$3&gt;='Gastos Gerais'!$D$4:$D$3143),-(Analítico!AD$3&lt;='Gastos Gerais'!$E$4:$E$3143),-('Gastos Gerais'!$C$4:$C$3143))</f>
        <v>18700</v>
      </c>
      <c r="AE119" s="134">
        <f>SUMPRODUCT(-('Gastos Gerais'!$B$4:$B$3143=Analítico!$B119),-(Analítico!AE$3&gt;='Gastos Gerais'!$D$4:$D$3143),-(Analítico!AE$3&lt;='Gastos Gerais'!$E$4:$E$3143),-('Gastos Gerais'!$C$4:$C$3143))</f>
        <v>18700</v>
      </c>
      <c r="AF119" s="134">
        <f>SUMPRODUCT(-('Gastos Gerais'!$B$4:$B$3143=Analítico!$B119),-(Analítico!AF$3&gt;='Gastos Gerais'!$D$4:$D$3143),-(Analítico!AF$3&lt;='Gastos Gerais'!$E$4:$E$3143),-('Gastos Gerais'!$C$4:$C$3143))</f>
        <v>18700</v>
      </c>
      <c r="AG119" s="134">
        <f>SUMPRODUCT(-('Gastos Gerais'!$B$4:$B$3143=Analítico!$B119),-(Analítico!AG$3&gt;='Gastos Gerais'!$D$4:$D$3143),-(Analítico!AG$3&lt;='Gastos Gerais'!$E$4:$E$3143),-('Gastos Gerais'!$C$4:$C$3143))</f>
        <v>18700</v>
      </c>
      <c r="AH119" s="134">
        <f>SUMPRODUCT(-('Gastos Gerais'!$B$4:$B$3143=Analítico!$B119),-(Analítico!AH$3&gt;='Gastos Gerais'!$D$4:$D$3143),-(Analítico!AH$3&lt;='Gastos Gerais'!$E$4:$E$3143),-('Gastos Gerais'!$C$4:$C$3143))</f>
        <v>18700</v>
      </c>
      <c r="AI119" s="134">
        <f>SUMPRODUCT(-('Gastos Gerais'!$B$4:$B$3143=Analítico!$B119),-(Analítico!AI$3&gt;='Gastos Gerais'!$D$4:$D$3143),-(Analítico!AI$3&lt;='Gastos Gerais'!$E$4:$E$3143),-('Gastos Gerais'!$C$4:$C$3143))</f>
        <v>18700</v>
      </c>
      <c r="AJ119" s="134">
        <f>SUMPRODUCT(-('Gastos Gerais'!$B$4:$B$3143=Analítico!$B119),-(Analítico!AJ$3&gt;='Gastos Gerais'!$D$4:$D$3143),-(Analítico!AJ$3&lt;='Gastos Gerais'!$E$4:$E$3143),-('Gastos Gerais'!$C$4:$C$3143))</f>
        <v>18700</v>
      </c>
      <c r="AK119" s="134">
        <f>SUMPRODUCT(-('Gastos Gerais'!$B$4:$B$3143=Analítico!$B119),-(Analítico!AK$3&gt;='Gastos Gerais'!$D$4:$D$3143),-(Analítico!AK$3&lt;='Gastos Gerais'!$E$4:$E$3143),-('Gastos Gerais'!$C$4:$C$3143))</f>
        <v>18700</v>
      </c>
      <c r="AL119" s="134">
        <f>SUMPRODUCT(-('Gastos Gerais'!$B$4:$B$3143=Analítico!$B119),-(Analítico!AL$3&gt;='Gastos Gerais'!$D$4:$D$3143),-(Analítico!AL$3&lt;='Gastos Gerais'!$E$4:$E$3143),-('Gastos Gerais'!$C$4:$C$3143))</f>
        <v>18700</v>
      </c>
      <c r="AM119" s="134">
        <f>SUMPRODUCT(-('Gastos Gerais'!$B$4:$B$3143=Analítico!$B119),-(Analítico!AM$3&gt;='Gastos Gerais'!$D$4:$D$3143),-(Analítico!AM$3&lt;='Gastos Gerais'!$E$4:$E$3143),-('Gastos Gerais'!$C$4:$C$3143))</f>
        <v>9900</v>
      </c>
      <c r="AN119" s="134">
        <f>SUMPRODUCT(-('Gastos Gerais'!$B$4:$B$3143=Analítico!$B119),-(Analítico!AN$3&gt;='Gastos Gerais'!$D$4:$D$3143),-(Analítico!AN$3&lt;='Gastos Gerais'!$E$4:$E$3143),-('Gastos Gerais'!$C$4:$C$3143))</f>
        <v>9900</v>
      </c>
      <c r="AO119" s="134">
        <f>SUMPRODUCT(-('Gastos Gerais'!$B$4:$B$3143=Analítico!$B119),-(Analítico!AO$3&gt;='Gastos Gerais'!$D$4:$D$3143),-(Analítico!AO$3&lt;='Gastos Gerais'!$E$4:$E$3143),-('Gastos Gerais'!$C$4:$C$3143))</f>
        <v>9900</v>
      </c>
      <c r="AP119" s="134">
        <f>SUMPRODUCT(-('Gastos Gerais'!$B$4:$B$3143=Analítico!$B119),-(Analítico!AP$3&gt;='Gastos Gerais'!$D$4:$D$3143),-(Analítico!AP$3&lt;='Gastos Gerais'!$E$4:$E$3143),-('Gastos Gerais'!$C$4:$C$3143))</f>
        <v>9900</v>
      </c>
      <c r="AQ119" s="134">
        <f>SUMPRODUCT(-('Gastos Gerais'!$B$4:$B$3143=Analítico!$B119),-(Analítico!AQ$3&gt;='Gastos Gerais'!$D$4:$D$3143),-(Analítico!AQ$3&lt;='Gastos Gerais'!$E$4:$E$3143),-('Gastos Gerais'!$C$4:$C$3143))</f>
        <v>9900</v>
      </c>
      <c r="AR119" s="134">
        <f>SUMPRODUCT(-('Gastos Gerais'!$B$4:$B$3143=Analítico!$B119),-(Analítico!AR$3&gt;='Gastos Gerais'!$D$4:$D$3143),-(Analítico!AR$3&lt;='Gastos Gerais'!$E$4:$E$3143),-('Gastos Gerais'!$C$4:$C$3143))</f>
        <v>9900</v>
      </c>
      <c r="AS119" s="134">
        <f>SUMPRODUCT(-('Gastos Gerais'!$B$4:$B$3143=Analítico!$B119),-(Analítico!AS$3&gt;='Gastos Gerais'!$D$4:$D$3143),-(Analítico!AS$3&lt;='Gastos Gerais'!$E$4:$E$3143),-('Gastos Gerais'!$C$4:$C$3143))</f>
        <v>9900</v>
      </c>
      <c r="AT119" s="134">
        <f>SUMPRODUCT(-('Gastos Gerais'!$B$4:$B$3143=Analítico!$B119),-(Analítico!AT$3&gt;='Gastos Gerais'!$D$4:$D$3143),-(Analítico!AT$3&lt;='Gastos Gerais'!$E$4:$E$3143),-('Gastos Gerais'!$C$4:$C$3143))</f>
        <v>9900</v>
      </c>
      <c r="AU119" s="134">
        <f>SUMPRODUCT(-('Gastos Gerais'!$B$4:$B$3143=Analítico!$B119),-(Analítico!AU$3&gt;='Gastos Gerais'!$D$4:$D$3143),-(Analítico!AU$3&lt;='Gastos Gerais'!$E$4:$E$3143),-('Gastos Gerais'!$C$4:$C$3143))</f>
        <v>9900</v>
      </c>
      <c r="AV119" s="134">
        <f>SUMPRODUCT(-('Gastos Gerais'!$B$4:$B$3143=Analítico!$B119),-(Analítico!AV$3&gt;='Gastos Gerais'!$D$4:$D$3143),-(Analítico!AV$3&lt;='Gastos Gerais'!$E$4:$E$3143),-('Gastos Gerais'!$C$4:$C$3143))</f>
        <v>9900</v>
      </c>
      <c r="AW119" s="134">
        <f>SUMPRODUCT(-('Gastos Gerais'!$B$4:$B$3143=Analítico!$B119),-(Analítico!AW$3&gt;='Gastos Gerais'!$D$4:$D$3143),-(Analítico!AW$3&lt;='Gastos Gerais'!$E$4:$E$3143),-('Gastos Gerais'!$C$4:$C$3143))</f>
        <v>9900</v>
      </c>
      <c r="AX119" s="134">
        <f>SUMPRODUCT(-('Gastos Gerais'!$B$4:$B$3143=Analítico!$B119),-(Analítico!AX$3&gt;='Gastos Gerais'!$D$4:$D$3143),-(Analítico!AX$3&lt;='Gastos Gerais'!$E$4:$E$3143),-('Gastos Gerais'!$C$4:$C$3143))</f>
        <v>0</v>
      </c>
      <c r="AY119" s="134">
        <f>SUMPRODUCT(-('Gastos Gerais'!$B$4:$B$3143=Analítico!$B119),-(Analítico!AY$3&gt;='Gastos Gerais'!$D$4:$D$3143),-(Analítico!AY$3&lt;='Gastos Gerais'!$E$4:$E$3143),-('Gastos Gerais'!$C$4:$C$3143))</f>
        <v>0</v>
      </c>
      <c r="AZ119" s="134">
        <f>SUMPRODUCT(-('Gastos Gerais'!$B$4:$B$3143=Analítico!$B119),-(Analítico!AZ$3&gt;='Gastos Gerais'!$D$4:$D$3143),-(Analítico!AZ$3&lt;='Gastos Gerais'!$E$4:$E$3143),-('Gastos Gerais'!$C$4:$C$3143))</f>
        <v>0</v>
      </c>
      <c r="BA119" s="134">
        <f>SUMPRODUCT(-('Gastos Gerais'!$B$4:$B$3143=Analítico!$B119),-(Analítico!BA$3&gt;='Gastos Gerais'!$D$4:$D$3143),-(Analítico!BA$3&lt;='Gastos Gerais'!$E$4:$E$3143),-('Gastos Gerais'!$C$4:$C$3143))</f>
        <v>0</v>
      </c>
      <c r="BB119" s="134">
        <f>SUMPRODUCT(-('Gastos Gerais'!$B$4:$B$3143=Analítico!$B119),-(Analítico!BB$3&gt;='Gastos Gerais'!$D$4:$D$3143),-(Analítico!BB$3&lt;='Gastos Gerais'!$E$4:$E$3143),-('Gastos Gerais'!$C$4:$C$3143))</f>
        <v>0</v>
      </c>
      <c r="BC119" s="134">
        <f>SUMPRODUCT(-('Gastos Gerais'!$B$4:$B$3143=Analítico!$B119),-(Analítico!BC$3&gt;='Gastos Gerais'!$D$4:$D$3143),-(Analítico!BC$3&lt;='Gastos Gerais'!$E$4:$E$3143),-('Gastos Gerais'!$C$4:$C$3143))</f>
        <v>0</v>
      </c>
      <c r="BD119" s="134">
        <f>SUMPRODUCT(-('Gastos Gerais'!$B$4:$B$3143=Analítico!$B119),-(Analítico!BD$3&gt;='Gastos Gerais'!$D$4:$D$3143),-(Analítico!BD$3&lt;='Gastos Gerais'!$E$4:$E$3143),-('Gastos Gerais'!$C$4:$C$3143))</f>
        <v>0</v>
      </c>
      <c r="BE119" s="134">
        <f>SUMPRODUCT(-('Gastos Gerais'!$B$4:$B$3143=Analítico!$B119),-(Analítico!BE$3&gt;='Gastos Gerais'!$D$4:$D$3143),-(Analítico!BE$3&lt;='Gastos Gerais'!$E$4:$E$3143),-('Gastos Gerais'!$C$4:$C$3143))</f>
        <v>0</v>
      </c>
      <c r="BF119" s="134">
        <f>SUMPRODUCT(-('Gastos Gerais'!$B$4:$B$3143=Analítico!$B119),-(Analítico!BF$3&gt;='Gastos Gerais'!$D$4:$D$3143),-(Analítico!BF$3&lt;='Gastos Gerais'!$E$4:$E$3143),-('Gastos Gerais'!$C$4:$C$3143))</f>
        <v>0</v>
      </c>
      <c r="BG119" s="134">
        <f>SUMPRODUCT(-('Gastos Gerais'!$B$4:$B$3143=Analítico!$B119),-(Analítico!BG$3&gt;='Gastos Gerais'!$D$4:$D$3143),-(Analítico!BG$3&lt;='Gastos Gerais'!$E$4:$E$3143),-('Gastos Gerais'!$C$4:$C$3143))</f>
        <v>0</v>
      </c>
      <c r="BH119" s="134">
        <f>SUMPRODUCT(-('Gastos Gerais'!$B$4:$B$3143=Analítico!$B119),-(Analítico!BH$3&gt;='Gastos Gerais'!$D$4:$D$3143),-(Analítico!BH$3&lt;='Gastos Gerais'!$E$4:$E$3143),-('Gastos Gerais'!$C$4:$C$3143))</f>
        <v>0</v>
      </c>
      <c r="BI119" s="134">
        <f>SUMPRODUCT(-('Gastos Gerais'!$B$4:$B$3143=Analítico!$B119),-(Analítico!BI$3&gt;='Gastos Gerais'!$D$4:$D$3143),-(Analítico!BI$3&lt;='Gastos Gerais'!$E$4:$E$3143),-('Gastos Gerais'!$C$4:$C$3143))</f>
        <v>0</v>
      </c>
      <c r="BJ119" s="134">
        <f>SUMPRODUCT(-('Gastos Gerais'!$B$4:$B$3143=Analítico!$B119),-(Analítico!BJ$3&gt;='Gastos Gerais'!$D$4:$D$3143),-(Analítico!BJ$3&lt;='Gastos Gerais'!$E$4:$E$3143),-('Gastos Gerais'!$C$4:$C$3143))</f>
        <v>0</v>
      </c>
      <c r="BK119" s="189">
        <f t="shared" si="26"/>
        <v>756500</v>
      </c>
      <c r="BL119" s="136">
        <f t="shared" ca="1" si="27"/>
        <v>2.6046280697141636E-3</v>
      </c>
    </row>
    <row r="120" spans="1:64" s="160" customFormat="1" ht="23.25" customHeight="1">
      <c r="A120" s="229" t="s">
        <v>317</v>
      </c>
      <c r="B120" s="232" t="s">
        <v>318</v>
      </c>
      <c r="C120" s="188">
        <f>SUMPRODUCT(-('Gastos Gerais'!$B$4:$B$3143=Analítico!$B120),-(Analítico!C$3&gt;='Gastos Gerais'!$D$4:$D$3143),-(Analítico!C$3&lt;='Gastos Gerais'!$E$4:$E$3143),-('Gastos Gerais'!$C$4:$C$3143))</f>
        <v>29600</v>
      </c>
      <c r="D120" s="134">
        <f>SUMPRODUCT(-('Gastos Gerais'!$B$4:$B$3143=Analítico!$B120),-(Analítico!D$3&gt;='Gastos Gerais'!$D$4:$D$3143),-(Analítico!D$3&lt;='Gastos Gerais'!$E$4:$E$3143),-('Gastos Gerais'!$C$4:$C$3143))</f>
        <v>29600</v>
      </c>
      <c r="E120" s="134">
        <f>SUMPRODUCT(-('Gastos Gerais'!$B$4:$B$3143=Analítico!$B120),-(Analítico!E$3&gt;='Gastos Gerais'!$D$4:$D$3143),-(Analítico!E$3&lt;='Gastos Gerais'!$E$4:$E$3143),-('Gastos Gerais'!$C$4:$C$3143))</f>
        <v>31300</v>
      </c>
      <c r="F120" s="134">
        <f>SUMPRODUCT(-('Gastos Gerais'!$B$4:$B$3143=Analítico!$B120),-(Analítico!F$3&gt;='Gastos Gerais'!$D$4:$D$3143),-(Analítico!F$3&lt;='Gastos Gerais'!$E$4:$E$3143),-('Gastos Gerais'!$C$4:$C$3143))</f>
        <v>33000</v>
      </c>
      <c r="G120" s="134">
        <f>SUMPRODUCT(-('Gastos Gerais'!$B$4:$B$3143=Analítico!$B120),-(Analítico!G$3&gt;='Gastos Gerais'!$D$4:$D$3143),-(Analítico!G$3&lt;='Gastos Gerais'!$E$4:$E$3143),-('Gastos Gerais'!$C$4:$C$3143))</f>
        <v>33000</v>
      </c>
      <c r="H120" s="134">
        <f>SUMPRODUCT(-('Gastos Gerais'!$B$4:$B$3143=Analítico!$B120),-(Analítico!H$3&gt;='Gastos Gerais'!$D$4:$D$3143),-(Analítico!H$3&lt;='Gastos Gerais'!$E$4:$E$3143),-('Gastos Gerais'!$C$4:$C$3143))</f>
        <v>33000</v>
      </c>
      <c r="I120" s="134">
        <f>SUMPRODUCT(-('Gastos Gerais'!$B$4:$B$3143=Analítico!$B120),-(Analítico!I$3&gt;='Gastos Gerais'!$D$4:$D$3143),-(Analítico!I$3&lt;='Gastos Gerais'!$E$4:$E$3143),-('Gastos Gerais'!$C$4:$C$3143))</f>
        <v>34700</v>
      </c>
      <c r="J120" s="134">
        <f>SUMPRODUCT(-('Gastos Gerais'!$B$4:$B$3143=Analítico!$B120),-(Analítico!J$3&gt;='Gastos Gerais'!$D$4:$D$3143),-(Analítico!J$3&lt;='Gastos Gerais'!$E$4:$E$3143),-('Gastos Gerais'!$C$4:$C$3143))</f>
        <v>34700</v>
      </c>
      <c r="K120" s="134">
        <f>SUMPRODUCT(-('Gastos Gerais'!$B$4:$B$3143=Analítico!$B120),-(Analítico!K$3&gt;='Gastos Gerais'!$D$4:$D$3143),-(Analítico!K$3&lt;='Gastos Gerais'!$E$4:$E$3143),-('Gastos Gerais'!$C$4:$C$3143))</f>
        <v>34700</v>
      </c>
      <c r="L120" s="134">
        <f>SUMPRODUCT(-('Gastos Gerais'!$B$4:$B$3143=Analítico!$B120),-(Analítico!L$3&gt;='Gastos Gerais'!$D$4:$D$3143),-(Analítico!L$3&lt;='Gastos Gerais'!$E$4:$E$3143),-('Gastos Gerais'!$C$4:$C$3143))</f>
        <v>36200</v>
      </c>
      <c r="M120" s="134">
        <f>SUMPRODUCT(-('Gastos Gerais'!$B$4:$B$3143=Analítico!$B120),-(Analítico!M$3&gt;='Gastos Gerais'!$D$4:$D$3143),-(Analítico!M$3&lt;='Gastos Gerais'!$E$4:$E$3143),-('Gastos Gerais'!$C$4:$C$3143))</f>
        <v>36200</v>
      </c>
      <c r="N120" s="134">
        <f>SUMPRODUCT(-('Gastos Gerais'!$B$4:$B$3143=Analítico!$B120),-(Analítico!N$3&gt;='Gastos Gerais'!$D$4:$D$3143),-(Analítico!N$3&lt;='Gastos Gerais'!$E$4:$E$3143),-('Gastos Gerais'!$C$4:$C$3143))</f>
        <v>36200</v>
      </c>
      <c r="O120" s="134">
        <f>SUMPRODUCT(-('Gastos Gerais'!$B$4:$B$3143=Analítico!$B120),-(Analítico!O$3&gt;='Gastos Gerais'!$D$4:$D$3143),-(Analítico!O$3&lt;='Gastos Gerais'!$E$4:$E$3143),-('Gastos Gerais'!$C$4:$C$3143))</f>
        <v>36200</v>
      </c>
      <c r="P120" s="134">
        <f>SUMPRODUCT(-('Gastos Gerais'!$B$4:$B$3143=Analítico!$B120),-(Analítico!P$3&gt;='Gastos Gerais'!$D$4:$D$3143),-(Analítico!P$3&lt;='Gastos Gerais'!$E$4:$E$3143),-('Gastos Gerais'!$C$4:$C$3143))</f>
        <v>36200</v>
      </c>
      <c r="Q120" s="134">
        <f>SUMPRODUCT(-('Gastos Gerais'!$B$4:$B$3143=Analítico!$B120),-(Analítico!Q$3&gt;='Gastos Gerais'!$D$4:$D$3143),-(Analítico!Q$3&lt;='Gastos Gerais'!$E$4:$E$3143),-('Gastos Gerais'!$C$4:$C$3143))</f>
        <v>36200</v>
      </c>
      <c r="R120" s="134">
        <f>SUMPRODUCT(-('Gastos Gerais'!$B$4:$B$3143=Analítico!$B120),-(Analítico!R$3&gt;='Gastos Gerais'!$D$4:$D$3143),-(Analítico!R$3&lt;='Gastos Gerais'!$E$4:$E$3143),-('Gastos Gerais'!$C$4:$C$3143))</f>
        <v>36200</v>
      </c>
      <c r="S120" s="134">
        <f>SUMPRODUCT(-('Gastos Gerais'!$B$4:$B$3143=Analítico!$B120),-(Analítico!S$3&gt;='Gastos Gerais'!$D$4:$D$3143),-(Analítico!S$3&lt;='Gastos Gerais'!$E$4:$E$3143),-('Gastos Gerais'!$C$4:$C$3143))</f>
        <v>36200</v>
      </c>
      <c r="T120" s="134">
        <f>SUMPRODUCT(-('Gastos Gerais'!$B$4:$B$3143=Analítico!$B120),-(Analítico!T$3&gt;='Gastos Gerais'!$D$4:$D$3143),-(Analítico!T$3&lt;='Gastos Gerais'!$E$4:$E$3143),-('Gastos Gerais'!$C$4:$C$3143))</f>
        <v>36200</v>
      </c>
      <c r="U120" s="134">
        <f>SUMPRODUCT(-('Gastos Gerais'!$B$4:$B$3143=Analítico!$B120),-(Analítico!U$3&gt;='Gastos Gerais'!$D$4:$D$3143),-(Analítico!U$3&lt;='Gastos Gerais'!$E$4:$E$3143),-('Gastos Gerais'!$C$4:$C$3143))</f>
        <v>36200</v>
      </c>
      <c r="V120" s="134">
        <f>SUMPRODUCT(-('Gastos Gerais'!$B$4:$B$3143=Analítico!$B120),-(Analítico!V$3&gt;='Gastos Gerais'!$D$4:$D$3143),-(Analítico!V$3&lt;='Gastos Gerais'!$E$4:$E$3143),-('Gastos Gerais'!$C$4:$C$3143))</f>
        <v>36200</v>
      </c>
      <c r="W120" s="134">
        <f>SUMPRODUCT(-('Gastos Gerais'!$B$4:$B$3143=Analítico!$B120),-(Analítico!W$3&gt;='Gastos Gerais'!$D$4:$D$3143),-(Analítico!W$3&lt;='Gastos Gerais'!$E$4:$E$3143),-('Gastos Gerais'!$C$4:$C$3143))</f>
        <v>36200</v>
      </c>
      <c r="X120" s="134">
        <f>SUMPRODUCT(-('Gastos Gerais'!$B$4:$B$3143=Analítico!$B120),-(Analítico!X$3&gt;='Gastos Gerais'!$D$4:$D$3143),-(Analítico!X$3&lt;='Gastos Gerais'!$E$4:$E$3143),-('Gastos Gerais'!$C$4:$C$3143))</f>
        <v>36200</v>
      </c>
      <c r="Y120" s="134">
        <f>SUMPRODUCT(-('Gastos Gerais'!$B$4:$B$3143=Analítico!$B120),-(Analítico!Y$3&gt;='Gastos Gerais'!$D$4:$D$3143),-(Analítico!Y$3&lt;='Gastos Gerais'!$E$4:$E$3143),-('Gastos Gerais'!$C$4:$C$3143))</f>
        <v>36200</v>
      </c>
      <c r="Z120" s="134">
        <f>SUMPRODUCT(-('Gastos Gerais'!$B$4:$B$3143=Analítico!$B120),-(Analítico!Z$3&gt;='Gastos Gerais'!$D$4:$D$3143),-(Analítico!Z$3&lt;='Gastos Gerais'!$E$4:$E$3143),-('Gastos Gerais'!$C$4:$C$3143))</f>
        <v>36200</v>
      </c>
      <c r="AA120" s="134">
        <f>SUMPRODUCT(-('Gastos Gerais'!$B$4:$B$3143=Analítico!$B120),-(Analítico!AA$3&gt;='Gastos Gerais'!$D$4:$D$3143),-(Analítico!AA$3&lt;='Gastos Gerais'!$E$4:$E$3143),-('Gastos Gerais'!$C$4:$C$3143))</f>
        <v>35900</v>
      </c>
      <c r="AB120" s="134">
        <f>SUMPRODUCT(-('Gastos Gerais'!$B$4:$B$3143=Analítico!$B120),-(Analítico!AB$3&gt;='Gastos Gerais'!$D$4:$D$3143),-(Analítico!AB$3&lt;='Gastos Gerais'!$E$4:$E$3143),-('Gastos Gerais'!$C$4:$C$3143))</f>
        <v>35900</v>
      </c>
      <c r="AC120" s="134">
        <f>SUMPRODUCT(-('Gastos Gerais'!$B$4:$B$3143=Analítico!$B120),-(Analítico!AC$3&gt;='Gastos Gerais'!$D$4:$D$3143),-(Analítico!AC$3&lt;='Gastos Gerais'!$E$4:$E$3143),-('Gastos Gerais'!$C$4:$C$3143))</f>
        <v>35900</v>
      </c>
      <c r="AD120" s="134">
        <f>SUMPRODUCT(-('Gastos Gerais'!$B$4:$B$3143=Analítico!$B120),-(Analítico!AD$3&gt;='Gastos Gerais'!$D$4:$D$3143),-(Analítico!AD$3&lt;='Gastos Gerais'!$E$4:$E$3143),-('Gastos Gerais'!$C$4:$C$3143))</f>
        <v>35900</v>
      </c>
      <c r="AE120" s="134">
        <f>SUMPRODUCT(-('Gastos Gerais'!$B$4:$B$3143=Analítico!$B120),-(Analítico!AE$3&gt;='Gastos Gerais'!$D$4:$D$3143),-(Analítico!AE$3&lt;='Gastos Gerais'!$E$4:$E$3143),-('Gastos Gerais'!$C$4:$C$3143))</f>
        <v>35900</v>
      </c>
      <c r="AF120" s="134">
        <f>SUMPRODUCT(-('Gastos Gerais'!$B$4:$B$3143=Analítico!$B120),-(Analítico!AF$3&gt;='Gastos Gerais'!$D$4:$D$3143),-(Analítico!AF$3&lt;='Gastos Gerais'!$E$4:$E$3143),-('Gastos Gerais'!$C$4:$C$3143))</f>
        <v>35900</v>
      </c>
      <c r="AG120" s="134">
        <f>SUMPRODUCT(-('Gastos Gerais'!$B$4:$B$3143=Analítico!$B120),-(Analítico!AG$3&gt;='Gastos Gerais'!$D$4:$D$3143),-(Analítico!AG$3&lt;='Gastos Gerais'!$E$4:$E$3143),-('Gastos Gerais'!$C$4:$C$3143))</f>
        <v>35900</v>
      </c>
      <c r="AH120" s="134">
        <f>SUMPRODUCT(-('Gastos Gerais'!$B$4:$B$3143=Analítico!$B120),-(Analítico!AH$3&gt;='Gastos Gerais'!$D$4:$D$3143),-(Analítico!AH$3&lt;='Gastos Gerais'!$E$4:$E$3143),-('Gastos Gerais'!$C$4:$C$3143))</f>
        <v>35900</v>
      </c>
      <c r="AI120" s="134">
        <f>SUMPRODUCT(-('Gastos Gerais'!$B$4:$B$3143=Analítico!$B120),-(Analítico!AI$3&gt;='Gastos Gerais'!$D$4:$D$3143),-(Analítico!AI$3&lt;='Gastos Gerais'!$E$4:$E$3143),-('Gastos Gerais'!$C$4:$C$3143))</f>
        <v>35900</v>
      </c>
      <c r="AJ120" s="134">
        <f>SUMPRODUCT(-('Gastos Gerais'!$B$4:$B$3143=Analítico!$B120),-(Analítico!AJ$3&gt;='Gastos Gerais'!$D$4:$D$3143),-(Analítico!AJ$3&lt;='Gastos Gerais'!$E$4:$E$3143),-('Gastos Gerais'!$C$4:$C$3143))</f>
        <v>35900</v>
      </c>
      <c r="AK120" s="134">
        <f>SUMPRODUCT(-('Gastos Gerais'!$B$4:$B$3143=Analítico!$B120),-(Analítico!AK$3&gt;='Gastos Gerais'!$D$4:$D$3143),-(Analítico!AK$3&lt;='Gastos Gerais'!$E$4:$E$3143),-('Gastos Gerais'!$C$4:$C$3143))</f>
        <v>34600</v>
      </c>
      <c r="AL120" s="134">
        <f>SUMPRODUCT(-('Gastos Gerais'!$B$4:$B$3143=Analítico!$B120),-(Analítico!AL$3&gt;='Gastos Gerais'!$D$4:$D$3143),-(Analítico!AL$3&lt;='Gastos Gerais'!$E$4:$E$3143),-('Gastos Gerais'!$C$4:$C$3143))</f>
        <v>34600</v>
      </c>
      <c r="AM120" s="134">
        <f>SUMPRODUCT(-('Gastos Gerais'!$B$4:$B$3143=Analítico!$B120),-(Analítico!AM$3&gt;='Gastos Gerais'!$D$4:$D$3143),-(Analítico!AM$3&lt;='Gastos Gerais'!$E$4:$E$3143),-('Gastos Gerais'!$C$4:$C$3143))</f>
        <v>12200</v>
      </c>
      <c r="AN120" s="134">
        <f>SUMPRODUCT(-('Gastos Gerais'!$B$4:$B$3143=Analítico!$B120),-(Analítico!AN$3&gt;='Gastos Gerais'!$D$4:$D$3143),-(Analítico!AN$3&lt;='Gastos Gerais'!$E$4:$E$3143),-('Gastos Gerais'!$C$4:$C$3143))</f>
        <v>12200</v>
      </c>
      <c r="AO120" s="134">
        <f>SUMPRODUCT(-('Gastos Gerais'!$B$4:$B$3143=Analítico!$B120),-(Analítico!AO$3&gt;='Gastos Gerais'!$D$4:$D$3143),-(Analítico!AO$3&lt;='Gastos Gerais'!$E$4:$E$3143),-('Gastos Gerais'!$C$4:$C$3143))</f>
        <v>12200</v>
      </c>
      <c r="AP120" s="134">
        <f>SUMPRODUCT(-('Gastos Gerais'!$B$4:$B$3143=Analítico!$B120),-(Analítico!AP$3&gt;='Gastos Gerais'!$D$4:$D$3143),-(Analítico!AP$3&lt;='Gastos Gerais'!$E$4:$E$3143),-('Gastos Gerais'!$C$4:$C$3143))</f>
        <v>12200</v>
      </c>
      <c r="AQ120" s="134">
        <f>SUMPRODUCT(-('Gastos Gerais'!$B$4:$B$3143=Analítico!$B120),-(Analítico!AQ$3&gt;='Gastos Gerais'!$D$4:$D$3143),-(Analítico!AQ$3&lt;='Gastos Gerais'!$E$4:$E$3143),-('Gastos Gerais'!$C$4:$C$3143))</f>
        <v>12200</v>
      </c>
      <c r="AR120" s="134">
        <f>SUMPRODUCT(-('Gastos Gerais'!$B$4:$B$3143=Analítico!$B120),-(Analítico!AR$3&gt;='Gastos Gerais'!$D$4:$D$3143),-(Analítico!AR$3&lt;='Gastos Gerais'!$E$4:$E$3143),-('Gastos Gerais'!$C$4:$C$3143))</f>
        <v>12200</v>
      </c>
      <c r="AS120" s="134">
        <f>SUMPRODUCT(-('Gastos Gerais'!$B$4:$B$3143=Analítico!$B120),-(Analítico!AS$3&gt;='Gastos Gerais'!$D$4:$D$3143),-(Analítico!AS$3&lt;='Gastos Gerais'!$E$4:$E$3143),-('Gastos Gerais'!$C$4:$C$3143))</f>
        <v>12200</v>
      </c>
      <c r="AT120" s="134">
        <f>SUMPRODUCT(-('Gastos Gerais'!$B$4:$B$3143=Analítico!$B120),-(Analítico!AT$3&gt;='Gastos Gerais'!$D$4:$D$3143),-(Analítico!AT$3&lt;='Gastos Gerais'!$E$4:$E$3143),-('Gastos Gerais'!$C$4:$C$3143))</f>
        <v>12200</v>
      </c>
      <c r="AU120" s="134">
        <f>SUMPRODUCT(-('Gastos Gerais'!$B$4:$B$3143=Analítico!$B120),-(Analítico!AU$3&gt;='Gastos Gerais'!$D$4:$D$3143),-(Analítico!AU$3&lt;='Gastos Gerais'!$E$4:$E$3143),-('Gastos Gerais'!$C$4:$C$3143))</f>
        <v>12200</v>
      </c>
      <c r="AV120" s="134">
        <f>SUMPRODUCT(-('Gastos Gerais'!$B$4:$B$3143=Analítico!$B120),-(Analítico!AV$3&gt;='Gastos Gerais'!$D$4:$D$3143),-(Analítico!AV$3&lt;='Gastos Gerais'!$E$4:$E$3143),-('Gastos Gerais'!$C$4:$C$3143))</f>
        <v>12200</v>
      </c>
      <c r="AW120" s="134">
        <f>SUMPRODUCT(-('Gastos Gerais'!$B$4:$B$3143=Analítico!$B120),-(Analítico!AW$3&gt;='Gastos Gerais'!$D$4:$D$3143),-(Analítico!AW$3&lt;='Gastos Gerais'!$E$4:$E$3143),-('Gastos Gerais'!$C$4:$C$3143))</f>
        <v>12200</v>
      </c>
      <c r="AX120" s="134">
        <f>SUMPRODUCT(-('Gastos Gerais'!$B$4:$B$3143=Analítico!$B120),-(Analítico!AX$3&gt;='Gastos Gerais'!$D$4:$D$3143),-(Analítico!AX$3&lt;='Gastos Gerais'!$E$4:$E$3143),-('Gastos Gerais'!$C$4:$C$3143))</f>
        <v>0</v>
      </c>
      <c r="AY120" s="134">
        <f>SUMPRODUCT(-('Gastos Gerais'!$B$4:$B$3143=Analítico!$B120),-(Analítico!AY$3&gt;='Gastos Gerais'!$D$4:$D$3143),-(Analítico!AY$3&lt;='Gastos Gerais'!$E$4:$E$3143),-('Gastos Gerais'!$C$4:$C$3143))</f>
        <v>0</v>
      </c>
      <c r="AZ120" s="134">
        <f>SUMPRODUCT(-('Gastos Gerais'!$B$4:$B$3143=Analítico!$B120),-(Analítico!AZ$3&gt;='Gastos Gerais'!$D$4:$D$3143),-(Analítico!AZ$3&lt;='Gastos Gerais'!$E$4:$E$3143),-('Gastos Gerais'!$C$4:$C$3143))</f>
        <v>0</v>
      </c>
      <c r="BA120" s="134">
        <f>SUMPRODUCT(-('Gastos Gerais'!$B$4:$B$3143=Analítico!$B120),-(Analítico!BA$3&gt;='Gastos Gerais'!$D$4:$D$3143),-(Analítico!BA$3&lt;='Gastos Gerais'!$E$4:$E$3143),-('Gastos Gerais'!$C$4:$C$3143))</f>
        <v>0</v>
      </c>
      <c r="BB120" s="134">
        <f>SUMPRODUCT(-('Gastos Gerais'!$B$4:$B$3143=Analítico!$B120),-(Analítico!BB$3&gt;='Gastos Gerais'!$D$4:$D$3143),-(Analítico!BB$3&lt;='Gastos Gerais'!$E$4:$E$3143),-('Gastos Gerais'!$C$4:$C$3143))</f>
        <v>0</v>
      </c>
      <c r="BC120" s="134">
        <f>SUMPRODUCT(-('Gastos Gerais'!$B$4:$B$3143=Analítico!$B120),-(Analítico!BC$3&gt;='Gastos Gerais'!$D$4:$D$3143),-(Analítico!BC$3&lt;='Gastos Gerais'!$E$4:$E$3143),-('Gastos Gerais'!$C$4:$C$3143))</f>
        <v>0</v>
      </c>
      <c r="BD120" s="134">
        <f>SUMPRODUCT(-('Gastos Gerais'!$B$4:$B$3143=Analítico!$B120),-(Analítico!BD$3&gt;='Gastos Gerais'!$D$4:$D$3143),-(Analítico!BD$3&lt;='Gastos Gerais'!$E$4:$E$3143),-('Gastos Gerais'!$C$4:$C$3143))</f>
        <v>0</v>
      </c>
      <c r="BE120" s="134">
        <f>SUMPRODUCT(-('Gastos Gerais'!$B$4:$B$3143=Analítico!$B120),-(Analítico!BE$3&gt;='Gastos Gerais'!$D$4:$D$3143),-(Analítico!BE$3&lt;='Gastos Gerais'!$E$4:$E$3143),-('Gastos Gerais'!$C$4:$C$3143))</f>
        <v>0</v>
      </c>
      <c r="BF120" s="134">
        <f>SUMPRODUCT(-('Gastos Gerais'!$B$4:$B$3143=Analítico!$B120),-(Analítico!BF$3&gt;='Gastos Gerais'!$D$4:$D$3143),-(Analítico!BF$3&lt;='Gastos Gerais'!$E$4:$E$3143),-('Gastos Gerais'!$C$4:$C$3143))</f>
        <v>0</v>
      </c>
      <c r="BG120" s="134">
        <f>SUMPRODUCT(-('Gastos Gerais'!$B$4:$B$3143=Analítico!$B120),-(Analítico!BG$3&gt;='Gastos Gerais'!$D$4:$D$3143),-(Analítico!BG$3&lt;='Gastos Gerais'!$E$4:$E$3143),-('Gastos Gerais'!$C$4:$C$3143))</f>
        <v>0</v>
      </c>
      <c r="BH120" s="134">
        <f>SUMPRODUCT(-('Gastos Gerais'!$B$4:$B$3143=Analítico!$B120),-(Analítico!BH$3&gt;='Gastos Gerais'!$D$4:$D$3143),-(Analítico!BH$3&lt;='Gastos Gerais'!$E$4:$E$3143),-('Gastos Gerais'!$C$4:$C$3143))</f>
        <v>0</v>
      </c>
      <c r="BI120" s="134">
        <f>SUMPRODUCT(-('Gastos Gerais'!$B$4:$B$3143=Analítico!$B120),-(Analítico!BI$3&gt;='Gastos Gerais'!$D$4:$D$3143),-(Analítico!BI$3&lt;='Gastos Gerais'!$E$4:$E$3143),-('Gastos Gerais'!$C$4:$C$3143))</f>
        <v>0</v>
      </c>
      <c r="BJ120" s="134">
        <f>SUMPRODUCT(-('Gastos Gerais'!$B$4:$B$3143=Analítico!$B120),-(Analítico!BJ$3&gt;='Gastos Gerais'!$D$4:$D$3143),-(Analítico!BJ$3&lt;='Gastos Gerais'!$E$4:$E$3143),-('Gastos Gerais'!$C$4:$C$3143))</f>
        <v>0</v>
      </c>
      <c r="BK120" s="189">
        <f t="shared" si="26"/>
        <v>1399000</v>
      </c>
      <c r="BL120" s="136">
        <f t="shared" ca="1" si="27"/>
        <v>4.8167543549638E-3</v>
      </c>
    </row>
    <row r="121" spans="1:64" s="160" customFormat="1" ht="23.25" customHeight="1">
      <c r="A121" s="229" t="s">
        <v>319</v>
      </c>
      <c r="B121" s="232" t="s">
        <v>320</v>
      </c>
      <c r="C121" s="188">
        <f>SUMPRODUCT(-('Gastos Gerais'!$B$4:$B$3143=Analítico!$B121),-(Analítico!C$3&gt;='Gastos Gerais'!$D$4:$D$3143),-(Analítico!C$3&lt;='Gastos Gerais'!$E$4:$E$3143),-('Gastos Gerais'!$C$4:$C$3143))</f>
        <v>0</v>
      </c>
      <c r="D121" s="134">
        <f>SUMPRODUCT(-('Gastos Gerais'!$B$4:$B$3143=Analítico!$B121),-(Analítico!D$3&gt;='Gastos Gerais'!$D$4:$D$3143),-(Analítico!D$3&lt;='Gastos Gerais'!$E$4:$E$3143),-('Gastos Gerais'!$C$4:$C$3143))</f>
        <v>0</v>
      </c>
      <c r="E121" s="134">
        <f>SUMPRODUCT(-('Gastos Gerais'!$B$4:$B$3143=Analítico!$B121),-(Analítico!E$3&gt;='Gastos Gerais'!$D$4:$D$3143),-(Analítico!E$3&lt;='Gastos Gerais'!$E$4:$E$3143),-('Gastos Gerais'!$C$4:$C$3143))</f>
        <v>0</v>
      </c>
      <c r="F121" s="134">
        <f>SUMPRODUCT(-('Gastos Gerais'!$B$4:$B$3143=Analítico!$B121),-(Analítico!F$3&gt;='Gastos Gerais'!$D$4:$D$3143),-(Analítico!F$3&lt;='Gastos Gerais'!$E$4:$E$3143),-('Gastos Gerais'!$C$4:$C$3143))</f>
        <v>0</v>
      </c>
      <c r="G121" s="134">
        <f>SUMPRODUCT(-('Gastos Gerais'!$B$4:$B$3143=Analítico!$B121),-(Analítico!G$3&gt;='Gastos Gerais'!$D$4:$D$3143),-(Analítico!G$3&lt;='Gastos Gerais'!$E$4:$E$3143),-('Gastos Gerais'!$C$4:$C$3143))</f>
        <v>9779.0475000000006</v>
      </c>
      <c r="H121" s="134">
        <f>SUMPRODUCT(-('Gastos Gerais'!$B$4:$B$3143=Analítico!$B121),-(Analítico!H$3&gt;='Gastos Gerais'!$D$4:$D$3143),-(Analítico!H$3&lt;='Gastos Gerais'!$E$4:$E$3143),-('Gastos Gerais'!$C$4:$C$3143))</f>
        <v>9779.0475000000006</v>
      </c>
      <c r="I121" s="134">
        <f>SUMPRODUCT(-('Gastos Gerais'!$B$4:$B$3143=Analítico!$B121),-(Analítico!I$3&gt;='Gastos Gerais'!$D$4:$D$3143),-(Analítico!I$3&lt;='Gastos Gerais'!$E$4:$E$3143),-('Gastos Gerais'!$C$4:$C$3143))</f>
        <v>9779.0475000000006</v>
      </c>
      <c r="J121" s="134">
        <f>SUMPRODUCT(-('Gastos Gerais'!$B$4:$B$3143=Analítico!$B121),-(Analítico!J$3&gt;='Gastos Gerais'!$D$4:$D$3143),-(Analítico!J$3&lt;='Gastos Gerais'!$E$4:$E$3143),-('Gastos Gerais'!$C$4:$C$3143))</f>
        <v>9779.0475000000006</v>
      </c>
      <c r="K121" s="134">
        <f>SUMPRODUCT(-('Gastos Gerais'!$B$4:$B$3143=Analítico!$B121),-(Analítico!K$3&gt;='Gastos Gerais'!$D$4:$D$3143),-(Analítico!K$3&lt;='Gastos Gerais'!$E$4:$E$3143),-('Gastos Gerais'!$C$4:$C$3143))</f>
        <v>9779.0475000000006</v>
      </c>
      <c r="L121" s="134">
        <f>SUMPRODUCT(-('Gastos Gerais'!$B$4:$B$3143=Analítico!$B121),-(Analítico!L$3&gt;='Gastos Gerais'!$D$4:$D$3143),-(Analítico!L$3&lt;='Gastos Gerais'!$E$4:$E$3143),-('Gastos Gerais'!$C$4:$C$3143))</f>
        <v>9779.0475000000006</v>
      </c>
      <c r="M121" s="134">
        <f>SUMPRODUCT(-('Gastos Gerais'!$B$4:$B$3143=Analítico!$B121),-(Analítico!M$3&gt;='Gastos Gerais'!$D$4:$D$3143),-(Analítico!M$3&lt;='Gastos Gerais'!$E$4:$E$3143),-('Gastos Gerais'!$C$4:$C$3143))</f>
        <v>9779.0475000000006</v>
      </c>
      <c r="N121" s="134">
        <f>SUMPRODUCT(-('Gastos Gerais'!$B$4:$B$3143=Analítico!$B121),-(Analítico!N$3&gt;='Gastos Gerais'!$D$4:$D$3143),-(Analítico!N$3&lt;='Gastos Gerais'!$E$4:$E$3143),-('Gastos Gerais'!$C$4:$C$3143))</f>
        <v>9779.0475000000006</v>
      </c>
      <c r="O121" s="134">
        <f>SUMPRODUCT(-('Gastos Gerais'!$B$4:$B$3143=Analítico!$B121),-(Analítico!O$3&gt;='Gastos Gerais'!$D$4:$D$3143),-(Analítico!O$3&lt;='Gastos Gerais'!$E$4:$E$3143),-('Gastos Gerais'!$C$4:$C$3143))</f>
        <v>201.54466666670001</v>
      </c>
      <c r="P121" s="134">
        <f>SUMPRODUCT(-('Gastos Gerais'!$B$4:$B$3143=Analítico!$B121),-(Analítico!P$3&gt;='Gastos Gerais'!$D$4:$D$3143),-(Analítico!P$3&lt;='Gastos Gerais'!$E$4:$E$3143),-('Gastos Gerais'!$C$4:$C$3143))</f>
        <v>201.54466666670001</v>
      </c>
      <c r="Q121" s="134">
        <f>SUMPRODUCT(-('Gastos Gerais'!$B$4:$B$3143=Analítico!$B121),-(Analítico!Q$3&gt;='Gastos Gerais'!$D$4:$D$3143),-(Analítico!Q$3&lt;='Gastos Gerais'!$E$4:$E$3143),-('Gastos Gerais'!$C$4:$C$3143))</f>
        <v>201.54466666670001</v>
      </c>
      <c r="R121" s="134">
        <f>SUMPRODUCT(-('Gastos Gerais'!$B$4:$B$3143=Analítico!$B121),-(Analítico!R$3&gt;='Gastos Gerais'!$D$4:$D$3143),-(Analítico!R$3&lt;='Gastos Gerais'!$E$4:$E$3143),-('Gastos Gerais'!$C$4:$C$3143))</f>
        <v>201.54466666670001</v>
      </c>
      <c r="S121" s="134">
        <f>SUMPRODUCT(-('Gastos Gerais'!$B$4:$B$3143=Analítico!$B121),-(Analítico!S$3&gt;='Gastos Gerais'!$D$4:$D$3143),-(Analítico!S$3&lt;='Gastos Gerais'!$E$4:$E$3143),-('Gastos Gerais'!$C$4:$C$3143))</f>
        <v>201.54466666670001</v>
      </c>
      <c r="T121" s="134">
        <f>SUMPRODUCT(-('Gastos Gerais'!$B$4:$B$3143=Analítico!$B121),-(Analítico!T$3&gt;='Gastos Gerais'!$D$4:$D$3143),-(Analítico!T$3&lt;='Gastos Gerais'!$E$4:$E$3143),-('Gastos Gerais'!$C$4:$C$3143))</f>
        <v>201.54466666670001</v>
      </c>
      <c r="U121" s="134">
        <f>SUMPRODUCT(-('Gastos Gerais'!$B$4:$B$3143=Analítico!$B121),-(Analítico!U$3&gt;='Gastos Gerais'!$D$4:$D$3143),-(Analítico!U$3&lt;='Gastos Gerais'!$E$4:$E$3143),-('Gastos Gerais'!$C$4:$C$3143))</f>
        <v>201.54466666670001</v>
      </c>
      <c r="V121" s="134">
        <f>SUMPRODUCT(-('Gastos Gerais'!$B$4:$B$3143=Analítico!$B121),-(Analítico!V$3&gt;='Gastos Gerais'!$D$4:$D$3143),-(Analítico!V$3&lt;='Gastos Gerais'!$E$4:$E$3143),-('Gastos Gerais'!$C$4:$C$3143))</f>
        <v>201.54466666670001</v>
      </c>
      <c r="W121" s="134">
        <f>SUMPRODUCT(-('Gastos Gerais'!$B$4:$B$3143=Analítico!$B121),-(Analítico!W$3&gt;='Gastos Gerais'!$D$4:$D$3143),-(Analítico!W$3&lt;='Gastos Gerais'!$E$4:$E$3143),-('Gastos Gerais'!$C$4:$C$3143))</f>
        <v>201.54466666670001</v>
      </c>
      <c r="X121" s="134">
        <f>SUMPRODUCT(-('Gastos Gerais'!$B$4:$B$3143=Analítico!$B121),-(Analítico!X$3&gt;='Gastos Gerais'!$D$4:$D$3143),-(Analítico!X$3&lt;='Gastos Gerais'!$E$4:$E$3143),-('Gastos Gerais'!$C$4:$C$3143))</f>
        <v>201.54466666670001</v>
      </c>
      <c r="Y121" s="134">
        <f>SUMPRODUCT(-('Gastos Gerais'!$B$4:$B$3143=Analítico!$B121),-(Analítico!Y$3&gt;='Gastos Gerais'!$D$4:$D$3143),-(Analítico!Y$3&lt;='Gastos Gerais'!$E$4:$E$3143),-('Gastos Gerais'!$C$4:$C$3143))</f>
        <v>201.54466666670001</v>
      </c>
      <c r="Z121" s="134">
        <f>SUMPRODUCT(-('Gastos Gerais'!$B$4:$B$3143=Analítico!$B121),-(Analítico!Z$3&gt;='Gastos Gerais'!$D$4:$D$3143),-(Analítico!Z$3&lt;='Gastos Gerais'!$E$4:$E$3143),-('Gastos Gerais'!$C$4:$C$3143))</f>
        <v>201.54466666670001</v>
      </c>
      <c r="AA121" s="134">
        <f>SUMPRODUCT(-('Gastos Gerais'!$B$4:$B$3143=Analítico!$B121),-(Analítico!AA$3&gt;='Gastos Gerais'!$D$4:$D$3143),-(Analítico!AA$3&lt;='Gastos Gerais'!$E$4:$E$3143),-('Gastos Gerais'!$C$4:$C$3143))</f>
        <v>201.54466666670001</v>
      </c>
      <c r="AB121" s="134">
        <f>SUMPRODUCT(-('Gastos Gerais'!$B$4:$B$3143=Analítico!$B121),-(Analítico!AB$3&gt;='Gastos Gerais'!$D$4:$D$3143),-(Analítico!AB$3&lt;='Gastos Gerais'!$E$4:$E$3143),-('Gastos Gerais'!$C$4:$C$3143))</f>
        <v>201.54466666670001</v>
      </c>
      <c r="AC121" s="134">
        <f>SUMPRODUCT(-('Gastos Gerais'!$B$4:$B$3143=Analítico!$B121),-(Analítico!AC$3&gt;='Gastos Gerais'!$D$4:$D$3143),-(Analítico!AC$3&lt;='Gastos Gerais'!$E$4:$E$3143),-('Gastos Gerais'!$C$4:$C$3143))</f>
        <v>201.54466666670001</v>
      </c>
      <c r="AD121" s="134">
        <f>SUMPRODUCT(-('Gastos Gerais'!$B$4:$B$3143=Analítico!$B121),-(Analítico!AD$3&gt;='Gastos Gerais'!$D$4:$D$3143),-(Analítico!AD$3&lt;='Gastos Gerais'!$E$4:$E$3143),-('Gastos Gerais'!$C$4:$C$3143))</f>
        <v>201.54466666670001</v>
      </c>
      <c r="AE121" s="134">
        <f>SUMPRODUCT(-('Gastos Gerais'!$B$4:$B$3143=Analítico!$B121),-(Analítico!AE$3&gt;='Gastos Gerais'!$D$4:$D$3143),-(Analítico!AE$3&lt;='Gastos Gerais'!$E$4:$E$3143),-('Gastos Gerais'!$C$4:$C$3143))</f>
        <v>201.54466666670001</v>
      </c>
      <c r="AF121" s="134">
        <f>SUMPRODUCT(-('Gastos Gerais'!$B$4:$B$3143=Analítico!$B121),-(Analítico!AF$3&gt;='Gastos Gerais'!$D$4:$D$3143),-(Analítico!AF$3&lt;='Gastos Gerais'!$E$4:$E$3143),-('Gastos Gerais'!$C$4:$C$3143))</f>
        <v>201.54466666670001</v>
      </c>
      <c r="AG121" s="134">
        <f>SUMPRODUCT(-('Gastos Gerais'!$B$4:$B$3143=Analítico!$B121),-(Analítico!AG$3&gt;='Gastos Gerais'!$D$4:$D$3143),-(Analítico!AG$3&lt;='Gastos Gerais'!$E$4:$E$3143),-('Gastos Gerais'!$C$4:$C$3143))</f>
        <v>201.54466666670001</v>
      </c>
      <c r="AH121" s="134">
        <f>SUMPRODUCT(-('Gastos Gerais'!$B$4:$B$3143=Analítico!$B121),-(Analítico!AH$3&gt;='Gastos Gerais'!$D$4:$D$3143),-(Analítico!AH$3&lt;='Gastos Gerais'!$E$4:$E$3143),-('Gastos Gerais'!$C$4:$C$3143))</f>
        <v>201.54466666670001</v>
      </c>
      <c r="AI121" s="134">
        <f>SUMPRODUCT(-('Gastos Gerais'!$B$4:$B$3143=Analítico!$B121),-(Analítico!AI$3&gt;='Gastos Gerais'!$D$4:$D$3143),-(Analítico!AI$3&lt;='Gastos Gerais'!$E$4:$E$3143),-('Gastos Gerais'!$C$4:$C$3143))</f>
        <v>201.54466666670001</v>
      </c>
      <c r="AJ121" s="134">
        <f>SUMPRODUCT(-('Gastos Gerais'!$B$4:$B$3143=Analítico!$B121),-(Analítico!AJ$3&gt;='Gastos Gerais'!$D$4:$D$3143),-(Analítico!AJ$3&lt;='Gastos Gerais'!$E$4:$E$3143),-('Gastos Gerais'!$C$4:$C$3143))</f>
        <v>201.54466666670001</v>
      </c>
      <c r="AK121" s="134">
        <f>SUMPRODUCT(-('Gastos Gerais'!$B$4:$B$3143=Analítico!$B121),-(Analítico!AK$3&gt;='Gastos Gerais'!$D$4:$D$3143),-(Analítico!AK$3&lt;='Gastos Gerais'!$E$4:$E$3143),-('Gastos Gerais'!$C$4:$C$3143))</f>
        <v>201.54466666670001</v>
      </c>
      <c r="AL121" s="134">
        <f>SUMPRODUCT(-('Gastos Gerais'!$B$4:$B$3143=Analítico!$B121),-(Analítico!AL$3&gt;='Gastos Gerais'!$D$4:$D$3143),-(Analítico!AL$3&lt;='Gastos Gerais'!$E$4:$E$3143),-('Gastos Gerais'!$C$4:$C$3143))</f>
        <v>201.54466666670001</v>
      </c>
      <c r="AM121" s="134">
        <f>SUMPRODUCT(-('Gastos Gerais'!$B$4:$B$3143=Analítico!$B121),-(Analítico!AM$3&gt;='Gastos Gerais'!$D$4:$D$3143),-(Analítico!AM$3&lt;='Gastos Gerais'!$E$4:$E$3143),-('Gastos Gerais'!$C$4:$C$3143))</f>
        <v>201.54466666670001</v>
      </c>
      <c r="AN121" s="134">
        <f>SUMPRODUCT(-('Gastos Gerais'!$B$4:$B$3143=Analítico!$B121),-(Analítico!AN$3&gt;='Gastos Gerais'!$D$4:$D$3143),-(Analítico!AN$3&lt;='Gastos Gerais'!$E$4:$E$3143),-('Gastos Gerais'!$C$4:$C$3143))</f>
        <v>201.54466666670001</v>
      </c>
      <c r="AO121" s="134">
        <f>SUMPRODUCT(-('Gastos Gerais'!$B$4:$B$3143=Analítico!$B121),-(Analítico!AO$3&gt;='Gastos Gerais'!$D$4:$D$3143),-(Analítico!AO$3&lt;='Gastos Gerais'!$E$4:$E$3143),-('Gastos Gerais'!$C$4:$C$3143))</f>
        <v>201.54466666670001</v>
      </c>
      <c r="AP121" s="134">
        <f>SUMPRODUCT(-('Gastos Gerais'!$B$4:$B$3143=Analítico!$B121),-(Analítico!AP$3&gt;='Gastos Gerais'!$D$4:$D$3143),-(Analítico!AP$3&lt;='Gastos Gerais'!$E$4:$E$3143),-('Gastos Gerais'!$C$4:$C$3143))</f>
        <v>201.54466666670001</v>
      </c>
      <c r="AQ121" s="134">
        <f>SUMPRODUCT(-('Gastos Gerais'!$B$4:$B$3143=Analítico!$B121),-(Analítico!AQ$3&gt;='Gastos Gerais'!$D$4:$D$3143),-(Analítico!AQ$3&lt;='Gastos Gerais'!$E$4:$E$3143),-('Gastos Gerais'!$C$4:$C$3143))</f>
        <v>201.54466666670001</v>
      </c>
      <c r="AR121" s="134">
        <f>SUMPRODUCT(-('Gastos Gerais'!$B$4:$B$3143=Analítico!$B121),-(Analítico!AR$3&gt;='Gastos Gerais'!$D$4:$D$3143),-(Analítico!AR$3&lt;='Gastos Gerais'!$E$4:$E$3143),-('Gastos Gerais'!$C$4:$C$3143))</f>
        <v>201.54466666670001</v>
      </c>
      <c r="AS121" s="134">
        <f>SUMPRODUCT(-('Gastos Gerais'!$B$4:$B$3143=Analítico!$B121),-(Analítico!AS$3&gt;='Gastos Gerais'!$D$4:$D$3143),-(Analítico!AS$3&lt;='Gastos Gerais'!$E$4:$E$3143),-('Gastos Gerais'!$C$4:$C$3143))</f>
        <v>201.54466666670001</v>
      </c>
      <c r="AT121" s="134">
        <f>SUMPRODUCT(-('Gastos Gerais'!$B$4:$B$3143=Analítico!$B121),-(Analítico!AT$3&gt;='Gastos Gerais'!$D$4:$D$3143),-(Analítico!AT$3&lt;='Gastos Gerais'!$E$4:$E$3143),-('Gastos Gerais'!$C$4:$C$3143))</f>
        <v>201.54466666670001</v>
      </c>
      <c r="AU121" s="134">
        <f>SUMPRODUCT(-('Gastos Gerais'!$B$4:$B$3143=Analítico!$B121),-(Analítico!AU$3&gt;='Gastos Gerais'!$D$4:$D$3143),-(Analítico!AU$3&lt;='Gastos Gerais'!$E$4:$E$3143),-('Gastos Gerais'!$C$4:$C$3143))</f>
        <v>201.54466666670001</v>
      </c>
      <c r="AV121" s="134">
        <f>SUMPRODUCT(-('Gastos Gerais'!$B$4:$B$3143=Analítico!$B121),-(Analítico!AV$3&gt;='Gastos Gerais'!$D$4:$D$3143),-(Analítico!AV$3&lt;='Gastos Gerais'!$E$4:$E$3143),-('Gastos Gerais'!$C$4:$C$3143))</f>
        <v>201.54466666670001</v>
      </c>
      <c r="AW121" s="134">
        <f>SUMPRODUCT(-('Gastos Gerais'!$B$4:$B$3143=Analítico!$B121),-(Analítico!AW$3&gt;='Gastos Gerais'!$D$4:$D$3143),-(Analítico!AW$3&lt;='Gastos Gerais'!$E$4:$E$3143),-('Gastos Gerais'!$C$4:$C$3143))</f>
        <v>201.54466666670001</v>
      </c>
      <c r="AX121" s="134">
        <f>SUMPRODUCT(-('Gastos Gerais'!$B$4:$B$3143=Analítico!$B121),-(Analítico!AX$3&gt;='Gastos Gerais'!$D$4:$D$3143),-(Analítico!AX$3&lt;='Gastos Gerais'!$E$4:$E$3143),-('Gastos Gerais'!$C$4:$C$3143))</f>
        <v>0</v>
      </c>
      <c r="AY121" s="134">
        <f>SUMPRODUCT(-('Gastos Gerais'!$B$4:$B$3143=Analítico!$B121),-(Analítico!AY$3&gt;='Gastos Gerais'!$D$4:$D$3143),-(Analítico!AY$3&lt;='Gastos Gerais'!$E$4:$E$3143),-('Gastos Gerais'!$C$4:$C$3143))</f>
        <v>0</v>
      </c>
      <c r="AZ121" s="134">
        <f>SUMPRODUCT(-('Gastos Gerais'!$B$4:$B$3143=Analítico!$B121),-(Analítico!AZ$3&gt;='Gastos Gerais'!$D$4:$D$3143),-(Analítico!AZ$3&lt;='Gastos Gerais'!$E$4:$E$3143),-('Gastos Gerais'!$C$4:$C$3143))</f>
        <v>0</v>
      </c>
      <c r="BA121" s="134">
        <f>SUMPRODUCT(-('Gastos Gerais'!$B$4:$B$3143=Analítico!$B121),-(Analítico!BA$3&gt;='Gastos Gerais'!$D$4:$D$3143),-(Analítico!BA$3&lt;='Gastos Gerais'!$E$4:$E$3143),-('Gastos Gerais'!$C$4:$C$3143))</f>
        <v>0</v>
      </c>
      <c r="BB121" s="134">
        <f>SUMPRODUCT(-('Gastos Gerais'!$B$4:$B$3143=Analítico!$B121),-(Analítico!BB$3&gt;='Gastos Gerais'!$D$4:$D$3143),-(Analítico!BB$3&lt;='Gastos Gerais'!$E$4:$E$3143),-('Gastos Gerais'!$C$4:$C$3143))</f>
        <v>0</v>
      </c>
      <c r="BC121" s="134">
        <f>SUMPRODUCT(-('Gastos Gerais'!$B$4:$B$3143=Analítico!$B121),-(Analítico!BC$3&gt;='Gastos Gerais'!$D$4:$D$3143),-(Analítico!BC$3&lt;='Gastos Gerais'!$E$4:$E$3143),-('Gastos Gerais'!$C$4:$C$3143))</f>
        <v>0</v>
      </c>
      <c r="BD121" s="134">
        <f>SUMPRODUCT(-('Gastos Gerais'!$B$4:$B$3143=Analítico!$B121),-(Analítico!BD$3&gt;='Gastos Gerais'!$D$4:$D$3143),-(Analítico!BD$3&lt;='Gastos Gerais'!$E$4:$E$3143),-('Gastos Gerais'!$C$4:$C$3143))</f>
        <v>0</v>
      </c>
      <c r="BE121" s="134">
        <f>SUMPRODUCT(-('Gastos Gerais'!$B$4:$B$3143=Analítico!$B121),-(Analítico!BE$3&gt;='Gastos Gerais'!$D$4:$D$3143),-(Analítico!BE$3&lt;='Gastos Gerais'!$E$4:$E$3143),-('Gastos Gerais'!$C$4:$C$3143))</f>
        <v>0</v>
      </c>
      <c r="BF121" s="134">
        <f>SUMPRODUCT(-('Gastos Gerais'!$B$4:$B$3143=Analítico!$B121),-(Analítico!BF$3&gt;='Gastos Gerais'!$D$4:$D$3143),-(Analítico!BF$3&lt;='Gastos Gerais'!$E$4:$E$3143),-('Gastos Gerais'!$C$4:$C$3143))</f>
        <v>0</v>
      </c>
      <c r="BG121" s="134">
        <f>SUMPRODUCT(-('Gastos Gerais'!$B$4:$B$3143=Analítico!$B121),-(Analítico!BG$3&gt;='Gastos Gerais'!$D$4:$D$3143),-(Analítico!BG$3&lt;='Gastos Gerais'!$E$4:$E$3143),-('Gastos Gerais'!$C$4:$C$3143))</f>
        <v>0</v>
      </c>
      <c r="BH121" s="134">
        <f>SUMPRODUCT(-('Gastos Gerais'!$B$4:$B$3143=Analítico!$B121),-(Analítico!BH$3&gt;='Gastos Gerais'!$D$4:$D$3143),-(Analítico!BH$3&lt;='Gastos Gerais'!$E$4:$E$3143),-('Gastos Gerais'!$C$4:$C$3143))</f>
        <v>0</v>
      </c>
      <c r="BI121" s="134">
        <f>SUMPRODUCT(-('Gastos Gerais'!$B$4:$B$3143=Analítico!$B121),-(Analítico!BI$3&gt;='Gastos Gerais'!$D$4:$D$3143),-(Analítico!BI$3&lt;='Gastos Gerais'!$E$4:$E$3143),-('Gastos Gerais'!$C$4:$C$3143))</f>
        <v>0</v>
      </c>
      <c r="BJ121" s="134">
        <f>SUMPRODUCT(-('Gastos Gerais'!$B$4:$B$3143=Analítico!$B121),-(Analítico!BJ$3&gt;='Gastos Gerais'!$D$4:$D$3143),-(Analítico!BJ$3&lt;='Gastos Gerais'!$E$4:$E$3143),-('Gastos Gerais'!$C$4:$C$3143))</f>
        <v>0</v>
      </c>
      <c r="BK121" s="189">
        <f t="shared" ref="BK121:BK132" si="28">SUM(C121:BJ121)</f>
        <v>85286.44333333442</v>
      </c>
      <c r="BL121" s="136">
        <f t="shared" ca="1" si="27"/>
        <v>2.9364106314882908E-4</v>
      </c>
    </row>
    <row r="122" spans="1:64" s="160" customFormat="1" ht="30">
      <c r="A122" s="229" t="s">
        <v>628</v>
      </c>
      <c r="B122" s="232" t="s">
        <v>617</v>
      </c>
      <c r="C122" s="188">
        <f>SUMPRODUCT(-('Gastos Gerais'!$B$4:$B$3143=Analítico!$B122),-(Analítico!C$3&gt;='Gastos Gerais'!$D$4:$D$3143),-(Analítico!C$3&lt;='Gastos Gerais'!$E$4:$E$3143),-('Gastos Gerais'!$C$4:$C$3143))</f>
        <v>3400</v>
      </c>
      <c r="D122" s="134">
        <f>SUMPRODUCT(-('Gastos Gerais'!$B$4:$B$3143=Analítico!$B122),-(Analítico!D$3&gt;='Gastos Gerais'!$D$4:$D$3143),-(Analítico!D$3&lt;='Gastos Gerais'!$E$4:$E$3143),-('Gastos Gerais'!$C$4:$C$3143))</f>
        <v>3400</v>
      </c>
      <c r="E122" s="134">
        <f>SUMPRODUCT(-('Gastos Gerais'!$B$4:$B$3143=Analítico!$B122),-(Analítico!E$3&gt;='Gastos Gerais'!$D$4:$D$3143),-(Analítico!E$3&lt;='Gastos Gerais'!$E$4:$E$3143),-('Gastos Gerais'!$C$4:$C$3143))</f>
        <v>3600</v>
      </c>
      <c r="F122" s="134">
        <f>SUMPRODUCT(-('Gastos Gerais'!$B$4:$B$3143=Analítico!$B122),-(Analítico!F$3&gt;='Gastos Gerais'!$D$4:$D$3143),-(Analítico!F$3&lt;='Gastos Gerais'!$E$4:$E$3143),-('Gastos Gerais'!$C$4:$C$3143))</f>
        <v>3800</v>
      </c>
      <c r="G122" s="134">
        <f>SUMPRODUCT(-('Gastos Gerais'!$B$4:$B$3143=Analítico!$B122),-(Analítico!G$3&gt;='Gastos Gerais'!$D$4:$D$3143),-(Analítico!G$3&lt;='Gastos Gerais'!$E$4:$E$3143),-('Gastos Gerais'!$C$4:$C$3143))</f>
        <v>3800</v>
      </c>
      <c r="H122" s="134">
        <f>SUMPRODUCT(-('Gastos Gerais'!$B$4:$B$3143=Analítico!$B122),-(Analítico!H$3&gt;='Gastos Gerais'!$D$4:$D$3143),-(Analítico!H$3&lt;='Gastos Gerais'!$E$4:$E$3143),-('Gastos Gerais'!$C$4:$C$3143))</f>
        <v>3800</v>
      </c>
      <c r="I122" s="134">
        <f>SUMPRODUCT(-('Gastos Gerais'!$B$4:$B$3143=Analítico!$B122),-(Analítico!I$3&gt;='Gastos Gerais'!$D$4:$D$3143),-(Analítico!I$3&lt;='Gastos Gerais'!$E$4:$E$3143),-('Gastos Gerais'!$C$4:$C$3143))</f>
        <v>4000</v>
      </c>
      <c r="J122" s="134">
        <f>SUMPRODUCT(-('Gastos Gerais'!$B$4:$B$3143=Analítico!$B122),-(Analítico!J$3&gt;='Gastos Gerais'!$D$4:$D$3143),-(Analítico!J$3&lt;='Gastos Gerais'!$E$4:$E$3143),-('Gastos Gerais'!$C$4:$C$3143))</f>
        <v>4000</v>
      </c>
      <c r="K122" s="134">
        <f>SUMPRODUCT(-('Gastos Gerais'!$B$4:$B$3143=Analítico!$B122),-(Analítico!K$3&gt;='Gastos Gerais'!$D$4:$D$3143),-(Analítico!K$3&lt;='Gastos Gerais'!$E$4:$E$3143),-('Gastos Gerais'!$C$4:$C$3143))</f>
        <v>4000</v>
      </c>
      <c r="L122" s="134">
        <f>SUMPRODUCT(-('Gastos Gerais'!$B$4:$B$3143=Analítico!$B122),-(Analítico!L$3&gt;='Gastos Gerais'!$D$4:$D$3143),-(Analítico!L$3&lt;='Gastos Gerais'!$E$4:$E$3143),-('Gastos Gerais'!$C$4:$C$3143))</f>
        <v>4200</v>
      </c>
      <c r="M122" s="134">
        <f>SUMPRODUCT(-('Gastos Gerais'!$B$4:$B$3143=Analítico!$B122),-(Analítico!M$3&gt;='Gastos Gerais'!$D$4:$D$3143),-(Analítico!M$3&lt;='Gastos Gerais'!$E$4:$E$3143),-('Gastos Gerais'!$C$4:$C$3143))</f>
        <v>4200</v>
      </c>
      <c r="N122" s="134">
        <f>SUMPRODUCT(-('Gastos Gerais'!$B$4:$B$3143=Analítico!$B122),-(Analítico!N$3&gt;='Gastos Gerais'!$D$4:$D$3143),-(Analítico!N$3&lt;='Gastos Gerais'!$E$4:$E$3143),-('Gastos Gerais'!$C$4:$C$3143))</f>
        <v>4200</v>
      </c>
      <c r="O122" s="134">
        <f>SUMPRODUCT(-('Gastos Gerais'!$B$4:$B$3143=Analítico!$B122),-(Analítico!O$3&gt;='Gastos Gerais'!$D$4:$D$3143),-(Analítico!O$3&lt;='Gastos Gerais'!$E$4:$E$3143),-('Gastos Gerais'!$C$4:$C$3143))</f>
        <v>4200</v>
      </c>
      <c r="P122" s="134">
        <f>SUMPRODUCT(-('Gastos Gerais'!$B$4:$B$3143=Analítico!$B122),-(Analítico!P$3&gt;='Gastos Gerais'!$D$4:$D$3143),-(Analítico!P$3&lt;='Gastos Gerais'!$E$4:$E$3143),-('Gastos Gerais'!$C$4:$C$3143))</f>
        <v>4200</v>
      </c>
      <c r="Q122" s="134">
        <f>SUMPRODUCT(-('Gastos Gerais'!$B$4:$B$3143=Analítico!$B122),-(Analítico!Q$3&gt;='Gastos Gerais'!$D$4:$D$3143),-(Analítico!Q$3&lt;='Gastos Gerais'!$E$4:$E$3143),-('Gastos Gerais'!$C$4:$C$3143))</f>
        <v>4200</v>
      </c>
      <c r="R122" s="134">
        <f>SUMPRODUCT(-('Gastos Gerais'!$B$4:$B$3143=Analítico!$B122),-(Analítico!R$3&gt;='Gastos Gerais'!$D$4:$D$3143),-(Analítico!R$3&lt;='Gastos Gerais'!$E$4:$E$3143),-('Gastos Gerais'!$C$4:$C$3143))</f>
        <v>4200</v>
      </c>
      <c r="S122" s="134">
        <f>SUMPRODUCT(-('Gastos Gerais'!$B$4:$B$3143=Analítico!$B122),-(Analítico!S$3&gt;='Gastos Gerais'!$D$4:$D$3143),-(Analítico!S$3&lt;='Gastos Gerais'!$E$4:$E$3143),-('Gastos Gerais'!$C$4:$C$3143))</f>
        <v>4200</v>
      </c>
      <c r="T122" s="134">
        <f>SUMPRODUCT(-('Gastos Gerais'!$B$4:$B$3143=Analítico!$B122),-(Analítico!T$3&gt;='Gastos Gerais'!$D$4:$D$3143),-(Analítico!T$3&lt;='Gastos Gerais'!$E$4:$E$3143),-('Gastos Gerais'!$C$4:$C$3143))</f>
        <v>4200</v>
      </c>
      <c r="U122" s="134">
        <f>SUMPRODUCT(-('Gastos Gerais'!$B$4:$B$3143=Analítico!$B122),-(Analítico!U$3&gt;='Gastos Gerais'!$D$4:$D$3143),-(Analítico!U$3&lt;='Gastos Gerais'!$E$4:$E$3143),-('Gastos Gerais'!$C$4:$C$3143))</f>
        <v>4200</v>
      </c>
      <c r="V122" s="134">
        <f>SUMPRODUCT(-('Gastos Gerais'!$B$4:$B$3143=Analítico!$B122),-(Analítico!V$3&gt;='Gastos Gerais'!$D$4:$D$3143),-(Analítico!V$3&lt;='Gastos Gerais'!$E$4:$E$3143),-('Gastos Gerais'!$C$4:$C$3143))</f>
        <v>4200</v>
      </c>
      <c r="W122" s="134">
        <f>SUMPRODUCT(-('Gastos Gerais'!$B$4:$B$3143=Analítico!$B122),-(Analítico!W$3&gt;='Gastos Gerais'!$D$4:$D$3143),-(Analítico!W$3&lt;='Gastos Gerais'!$E$4:$E$3143),-('Gastos Gerais'!$C$4:$C$3143))</f>
        <v>4200</v>
      </c>
      <c r="X122" s="134">
        <f>SUMPRODUCT(-('Gastos Gerais'!$B$4:$B$3143=Analítico!$B122),-(Analítico!X$3&gt;='Gastos Gerais'!$D$4:$D$3143),-(Analítico!X$3&lt;='Gastos Gerais'!$E$4:$E$3143),-('Gastos Gerais'!$C$4:$C$3143))</f>
        <v>4200</v>
      </c>
      <c r="Y122" s="134">
        <f>SUMPRODUCT(-('Gastos Gerais'!$B$4:$B$3143=Analítico!$B122),-(Analítico!Y$3&gt;='Gastos Gerais'!$D$4:$D$3143),-(Analítico!Y$3&lt;='Gastos Gerais'!$E$4:$E$3143),-('Gastos Gerais'!$C$4:$C$3143))</f>
        <v>4200</v>
      </c>
      <c r="Z122" s="134">
        <f>SUMPRODUCT(-('Gastos Gerais'!$B$4:$B$3143=Analítico!$B122),-(Analítico!Z$3&gt;='Gastos Gerais'!$D$4:$D$3143),-(Analítico!Z$3&lt;='Gastos Gerais'!$E$4:$E$3143),-('Gastos Gerais'!$C$4:$C$3143))</f>
        <v>4200</v>
      </c>
      <c r="AA122" s="134">
        <f>SUMPRODUCT(-('Gastos Gerais'!$B$4:$B$3143=Analítico!$B122),-(Analítico!AA$3&gt;='Gastos Gerais'!$D$4:$D$3143),-(Analítico!AA$3&lt;='Gastos Gerais'!$E$4:$E$3143),-('Gastos Gerais'!$C$4:$C$3143))</f>
        <v>4200</v>
      </c>
      <c r="AB122" s="134">
        <f>SUMPRODUCT(-('Gastos Gerais'!$B$4:$B$3143=Analítico!$B122),-(Analítico!AB$3&gt;='Gastos Gerais'!$D$4:$D$3143),-(Analítico!AB$3&lt;='Gastos Gerais'!$E$4:$E$3143),-('Gastos Gerais'!$C$4:$C$3143))</f>
        <v>4200</v>
      </c>
      <c r="AC122" s="134">
        <f>SUMPRODUCT(-('Gastos Gerais'!$B$4:$B$3143=Analítico!$B122),-(Analítico!AC$3&gt;='Gastos Gerais'!$D$4:$D$3143),-(Analítico!AC$3&lt;='Gastos Gerais'!$E$4:$E$3143),-('Gastos Gerais'!$C$4:$C$3143))</f>
        <v>4200</v>
      </c>
      <c r="AD122" s="134">
        <f>SUMPRODUCT(-('Gastos Gerais'!$B$4:$B$3143=Analítico!$B122),-(Analítico!AD$3&gt;='Gastos Gerais'!$D$4:$D$3143),-(Analítico!AD$3&lt;='Gastos Gerais'!$E$4:$E$3143),-('Gastos Gerais'!$C$4:$C$3143))</f>
        <v>4200</v>
      </c>
      <c r="AE122" s="134">
        <f>SUMPRODUCT(-('Gastos Gerais'!$B$4:$B$3143=Analítico!$B122),-(Analítico!AE$3&gt;='Gastos Gerais'!$D$4:$D$3143),-(Analítico!AE$3&lt;='Gastos Gerais'!$E$4:$E$3143),-('Gastos Gerais'!$C$4:$C$3143))</f>
        <v>4200</v>
      </c>
      <c r="AF122" s="134">
        <f>SUMPRODUCT(-('Gastos Gerais'!$B$4:$B$3143=Analítico!$B122),-(Analítico!AF$3&gt;='Gastos Gerais'!$D$4:$D$3143),-(Analítico!AF$3&lt;='Gastos Gerais'!$E$4:$E$3143),-('Gastos Gerais'!$C$4:$C$3143))</f>
        <v>4200</v>
      </c>
      <c r="AG122" s="134">
        <f>SUMPRODUCT(-('Gastos Gerais'!$B$4:$B$3143=Analítico!$B122),-(Analítico!AG$3&gt;='Gastos Gerais'!$D$4:$D$3143),-(Analítico!AG$3&lt;='Gastos Gerais'!$E$4:$E$3143),-('Gastos Gerais'!$C$4:$C$3143))</f>
        <v>4200</v>
      </c>
      <c r="AH122" s="134">
        <f>SUMPRODUCT(-('Gastos Gerais'!$B$4:$B$3143=Analítico!$B122),-(Analítico!AH$3&gt;='Gastos Gerais'!$D$4:$D$3143),-(Analítico!AH$3&lt;='Gastos Gerais'!$E$4:$E$3143),-('Gastos Gerais'!$C$4:$C$3143))</f>
        <v>4200</v>
      </c>
      <c r="AI122" s="134">
        <f>SUMPRODUCT(-('Gastos Gerais'!$B$4:$B$3143=Analítico!$B122),-(Analítico!AI$3&gt;='Gastos Gerais'!$D$4:$D$3143),-(Analítico!AI$3&lt;='Gastos Gerais'!$E$4:$E$3143),-('Gastos Gerais'!$C$4:$C$3143))</f>
        <v>4200</v>
      </c>
      <c r="AJ122" s="134">
        <f>SUMPRODUCT(-('Gastos Gerais'!$B$4:$B$3143=Analítico!$B122),-(Analítico!AJ$3&gt;='Gastos Gerais'!$D$4:$D$3143),-(Analítico!AJ$3&lt;='Gastos Gerais'!$E$4:$E$3143),-('Gastos Gerais'!$C$4:$C$3143))</f>
        <v>4200</v>
      </c>
      <c r="AK122" s="134">
        <f>SUMPRODUCT(-('Gastos Gerais'!$B$4:$B$3143=Analítico!$B122),-(Analítico!AK$3&gt;='Gastos Gerais'!$D$4:$D$3143),-(Analítico!AK$3&lt;='Gastos Gerais'!$E$4:$E$3143),-('Gastos Gerais'!$C$4:$C$3143))</f>
        <v>4200</v>
      </c>
      <c r="AL122" s="134">
        <f>SUMPRODUCT(-('Gastos Gerais'!$B$4:$B$3143=Analítico!$B122),-(Analítico!AL$3&gt;='Gastos Gerais'!$D$4:$D$3143),-(Analítico!AL$3&lt;='Gastos Gerais'!$E$4:$E$3143),-('Gastos Gerais'!$C$4:$C$3143))</f>
        <v>4200</v>
      </c>
      <c r="AM122" s="134">
        <f>SUMPRODUCT(-('Gastos Gerais'!$B$4:$B$3143=Analítico!$B122),-(Analítico!AM$3&gt;='Gastos Gerais'!$D$4:$D$3143),-(Analítico!AM$3&lt;='Gastos Gerais'!$E$4:$E$3143),-('Gastos Gerais'!$C$4:$C$3143))</f>
        <v>4200</v>
      </c>
      <c r="AN122" s="134">
        <f>SUMPRODUCT(-('Gastos Gerais'!$B$4:$B$3143=Analítico!$B122),-(Analítico!AN$3&gt;='Gastos Gerais'!$D$4:$D$3143),-(Analítico!AN$3&lt;='Gastos Gerais'!$E$4:$E$3143),-('Gastos Gerais'!$C$4:$C$3143))</f>
        <v>4200</v>
      </c>
      <c r="AO122" s="134">
        <f>SUMPRODUCT(-('Gastos Gerais'!$B$4:$B$3143=Analítico!$B122),-(Analítico!AO$3&gt;='Gastos Gerais'!$D$4:$D$3143),-(Analítico!AO$3&lt;='Gastos Gerais'!$E$4:$E$3143),-('Gastos Gerais'!$C$4:$C$3143))</f>
        <v>4200</v>
      </c>
      <c r="AP122" s="134">
        <f>SUMPRODUCT(-('Gastos Gerais'!$B$4:$B$3143=Analítico!$B122),-(Analítico!AP$3&gt;='Gastos Gerais'!$D$4:$D$3143),-(Analítico!AP$3&lt;='Gastos Gerais'!$E$4:$E$3143),-('Gastos Gerais'!$C$4:$C$3143))</f>
        <v>4200</v>
      </c>
      <c r="AQ122" s="134">
        <f>SUMPRODUCT(-('Gastos Gerais'!$B$4:$B$3143=Analítico!$B122),-(Analítico!AQ$3&gt;='Gastos Gerais'!$D$4:$D$3143),-(Analítico!AQ$3&lt;='Gastos Gerais'!$E$4:$E$3143),-('Gastos Gerais'!$C$4:$C$3143))</f>
        <v>4200</v>
      </c>
      <c r="AR122" s="134">
        <f>SUMPRODUCT(-('Gastos Gerais'!$B$4:$B$3143=Analítico!$B122),-(Analítico!AR$3&gt;='Gastos Gerais'!$D$4:$D$3143),-(Analítico!AR$3&lt;='Gastos Gerais'!$E$4:$E$3143),-('Gastos Gerais'!$C$4:$C$3143))</f>
        <v>4200</v>
      </c>
      <c r="AS122" s="134">
        <f>SUMPRODUCT(-('Gastos Gerais'!$B$4:$B$3143=Analítico!$B122),-(Analítico!AS$3&gt;='Gastos Gerais'!$D$4:$D$3143),-(Analítico!AS$3&lt;='Gastos Gerais'!$E$4:$E$3143),-('Gastos Gerais'!$C$4:$C$3143))</f>
        <v>4200</v>
      </c>
      <c r="AT122" s="134">
        <f>SUMPRODUCT(-('Gastos Gerais'!$B$4:$B$3143=Analítico!$B122),-(Analítico!AT$3&gt;='Gastos Gerais'!$D$4:$D$3143),-(Analítico!AT$3&lt;='Gastos Gerais'!$E$4:$E$3143),-('Gastos Gerais'!$C$4:$C$3143))</f>
        <v>4200</v>
      </c>
      <c r="AU122" s="134">
        <f>SUMPRODUCT(-('Gastos Gerais'!$B$4:$B$3143=Analítico!$B122),-(Analítico!AU$3&gt;='Gastos Gerais'!$D$4:$D$3143),-(Analítico!AU$3&lt;='Gastos Gerais'!$E$4:$E$3143),-('Gastos Gerais'!$C$4:$C$3143))</f>
        <v>4200</v>
      </c>
      <c r="AV122" s="134">
        <f>SUMPRODUCT(-('Gastos Gerais'!$B$4:$B$3143=Analítico!$B122),-(Analítico!AV$3&gt;='Gastos Gerais'!$D$4:$D$3143),-(Analítico!AV$3&lt;='Gastos Gerais'!$E$4:$E$3143),-('Gastos Gerais'!$C$4:$C$3143))</f>
        <v>4200</v>
      </c>
      <c r="AW122" s="134">
        <f>SUMPRODUCT(-('Gastos Gerais'!$B$4:$B$3143=Analítico!$B122),-(Analítico!AW$3&gt;='Gastos Gerais'!$D$4:$D$3143),-(Analítico!AW$3&lt;='Gastos Gerais'!$E$4:$E$3143),-('Gastos Gerais'!$C$4:$C$3143))</f>
        <v>4200</v>
      </c>
      <c r="AX122" s="134">
        <f>SUMPRODUCT(-('Gastos Gerais'!$B$4:$B$3143=Analítico!$B122),-(Analítico!AX$3&gt;='Gastos Gerais'!$D$4:$D$3143),-(Analítico!AX$3&lt;='Gastos Gerais'!$E$4:$E$3143),-('Gastos Gerais'!$C$4:$C$3143))</f>
        <v>0</v>
      </c>
      <c r="AY122" s="134">
        <f>SUMPRODUCT(-('Gastos Gerais'!$B$4:$B$3143=Analítico!$B122),-(Analítico!AY$3&gt;='Gastos Gerais'!$D$4:$D$3143),-(Analítico!AY$3&lt;='Gastos Gerais'!$E$4:$E$3143),-('Gastos Gerais'!$C$4:$C$3143))</f>
        <v>0</v>
      </c>
      <c r="AZ122" s="134">
        <f>SUMPRODUCT(-('Gastos Gerais'!$B$4:$B$3143=Analítico!$B122),-(Analítico!AZ$3&gt;='Gastos Gerais'!$D$4:$D$3143),-(Analítico!AZ$3&lt;='Gastos Gerais'!$E$4:$E$3143),-('Gastos Gerais'!$C$4:$C$3143))</f>
        <v>0</v>
      </c>
      <c r="BA122" s="134">
        <f>SUMPRODUCT(-('Gastos Gerais'!$B$4:$B$3143=Analítico!$B122),-(Analítico!BA$3&gt;='Gastos Gerais'!$D$4:$D$3143),-(Analítico!BA$3&lt;='Gastos Gerais'!$E$4:$E$3143),-('Gastos Gerais'!$C$4:$C$3143))</f>
        <v>0</v>
      </c>
      <c r="BB122" s="134">
        <f>SUMPRODUCT(-('Gastos Gerais'!$B$4:$B$3143=Analítico!$B122),-(Analítico!BB$3&gt;='Gastos Gerais'!$D$4:$D$3143),-(Analítico!BB$3&lt;='Gastos Gerais'!$E$4:$E$3143),-('Gastos Gerais'!$C$4:$C$3143))</f>
        <v>0</v>
      </c>
      <c r="BC122" s="134">
        <f>SUMPRODUCT(-('Gastos Gerais'!$B$4:$B$3143=Analítico!$B122),-(Analítico!BC$3&gt;='Gastos Gerais'!$D$4:$D$3143),-(Analítico!BC$3&lt;='Gastos Gerais'!$E$4:$E$3143),-('Gastos Gerais'!$C$4:$C$3143))</f>
        <v>0</v>
      </c>
      <c r="BD122" s="134">
        <f>SUMPRODUCT(-('Gastos Gerais'!$B$4:$B$3143=Analítico!$B122),-(Analítico!BD$3&gt;='Gastos Gerais'!$D$4:$D$3143),-(Analítico!BD$3&lt;='Gastos Gerais'!$E$4:$E$3143),-('Gastos Gerais'!$C$4:$C$3143))</f>
        <v>0</v>
      </c>
      <c r="BE122" s="134">
        <f>SUMPRODUCT(-('Gastos Gerais'!$B$4:$B$3143=Analítico!$B122),-(Analítico!BE$3&gt;='Gastos Gerais'!$D$4:$D$3143),-(Analítico!BE$3&lt;='Gastos Gerais'!$E$4:$E$3143),-('Gastos Gerais'!$C$4:$C$3143))</f>
        <v>0</v>
      </c>
      <c r="BF122" s="134">
        <f>SUMPRODUCT(-('Gastos Gerais'!$B$4:$B$3143=Analítico!$B122),-(Analítico!BF$3&gt;='Gastos Gerais'!$D$4:$D$3143),-(Analítico!BF$3&lt;='Gastos Gerais'!$E$4:$E$3143),-('Gastos Gerais'!$C$4:$C$3143))</f>
        <v>0</v>
      </c>
      <c r="BG122" s="134">
        <f>SUMPRODUCT(-('Gastos Gerais'!$B$4:$B$3143=Analítico!$B122),-(Analítico!BG$3&gt;='Gastos Gerais'!$D$4:$D$3143),-(Analítico!BG$3&lt;='Gastos Gerais'!$E$4:$E$3143),-('Gastos Gerais'!$C$4:$C$3143))</f>
        <v>0</v>
      </c>
      <c r="BH122" s="134">
        <f>SUMPRODUCT(-('Gastos Gerais'!$B$4:$B$3143=Analítico!$B122),-(Analítico!BH$3&gt;='Gastos Gerais'!$D$4:$D$3143),-(Analítico!BH$3&lt;='Gastos Gerais'!$E$4:$E$3143),-('Gastos Gerais'!$C$4:$C$3143))</f>
        <v>0</v>
      </c>
      <c r="BI122" s="134">
        <f>SUMPRODUCT(-('Gastos Gerais'!$B$4:$B$3143=Analítico!$B122),-(Analítico!BI$3&gt;='Gastos Gerais'!$D$4:$D$3143),-(Analítico!BI$3&lt;='Gastos Gerais'!$E$4:$E$3143),-('Gastos Gerais'!$C$4:$C$3143))</f>
        <v>0</v>
      </c>
      <c r="BJ122" s="134">
        <f>SUMPRODUCT(-('Gastos Gerais'!$B$4:$B$3143=Analítico!$B122),-(Analítico!BJ$3&gt;='Gastos Gerais'!$D$4:$D$3143),-(Analítico!BJ$3&lt;='Gastos Gerais'!$E$4:$E$3143),-('Gastos Gerais'!$C$4:$C$3143))</f>
        <v>0</v>
      </c>
      <c r="BK122" s="189">
        <f t="shared" si="28"/>
        <v>193400</v>
      </c>
      <c r="BL122" s="136">
        <f t="shared" ca="1" si="27"/>
        <v>6.6587583434596061E-4</v>
      </c>
    </row>
    <row r="123" spans="1:64" s="160" customFormat="1" ht="23.25" customHeight="1">
      <c r="A123" s="229" t="s">
        <v>629</v>
      </c>
      <c r="B123" s="232" t="s">
        <v>618</v>
      </c>
      <c r="C123" s="188">
        <f>SUMPRODUCT(-('Gastos Gerais'!$B$4:$B$3143=Analítico!$B123),-(Analítico!C$3&gt;='Gastos Gerais'!$D$4:$D$3143),-(Analítico!C$3&lt;='Gastos Gerais'!$E$4:$E$3143),-('Gastos Gerais'!$C$4:$C$3143))</f>
        <v>270000</v>
      </c>
      <c r="D123" s="134">
        <f>SUMPRODUCT(-('Gastos Gerais'!$B$4:$B$3143=Analítico!$B123),-(Analítico!D$3&gt;='Gastos Gerais'!$D$4:$D$3143),-(Analítico!D$3&lt;='Gastos Gerais'!$E$4:$E$3143),-('Gastos Gerais'!$C$4:$C$3143))</f>
        <v>40000</v>
      </c>
      <c r="E123" s="134">
        <f>SUMPRODUCT(-('Gastos Gerais'!$B$4:$B$3143=Analítico!$B123),-(Analítico!E$3&gt;='Gastos Gerais'!$D$4:$D$3143),-(Analítico!E$3&lt;='Gastos Gerais'!$E$4:$E$3143),-('Gastos Gerais'!$C$4:$C$3143))</f>
        <v>40000</v>
      </c>
      <c r="F123" s="134">
        <f>SUMPRODUCT(-('Gastos Gerais'!$B$4:$B$3143=Analítico!$B123),-(Analítico!F$3&gt;='Gastos Gerais'!$D$4:$D$3143),-(Analítico!F$3&lt;='Gastos Gerais'!$E$4:$E$3143),-('Gastos Gerais'!$C$4:$C$3143))</f>
        <v>272500</v>
      </c>
      <c r="G123" s="134">
        <f>SUMPRODUCT(-('Gastos Gerais'!$B$4:$B$3143=Analítico!$B123),-(Analítico!G$3&gt;='Gastos Gerais'!$D$4:$D$3143),-(Analítico!G$3&lt;='Gastos Gerais'!$E$4:$E$3143),-('Gastos Gerais'!$C$4:$C$3143))</f>
        <v>272500</v>
      </c>
      <c r="H123" s="134">
        <f>SUMPRODUCT(-('Gastos Gerais'!$B$4:$B$3143=Analítico!$B123),-(Analítico!H$3&gt;='Gastos Gerais'!$D$4:$D$3143),-(Analítico!H$3&lt;='Gastos Gerais'!$E$4:$E$3143),-('Gastos Gerais'!$C$4:$C$3143))</f>
        <v>45000</v>
      </c>
      <c r="I123" s="134">
        <f>SUMPRODUCT(-('Gastos Gerais'!$B$4:$B$3143=Analítico!$B123),-(Analítico!I$3&gt;='Gastos Gerais'!$D$4:$D$3143),-(Analítico!I$3&lt;='Gastos Gerais'!$E$4:$E$3143),-('Gastos Gerais'!$C$4:$C$3143))</f>
        <v>275000</v>
      </c>
      <c r="J123" s="134">
        <f>SUMPRODUCT(-('Gastos Gerais'!$B$4:$B$3143=Analítico!$B123),-(Analítico!J$3&gt;='Gastos Gerais'!$D$4:$D$3143),-(Analítico!J$3&lt;='Gastos Gerais'!$E$4:$E$3143),-('Gastos Gerais'!$C$4:$C$3143))</f>
        <v>47500</v>
      </c>
      <c r="K123" s="134">
        <f>SUMPRODUCT(-('Gastos Gerais'!$B$4:$B$3143=Analítico!$B123),-(Analítico!K$3&gt;='Gastos Gerais'!$D$4:$D$3143),-(Analítico!K$3&lt;='Gastos Gerais'!$E$4:$E$3143),-('Gastos Gerais'!$C$4:$C$3143))</f>
        <v>47500</v>
      </c>
      <c r="L123" s="134">
        <f>SUMPRODUCT(-('Gastos Gerais'!$B$4:$B$3143=Analítico!$B123),-(Analítico!L$3&gt;='Gastos Gerais'!$D$4:$D$3143),-(Analítico!L$3&lt;='Gastos Gerais'!$E$4:$E$3143),-('Gastos Gerais'!$C$4:$C$3143))</f>
        <v>277500</v>
      </c>
      <c r="M123" s="134">
        <f>SUMPRODUCT(-('Gastos Gerais'!$B$4:$B$3143=Analítico!$B123),-(Analítico!M$3&gt;='Gastos Gerais'!$D$4:$D$3143),-(Analítico!M$3&lt;='Gastos Gerais'!$E$4:$E$3143),-('Gastos Gerais'!$C$4:$C$3143))</f>
        <v>50000</v>
      </c>
      <c r="N123" s="134">
        <f>SUMPRODUCT(-('Gastos Gerais'!$B$4:$B$3143=Analítico!$B123),-(Analítico!N$3&gt;='Gastos Gerais'!$D$4:$D$3143),-(Analítico!N$3&lt;='Gastos Gerais'!$E$4:$E$3143),-('Gastos Gerais'!$C$4:$C$3143))</f>
        <v>50000</v>
      </c>
      <c r="O123" s="134">
        <f>SUMPRODUCT(-('Gastos Gerais'!$B$4:$B$3143=Analítico!$B123),-(Analítico!O$3&gt;='Gastos Gerais'!$D$4:$D$3143),-(Analítico!O$3&lt;='Gastos Gerais'!$E$4:$E$3143),-('Gastos Gerais'!$C$4:$C$3143))</f>
        <v>50000</v>
      </c>
      <c r="P123" s="134">
        <f>SUMPRODUCT(-('Gastos Gerais'!$B$4:$B$3143=Analítico!$B123),-(Analítico!P$3&gt;='Gastos Gerais'!$D$4:$D$3143),-(Analítico!P$3&lt;='Gastos Gerais'!$E$4:$E$3143),-('Gastos Gerais'!$C$4:$C$3143))</f>
        <v>50000</v>
      </c>
      <c r="Q123" s="134">
        <f>SUMPRODUCT(-('Gastos Gerais'!$B$4:$B$3143=Analítico!$B123),-(Analítico!Q$3&gt;='Gastos Gerais'!$D$4:$D$3143),-(Analítico!Q$3&lt;='Gastos Gerais'!$E$4:$E$3143),-('Gastos Gerais'!$C$4:$C$3143))</f>
        <v>50000</v>
      </c>
      <c r="R123" s="134">
        <f>SUMPRODUCT(-('Gastos Gerais'!$B$4:$B$3143=Analítico!$B123),-(Analítico!R$3&gt;='Gastos Gerais'!$D$4:$D$3143),-(Analítico!R$3&lt;='Gastos Gerais'!$E$4:$E$3143),-('Gastos Gerais'!$C$4:$C$3143))</f>
        <v>50000</v>
      </c>
      <c r="S123" s="134">
        <f>SUMPRODUCT(-('Gastos Gerais'!$B$4:$B$3143=Analítico!$B123),-(Analítico!S$3&gt;='Gastos Gerais'!$D$4:$D$3143),-(Analítico!S$3&lt;='Gastos Gerais'!$E$4:$E$3143),-('Gastos Gerais'!$C$4:$C$3143))</f>
        <v>50000</v>
      </c>
      <c r="T123" s="134">
        <f>SUMPRODUCT(-('Gastos Gerais'!$B$4:$B$3143=Analítico!$B123),-(Analítico!T$3&gt;='Gastos Gerais'!$D$4:$D$3143),-(Analítico!T$3&lt;='Gastos Gerais'!$E$4:$E$3143),-('Gastos Gerais'!$C$4:$C$3143))</f>
        <v>50000</v>
      </c>
      <c r="U123" s="134">
        <f>SUMPRODUCT(-('Gastos Gerais'!$B$4:$B$3143=Analítico!$B123),-(Analítico!U$3&gt;='Gastos Gerais'!$D$4:$D$3143),-(Analítico!U$3&lt;='Gastos Gerais'!$E$4:$E$3143),-('Gastos Gerais'!$C$4:$C$3143))</f>
        <v>50000</v>
      </c>
      <c r="V123" s="134">
        <f>SUMPRODUCT(-('Gastos Gerais'!$B$4:$B$3143=Analítico!$B123),-(Analítico!V$3&gt;='Gastos Gerais'!$D$4:$D$3143),-(Analítico!V$3&lt;='Gastos Gerais'!$E$4:$E$3143),-('Gastos Gerais'!$C$4:$C$3143))</f>
        <v>50000</v>
      </c>
      <c r="W123" s="134">
        <f>SUMPRODUCT(-('Gastos Gerais'!$B$4:$B$3143=Analítico!$B123),-(Analítico!W$3&gt;='Gastos Gerais'!$D$4:$D$3143),-(Analítico!W$3&lt;='Gastos Gerais'!$E$4:$E$3143),-('Gastos Gerais'!$C$4:$C$3143))</f>
        <v>50000</v>
      </c>
      <c r="X123" s="134">
        <f>SUMPRODUCT(-('Gastos Gerais'!$B$4:$B$3143=Analítico!$B123),-(Analítico!X$3&gt;='Gastos Gerais'!$D$4:$D$3143),-(Analítico!X$3&lt;='Gastos Gerais'!$E$4:$E$3143),-('Gastos Gerais'!$C$4:$C$3143))</f>
        <v>50000</v>
      </c>
      <c r="Y123" s="134">
        <f>SUMPRODUCT(-('Gastos Gerais'!$B$4:$B$3143=Analítico!$B123),-(Analítico!Y$3&gt;='Gastos Gerais'!$D$4:$D$3143),-(Analítico!Y$3&lt;='Gastos Gerais'!$E$4:$E$3143),-('Gastos Gerais'!$C$4:$C$3143))</f>
        <v>50000</v>
      </c>
      <c r="Z123" s="134">
        <f>SUMPRODUCT(-('Gastos Gerais'!$B$4:$B$3143=Analítico!$B123),-(Analítico!Z$3&gt;='Gastos Gerais'!$D$4:$D$3143),-(Analítico!Z$3&lt;='Gastos Gerais'!$E$4:$E$3143),-('Gastos Gerais'!$C$4:$C$3143))</f>
        <v>50000</v>
      </c>
      <c r="AA123" s="134">
        <f>SUMPRODUCT(-('Gastos Gerais'!$B$4:$B$3143=Analítico!$B123),-(Analítico!AA$3&gt;='Gastos Gerais'!$D$4:$D$3143),-(Analítico!AA$3&lt;='Gastos Gerais'!$E$4:$E$3143),-('Gastos Gerais'!$C$4:$C$3143))</f>
        <v>50000</v>
      </c>
      <c r="AB123" s="134">
        <f>SUMPRODUCT(-('Gastos Gerais'!$B$4:$B$3143=Analítico!$B123),-(Analítico!AB$3&gt;='Gastos Gerais'!$D$4:$D$3143),-(Analítico!AB$3&lt;='Gastos Gerais'!$E$4:$E$3143),-('Gastos Gerais'!$C$4:$C$3143))</f>
        <v>50000</v>
      </c>
      <c r="AC123" s="134">
        <f>SUMPRODUCT(-('Gastos Gerais'!$B$4:$B$3143=Analítico!$B123),-(Analítico!AC$3&gt;='Gastos Gerais'!$D$4:$D$3143),-(Analítico!AC$3&lt;='Gastos Gerais'!$E$4:$E$3143),-('Gastos Gerais'!$C$4:$C$3143))</f>
        <v>50000</v>
      </c>
      <c r="AD123" s="134">
        <f>SUMPRODUCT(-('Gastos Gerais'!$B$4:$B$3143=Analítico!$B123),-(Analítico!AD$3&gt;='Gastos Gerais'!$D$4:$D$3143),-(Analítico!AD$3&lt;='Gastos Gerais'!$E$4:$E$3143),-('Gastos Gerais'!$C$4:$C$3143))</f>
        <v>50000</v>
      </c>
      <c r="AE123" s="134">
        <f>SUMPRODUCT(-('Gastos Gerais'!$B$4:$B$3143=Analítico!$B123),-(Analítico!AE$3&gt;='Gastos Gerais'!$D$4:$D$3143),-(Analítico!AE$3&lt;='Gastos Gerais'!$E$4:$E$3143),-('Gastos Gerais'!$C$4:$C$3143))</f>
        <v>50000</v>
      </c>
      <c r="AF123" s="134">
        <f>SUMPRODUCT(-('Gastos Gerais'!$B$4:$B$3143=Analítico!$B123),-(Analítico!AF$3&gt;='Gastos Gerais'!$D$4:$D$3143),-(Analítico!AF$3&lt;='Gastos Gerais'!$E$4:$E$3143),-('Gastos Gerais'!$C$4:$C$3143))</f>
        <v>50000</v>
      </c>
      <c r="AG123" s="134">
        <f>SUMPRODUCT(-('Gastos Gerais'!$B$4:$B$3143=Analítico!$B123),-(Analítico!AG$3&gt;='Gastos Gerais'!$D$4:$D$3143),-(Analítico!AG$3&lt;='Gastos Gerais'!$E$4:$E$3143),-('Gastos Gerais'!$C$4:$C$3143))</f>
        <v>50000</v>
      </c>
      <c r="AH123" s="134">
        <f>SUMPRODUCT(-('Gastos Gerais'!$B$4:$B$3143=Analítico!$B123),-(Analítico!AH$3&gt;='Gastos Gerais'!$D$4:$D$3143),-(Analítico!AH$3&lt;='Gastos Gerais'!$E$4:$E$3143),-('Gastos Gerais'!$C$4:$C$3143))</f>
        <v>50000</v>
      </c>
      <c r="AI123" s="134">
        <f>SUMPRODUCT(-('Gastos Gerais'!$B$4:$B$3143=Analítico!$B123),-(Analítico!AI$3&gt;='Gastos Gerais'!$D$4:$D$3143),-(Analítico!AI$3&lt;='Gastos Gerais'!$E$4:$E$3143),-('Gastos Gerais'!$C$4:$C$3143))</f>
        <v>50000</v>
      </c>
      <c r="AJ123" s="134">
        <f>SUMPRODUCT(-('Gastos Gerais'!$B$4:$B$3143=Analítico!$B123),-(Analítico!AJ$3&gt;='Gastos Gerais'!$D$4:$D$3143),-(Analítico!AJ$3&lt;='Gastos Gerais'!$E$4:$E$3143),-('Gastos Gerais'!$C$4:$C$3143))</f>
        <v>50000</v>
      </c>
      <c r="AK123" s="134">
        <f>SUMPRODUCT(-('Gastos Gerais'!$B$4:$B$3143=Analítico!$B123),-(Analítico!AK$3&gt;='Gastos Gerais'!$D$4:$D$3143),-(Analítico!AK$3&lt;='Gastos Gerais'!$E$4:$E$3143),-('Gastos Gerais'!$C$4:$C$3143))</f>
        <v>50000</v>
      </c>
      <c r="AL123" s="134">
        <f>SUMPRODUCT(-('Gastos Gerais'!$B$4:$B$3143=Analítico!$B123),-(Analítico!AL$3&gt;='Gastos Gerais'!$D$4:$D$3143),-(Analítico!AL$3&lt;='Gastos Gerais'!$E$4:$E$3143),-('Gastos Gerais'!$C$4:$C$3143))</f>
        <v>50000</v>
      </c>
      <c r="AM123" s="134">
        <f>SUMPRODUCT(-('Gastos Gerais'!$B$4:$B$3143=Analítico!$B123),-(Analítico!AM$3&gt;='Gastos Gerais'!$D$4:$D$3143),-(Analítico!AM$3&lt;='Gastos Gerais'!$E$4:$E$3143),-('Gastos Gerais'!$C$4:$C$3143))</f>
        <v>50000</v>
      </c>
      <c r="AN123" s="134">
        <f>SUMPRODUCT(-('Gastos Gerais'!$B$4:$B$3143=Analítico!$B123),-(Analítico!AN$3&gt;='Gastos Gerais'!$D$4:$D$3143),-(Analítico!AN$3&lt;='Gastos Gerais'!$E$4:$E$3143),-('Gastos Gerais'!$C$4:$C$3143))</f>
        <v>50000</v>
      </c>
      <c r="AO123" s="134">
        <f>SUMPRODUCT(-('Gastos Gerais'!$B$4:$B$3143=Analítico!$B123),-(Analítico!AO$3&gt;='Gastos Gerais'!$D$4:$D$3143),-(Analítico!AO$3&lt;='Gastos Gerais'!$E$4:$E$3143),-('Gastos Gerais'!$C$4:$C$3143))</f>
        <v>50000</v>
      </c>
      <c r="AP123" s="134">
        <f>SUMPRODUCT(-('Gastos Gerais'!$B$4:$B$3143=Analítico!$B123),-(Analítico!AP$3&gt;='Gastos Gerais'!$D$4:$D$3143),-(Analítico!AP$3&lt;='Gastos Gerais'!$E$4:$E$3143),-('Gastos Gerais'!$C$4:$C$3143))</f>
        <v>50000</v>
      </c>
      <c r="AQ123" s="134">
        <f>SUMPRODUCT(-('Gastos Gerais'!$B$4:$B$3143=Analítico!$B123),-(Analítico!AQ$3&gt;='Gastos Gerais'!$D$4:$D$3143),-(Analítico!AQ$3&lt;='Gastos Gerais'!$E$4:$E$3143),-('Gastos Gerais'!$C$4:$C$3143))</f>
        <v>50000</v>
      </c>
      <c r="AR123" s="134">
        <f>SUMPRODUCT(-('Gastos Gerais'!$B$4:$B$3143=Analítico!$B123),-(Analítico!AR$3&gt;='Gastos Gerais'!$D$4:$D$3143),-(Analítico!AR$3&lt;='Gastos Gerais'!$E$4:$E$3143),-('Gastos Gerais'!$C$4:$C$3143))</f>
        <v>50000</v>
      </c>
      <c r="AS123" s="134">
        <f>SUMPRODUCT(-('Gastos Gerais'!$B$4:$B$3143=Analítico!$B123),-(Analítico!AS$3&gt;='Gastos Gerais'!$D$4:$D$3143),-(Analítico!AS$3&lt;='Gastos Gerais'!$E$4:$E$3143),-('Gastos Gerais'!$C$4:$C$3143))</f>
        <v>50000</v>
      </c>
      <c r="AT123" s="134">
        <f>SUMPRODUCT(-('Gastos Gerais'!$B$4:$B$3143=Analítico!$B123),-(Analítico!AT$3&gt;='Gastos Gerais'!$D$4:$D$3143),-(Analítico!AT$3&lt;='Gastos Gerais'!$E$4:$E$3143),-('Gastos Gerais'!$C$4:$C$3143))</f>
        <v>50000</v>
      </c>
      <c r="AU123" s="134">
        <f>SUMPRODUCT(-('Gastos Gerais'!$B$4:$B$3143=Analítico!$B123),-(Analítico!AU$3&gt;='Gastos Gerais'!$D$4:$D$3143),-(Analítico!AU$3&lt;='Gastos Gerais'!$E$4:$E$3143),-('Gastos Gerais'!$C$4:$C$3143))</f>
        <v>50000</v>
      </c>
      <c r="AV123" s="134">
        <f>SUMPRODUCT(-('Gastos Gerais'!$B$4:$B$3143=Analítico!$B123),-(Analítico!AV$3&gt;='Gastos Gerais'!$D$4:$D$3143),-(Analítico!AV$3&lt;='Gastos Gerais'!$E$4:$E$3143),-('Gastos Gerais'!$C$4:$C$3143))</f>
        <v>50000</v>
      </c>
      <c r="AW123" s="134">
        <f>SUMPRODUCT(-('Gastos Gerais'!$B$4:$B$3143=Analítico!$B123),-(Analítico!AW$3&gt;='Gastos Gerais'!$D$4:$D$3143),-(Analítico!AW$3&lt;='Gastos Gerais'!$E$4:$E$3143),-('Gastos Gerais'!$C$4:$C$3143))</f>
        <v>50000</v>
      </c>
      <c r="AX123" s="134">
        <f>SUMPRODUCT(-('Gastos Gerais'!$B$4:$B$3143=Analítico!$B123),-(Analítico!AX$3&gt;='Gastos Gerais'!$D$4:$D$3143),-(Analítico!AX$3&lt;='Gastos Gerais'!$E$4:$E$3143),-('Gastos Gerais'!$C$4:$C$3143))</f>
        <v>0</v>
      </c>
      <c r="AY123" s="134">
        <f>SUMPRODUCT(-('Gastos Gerais'!$B$4:$B$3143=Analítico!$B123),-(Analítico!AY$3&gt;='Gastos Gerais'!$D$4:$D$3143),-(Analítico!AY$3&lt;='Gastos Gerais'!$E$4:$E$3143),-('Gastos Gerais'!$C$4:$C$3143))</f>
        <v>0</v>
      </c>
      <c r="AZ123" s="134">
        <f>SUMPRODUCT(-('Gastos Gerais'!$B$4:$B$3143=Analítico!$B123),-(Analítico!AZ$3&gt;='Gastos Gerais'!$D$4:$D$3143),-(Analítico!AZ$3&lt;='Gastos Gerais'!$E$4:$E$3143),-('Gastos Gerais'!$C$4:$C$3143))</f>
        <v>0</v>
      </c>
      <c r="BA123" s="134">
        <f>SUMPRODUCT(-('Gastos Gerais'!$B$4:$B$3143=Analítico!$B123),-(Analítico!BA$3&gt;='Gastos Gerais'!$D$4:$D$3143),-(Analítico!BA$3&lt;='Gastos Gerais'!$E$4:$E$3143),-('Gastos Gerais'!$C$4:$C$3143))</f>
        <v>0</v>
      </c>
      <c r="BB123" s="134">
        <f>SUMPRODUCT(-('Gastos Gerais'!$B$4:$B$3143=Analítico!$B123),-(Analítico!BB$3&gt;='Gastos Gerais'!$D$4:$D$3143),-(Analítico!BB$3&lt;='Gastos Gerais'!$E$4:$E$3143),-('Gastos Gerais'!$C$4:$C$3143))</f>
        <v>0</v>
      </c>
      <c r="BC123" s="134">
        <f>SUMPRODUCT(-('Gastos Gerais'!$B$4:$B$3143=Analítico!$B123),-(Analítico!BC$3&gt;='Gastos Gerais'!$D$4:$D$3143),-(Analítico!BC$3&lt;='Gastos Gerais'!$E$4:$E$3143),-('Gastos Gerais'!$C$4:$C$3143))</f>
        <v>0</v>
      </c>
      <c r="BD123" s="134">
        <f>SUMPRODUCT(-('Gastos Gerais'!$B$4:$B$3143=Analítico!$B123),-(Analítico!BD$3&gt;='Gastos Gerais'!$D$4:$D$3143),-(Analítico!BD$3&lt;='Gastos Gerais'!$E$4:$E$3143),-('Gastos Gerais'!$C$4:$C$3143))</f>
        <v>0</v>
      </c>
      <c r="BE123" s="134">
        <f>SUMPRODUCT(-('Gastos Gerais'!$B$4:$B$3143=Analítico!$B123),-(Analítico!BE$3&gt;='Gastos Gerais'!$D$4:$D$3143),-(Analítico!BE$3&lt;='Gastos Gerais'!$E$4:$E$3143),-('Gastos Gerais'!$C$4:$C$3143))</f>
        <v>0</v>
      </c>
      <c r="BF123" s="134">
        <f>SUMPRODUCT(-('Gastos Gerais'!$B$4:$B$3143=Analítico!$B123),-(Analítico!BF$3&gt;='Gastos Gerais'!$D$4:$D$3143),-(Analítico!BF$3&lt;='Gastos Gerais'!$E$4:$E$3143),-('Gastos Gerais'!$C$4:$C$3143))</f>
        <v>0</v>
      </c>
      <c r="BG123" s="134">
        <f>SUMPRODUCT(-('Gastos Gerais'!$B$4:$B$3143=Analítico!$B123),-(Analítico!BG$3&gt;='Gastos Gerais'!$D$4:$D$3143),-(Analítico!BG$3&lt;='Gastos Gerais'!$E$4:$E$3143),-('Gastos Gerais'!$C$4:$C$3143))</f>
        <v>0</v>
      </c>
      <c r="BH123" s="134">
        <f>SUMPRODUCT(-('Gastos Gerais'!$B$4:$B$3143=Analítico!$B123),-(Analítico!BH$3&gt;='Gastos Gerais'!$D$4:$D$3143),-(Analítico!BH$3&lt;='Gastos Gerais'!$E$4:$E$3143),-('Gastos Gerais'!$C$4:$C$3143))</f>
        <v>0</v>
      </c>
      <c r="BI123" s="134">
        <f>SUMPRODUCT(-('Gastos Gerais'!$B$4:$B$3143=Analítico!$B123),-(Analítico!BI$3&gt;='Gastos Gerais'!$D$4:$D$3143),-(Analítico!BI$3&lt;='Gastos Gerais'!$E$4:$E$3143),-('Gastos Gerais'!$C$4:$C$3143))</f>
        <v>0</v>
      </c>
      <c r="BJ123" s="134">
        <f>SUMPRODUCT(-('Gastos Gerais'!$B$4:$B$3143=Analítico!$B123),-(Analítico!BJ$3&gt;='Gastos Gerais'!$D$4:$D$3143),-(Analítico!BJ$3&lt;='Gastos Gerais'!$E$4:$E$3143),-('Gastos Gerais'!$C$4:$C$3143))</f>
        <v>0</v>
      </c>
      <c r="BK123" s="189">
        <f t="shared" si="28"/>
        <v>3437500</v>
      </c>
      <c r="BL123" s="136">
        <f t="shared" ca="1" si="27"/>
        <v>1.1835306000849222E-2</v>
      </c>
    </row>
    <row r="124" spans="1:64" s="160" customFormat="1" ht="23.25" customHeight="1">
      <c r="A124" s="229" t="s">
        <v>630</v>
      </c>
      <c r="B124" s="232" t="s">
        <v>619</v>
      </c>
      <c r="C124" s="188">
        <f>SUMPRODUCT(-('Gastos Gerais'!$B$4:$B$3143=Analítico!$B124),-(Analítico!C$3&gt;='Gastos Gerais'!$D$4:$D$3143),-(Analítico!C$3&lt;='Gastos Gerais'!$E$4:$E$3143),-('Gastos Gerais'!$C$4:$C$3143))</f>
        <v>1260</v>
      </c>
      <c r="D124" s="134">
        <f>SUMPRODUCT(-('Gastos Gerais'!$B$4:$B$3143=Analítico!$B124),-(Analítico!D$3&gt;='Gastos Gerais'!$D$4:$D$3143),-(Analítico!D$3&lt;='Gastos Gerais'!$E$4:$E$3143),-('Gastos Gerais'!$C$4:$C$3143))</f>
        <v>1260</v>
      </c>
      <c r="E124" s="134">
        <f>SUMPRODUCT(-('Gastos Gerais'!$B$4:$B$3143=Analítico!$B124),-(Analítico!E$3&gt;='Gastos Gerais'!$D$4:$D$3143),-(Analítico!E$3&lt;='Gastos Gerais'!$E$4:$E$3143),-('Gastos Gerais'!$C$4:$C$3143))</f>
        <v>1260</v>
      </c>
      <c r="F124" s="134">
        <f>SUMPRODUCT(-('Gastos Gerais'!$B$4:$B$3143=Analítico!$B124),-(Analítico!F$3&gt;='Gastos Gerais'!$D$4:$D$3143),-(Analítico!F$3&lt;='Gastos Gerais'!$E$4:$E$3143),-('Gastos Gerais'!$C$4:$C$3143))</f>
        <v>1330</v>
      </c>
      <c r="G124" s="134">
        <f>SUMPRODUCT(-('Gastos Gerais'!$B$4:$B$3143=Analítico!$B124),-(Analítico!G$3&gt;='Gastos Gerais'!$D$4:$D$3143),-(Analítico!G$3&lt;='Gastos Gerais'!$E$4:$E$3143),-('Gastos Gerais'!$C$4:$C$3143))</f>
        <v>1330</v>
      </c>
      <c r="H124" s="134">
        <f>SUMPRODUCT(-('Gastos Gerais'!$B$4:$B$3143=Analítico!$B124),-(Analítico!H$3&gt;='Gastos Gerais'!$D$4:$D$3143),-(Analítico!H$3&lt;='Gastos Gerais'!$E$4:$E$3143),-('Gastos Gerais'!$C$4:$C$3143))</f>
        <v>1330</v>
      </c>
      <c r="I124" s="134">
        <f>SUMPRODUCT(-('Gastos Gerais'!$B$4:$B$3143=Analítico!$B124),-(Analítico!I$3&gt;='Gastos Gerais'!$D$4:$D$3143),-(Analítico!I$3&lt;='Gastos Gerais'!$E$4:$E$3143),-('Gastos Gerais'!$C$4:$C$3143))</f>
        <v>1400</v>
      </c>
      <c r="J124" s="134">
        <f>SUMPRODUCT(-('Gastos Gerais'!$B$4:$B$3143=Analítico!$B124),-(Analítico!J$3&gt;='Gastos Gerais'!$D$4:$D$3143),-(Analítico!J$3&lt;='Gastos Gerais'!$E$4:$E$3143),-('Gastos Gerais'!$C$4:$C$3143))</f>
        <v>1400</v>
      </c>
      <c r="K124" s="134">
        <f>SUMPRODUCT(-('Gastos Gerais'!$B$4:$B$3143=Analítico!$B124),-(Analítico!K$3&gt;='Gastos Gerais'!$D$4:$D$3143),-(Analítico!K$3&lt;='Gastos Gerais'!$E$4:$E$3143),-('Gastos Gerais'!$C$4:$C$3143))</f>
        <v>1400</v>
      </c>
      <c r="L124" s="134">
        <f>SUMPRODUCT(-('Gastos Gerais'!$B$4:$B$3143=Analítico!$B124),-(Analítico!L$3&gt;='Gastos Gerais'!$D$4:$D$3143),-(Analítico!L$3&lt;='Gastos Gerais'!$E$4:$E$3143),-('Gastos Gerais'!$C$4:$C$3143))</f>
        <v>1470</v>
      </c>
      <c r="M124" s="134">
        <f>SUMPRODUCT(-('Gastos Gerais'!$B$4:$B$3143=Analítico!$B124),-(Analítico!M$3&gt;='Gastos Gerais'!$D$4:$D$3143),-(Analítico!M$3&lt;='Gastos Gerais'!$E$4:$E$3143),-('Gastos Gerais'!$C$4:$C$3143))</f>
        <v>1470</v>
      </c>
      <c r="N124" s="134">
        <f>SUMPRODUCT(-('Gastos Gerais'!$B$4:$B$3143=Analítico!$B124),-(Analítico!N$3&gt;='Gastos Gerais'!$D$4:$D$3143),-(Analítico!N$3&lt;='Gastos Gerais'!$E$4:$E$3143),-('Gastos Gerais'!$C$4:$C$3143))</f>
        <v>1470</v>
      </c>
      <c r="O124" s="134">
        <f>SUMPRODUCT(-('Gastos Gerais'!$B$4:$B$3143=Analítico!$B124),-(Analítico!O$3&gt;='Gastos Gerais'!$D$4:$D$3143),-(Analítico!O$3&lt;='Gastos Gerais'!$E$4:$E$3143),-('Gastos Gerais'!$C$4:$C$3143))</f>
        <v>1470</v>
      </c>
      <c r="P124" s="134">
        <f>SUMPRODUCT(-('Gastos Gerais'!$B$4:$B$3143=Analítico!$B124),-(Analítico!P$3&gt;='Gastos Gerais'!$D$4:$D$3143),-(Analítico!P$3&lt;='Gastos Gerais'!$E$4:$E$3143),-('Gastos Gerais'!$C$4:$C$3143))</f>
        <v>1470</v>
      </c>
      <c r="Q124" s="134">
        <f>SUMPRODUCT(-('Gastos Gerais'!$B$4:$B$3143=Analítico!$B124),-(Analítico!Q$3&gt;='Gastos Gerais'!$D$4:$D$3143),-(Analítico!Q$3&lt;='Gastos Gerais'!$E$4:$E$3143),-('Gastos Gerais'!$C$4:$C$3143))</f>
        <v>1470</v>
      </c>
      <c r="R124" s="134">
        <f>SUMPRODUCT(-('Gastos Gerais'!$B$4:$B$3143=Analítico!$B124),-(Analítico!R$3&gt;='Gastos Gerais'!$D$4:$D$3143),-(Analítico!R$3&lt;='Gastos Gerais'!$E$4:$E$3143),-('Gastos Gerais'!$C$4:$C$3143))</f>
        <v>1470</v>
      </c>
      <c r="S124" s="134">
        <f>SUMPRODUCT(-('Gastos Gerais'!$B$4:$B$3143=Analítico!$B124),-(Analítico!S$3&gt;='Gastos Gerais'!$D$4:$D$3143),-(Analítico!S$3&lt;='Gastos Gerais'!$E$4:$E$3143),-('Gastos Gerais'!$C$4:$C$3143))</f>
        <v>1470</v>
      </c>
      <c r="T124" s="134">
        <f>SUMPRODUCT(-('Gastos Gerais'!$B$4:$B$3143=Analítico!$B124),-(Analítico!T$3&gt;='Gastos Gerais'!$D$4:$D$3143),-(Analítico!T$3&lt;='Gastos Gerais'!$E$4:$E$3143),-('Gastos Gerais'!$C$4:$C$3143))</f>
        <v>1470</v>
      </c>
      <c r="U124" s="134">
        <f>SUMPRODUCT(-('Gastos Gerais'!$B$4:$B$3143=Analítico!$B124),-(Analítico!U$3&gt;='Gastos Gerais'!$D$4:$D$3143),-(Analítico!U$3&lt;='Gastos Gerais'!$E$4:$E$3143),-('Gastos Gerais'!$C$4:$C$3143))</f>
        <v>1470</v>
      </c>
      <c r="V124" s="134">
        <f>SUMPRODUCT(-('Gastos Gerais'!$B$4:$B$3143=Analítico!$B124),-(Analítico!V$3&gt;='Gastos Gerais'!$D$4:$D$3143),-(Analítico!V$3&lt;='Gastos Gerais'!$E$4:$E$3143),-('Gastos Gerais'!$C$4:$C$3143))</f>
        <v>1470</v>
      </c>
      <c r="W124" s="134">
        <f>SUMPRODUCT(-('Gastos Gerais'!$B$4:$B$3143=Analítico!$B124),-(Analítico!W$3&gt;='Gastos Gerais'!$D$4:$D$3143),-(Analítico!W$3&lt;='Gastos Gerais'!$E$4:$E$3143),-('Gastos Gerais'!$C$4:$C$3143))</f>
        <v>1470</v>
      </c>
      <c r="X124" s="134">
        <f>SUMPRODUCT(-('Gastos Gerais'!$B$4:$B$3143=Analítico!$B124),-(Analítico!X$3&gt;='Gastos Gerais'!$D$4:$D$3143),-(Analítico!X$3&lt;='Gastos Gerais'!$E$4:$E$3143),-('Gastos Gerais'!$C$4:$C$3143))</f>
        <v>1470</v>
      </c>
      <c r="Y124" s="134">
        <f>SUMPRODUCT(-('Gastos Gerais'!$B$4:$B$3143=Analítico!$B124),-(Analítico!Y$3&gt;='Gastos Gerais'!$D$4:$D$3143),-(Analítico!Y$3&lt;='Gastos Gerais'!$E$4:$E$3143),-('Gastos Gerais'!$C$4:$C$3143))</f>
        <v>1470</v>
      </c>
      <c r="Z124" s="134">
        <f>SUMPRODUCT(-('Gastos Gerais'!$B$4:$B$3143=Analítico!$B124),-(Analítico!Z$3&gt;='Gastos Gerais'!$D$4:$D$3143),-(Analítico!Z$3&lt;='Gastos Gerais'!$E$4:$E$3143),-('Gastos Gerais'!$C$4:$C$3143))</f>
        <v>1470</v>
      </c>
      <c r="AA124" s="134">
        <f>SUMPRODUCT(-('Gastos Gerais'!$B$4:$B$3143=Analítico!$B124),-(Analítico!AA$3&gt;='Gastos Gerais'!$D$4:$D$3143),-(Analítico!AA$3&lt;='Gastos Gerais'!$E$4:$E$3143),-('Gastos Gerais'!$C$4:$C$3143))</f>
        <v>1470</v>
      </c>
      <c r="AB124" s="134">
        <f>SUMPRODUCT(-('Gastos Gerais'!$B$4:$B$3143=Analítico!$B124),-(Analítico!AB$3&gt;='Gastos Gerais'!$D$4:$D$3143),-(Analítico!AB$3&lt;='Gastos Gerais'!$E$4:$E$3143),-('Gastos Gerais'!$C$4:$C$3143))</f>
        <v>1470</v>
      </c>
      <c r="AC124" s="134">
        <f>SUMPRODUCT(-('Gastos Gerais'!$B$4:$B$3143=Analítico!$B124),-(Analítico!AC$3&gt;='Gastos Gerais'!$D$4:$D$3143),-(Analítico!AC$3&lt;='Gastos Gerais'!$E$4:$E$3143),-('Gastos Gerais'!$C$4:$C$3143))</f>
        <v>1470</v>
      </c>
      <c r="AD124" s="134">
        <f>SUMPRODUCT(-('Gastos Gerais'!$B$4:$B$3143=Analítico!$B124),-(Analítico!AD$3&gt;='Gastos Gerais'!$D$4:$D$3143),-(Analítico!AD$3&lt;='Gastos Gerais'!$E$4:$E$3143),-('Gastos Gerais'!$C$4:$C$3143))</f>
        <v>1470</v>
      </c>
      <c r="AE124" s="134">
        <f>SUMPRODUCT(-('Gastos Gerais'!$B$4:$B$3143=Analítico!$B124),-(Analítico!AE$3&gt;='Gastos Gerais'!$D$4:$D$3143),-(Analítico!AE$3&lt;='Gastos Gerais'!$E$4:$E$3143),-('Gastos Gerais'!$C$4:$C$3143))</f>
        <v>1470</v>
      </c>
      <c r="AF124" s="134">
        <f>SUMPRODUCT(-('Gastos Gerais'!$B$4:$B$3143=Analítico!$B124),-(Analítico!AF$3&gt;='Gastos Gerais'!$D$4:$D$3143),-(Analítico!AF$3&lt;='Gastos Gerais'!$E$4:$E$3143),-('Gastos Gerais'!$C$4:$C$3143))</f>
        <v>1470</v>
      </c>
      <c r="AG124" s="134">
        <f>SUMPRODUCT(-('Gastos Gerais'!$B$4:$B$3143=Analítico!$B124),-(Analítico!AG$3&gt;='Gastos Gerais'!$D$4:$D$3143),-(Analítico!AG$3&lt;='Gastos Gerais'!$E$4:$E$3143),-('Gastos Gerais'!$C$4:$C$3143))</f>
        <v>1470</v>
      </c>
      <c r="AH124" s="134">
        <f>SUMPRODUCT(-('Gastos Gerais'!$B$4:$B$3143=Analítico!$B124),-(Analítico!AH$3&gt;='Gastos Gerais'!$D$4:$D$3143),-(Analítico!AH$3&lt;='Gastos Gerais'!$E$4:$E$3143),-('Gastos Gerais'!$C$4:$C$3143))</f>
        <v>1470</v>
      </c>
      <c r="AI124" s="134">
        <f>SUMPRODUCT(-('Gastos Gerais'!$B$4:$B$3143=Analítico!$B124),-(Analítico!AI$3&gt;='Gastos Gerais'!$D$4:$D$3143),-(Analítico!AI$3&lt;='Gastos Gerais'!$E$4:$E$3143),-('Gastos Gerais'!$C$4:$C$3143))</f>
        <v>1470</v>
      </c>
      <c r="AJ124" s="134">
        <f>SUMPRODUCT(-('Gastos Gerais'!$B$4:$B$3143=Analítico!$B124),-(Analítico!AJ$3&gt;='Gastos Gerais'!$D$4:$D$3143),-(Analítico!AJ$3&lt;='Gastos Gerais'!$E$4:$E$3143),-('Gastos Gerais'!$C$4:$C$3143))</f>
        <v>1470</v>
      </c>
      <c r="AK124" s="134">
        <f>SUMPRODUCT(-('Gastos Gerais'!$B$4:$B$3143=Analítico!$B124),-(Analítico!AK$3&gt;='Gastos Gerais'!$D$4:$D$3143),-(Analítico!AK$3&lt;='Gastos Gerais'!$E$4:$E$3143),-('Gastos Gerais'!$C$4:$C$3143))</f>
        <v>1470</v>
      </c>
      <c r="AL124" s="134">
        <f>SUMPRODUCT(-('Gastos Gerais'!$B$4:$B$3143=Analítico!$B124),-(Analítico!AL$3&gt;='Gastos Gerais'!$D$4:$D$3143),-(Analítico!AL$3&lt;='Gastos Gerais'!$E$4:$E$3143),-('Gastos Gerais'!$C$4:$C$3143))</f>
        <v>1470</v>
      </c>
      <c r="AM124" s="134">
        <f>SUMPRODUCT(-('Gastos Gerais'!$B$4:$B$3143=Analítico!$B124),-(Analítico!AM$3&gt;='Gastos Gerais'!$D$4:$D$3143),-(Analítico!AM$3&lt;='Gastos Gerais'!$E$4:$E$3143),-('Gastos Gerais'!$C$4:$C$3143))</f>
        <v>1470</v>
      </c>
      <c r="AN124" s="134">
        <f>SUMPRODUCT(-('Gastos Gerais'!$B$4:$B$3143=Analítico!$B124),-(Analítico!AN$3&gt;='Gastos Gerais'!$D$4:$D$3143),-(Analítico!AN$3&lt;='Gastos Gerais'!$E$4:$E$3143),-('Gastos Gerais'!$C$4:$C$3143))</f>
        <v>1470</v>
      </c>
      <c r="AO124" s="134">
        <f>SUMPRODUCT(-('Gastos Gerais'!$B$4:$B$3143=Analítico!$B124),-(Analítico!AO$3&gt;='Gastos Gerais'!$D$4:$D$3143),-(Analítico!AO$3&lt;='Gastos Gerais'!$E$4:$E$3143),-('Gastos Gerais'!$C$4:$C$3143))</f>
        <v>1470</v>
      </c>
      <c r="AP124" s="134">
        <f>SUMPRODUCT(-('Gastos Gerais'!$B$4:$B$3143=Analítico!$B124),-(Analítico!AP$3&gt;='Gastos Gerais'!$D$4:$D$3143),-(Analítico!AP$3&lt;='Gastos Gerais'!$E$4:$E$3143),-('Gastos Gerais'!$C$4:$C$3143))</f>
        <v>1470</v>
      </c>
      <c r="AQ124" s="134">
        <f>SUMPRODUCT(-('Gastos Gerais'!$B$4:$B$3143=Analítico!$B124),-(Analítico!AQ$3&gt;='Gastos Gerais'!$D$4:$D$3143),-(Analítico!AQ$3&lt;='Gastos Gerais'!$E$4:$E$3143),-('Gastos Gerais'!$C$4:$C$3143))</f>
        <v>1470</v>
      </c>
      <c r="AR124" s="134">
        <f>SUMPRODUCT(-('Gastos Gerais'!$B$4:$B$3143=Analítico!$B124),-(Analítico!AR$3&gt;='Gastos Gerais'!$D$4:$D$3143),-(Analítico!AR$3&lt;='Gastos Gerais'!$E$4:$E$3143),-('Gastos Gerais'!$C$4:$C$3143))</f>
        <v>1470</v>
      </c>
      <c r="AS124" s="134">
        <f>SUMPRODUCT(-('Gastos Gerais'!$B$4:$B$3143=Analítico!$B124),-(Analítico!AS$3&gt;='Gastos Gerais'!$D$4:$D$3143),-(Analítico!AS$3&lt;='Gastos Gerais'!$E$4:$E$3143),-('Gastos Gerais'!$C$4:$C$3143))</f>
        <v>1470</v>
      </c>
      <c r="AT124" s="134">
        <f>SUMPRODUCT(-('Gastos Gerais'!$B$4:$B$3143=Analítico!$B124),-(Analítico!AT$3&gt;='Gastos Gerais'!$D$4:$D$3143),-(Analítico!AT$3&lt;='Gastos Gerais'!$E$4:$E$3143),-('Gastos Gerais'!$C$4:$C$3143))</f>
        <v>1470</v>
      </c>
      <c r="AU124" s="134">
        <f>SUMPRODUCT(-('Gastos Gerais'!$B$4:$B$3143=Analítico!$B124),-(Analítico!AU$3&gt;='Gastos Gerais'!$D$4:$D$3143),-(Analítico!AU$3&lt;='Gastos Gerais'!$E$4:$E$3143),-('Gastos Gerais'!$C$4:$C$3143))</f>
        <v>1470</v>
      </c>
      <c r="AV124" s="134">
        <f>SUMPRODUCT(-('Gastos Gerais'!$B$4:$B$3143=Analítico!$B124),-(Analítico!AV$3&gt;='Gastos Gerais'!$D$4:$D$3143),-(Analítico!AV$3&lt;='Gastos Gerais'!$E$4:$E$3143),-('Gastos Gerais'!$C$4:$C$3143))</f>
        <v>1470</v>
      </c>
      <c r="AW124" s="134">
        <f>SUMPRODUCT(-('Gastos Gerais'!$B$4:$B$3143=Analítico!$B124),-(Analítico!AW$3&gt;='Gastos Gerais'!$D$4:$D$3143),-(Analítico!AW$3&lt;='Gastos Gerais'!$E$4:$E$3143),-('Gastos Gerais'!$C$4:$C$3143))</f>
        <v>1470</v>
      </c>
      <c r="AX124" s="134">
        <f>SUMPRODUCT(-('Gastos Gerais'!$B$4:$B$3143=Analítico!$B124),-(Analítico!AX$3&gt;='Gastos Gerais'!$D$4:$D$3143),-(Analítico!AX$3&lt;='Gastos Gerais'!$E$4:$E$3143),-('Gastos Gerais'!$C$4:$C$3143))</f>
        <v>0</v>
      </c>
      <c r="AY124" s="134">
        <f>SUMPRODUCT(-('Gastos Gerais'!$B$4:$B$3143=Analítico!$B124),-(Analítico!AY$3&gt;='Gastos Gerais'!$D$4:$D$3143),-(Analítico!AY$3&lt;='Gastos Gerais'!$E$4:$E$3143),-('Gastos Gerais'!$C$4:$C$3143))</f>
        <v>0</v>
      </c>
      <c r="AZ124" s="134">
        <f>SUMPRODUCT(-('Gastos Gerais'!$B$4:$B$3143=Analítico!$B124),-(Analítico!AZ$3&gt;='Gastos Gerais'!$D$4:$D$3143),-(Analítico!AZ$3&lt;='Gastos Gerais'!$E$4:$E$3143),-('Gastos Gerais'!$C$4:$C$3143))</f>
        <v>0</v>
      </c>
      <c r="BA124" s="134">
        <f>SUMPRODUCT(-('Gastos Gerais'!$B$4:$B$3143=Analítico!$B124),-(Analítico!BA$3&gt;='Gastos Gerais'!$D$4:$D$3143),-(Analítico!BA$3&lt;='Gastos Gerais'!$E$4:$E$3143),-('Gastos Gerais'!$C$4:$C$3143))</f>
        <v>0</v>
      </c>
      <c r="BB124" s="134">
        <f>SUMPRODUCT(-('Gastos Gerais'!$B$4:$B$3143=Analítico!$B124),-(Analítico!BB$3&gt;='Gastos Gerais'!$D$4:$D$3143),-(Analítico!BB$3&lt;='Gastos Gerais'!$E$4:$E$3143),-('Gastos Gerais'!$C$4:$C$3143))</f>
        <v>0</v>
      </c>
      <c r="BC124" s="134">
        <f>SUMPRODUCT(-('Gastos Gerais'!$B$4:$B$3143=Analítico!$B124),-(Analítico!BC$3&gt;='Gastos Gerais'!$D$4:$D$3143),-(Analítico!BC$3&lt;='Gastos Gerais'!$E$4:$E$3143),-('Gastos Gerais'!$C$4:$C$3143))</f>
        <v>0</v>
      </c>
      <c r="BD124" s="134">
        <f>SUMPRODUCT(-('Gastos Gerais'!$B$4:$B$3143=Analítico!$B124),-(Analítico!BD$3&gt;='Gastos Gerais'!$D$4:$D$3143),-(Analítico!BD$3&lt;='Gastos Gerais'!$E$4:$E$3143),-('Gastos Gerais'!$C$4:$C$3143))</f>
        <v>0</v>
      </c>
      <c r="BE124" s="134">
        <f>SUMPRODUCT(-('Gastos Gerais'!$B$4:$B$3143=Analítico!$B124),-(Analítico!BE$3&gt;='Gastos Gerais'!$D$4:$D$3143),-(Analítico!BE$3&lt;='Gastos Gerais'!$E$4:$E$3143),-('Gastos Gerais'!$C$4:$C$3143))</f>
        <v>0</v>
      </c>
      <c r="BF124" s="134">
        <f>SUMPRODUCT(-('Gastos Gerais'!$B$4:$B$3143=Analítico!$B124),-(Analítico!BF$3&gt;='Gastos Gerais'!$D$4:$D$3143),-(Analítico!BF$3&lt;='Gastos Gerais'!$E$4:$E$3143),-('Gastos Gerais'!$C$4:$C$3143))</f>
        <v>0</v>
      </c>
      <c r="BG124" s="134">
        <f>SUMPRODUCT(-('Gastos Gerais'!$B$4:$B$3143=Analítico!$B124),-(Analítico!BG$3&gt;='Gastos Gerais'!$D$4:$D$3143),-(Analítico!BG$3&lt;='Gastos Gerais'!$E$4:$E$3143),-('Gastos Gerais'!$C$4:$C$3143))</f>
        <v>0</v>
      </c>
      <c r="BH124" s="134">
        <f>SUMPRODUCT(-('Gastos Gerais'!$B$4:$B$3143=Analítico!$B124),-(Analítico!BH$3&gt;='Gastos Gerais'!$D$4:$D$3143),-(Analítico!BH$3&lt;='Gastos Gerais'!$E$4:$E$3143),-('Gastos Gerais'!$C$4:$C$3143))</f>
        <v>0</v>
      </c>
      <c r="BI124" s="134">
        <f>SUMPRODUCT(-('Gastos Gerais'!$B$4:$B$3143=Analítico!$B124),-(Analítico!BI$3&gt;='Gastos Gerais'!$D$4:$D$3143),-(Analítico!BI$3&lt;='Gastos Gerais'!$E$4:$E$3143),-('Gastos Gerais'!$C$4:$C$3143))</f>
        <v>0</v>
      </c>
      <c r="BJ124" s="134">
        <f>SUMPRODUCT(-('Gastos Gerais'!$B$4:$B$3143=Analítico!$B124),-(Analítico!BJ$3&gt;='Gastos Gerais'!$D$4:$D$3143),-(Analítico!BJ$3&lt;='Gastos Gerais'!$E$4:$E$3143),-('Gastos Gerais'!$C$4:$C$3143))</f>
        <v>0</v>
      </c>
      <c r="BK124" s="189">
        <f t="shared" si="28"/>
        <v>67830</v>
      </c>
      <c r="BL124" s="136">
        <f t="shared" ref="BL124:BL133" ca="1" si="29">IF($BK$152=0,0,BK124/$BK$152)</f>
        <v>2.3353856175639353E-4</v>
      </c>
    </row>
    <row r="125" spans="1:64" s="160" customFormat="1" ht="23.25" customHeight="1">
      <c r="A125" s="229" t="s">
        <v>631</v>
      </c>
      <c r="B125" s="232" t="s">
        <v>620</v>
      </c>
      <c r="C125" s="188">
        <f>SUMPRODUCT(-('Gastos Gerais'!$B$4:$B$3143=Analítico!$B125),-(Analítico!C$3&gt;='Gastos Gerais'!$D$4:$D$3143),-(Analítico!C$3&lt;='Gastos Gerais'!$E$4:$E$3143),-('Gastos Gerais'!$C$4:$C$3143))</f>
        <v>1980</v>
      </c>
      <c r="D125" s="134">
        <f>SUMPRODUCT(-('Gastos Gerais'!$B$4:$B$3143=Analítico!$B125),-(Analítico!D$3&gt;='Gastos Gerais'!$D$4:$D$3143),-(Analítico!D$3&lt;='Gastos Gerais'!$E$4:$E$3143),-('Gastos Gerais'!$C$4:$C$3143))</f>
        <v>1980</v>
      </c>
      <c r="E125" s="134">
        <f>SUMPRODUCT(-('Gastos Gerais'!$B$4:$B$3143=Analítico!$B125),-(Analítico!E$3&gt;='Gastos Gerais'!$D$4:$D$3143),-(Analítico!E$3&lt;='Gastos Gerais'!$E$4:$E$3143),-('Gastos Gerais'!$C$4:$C$3143))</f>
        <v>1980</v>
      </c>
      <c r="F125" s="134">
        <f>SUMPRODUCT(-('Gastos Gerais'!$B$4:$B$3143=Analítico!$B125),-(Analítico!F$3&gt;='Gastos Gerais'!$D$4:$D$3143),-(Analítico!F$3&lt;='Gastos Gerais'!$E$4:$E$3143),-('Gastos Gerais'!$C$4:$C$3143))</f>
        <v>2090</v>
      </c>
      <c r="G125" s="134">
        <f>SUMPRODUCT(-('Gastos Gerais'!$B$4:$B$3143=Analítico!$B125),-(Analítico!G$3&gt;='Gastos Gerais'!$D$4:$D$3143),-(Analítico!G$3&lt;='Gastos Gerais'!$E$4:$E$3143),-('Gastos Gerais'!$C$4:$C$3143))</f>
        <v>2090</v>
      </c>
      <c r="H125" s="134">
        <f>SUMPRODUCT(-('Gastos Gerais'!$B$4:$B$3143=Analítico!$B125),-(Analítico!H$3&gt;='Gastos Gerais'!$D$4:$D$3143),-(Analítico!H$3&lt;='Gastos Gerais'!$E$4:$E$3143),-('Gastos Gerais'!$C$4:$C$3143))</f>
        <v>2090</v>
      </c>
      <c r="I125" s="134">
        <f>SUMPRODUCT(-('Gastos Gerais'!$B$4:$B$3143=Analítico!$B125),-(Analítico!I$3&gt;='Gastos Gerais'!$D$4:$D$3143),-(Analítico!I$3&lt;='Gastos Gerais'!$E$4:$E$3143),-('Gastos Gerais'!$C$4:$C$3143))</f>
        <v>2200</v>
      </c>
      <c r="J125" s="134">
        <f>SUMPRODUCT(-('Gastos Gerais'!$B$4:$B$3143=Analítico!$B125),-(Analítico!J$3&gt;='Gastos Gerais'!$D$4:$D$3143),-(Analítico!J$3&lt;='Gastos Gerais'!$E$4:$E$3143),-('Gastos Gerais'!$C$4:$C$3143))</f>
        <v>2200</v>
      </c>
      <c r="K125" s="134">
        <f>SUMPRODUCT(-('Gastos Gerais'!$B$4:$B$3143=Analítico!$B125),-(Analítico!K$3&gt;='Gastos Gerais'!$D$4:$D$3143),-(Analítico!K$3&lt;='Gastos Gerais'!$E$4:$E$3143),-('Gastos Gerais'!$C$4:$C$3143))</f>
        <v>2200</v>
      </c>
      <c r="L125" s="134">
        <f>SUMPRODUCT(-('Gastos Gerais'!$B$4:$B$3143=Analítico!$B125),-(Analítico!L$3&gt;='Gastos Gerais'!$D$4:$D$3143),-(Analítico!L$3&lt;='Gastos Gerais'!$E$4:$E$3143),-('Gastos Gerais'!$C$4:$C$3143))</f>
        <v>2310</v>
      </c>
      <c r="M125" s="134">
        <f>SUMPRODUCT(-('Gastos Gerais'!$B$4:$B$3143=Analítico!$B125),-(Analítico!M$3&gt;='Gastos Gerais'!$D$4:$D$3143),-(Analítico!M$3&lt;='Gastos Gerais'!$E$4:$E$3143),-('Gastos Gerais'!$C$4:$C$3143))</f>
        <v>2310</v>
      </c>
      <c r="N125" s="134">
        <f>SUMPRODUCT(-('Gastos Gerais'!$B$4:$B$3143=Analítico!$B125),-(Analítico!N$3&gt;='Gastos Gerais'!$D$4:$D$3143),-(Analítico!N$3&lt;='Gastos Gerais'!$E$4:$E$3143),-('Gastos Gerais'!$C$4:$C$3143))</f>
        <v>2310</v>
      </c>
      <c r="O125" s="134">
        <f>SUMPRODUCT(-('Gastos Gerais'!$B$4:$B$3143=Analítico!$B125),-(Analítico!O$3&gt;='Gastos Gerais'!$D$4:$D$3143),-(Analítico!O$3&lt;='Gastos Gerais'!$E$4:$E$3143),-('Gastos Gerais'!$C$4:$C$3143))</f>
        <v>2310</v>
      </c>
      <c r="P125" s="134">
        <f>SUMPRODUCT(-('Gastos Gerais'!$B$4:$B$3143=Analítico!$B125),-(Analítico!P$3&gt;='Gastos Gerais'!$D$4:$D$3143),-(Analítico!P$3&lt;='Gastos Gerais'!$E$4:$E$3143),-('Gastos Gerais'!$C$4:$C$3143))</f>
        <v>2310</v>
      </c>
      <c r="Q125" s="134">
        <f>SUMPRODUCT(-('Gastos Gerais'!$B$4:$B$3143=Analítico!$B125),-(Analítico!Q$3&gt;='Gastos Gerais'!$D$4:$D$3143),-(Analítico!Q$3&lt;='Gastos Gerais'!$E$4:$E$3143),-('Gastos Gerais'!$C$4:$C$3143))</f>
        <v>2310</v>
      </c>
      <c r="R125" s="134">
        <f>SUMPRODUCT(-('Gastos Gerais'!$B$4:$B$3143=Analítico!$B125),-(Analítico!R$3&gt;='Gastos Gerais'!$D$4:$D$3143),-(Analítico!R$3&lt;='Gastos Gerais'!$E$4:$E$3143),-('Gastos Gerais'!$C$4:$C$3143))</f>
        <v>2310</v>
      </c>
      <c r="S125" s="134">
        <f>SUMPRODUCT(-('Gastos Gerais'!$B$4:$B$3143=Analítico!$B125),-(Analítico!S$3&gt;='Gastos Gerais'!$D$4:$D$3143),-(Analítico!S$3&lt;='Gastos Gerais'!$E$4:$E$3143),-('Gastos Gerais'!$C$4:$C$3143))</f>
        <v>2310</v>
      </c>
      <c r="T125" s="134">
        <f>SUMPRODUCT(-('Gastos Gerais'!$B$4:$B$3143=Analítico!$B125),-(Analítico!T$3&gt;='Gastos Gerais'!$D$4:$D$3143),-(Analítico!T$3&lt;='Gastos Gerais'!$E$4:$E$3143),-('Gastos Gerais'!$C$4:$C$3143))</f>
        <v>2310</v>
      </c>
      <c r="U125" s="134">
        <f>SUMPRODUCT(-('Gastos Gerais'!$B$4:$B$3143=Analítico!$B125),-(Analítico!U$3&gt;='Gastos Gerais'!$D$4:$D$3143),-(Analítico!U$3&lt;='Gastos Gerais'!$E$4:$E$3143),-('Gastos Gerais'!$C$4:$C$3143))</f>
        <v>2310</v>
      </c>
      <c r="V125" s="134">
        <f>SUMPRODUCT(-('Gastos Gerais'!$B$4:$B$3143=Analítico!$B125),-(Analítico!V$3&gt;='Gastos Gerais'!$D$4:$D$3143),-(Analítico!V$3&lt;='Gastos Gerais'!$E$4:$E$3143),-('Gastos Gerais'!$C$4:$C$3143))</f>
        <v>2310</v>
      </c>
      <c r="W125" s="134">
        <f>SUMPRODUCT(-('Gastos Gerais'!$B$4:$B$3143=Analítico!$B125),-(Analítico!W$3&gt;='Gastos Gerais'!$D$4:$D$3143),-(Analítico!W$3&lt;='Gastos Gerais'!$E$4:$E$3143),-('Gastos Gerais'!$C$4:$C$3143))</f>
        <v>2310</v>
      </c>
      <c r="X125" s="134">
        <f>SUMPRODUCT(-('Gastos Gerais'!$B$4:$B$3143=Analítico!$B125),-(Analítico!X$3&gt;='Gastos Gerais'!$D$4:$D$3143),-(Analítico!X$3&lt;='Gastos Gerais'!$E$4:$E$3143),-('Gastos Gerais'!$C$4:$C$3143))</f>
        <v>2310</v>
      </c>
      <c r="Y125" s="134">
        <f>SUMPRODUCT(-('Gastos Gerais'!$B$4:$B$3143=Analítico!$B125),-(Analítico!Y$3&gt;='Gastos Gerais'!$D$4:$D$3143),-(Analítico!Y$3&lt;='Gastos Gerais'!$E$4:$E$3143),-('Gastos Gerais'!$C$4:$C$3143))</f>
        <v>2310</v>
      </c>
      <c r="Z125" s="134">
        <f>SUMPRODUCT(-('Gastos Gerais'!$B$4:$B$3143=Analítico!$B125),-(Analítico!Z$3&gt;='Gastos Gerais'!$D$4:$D$3143),-(Analítico!Z$3&lt;='Gastos Gerais'!$E$4:$E$3143),-('Gastos Gerais'!$C$4:$C$3143))</f>
        <v>2310</v>
      </c>
      <c r="AA125" s="134">
        <f>SUMPRODUCT(-('Gastos Gerais'!$B$4:$B$3143=Analítico!$B125),-(Analítico!AA$3&gt;='Gastos Gerais'!$D$4:$D$3143),-(Analítico!AA$3&lt;='Gastos Gerais'!$E$4:$E$3143),-('Gastos Gerais'!$C$4:$C$3143))</f>
        <v>2310</v>
      </c>
      <c r="AB125" s="134">
        <f>SUMPRODUCT(-('Gastos Gerais'!$B$4:$B$3143=Analítico!$B125),-(Analítico!AB$3&gt;='Gastos Gerais'!$D$4:$D$3143),-(Analítico!AB$3&lt;='Gastos Gerais'!$E$4:$E$3143),-('Gastos Gerais'!$C$4:$C$3143))</f>
        <v>2310</v>
      </c>
      <c r="AC125" s="134">
        <f>SUMPRODUCT(-('Gastos Gerais'!$B$4:$B$3143=Analítico!$B125),-(Analítico!AC$3&gt;='Gastos Gerais'!$D$4:$D$3143),-(Analítico!AC$3&lt;='Gastos Gerais'!$E$4:$E$3143),-('Gastos Gerais'!$C$4:$C$3143))</f>
        <v>2310</v>
      </c>
      <c r="AD125" s="134">
        <f>SUMPRODUCT(-('Gastos Gerais'!$B$4:$B$3143=Analítico!$B125),-(Analítico!AD$3&gt;='Gastos Gerais'!$D$4:$D$3143),-(Analítico!AD$3&lt;='Gastos Gerais'!$E$4:$E$3143),-('Gastos Gerais'!$C$4:$C$3143))</f>
        <v>2310</v>
      </c>
      <c r="AE125" s="134">
        <f>SUMPRODUCT(-('Gastos Gerais'!$B$4:$B$3143=Analítico!$B125),-(Analítico!AE$3&gt;='Gastos Gerais'!$D$4:$D$3143),-(Analítico!AE$3&lt;='Gastos Gerais'!$E$4:$E$3143),-('Gastos Gerais'!$C$4:$C$3143))</f>
        <v>2310</v>
      </c>
      <c r="AF125" s="134">
        <f>SUMPRODUCT(-('Gastos Gerais'!$B$4:$B$3143=Analítico!$B125),-(Analítico!AF$3&gt;='Gastos Gerais'!$D$4:$D$3143),-(Analítico!AF$3&lt;='Gastos Gerais'!$E$4:$E$3143),-('Gastos Gerais'!$C$4:$C$3143))</f>
        <v>2310</v>
      </c>
      <c r="AG125" s="134">
        <f>SUMPRODUCT(-('Gastos Gerais'!$B$4:$B$3143=Analítico!$B125),-(Analítico!AG$3&gt;='Gastos Gerais'!$D$4:$D$3143),-(Analítico!AG$3&lt;='Gastos Gerais'!$E$4:$E$3143),-('Gastos Gerais'!$C$4:$C$3143))</f>
        <v>2310</v>
      </c>
      <c r="AH125" s="134">
        <f>SUMPRODUCT(-('Gastos Gerais'!$B$4:$B$3143=Analítico!$B125),-(Analítico!AH$3&gt;='Gastos Gerais'!$D$4:$D$3143),-(Analítico!AH$3&lt;='Gastos Gerais'!$E$4:$E$3143),-('Gastos Gerais'!$C$4:$C$3143))</f>
        <v>2310</v>
      </c>
      <c r="AI125" s="134">
        <f>SUMPRODUCT(-('Gastos Gerais'!$B$4:$B$3143=Analítico!$B125),-(Analítico!AI$3&gt;='Gastos Gerais'!$D$4:$D$3143),-(Analítico!AI$3&lt;='Gastos Gerais'!$E$4:$E$3143),-('Gastos Gerais'!$C$4:$C$3143))</f>
        <v>2310</v>
      </c>
      <c r="AJ125" s="134">
        <f>SUMPRODUCT(-('Gastos Gerais'!$B$4:$B$3143=Analítico!$B125),-(Analítico!AJ$3&gt;='Gastos Gerais'!$D$4:$D$3143),-(Analítico!AJ$3&lt;='Gastos Gerais'!$E$4:$E$3143),-('Gastos Gerais'!$C$4:$C$3143))</f>
        <v>2310</v>
      </c>
      <c r="AK125" s="134">
        <f>SUMPRODUCT(-('Gastos Gerais'!$B$4:$B$3143=Analítico!$B125),-(Analítico!AK$3&gt;='Gastos Gerais'!$D$4:$D$3143),-(Analítico!AK$3&lt;='Gastos Gerais'!$E$4:$E$3143),-('Gastos Gerais'!$C$4:$C$3143))</f>
        <v>2310</v>
      </c>
      <c r="AL125" s="134">
        <f>SUMPRODUCT(-('Gastos Gerais'!$B$4:$B$3143=Analítico!$B125),-(Analítico!AL$3&gt;='Gastos Gerais'!$D$4:$D$3143),-(Analítico!AL$3&lt;='Gastos Gerais'!$E$4:$E$3143),-('Gastos Gerais'!$C$4:$C$3143))</f>
        <v>2310</v>
      </c>
      <c r="AM125" s="134">
        <f>SUMPRODUCT(-('Gastos Gerais'!$B$4:$B$3143=Analítico!$B125),-(Analítico!AM$3&gt;='Gastos Gerais'!$D$4:$D$3143),-(Analítico!AM$3&lt;='Gastos Gerais'!$E$4:$E$3143),-('Gastos Gerais'!$C$4:$C$3143))</f>
        <v>2310</v>
      </c>
      <c r="AN125" s="134">
        <f>SUMPRODUCT(-('Gastos Gerais'!$B$4:$B$3143=Analítico!$B125),-(Analítico!AN$3&gt;='Gastos Gerais'!$D$4:$D$3143),-(Analítico!AN$3&lt;='Gastos Gerais'!$E$4:$E$3143),-('Gastos Gerais'!$C$4:$C$3143))</f>
        <v>2310</v>
      </c>
      <c r="AO125" s="134">
        <f>SUMPRODUCT(-('Gastos Gerais'!$B$4:$B$3143=Analítico!$B125),-(Analítico!AO$3&gt;='Gastos Gerais'!$D$4:$D$3143),-(Analítico!AO$3&lt;='Gastos Gerais'!$E$4:$E$3143),-('Gastos Gerais'!$C$4:$C$3143))</f>
        <v>2310</v>
      </c>
      <c r="AP125" s="134">
        <f>SUMPRODUCT(-('Gastos Gerais'!$B$4:$B$3143=Analítico!$B125),-(Analítico!AP$3&gt;='Gastos Gerais'!$D$4:$D$3143),-(Analítico!AP$3&lt;='Gastos Gerais'!$E$4:$E$3143),-('Gastos Gerais'!$C$4:$C$3143))</f>
        <v>2310</v>
      </c>
      <c r="AQ125" s="134">
        <f>SUMPRODUCT(-('Gastos Gerais'!$B$4:$B$3143=Analítico!$B125),-(Analítico!AQ$3&gt;='Gastos Gerais'!$D$4:$D$3143),-(Analítico!AQ$3&lt;='Gastos Gerais'!$E$4:$E$3143),-('Gastos Gerais'!$C$4:$C$3143))</f>
        <v>2310</v>
      </c>
      <c r="AR125" s="134">
        <f>SUMPRODUCT(-('Gastos Gerais'!$B$4:$B$3143=Analítico!$B125),-(Analítico!AR$3&gt;='Gastos Gerais'!$D$4:$D$3143),-(Analítico!AR$3&lt;='Gastos Gerais'!$E$4:$E$3143),-('Gastos Gerais'!$C$4:$C$3143))</f>
        <v>2310</v>
      </c>
      <c r="AS125" s="134">
        <f>SUMPRODUCT(-('Gastos Gerais'!$B$4:$B$3143=Analítico!$B125),-(Analítico!AS$3&gt;='Gastos Gerais'!$D$4:$D$3143),-(Analítico!AS$3&lt;='Gastos Gerais'!$E$4:$E$3143),-('Gastos Gerais'!$C$4:$C$3143))</f>
        <v>2310</v>
      </c>
      <c r="AT125" s="134">
        <f>SUMPRODUCT(-('Gastos Gerais'!$B$4:$B$3143=Analítico!$B125),-(Analítico!AT$3&gt;='Gastos Gerais'!$D$4:$D$3143),-(Analítico!AT$3&lt;='Gastos Gerais'!$E$4:$E$3143),-('Gastos Gerais'!$C$4:$C$3143))</f>
        <v>2310</v>
      </c>
      <c r="AU125" s="134">
        <f>SUMPRODUCT(-('Gastos Gerais'!$B$4:$B$3143=Analítico!$B125),-(Analítico!AU$3&gt;='Gastos Gerais'!$D$4:$D$3143),-(Analítico!AU$3&lt;='Gastos Gerais'!$E$4:$E$3143),-('Gastos Gerais'!$C$4:$C$3143))</f>
        <v>2310</v>
      </c>
      <c r="AV125" s="134">
        <f>SUMPRODUCT(-('Gastos Gerais'!$B$4:$B$3143=Analítico!$B125),-(Analítico!AV$3&gt;='Gastos Gerais'!$D$4:$D$3143),-(Analítico!AV$3&lt;='Gastos Gerais'!$E$4:$E$3143),-('Gastos Gerais'!$C$4:$C$3143))</f>
        <v>2310</v>
      </c>
      <c r="AW125" s="134">
        <f>SUMPRODUCT(-('Gastos Gerais'!$B$4:$B$3143=Analítico!$B125),-(Analítico!AW$3&gt;='Gastos Gerais'!$D$4:$D$3143),-(Analítico!AW$3&lt;='Gastos Gerais'!$E$4:$E$3143),-('Gastos Gerais'!$C$4:$C$3143))</f>
        <v>2310</v>
      </c>
      <c r="AX125" s="134">
        <f>SUMPRODUCT(-('Gastos Gerais'!$B$4:$B$3143=Analítico!$B125),-(Analítico!AX$3&gt;='Gastos Gerais'!$D$4:$D$3143),-(Analítico!AX$3&lt;='Gastos Gerais'!$E$4:$E$3143),-('Gastos Gerais'!$C$4:$C$3143))</f>
        <v>0</v>
      </c>
      <c r="AY125" s="134">
        <f>SUMPRODUCT(-('Gastos Gerais'!$B$4:$B$3143=Analítico!$B125),-(Analítico!AY$3&gt;='Gastos Gerais'!$D$4:$D$3143),-(Analítico!AY$3&lt;='Gastos Gerais'!$E$4:$E$3143),-('Gastos Gerais'!$C$4:$C$3143))</f>
        <v>0</v>
      </c>
      <c r="AZ125" s="134">
        <f>SUMPRODUCT(-('Gastos Gerais'!$B$4:$B$3143=Analítico!$B125),-(Analítico!AZ$3&gt;='Gastos Gerais'!$D$4:$D$3143),-(Analítico!AZ$3&lt;='Gastos Gerais'!$E$4:$E$3143),-('Gastos Gerais'!$C$4:$C$3143))</f>
        <v>0</v>
      </c>
      <c r="BA125" s="134">
        <f>SUMPRODUCT(-('Gastos Gerais'!$B$4:$B$3143=Analítico!$B125),-(Analítico!BA$3&gt;='Gastos Gerais'!$D$4:$D$3143),-(Analítico!BA$3&lt;='Gastos Gerais'!$E$4:$E$3143),-('Gastos Gerais'!$C$4:$C$3143))</f>
        <v>0</v>
      </c>
      <c r="BB125" s="134">
        <f>SUMPRODUCT(-('Gastos Gerais'!$B$4:$B$3143=Analítico!$B125),-(Analítico!BB$3&gt;='Gastos Gerais'!$D$4:$D$3143),-(Analítico!BB$3&lt;='Gastos Gerais'!$E$4:$E$3143),-('Gastos Gerais'!$C$4:$C$3143))</f>
        <v>0</v>
      </c>
      <c r="BC125" s="134">
        <f>SUMPRODUCT(-('Gastos Gerais'!$B$4:$B$3143=Analítico!$B125),-(Analítico!BC$3&gt;='Gastos Gerais'!$D$4:$D$3143),-(Analítico!BC$3&lt;='Gastos Gerais'!$E$4:$E$3143),-('Gastos Gerais'!$C$4:$C$3143))</f>
        <v>0</v>
      </c>
      <c r="BD125" s="134">
        <f>SUMPRODUCT(-('Gastos Gerais'!$B$4:$B$3143=Analítico!$B125),-(Analítico!BD$3&gt;='Gastos Gerais'!$D$4:$D$3143),-(Analítico!BD$3&lt;='Gastos Gerais'!$E$4:$E$3143),-('Gastos Gerais'!$C$4:$C$3143))</f>
        <v>0</v>
      </c>
      <c r="BE125" s="134">
        <f>SUMPRODUCT(-('Gastos Gerais'!$B$4:$B$3143=Analítico!$B125),-(Analítico!BE$3&gt;='Gastos Gerais'!$D$4:$D$3143),-(Analítico!BE$3&lt;='Gastos Gerais'!$E$4:$E$3143),-('Gastos Gerais'!$C$4:$C$3143))</f>
        <v>0</v>
      </c>
      <c r="BF125" s="134">
        <f>SUMPRODUCT(-('Gastos Gerais'!$B$4:$B$3143=Analítico!$B125),-(Analítico!BF$3&gt;='Gastos Gerais'!$D$4:$D$3143),-(Analítico!BF$3&lt;='Gastos Gerais'!$E$4:$E$3143),-('Gastos Gerais'!$C$4:$C$3143))</f>
        <v>0</v>
      </c>
      <c r="BG125" s="134">
        <f>SUMPRODUCT(-('Gastos Gerais'!$B$4:$B$3143=Analítico!$B125),-(Analítico!BG$3&gt;='Gastos Gerais'!$D$4:$D$3143),-(Analítico!BG$3&lt;='Gastos Gerais'!$E$4:$E$3143),-('Gastos Gerais'!$C$4:$C$3143))</f>
        <v>0</v>
      </c>
      <c r="BH125" s="134">
        <f>SUMPRODUCT(-('Gastos Gerais'!$B$4:$B$3143=Analítico!$B125),-(Analítico!BH$3&gt;='Gastos Gerais'!$D$4:$D$3143),-(Analítico!BH$3&lt;='Gastos Gerais'!$E$4:$E$3143),-('Gastos Gerais'!$C$4:$C$3143))</f>
        <v>0</v>
      </c>
      <c r="BI125" s="134">
        <f>SUMPRODUCT(-('Gastos Gerais'!$B$4:$B$3143=Analítico!$B125),-(Analítico!BI$3&gt;='Gastos Gerais'!$D$4:$D$3143),-(Analítico!BI$3&lt;='Gastos Gerais'!$E$4:$E$3143),-('Gastos Gerais'!$C$4:$C$3143))</f>
        <v>0</v>
      </c>
      <c r="BJ125" s="134">
        <f>SUMPRODUCT(-('Gastos Gerais'!$B$4:$B$3143=Analítico!$B125),-(Analítico!BJ$3&gt;='Gastos Gerais'!$D$4:$D$3143),-(Analítico!BJ$3&lt;='Gastos Gerais'!$E$4:$E$3143),-('Gastos Gerais'!$C$4:$C$3143))</f>
        <v>0</v>
      </c>
      <c r="BK125" s="189">
        <f t="shared" si="28"/>
        <v>106590</v>
      </c>
      <c r="BL125" s="136">
        <f t="shared" ca="1" si="29"/>
        <v>3.669891684743327E-4</v>
      </c>
    </row>
    <row r="126" spans="1:64" s="160" customFormat="1" ht="23.25" customHeight="1">
      <c r="A126" s="229" t="s">
        <v>632</v>
      </c>
      <c r="B126" s="232" t="s">
        <v>621</v>
      </c>
      <c r="C126" s="188">
        <f>SUMPRODUCT(-('Gastos Gerais'!$B$4:$B$3143=Analítico!$B126),-(Analítico!C$3&gt;='Gastos Gerais'!$D$4:$D$3143),-(Analítico!C$3&lt;='Gastos Gerais'!$E$4:$E$3143),-('Gastos Gerais'!$C$4:$C$3143))</f>
        <v>0</v>
      </c>
      <c r="D126" s="134">
        <f>SUMPRODUCT(-('Gastos Gerais'!$B$4:$B$3143=Analítico!$B126),-(Analítico!D$3&gt;='Gastos Gerais'!$D$4:$D$3143),-(Analítico!D$3&lt;='Gastos Gerais'!$E$4:$E$3143),-('Gastos Gerais'!$C$4:$C$3143))</f>
        <v>10000</v>
      </c>
      <c r="E126" s="134">
        <f>SUMPRODUCT(-('Gastos Gerais'!$B$4:$B$3143=Analítico!$B126),-(Analítico!E$3&gt;='Gastos Gerais'!$D$4:$D$3143),-(Analítico!E$3&lt;='Gastos Gerais'!$E$4:$E$3143),-('Gastos Gerais'!$C$4:$C$3143))</f>
        <v>0</v>
      </c>
      <c r="F126" s="134">
        <f>SUMPRODUCT(-('Gastos Gerais'!$B$4:$B$3143=Analítico!$B126),-(Analítico!F$3&gt;='Gastos Gerais'!$D$4:$D$3143),-(Analítico!F$3&lt;='Gastos Gerais'!$E$4:$E$3143),-('Gastos Gerais'!$C$4:$C$3143))</f>
        <v>4000</v>
      </c>
      <c r="G126" s="134">
        <f>SUMPRODUCT(-('Gastos Gerais'!$B$4:$B$3143=Analítico!$B126),-(Analítico!G$3&gt;='Gastos Gerais'!$D$4:$D$3143),-(Analítico!G$3&lt;='Gastos Gerais'!$E$4:$E$3143),-('Gastos Gerais'!$C$4:$C$3143))</f>
        <v>0</v>
      </c>
      <c r="H126" s="134">
        <f>SUMPRODUCT(-('Gastos Gerais'!$B$4:$B$3143=Analítico!$B126),-(Analítico!H$3&gt;='Gastos Gerais'!$D$4:$D$3143),-(Analítico!H$3&lt;='Gastos Gerais'!$E$4:$E$3143),-('Gastos Gerais'!$C$4:$C$3143))</f>
        <v>0</v>
      </c>
      <c r="I126" s="134">
        <f>SUMPRODUCT(-('Gastos Gerais'!$B$4:$B$3143=Analítico!$B126),-(Analítico!I$3&gt;='Gastos Gerais'!$D$4:$D$3143),-(Analítico!I$3&lt;='Gastos Gerais'!$E$4:$E$3143),-('Gastos Gerais'!$C$4:$C$3143))</f>
        <v>2000</v>
      </c>
      <c r="J126" s="134">
        <f>SUMPRODUCT(-('Gastos Gerais'!$B$4:$B$3143=Analítico!$B126),-(Analítico!J$3&gt;='Gastos Gerais'!$D$4:$D$3143),-(Analítico!J$3&lt;='Gastos Gerais'!$E$4:$E$3143),-('Gastos Gerais'!$C$4:$C$3143))</f>
        <v>0</v>
      </c>
      <c r="K126" s="134">
        <f>SUMPRODUCT(-('Gastos Gerais'!$B$4:$B$3143=Analítico!$B126),-(Analítico!K$3&gt;='Gastos Gerais'!$D$4:$D$3143),-(Analítico!K$3&lt;='Gastos Gerais'!$E$4:$E$3143),-('Gastos Gerais'!$C$4:$C$3143))</f>
        <v>0</v>
      </c>
      <c r="L126" s="134">
        <f>SUMPRODUCT(-('Gastos Gerais'!$B$4:$B$3143=Analítico!$B126),-(Analítico!L$3&gt;='Gastos Gerais'!$D$4:$D$3143),-(Analítico!L$3&lt;='Gastos Gerais'!$E$4:$E$3143),-('Gastos Gerais'!$C$4:$C$3143))</f>
        <v>2000</v>
      </c>
      <c r="M126" s="134">
        <f>SUMPRODUCT(-('Gastos Gerais'!$B$4:$B$3143=Analítico!$B126),-(Analítico!M$3&gt;='Gastos Gerais'!$D$4:$D$3143),-(Analítico!M$3&lt;='Gastos Gerais'!$E$4:$E$3143),-('Gastos Gerais'!$C$4:$C$3143))</f>
        <v>0</v>
      </c>
      <c r="N126" s="134">
        <f>SUMPRODUCT(-('Gastos Gerais'!$B$4:$B$3143=Analítico!$B126),-(Analítico!N$3&gt;='Gastos Gerais'!$D$4:$D$3143),-(Analítico!N$3&lt;='Gastos Gerais'!$E$4:$E$3143),-('Gastos Gerais'!$C$4:$C$3143))</f>
        <v>0</v>
      </c>
      <c r="O126" s="134">
        <f>SUMPRODUCT(-('Gastos Gerais'!$B$4:$B$3143=Analítico!$B126),-(Analítico!O$3&gt;='Gastos Gerais'!$D$4:$D$3143),-(Analítico!O$3&lt;='Gastos Gerais'!$E$4:$E$3143),-('Gastos Gerais'!$C$4:$C$3143))</f>
        <v>10000</v>
      </c>
      <c r="P126" s="134">
        <f>SUMPRODUCT(-('Gastos Gerais'!$B$4:$B$3143=Analítico!$B126),-(Analítico!P$3&gt;='Gastos Gerais'!$D$4:$D$3143),-(Analítico!P$3&lt;='Gastos Gerais'!$E$4:$E$3143),-('Gastos Gerais'!$C$4:$C$3143))</f>
        <v>4000</v>
      </c>
      <c r="Q126" s="134">
        <f>SUMPRODUCT(-('Gastos Gerais'!$B$4:$B$3143=Analítico!$B126),-(Analítico!Q$3&gt;='Gastos Gerais'!$D$4:$D$3143),-(Analítico!Q$3&lt;='Gastos Gerais'!$E$4:$E$3143),-('Gastos Gerais'!$C$4:$C$3143))</f>
        <v>0</v>
      </c>
      <c r="R126" s="134">
        <f>SUMPRODUCT(-('Gastos Gerais'!$B$4:$B$3143=Analítico!$B126),-(Analítico!R$3&gt;='Gastos Gerais'!$D$4:$D$3143),-(Analítico!R$3&lt;='Gastos Gerais'!$E$4:$E$3143),-('Gastos Gerais'!$C$4:$C$3143))</f>
        <v>0</v>
      </c>
      <c r="S126" s="134">
        <f>SUMPRODUCT(-('Gastos Gerais'!$B$4:$B$3143=Analítico!$B126),-(Analítico!S$3&gt;='Gastos Gerais'!$D$4:$D$3143),-(Analítico!S$3&lt;='Gastos Gerais'!$E$4:$E$3143),-('Gastos Gerais'!$C$4:$C$3143))</f>
        <v>0</v>
      </c>
      <c r="T126" s="134">
        <f>SUMPRODUCT(-('Gastos Gerais'!$B$4:$B$3143=Analítico!$B126),-(Analítico!T$3&gt;='Gastos Gerais'!$D$4:$D$3143),-(Analítico!T$3&lt;='Gastos Gerais'!$E$4:$E$3143),-('Gastos Gerais'!$C$4:$C$3143))</f>
        <v>0</v>
      </c>
      <c r="U126" s="134">
        <f>SUMPRODUCT(-('Gastos Gerais'!$B$4:$B$3143=Analítico!$B126),-(Analítico!U$3&gt;='Gastos Gerais'!$D$4:$D$3143),-(Analítico!U$3&lt;='Gastos Gerais'!$E$4:$E$3143),-('Gastos Gerais'!$C$4:$C$3143))</f>
        <v>0</v>
      </c>
      <c r="V126" s="134">
        <f>SUMPRODUCT(-('Gastos Gerais'!$B$4:$B$3143=Analítico!$B126),-(Analítico!V$3&gt;='Gastos Gerais'!$D$4:$D$3143),-(Analítico!V$3&lt;='Gastos Gerais'!$E$4:$E$3143),-('Gastos Gerais'!$C$4:$C$3143))</f>
        <v>0</v>
      </c>
      <c r="W126" s="134">
        <f>SUMPRODUCT(-('Gastos Gerais'!$B$4:$B$3143=Analítico!$B126),-(Analítico!W$3&gt;='Gastos Gerais'!$D$4:$D$3143),-(Analítico!W$3&lt;='Gastos Gerais'!$E$4:$E$3143),-('Gastos Gerais'!$C$4:$C$3143))</f>
        <v>0</v>
      </c>
      <c r="X126" s="134">
        <f>SUMPRODUCT(-('Gastos Gerais'!$B$4:$B$3143=Analítico!$B126),-(Analítico!X$3&gt;='Gastos Gerais'!$D$4:$D$3143),-(Analítico!X$3&lt;='Gastos Gerais'!$E$4:$E$3143),-('Gastos Gerais'!$C$4:$C$3143))</f>
        <v>0</v>
      </c>
      <c r="Y126" s="134">
        <f>SUMPRODUCT(-('Gastos Gerais'!$B$4:$B$3143=Analítico!$B126),-(Analítico!Y$3&gt;='Gastos Gerais'!$D$4:$D$3143),-(Analítico!Y$3&lt;='Gastos Gerais'!$E$4:$E$3143),-('Gastos Gerais'!$C$4:$C$3143))</f>
        <v>0</v>
      </c>
      <c r="Z126" s="134">
        <f>SUMPRODUCT(-('Gastos Gerais'!$B$4:$B$3143=Analítico!$B126),-(Analítico!Z$3&gt;='Gastos Gerais'!$D$4:$D$3143),-(Analítico!Z$3&lt;='Gastos Gerais'!$E$4:$E$3143),-('Gastos Gerais'!$C$4:$C$3143))</f>
        <v>0</v>
      </c>
      <c r="AA126" s="134">
        <f>SUMPRODUCT(-('Gastos Gerais'!$B$4:$B$3143=Analítico!$B126),-(Analítico!AA$3&gt;='Gastos Gerais'!$D$4:$D$3143),-(Analítico!AA$3&lt;='Gastos Gerais'!$E$4:$E$3143),-('Gastos Gerais'!$C$4:$C$3143))</f>
        <v>0</v>
      </c>
      <c r="AB126" s="134">
        <f>SUMPRODUCT(-('Gastos Gerais'!$B$4:$B$3143=Analítico!$B126),-(Analítico!AB$3&gt;='Gastos Gerais'!$D$4:$D$3143),-(Analítico!AB$3&lt;='Gastos Gerais'!$E$4:$E$3143),-('Gastos Gerais'!$C$4:$C$3143))</f>
        <v>28000</v>
      </c>
      <c r="AC126" s="134">
        <f>SUMPRODUCT(-('Gastos Gerais'!$B$4:$B$3143=Analítico!$B126),-(Analítico!AC$3&gt;='Gastos Gerais'!$D$4:$D$3143),-(Analítico!AC$3&lt;='Gastos Gerais'!$E$4:$E$3143),-('Gastos Gerais'!$C$4:$C$3143))</f>
        <v>0</v>
      </c>
      <c r="AD126" s="134">
        <f>SUMPRODUCT(-('Gastos Gerais'!$B$4:$B$3143=Analítico!$B126),-(Analítico!AD$3&gt;='Gastos Gerais'!$D$4:$D$3143),-(Analítico!AD$3&lt;='Gastos Gerais'!$E$4:$E$3143),-('Gastos Gerais'!$C$4:$C$3143))</f>
        <v>0</v>
      </c>
      <c r="AE126" s="134">
        <f>SUMPRODUCT(-('Gastos Gerais'!$B$4:$B$3143=Analítico!$B126),-(Analítico!AE$3&gt;='Gastos Gerais'!$D$4:$D$3143),-(Analítico!AE$3&lt;='Gastos Gerais'!$E$4:$E$3143),-('Gastos Gerais'!$C$4:$C$3143))</f>
        <v>0</v>
      </c>
      <c r="AF126" s="134">
        <f>SUMPRODUCT(-('Gastos Gerais'!$B$4:$B$3143=Analítico!$B126),-(Analítico!AF$3&gt;='Gastos Gerais'!$D$4:$D$3143),-(Analítico!AF$3&lt;='Gastos Gerais'!$E$4:$E$3143),-('Gastos Gerais'!$C$4:$C$3143))</f>
        <v>0</v>
      </c>
      <c r="AG126" s="134">
        <f>SUMPRODUCT(-('Gastos Gerais'!$B$4:$B$3143=Analítico!$B126),-(Analítico!AG$3&gt;='Gastos Gerais'!$D$4:$D$3143),-(Analítico!AG$3&lt;='Gastos Gerais'!$E$4:$E$3143),-('Gastos Gerais'!$C$4:$C$3143))</f>
        <v>0</v>
      </c>
      <c r="AH126" s="134">
        <f>SUMPRODUCT(-('Gastos Gerais'!$B$4:$B$3143=Analítico!$B126),-(Analítico!AH$3&gt;='Gastos Gerais'!$D$4:$D$3143),-(Analítico!AH$3&lt;='Gastos Gerais'!$E$4:$E$3143),-('Gastos Gerais'!$C$4:$C$3143))</f>
        <v>0</v>
      </c>
      <c r="AI126" s="134">
        <f>SUMPRODUCT(-('Gastos Gerais'!$B$4:$B$3143=Analítico!$B126),-(Analítico!AI$3&gt;='Gastos Gerais'!$D$4:$D$3143),-(Analítico!AI$3&lt;='Gastos Gerais'!$E$4:$E$3143),-('Gastos Gerais'!$C$4:$C$3143))</f>
        <v>0</v>
      </c>
      <c r="AJ126" s="134">
        <f>SUMPRODUCT(-('Gastos Gerais'!$B$4:$B$3143=Analítico!$B126),-(Analítico!AJ$3&gt;='Gastos Gerais'!$D$4:$D$3143),-(Analítico!AJ$3&lt;='Gastos Gerais'!$E$4:$E$3143),-('Gastos Gerais'!$C$4:$C$3143))</f>
        <v>0</v>
      </c>
      <c r="AK126" s="134">
        <f>SUMPRODUCT(-('Gastos Gerais'!$B$4:$B$3143=Analítico!$B126),-(Analítico!AK$3&gt;='Gastos Gerais'!$D$4:$D$3143),-(Analítico!AK$3&lt;='Gastos Gerais'!$E$4:$E$3143),-('Gastos Gerais'!$C$4:$C$3143))</f>
        <v>0</v>
      </c>
      <c r="AL126" s="134">
        <f>SUMPRODUCT(-('Gastos Gerais'!$B$4:$B$3143=Analítico!$B126),-(Analítico!AL$3&gt;='Gastos Gerais'!$D$4:$D$3143),-(Analítico!AL$3&lt;='Gastos Gerais'!$E$4:$E$3143),-('Gastos Gerais'!$C$4:$C$3143))</f>
        <v>0</v>
      </c>
      <c r="AM126" s="134">
        <f>SUMPRODUCT(-('Gastos Gerais'!$B$4:$B$3143=Analítico!$B126),-(Analítico!AM$3&gt;='Gastos Gerais'!$D$4:$D$3143),-(Analítico!AM$3&lt;='Gastos Gerais'!$E$4:$E$3143),-('Gastos Gerais'!$C$4:$C$3143))</f>
        <v>8000</v>
      </c>
      <c r="AN126" s="134">
        <f>SUMPRODUCT(-('Gastos Gerais'!$B$4:$B$3143=Analítico!$B126),-(Analítico!AN$3&gt;='Gastos Gerais'!$D$4:$D$3143),-(Analítico!AN$3&lt;='Gastos Gerais'!$E$4:$E$3143),-('Gastos Gerais'!$C$4:$C$3143))</f>
        <v>0</v>
      </c>
      <c r="AO126" s="134">
        <f>SUMPRODUCT(-('Gastos Gerais'!$B$4:$B$3143=Analítico!$B126),-(Analítico!AO$3&gt;='Gastos Gerais'!$D$4:$D$3143),-(Analítico!AO$3&lt;='Gastos Gerais'!$E$4:$E$3143),-('Gastos Gerais'!$C$4:$C$3143))</f>
        <v>0</v>
      </c>
      <c r="AP126" s="134">
        <f>SUMPRODUCT(-('Gastos Gerais'!$B$4:$B$3143=Analítico!$B126),-(Analítico!AP$3&gt;='Gastos Gerais'!$D$4:$D$3143),-(Analítico!AP$3&lt;='Gastos Gerais'!$E$4:$E$3143),-('Gastos Gerais'!$C$4:$C$3143))</f>
        <v>0</v>
      </c>
      <c r="AQ126" s="134">
        <f>SUMPRODUCT(-('Gastos Gerais'!$B$4:$B$3143=Analítico!$B126),-(Analítico!AQ$3&gt;='Gastos Gerais'!$D$4:$D$3143),-(Analítico!AQ$3&lt;='Gastos Gerais'!$E$4:$E$3143),-('Gastos Gerais'!$C$4:$C$3143))</f>
        <v>0</v>
      </c>
      <c r="AR126" s="134">
        <f>SUMPRODUCT(-('Gastos Gerais'!$B$4:$B$3143=Analítico!$B126),-(Analítico!AR$3&gt;='Gastos Gerais'!$D$4:$D$3143),-(Analítico!AR$3&lt;='Gastos Gerais'!$E$4:$E$3143),-('Gastos Gerais'!$C$4:$C$3143))</f>
        <v>0</v>
      </c>
      <c r="AS126" s="134">
        <f>SUMPRODUCT(-('Gastos Gerais'!$B$4:$B$3143=Analítico!$B126),-(Analítico!AS$3&gt;='Gastos Gerais'!$D$4:$D$3143),-(Analítico!AS$3&lt;='Gastos Gerais'!$E$4:$E$3143),-('Gastos Gerais'!$C$4:$C$3143))</f>
        <v>0</v>
      </c>
      <c r="AT126" s="134">
        <f>SUMPRODUCT(-('Gastos Gerais'!$B$4:$B$3143=Analítico!$B126),-(Analítico!AT$3&gt;='Gastos Gerais'!$D$4:$D$3143),-(Analítico!AT$3&lt;='Gastos Gerais'!$E$4:$E$3143),-('Gastos Gerais'!$C$4:$C$3143))</f>
        <v>0</v>
      </c>
      <c r="AU126" s="134">
        <f>SUMPRODUCT(-('Gastos Gerais'!$B$4:$B$3143=Analítico!$B126),-(Analítico!AU$3&gt;='Gastos Gerais'!$D$4:$D$3143),-(Analítico!AU$3&lt;='Gastos Gerais'!$E$4:$E$3143),-('Gastos Gerais'!$C$4:$C$3143))</f>
        <v>0</v>
      </c>
      <c r="AV126" s="134">
        <f>SUMPRODUCT(-('Gastos Gerais'!$B$4:$B$3143=Analítico!$B126),-(Analítico!AV$3&gt;='Gastos Gerais'!$D$4:$D$3143),-(Analítico!AV$3&lt;='Gastos Gerais'!$E$4:$E$3143),-('Gastos Gerais'!$C$4:$C$3143))</f>
        <v>0</v>
      </c>
      <c r="AW126" s="134">
        <f>SUMPRODUCT(-('Gastos Gerais'!$B$4:$B$3143=Analítico!$B126),-(Analítico!AW$3&gt;='Gastos Gerais'!$D$4:$D$3143),-(Analítico!AW$3&lt;='Gastos Gerais'!$E$4:$E$3143),-('Gastos Gerais'!$C$4:$C$3143))</f>
        <v>0</v>
      </c>
      <c r="AX126" s="134">
        <f>SUMPRODUCT(-('Gastos Gerais'!$B$4:$B$3143=Analítico!$B126),-(Analítico!AX$3&gt;='Gastos Gerais'!$D$4:$D$3143),-(Analítico!AX$3&lt;='Gastos Gerais'!$E$4:$E$3143),-('Gastos Gerais'!$C$4:$C$3143))</f>
        <v>0</v>
      </c>
      <c r="AY126" s="134">
        <f>SUMPRODUCT(-('Gastos Gerais'!$B$4:$B$3143=Analítico!$B126),-(Analítico!AY$3&gt;='Gastos Gerais'!$D$4:$D$3143),-(Analítico!AY$3&lt;='Gastos Gerais'!$E$4:$E$3143),-('Gastos Gerais'!$C$4:$C$3143))</f>
        <v>0</v>
      </c>
      <c r="AZ126" s="134">
        <f>SUMPRODUCT(-('Gastos Gerais'!$B$4:$B$3143=Analítico!$B126),-(Analítico!AZ$3&gt;='Gastos Gerais'!$D$4:$D$3143),-(Analítico!AZ$3&lt;='Gastos Gerais'!$E$4:$E$3143),-('Gastos Gerais'!$C$4:$C$3143))</f>
        <v>0</v>
      </c>
      <c r="BA126" s="134">
        <f>SUMPRODUCT(-('Gastos Gerais'!$B$4:$B$3143=Analítico!$B126),-(Analítico!BA$3&gt;='Gastos Gerais'!$D$4:$D$3143),-(Analítico!BA$3&lt;='Gastos Gerais'!$E$4:$E$3143),-('Gastos Gerais'!$C$4:$C$3143))</f>
        <v>0</v>
      </c>
      <c r="BB126" s="134">
        <f>SUMPRODUCT(-('Gastos Gerais'!$B$4:$B$3143=Analítico!$B126),-(Analítico!BB$3&gt;='Gastos Gerais'!$D$4:$D$3143),-(Analítico!BB$3&lt;='Gastos Gerais'!$E$4:$E$3143),-('Gastos Gerais'!$C$4:$C$3143))</f>
        <v>0</v>
      </c>
      <c r="BC126" s="134">
        <f>SUMPRODUCT(-('Gastos Gerais'!$B$4:$B$3143=Analítico!$B126),-(Analítico!BC$3&gt;='Gastos Gerais'!$D$4:$D$3143),-(Analítico!BC$3&lt;='Gastos Gerais'!$E$4:$E$3143),-('Gastos Gerais'!$C$4:$C$3143))</f>
        <v>0</v>
      </c>
      <c r="BD126" s="134">
        <f>SUMPRODUCT(-('Gastos Gerais'!$B$4:$B$3143=Analítico!$B126),-(Analítico!BD$3&gt;='Gastos Gerais'!$D$4:$D$3143),-(Analítico!BD$3&lt;='Gastos Gerais'!$E$4:$E$3143),-('Gastos Gerais'!$C$4:$C$3143))</f>
        <v>0</v>
      </c>
      <c r="BE126" s="134">
        <f>SUMPRODUCT(-('Gastos Gerais'!$B$4:$B$3143=Analítico!$B126),-(Analítico!BE$3&gt;='Gastos Gerais'!$D$4:$D$3143),-(Analítico!BE$3&lt;='Gastos Gerais'!$E$4:$E$3143),-('Gastos Gerais'!$C$4:$C$3143))</f>
        <v>0</v>
      </c>
      <c r="BF126" s="134">
        <f>SUMPRODUCT(-('Gastos Gerais'!$B$4:$B$3143=Analítico!$B126),-(Analítico!BF$3&gt;='Gastos Gerais'!$D$4:$D$3143),-(Analítico!BF$3&lt;='Gastos Gerais'!$E$4:$E$3143),-('Gastos Gerais'!$C$4:$C$3143))</f>
        <v>0</v>
      </c>
      <c r="BG126" s="134">
        <f>SUMPRODUCT(-('Gastos Gerais'!$B$4:$B$3143=Analítico!$B126),-(Analítico!BG$3&gt;='Gastos Gerais'!$D$4:$D$3143),-(Analítico!BG$3&lt;='Gastos Gerais'!$E$4:$E$3143),-('Gastos Gerais'!$C$4:$C$3143))</f>
        <v>0</v>
      </c>
      <c r="BH126" s="134">
        <f>SUMPRODUCT(-('Gastos Gerais'!$B$4:$B$3143=Analítico!$B126),-(Analítico!BH$3&gt;='Gastos Gerais'!$D$4:$D$3143),-(Analítico!BH$3&lt;='Gastos Gerais'!$E$4:$E$3143),-('Gastos Gerais'!$C$4:$C$3143))</f>
        <v>0</v>
      </c>
      <c r="BI126" s="134">
        <f>SUMPRODUCT(-('Gastos Gerais'!$B$4:$B$3143=Analítico!$B126),-(Analítico!BI$3&gt;='Gastos Gerais'!$D$4:$D$3143),-(Analítico!BI$3&lt;='Gastos Gerais'!$E$4:$E$3143),-('Gastos Gerais'!$C$4:$C$3143))</f>
        <v>0</v>
      </c>
      <c r="BJ126" s="134">
        <f>SUMPRODUCT(-('Gastos Gerais'!$B$4:$B$3143=Analítico!$B126),-(Analítico!BJ$3&gt;='Gastos Gerais'!$D$4:$D$3143),-(Analítico!BJ$3&lt;='Gastos Gerais'!$E$4:$E$3143),-('Gastos Gerais'!$C$4:$C$3143))</f>
        <v>0</v>
      </c>
      <c r="BK126" s="189">
        <f t="shared" si="28"/>
        <v>68000</v>
      </c>
      <c r="BL126" s="136">
        <f t="shared" ca="1" si="29"/>
        <v>2.3412387143498099E-4</v>
      </c>
    </row>
    <row r="127" spans="1:64" s="160" customFormat="1" ht="23.25" customHeight="1">
      <c r="A127" s="229" t="s">
        <v>633</v>
      </c>
      <c r="B127" s="232" t="s">
        <v>622</v>
      </c>
      <c r="C127" s="188">
        <f>SUMPRODUCT(-('Gastos Gerais'!$B$4:$B$3143=Analítico!$B127),-(Analítico!C$3&gt;='Gastos Gerais'!$D$4:$D$3143),-(Analítico!C$3&lt;='Gastos Gerais'!$E$4:$E$3143),-('Gastos Gerais'!$C$4:$C$3143))</f>
        <v>14450</v>
      </c>
      <c r="D127" s="134">
        <f>SUMPRODUCT(-('Gastos Gerais'!$B$4:$B$3143=Analítico!$B127),-(Analítico!D$3&gt;='Gastos Gerais'!$D$4:$D$3143),-(Analítico!D$3&lt;='Gastos Gerais'!$E$4:$E$3143),-('Gastos Gerais'!$C$4:$C$3143))</f>
        <v>14450</v>
      </c>
      <c r="E127" s="134">
        <f>SUMPRODUCT(-('Gastos Gerais'!$B$4:$B$3143=Analítico!$B127),-(Analítico!E$3&gt;='Gastos Gerais'!$D$4:$D$3143),-(Analítico!E$3&lt;='Gastos Gerais'!$E$4:$E$3143),-('Gastos Gerais'!$C$4:$C$3143))</f>
        <v>15300</v>
      </c>
      <c r="F127" s="134">
        <f>SUMPRODUCT(-('Gastos Gerais'!$B$4:$B$3143=Analítico!$B127),-(Analítico!F$3&gt;='Gastos Gerais'!$D$4:$D$3143),-(Analítico!F$3&lt;='Gastos Gerais'!$E$4:$E$3143),-('Gastos Gerais'!$C$4:$C$3143))</f>
        <v>16150</v>
      </c>
      <c r="G127" s="134">
        <f>SUMPRODUCT(-('Gastos Gerais'!$B$4:$B$3143=Analítico!$B127),-(Analítico!G$3&gt;='Gastos Gerais'!$D$4:$D$3143),-(Analítico!G$3&lt;='Gastos Gerais'!$E$4:$E$3143),-('Gastos Gerais'!$C$4:$C$3143))</f>
        <v>16150</v>
      </c>
      <c r="H127" s="134">
        <f>SUMPRODUCT(-('Gastos Gerais'!$B$4:$B$3143=Analítico!$B127),-(Analítico!H$3&gt;='Gastos Gerais'!$D$4:$D$3143),-(Analítico!H$3&lt;='Gastos Gerais'!$E$4:$E$3143),-('Gastos Gerais'!$C$4:$C$3143))</f>
        <v>16150</v>
      </c>
      <c r="I127" s="134">
        <f>SUMPRODUCT(-('Gastos Gerais'!$B$4:$B$3143=Analítico!$B127),-(Analítico!I$3&gt;='Gastos Gerais'!$D$4:$D$3143),-(Analítico!I$3&lt;='Gastos Gerais'!$E$4:$E$3143),-('Gastos Gerais'!$C$4:$C$3143))</f>
        <v>17000</v>
      </c>
      <c r="J127" s="134">
        <f>SUMPRODUCT(-('Gastos Gerais'!$B$4:$B$3143=Analítico!$B127),-(Analítico!J$3&gt;='Gastos Gerais'!$D$4:$D$3143),-(Analítico!J$3&lt;='Gastos Gerais'!$E$4:$E$3143),-('Gastos Gerais'!$C$4:$C$3143))</f>
        <v>17000</v>
      </c>
      <c r="K127" s="134">
        <f>SUMPRODUCT(-('Gastos Gerais'!$B$4:$B$3143=Analítico!$B127),-(Analítico!K$3&gt;='Gastos Gerais'!$D$4:$D$3143),-(Analítico!K$3&lt;='Gastos Gerais'!$E$4:$E$3143),-('Gastos Gerais'!$C$4:$C$3143))</f>
        <v>17000</v>
      </c>
      <c r="L127" s="134">
        <f>SUMPRODUCT(-('Gastos Gerais'!$B$4:$B$3143=Analítico!$B127),-(Analítico!L$3&gt;='Gastos Gerais'!$D$4:$D$3143),-(Analítico!L$3&lt;='Gastos Gerais'!$E$4:$E$3143),-('Gastos Gerais'!$C$4:$C$3143))</f>
        <v>17850</v>
      </c>
      <c r="M127" s="134">
        <f>SUMPRODUCT(-('Gastos Gerais'!$B$4:$B$3143=Analítico!$B127),-(Analítico!M$3&gt;='Gastos Gerais'!$D$4:$D$3143),-(Analítico!M$3&lt;='Gastos Gerais'!$E$4:$E$3143),-('Gastos Gerais'!$C$4:$C$3143))</f>
        <v>17850</v>
      </c>
      <c r="N127" s="134">
        <f>SUMPRODUCT(-('Gastos Gerais'!$B$4:$B$3143=Analítico!$B127),-(Analítico!N$3&gt;='Gastos Gerais'!$D$4:$D$3143),-(Analítico!N$3&lt;='Gastos Gerais'!$E$4:$E$3143),-('Gastos Gerais'!$C$4:$C$3143))</f>
        <v>17850</v>
      </c>
      <c r="O127" s="134">
        <f>SUMPRODUCT(-('Gastos Gerais'!$B$4:$B$3143=Analítico!$B127),-(Analítico!O$3&gt;='Gastos Gerais'!$D$4:$D$3143),-(Analítico!O$3&lt;='Gastos Gerais'!$E$4:$E$3143),-('Gastos Gerais'!$C$4:$C$3143))</f>
        <v>17850</v>
      </c>
      <c r="P127" s="134">
        <f>SUMPRODUCT(-('Gastos Gerais'!$B$4:$B$3143=Analítico!$B127),-(Analítico!P$3&gt;='Gastos Gerais'!$D$4:$D$3143),-(Analítico!P$3&lt;='Gastos Gerais'!$E$4:$E$3143),-('Gastos Gerais'!$C$4:$C$3143))</f>
        <v>17850</v>
      </c>
      <c r="Q127" s="134">
        <f>SUMPRODUCT(-('Gastos Gerais'!$B$4:$B$3143=Analítico!$B127),-(Analítico!Q$3&gt;='Gastos Gerais'!$D$4:$D$3143),-(Analítico!Q$3&lt;='Gastos Gerais'!$E$4:$E$3143),-('Gastos Gerais'!$C$4:$C$3143))</f>
        <v>17850</v>
      </c>
      <c r="R127" s="134">
        <f>SUMPRODUCT(-('Gastos Gerais'!$B$4:$B$3143=Analítico!$B127),-(Analítico!R$3&gt;='Gastos Gerais'!$D$4:$D$3143),-(Analítico!R$3&lt;='Gastos Gerais'!$E$4:$E$3143),-('Gastos Gerais'!$C$4:$C$3143))</f>
        <v>17850</v>
      </c>
      <c r="S127" s="134">
        <f>SUMPRODUCT(-('Gastos Gerais'!$B$4:$B$3143=Analítico!$B127),-(Analítico!S$3&gt;='Gastos Gerais'!$D$4:$D$3143),-(Analítico!S$3&lt;='Gastos Gerais'!$E$4:$E$3143),-('Gastos Gerais'!$C$4:$C$3143))</f>
        <v>17850</v>
      </c>
      <c r="T127" s="134">
        <f>SUMPRODUCT(-('Gastos Gerais'!$B$4:$B$3143=Analítico!$B127),-(Analítico!T$3&gt;='Gastos Gerais'!$D$4:$D$3143),-(Analítico!T$3&lt;='Gastos Gerais'!$E$4:$E$3143),-('Gastos Gerais'!$C$4:$C$3143))</f>
        <v>17850</v>
      </c>
      <c r="U127" s="134">
        <f>SUMPRODUCT(-('Gastos Gerais'!$B$4:$B$3143=Analítico!$B127),-(Analítico!U$3&gt;='Gastos Gerais'!$D$4:$D$3143),-(Analítico!U$3&lt;='Gastos Gerais'!$E$4:$E$3143),-('Gastos Gerais'!$C$4:$C$3143))</f>
        <v>17850</v>
      </c>
      <c r="V127" s="134">
        <f>SUMPRODUCT(-('Gastos Gerais'!$B$4:$B$3143=Analítico!$B127),-(Analítico!V$3&gt;='Gastos Gerais'!$D$4:$D$3143),-(Analítico!V$3&lt;='Gastos Gerais'!$E$4:$E$3143),-('Gastos Gerais'!$C$4:$C$3143))</f>
        <v>17850</v>
      </c>
      <c r="W127" s="134">
        <f>SUMPRODUCT(-('Gastos Gerais'!$B$4:$B$3143=Analítico!$B127),-(Analítico!W$3&gt;='Gastos Gerais'!$D$4:$D$3143),-(Analítico!W$3&lt;='Gastos Gerais'!$E$4:$E$3143),-('Gastos Gerais'!$C$4:$C$3143))</f>
        <v>17850</v>
      </c>
      <c r="X127" s="134">
        <f>SUMPRODUCT(-('Gastos Gerais'!$B$4:$B$3143=Analítico!$B127),-(Analítico!X$3&gt;='Gastos Gerais'!$D$4:$D$3143),-(Analítico!X$3&lt;='Gastos Gerais'!$E$4:$E$3143),-('Gastos Gerais'!$C$4:$C$3143))</f>
        <v>17850</v>
      </c>
      <c r="Y127" s="134">
        <f>SUMPRODUCT(-('Gastos Gerais'!$B$4:$B$3143=Analítico!$B127),-(Analítico!Y$3&gt;='Gastos Gerais'!$D$4:$D$3143),-(Analítico!Y$3&lt;='Gastos Gerais'!$E$4:$E$3143),-('Gastos Gerais'!$C$4:$C$3143))</f>
        <v>17850</v>
      </c>
      <c r="Z127" s="134">
        <f>SUMPRODUCT(-('Gastos Gerais'!$B$4:$B$3143=Analítico!$B127),-(Analítico!Z$3&gt;='Gastos Gerais'!$D$4:$D$3143),-(Analítico!Z$3&lt;='Gastos Gerais'!$E$4:$E$3143),-('Gastos Gerais'!$C$4:$C$3143))</f>
        <v>17850</v>
      </c>
      <c r="AA127" s="134">
        <f>SUMPRODUCT(-('Gastos Gerais'!$B$4:$B$3143=Analítico!$B127),-(Analítico!AA$3&gt;='Gastos Gerais'!$D$4:$D$3143),-(Analítico!AA$3&lt;='Gastos Gerais'!$E$4:$E$3143),-('Gastos Gerais'!$C$4:$C$3143))</f>
        <v>17850</v>
      </c>
      <c r="AB127" s="134">
        <f>SUMPRODUCT(-('Gastos Gerais'!$B$4:$B$3143=Analítico!$B127),-(Analítico!AB$3&gt;='Gastos Gerais'!$D$4:$D$3143),-(Analítico!AB$3&lt;='Gastos Gerais'!$E$4:$E$3143),-('Gastos Gerais'!$C$4:$C$3143))</f>
        <v>17850</v>
      </c>
      <c r="AC127" s="134">
        <f>SUMPRODUCT(-('Gastos Gerais'!$B$4:$B$3143=Analítico!$B127),-(Analítico!AC$3&gt;='Gastos Gerais'!$D$4:$D$3143),-(Analítico!AC$3&lt;='Gastos Gerais'!$E$4:$E$3143),-('Gastos Gerais'!$C$4:$C$3143))</f>
        <v>17850</v>
      </c>
      <c r="AD127" s="134">
        <f>SUMPRODUCT(-('Gastos Gerais'!$B$4:$B$3143=Analítico!$B127),-(Analítico!AD$3&gt;='Gastos Gerais'!$D$4:$D$3143),-(Analítico!AD$3&lt;='Gastos Gerais'!$E$4:$E$3143),-('Gastos Gerais'!$C$4:$C$3143))</f>
        <v>17850</v>
      </c>
      <c r="AE127" s="134">
        <f>SUMPRODUCT(-('Gastos Gerais'!$B$4:$B$3143=Analítico!$B127),-(Analítico!AE$3&gt;='Gastos Gerais'!$D$4:$D$3143),-(Analítico!AE$3&lt;='Gastos Gerais'!$E$4:$E$3143),-('Gastos Gerais'!$C$4:$C$3143))</f>
        <v>17850</v>
      </c>
      <c r="AF127" s="134">
        <f>SUMPRODUCT(-('Gastos Gerais'!$B$4:$B$3143=Analítico!$B127),-(Analítico!AF$3&gt;='Gastos Gerais'!$D$4:$D$3143),-(Analítico!AF$3&lt;='Gastos Gerais'!$E$4:$E$3143),-('Gastos Gerais'!$C$4:$C$3143))</f>
        <v>17850</v>
      </c>
      <c r="AG127" s="134">
        <f>SUMPRODUCT(-('Gastos Gerais'!$B$4:$B$3143=Analítico!$B127),-(Analítico!AG$3&gt;='Gastos Gerais'!$D$4:$D$3143),-(Analítico!AG$3&lt;='Gastos Gerais'!$E$4:$E$3143),-('Gastos Gerais'!$C$4:$C$3143))</f>
        <v>17850</v>
      </c>
      <c r="AH127" s="134">
        <f>SUMPRODUCT(-('Gastos Gerais'!$B$4:$B$3143=Analítico!$B127),-(Analítico!AH$3&gt;='Gastos Gerais'!$D$4:$D$3143),-(Analítico!AH$3&lt;='Gastos Gerais'!$E$4:$E$3143),-('Gastos Gerais'!$C$4:$C$3143))</f>
        <v>17850</v>
      </c>
      <c r="AI127" s="134">
        <f>SUMPRODUCT(-('Gastos Gerais'!$B$4:$B$3143=Analítico!$B127),-(Analítico!AI$3&gt;='Gastos Gerais'!$D$4:$D$3143),-(Analítico!AI$3&lt;='Gastos Gerais'!$E$4:$E$3143),-('Gastos Gerais'!$C$4:$C$3143))</f>
        <v>17850</v>
      </c>
      <c r="AJ127" s="134">
        <f>SUMPRODUCT(-('Gastos Gerais'!$B$4:$B$3143=Analítico!$B127),-(Analítico!AJ$3&gt;='Gastos Gerais'!$D$4:$D$3143),-(Analítico!AJ$3&lt;='Gastos Gerais'!$E$4:$E$3143),-('Gastos Gerais'!$C$4:$C$3143))</f>
        <v>17850</v>
      </c>
      <c r="AK127" s="134">
        <f>SUMPRODUCT(-('Gastos Gerais'!$B$4:$B$3143=Analítico!$B127),-(Analítico!AK$3&gt;='Gastos Gerais'!$D$4:$D$3143),-(Analítico!AK$3&lt;='Gastos Gerais'!$E$4:$E$3143),-('Gastos Gerais'!$C$4:$C$3143))</f>
        <v>17850</v>
      </c>
      <c r="AL127" s="134">
        <f>SUMPRODUCT(-('Gastos Gerais'!$B$4:$B$3143=Analítico!$B127),-(Analítico!AL$3&gt;='Gastos Gerais'!$D$4:$D$3143),-(Analítico!AL$3&lt;='Gastos Gerais'!$E$4:$E$3143),-('Gastos Gerais'!$C$4:$C$3143))</f>
        <v>17850</v>
      </c>
      <c r="AM127" s="134">
        <f>SUMPRODUCT(-('Gastos Gerais'!$B$4:$B$3143=Analítico!$B127),-(Analítico!AM$3&gt;='Gastos Gerais'!$D$4:$D$3143),-(Analítico!AM$3&lt;='Gastos Gerais'!$E$4:$E$3143),-('Gastos Gerais'!$C$4:$C$3143))</f>
        <v>17850</v>
      </c>
      <c r="AN127" s="134">
        <f>SUMPRODUCT(-('Gastos Gerais'!$B$4:$B$3143=Analítico!$B127),-(Analítico!AN$3&gt;='Gastos Gerais'!$D$4:$D$3143),-(Analítico!AN$3&lt;='Gastos Gerais'!$E$4:$E$3143),-('Gastos Gerais'!$C$4:$C$3143))</f>
        <v>17850</v>
      </c>
      <c r="AO127" s="134">
        <f>SUMPRODUCT(-('Gastos Gerais'!$B$4:$B$3143=Analítico!$B127),-(Analítico!AO$3&gt;='Gastos Gerais'!$D$4:$D$3143),-(Analítico!AO$3&lt;='Gastos Gerais'!$E$4:$E$3143),-('Gastos Gerais'!$C$4:$C$3143))</f>
        <v>17850</v>
      </c>
      <c r="AP127" s="134">
        <f>SUMPRODUCT(-('Gastos Gerais'!$B$4:$B$3143=Analítico!$B127),-(Analítico!AP$3&gt;='Gastos Gerais'!$D$4:$D$3143),-(Analítico!AP$3&lt;='Gastos Gerais'!$E$4:$E$3143),-('Gastos Gerais'!$C$4:$C$3143))</f>
        <v>17850</v>
      </c>
      <c r="AQ127" s="134">
        <f>SUMPRODUCT(-('Gastos Gerais'!$B$4:$B$3143=Analítico!$B127),-(Analítico!AQ$3&gt;='Gastos Gerais'!$D$4:$D$3143),-(Analítico!AQ$3&lt;='Gastos Gerais'!$E$4:$E$3143),-('Gastos Gerais'!$C$4:$C$3143))</f>
        <v>17850</v>
      </c>
      <c r="AR127" s="134">
        <f>SUMPRODUCT(-('Gastos Gerais'!$B$4:$B$3143=Analítico!$B127),-(Analítico!AR$3&gt;='Gastos Gerais'!$D$4:$D$3143),-(Analítico!AR$3&lt;='Gastos Gerais'!$E$4:$E$3143),-('Gastos Gerais'!$C$4:$C$3143))</f>
        <v>17850</v>
      </c>
      <c r="AS127" s="134">
        <f>SUMPRODUCT(-('Gastos Gerais'!$B$4:$B$3143=Analítico!$B127),-(Analítico!AS$3&gt;='Gastos Gerais'!$D$4:$D$3143),-(Analítico!AS$3&lt;='Gastos Gerais'!$E$4:$E$3143),-('Gastos Gerais'!$C$4:$C$3143))</f>
        <v>17850</v>
      </c>
      <c r="AT127" s="134">
        <f>SUMPRODUCT(-('Gastos Gerais'!$B$4:$B$3143=Analítico!$B127),-(Analítico!AT$3&gt;='Gastos Gerais'!$D$4:$D$3143),-(Analítico!AT$3&lt;='Gastos Gerais'!$E$4:$E$3143),-('Gastos Gerais'!$C$4:$C$3143))</f>
        <v>17850</v>
      </c>
      <c r="AU127" s="134">
        <f>SUMPRODUCT(-('Gastos Gerais'!$B$4:$B$3143=Analítico!$B127),-(Analítico!AU$3&gt;='Gastos Gerais'!$D$4:$D$3143),-(Analítico!AU$3&lt;='Gastos Gerais'!$E$4:$E$3143),-('Gastos Gerais'!$C$4:$C$3143))</f>
        <v>17850</v>
      </c>
      <c r="AV127" s="134">
        <f>SUMPRODUCT(-('Gastos Gerais'!$B$4:$B$3143=Analítico!$B127),-(Analítico!AV$3&gt;='Gastos Gerais'!$D$4:$D$3143),-(Analítico!AV$3&lt;='Gastos Gerais'!$E$4:$E$3143),-('Gastos Gerais'!$C$4:$C$3143))</f>
        <v>17850</v>
      </c>
      <c r="AW127" s="134">
        <f>SUMPRODUCT(-('Gastos Gerais'!$B$4:$B$3143=Analítico!$B127),-(Analítico!AW$3&gt;='Gastos Gerais'!$D$4:$D$3143),-(Analítico!AW$3&lt;='Gastos Gerais'!$E$4:$E$3143),-('Gastos Gerais'!$C$4:$C$3143))</f>
        <v>17850</v>
      </c>
      <c r="AX127" s="134">
        <f>SUMPRODUCT(-('Gastos Gerais'!$B$4:$B$3143=Analítico!$B127),-(Analítico!AX$3&gt;='Gastos Gerais'!$D$4:$D$3143),-(Analítico!AX$3&lt;='Gastos Gerais'!$E$4:$E$3143),-('Gastos Gerais'!$C$4:$C$3143))</f>
        <v>0</v>
      </c>
      <c r="AY127" s="134">
        <f>SUMPRODUCT(-('Gastos Gerais'!$B$4:$B$3143=Analítico!$B127),-(Analítico!AY$3&gt;='Gastos Gerais'!$D$4:$D$3143),-(Analítico!AY$3&lt;='Gastos Gerais'!$E$4:$E$3143),-('Gastos Gerais'!$C$4:$C$3143))</f>
        <v>0</v>
      </c>
      <c r="AZ127" s="134">
        <f>SUMPRODUCT(-('Gastos Gerais'!$B$4:$B$3143=Analítico!$B127),-(Analítico!AZ$3&gt;='Gastos Gerais'!$D$4:$D$3143),-(Analítico!AZ$3&lt;='Gastos Gerais'!$E$4:$E$3143),-('Gastos Gerais'!$C$4:$C$3143))</f>
        <v>0</v>
      </c>
      <c r="BA127" s="134">
        <f>SUMPRODUCT(-('Gastos Gerais'!$B$4:$B$3143=Analítico!$B127),-(Analítico!BA$3&gt;='Gastos Gerais'!$D$4:$D$3143),-(Analítico!BA$3&lt;='Gastos Gerais'!$E$4:$E$3143),-('Gastos Gerais'!$C$4:$C$3143))</f>
        <v>0</v>
      </c>
      <c r="BB127" s="134">
        <f>SUMPRODUCT(-('Gastos Gerais'!$B$4:$B$3143=Analítico!$B127),-(Analítico!BB$3&gt;='Gastos Gerais'!$D$4:$D$3143),-(Analítico!BB$3&lt;='Gastos Gerais'!$E$4:$E$3143),-('Gastos Gerais'!$C$4:$C$3143))</f>
        <v>0</v>
      </c>
      <c r="BC127" s="134">
        <f>SUMPRODUCT(-('Gastos Gerais'!$B$4:$B$3143=Analítico!$B127),-(Analítico!BC$3&gt;='Gastos Gerais'!$D$4:$D$3143),-(Analítico!BC$3&lt;='Gastos Gerais'!$E$4:$E$3143),-('Gastos Gerais'!$C$4:$C$3143))</f>
        <v>0</v>
      </c>
      <c r="BD127" s="134">
        <f>SUMPRODUCT(-('Gastos Gerais'!$B$4:$B$3143=Analítico!$B127),-(Analítico!BD$3&gt;='Gastos Gerais'!$D$4:$D$3143),-(Analítico!BD$3&lt;='Gastos Gerais'!$E$4:$E$3143),-('Gastos Gerais'!$C$4:$C$3143))</f>
        <v>0</v>
      </c>
      <c r="BE127" s="134">
        <f>SUMPRODUCT(-('Gastos Gerais'!$B$4:$B$3143=Analítico!$B127),-(Analítico!BE$3&gt;='Gastos Gerais'!$D$4:$D$3143),-(Analítico!BE$3&lt;='Gastos Gerais'!$E$4:$E$3143),-('Gastos Gerais'!$C$4:$C$3143))</f>
        <v>0</v>
      </c>
      <c r="BF127" s="134">
        <f>SUMPRODUCT(-('Gastos Gerais'!$B$4:$B$3143=Analítico!$B127),-(Analítico!BF$3&gt;='Gastos Gerais'!$D$4:$D$3143),-(Analítico!BF$3&lt;='Gastos Gerais'!$E$4:$E$3143),-('Gastos Gerais'!$C$4:$C$3143))</f>
        <v>0</v>
      </c>
      <c r="BG127" s="134">
        <f>SUMPRODUCT(-('Gastos Gerais'!$B$4:$B$3143=Analítico!$B127),-(Analítico!BG$3&gt;='Gastos Gerais'!$D$4:$D$3143),-(Analítico!BG$3&lt;='Gastos Gerais'!$E$4:$E$3143),-('Gastos Gerais'!$C$4:$C$3143))</f>
        <v>0</v>
      </c>
      <c r="BH127" s="134">
        <f>SUMPRODUCT(-('Gastos Gerais'!$B$4:$B$3143=Analítico!$B127),-(Analítico!BH$3&gt;='Gastos Gerais'!$D$4:$D$3143),-(Analítico!BH$3&lt;='Gastos Gerais'!$E$4:$E$3143),-('Gastos Gerais'!$C$4:$C$3143))</f>
        <v>0</v>
      </c>
      <c r="BI127" s="134">
        <f>SUMPRODUCT(-('Gastos Gerais'!$B$4:$B$3143=Analítico!$B127),-(Analítico!BI$3&gt;='Gastos Gerais'!$D$4:$D$3143),-(Analítico!BI$3&lt;='Gastos Gerais'!$E$4:$E$3143),-('Gastos Gerais'!$C$4:$C$3143))</f>
        <v>0</v>
      </c>
      <c r="BJ127" s="134">
        <f>SUMPRODUCT(-('Gastos Gerais'!$B$4:$B$3143=Analítico!$B127),-(Analítico!BJ$3&gt;='Gastos Gerais'!$D$4:$D$3143),-(Analítico!BJ$3&lt;='Gastos Gerais'!$E$4:$E$3143),-('Gastos Gerais'!$C$4:$C$3143))</f>
        <v>0</v>
      </c>
      <c r="BK127" s="189">
        <f t="shared" si="28"/>
        <v>821950</v>
      </c>
      <c r="BL127" s="136">
        <f t="shared" ca="1" si="29"/>
        <v>2.8299722959703325E-3</v>
      </c>
    </row>
    <row r="128" spans="1:64" s="160" customFormat="1" ht="23.25" customHeight="1">
      <c r="A128" s="229" t="s">
        <v>634</v>
      </c>
      <c r="B128" s="232" t="s">
        <v>623</v>
      </c>
      <c r="C128" s="188">
        <f>SUMPRODUCT(-('Gastos Gerais'!$B$4:$B$3143=Analítico!$B128),-(Analítico!C$3&gt;='Gastos Gerais'!$D$4:$D$3143),-(Analítico!C$3&lt;='Gastos Gerais'!$E$4:$E$3143),-('Gastos Gerais'!$C$4:$C$3143))</f>
        <v>10650</v>
      </c>
      <c r="D128" s="134">
        <f>SUMPRODUCT(-('Gastos Gerais'!$B$4:$B$3143=Analítico!$B128),-(Analítico!D$3&gt;='Gastos Gerais'!$D$4:$D$3143),-(Analítico!D$3&lt;='Gastos Gerais'!$E$4:$E$3143),-('Gastos Gerais'!$C$4:$C$3143))</f>
        <v>10650</v>
      </c>
      <c r="E128" s="134">
        <f>SUMPRODUCT(-('Gastos Gerais'!$B$4:$B$3143=Analítico!$B128),-(Analítico!E$3&gt;='Gastos Gerais'!$D$4:$D$3143),-(Analítico!E$3&lt;='Gastos Gerais'!$E$4:$E$3143),-('Gastos Gerais'!$C$4:$C$3143))</f>
        <v>11300</v>
      </c>
      <c r="F128" s="134">
        <f>SUMPRODUCT(-('Gastos Gerais'!$B$4:$B$3143=Analítico!$B128),-(Analítico!F$3&gt;='Gastos Gerais'!$D$4:$D$3143),-(Analítico!F$3&lt;='Gastos Gerais'!$E$4:$E$3143),-('Gastos Gerais'!$C$4:$C$3143))</f>
        <v>11950</v>
      </c>
      <c r="G128" s="134">
        <f>SUMPRODUCT(-('Gastos Gerais'!$B$4:$B$3143=Analítico!$B128),-(Analítico!G$3&gt;='Gastos Gerais'!$D$4:$D$3143),-(Analítico!G$3&lt;='Gastos Gerais'!$E$4:$E$3143),-('Gastos Gerais'!$C$4:$C$3143))</f>
        <v>11950</v>
      </c>
      <c r="H128" s="134">
        <f>SUMPRODUCT(-('Gastos Gerais'!$B$4:$B$3143=Analítico!$B128),-(Analítico!H$3&gt;='Gastos Gerais'!$D$4:$D$3143),-(Analítico!H$3&lt;='Gastos Gerais'!$E$4:$E$3143),-('Gastos Gerais'!$C$4:$C$3143))</f>
        <v>11950</v>
      </c>
      <c r="I128" s="134">
        <f>SUMPRODUCT(-('Gastos Gerais'!$B$4:$B$3143=Analítico!$B128),-(Analítico!I$3&gt;='Gastos Gerais'!$D$4:$D$3143),-(Analítico!I$3&lt;='Gastos Gerais'!$E$4:$E$3143),-('Gastos Gerais'!$C$4:$C$3143))</f>
        <v>12600</v>
      </c>
      <c r="J128" s="134">
        <f>SUMPRODUCT(-('Gastos Gerais'!$B$4:$B$3143=Analítico!$B128),-(Analítico!J$3&gt;='Gastos Gerais'!$D$4:$D$3143),-(Analítico!J$3&lt;='Gastos Gerais'!$E$4:$E$3143),-('Gastos Gerais'!$C$4:$C$3143))</f>
        <v>12600</v>
      </c>
      <c r="K128" s="134">
        <f>SUMPRODUCT(-('Gastos Gerais'!$B$4:$B$3143=Analítico!$B128),-(Analítico!K$3&gt;='Gastos Gerais'!$D$4:$D$3143),-(Analítico!K$3&lt;='Gastos Gerais'!$E$4:$E$3143),-('Gastos Gerais'!$C$4:$C$3143))</f>
        <v>12600</v>
      </c>
      <c r="L128" s="134">
        <f>SUMPRODUCT(-('Gastos Gerais'!$B$4:$B$3143=Analítico!$B128),-(Analítico!L$3&gt;='Gastos Gerais'!$D$4:$D$3143),-(Analítico!L$3&lt;='Gastos Gerais'!$E$4:$E$3143),-('Gastos Gerais'!$C$4:$C$3143))</f>
        <v>13250</v>
      </c>
      <c r="M128" s="134">
        <f>SUMPRODUCT(-('Gastos Gerais'!$B$4:$B$3143=Analítico!$B128),-(Analítico!M$3&gt;='Gastos Gerais'!$D$4:$D$3143),-(Analítico!M$3&lt;='Gastos Gerais'!$E$4:$E$3143),-('Gastos Gerais'!$C$4:$C$3143))</f>
        <v>13250</v>
      </c>
      <c r="N128" s="134">
        <f>SUMPRODUCT(-('Gastos Gerais'!$B$4:$B$3143=Analítico!$B128),-(Analítico!N$3&gt;='Gastos Gerais'!$D$4:$D$3143),-(Analítico!N$3&lt;='Gastos Gerais'!$E$4:$E$3143),-('Gastos Gerais'!$C$4:$C$3143))</f>
        <v>13900</v>
      </c>
      <c r="O128" s="134">
        <f>SUMPRODUCT(-('Gastos Gerais'!$B$4:$B$3143=Analítico!$B128),-(Analítico!O$3&gt;='Gastos Gerais'!$D$4:$D$3143),-(Analítico!O$3&lt;='Gastos Gerais'!$E$4:$E$3143),-('Gastos Gerais'!$C$4:$C$3143))</f>
        <v>13900</v>
      </c>
      <c r="P128" s="134">
        <f>SUMPRODUCT(-('Gastos Gerais'!$B$4:$B$3143=Analítico!$B128),-(Analítico!P$3&gt;='Gastos Gerais'!$D$4:$D$3143),-(Analítico!P$3&lt;='Gastos Gerais'!$E$4:$E$3143),-('Gastos Gerais'!$C$4:$C$3143))</f>
        <v>13900</v>
      </c>
      <c r="Q128" s="134">
        <f>SUMPRODUCT(-('Gastos Gerais'!$B$4:$B$3143=Analítico!$B128),-(Analítico!Q$3&gt;='Gastos Gerais'!$D$4:$D$3143),-(Analítico!Q$3&lt;='Gastos Gerais'!$E$4:$E$3143),-('Gastos Gerais'!$C$4:$C$3143))</f>
        <v>13900</v>
      </c>
      <c r="R128" s="134">
        <f>SUMPRODUCT(-('Gastos Gerais'!$B$4:$B$3143=Analítico!$B128),-(Analítico!R$3&gt;='Gastos Gerais'!$D$4:$D$3143),-(Analítico!R$3&lt;='Gastos Gerais'!$E$4:$E$3143),-('Gastos Gerais'!$C$4:$C$3143))</f>
        <v>13900</v>
      </c>
      <c r="S128" s="134">
        <f>SUMPRODUCT(-('Gastos Gerais'!$B$4:$B$3143=Analítico!$B128),-(Analítico!S$3&gt;='Gastos Gerais'!$D$4:$D$3143),-(Analítico!S$3&lt;='Gastos Gerais'!$E$4:$E$3143),-('Gastos Gerais'!$C$4:$C$3143))</f>
        <v>13900</v>
      </c>
      <c r="T128" s="134">
        <f>SUMPRODUCT(-('Gastos Gerais'!$B$4:$B$3143=Analítico!$B128),-(Analítico!T$3&gt;='Gastos Gerais'!$D$4:$D$3143),-(Analítico!T$3&lt;='Gastos Gerais'!$E$4:$E$3143),-('Gastos Gerais'!$C$4:$C$3143))</f>
        <v>13900</v>
      </c>
      <c r="U128" s="134">
        <f>SUMPRODUCT(-('Gastos Gerais'!$B$4:$B$3143=Analítico!$B128),-(Analítico!U$3&gt;='Gastos Gerais'!$D$4:$D$3143),-(Analítico!U$3&lt;='Gastos Gerais'!$E$4:$E$3143),-('Gastos Gerais'!$C$4:$C$3143))</f>
        <v>13900</v>
      </c>
      <c r="V128" s="134">
        <f>SUMPRODUCT(-('Gastos Gerais'!$B$4:$B$3143=Analítico!$B128),-(Analítico!V$3&gt;='Gastos Gerais'!$D$4:$D$3143),-(Analítico!V$3&lt;='Gastos Gerais'!$E$4:$E$3143),-('Gastos Gerais'!$C$4:$C$3143))</f>
        <v>13900</v>
      </c>
      <c r="W128" s="134">
        <f>SUMPRODUCT(-('Gastos Gerais'!$B$4:$B$3143=Analítico!$B128),-(Analítico!W$3&gt;='Gastos Gerais'!$D$4:$D$3143),-(Analítico!W$3&lt;='Gastos Gerais'!$E$4:$E$3143),-('Gastos Gerais'!$C$4:$C$3143))</f>
        <v>13900</v>
      </c>
      <c r="X128" s="134">
        <f>SUMPRODUCT(-('Gastos Gerais'!$B$4:$B$3143=Analítico!$B128),-(Analítico!X$3&gt;='Gastos Gerais'!$D$4:$D$3143),-(Analítico!X$3&lt;='Gastos Gerais'!$E$4:$E$3143),-('Gastos Gerais'!$C$4:$C$3143))</f>
        <v>13900</v>
      </c>
      <c r="Y128" s="134">
        <f>SUMPRODUCT(-('Gastos Gerais'!$B$4:$B$3143=Analítico!$B128),-(Analítico!Y$3&gt;='Gastos Gerais'!$D$4:$D$3143),-(Analítico!Y$3&lt;='Gastos Gerais'!$E$4:$E$3143),-('Gastos Gerais'!$C$4:$C$3143))</f>
        <v>13900</v>
      </c>
      <c r="Z128" s="134">
        <f>SUMPRODUCT(-('Gastos Gerais'!$B$4:$B$3143=Analítico!$B128),-(Analítico!Z$3&gt;='Gastos Gerais'!$D$4:$D$3143),-(Analítico!Z$3&lt;='Gastos Gerais'!$E$4:$E$3143),-('Gastos Gerais'!$C$4:$C$3143))</f>
        <v>13900</v>
      </c>
      <c r="AA128" s="134">
        <f>SUMPRODUCT(-('Gastos Gerais'!$B$4:$B$3143=Analítico!$B128),-(Analítico!AA$3&gt;='Gastos Gerais'!$D$4:$D$3143),-(Analítico!AA$3&lt;='Gastos Gerais'!$E$4:$E$3143),-('Gastos Gerais'!$C$4:$C$3143))</f>
        <v>13900</v>
      </c>
      <c r="AB128" s="134">
        <f>SUMPRODUCT(-('Gastos Gerais'!$B$4:$B$3143=Analítico!$B128),-(Analítico!AB$3&gt;='Gastos Gerais'!$D$4:$D$3143),-(Analítico!AB$3&lt;='Gastos Gerais'!$E$4:$E$3143),-('Gastos Gerais'!$C$4:$C$3143))</f>
        <v>13900</v>
      </c>
      <c r="AC128" s="134">
        <f>SUMPRODUCT(-('Gastos Gerais'!$B$4:$B$3143=Analítico!$B128),-(Analítico!AC$3&gt;='Gastos Gerais'!$D$4:$D$3143),-(Analítico!AC$3&lt;='Gastos Gerais'!$E$4:$E$3143),-('Gastos Gerais'!$C$4:$C$3143))</f>
        <v>13900</v>
      </c>
      <c r="AD128" s="134">
        <f>SUMPRODUCT(-('Gastos Gerais'!$B$4:$B$3143=Analítico!$B128),-(Analítico!AD$3&gt;='Gastos Gerais'!$D$4:$D$3143),-(Analítico!AD$3&lt;='Gastos Gerais'!$E$4:$E$3143),-('Gastos Gerais'!$C$4:$C$3143))</f>
        <v>13900</v>
      </c>
      <c r="AE128" s="134">
        <f>SUMPRODUCT(-('Gastos Gerais'!$B$4:$B$3143=Analítico!$B128),-(Analítico!AE$3&gt;='Gastos Gerais'!$D$4:$D$3143),-(Analítico!AE$3&lt;='Gastos Gerais'!$E$4:$E$3143),-('Gastos Gerais'!$C$4:$C$3143))</f>
        <v>13900</v>
      </c>
      <c r="AF128" s="134">
        <f>SUMPRODUCT(-('Gastos Gerais'!$B$4:$B$3143=Analítico!$B128),-(Analítico!AF$3&gt;='Gastos Gerais'!$D$4:$D$3143),-(Analítico!AF$3&lt;='Gastos Gerais'!$E$4:$E$3143),-('Gastos Gerais'!$C$4:$C$3143))</f>
        <v>13900</v>
      </c>
      <c r="AG128" s="134">
        <f>SUMPRODUCT(-('Gastos Gerais'!$B$4:$B$3143=Analítico!$B128),-(Analítico!AG$3&gt;='Gastos Gerais'!$D$4:$D$3143),-(Analítico!AG$3&lt;='Gastos Gerais'!$E$4:$E$3143),-('Gastos Gerais'!$C$4:$C$3143))</f>
        <v>13900</v>
      </c>
      <c r="AH128" s="134">
        <f>SUMPRODUCT(-('Gastos Gerais'!$B$4:$B$3143=Analítico!$B128),-(Analítico!AH$3&gt;='Gastos Gerais'!$D$4:$D$3143),-(Analítico!AH$3&lt;='Gastos Gerais'!$E$4:$E$3143),-('Gastos Gerais'!$C$4:$C$3143))</f>
        <v>13900</v>
      </c>
      <c r="AI128" s="134">
        <f>SUMPRODUCT(-('Gastos Gerais'!$B$4:$B$3143=Analítico!$B128),-(Analítico!AI$3&gt;='Gastos Gerais'!$D$4:$D$3143),-(Analítico!AI$3&lt;='Gastos Gerais'!$E$4:$E$3143),-('Gastos Gerais'!$C$4:$C$3143))</f>
        <v>13900</v>
      </c>
      <c r="AJ128" s="134">
        <f>SUMPRODUCT(-('Gastos Gerais'!$B$4:$B$3143=Analítico!$B128),-(Analítico!AJ$3&gt;='Gastos Gerais'!$D$4:$D$3143),-(Analítico!AJ$3&lt;='Gastos Gerais'!$E$4:$E$3143),-('Gastos Gerais'!$C$4:$C$3143))</f>
        <v>13900</v>
      </c>
      <c r="AK128" s="134">
        <f>SUMPRODUCT(-('Gastos Gerais'!$B$4:$B$3143=Analítico!$B128),-(Analítico!AK$3&gt;='Gastos Gerais'!$D$4:$D$3143),-(Analítico!AK$3&lt;='Gastos Gerais'!$E$4:$E$3143),-('Gastos Gerais'!$C$4:$C$3143))</f>
        <v>13900</v>
      </c>
      <c r="AL128" s="134">
        <f>SUMPRODUCT(-('Gastos Gerais'!$B$4:$B$3143=Analítico!$B128),-(Analítico!AL$3&gt;='Gastos Gerais'!$D$4:$D$3143),-(Analítico!AL$3&lt;='Gastos Gerais'!$E$4:$E$3143),-('Gastos Gerais'!$C$4:$C$3143))</f>
        <v>13900</v>
      </c>
      <c r="AM128" s="134">
        <f>SUMPRODUCT(-('Gastos Gerais'!$B$4:$B$3143=Analítico!$B128),-(Analítico!AM$3&gt;='Gastos Gerais'!$D$4:$D$3143),-(Analítico!AM$3&lt;='Gastos Gerais'!$E$4:$E$3143),-('Gastos Gerais'!$C$4:$C$3143))</f>
        <v>13900</v>
      </c>
      <c r="AN128" s="134">
        <f>SUMPRODUCT(-('Gastos Gerais'!$B$4:$B$3143=Analítico!$B128),-(Analítico!AN$3&gt;='Gastos Gerais'!$D$4:$D$3143),-(Analítico!AN$3&lt;='Gastos Gerais'!$E$4:$E$3143),-('Gastos Gerais'!$C$4:$C$3143))</f>
        <v>13900</v>
      </c>
      <c r="AO128" s="134">
        <f>SUMPRODUCT(-('Gastos Gerais'!$B$4:$B$3143=Analítico!$B128),-(Analítico!AO$3&gt;='Gastos Gerais'!$D$4:$D$3143),-(Analítico!AO$3&lt;='Gastos Gerais'!$E$4:$E$3143),-('Gastos Gerais'!$C$4:$C$3143))</f>
        <v>0</v>
      </c>
      <c r="AP128" s="134">
        <f>SUMPRODUCT(-('Gastos Gerais'!$B$4:$B$3143=Analítico!$B128),-(Analítico!AP$3&gt;='Gastos Gerais'!$D$4:$D$3143),-(Analítico!AP$3&lt;='Gastos Gerais'!$E$4:$E$3143),-('Gastos Gerais'!$C$4:$C$3143))</f>
        <v>0</v>
      </c>
      <c r="AQ128" s="134">
        <f>SUMPRODUCT(-('Gastos Gerais'!$B$4:$B$3143=Analítico!$B128),-(Analítico!AQ$3&gt;='Gastos Gerais'!$D$4:$D$3143),-(Analítico!AQ$3&lt;='Gastos Gerais'!$E$4:$E$3143),-('Gastos Gerais'!$C$4:$C$3143))</f>
        <v>0</v>
      </c>
      <c r="AR128" s="134">
        <f>SUMPRODUCT(-('Gastos Gerais'!$B$4:$B$3143=Analítico!$B128),-(Analítico!AR$3&gt;='Gastos Gerais'!$D$4:$D$3143),-(Analítico!AR$3&lt;='Gastos Gerais'!$E$4:$E$3143),-('Gastos Gerais'!$C$4:$C$3143))</f>
        <v>0</v>
      </c>
      <c r="AS128" s="134">
        <f>SUMPRODUCT(-('Gastos Gerais'!$B$4:$B$3143=Analítico!$B128),-(Analítico!AS$3&gt;='Gastos Gerais'!$D$4:$D$3143),-(Analítico!AS$3&lt;='Gastos Gerais'!$E$4:$E$3143),-('Gastos Gerais'!$C$4:$C$3143))</f>
        <v>0</v>
      </c>
      <c r="AT128" s="134">
        <f>SUMPRODUCT(-('Gastos Gerais'!$B$4:$B$3143=Analítico!$B128),-(Analítico!AT$3&gt;='Gastos Gerais'!$D$4:$D$3143),-(Analítico!AT$3&lt;='Gastos Gerais'!$E$4:$E$3143),-('Gastos Gerais'!$C$4:$C$3143))</f>
        <v>0</v>
      </c>
      <c r="AU128" s="134">
        <f>SUMPRODUCT(-('Gastos Gerais'!$B$4:$B$3143=Analítico!$B128),-(Analítico!AU$3&gt;='Gastos Gerais'!$D$4:$D$3143),-(Analítico!AU$3&lt;='Gastos Gerais'!$E$4:$E$3143),-('Gastos Gerais'!$C$4:$C$3143))</f>
        <v>0</v>
      </c>
      <c r="AV128" s="134">
        <f>SUMPRODUCT(-('Gastos Gerais'!$B$4:$B$3143=Analítico!$B128),-(Analítico!AV$3&gt;='Gastos Gerais'!$D$4:$D$3143),-(Analítico!AV$3&lt;='Gastos Gerais'!$E$4:$E$3143),-('Gastos Gerais'!$C$4:$C$3143))</f>
        <v>0</v>
      </c>
      <c r="AW128" s="134">
        <f>SUMPRODUCT(-('Gastos Gerais'!$B$4:$B$3143=Analítico!$B128),-(Analítico!AW$3&gt;='Gastos Gerais'!$D$4:$D$3143),-(Analítico!AW$3&lt;='Gastos Gerais'!$E$4:$E$3143),-('Gastos Gerais'!$C$4:$C$3143))</f>
        <v>0</v>
      </c>
      <c r="AX128" s="134">
        <f>SUMPRODUCT(-('Gastos Gerais'!$B$4:$B$3143=Analítico!$B128),-(Analítico!AX$3&gt;='Gastos Gerais'!$D$4:$D$3143),-(Analítico!AX$3&lt;='Gastos Gerais'!$E$4:$E$3143),-('Gastos Gerais'!$C$4:$C$3143))</f>
        <v>0</v>
      </c>
      <c r="AY128" s="134">
        <f>SUMPRODUCT(-('Gastos Gerais'!$B$4:$B$3143=Analítico!$B128),-(Analítico!AY$3&gt;='Gastos Gerais'!$D$4:$D$3143),-(Analítico!AY$3&lt;='Gastos Gerais'!$E$4:$E$3143),-('Gastos Gerais'!$C$4:$C$3143))</f>
        <v>0</v>
      </c>
      <c r="AZ128" s="134">
        <f>SUMPRODUCT(-('Gastos Gerais'!$B$4:$B$3143=Analítico!$B128),-(Analítico!AZ$3&gt;='Gastos Gerais'!$D$4:$D$3143),-(Analítico!AZ$3&lt;='Gastos Gerais'!$E$4:$E$3143),-('Gastos Gerais'!$C$4:$C$3143))</f>
        <v>0</v>
      </c>
      <c r="BA128" s="134">
        <f>SUMPRODUCT(-('Gastos Gerais'!$B$4:$B$3143=Analítico!$B128),-(Analítico!BA$3&gt;='Gastos Gerais'!$D$4:$D$3143),-(Analítico!BA$3&lt;='Gastos Gerais'!$E$4:$E$3143),-('Gastos Gerais'!$C$4:$C$3143))</f>
        <v>0</v>
      </c>
      <c r="BB128" s="134">
        <f>SUMPRODUCT(-('Gastos Gerais'!$B$4:$B$3143=Analítico!$B128),-(Analítico!BB$3&gt;='Gastos Gerais'!$D$4:$D$3143),-(Analítico!BB$3&lt;='Gastos Gerais'!$E$4:$E$3143),-('Gastos Gerais'!$C$4:$C$3143))</f>
        <v>0</v>
      </c>
      <c r="BC128" s="134">
        <f>SUMPRODUCT(-('Gastos Gerais'!$B$4:$B$3143=Analítico!$B128),-(Analítico!BC$3&gt;='Gastos Gerais'!$D$4:$D$3143),-(Analítico!BC$3&lt;='Gastos Gerais'!$E$4:$E$3143),-('Gastos Gerais'!$C$4:$C$3143))</f>
        <v>0</v>
      </c>
      <c r="BD128" s="134">
        <f>SUMPRODUCT(-('Gastos Gerais'!$B$4:$B$3143=Analítico!$B128),-(Analítico!BD$3&gt;='Gastos Gerais'!$D$4:$D$3143),-(Analítico!BD$3&lt;='Gastos Gerais'!$E$4:$E$3143),-('Gastos Gerais'!$C$4:$C$3143))</f>
        <v>0</v>
      </c>
      <c r="BE128" s="134">
        <f>SUMPRODUCT(-('Gastos Gerais'!$B$4:$B$3143=Analítico!$B128),-(Analítico!BE$3&gt;='Gastos Gerais'!$D$4:$D$3143),-(Analítico!BE$3&lt;='Gastos Gerais'!$E$4:$E$3143),-('Gastos Gerais'!$C$4:$C$3143))</f>
        <v>0</v>
      </c>
      <c r="BF128" s="134">
        <f>SUMPRODUCT(-('Gastos Gerais'!$B$4:$B$3143=Analítico!$B128),-(Analítico!BF$3&gt;='Gastos Gerais'!$D$4:$D$3143),-(Analítico!BF$3&lt;='Gastos Gerais'!$E$4:$E$3143),-('Gastos Gerais'!$C$4:$C$3143))</f>
        <v>0</v>
      </c>
      <c r="BG128" s="134">
        <f>SUMPRODUCT(-('Gastos Gerais'!$B$4:$B$3143=Analítico!$B128),-(Analítico!BG$3&gt;='Gastos Gerais'!$D$4:$D$3143),-(Analítico!BG$3&lt;='Gastos Gerais'!$E$4:$E$3143),-('Gastos Gerais'!$C$4:$C$3143))</f>
        <v>0</v>
      </c>
      <c r="BH128" s="134">
        <f>SUMPRODUCT(-('Gastos Gerais'!$B$4:$B$3143=Analítico!$B128),-(Analítico!BH$3&gt;='Gastos Gerais'!$D$4:$D$3143),-(Analítico!BH$3&lt;='Gastos Gerais'!$E$4:$E$3143),-('Gastos Gerais'!$C$4:$C$3143))</f>
        <v>0</v>
      </c>
      <c r="BI128" s="134">
        <f>SUMPRODUCT(-('Gastos Gerais'!$B$4:$B$3143=Analítico!$B128),-(Analítico!BI$3&gt;='Gastos Gerais'!$D$4:$D$3143),-(Analítico!BI$3&lt;='Gastos Gerais'!$E$4:$E$3143),-('Gastos Gerais'!$C$4:$C$3143))</f>
        <v>0</v>
      </c>
      <c r="BJ128" s="134">
        <f>SUMPRODUCT(-('Gastos Gerais'!$B$4:$B$3143=Analítico!$B128),-(Analítico!BJ$3&gt;='Gastos Gerais'!$D$4:$D$3143),-(Analítico!BJ$3&lt;='Gastos Gerais'!$E$4:$E$3143),-('Gastos Gerais'!$C$4:$C$3143))</f>
        <v>0</v>
      </c>
      <c r="BK128" s="189">
        <f t="shared" si="28"/>
        <v>508050</v>
      </c>
      <c r="BL128" s="136">
        <f t="shared" ca="1" si="29"/>
        <v>1.7492151894491484E-3</v>
      </c>
    </row>
    <row r="129" spans="1:64" s="160" customFormat="1" ht="23.25" customHeight="1">
      <c r="A129" s="229" t="s">
        <v>635</v>
      </c>
      <c r="B129" s="232" t="s">
        <v>624</v>
      </c>
      <c r="C129" s="188">
        <f>SUMPRODUCT(-('Gastos Gerais'!$B$4:$B$3143=Analítico!$B129),-(Analítico!C$3&gt;='Gastos Gerais'!$D$4:$D$3143),-(Analítico!C$3&lt;='Gastos Gerais'!$E$4:$E$3143),-('Gastos Gerais'!$C$4:$C$3143))</f>
        <v>700</v>
      </c>
      <c r="D129" s="134">
        <f>SUMPRODUCT(-('Gastos Gerais'!$B$4:$B$3143=Analítico!$B129),-(Analítico!D$3&gt;='Gastos Gerais'!$D$4:$D$3143),-(Analítico!D$3&lt;='Gastos Gerais'!$E$4:$E$3143),-('Gastos Gerais'!$C$4:$C$3143))</f>
        <v>700</v>
      </c>
      <c r="E129" s="134">
        <f>SUMPRODUCT(-('Gastos Gerais'!$B$4:$B$3143=Analítico!$B129),-(Analítico!E$3&gt;='Gastos Gerais'!$D$4:$D$3143),-(Analítico!E$3&lt;='Gastos Gerais'!$E$4:$E$3143),-('Gastos Gerais'!$C$4:$C$3143))</f>
        <v>700</v>
      </c>
      <c r="F129" s="134">
        <f>SUMPRODUCT(-('Gastos Gerais'!$B$4:$B$3143=Analítico!$B129),-(Analítico!F$3&gt;='Gastos Gerais'!$D$4:$D$3143),-(Analítico!F$3&lt;='Gastos Gerais'!$E$4:$E$3143),-('Gastos Gerais'!$C$4:$C$3143))</f>
        <v>700</v>
      </c>
      <c r="G129" s="134">
        <f>SUMPRODUCT(-('Gastos Gerais'!$B$4:$B$3143=Analítico!$B129),-(Analítico!G$3&gt;='Gastos Gerais'!$D$4:$D$3143),-(Analítico!G$3&lt;='Gastos Gerais'!$E$4:$E$3143),-('Gastos Gerais'!$C$4:$C$3143))</f>
        <v>700</v>
      </c>
      <c r="H129" s="134">
        <f>SUMPRODUCT(-('Gastos Gerais'!$B$4:$B$3143=Analítico!$B129),-(Analítico!H$3&gt;='Gastos Gerais'!$D$4:$D$3143),-(Analítico!H$3&lt;='Gastos Gerais'!$E$4:$E$3143),-('Gastos Gerais'!$C$4:$C$3143))</f>
        <v>700</v>
      </c>
      <c r="I129" s="134">
        <f>SUMPRODUCT(-('Gastos Gerais'!$B$4:$B$3143=Analítico!$B129),-(Analítico!I$3&gt;='Gastos Gerais'!$D$4:$D$3143),-(Analítico!I$3&lt;='Gastos Gerais'!$E$4:$E$3143),-('Gastos Gerais'!$C$4:$C$3143))</f>
        <v>700</v>
      </c>
      <c r="J129" s="134">
        <f>SUMPRODUCT(-('Gastos Gerais'!$B$4:$B$3143=Analítico!$B129),-(Analítico!J$3&gt;='Gastos Gerais'!$D$4:$D$3143),-(Analítico!J$3&lt;='Gastos Gerais'!$E$4:$E$3143),-('Gastos Gerais'!$C$4:$C$3143))</f>
        <v>700</v>
      </c>
      <c r="K129" s="134">
        <f>SUMPRODUCT(-('Gastos Gerais'!$B$4:$B$3143=Analítico!$B129),-(Analítico!K$3&gt;='Gastos Gerais'!$D$4:$D$3143),-(Analítico!K$3&lt;='Gastos Gerais'!$E$4:$E$3143),-('Gastos Gerais'!$C$4:$C$3143))</f>
        <v>700</v>
      </c>
      <c r="L129" s="134">
        <f>SUMPRODUCT(-('Gastos Gerais'!$B$4:$B$3143=Analítico!$B129),-(Analítico!L$3&gt;='Gastos Gerais'!$D$4:$D$3143),-(Analítico!L$3&lt;='Gastos Gerais'!$E$4:$E$3143),-('Gastos Gerais'!$C$4:$C$3143))</f>
        <v>700</v>
      </c>
      <c r="M129" s="134">
        <f>SUMPRODUCT(-('Gastos Gerais'!$B$4:$B$3143=Analítico!$B129),-(Analítico!M$3&gt;='Gastos Gerais'!$D$4:$D$3143),-(Analítico!M$3&lt;='Gastos Gerais'!$E$4:$E$3143),-('Gastos Gerais'!$C$4:$C$3143))</f>
        <v>700</v>
      </c>
      <c r="N129" s="134">
        <f>SUMPRODUCT(-('Gastos Gerais'!$B$4:$B$3143=Analítico!$B129),-(Analítico!N$3&gt;='Gastos Gerais'!$D$4:$D$3143),-(Analítico!N$3&lt;='Gastos Gerais'!$E$4:$E$3143),-('Gastos Gerais'!$C$4:$C$3143))</f>
        <v>700</v>
      </c>
      <c r="O129" s="134">
        <f>SUMPRODUCT(-('Gastos Gerais'!$B$4:$B$3143=Analítico!$B129),-(Analítico!O$3&gt;='Gastos Gerais'!$D$4:$D$3143),-(Analítico!O$3&lt;='Gastos Gerais'!$E$4:$E$3143),-('Gastos Gerais'!$C$4:$C$3143))</f>
        <v>700</v>
      </c>
      <c r="P129" s="134">
        <f>SUMPRODUCT(-('Gastos Gerais'!$B$4:$B$3143=Analítico!$B129),-(Analítico!P$3&gt;='Gastos Gerais'!$D$4:$D$3143),-(Analítico!P$3&lt;='Gastos Gerais'!$E$4:$E$3143),-('Gastos Gerais'!$C$4:$C$3143))</f>
        <v>700</v>
      </c>
      <c r="Q129" s="134">
        <f>SUMPRODUCT(-('Gastos Gerais'!$B$4:$B$3143=Analítico!$B129),-(Analítico!Q$3&gt;='Gastos Gerais'!$D$4:$D$3143),-(Analítico!Q$3&lt;='Gastos Gerais'!$E$4:$E$3143),-('Gastos Gerais'!$C$4:$C$3143))</f>
        <v>700</v>
      </c>
      <c r="R129" s="134">
        <f>SUMPRODUCT(-('Gastos Gerais'!$B$4:$B$3143=Analítico!$B129),-(Analítico!R$3&gt;='Gastos Gerais'!$D$4:$D$3143),-(Analítico!R$3&lt;='Gastos Gerais'!$E$4:$E$3143),-('Gastos Gerais'!$C$4:$C$3143))</f>
        <v>700</v>
      </c>
      <c r="S129" s="134">
        <f>SUMPRODUCT(-('Gastos Gerais'!$B$4:$B$3143=Analítico!$B129),-(Analítico!S$3&gt;='Gastos Gerais'!$D$4:$D$3143),-(Analítico!S$3&lt;='Gastos Gerais'!$E$4:$E$3143),-('Gastos Gerais'!$C$4:$C$3143))</f>
        <v>700</v>
      </c>
      <c r="T129" s="134">
        <f>SUMPRODUCT(-('Gastos Gerais'!$B$4:$B$3143=Analítico!$B129),-(Analítico!T$3&gt;='Gastos Gerais'!$D$4:$D$3143),-(Analítico!T$3&lt;='Gastos Gerais'!$E$4:$E$3143),-('Gastos Gerais'!$C$4:$C$3143))</f>
        <v>700</v>
      </c>
      <c r="U129" s="134">
        <f>SUMPRODUCT(-('Gastos Gerais'!$B$4:$B$3143=Analítico!$B129),-(Analítico!U$3&gt;='Gastos Gerais'!$D$4:$D$3143),-(Analítico!U$3&lt;='Gastos Gerais'!$E$4:$E$3143),-('Gastos Gerais'!$C$4:$C$3143))</f>
        <v>700</v>
      </c>
      <c r="V129" s="134">
        <f>SUMPRODUCT(-('Gastos Gerais'!$B$4:$B$3143=Analítico!$B129),-(Analítico!V$3&gt;='Gastos Gerais'!$D$4:$D$3143),-(Analítico!V$3&lt;='Gastos Gerais'!$E$4:$E$3143),-('Gastos Gerais'!$C$4:$C$3143))</f>
        <v>700</v>
      </c>
      <c r="W129" s="134">
        <f>SUMPRODUCT(-('Gastos Gerais'!$B$4:$B$3143=Analítico!$B129),-(Analítico!W$3&gt;='Gastos Gerais'!$D$4:$D$3143),-(Analítico!W$3&lt;='Gastos Gerais'!$E$4:$E$3143),-('Gastos Gerais'!$C$4:$C$3143))</f>
        <v>700</v>
      </c>
      <c r="X129" s="134">
        <f>SUMPRODUCT(-('Gastos Gerais'!$B$4:$B$3143=Analítico!$B129),-(Analítico!X$3&gt;='Gastos Gerais'!$D$4:$D$3143),-(Analítico!X$3&lt;='Gastos Gerais'!$E$4:$E$3143),-('Gastos Gerais'!$C$4:$C$3143))</f>
        <v>700</v>
      </c>
      <c r="Y129" s="134">
        <f>SUMPRODUCT(-('Gastos Gerais'!$B$4:$B$3143=Analítico!$B129),-(Analítico!Y$3&gt;='Gastos Gerais'!$D$4:$D$3143),-(Analítico!Y$3&lt;='Gastos Gerais'!$E$4:$E$3143),-('Gastos Gerais'!$C$4:$C$3143))</f>
        <v>700</v>
      </c>
      <c r="Z129" s="134">
        <f>SUMPRODUCT(-('Gastos Gerais'!$B$4:$B$3143=Analítico!$B129),-(Analítico!Z$3&gt;='Gastos Gerais'!$D$4:$D$3143),-(Analítico!Z$3&lt;='Gastos Gerais'!$E$4:$E$3143),-('Gastos Gerais'!$C$4:$C$3143))</f>
        <v>700</v>
      </c>
      <c r="AA129" s="134">
        <f>SUMPRODUCT(-('Gastos Gerais'!$B$4:$B$3143=Analítico!$B129),-(Analítico!AA$3&gt;='Gastos Gerais'!$D$4:$D$3143),-(Analítico!AA$3&lt;='Gastos Gerais'!$E$4:$E$3143),-('Gastos Gerais'!$C$4:$C$3143))</f>
        <v>700</v>
      </c>
      <c r="AB129" s="134">
        <f>SUMPRODUCT(-('Gastos Gerais'!$B$4:$B$3143=Analítico!$B129),-(Analítico!AB$3&gt;='Gastos Gerais'!$D$4:$D$3143),-(Analítico!AB$3&lt;='Gastos Gerais'!$E$4:$E$3143),-('Gastos Gerais'!$C$4:$C$3143))</f>
        <v>700</v>
      </c>
      <c r="AC129" s="134">
        <f>SUMPRODUCT(-('Gastos Gerais'!$B$4:$B$3143=Analítico!$B129),-(Analítico!AC$3&gt;='Gastos Gerais'!$D$4:$D$3143),-(Analítico!AC$3&lt;='Gastos Gerais'!$E$4:$E$3143),-('Gastos Gerais'!$C$4:$C$3143))</f>
        <v>700</v>
      </c>
      <c r="AD129" s="134">
        <f>SUMPRODUCT(-('Gastos Gerais'!$B$4:$B$3143=Analítico!$B129),-(Analítico!AD$3&gt;='Gastos Gerais'!$D$4:$D$3143),-(Analítico!AD$3&lt;='Gastos Gerais'!$E$4:$E$3143),-('Gastos Gerais'!$C$4:$C$3143))</f>
        <v>700</v>
      </c>
      <c r="AE129" s="134">
        <f>SUMPRODUCT(-('Gastos Gerais'!$B$4:$B$3143=Analítico!$B129),-(Analítico!AE$3&gt;='Gastos Gerais'!$D$4:$D$3143),-(Analítico!AE$3&lt;='Gastos Gerais'!$E$4:$E$3143),-('Gastos Gerais'!$C$4:$C$3143))</f>
        <v>700</v>
      </c>
      <c r="AF129" s="134">
        <f>SUMPRODUCT(-('Gastos Gerais'!$B$4:$B$3143=Analítico!$B129),-(Analítico!AF$3&gt;='Gastos Gerais'!$D$4:$D$3143),-(Analítico!AF$3&lt;='Gastos Gerais'!$E$4:$E$3143),-('Gastos Gerais'!$C$4:$C$3143))</f>
        <v>700</v>
      </c>
      <c r="AG129" s="134">
        <f>SUMPRODUCT(-('Gastos Gerais'!$B$4:$B$3143=Analítico!$B129),-(Analítico!AG$3&gt;='Gastos Gerais'!$D$4:$D$3143),-(Analítico!AG$3&lt;='Gastos Gerais'!$E$4:$E$3143),-('Gastos Gerais'!$C$4:$C$3143))</f>
        <v>700</v>
      </c>
      <c r="AH129" s="134">
        <f>SUMPRODUCT(-('Gastos Gerais'!$B$4:$B$3143=Analítico!$B129),-(Analítico!AH$3&gt;='Gastos Gerais'!$D$4:$D$3143),-(Analítico!AH$3&lt;='Gastos Gerais'!$E$4:$E$3143),-('Gastos Gerais'!$C$4:$C$3143))</f>
        <v>700</v>
      </c>
      <c r="AI129" s="134">
        <f>SUMPRODUCT(-('Gastos Gerais'!$B$4:$B$3143=Analítico!$B129),-(Analítico!AI$3&gt;='Gastos Gerais'!$D$4:$D$3143),-(Analítico!AI$3&lt;='Gastos Gerais'!$E$4:$E$3143),-('Gastos Gerais'!$C$4:$C$3143))</f>
        <v>700</v>
      </c>
      <c r="AJ129" s="134">
        <f>SUMPRODUCT(-('Gastos Gerais'!$B$4:$B$3143=Analítico!$B129),-(Analítico!AJ$3&gt;='Gastos Gerais'!$D$4:$D$3143),-(Analítico!AJ$3&lt;='Gastos Gerais'!$E$4:$E$3143),-('Gastos Gerais'!$C$4:$C$3143))</f>
        <v>700</v>
      </c>
      <c r="AK129" s="134">
        <f>SUMPRODUCT(-('Gastos Gerais'!$B$4:$B$3143=Analítico!$B129),-(Analítico!AK$3&gt;='Gastos Gerais'!$D$4:$D$3143),-(Analítico!AK$3&lt;='Gastos Gerais'!$E$4:$E$3143),-('Gastos Gerais'!$C$4:$C$3143))</f>
        <v>700</v>
      </c>
      <c r="AL129" s="134">
        <f>SUMPRODUCT(-('Gastos Gerais'!$B$4:$B$3143=Analítico!$B129),-(Analítico!AL$3&gt;='Gastos Gerais'!$D$4:$D$3143),-(Analítico!AL$3&lt;='Gastos Gerais'!$E$4:$E$3143),-('Gastos Gerais'!$C$4:$C$3143))</f>
        <v>700</v>
      </c>
      <c r="AM129" s="134">
        <f>SUMPRODUCT(-('Gastos Gerais'!$B$4:$B$3143=Analítico!$B129),-(Analítico!AM$3&gt;='Gastos Gerais'!$D$4:$D$3143),-(Analítico!AM$3&lt;='Gastos Gerais'!$E$4:$E$3143),-('Gastos Gerais'!$C$4:$C$3143))</f>
        <v>700</v>
      </c>
      <c r="AN129" s="134">
        <f>SUMPRODUCT(-('Gastos Gerais'!$B$4:$B$3143=Analítico!$B129),-(Analítico!AN$3&gt;='Gastos Gerais'!$D$4:$D$3143),-(Analítico!AN$3&lt;='Gastos Gerais'!$E$4:$E$3143),-('Gastos Gerais'!$C$4:$C$3143))</f>
        <v>700</v>
      </c>
      <c r="AO129" s="134">
        <f>SUMPRODUCT(-('Gastos Gerais'!$B$4:$B$3143=Analítico!$B129),-(Analítico!AO$3&gt;='Gastos Gerais'!$D$4:$D$3143),-(Analítico!AO$3&lt;='Gastos Gerais'!$E$4:$E$3143),-('Gastos Gerais'!$C$4:$C$3143))</f>
        <v>0</v>
      </c>
      <c r="AP129" s="134">
        <f>SUMPRODUCT(-('Gastos Gerais'!$B$4:$B$3143=Analítico!$B129),-(Analítico!AP$3&gt;='Gastos Gerais'!$D$4:$D$3143),-(Analítico!AP$3&lt;='Gastos Gerais'!$E$4:$E$3143),-('Gastos Gerais'!$C$4:$C$3143))</f>
        <v>0</v>
      </c>
      <c r="AQ129" s="134">
        <f>SUMPRODUCT(-('Gastos Gerais'!$B$4:$B$3143=Analítico!$B129),-(Analítico!AQ$3&gt;='Gastos Gerais'!$D$4:$D$3143),-(Analítico!AQ$3&lt;='Gastos Gerais'!$E$4:$E$3143),-('Gastos Gerais'!$C$4:$C$3143))</f>
        <v>0</v>
      </c>
      <c r="AR129" s="134">
        <f>SUMPRODUCT(-('Gastos Gerais'!$B$4:$B$3143=Analítico!$B129),-(Analítico!AR$3&gt;='Gastos Gerais'!$D$4:$D$3143),-(Analítico!AR$3&lt;='Gastos Gerais'!$E$4:$E$3143),-('Gastos Gerais'!$C$4:$C$3143))</f>
        <v>0</v>
      </c>
      <c r="AS129" s="134">
        <f>SUMPRODUCT(-('Gastos Gerais'!$B$4:$B$3143=Analítico!$B129),-(Analítico!AS$3&gt;='Gastos Gerais'!$D$4:$D$3143),-(Analítico!AS$3&lt;='Gastos Gerais'!$E$4:$E$3143),-('Gastos Gerais'!$C$4:$C$3143))</f>
        <v>0</v>
      </c>
      <c r="AT129" s="134">
        <f>SUMPRODUCT(-('Gastos Gerais'!$B$4:$B$3143=Analítico!$B129),-(Analítico!AT$3&gt;='Gastos Gerais'!$D$4:$D$3143),-(Analítico!AT$3&lt;='Gastos Gerais'!$E$4:$E$3143),-('Gastos Gerais'!$C$4:$C$3143))</f>
        <v>0</v>
      </c>
      <c r="AU129" s="134">
        <f>SUMPRODUCT(-('Gastos Gerais'!$B$4:$B$3143=Analítico!$B129),-(Analítico!AU$3&gt;='Gastos Gerais'!$D$4:$D$3143),-(Analítico!AU$3&lt;='Gastos Gerais'!$E$4:$E$3143),-('Gastos Gerais'!$C$4:$C$3143))</f>
        <v>0</v>
      </c>
      <c r="AV129" s="134">
        <f>SUMPRODUCT(-('Gastos Gerais'!$B$4:$B$3143=Analítico!$B129),-(Analítico!AV$3&gt;='Gastos Gerais'!$D$4:$D$3143),-(Analítico!AV$3&lt;='Gastos Gerais'!$E$4:$E$3143),-('Gastos Gerais'!$C$4:$C$3143))</f>
        <v>0</v>
      </c>
      <c r="AW129" s="134">
        <f>SUMPRODUCT(-('Gastos Gerais'!$B$4:$B$3143=Analítico!$B129),-(Analítico!AW$3&gt;='Gastos Gerais'!$D$4:$D$3143),-(Analítico!AW$3&lt;='Gastos Gerais'!$E$4:$E$3143),-('Gastos Gerais'!$C$4:$C$3143))</f>
        <v>0</v>
      </c>
      <c r="AX129" s="134">
        <f>SUMPRODUCT(-('Gastos Gerais'!$B$4:$B$3143=Analítico!$B129),-(Analítico!AX$3&gt;='Gastos Gerais'!$D$4:$D$3143),-(Analítico!AX$3&lt;='Gastos Gerais'!$E$4:$E$3143),-('Gastos Gerais'!$C$4:$C$3143))</f>
        <v>0</v>
      </c>
      <c r="AY129" s="134">
        <f>SUMPRODUCT(-('Gastos Gerais'!$B$4:$B$3143=Analítico!$B129),-(Analítico!AY$3&gt;='Gastos Gerais'!$D$4:$D$3143),-(Analítico!AY$3&lt;='Gastos Gerais'!$E$4:$E$3143),-('Gastos Gerais'!$C$4:$C$3143))</f>
        <v>0</v>
      </c>
      <c r="AZ129" s="134">
        <f>SUMPRODUCT(-('Gastos Gerais'!$B$4:$B$3143=Analítico!$B129),-(Analítico!AZ$3&gt;='Gastos Gerais'!$D$4:$D$3143),-(Analítico!AZ$3&lt;='Gastos Gerais'!$E$4:$E$3143),-('Gastos Gerais'!$C$4:$C$3143))</f>
        <v>0</v>
      </c>
      <c r="BA129" s="134">
        <f>SUMPRODUCT(-('Gastos Gerais'!$B$4:$B$3143=Analítico!$B129),-(Analítico!BA$3&gt;='Gastos Gerais'!$D$4:$D$3143),-(Analítico!BA$3&lt;='Gastos Gerais'!$E$4:$E$3143),-('Gastos Gerais'!$C$4:$C$3143))</f>
        <v>0</v>
      </c>
      <c r="BB129" s="134">
        <f>SUMPRODUCT(-('Gastos Gerais'!$B$4:$B$3143=Analítico!$B129),-(Analítico!BB$3&gt;='Gastos Gerais'!$D$4:$D$3143),-(Analítico!BB$3&lt;='Gastos Gerais'!$E$4:$E$3143),-('Gastos Gerais'!$C$4:$C$3143))</f>
        <v>0</v>
      </c>
      <c r="BC129" s="134">
        <f>SUMPRODUCT(-('Gastos Gerais'!$B$4:$B$3143=Analítico!$B129),-(Analítico!BC$3&gt;='Gastos Gerais'!$D$4:$D$3143),-(Analítico!BC$3&lt;='Gastos Gerais'!$E$4:$E$3143),-('Gastos Gerais'!$C$4:$C$3143))</f>
        <v>0</v>
      </c>
      <c r="BD129" s="134">
        <f>SUMPRODUCT(-('Gastos Gerais'!$B$4:$B$3143=Analítico!$B129),-(Analítico!BD$3&gt;='Gastos Gerais'!$D$4:$D$3143),-(Analítico!BD$3&lt;='Gastos Gerais'!$E$4:$E$3143),-('Gastos Gerais'!$C$4:$C$3143))</f>
        <v>0</v>
      </c>
      <c r="BE129" s="134">
        <f>SUMPRODUCT(-('Gastos Gerais'!$B$4:$B$3143=Analítico!$B129),-(Analítico!BE$3&gt;='Gastos Gerais'!$D$4:$D$3143),-(Analítico!BE$3&lt;='Gastos Gerais'!$E$4:$E$3143),-('Gastos Gerais'!$C$4:$C$3143))</f>
        <v>0</v>
      </c>
      <c r="BF129" s="134">
        <f>SUMPRODUCT(-('Gastos Gerais'!$B$4:$B$3143=Analítico!$B129),-(Analítico!BF$3&gt;='Gastos Gerais'!$D$4:$D$3143),-(Analítico!BF$3&lt;='Gastos Gerais'!$E$4:$E$3143),-('Gastos Gerais'!$C$4:$C$3143))</f>
        <v>0</v>
      </c>
      <c r="BG129" s="134">
        <f>SUMPRODUCT(-('Gastos Gerais'!$B$4:$B$3143=Analítico!$B129),-(Analítico!BG$3&gt;='Gastos Gerais'!$D$4:$D$3143),-(Analítico!BG$3&lt;='Gastos Gerais'!$E$4:$E$3143),-('Gastos Gerais'!$C$4:$C$3143))</f>
        <v>0</v>
      </c>
      <c r="BH129" s="134">
        <f>SUMPRODUCT(-('Gastos Gerais'!$B$4:$B$3143=Analítico!$B129),-(Analítico!BH$3&gt;='Gastos Gerais'!$D$4:$D$3143),-(Analítico!BH$3&lt;='Gastos Gerais'!$E$4:$E$3143),-('Gastos Gerais'!$C$4:$C$3143))</f>
        <v>0</v>
      </c>
      <c r="BI129" s="134">
        <f>SUMPRODUCT(-('Gastos Gerais'!$B$4:$B$3143=Analítico!$B129),-(Analítico!BI$3&gt;='Gastos Gerais'!$D$4:$D$3143),-(Analítico!BI$3&lt;='Gastos Gerais'!$E$4:$E$3143),-('Gastos Gerais'!$C$4:$C$3143))</f>
        <v>0</v>
      </c>
      <c r="BJ129" s="134">
        <f>SUMPRODUCT(-('Gastos Gerais'!$B$4:$B$3143=Analítico!$B129),-(Analítico!BJ$3&gt;='Gastos Gerais'!$D$4:$D$3143),-(Analítico!BJ$3&lt;='Gastos Gerais'!$E$4:$E$3143),-('Gastos Gerais'!$C$4:$C$3143))</f>
        <v>0</v>
      </c>
      <c r="BK129" s="189">
        <f t="shared" si="28"/>
        <v>26600</v>
      </c>
      <c r="BL129" s="136">
        <f t="shared" ca="1" si="29"/>
        <v>9.1583749708389615E-5</v>
      </c>
    </row>
    <row r="130" spans="1:64" s="160" customFormat="1" ht="23.25" customHeight="1">
      <c r="A130" s="229" t="s">
        <v>636</v>
      </c>
      <c r="B130" s="232" t="s">
        <v>625</v>
      </c>
      <c r="C130" s="188">
        <f>SUMPRODUCT(-('Gastos Gerais'!$B$4:$B$3143=Analítico!$B130),-(Analítico!C$3&gt;='Gastos Gerais'!$D$4:$D$3143),-(Analítico!C$3&lt;='Gastos Gerais'!$E$4:$E$3143),-('Gastos Gerais'!$C$4:$C$3143))</f>
        <v>1530</v>
      </c>
      <c r="D130" s="134">
        <f>SUMPRODUCT(-('Gastos Gerais'!$B$4:$B$3143=Analítico!$B130),-(Analítico!D$3&gt;='Gastos Gerais'!$D$4:$D$3143),-(Analítico!D$3&lt;='Gastos Gerais'!$E$4:$E$3143),-('Gastos Gerais'!$C$4:$C$3143))</f>
        <v>1530</v>
      </c>
      <c r="E130" s="134">
        <f>SUMPRODUCT(-('Gastos Gerais'!$B$4:$B$3143=Analítico!$B130),-(Analítico!E$3&gt;='Gastos Gerais'!$D$4:$D$3143),-(Analítico!E$3&lt;='Gastos Gerais'!$E$4:$E$3143),-('Gastos Gerais'!$C$4:$C$3143))</f>
        <v>1620</v>
      </c>
      <c r="F130" s="134">
        <f>SUMPRODUCT(-('Gastos Gerais'!$B$4:$B$3143=Analítico!$B130),-(Analítico!F$3&gt;='Gastos Gerais'!$D$4:$D$3143),-(Analítico!F$3&lt;='Gastos Gerais'!$E$4:$E$3143),-('Gastos Gerais'!$C$4:$C$3143))</f>
        <v>1710</v>
      </c>
      <c r="G130" s="134">
        <f>SUMPRODUCT(-('Gastos Gerais'!$B$4:$B$3143=Analítico!$B130),-(Analítico!G$3&gt;='Gastos Gerais'!$D$4:$D$3143),-(Analítico!G$3&lt;='Gastos Gerais'!$E$4:$E$3143),-('Gastos Gerais'!$C$4:$C$3143))</f>
        <v>1710</v>
      </c>
      <c r="H130" s="134">
        <f>SUMPRODUCT(-('Gastos Gerais'!$B$4:$B$3143=Analítico!$B130),-(Analítico!H$3&gt;='Gastos Gerais'!$D$4:$D$3143),-(Analítico!H$3&lt;='Gastos Gerais'!$E$4:$E$3143),-('Gastos Gerais'!$C$4:$C$3143))</f>
        <v>1710</v>
      </c>
      <c r="I130" s="134">
        <f>SUMPRODUCT(-('Gastos Gerais'!$B$4:$B$3143=Analítico!$B130),-(Analítico!I$3&gt;='Gastos Gerais'!$D$4:$D$3143),-(Analítico!I$3&lt;='Gastos Gerais'!$E$4:$E$3143),-('Gastos Gerais'!$C$4:$C$3143))</f>
        <v>1800</v>
      </c>
      <c r="J130" s="134">
        <f>SUMPRODUCT(-('Gastos Gerais'!$B$4:$B$3143=Analítico!$B130),-(Analítico!J$3&gt;='Gastos Gerais'!$D$4:$D$3143),-(Analítico!J$3&lt;='Gastos Gerais'!$E$4:$E$3143),-('Gastos Gerais'!$C$4:$C$3143))</f>
        <v>1800</v>
      </c>
      <c r="K130" s="134">
        <f>SUMPRODUCT(-('Gastos Gerais'!$B$4:$B$3143=Analítico!$B130),-(Analítico!K$3&gt;='Gastos Gerais'!$D$4:$D$3143),-(Analítico!K$3&lt;='Gastos Gerais'!$E$4:$E$3143),-('Gastos Gerais'!$C$4:$C$3143))</f>
        <v>1800</v>
      </c>
      <c r="L130" s="134">
        <f>SUMPRODUCT(-('Gastos Gerais'!$B$4:$B$3143=Analítico!$B130),-(Analítico!L$3&gt;='Gastos Gerais'!$D$4:$D$3143),-(Analítico!L$3&lt;='Gastos Gerais'!$E$4:$E$3143),-('Gastos Gerais'!$C$4:$C$3143))</f>
        <v>1890</v>
      </c>
      <c r="M130" s="134">
        <f>SUMPRODUCT(-('Gastos Gerais'!$B$4:$B$3143=Analítico!$B130),-(Analítico!M$3&gt;='Gastos Gerais'!$D$4:$D$3143),-(Analítico!M$3&lt;='Gastos Gerais'!$E$4:$E$3143),-('Gastos Gerais'!$C$4:$C$3143))</f>
        <v>1890</v>
      </c>
      <c r="N130" s="134">
        <f>SUMPRODUCT(-('Gastos Gerais'!$B$4:$B$3143=Analítico!$B130),-(Analítico!N$3&gt;='Gastos Gerais'!$D$4:$D$3143),-(Analítico!N$3&lt;='Gastos Gerais'!$E$4:$E$3143),-('Gastos Gerais'!$C$4:$C$3143))</f>
        <v>1890</v>
      </c>
      <c r="O130" s="134">
        <f>SUMPRODUCT(-('Gastos Gerais'!$B$4:$B$3143=Analítico!$B130),-(Analítico!O$3&gt;='Gastos Gerais'!$D$4:$D$3143),-(Analítico!O$3&lt;='Gastos Gerais'!$E$4:$E$3143),-('Gastos Gerais'!$C$4:$C$3143))</f>
        <v>1890</v>
      </c>
      <c r="P130" s="134">
        <f>SUMPRODUCT(-('Gastos Gerais'!$B$4:$B$3143=Analítico!$B130),-(Analítico!P$3&gt;='Gastos Gerais'!$D$4:$D$3143),-(Analítico!P$3&lt;='Gastos Gerais'!$E$4:$E$3143),-('Gastos Gerais'!$C$4:$C$3143))</f>
        <v>1890</v>
      </c>
      <c r="Q130" s="134">
        <f>SUMPRODUCT(-('Gastos Gerais'!$B$4:$B$3143=Analítico!$B130),-(Analítico!Q$3&gt;='Gastos Gerais'!$D$4:$D$3143),-(Analítico!Q$3&lt;='Gastos Gerais'!$E$4:$E$3143),-('Gastos Gerais'!$C$4:$C$3143))</f>
        <v>1890</v>
      </c>
      <c r="R130" s="134">
        <f>SUMPRODUCT(-('Gastos Gerais'!$B$4:$B$3143=Analítico!$B130),-(Analítico!R$3&gt;='Gastos Gerais'!$D$4:$D$3143),-(Analítico!R$3&lt;='Gastos Gerais'!$E$4:$E$3143),-('Gastos Gerais'!$C$4:$C$3143))</f>
        <v>1890</v>
      </c>
      <c r="S130" s="134">
        <f>SUMPRODUCT(-('Gastos Gerais'!$B$4:$B$3143=Analítico!$B130),-(Analítico!S$3&gt;='Gastos Gerais'!$D$4:$D$3143),-(Analítico!S$3&lt;='Gastos Gerais'!$E$4:$E$3143),-('Gastos Gerais'!$C$4:$C$3143))</f>
        <v>1890</v>
      </c>
      <c r="T130" s="134">
        <f>SUMPRODUCT(-('Gastos Gerais'!$B$4:$B$3143=Analítico!$B130),-(Analítico!T$3&gt;='Gastos Gerais'!$D$4:$D$3143),-(Analítico!T$3&lt;='Gastos Gerais'!$E$4:$E$3143),-('Gastos Gerais'!$C$4:$C$3143))</f>
        <v>1890</v>
      </c>
      <c r="U130" s="134">
        <f>SUMPRODUCT(-('Gastos Gerais'!$B$4:$B$3143=Analítico!$B130),-(Analítico!U$3&gt;='Gastos Gerais'!$D$4:$D$3143),-(Analítico!U$3&lt;='Gastos Gerais'!$E$4:$E$3143),-('Gastos Gerais'!$C$4:$C$3143))</f>
        <v>1890</v>
      </c>
      <c r="V130" s="134">
        <f>SUMPRODUCT(-('Gastos Gerais'!$B$4:$B$3143=Analítico!$B130),-(Analítico!V$3&gt;='Gastos Gerais'!$D$4:$D$3143),-(Analítico!V$3&lt;='Gastos Gerais'!$E$4:$E$3143),-('Gastos Gerais'!$C$4:$C$3143))</f>
        <v>1890</v>
      </c>
      <c r="W130" s="134">
        <f>SUMPRODUCT(-('Gastos Gerais'!$B$4:$B$3143=Analítico!$B130),-(Analítico!W$3&gt;='Gastos Gerais'!$D$4:$D$3143),-(Analítico!W$3&lt;='Gastos Gerais'!$E$4:$E$3143),-('Gastos Gerais'!$C$4:$C$3143))</f>
        <v>1890</v>
      </c>
      <c r="X130" s="134">
        <f>SUMPRODUCT(-('Gastos Gerais'!$B$4:$B$3143=Analítico!$B130),-(Analítico!X$3&gt;='Gastos Gerais'!$D$4:$D$3143),-(Analítico!X$3&lt;='Gastos Gerais'!$E$4:$E$3143),-('Gastos Gerais'!$C$4:$C$3143))</f>
        <v>1890</v>
      </c>
      <c r="Y130" s="134">
        <f>SUMPRODUCT(-('Gastos Gerais'!$B$4:$B$3143=Analítico!$B130),-(Analítico!Y$3&gt;='Gastos Gerais'!$D$4:$D$3143),-(Analítico!Y$3&lt;='Gastos Gerais'!$E$4:$E$3143),-('Gastos Gerais'!$C$4:$C$3143))</f>
        <v>1890</v>
      </c>
      <c r="Z130" s="134">
        <f>SUMPRODUCT(-('Gastos Gerais'!$B$4:$B$3143=Analítico!$B130),-(Analítico!Z$3&gt;='Gastos Gerais'!$D$4:$D$3143),-(Analítico!Z$3&lt;='Gastos Gerais'!$E$4:$E$3143),-('Gastos Gerais'!$C$4:$C$3143))</f>
        <v>1890</v>
      </c>
      <c r="AA130" s="134">
        <f>SUMPRODUCT(-('Gastos Gerais'!$B$4:$B$3143=Analítico!$B130),-(Analítico!AA$3&gt;='Gastos Gerais'!$D$4:$D$3143),-(Analítico!AA$3&lt;='Gastos Gerais'!$E$4:$E$3143),-('Gastos Gerais'!$C$4:$C$3143))</f>
        <v>1890</v>
      </c>
      <c r="AB130" s="134">
        <f>SUMPRODUCT(-('Gastos Gerais'!$B$4:$B$3143=Analítico!$B130),-(Analítico!AB$3&gt;='Gastos Gerais'!$D$4:$D$3143),-(Analítico!AB$3&lt;='Gastos Gerais'!$E$4:$E$3143),-('Gastos Gerais'!$C$4:$C$3143))</f>
        <v>1890</v>
      </c>
      <c r="AC130" s="134">
        <f>SUMPRODUCT(-('Gastos Gerais'!$B$4:$B$3143=Analítico!$B130),-(Analítico!AC$3&gt;='Gastos Gerais'!$D$4:$D$3143),-(Analítico!AC$3&lt;='Gastos Gerais'!$E$4:$E$3143),-('Gastos Gerais'!$C$4:$C$3143))</f>
        <v>1890</v>
      </c>
      <c r="AD130" s="134">
        <f>SUMPRODUCT(-('Gastos Gerais'!$B$4:$B$3143=Analítico!$B130),-(Analítico!AD$3&gt;='Gastos Gerais'!$D$4:$D$3143),-(Analítico!AD$3&lt;='Gastos Gerais'!$E$4:$E$3143),-('Gastos Gerais'!$C$4:$C$3143))</f>
        <v>1890</v>
      </c>
      <c r="AE130" s="134">
        <f>SUMPRODUCT(-('Gastos Gerais'!$B$4:$B$3143=Analítico!$B130),-(Analítico!AE$3&gt;='Gastos Gerais'!$D$4:$D$3143),-(Analítico!AE$3&lt;='Gastos Gerais'!$E$4:$E$3143),-('Gastos Gerais'!$C$4:$C$3143))</f>
        <v>1890</v>
      </c>
      <c r="AF130" s="134">
        <f>SUMPRODUCT(-('Gastos Gerais'!$B$4:$B$3143=Analítico!$B130),-(Analítico!AF$3&gt;='Gastos Gerais'!$D$4:$D$3143),-(Analítico!AF$3&lt;='Gastos Gerais'!$E$4:$E$3143),-('Gastos Gerais'!$C$4:$C$3143))</f>
        <v>1890</v>
      </c>
      <c r="AG130" s="134">
        <f>SUMPRODUCT(-('Gastos Gerais'!$B$4:$B$3143=Analítico!$B130),-(Analítico!AG$3&gt;='Gastos Gerais'!$D$4:$D$3143),-(Analítico!AG$3&lt;='Gastos Gerais'!$E$4:$E$3143),-('Gastos Gerais'!$C$4:$C$3143))</f>
        <v>1890</v>
      </c>
      <c r="AH130" s="134">
        <f>SUMPRODUCT(-('Gastos Gerais'!$B$4:$B$3143=Analítico!$B130),-(Analítico!AH$3&gt;='Gastos Gerais'!$D$4:$D$3143),-(Analítico!AH$3&lt;='Gastos Gerais'!$E$4:$E$3143),-('Gastos Gerais'!$C$4:$C$3143))</f>
        <v>1890</v>
      </c>
      <c r="AI130" s="134">
        <f>SUMPRODUCT(-('Gastos Gerais'!$B$4:$B$3143=Analítico!$B130),-(Analítico!AI$3&gt;='Gastos Gerais'!$D$4:$D$3143),-(Analítico!AI$3&lt;='Gastos Gerais'!$E$4:$E$3143),-('Gastos Gerais'!$C$4:$C$3143))</f>
        <v>1890</v>
      </c>
      <c r="AJ130" s="134">
        <f>SUMPRODUCT(-('Gastos Gerais'!$B$4:$B$3143=Analítico!$B130),-(Analítico!AJ$3&gt;='Gastos Gerais'!$D$4:$D$3143),-(Analítico!AJ$3&lt;='Gastos Gerais'!$E$4:$E$3143),-('Gastos Gerais'!$C$4:$C$3143))</f>
        <v>1890</v>
      </c>
      <c r="AK130" s="134">
        <f>SUMPRODUCT(-('Gastos Gerais'!$B$4:$B$3143=Analítico!$B130),-(Analítico!AK$3&gt;='Gastos Gerais'!$D$4:$D$3143),-(Analítico!AK$3&lt;='Gastos Gerais'!$E$4:$E$3143),-('Gastos Gerais'!$C$4:$C$3143))</f>
        <v>1890</v>
      </c>
      <c r="AL130" s="134">
        <f>SUMPRODUCT(-('Gastos Gerais'!$B$4:$B$3143=Analítico!$B130),-(Analítico!AL$3&gt;='Gastos Gerais'!$D$4:$D$3143),-(Analítico!AL$3&lt;='Gastos Gerais'!$E$4:$E$3143),-('Gastos Gerais'!$C$4:$C$3143))</f>
        <v>1890</v>
      </c>
      <c r="AM130" s="134">
        <f>SUMPRODUCT(-('Gastos Gerais'!$B$4:$B$3143=Analítico!$B130),-(Analítico!AM$3&gt;='Gastos Gerais'!$D$4:$D$3143),-(Analítico!AM$3&lt;='Gastos Gerais'!$E$4:$E$3143),-('Gastos Gerais'!$C$4:$C$3143))</f>
        <v>1890</v>
      </c>
      <c r="AN130" s="134">
        <f>SUMPRODUCT(-('Gastos Gerais'!$B$4:$B$3143=Analítico!$B130),-(Analítico!AN$3&gt;='Gastos Gerais'!$D$4:$D$3143),-(Analítico!AN$3&lt;='Gastos Gerais'!$E$4:$E$3143),-('Gastos Gerais'!$C$4:$C$3143))</f>
        <v>1890</v>
      </c>
      <c r="AO130" s="134">
        <f>SUMPRODUCT(-('Gastos Gerais'!$B$4:$B$3143=Analítico!$B130),-(Analítico!AO$3&gt;='Gastos Gerais'!$D$4:$D$3143),-(Analítico!AO$3&lt;='Gastos Gerais'!$E$4:$E$3143),-('Gastos Gerais'!$C$4:$C$3143))</f>
        <v>1890</v>
      </c>
      <c r="AP130" s="134">
        <f>SUMPRODUCT(-('Gastos Gerais'!$B$4:$B$3143=Analítico!$B130),-(Analítico!AP$3&gt;='Gastos Gerais'!$D$4:$D$3143),-(Analítico!AP$3&lt;='Gastos Gerais'!$E$4:$E$3143),-('Gastos Gerais'!$C$4:$C$3143))</f>
        <v>1890</v>
      </c>
      <c r="AQ130" s="134">
        <f>SUMPRODUCT(-('Gastos Gerais'!$B$4:$B$3143=Analítico!$B130),-(Analítico!AQ$3&gt;='Gastos Gerais'!$D$4:$D$3143),-(Analítico!AQ$3&lt;='Gastos Gerais'!$E$4:$E$3143),-('Gastos Gerais'!$C$4:$C$3143))</f>
        <v>1890</v>
      </c>
      <c r="AR130" s="134">
        <f>SUMPRODUCT(-('Gastos Gerais'!$B$4:$B$3143=Analítico!$B130),-(Analítico!AR$3&gt;='Gastos Gerais'!$D$4:$D$3143),-(Analítico!AR$3&lt;='Gastos Gerais'!$E$4:$E$3143),-('Gastos Gerais'!$C$4:$C$3143))</f>
        <v>1890</v>
      </c>
      <c r="AS130" s="134">
        <f>SUMPRODUCT(-('Gastos Gerais'!$B$4:$B$3143=Analítico!$B130),-(Analítico!AS$3&gt;='Gastos Gerais'!$D$4:$D$3143),-(Analítico!AS$3&lt;='Gastos Gerais'!$E$4:$E$3143),-('Gastos Gerais'!$C$4:$C$3143))</f>
        <v>1890</v>
      </c>
      <c r="AT130" s="134">
        <f>SUMPRODUCT(-('Gastos Gerais'!$B$4:$B$3143=Analítico!$B130),-(Analítico!AT$3&gt;='Gastos Gerais'!$D$4:$D$3143),-(Analítico!AT$3&lt;='Gastos Gerais'!$E$4:$E$3143),-('Gastos Gerais'!$C$4:$C$3143))</f>
        <v>1890</v>
      </c>
      <c r="AU130" s="134">
        <f>SUMPRODUCT(-('Gastos Gerais'!$B$4:$B$3143=Analítico!$B130),-(Analítico!AU$3&gt;='Gastos Gerais'!$D$4:$D$3143),-(Analítico!AU$3&lt;='Gastos Gerais'!$E$4:$E$3143),-('Gastos Gerais'!$C$4:$C$3143))</f>
        <v>1890</v>
      </c>
      <c r="AV130" s="134">
        <f>SUMPRODUCT(-('Gastos Gerais'!$B$4:$B$3143=Analítico!$B130),-(Analítico!AV$3&gt;='Gastos Gerais'!$D$4:$D$3143),-(Analítico!AV$3&lt;='Gastos Gerais'!$E$4:$E$3143),-('Gastos Gerais'!$C$4:$C$3143))</f>
        <v>1890</v>
      </c>
      <c r="AW130" s="134">
        <f>SUMPRODUCT(-('Gastos Gerais'!$B$4:$B$3143=Analítico!$B130),-(Analítico!AW$3&gt;='Gastos Gerais'!$D$4:$D$3143),-(Analítico!AW$3&lt;='Gastos Gerais'!$E$4:$E$3143),-('Gastos Gerais'!$C$4:$C$3143))</f>
        <v>1890</v>
      </c>
      <c r="AX130" s="134">
        <f>SUMPRODUCT(-('Gastos Gerais'!$B$4:$B$3143=Analítico!$B130),-(Analítico!AX$3&gt;='Gastos Gerais'!$D$4:$D$3143),-(Analítico!AX$3&lt;='Gastos Gerais'!$E$4:$E$3143),-('Gastos Gerais'!$C$4:$C$3143))</f>
        <v>0</v>
      </c>
      <c r="AY130" s="134">
        <f>SUMPRODUCT(-('Gastos Gerais'!$B$4:$B$3143=Analítico!$B130),-(Analítico!AY$3&gt;='Gastos Gerais'!$D$4:$D$3143),-(Analítico!AY$3&lt;='Gastos Gerais'!$E$4:$E$3143),-('Gastos Gerais'!$C$4:$C$3143))</f>
        <v>0</v>
      </c>
      <c r="AZ130" s="134">
        <f>SUMPRODUCT(-('Gastos Gerais'!$B$4:$B$3143=Analítico!$B130),-(Analítico!AZ$3&gt;='Gastos Gerais'!$D$4:$D$3143),-(Analítico!AZ$3&lt;='Gastos Gerais'!$E$4:$E$3143),-('Gastos Gerais'!$C$4:$C$3143))</f>
        <v>0</v>
      </c>
      <c r="BA130" s="134">
        <f>SUMPRODUCT(-('Gastos Gerais'!$B$4:$B$3143=Analítico!$B130),-(Analítico!BA$3&gt;='Gastos Gerais'!$D$4:$D$3143),-(Analítico!BA$3&lt;='Gastos Gerais'!$E$4:$E$3143),-('Gastos Gerais'!$C$4:$C$3143))</f>
        <v>0</v>
      </c>
      <c r="BB130" s="134">
        <f>SUMPRODUCT(-('Gastos Gerais'!$B$4:$B$3143=Analítico!$B130),-(Analítico!BB$3&gt;='Gastos Gerais'!$D$4:$D$3143),-(Analítico!BB$3&lt;='Gastos Gerais'!$E$4:$E$3143),-('Gastos Gerais'!$C$4:$C$3143))</f>
        <v>0</v>
      </c>
      <c r="BC130" s="134">
        <f>SUMPRODUCT(-('Gastos Gerais'!$B$4:$B$3143=Analítico!$B130),-(Analítico!BC$3&gt;='Gastos Gerais'!$D$4:$D$3143),-(Analítico!BC$3&lt;='Gastos Gerais'!$E$4:$E$3143),-('Gastos Gerais'!$C$4:$C$3143))</f>
        <v>0</v>
      </c>
      <c r="BD130" s="134">
        <f>SUMPRODUCT(-('Gastos Gerais'!$B$4:$B$3143=Analítico!$B130),-(Analítico!BD$3&gt;='Gastos Gerais'!$D$4:$D$3143),-(Analítico!BD$3&lt;='Gastos Gerais'!$E$4:$E$3143),-('Gastos Gerais'!$C$4:$C$3143))</f>
        <v>0</v>
      </c>
      <c r="BE130" s="134">
        <f>SUMPRODUCT(-('Gastos Gerais'!$B$4:$B$3143=Analítico!$B130),-(Analítico!BE$3&gt;='Gastos Gerais'!$D$4:$D$3143),-(Analítico!BE$3&lt;='Gastos Gerais'!$E$4:$E$3143),-('Gastos Gerais'!$C$4:$C$3143))</f>
        <v>0</v>
      </c>
      <c r="BF130" s="134">
        <f>SUMPRODUCT(-('Gastos Gerais'!$B$4:$B$3143=Analítico!$B130),-(Analítico!BF$3&gt;='Gastos Gerais'!$D$4:$D$3143),-(Analítico!BF$3&lt;='Gastos Gerais'!$E$4:$E$3143),-('Gastos Gerais'!$C$4:$C$3143))</f>
        <v>0</v>
      </c>
      <c r="BG130" s="134">
        <f>SUMPRODUCT(-('Gastos Gerais'!$B$4:$B$3143=Analítico!$B130),-(Analítico!BG$3&gt;='Gastos Gerais'!$D$4:$D$3143),-(Analítico!BG$3&lt;='Gastos Gerais'!$E$4:$E$3143),-('Gastos Gerais'!$C$4:$C$3143))</f>
        <v>0</v>
      </c>
      <c r="BH130" s="134">
        <f>SUMPRODUCT(-('Gastos Gerais'!$B$4:$B$3143=Analítico!$B130),-(Analítico!BH$3&gt;='Gastos Gerais'!$D$4:$D$3143),-(Analítico!BH$3&lt;='Gastos Gerais'!$E$4:$E$3143),-('Gastos Gerais'!$C$4:$C$3143))</f>
        <v>0</v>
      </c>
      <c r="BI130" s="134">
        <f>SUMPRODUCT(-('Gastos Gerais'!$B$4:$B$3143=Analítico!$B130),-(Analítico!BI$3&gt;='Gastos Gerais'!$D$4:$D$3143),-(Analítico!BI$3&lt;='Gastos Gerais'!$E$4:$E$3143),-('Gastos Gerais'!$C$4:$C$3143))</f>
        <v>0</v>
      </c>
      <c r="BJ130" s="134">
        <f>SUMPRODUCT(-('Gastos Gerais'!$B$4:$B$3143=Analítico!$B130),-(Analítico!BJ$3&gt;='Gastos Gerais'!$D$4:$D$3143),-(Analítico!BJ$3&lt;='Gastos Gerais'!$E$4:$E$3143),-('Gastos Gerais'!$C$4:$C$3143))</f>
        <v>0</v>
      </c>
      <c r="BK130" s="189">
        <f t="shared" si="28"/>
        <v>87030</v>
      </c>
      <c r="BL130" s="136">
        <f t="shared" ca="1" si="29"/>
        <v>2.9964412545568225E-4</v>
      </c>
    </row>
    <row r="131" spans="1:64" s="160" customFormat="1" ht="23.25" customHeight="1">
      <c r="A131" s="229" t="s">
        <v>637</v>
      </c>
      <c r="B131" s="232" t="s">
        <v>626</v>
      </c>
      <c r="C131" s="188">
        <f>SUMPRODUCT(-('Gastos Gerais'!$B$4:$B$3143=Analítico!$B131),-(Analítico!C$3&gt;='Gastos Gerais'!$D$4:$D$3143),-(Analítico!C$3&lt;='Gastos Gerais'!$E$4:$E$3143),-('Gastos Gerais'!$C$4:$C$3143))</f>
        <v>6300</v>
      </c>
      <c r="D131" s="134">
        <f>SUMPRODUCT(-('Gastos Gerais'!$B$4:$B$3143=Analítico!$B131),-(Analítico!D$3&gt;='Gastos Gerais'!$D$4:$D$3143),-(Analítico!D$3&lt;='Gastos Gerais'!$E$4:$E$3143),-('Gastos Gerais'!$C$4:$C$3143))</f>
        <v>6300</v>
      </c>
      <c r="E131" s="134">
        <f>SUMPRODUCT(-('Gastos Gerais'!$B$4:$B$3143=Analítico!$B131),-(Analítico!E$3&gt;='Gastos Gerais'!$D$4:$D$3143),-(Analítico!E$3&lt;='Gastos Gerais'!$E$4:$E$3143),-('Gastos Gerais'!$C$4:$C$3143))</f>
        <v>6300</v>
      </c>
      <c r="F131" s="134">
        <f>SUMPRODUCT(-('Gastos Gerais'!$B$4:$B$3143=Analítico!$B131),-(Analítico!F$3&gt;='Gastos Gerais'!$D$4:$D$3143),-(Analítico!F$3&lt;='Gastos Gerais'!$E$4:$E$3143),-('Gastos Gerais'!$C$4:$C$3143))</f>
        <v>6650</v>
      </c>
      <c r="G131" s="134">
        <f>SUMPRODUCT(-('Gastos Gerais'!$B$4:$B$3143=Analítico!$B131),-(Analítico!G$3&gt;='Gastos Gerais'!$D$4:$D$3143),-(Analítico!G$3&lt;='Gastos Gerais'!$E$4:$E$3143),-('Gastos Gerais'!$C$4:$C$3143))</f>
        <v>6650</v>
      </c>
      <c r="H131" s="134">
        <f>SUMPRODUCT(-('Gastos Gerais'!$B$4:$B$3143=Analítico!$B131),-(Analítico!H$3&gt;='Gastos Gerais'!$D$4:$D$3143),-(Analítico!H$3&lt;='Gastos Gerais'!$E$4:$E$3143),-('Gastos Gerais'!$C$4:$C$3143))</f>
        <v>6650</v>
      </c>
      <c r="I131" s="134">
        <f>SUMPRODUCT(-('Gastos Gerais'!$B$4:$B$3143=Analítico!$B131),-(Analítico!I$3&gt;='Gastos Gerais'!$D$4:$D$3143),-(Analítico!I$3&lt;='Gastos Gerais'!$E$4:$E$3143),-('Gastos Gerais'!$C$4:$C$3143))</f>
        <v>7000</v>
      </c>
      <c r="J131" s="134">
        <f>SUMPRODUCT(-('Gastos Gerais'!$B$4:$B$3143=Analítico!$B131),-(Analítico!J$3&gt;='Gastos Gerais'!$D$4:$D$3143),-(Analítico!J$3&lt;='Gastos Gerais'!$E$4:$E$3143),-('Gastos Gerais'!$C$4:$C$3143))</f>
        <v>7000</v>
      </c>
      <c r="K131" s="134">
        <f>SUMPRODUCT(-('Gastos Gerais'!$B$4:$B$3143=Analítico!$B131),-(Analítico!K$3&gt;='Gastos Gerais'!$D$4:$D$3143),-(Analítico!K$3&lt;='Gastos Gerais'!$E$4:$E$3143),-('Gastos Gerais'!$C$4:$C$3143))</f>
        <v>7000</v>
      </c>
      <c r="L131" s="134">
        <f>SUMPRODUCT(-('Gastos Gerais'!$B$4:$B$3143=Analítico!$B131),-(Analítico!L$3&gt;='Gastos Gerais'!$D$4:$D$3143),-(Analítico!L$3&lt;='Gastos Gerais'!$E$4:$E$3143),-('Gastos Gerais'!$C$4:$C$3143))</f>
        <v>7350</v>
      </c>
      <c r="M131" s="134">
        <f>SUMPRODUCT(-('Gastos Gerais'!$B$4:$B$3143=Analítico!$B131),-(Analítico!M$3&gt;='Gastos Gerais'!$D$4:$D$3143),-(Analítico!M$3&lt;='Gastos Gerais'!$E$4:$E$3143),-('Gastos Gerais'!$C$4:$C$3143))</f>
        <v>7350</v>
      </c>
      <c r="N131" s="134">
        <f>SUMPRODUCT(-('Gastos Gerais'!$B$4:$B$3143=Analítico!$B131),-(Analítico!N$3&gt;='Gastos Gerais'!$D$4:$D$3143),-(Analítico!N$3&lt;='Gastos Gerais'!$E$4:$E$3143),-('Gastos Gerais'!$C$4:$C$3143))</f>
        <v>7350</v>
      </c>
      <c r="O131" s="134">
        <f>SUMPRODUCT(-('Gastos Gerais'!$B$4:$B$3143=Analítico!$B131),-(Analítico!O$3&gt;='Gastos Gerais'!$D$4:$D$3143),-(Analítico!O$3&lt;='Gastos Gerais'!$E$4:$E$3143),-('Gastos Gerais'!$C$4:$C$3143))</f>
        <v>7350</v>
      </c>
      <c r="P131" s="134">
        <f>SUMPRODUCT(-('Gastos Gerais'!$B$4:$B$3143=Analítico!$B131),-(Analítico!P$3&gt;='Gastos Gerais'!$D$4:$D$3143),-(Analítico!P$3&lt;='Gastos Gerais'!$E$4:$E$3143),-('Gastos Gerais'!$C$4:$C$3143))</f>
        <v>7350</v>
      </c>
      <c r="Q131" s="134">
        <f>SUMPRODUCT(-('Gastos Gerais'!$B$4:$B$3143=Analítico!$B131),-(Analítico!Q$3&gt;='Gastos Gerais'!$D$4:$D$3143),-(Analítico!Q$3&lt;='Gastos Gerais'!$E$4:$E$3143),-('Gastos Gerais'!$C$4:$C$3143))</f>
        <v>7350</v>
      </c>
      <c r="R131" s="134">
        <f>SUMPRODUCT(-('Gastos Gerais'!$B$4:$B$3143=Analítico!$B131),-(Analítico!R$3&gt;='Gastos Gerais'!$D$4:$D$3143),-(Analítico!R$3&lt;='Gastos Gerais'!$E$4:$E$3143),-('Gastos Gerais'!$C$4:$C$3143))</f>
        <v>7350</v>
      </c>
      <c r="S131" s="134">
        <f>SUMPRODUCT(-('Gastos Gerais'!$B$4:$B$3143=Analítico!$B131),-(Analítico!S$3&gt;='Gastos Gerais'!$D$4:$D$3143),-(Analítico!S$3&lt;='Gastos Gerais'!$E$4:$E$3143),-('Gastos Gerais'!$C$4:$C$3143))</f>
        <v>7350</v>
      </c>
      <c r="T131" s="134">
        <f>SUMPRODUCT(-('Gastos Gerais'!$B$4:$B$3143=Analítico!$B131),-(Analítico!T$3&gt;='Gastos Gerais'!$D$4:$D$3143),-(Analítico!T$3&lt;='Gastos Gerais'!$E$4:$E$3143),-('Gastos Gerais'!$C$4:$C$3143))</f>
        <v>7350</v>
      </c>
      <c r="U131" s="134">
        <f>SUMPRODUCT(-('Gastos Gerais'!$B$4:$B$3143=Analítico!$B131),-(Analítico!U$3&gt;='Gastos Gerais'!$D$4:$D$3143),-(Analítico!U$3&lt;='Gastos Gerais'!$E$4:$E$3143),-('Gastos Gerais'!$C$4:$C$3143))</f>
        <v>7350</v>
      </c>
      <c r="V131" s="134">
        <f>SUMPRODUCT(-('Gastos Gerais'!$B$4:$B$3143=Analítico!$B131),-(Analítico!V$3&gt;='Gastos Gerais'!$D$4:$D$3143),-(Analítico!V$3&lt;='Gastos Gerais'!$E$4:$E$3143),-('Gastos Gerais'!$C$4:$C$3143))</f>
        <v>7350</v>
      </c>
      <c r="W131" s="134">
        <f>SUMPRODUCT(-('Gastos Gerais'!$B$4:$B$3143=Analítico!$B131),-(Analítico!W$3&gt;='Gastos Gerais'!$D$4:$D$3143),-(Analítico!W$3&lt;='Gastos Gerais'!$E$4:$E$3143),-('Gastos Gerais'!$C$4:$C$3143))</f>
        <v>7350</v>
      </c>
      <c r="X131" s="134">
        <f>SUMPRODUCT(-('Gastos Gerais'!$B$4:$B$3143=Analítico!$B131),-(Analítico!X$3&gt;='Gastos Gerais'!$D$4:$D$3143),-(Analítico!X$3&lt;='Gastos Gerais'!$E$4:$E$3143),-('Gastos Gerais'!$C$4:$C$3143))</f>
        <v>7350</v>
      </c>
      <c r="Y131" s="134">
        <f>SUMPRODUCT(-('Gastos Gerais'!$B$4:$B$3143=Analítico!$B131),-(Analítico!Y$3&gt;='Gastos Gerais'!$D$4:$D$3143),-(Analítico!Y$3&lt;='Gastos Gerais'!$E$4:$E$3143),-('Gastos Gerais'!$C$4:$C$3143))</f>
        <v>7350</v>
      </c>
      <c r="Z131" s="134">
        <f>SUMPRODUCT(-('Gastos Gerais'!$B$4:$B$3143=Analítico!$B131),-(Analítico!Z$3&gt;='Gastos Gerais'!$D$4:$D$3143),-(Analítico!Z$3&lt;='Gastos Gerais'!$E$4:$E$3143),-('Gastos Gerais'!$C$4:$C$3143))</f>
        <v>7350</v>
      </c>
      <c r="AA131" s="134">
        <f>SUMPRODUCT(-('Gastos Gerais'!$B$4:$B$3143=Analítico!$B131),-(Analítico!AA$3&gt;='Gastos Gerais'!$D$4:$D$3143),-(Analítico!AA$3&lt;='Gastos Gerais'!$E$4:$E$3143),-('Gastos Gerais'!$C$4:$C$3143))</f>
        <v>7350</v>
      </c>
      <c r="AB131" s="134">
        <f>SUMPRODUCT(-('Gastos Gerais'!$B$4:$B$3143=Analítico!$B131),-(Analítico!AB$3&gt;='Gastos Gerais'!$D$4:$D$3143),-(Analítico!AB$3&lt;='Gastos Gerais'!$E$4:$E$3143),-('Gastos Gerais'!$C$4:$C$3143))</f>
        <v>7350</v>
      </c>
      <c r="AC131" s="134">
        <f>SUMPRODUCT(-('Gastos Gerais'!$B$4:$B$3143=Analítico!$B131),-(Analítico!AC$3&gt;='Gastos Gerais'!$D$4:$D$3143),-(Analítico!AC$3&lt;='Gastos Gerais'!$E$4:$E$3143),-('Gastos Gerais'!$C$4:$C$3143))</f>
        <v>7350</v>
      </c>
      <c r="AD131" s="134">
        <f>SUMPRODUCT(-('Gastos Gerais'!$B$4:$B$3143=Analítico!$B131),-(Analítico!AD$3&gt;='Gastos Gerais'!$D$4:$D$3143),-(Analítico!AD$3&lt;='Gastos Gerais'!$E$4:$E$3143),-('Gastos Gerais'!$C$4:$C$3143))</f>
        <v>7350</v>
      </c>
      <c r="AE131" s="134">
        <f>SUMPRODUCT(-('Gastos Gerais'!$B$4:$B$3143=Analítico!$B131),-(Analítico!AE$3&gt;='Gastos Gerais'!$D$4:$D$3143),-(Analítico!AE$3&lt;='Gastos Gerais'!$E$4:$E$3143),-('Gastos Gerais'!$C$4:$C$3143))</f>
        <v>7350</v>
      </c>
      <c r="AF131" s="134">
        <f>SUMPRODUCT(-('Gastos Gerais'!$B$4:$B$3143=Analítico!$B131),-(Analítico!AF$3&gt;='Gastos Gerais'!$D$4:$D$3143),-(Analítico!AF$3&lt;='Gastos Gerais'!$E$4:$E$3143),-('Gastos Gerais'!$C$4:$C$3143))</f>
        <v>7350</v>
      </c>
      <c r="AG131" s="134">
        <f>SUMPRODUCT(-('Gastos Gerais'!$B$4:$B$3143=Analítico!$B131),-(Analítico!AG$3&gt;='Gastos Gerais'!$D$4:$D$3143),-(Analítico!AG$3&lt;='Gastos Gerais'!$E$4:$E$3143),-('Gastos Gerais'!$C$4:$C$3143))</f>
        <v>7350</v>
      </c>
      <c r="AH131" s="134">
        <f>SUMPRODUCT(-('Gastos Gerais'!$B$4:$B$3143=Analítico!$B131),-(Analítico!AH$3&gt;='Gastos Gerais'!$D$4:$D$3143),-(Analítico!AH$3&lt;='Gastos Gerais'!$E$4:$E$3143),-('Gastos Gerais'!$C$4:$C$3143))</f>
        <v>7350</v>
      </c>
      <c r="AI131" s="134">
        <f>SUMPRODUCT(-('Gastos Gerais'!$B$4:$B$3143=Analítico!$B131),-(Analítico!AI$3&gt;='Gastos Gerais'!$D$4:$D$3143),-(Analítico!AI$3&lt;='Gastos Gerais'!$E$4:$E$3143),-('Gastos Gerais'!$C$4:$C$3143))</f>
        <v>7350</v>
      </c>
      <c r="AJ131" s="134">
        <f>SUMPRODUCT(-('Gastos Gerais'!$B$4:$B$3143=Analítico!$B131),-(Analítico!AJ$3&gt;='Gastos Gerais'!$D$4:$D$3143),-(Analítico!AJ$3&lt;='Gastos Gerais'!$E$4:$E$3143),-('Gastos Gerais'!$C$4:$C$3143))</f>
        <v>7350</v>
      </c>
      <c r="AK131" s="134">
        <f>SUMPRODUCT(-('Gastos Gerais'!$B$4:$B$3143=Analítico!$B131),-(Analítico!AK$3&gt;='Gastos Gerais'!$D$4:$D$3143),-(Analítico!AK$3&lt;='Gastos Gerais'!$E$4:$E$3143),-('Gastos Gerais'!$C$4:$C$3143))</f>
        <v>7350</v>
      </c>
      <c r="AL131" s="134">
        <f>SUMPRODUCT(-('Gastos Gerais'!$B$4:$B$3143=Analítico!$B131),-(Analítico!AL$3&gt;='Gastos Gerais'!$D$4:$D$3143),-(Analítico!AL$3&lt;='Gastos Gerais'!$E$4:$E$3143),-('Gastos Gerais'!$C$4:$C$3143))</f>
        <v>7350</v>
      </c>
      <c r="AM131" s="134">
        <f>SUMPRODUCT(-('Gastos Gerais'!$B$4:$B$3143=Analítico!$B131),-(Analítico!AM$3&gt;='Gastos Gerais'!$D$4:$D$3143),-(Analítico!AM$3&lt;='Gastos Gerais'!$E$4:$E$3143),-('Gastos Gerais'!$C$4:$C$3143))</f>
        <v>7350</v>
      </c>
      <c r="AN131" s="134">
        <f>SUMPRODUCT(-('Gastos Gerais'!$B$4:$B$3143=Analítico!$B131),-(Analítico!AN$3&gt;='Gastos Gerais'!$D$4:$D$3143),-(Analítico!AN$3&lt;='Gastos Gerais'!$E$4:$E$3143),-('Gastos Gerais'!$C$4:$C$3143))</f>
        <v>7350</v>
      </c>
      <c r="AO131" s="134">
        <f>SUMPRODUCT(-('Gastos Gerais'!$B$4:$B$3143=Analítico!$B131),-(Analítico!AO$3&gt;='Gastos Gerais'!$D$4:$D$3143),-(Analítico!AO$3&lt;='Gastos Gerais'!$E$4:$E$3143),-('Gastos Gerais'!$C$4:$C$3143))</f>
        <v>7350</v>
      </c>
      <c r="AP131" s="134">
        <f>SUMPRODUCT(-('Gastos Gerais'!$B$4:$B$3143=Analítico!$B131),-(Analítico!AP$3&gt;='Gastos Gerais'!$D$4:$D$3143),-(Analítico!AP$3&lt;='Gastos Gerais'!$E$4:$E$3143),-('Gastos Gerais'!$C$4:$C$3143))</f>
        <v>7350</v>
      </c>
      <c r="AQ131" s="134">
        <f>SUMPRODUCT(-('Gastos Gerais'!$B$4:$B$3143=Analítico!$B131),-(Analítico!AQ$3&gt;='Gastos Gerais'!$D$4:$D$3143),-(Analítico!AQ$3&lt;='Gastos Gerais'!$E$4:$E$3143),-('Gastos Gerais'!$C$4:$C$3143))</f>
        <v>7350</v>
      </c>
      <c r="AR131" s="134">
        <f>SUMPRODUCT(-('Gastos Gerais'!$B$4:$B$3143=Analítico!$B131),-(Analítico!AR$3&gt;='Gastos Gerais'!$D$4:$D$3143),-(Analítico!AR$3&lt;='Gastos Gerais'!$E$4:$E$3143),-('Gastos Gerais'!$C$4:$C$3143))</f>
        <v>7350</v>
      </c>
      <c r="AS131" s="134">
        <f>SUMPRODUCT(-('Gastos Gerais'!$B$4:$B$3143=Analítico!$B131),-(Analítico!AS$3&gt;='Gastos Gerais'!$D$4:$D$3143),-(Analítico!AS$3&lt;='Gastos Gerais'!$E$4:$E$3143),-('Gastos Gerais'!$C$4:$C$3143))</f>
        <v>7350</v>
      </c>
      <c r="AT131" s="134">
        <f>SUMPRODUCT(-('Gastos Gerais'!$B$4:$B$3143=Analítico!$B131),-(Analítico!AT$3&gt;='Gastos Gerais'!$D$4:$D$3143),-(Analítico!AT$3&lt;='Gastos Gerais'!$E$4:$E$3143),-('Gastos Gerais'!$C$4:$C$3143))</f>
        <v>7350</v>
      </c>
      <c r="AU131" s="134">
        <f>SUMPRODUCT(-('Gastos Gerais'!$B$4:$B$3143=Analítico!$B131),-(Analítico!AU$3&gt;='Gastos Gerais'!$D$4:$D$3143),-(Analítico!AU$3&lt;='Gastos Gerais'!$E$4:$E$3143),-('Gastos Gerais'!$C$4:$C$3143))</f>
        <v>7350</v>
      </c>
      <c r="AV131" s="134">
        <f>SUMPRODUCT(-('Gastos Gerais'!$B$4:$B$3143=Analítico!$B131),-(Analítico!AV$3&gt;='Gastos Gerais'!$D$4:$D$3143),-(Analítico!AV$3&lt;='Gastos Gerais'!$E$4:$E$3143),-('Gastos Gerais'!$C$4:$C$3143))</f>
        <v>7350</v>
      </c>
      <c r="AW131" s="134">
        <f>SUMPRODUCT(-('Gastos Gerais'!$B$4:$B$3143=Analítico!$B131),-(Analítico!AW$3&gt;='Gastos Gerais'!$D$4:$D$3143),-(Analítico!AW$3&lt;='Gastos Gerais'!$E$4:$E$3143),-('Gastos Gerais'!$C$4:$C$3143))</f>
        <v>7350</v>
      </c>
      <c r="AX131" s="134">
        <f>SUMPRODUCT(-('Gastos Gerais'!$B$4:$B$3143=Analítico!$B131),-(Analítico!AX$3&gt;='Gastos Gerais'!$D$4:$D$3143),-(Analítico!AX$3&lt;='Gastos Gerais'!$E$4:$E$3143),-('Gastos Gerais'!$C$4:$C$3143))</f>
        <v>0</v>
      </c>
      <c r="AY131" s="134">
        <f>SUMPRODUCT(-('Gastos Gerais'!$B$4:$B$3143=Analítico!$B131),-(Analítico!AY$3&gt;='Gastos Gerais'!$D$4:$D$3143),-(Analítico!AY$3&lt;='Gastos Gerais'!$E$4:$E$3143),-('Gastos Gerais'!$C$4:$C$3143))</f>
        <v>0</v>
      </c>
      <c r="AZ131" s="134">
        <f>SUMPRODUCT(-('Gastos Gerais'!$B$4:$B$3143=Analítico!$B131),-(Analítico!AZ$3&gt;='Gastos Gerais'!$D$4:$D$3143),-(Analítico!AZ$3&lt;='Gastos Gerais'!$E$4:$E$3143),-('Gastos Gerais'!$C$4:$C$3143))</f>
        <v>0</v>
      </c>
      <c r="BA131" s="134">
        <f>SUMPRODUCT(-('Gastos Gerais'!$B$4:$B$3143=Analítico!$B131),-(Analítico!BA$3&gt;='Gastos Gerais'!$D$4:$D$3143),-(Analítico!BA$3&lt;='Gastos Gerais'!$E$4:$E$3143),-('Gastos Gerais'!$C$4:$C$3143))</f>
        <v>0</v>
      </c>
      <c r="BB131" s="134">
        <f>SUMPRODUCT(-('Gastos Gerais'!$B$4:$B$3143=Analítico!$B131),-(Analítico!BB$3&gt;='Gastos Gerais'!$D$4:$D$3143),-(Analítico!BB$3&lt;='Gastos Gerais'!$E$4:$E$3143),-('Gastos Gerais'!$C$4:$C$3143))</f>
        <v>0</v>
      </c>
      <c r="BC131" s="134">
        <f>SUMPRODUCT(-('Gastos Gerais'!$B$4:$B$3143=Analítico!$B131),-(Analítico!BC$3&gt;='Gastos Gerais'!$D$4:$D$3143),-(Analítico!BC$3&lt;='Gastos Gerais'!$E$4:$E$3143),-('Gastos Gerais'!$C$4:$C$3143))</f>
        <v>0</v>
      </c>
      <c r="BD131" s="134">
        <f>SUMPRODUCT(-('Gastos Gerais'!$B$4:$B$3143=Analítico!$B131),-(Analítico!BD$3&gt;='Gastos Gerais'!$D$4:$D$3143),-(Analítico!BD$3&lt;='Gastos Gerais'!$E$4:$E$3143),-('Gastos Gerais'!$C$4:$C$3143))</f>
        <v>0</v>
      </c>
      <c r="BE131" s="134">
        <f>SUMPRODUCT(-('Gastos Gerais'!$B$4:$B$3143=Analítico!$B131),-(Analítico!BE$3&gt;='Gastos Gerais'!$D$4:$D$3143),-(Analítico!BE$3&lt;='Gastos Gerais'!$E$4:$E$3143),-('Gastos Gerais'!$C$4:$C$3143))</f>
        <v>0</v>
      </c>
      <c r="BF131" s="134">
        <f>SUMPRODUCT(-('Gastos Gerais'!$B$4:$B$3143=Analítico!$B131),-(Analítico!BF$3&gt;='Gastos Gerais'!$D$4:$D$3143),-(Analítico!BF$3&lt;='Gastos Gerais'!$E$4:$E$3143),-('Gastos Gerais'!$C$4:$C$3143))</f>
        <v>0</v>
      </c>
      <c r="BG131" s="134">
        <f>SUMPRODUCT(-('Gastos Gerais'!$B$4:$B$3143=Analítico!$B131),-(Analítico!BG$3&gt;='Gastos Gerais'!$D$4:$D$3143),-(Analítico!BG$3&lt;='Gastos Gerais'!$E$4:$E$3143),-('Gastos Gerais'!$C$4:$C$3143))</f>
        <v>0</v>
      </c>
      <c r="BH131" s="134">
        <f>SUMPRODUCT(-('Gastos Gerais'!$B$4:$B$3143=Analítico!$B131),-(Analítico!BH$3&gt;='Gastos Gerais'!$D$4:$D$3143),-(Analítico!BH$3&lt;='Gastos Gerais'!$E$4:$E$3143),-('Gastos Gerais'!$C$4:$C$3143))</f>
        <v>0</v>
      </c>
      <c r="BI131" s="134">
        <f>SUMPRODUCT(-('Gastos Gerais'!$B$4:$B$3143=Analítico!$B131),-(Analítico!BI$3&gt;='Gastos Gerais'!$D$4:$D$3143),-(Analítico!BI$3&lt;='Gastos Gerais'!$E$4:$E$3143),-('Gastos Gerais'!$C$4:$C$3143))</f>
        <v>0</v>
      </c>
      <c r="BJ131" s="134">
        <f>SUMPRODUCT(-('Gastos Gerais'!$B$4:$B$3143=Analítico!$B131),-(Analítico!BJ$3&gt;='Gastos Gerais'!$D$4:$D$3143),-(Analítico!BJ$3&lt;='Gastos Gerais'!$E$4:$E$3143),-('Gastos Gerais'!$C$4:$C$3143))</f>
        <v>0</v>
      </c>
      <c r="BK131" s="189">
        <f t="shared" si="28"/>
        <v>339150</v>
      </c>
      <c r="BL131" s="136">
        <f t="shared" ca="1" si="29"/>
        <v>1.1676928087819677E-3</v>
      </c>
    </row>
    <row r="132" spans="1:64" s="160" customFormat="1" ht="23.25" customHeight="1">
      <c r="A132" s="229" t="s">
        <v>638</v>
      </c>
      <c r="B132" s="232" t="s">
        <v>627</v>
      </c>
      <c r="C132" s="188">
        <f>SUMPRODUCT(-('Gastos Gerais'!$B$4:$B$3143=Analítico!$B132),-(Analítico!C$3&gt;='Gastos Gerais'!$D$4:$D$3143),-(Analítico!C$3&lt;='Gastos Gerais'!$E$4:$E$3143),-('Gastos Gerais'!$C$4:$C$3143))</f>
        <v>850</v>
      </c>
      <c r="D132" s="134">
        <f>SUMPRODUCT(-('Gastos Gerais'!$B$4:$B$3143=Analítico!$B132),-(Analítico!D$3&gt;='Gastos Gerais'!$D$4:$D$3143),-(Analítico!D$3&lt;='Gastos Gerais'!$E$4:$E$3143),-('Gastos Gerais'!$C$4:$C$3143))</f>
        <v>850</v>
      </c>
      <c r="E132" s="134">
        <f>SUMPRODUCT(-('Gastos Gerais'!$B$4:$B$3143=Analítico!$B132),-(Analítico!E$3&gt;='Gastos Gerais'!$D$4:$D$3143),-(Analítico!E$3&lt;='Gastos Gerais'!$E$4:$E$3143),-('Gastos Gerais'!$C$4:$C$3143))</f>
        <v>900</v>
      </c>
      <c r="F132" s="134">
        <f>SUMPRODUCT(-('Gastos Gerais'!$B$4:$B$3143=Analítico!$B132),-(Analítico!F$3&gt;='Gastos Gerais'!$D$4:$D$3143),-(Analítico!F$3&lt;='Gastos Gerais'!$E$4:$E$3143),-('Gastos Gerais'!$C$4:$C$3143))</f>
        <v>950</v>
      </c>
      <c r="G132" s="134">
        <f>SUMPRODUCT(-('Gastos Gerais'!$B$4:$B$3143=Analítico!$B132),-(Analítico!G$3&gt;='Gastos Gerais'!$D$4:$D$3143),-(Analítico!G$3&lt;='Gastos Gerais'!$E$4:$E$3143),-('Gastos Gerais'!$C$4:$C$3143))</f>
        <v>950</v>
      </c>
      <c r="H132" s="134">
        <f>SUMPRODUCT(-('Gastos Gerais'!$B$4:$B$3143=Analítico!$B132),-(Analítico!H$3&gt;='Gastos Gerais'!$D$4:$D$3143),-(Analítico!H$3&lt;='Gastos Gerais'!$E$4:$E$3143),-('Gastos Gerais'!$C$4:$C$3143))</f>
        <v>950</v>
      </c>
      <c r="I132" s="134">
        <f>SUMPRODUCT(-('Gastos Gerais'!$B$4:$B$3143=Analítico!$B132),-(Analítico!I$3&gt;='Gastos Gerais'!$D$4:$D$3143),-(Analítico!I$3&lt;='Gastos Gerais'!$E$4:$E$3143),-('Gastos Gerais'!$C$4:$C$3143))</f>
        <v>1000</v>
      </c>
      <c r="J132" s="134">
        <f>SUMPRODUCT(-('Gastos Gerais'!$B$4:$B$3143=Analítico!$B132),-(Analítico!J$3&gt;='Gastos Gerais'!$D$4:$D$3143),-(Analítico!J$3&lt;='Gastos Gerais'!$E$4:$E$3143),-('Gastos Gerais'!$C$4:$C$3143))</f>
        <v>1000</v>
      </c>
      <c r="K132" s="134">
        <f>SUMPRODUCT(-('Gastos Gerais'!$B$4:$B$3143=Analítico!$B132),-(Analítico!K$3&gt;='Gastos Gerais'!$D$4:$D$3143),-(Analítico!K$3&lt;='Gastos Gerais'!$E$4:$E$3143),-('Gastos Gerais'!$C$4:$C$3143))</f>
        <v>1000</v>
      </c>
      <c r="L132" s="134">
        <f>SUMPRODUCT(-('Gastos Gerais'!$B$4:$B$3143=Analítico!$B132),-(Analítico!L$3&gt;='Gastos Gerais'!$D$4:$D$3143),-(Analítico!L$3&lt;='Gastos Gerais'!$E$4:$E$3143),-('Gastos Gerais'!$C$4:$C$3143))</f>
        <v>1050</v>
      </c>
      <c r="M132" s="134">
        <f>SUMPRODUCT(-('Gastos Gerais'!$B$4:$B$3143=Analítico!$B132),-(Analítico!M$3&gt;='Gastos Gerais'!$D$4:$D$3143),-(Analítico!M$3&lt;='Gastos Gerais'!$E$4:$E$3143),-('Gastos Gerais'!$C$4:$C$3143))</f>
        <v>1050</v>
      </c>
      <c r="N132" s="134">
        <f>SUMPRODUCT(-('Gastos Gerais'!$B$4:$B$3143=Analítico!$B132),-(Analítico!N$3&gt;='Gastos Gerais'!$D$4:$D$3143),-(Analítico!N$3&lt;='Gastos Gerais'!$E$4:$E$3143),-('Gastos Gerais'!$C$4:$C$3143))</f>
        <v>1050</v>
      </c>
      <c r="O132" s="134">
        <f>SUMPRODUCT(-('Gastos Gerais'!$B$4:$B$3143=Analítico!$B132),-(Analítico!O$3&gt;='Gastos Gerais'!$D$4:$D$3143),-(Analítico!O$3&lt;='Gastos Gerais'!$E$4:$E$3143),-('Gastos Gerais'!$C$4:$C$3143))</f>
        <v>1050</v>
      </c>
      <c r="P132" s="134">
        <f>SUMPRODUCT(-('Gastos Gerais'!$B$4:$B$3143=Analítico!$B132),-(Analítico!P$3&gt;='Gastos Gerais'!$D$4:$D$3143),-(Analítico!P$3&lt;='Gastos Gerais'!$E$4:$E$3143),-('Gastos Gerais'!$C$4:$C$3143))</f>
        <v>1050</v>
      </c>
      <c r="Q132" s="134">
        <f>SUMPRODUCT(-('Gastos Gerais'!$B$4:$B$3143=Analítico!$B132),-(Analítico!Q$3&gt;='Gastos Gerais'!$D$4:$D$3143),-(Analítico!Q$3&lt;='Gastos Gerais'!$E$4:$E$3143),-('Gastos Gerais'!$C$4:$C$3143))</f>
        <v>1050</v>
      </c>
      <c r="R132" s="134">
        <f>SUMPRODUCT(-('Gastos Gerais'!$B$4:$B$3143=Analítico!$B132),-(Analítico!R$3&gt;='Gastos Gerais'!$D$4:$D$3143),-(Analítico!R$3&lt;='Gastos Gerais'!$E$4:$E$3143),-('Gastos Gerais'!$C$4:$C$3143))</f>
        <v>1050</v>
      </c>
      <c r="S132" s="134">
        <f>SUMPRODUCT(-('Gastos Gerais'!$B$4:$B$3143=Analítico!$B132),-(Analítico!S$3&gt;='Gastos Gerais'!$D$4:$D$3143),-(Analítico!S$3&lt;='Gastos Gerais'!$E$4:$E$3143),-('Gastos Gerais'!$C$4:$C$3143))</f>
        <v>1050</v>
      </c>
      <c r="T132" s="134">
        <f>SUMPRODUCT(-('Gastos Gerais'!$B$4:$B$3143=Analítico!$B132),-(Analítico!T$3&gt;='Gastos Gerais'!$D$4:$D$3143),-(Analítico!T$3&lt;='Gastos Gerais'!$E$4:$E$3143),-('Gastos Gerais'!$C$4:$C$3143))</f>
        <v>1050</v>
      </c>
      <c r="U132" s="134">
        <f>SUMPRODUCT(-('Gastos Gerais'!$B$4:$B$3143=Analítico!$B132),-(Analítico!U$3&gt;='Gastos Gerais'!$D$4:$D$3143),-(Analítico!U$3&lt;='Gastos Gerais'!$E$4:$E$3143),-('Gastos Gerais'!$C$4:$C$3143))</f>
        <v>1050</v>
      </c>
      <c r="V132" s="134">
        <f>SUMPRODUCT(-('Gastos Gerais'!$B$4:$B$3143=Analítico!$B132),-(Analítico!V$3&gt;='Gastos Gerais'!$D$4:$D$3143),-(Analítico!V$3&lt;='Gastos Gerais'!$E$4:$E$3143),-('Gastos Gerais'!$C$4:$C$3143))</f>
        <v>1050</v>
      </c>
      <c r="W132" s="134">
        <f>SUMPRODUCT(-('Gastos Gerais'!$B$4:$B$3143=Analítico!$B132),-(Analítico!W$3&gt;='Gastos Gerais'!$D$4:$D$3143),-(Analítico!W$3&lt;='Gastos Gerais'!$E$4:$E$3143),-('Gastos Gerais'!$C$4:$C$3143))</f>
        <v>1050</v>
      </c>
      <c r="X132" s="134">
        <f>SUMPRODUCT(-('Gastos Gerais'!$B$4:$B$3143=Analítico!$B132),-(Analítico!X$3&gt;='Gastos Gerais'!$D$4:$D$3143),-(Analítico!X$3&lt;='Gastos Gerais'!$E$4:$E$3143),-('Gastos Gerais'!$C$4:$C$3143))</f>
        <v>1050</v>
      </c>
      <c r="Y132" s="134">
        <f>SUMPRODUCT(-('Gastos Gerais'!$B$4:$B$3143=Analítico!$B132),-(Analítico!Y$3&gt;='Gastos Gerais'!$D$4:$D$3143),-(Analítico!Y$3&lt;='Gastos Gerais'!$E$4:$E$3143),-('Gastos Gerais'!$C$4:$C$3143))</f>
        <v>1050</v>
      </c>
      <c r="Z132" s="134">
        <f>SUMPRODUCT(-('Gastos Gerais'!$B$4:$B$3143=Analítico!$B132),-(Analítico!Z$3&gt;='Gastos Gerais'!$D$4:$D$3143),-(Analítico!Z$3&lt;='Gastos Gerais'!$E$4:$E$3143),-('Gastos Gerais'!$C$4:$C$3143))</f>
        <v>1050</v>
      </c>
      <c r="AA132" s="134">
        <f>SUMPRODUCT(-('Gastos Gerais'!$B$4:$B$3143=Analítico!$B132),-(Analítico!AA$3&gt;='Gastos Gerais'!$D$4:$D$3143),-(Analítico!AA$3&lt;='Gastos Gerais'!$E$4:$E$3143),-('Gastos Gerais'!$C$4:$C$3143))</f>
        <v>1050</v>
      </c>
      <c r="AB132" s="134">
        <f>SUMPRODUCT(-('Gastos Gerais'!$B$4:$B$3143=Analítico!$B132),-(Analítico!AB$3&gt;='Gastos Gerais'!$D$4:$D$3143),-(Analítico!AB$3&lt;='Gastos Gerais'!$E$4:$E$3143),-('Gastos Gerais'!$C$4:$C$3143))</f>
        <v>1050</v>
      </c>
      <c r="AC132" s="134">
        <f>SUMPRODUCT(-('Gastos Gerais'!$B$4:$B$3143=Analítico!$B132),-(Analítico!AC$3&gt;='Gastos Gerais'!$D$4:$D$3143),-(Analítico!AC$3&lt;='Gastos Gerais'!$E$4:$E$3143),-('Gastos Gerais'!$C$4:$C$3143))</f>
        <v>1050</v>
      </c>
      <c r="AD132" s="134">
        <f>SUMPRODUCT(-('Gastos Gerais'!$B$4:$B$3143=Analítico!$B132),-(Analítico!AD$3&gt;='Gastos Gerais'!$D$4:$D$3143),-(Analítico!AD$3&lt;='Gastos Gerais'!$E$4:$E$3143),-('Gastos Gerais'!$C$4:$C$3143))</f>
        <v>1050</v>
      </c>
      <c r="AE132" s="134">
        <f>SUMPRODUCT(-('Gastos Gerais'!$B$4:$B$3143=Analítico!$B132),-(Analítico!AE$3&gt;='Gastos Gerais'!$D$4:$D$3143),-(Analítico!AE$3&lt;='Gastos Gerais'!$E$4:$E$3143),-('Gastos Gerais'!$C$4:$C$3143))</f>
        <v>1050</v>
      </c>
      <c r="AF132" s="134">
        <f>SUMPRODUCT(-('Gastos Gerais'!$B$4:$B$3143=Analítico!$B132),-(Analítico!AF$3&gt;='Gastos Gerais'!$D$4:$D$3143),-(Analítico!AF$3&lt;='Gastos Gerais'!$E$4:$E$3143),-('Gastos Gerais'!$C$4:$C$3143))</f>
        <v>1050</v>
      </c>
      <c r="AG132" s="134">
        <f>SUMPRODUCT(-('Gastos Gerais'!$B$4:$B$3143=Analítico!$B132),-(Analítico!AG$3&gt;='Gastos Gerais'!$D$4:$D$3143),-(Analítico!AG$3&lt;='Gastos Gerais'!$E$4:$E$3143),-('Gastos Gerais'!$C$4:$C$3143))</f>
        <v>1050</v>
      </c>
      <c r="AH132" s="134">
        <f>SUMPRODUCT(-('Gastos Gerais'!$B$4:$B$3143=Analítico!$B132),-(Analítico!AH$3&gt;='Gastos Gerais'!$D$4:$D$3143),-(Analítico!AH$3&lt;='Gastos Gerais'!$E$4:$E$3143),-('Gastos Gerais'!$C$4:$C$3143))</f>
        <v>1050</v>
      </c>
      <c r="AI132" s="134">
        <f>SUMPRODUCT(-('Gastos Gerais'!$B$4:$B$3143=Analítico!$B132),-(Analítico!AI$3&gt;='Gastos Gerais'!$D$4:$D$3143),-(Analítico!AI$3&lt;='Gastos Gerais'!$E$4:$E$3143),-('Gastos Gerais'!$C$4:$C$3143))</f>
        <v>1050</v>
      </c>
      <c r="AJ132" s="134">
        <f>SUMPRODUCT(-('Gastos Gerais'!$B$4:$B$3143=Analítico!$B132),-(Analítico!AJ$3&gt;='Gastos Gerais'!$D$4:$D$3143),-(Analítico!AJ$3&lt;='Gastos Gerais'!$E$4:$E$3143),-('Gastos Gerais'!$C$4:$C$3143))</f>
        <v>1050</v>
      </c>
      <c r="AK132" s="134">
        <f>SUMPRODUCT(-('Gastos Gerais'!$B$4:$B$3143=Analítico!$B132),-(Analítico!AK$3&gt;='Gastos Gerais'!$D$4:$D$3143),-(Analítico!AK$3&lt;='Gastos Gerais'!$E$4:$E$3143),-('Gastos Gerais'!$C$4:$C$3143))</f>
        <v>1050</v>
      </c>
      <c r="AL132" s="134">
        <f>SUMPRODUCT(-('Gastos Gerais'!$B$4:$B$3143=Analítico!$B132),-(Analítico!AL$3&gt;='Gastos Gerais'!$D$4:$D$3143),-(Analítico!AL$3&lt;='Gastos Gerais'!$E$4:$E$3143),-('Gastos Gerais'!$C$4:$C$3143))</f>
        <v>1050</v>
      </c>
      <c r="AM132" s="134">
        <f>SUMPRODUCT(-('Gastos Gerais'!$B$4:$B$3143=Analítico!$B132),-(Analítico!AM$3&gt;='Gastos Gerais'!$D$4:$D$3143),-(Analítico!AM$3&lt;='Gastos Gerais'!$E$4:$E$3143),-('Gastos Gerais'!$C$4:$C$3143))</f>
        <v>1050</v>
      </c>
      <c r="AN132" s="134">
        <f>SUMPRODUCT(-('Gastos Gerais'!$B$4:$B$3143=Analítico!$B132),-(Analítico!AN$3&gt;='Gastos Gerais'!$D$4:$D$3143),-(Analítico!AN$3&lt;='Gastos Gerais'!$E$4:$E$3143),-('Gastos Gerais'!$C$4:$C$3143))</f>
        <v>1050</v>
      </c>
      <c r="AO132" s="134">
        <f>SUMPRODUCT(-('Gastos Gerais'!$B$4:$B$3143=Analítico!$B132),-(Analítico!AO$3&gt;='Gastos Gerais'!$D$4:$D$3143),-(Analítico!AO$3&lt;='Gastos Gerais'!$E$4:$E$3143),-('Gastos Gerais'!$C$4:$C$3143))</f>
        <v>1050</v>
      </c>
      <c r="AP132" s="134">
        <f>SUMPRODUCT(-('Gastos Gerais'!$B$4:$B$3143=Analítico!$B132),-(Analítico!AP$3&gt;='Gastos Gerais'!$D$4:$D$3143),-(Analítico!AP$3&lt;='Gastos Gerais'!$E$4:$E$3143),-('Gastos Gerais'!$C$4:$C$3143))</f>
        <v>1050</v>
      </c>
      <c r="AQ132" s="134">
        <f>SUMPRODUCT(-('Gastos Gerais'!$B$4:$B$3143=Analítico!$B132),-(Analítico!AQ$3&gt;='Gastos Gerais'!$D$4:$D$3143),-(Analítico!AQ$3&lt;='Gastos Gerais'!$E$4:$E$3143),-('Gastos Gerais'!$C$4:$C$3143))</f>
        <v>1050</v>
      </c>
      <c r="AR132" s="134">
        <f>SUMPRODUCT(-('Gastos Gerais'!$B$4:$B$3143=Analítico!$B132),-(Analítico!AR$3&gt;='Gastos Gerais'!$D$4:$D$3143),-(Analítico!AR$3&lt;='Gastos Gerais'!$E$4:$E$3143),-('Gastos Gerais'!$C$4:$C$3143))</f>
        <v>1050</v>
      </c>
      <c r="AS132" s="134">
        <f>SUMPRODUCT(-('Gastos Gerais'!$B$4:$B$3143=Analítico!$B132),-(Analítico!AS$3&gt;='Gastos Gerais'!$D$4:$D$3143),-(Analítico!AS$3&lt;='Gastos Gerais'!$E$4:$E$3143),-('Gastos Gerais'!$C$4:$C$3143))</f>
        <v>1050</v>
      </c>
      <c r="AT132" s="134">
        <f>SUMPRODUCT(-('Gastos Gerais'!$B$4:$B$3143=Analítico!$B132),-(Analítico!AT$3&gt;='Gastos Gerais'!$D$4:$D$3143),-(Analítico!AT$3&lt;='Gastos Gerais'!$E$4:$E$3143),-('Gastos Gerais'!$C$4:$C$3143))</f>
        <v>1050</v>
      </c>
      <c r="AU132" s="134">
        <f>SUMPRODUCT(-('Gastos Gerais'!$B$4:$B$3143=Analítico!$B132),-(Analítico!AU$3&gt;='Gastos Gerais'!$D$4:$D$3143),-(Analítico!AU$3&lt;='Gastos Gerais'!$E$4:$E$3143),-('Gastos Gerais'!$C$4:$C$3143))</f>
        <v>1050</v>
      </c>
      <c r="AV132" s="134">
        <f>SUMPRODUCT(-('Gastos Gerais'!$B$4:$B$3143=Analítico!$B132),-(Analítico!AV$3&gt;='Gastos Gerais'!$D$4:$D$3143),-(Analítico!AV$3&lt;='Gastos Gerais'!$E$4:$E$3143),-('Gastos Gerais'!$C$4:$C$3143))</f>
        <v>1050</v>
      </c>
      <c r="AW132" s="134">
        <f>SUMPRODUCT(-('Gastos Gerais'!$B$4:$B$3143=Analítico!$B132),-(Analítico!AW$3&gt;='Gastos Gerais'!$D$4:$D$3143),-(Analítico!AW$3&lt;='Gastos Gerais'!$E$4:$E$3143),-('Gastos Gerais'!$C$4:$C$3143))</f>
        <v>1050</v>
      </c>
      <c r="AX132" s="134">
        <f>SUMPRODUCT(-('Gastos Gerais'!$B$4:$B$3143=Analítico!$B132),-(Analítico!AX$3&gt;='Gastos Gerais'!$D$4:$D$3143),-(Analítico!AX$3&lt;='Gastos Gerais'!$E$4:$E$3143),-('Gastos Gerais'!$C$4:$C$3143))</f>
        <v>0</v>
      </c>
      <c r="AY132" s="134">
        <f>SUMPRODUCT(-('Gastos Gerais'!$B$4:$B$3143=Analítico!$B132),-(Analítico!AY$3&gt;='Gastos Gerais'!$D$4:$D$3143),-(Analítico!AY$3&lt;='Gastos Gerais'!$E$4:$E$3143),-('Gastos Gerais'!$C$4:$C$3143))</f>
        <v>0</v>
      </c>
      <c r="AZ132" s="134">
        <f>SUMPRODUCT(-('Gastos Gerais'!$B$4:$B$3143=Analítico!$B132),-(Analítico!AZ$3&gt;='Gastos Gerais'!$D$4:$D$3143),-(Analítico!AZ$3&lt;='Gastos Gerais'!$E$4:$E$3143),-('Gastos Gerais'!$C$4:$C$3143))</f>
        <v>0</v>
      </c>
      <c r="BA132" s="134">
        <f>SUMPRODUCT(-('Gastos Gerais'!$B$4:$B$3143=Analítico!$B132),-(Analítico!BA$3&gt;='Gastos Gerais'!$D$4:$D$3143),-(Analítico!BA$3&lt;='Gastos Gerais'!$E$4:$E$3143),-('Gastos Gerais'!$C$4:$C$3143))</f>
        <v>0</v>
      </c>
      <c r="BB132" s="134">
        <f>SUMPRODUCT(-('Gastos Gerais'!$B$4:$B$3143=Analítico!$B132),-(Analítico!BB$3&gt;='Gastos Gerais'!$D$4:$D$3143),-(Analítico!BB$3&lt;='Gastos Gerais'!$E$4:$E$3143),-('Gastos Gerais'!$C$4:$C$3143))</f>
        <v>0</v>
      </c>
      <c r="BC132" s="134">
        <f>SUMPRODUCT(-('Gastos Gerais'!$B$4:$B$3143=Analítico!$B132),-(Analítico!BC$3&gt;='Gastos Gerais'!$D$4:$D$3143),-(Analítico!BC$3&lt;='Gastos Gerais'!$E$4:$E$3143),-('Gastos Gerais'!$C$4:$C$3143))</f>
        <v>0</v>
      </c>
      <c r="BD132" s="134">
        <f>SUMPRODUCT(-('Gastos Gerais'!$B$4:$B$3143=Analítico!$B132),-(Analítico!BD$3&gt;='Gastos Gerais'!$D$4:$D$3143),-(Analítico!BD$3&lt;='Gastos Gerais'!$E$4:$E$3143),-('Gastos Gerais'!$C$4:$C$3143))</f>
        <v>0</v>
      </c>
      <c r="BE132" s="134">
        <f>SUMPRODUCT(-('Gastos Gerais'!$B$4:$B$3143=Analítico!$B132),-(Analítico!BE$3&gt;='Gastos Gerais'!$D$4:$D$3143),-(Analítico!BE$3&lt;='Gastos Gerais'!$E$4:$E$3143),-('Gastos Gerais'!$C$4:$C$3143))</f>
        <v>0</v>
      </c>
      <c r="BF132" s="134">
        <f>SUMPRODUCT(-('Gastos Gerais'!$B$4:$B$3143=Analítico!$B132),-(Analítico!BF$3&gt;='Gastos Gerais'!$D$4:$D$3143),-(Analítico!BF$3&lt;='Gastos Gerais'!$E$4:$E$3143),-('Gastos Gerais'!$C$4:$C$3143))</f>
        <v>0</v>
      </c>
      <c r="BG132" s="134">
        <f>SUMPRODUCT(-('Gastos Gerais'!$B$4:$B$3143=Analítico!$B132),-(Analítico!BG$3&gt;='Gastos Gerais'!$D$4:$D$3143),-(Analítico!BG$3&lt;='Gastos Gerais'!$E$4:$E$3143),-('Gastos Gerais'!$C$4:$C$3143))</f>
        <v>0</v>
      </c>
      <c r="BH132" s="134">
        <f>SUMPRODUCT(-('Gastos Gerais'!$B$4:$B$3143=Analítico!$B132),-(Analítico!BH$3&gt;='Gastos Gerais'!$D$4:$D$3143),-(Analítico!BH$3&lt;='Gastos Gerais'!$E$4:$E$3143),-('Gastos Gerais'!$C$4:$C$3143))</f>
        <v>0</v>
      </c>
      <c r="BI132" s="134">
        <f>SUMPRODUCT(-('Gastos Gerais'!$B$4:$B$3143=Analítico!$B132),-(Analítico!BI$3&gt;='Gastos Gerais'!$D$4:$D$3143),-(Analítico!BI$3&lt;='Gastos Gerais'!$E$4:$E$3143),-('Gastos Gerais'!$C$4:$C$3143))</f>
        <v>0</v>
      </c>
      <c r="BJ132" s="134">
        <f>SUMPRODUCT(-('Gastos Gerais'!$B$4:$B$3143=Analítico!$B132),-(Analítico!BJ$3&gt;='Gastos Gerais'!$D$4:$D$3143),-(Analítico!BJ$3&lt;='Gastos Gerais'!$E$4:$E$3143),-('Gastos Gerais'!$C$4:$C$3143))</f>
        <v>0</v>
      </c>
      <c r="BK132" s="189">
        <f t="shared" si="28"/>
        <v>48350</v>
      </c>
      <c r="BL132" s="136">
        <f t="shared" ca="1" si="29"/>
        <v>1.6646895858649015E-4</v>
      </c>
    </row>
    <row r="133" spans="1:64" s="160" customFormat="1" ht="23.25" customHeight="1" thickBot="1">
      <c r="A133" s="234"/>
      <c r="B133" s="222" t="s">
        <v>321</v>
      </c>
      <c r="C133" s="235">
        <f t="shared" ref="C133:AH133" si="30">SUBTOTAL(109,C60:C132)</f>
        <v>1731620.3554799999</v>
      </c>
      <c r="D133" s="235">
        <f t="shared" si="30"/>
        <v>1478526.3554799999</v>
      </c>
      <c r="E133" s="235">
        <f t="shared" si="30"/>
        <v>1529693.0654799999</v>
      </c>
      <c r="F133" s="235">
        <f t="shared" si="30"/>
        <v>1827089.0654799999</v>
      </c>
      <c r="G133" s="235">
        <f t="shared" si="30"/>
        <v>1809022.11298</v>
      </c>
      <c r="H133" s="235">
        <f t="shared" si="30"/>
        <v>1581022.11298</v>
      </c>
      <c r="I133" s="235">
        <f t="shared" si="30"/>
        <v>1874598.11298</v>
      </c>
      <c r="J133" s="235">
        <f t="shared" si="30"/>
        <v>1639848.11298</v>
      </c>
      <c r="K133" s="235">
        <f t="shared" si="30"/>
        <v>1638348.11298</v>
      </c>
      <c r="L133" s="235">
        <f t="shared" si="30"/>
        <v>1945744.11298</v>
      </c>
      <c r="M133" s="235">
        <f t="shared" si="30"/>
        <v>1738956.38298</v>
      </c>
      <c r="N133" s="235">
        <f t="shared" si="30"/>
        <v>1719906.38298</v>
      </c>
      <c r="O133" s="235">
        <f t="shared" si="30"/>
        <v>1731798.7152829168</v>
      </c>
      <c r="P133" s="235">
        <f t="shared" si="30"/>
        <v>1684960.9652829168</v>
      </c>
      <c r="Q133" s="235">
        <f t="shared" si="30"/>
        <v>1732777.7952829166</v>
      </c>
      <c r="R133" s="235">
        <f t="shared" si="30"/>
        <v>1716481.7952829166</v>
      </c>
      <c r="S133" s="235">
        <f t="shared" si="30"/>
        <v>1692597.7952829166</v>
      </c>
      <c r="T133" s="235">
        <f t="shared" si="30"/>
        <v>1692297.7952829166</v>
      </c>
      <c r="U133" s="235">
        <f t="shared" si="30"/>
        <v>1679027.7952829166</v>
      </c>
      <c r="V133" s="235">
        <f t="shared" si="30"/>
        <v>1672777.7952829166</v>
      </c>
      <c r="W133" s="235">
        <f t="shared" si="30"/>
        <v>1672777.7952829166</v>
      </c>
      <c r="X133" s="235">
        <f t="shared" si="30"/>
        <v>1672777.7952829166</v>
      </c>
      <c r="Y133" s="235">
        <f t="shared" si="30"/>
        <v>1695167.7752829166</v>
      </c>
      <c r="Z133" s="235">
        <f t="shared" si="30"/>
        <v>1675467.7752829166</v>
      </c>
      <c r="AA133" s="235">
        <f t="shared" si="30"/>
        <v>1768719.3833137292</v>
      </c>
      <c r="AB133" s="235">
        <f t="shared" si="30"/>
        <v>1767015.3833137292</v>
      </c>
      <c r="AC133" s="235">
        <f t="shared" si="30"/>
        <v>1795387.7433137291</v>
      </c>
      <c r="AD133" s="235">
        <f t="shared" si="30"/>
        <v>1781437.7433137291</v>
      </c>
      <c r="AE133" s="235">
        <f t="shared" si="30"/>
        <v>1757553.7433137291</v>
      </c>
      <c r="AF133" s="235">
        <f t="shared" si="30"/>
        <v>1757253.7433137291</v>
      </c>
      <c r="AG133" s="235">
        <f t="shared" si="30"/>
        <v>1743983.7433137291</v>
      </c>
      <c r="AH133" s="235">
        <f t="shared" si="30"/>
        <v>1737733.7433137291</v>
      </c>
      <c r="AI133" s="235">
        <f t="shared" ref="AI133:BK133" si="31">SUBTOTAL(109,AI60:AI132)</f>
        <v>1737733.7433137291</v>
      </c>
      <c r="AJ133" s="235">
        <f t="shared" si="31"/>
        <v>1737733.7433137291</v>
      </c>
      <c r="AK133" s="235">
        <f t="shared" si="31"/>
        <v>1757162.6333137292</v>
      </c>
      <c r="AL133" s="235">
        <f t="shared" si="31"/>
        <v>1737462.6333137292</v>
      </c>
      <c r="AM133" s="235">
        <f t="shared" si="31"/>
        <v>978174.85666666669</v>
      </c>
      <c r="AN133" s="235">
        <f t="shared" si="31"/>
        <v>954654.85666666669</v>
      </c>
      <c r="AO133" s="235">
        <f t="shared" si="31"/>
        <v>967478.85666666669</v>
      </c>
      <c r="AP133" s="235">
        <f t="shared" si="31"/>
        <v>959448.85666666669</v>
      </c>
      <c r="AQ133" s="235">
        <f t="shared" si="31"/>
        <v>944398.85666666669</v>
      </c>
      <c r="AR133" s="235">
        <f t="shared" si="31"/>
        <v>944098.85666666669</v>
      </c>
      <c r="AS133" s="235">
        <f t="shared" si="31"/>
        <v>936308.85666666669</v>
      </c>
      <c r="AT133" s="235">
        <f t="shared" si="31"/>
        <v>933408.85666666669</v>
      </c>
      <c r="AU133" s="235">
        <f t="shared" si="31"/>
        <v>933408.85666666669</v>
      </c>
      <c r="AV133" s="235">
        <f t="shared" si="31"/>
        <v>933408.85666666669</v>
      </c>
      <c r="AW133" s="235">
        <f t="shared" si="31"/>
        <v>952293.85666666669</v>
      </c>
      <c r="AX133" s="235">
        <f t="shared" si="31"/>
        <v>0</v>
      </c>
      <c r="AY133" s="235">
        <f t="shared" si="31"/>
        <v>0</v>
      </c>
      <c r="AZ133" s="235">
        <f t="shared" si="31"/>
        <v>0</v>
      </c>
      <c r="BA133" s="235">
        <f t="shared" si="31"/>
        <v>0</v>
      </c>
      <c r="BB133" s="235">
        <f t="shared" si="31"/>
        <v>0</v>
      </c>
      <c r="BC133" s="235">
        <f t="shared" si="31"/>
        <v>0</v>
      </c>
      <c r="BD133" s="235">
        <f t="shared" si="31"/>
        <v>0</v>
      </c>
      <c r="BE133" s="235">
        <f t="shared" si="31"/>
        <v>0</v>
      </c>
      <c r="BF133" s="235">
        <f t="shared" si="31"/>
        <v>0</v>
      </c>
      <c r="BG133" s="235">
        <f t="shared" si="31"/>
        <v>0</v>
      </c>
      <c r="BH133" s="235">
        <f t="shared" si="31"/>
        <v>0</v>
      </c>
      <c r="BI133" s="235">
        <f t="shared" si="31"/>
        <v>0</v>
      </c>
      <c r="BJ133" s="235">
        <f t="shared" si="31"/>
        <v>0</v>
      </c>
      <c r="BK133" s="235">
        <f t="shared" si="31"/>
        <v>72349548.282253101</v>
      </c>
      <c r="BL133" s="236">
        <f t="shared" ca="1" si="29"/>
        <v>0.24909935794725258</v>
      </c>
    </row>
    <row r="134" spans="1:64" s="160" customFormat="1" ht="23.25" customHeight="1" thickBot="1">
      <c r="A134" s="225" t="s">
        <v>92</v>
      </c>
      <c r="B134" s="226" t="s">
        <v>93</v>
      </c>
      <c r="C134" s="227"/>
      <c r="D134" s="227"/>
      <c r="E134" s="227"/>
      <c r="F134" s="227"/>
      <c r="G134" s="227"/>
      <c r="H134" s="227"/>
      <c r="I134" s="227"/>
      <c r="J134" s="227"/>
      <c r="K134" s="227"/>
      <c r="L134" s="227"/>
      <c r="M134" s="227"/>
      <c r="N134" s="227"/>
      <c r="O134" s="227"/>
      <c r="P134" s="227"/>
      <c r="Q134" s="227"/>
      <c r="R134" s="227"/>
      <c r="S134" s="227"/>
      <c r="T134" s="227"/>
      <c r="U134" s="227"/>
      <c r="V134" s="227"/>
      <c r="W134" s="227"/>
      <c r="X134" s="227"/>
      <c r="Y134" s="227"/>
      <c r="Z134" s="227"/>
      <c r="AA134" s="227"/>
      <c r="AB134" s="227"/>
      <c r="AC134" s="227"/>
      <c r="AD134" s="227"/>
      <c r="AE134" s="227"/>
      <c r="AF134" s="227"/>
      <c r="AG134" s="227"/>
      <c r="AH134" s="227"/>
      <c r="AI134" s="227"/>
      <c r="AJ134" s="227"/>
      <c r="AK134" s="227"/>
      <c r="AL134" s="227"/>
      <c r="AM134" s="227"/>
      <c r="AN134" s="227"/>
      <c r="AO134" s="227"/>
      <c r="AP134" s="227"/>
      <c r="AQ134" s="227"/>
      <c r="AR134" s="227"/>
      <c r="AS134" s="227"/>
      <c r="AT134" s="227"/>
      <c r="AU134" s="227"/>
      <c r="AV134" s="227"/>
      <c r="AW134" s="227"/>
      <c r="AX134" s="227"/>
      <c r="AY134" s="227"/>
      <c r="AZ134" s="227"/>
      <c r="BA134" s="227"/>
      <c r="BB134" s="227"/>
      <c r="BC134" s="227"/>
      <c r="BD134" s="227"/>
      <c r="BE134" s="227"/>
      <c r="BF134" s="227"/>
      <c r="BG134" s="227"/>
      <c r="BH134" s="227"/>
      <c r="BI134" s="227"/>
      <c r="BJ134" s="227"/>
      <c r="BK134" s="227"/>
      <c r="BL134" s="228"/>
    </row>
    <row r="135" spans="1:64" s="160" customFormat="1" ht="23.25" customHeight="1">
      <c r="A135" s="198" t="s">
        <v>322</v>
      </c>
      <c r="B135" s="209" t="s">
        <v>323</v>
      </c>
      <c r="C135" s="188">
        <f>SUMPRODUCT(-(Bens!$B$4:$B$276=Analítico!$B135),-(Bens!$D$4:$D$276=Analítico!C$3),(Bens!$G$4:$G$276))</f>
        <v>0</v>
      </c>
      <c r="D135" s="134">
        <f>SUMPRODUCT(-(Bens!$B$4:$B$276=Analítico!$B135),-(Bens!$D$4:$D$276=Analítico!D$3),(Bens!$G$4:$G$276))</f>
        <v>0</v>
      </c>
      <c r="E135" s="134">
        <f>SUMPRODUCT(-(Bens!$B$4:$B$276=Analítico!$B135),-(Bens!$D$4:$D$276=Analítico!E$3),(Bens!$G$4:$G$276))</f>
        <v>858478.4</v>
      </c>
      <c r="F135" s="134">
        <f>SUMPRODUCT(-(Bens!$B$4:$B$276=Analítico!$B135),-(Bens!$D$4:$D$276=Analítico!F$3),(Bens!$G$4:$G$276))</f>
        <v>0</v>
      </c>
      <c r="G135" s="134">
        <f>SUMPRODUCT(-(Bens!$B$4:$B$276=Analítico!$B135),-(Bens!$D$4:$D$276=Analítico!G$3),(Bens!$G$4:$G$276))</f>
        <v>0</v>
      </c>
      <c r="H135" s="134">
        <f>SUMPRODUCT(-(Bens!$B$4:$B$276=Analítico!$B135),-(Bens!$D$4:$D$276=Analítico!H$3),(Bens!$G$4:$G$276))</f>
        <v>0</v>
      </c>
      <c r="I135" s="134">
        <f>SUMPRODUCT(-(Bens!$B$4:$B$276=Analítico!$B135),-(Bens!$D$4:$D$276=Analítico!I$3),(Bens!$G$4:$G$276))</f>
        <v>0</v>
      </c>
      <c r="J135" s="134">
        <f>SUMPRODUCT(-(Bens!$B$4:$B$276=Analítico!$B135),-(Bens!$D$4:$D$276=Analítico!J$3),(Bens!$G$4:$G$276))</f>
        <v>0</v>
      </c>
      <c r="K135" s="134">
        <f>SUMPRODUCT(-(Bens!$B$4:$B$276=Analítico!$B135),-(Bens!$D$4:$D$276=Analítico!K$3),(Bens!$G$4:$G$276))</f>
        <v>0</v>
      </c>
      <c r="L135" s="134">
        <f>SUMPRODUCT(-(Bens!$B$4:$B$276=Analítico!$B135),-(Bens!$D$4:$D$276=Analítico!L$3),(Bens!$G$4:$G$276))</f>
        <v>0</v>
      </c>
      <c r="M135" s="134">
        <f>SUMPRODUCT(-(Bens!$B$4:$B$276=Analítico!$B135),-(Bens!$D$4:$D$276=Analítico!M$3),(Bens!$G$4:$G$276))</f>
        <v>0</v>
      </c>
      <c r="N135" s="134">
        <f>SUMPRODUCT(-(Bens!$B$4:$B$276=Analítico!$B135),-(Bens!$D$4:$D$276=Analítico!N$3),(Bens!$G$4:$G$276))</f>
        <v>0</v>
      </c>
      <c r="O135" s="134">
        <f>SUMPRODUCT(-(Bens!$B$4:$B$276=Analítico!$B135),-(Bens!$D$4:$D$276=Analítico!O$3),(Bens!$G$4:$G$276))</f>
        <v>0</v>
      </c>
      <c r="P135" s="134">
        <f>SUMPRODUCT(-(Bens!$B$4:$B$276=Analítico!$B135),-(Bens!$D$4:$D$276=Analítico!P$3),(Bens!$G$4:$G$276))</f>
        <v>0</v>
      </c>
      <c r="Q135" s="134">
        <f>SUMPRODUCT(-(Bens!$B$4:$B$276=Analítico!$B135),-(Bens!$D$4:$D$276=Analítico!Q$3),(Bens!$G$4:$G$276))</f>
        <v>0</v>
      </c>
      <c r="R135" s="134">
        <f>SUMPRODUCT(-(Bens!$B$4:$B$276=Analítico!$B135),-(Bens!$D$4:$D$276=Analítico!R$3),(Bens!$G$4:$G$276))</f>
        <v>0</v>
      </c>
      <c r="S135" s="134">
        <f>SUMPRODUCT(-(Bens!$B$4:$B$276=Analítico!$B135),-(Bens!$D$4:$D$276=Analítico!S$3),(Bens!$G$4:$G$276))</f>
        <v>0</v>
      </c>
      <c r="T135" s="134">
        <f>SUMPRODUCT(-(Bens!$B$4:$B$276=Analítico!$B135),-(Bens!$D$4:$D$276=Analítico!T$3),(Bens!$G$4:$G$276))</f>
        <v>0</v>
      </c>
      <c r="U135" s="134">
        <f>SUMPRODUCT(-(Bens!$B$4:$B$276=Analítico!$B135),-(Bens!$D$4:$D$276=Analítico!U$3),(Bens!$G$4:$G$276))</f>
        <v>0</v>
      </c>
      <c r="V135" s="134">
        <f>SUMPRODUCT(-(Bens!$B$4:$B$276=Analítico!$B135),-(Bens!$D$4:$D$276=Analítico!V$3),(Bens!$G$4:$G$276))</f>
        <v>0</v>
      </c>
      <c r="W135" s="134">
        <f>SUMPRODUCT(-(Bens!$B$4:$B$276=Analítico!$B135),-(Bens!$D$4:$D$276=Analítico!W$3),(Bens!$G$4:$G$276))</f>
        <v>0</v>
      </c>
      <c r="X135" s="134">
        <f>SUMPRODUCT(-(Bens!$B$4:$B$276=Analítico!$B135),-(Bens!$D$4:$D$276=Analítico!X$3),(Bens!$G$4:$G$276))</f>
        <v>0</v>
      </c>
      <c r="Y135" s="134">
        <f>SUMPRODUCT(-(Bens!$B$4:$B$276=Analítico!$B135),-(Bens!$D$4:$D$276=Analítico!Y$3),(Bens!$G$4:$G$276))</f>
        <v>0</v>
      </c>
      <c r="Z135" s="134">
        <f>SUMPRODUCT(-(Bens!$B$4:$B$276=Analítico!$B135),-(Bens!$D$4:$D$276=Analítico!Z$3),(Bens!$G$4:$G$276))</f>
        <v>0</v>
      </c>
      <c r="AA135" s="134">
        <f>SUMPRODUCT(-(Bens!$B$4:$B$276=Analítico!$B135),-(Bens!$D$4:$D$276=Analítico!AA$3),(Bens!$G$4:$G$276))</f>
        <v>0</v>
      </c>
      <c r="AB135" s="134">
        <f>SUMPRODUCT(-(Bens!$B$4:$B$276=Analítico!$B135),-(Bens!$D$4:$D$276=Analítico!AB$3),(Bens!$G$4:$G$276))</f>
        <v>0</v>
      </c>
      <c r="AC135" s="134">
        <f>SUMPRODUCT(-(Bens!$B$4:$B$276=Analítico!$B135),-(Bens!$D$4:$D$276=Analítico!AC$3),(Bens!$G$4:$G$276))</f>
        <v>0</v>
      </c>
      <c r="AD135" s="134">
        <f>SUMPRODUCT(-(Bens!$B$4:$B$276=Analítico!$B135),-(Bens!$D$4:$D$276=Analítico!AD$3),(Bens!$G$4:$G$276))</f>
        <v>0</v>
      </c>
      <c r="AE135" s="134">
        <f>SUMPRODUCT(-(Bens!$B$4:$B$276=Analítico!$B135),-(Bens!$D$4:$D$276=Analítico!AE$3),(Bens!$G$4:$G$276))</f>
        <v>0</v>
      </c>
      <c r="AF135" s="134">
        <f>SUMPRODUCT(-(Bens!$B$4:$B$276=Analítico!$B135),-(Bens!$D$4:$D$276=Analítico!AF$3),(Bens!$G$4:$G$276))</f>
        <v>0</v>
      </c>
      <c r="AG135" s="134">
        <f>SUMPRODUCT(-(Bens!$B$4:$B$276=Analítico!$B135),-(Bens!$D$4:$D$276=Analítico!AG$3),(Bens!$G$4:$G$276))</f>
        <v>0</v>
      </c>
      <c r="AH135" s="134">
        <f>SUMPRODUCT(-(Bens!$B$4:$B$276=Analítico!$B135),-(Bens!$D$4:$D$276=Analítico!AH$3),(Bens!$G$4:$G$276))</f>
        <v>0</v>
      </c>
      <c r="AI135" s="134">
        <f>SUMPRODUCT(-(Bens!$B$4:$B$276=Analítico!$B135),-(Bens!$D$4:$D$276=Analítico!AI$3),(Bens!$G$4:$G$276))</f>
        <v>0</v>
      </c>
      <c r="AJ135" s="134">
        <f>SUMPRODUCT(-(Bens!$B$4:$B$276=Analítico!$B135),-(Bens!$D$4:$D$276=Analítico!AJ$3),(Bens!$G$4:$G$276))</f>
        <v>0</v>
      </c>
      <c r="AK135" s="134">
        <f>SUMPRODUCT(-(Bens!$B$4:$B$276=Analítico!$B135),-(Bens!$D$4:$D$276=Analítico!AK$3),(Bens!$G$4:$G$276))</f>
        <v>0</v>
      </c>
      <c r="AL135" s="134">
        <f>SUMPRODUCT(-(Bens!$B$4:$B$276=Analítico!$B135),-(Bens!$D$4:$D$276=Analítico!AL$3),(Bens!$G$4:$G$276))</f>
        <v>0</v>
      </c>
      <c r="AM135" s="134">
        <f>SUMPRODUCT(-(Bens!$B$4:$B$276=Analítico!$B135),-(Bens!$D$4:$D$276=Analítico!AM$3),(Bens!$G$4:$G$276))</f>
        <v>0</v>
      </c>
      <c r="AN135" s="134">
        <f>SUMPRODUCT(-(Bens!$B$4:$B$276=Analítico!$B135),-(Bens!$D$4:$D$276=Analítico!AN$3),(Bens!$G$4:$G$276))</f>
        <v>0</v>
      </c>
      <c r="AO135" s="134">
        <f>SUMPRODUCT(-(Bens!$B$4:$B$276=Analítico!$B135),-(Bens!$D$4:$D$276=Analítico!AO$3),(Bens!$G$4:$G$276))</f>
        <v>0</v>
      </c>
      <c r="AP135" s="134">
        <f>SUMPRODUCT(-(Bens!$B$4:$B$276=Analítico!$B135),-(Bens!$D$4:$D$276=Analítico!AP$3),(Bens!$G$4:$G$276))</f>
        <v>0</v>
      </c>
      <c r="AQ135" s="134">
        <f>SUMPRODUCT(-(Bens!$B$4:$B$276=Analítico!$B135),-(Bens!$D$4:$D$276=Analítico!AQ$3),(Bens!$G$4:$G$276))</f>
        <v>0</v>
      </c>
      <c r="AR135" s="134">
        <f>SUMPRODUCT(-(Bens!$B$4:$B$276=Analítico!$B135),-(Bens!$D$4:$D$276=Analítico!AR$3),(Bens!$G$4:$G$276))</f>
        <v>0</v>
      </c>
      <c r="AS135" s="134">
        <f>SUMPRODUCT(-(Bens!$B$4:$B$276=Analítico!$B135),-(Bens!$D$4:$D$276=Analítico!AS$3),(Bens!$G$4:$G$276))</f>
        <v>0</v>
      </c>
      <c r="AT135" s="134">
        <f>SUMPRODUCT(-(Bens!$B$4:$B$276=Analítico!$B135),-(Bens!$D$4:$D$276=Analítico!AT$3),(Bens!$G$4:$G$276))</f>
        <v>0</v>
      </c>
      <c r="AU135" s="134">
        <f>SUMPRODUCT(-(Bens!$B$4:$B$276=Analítico!$B135),-(Bens!$D$4:$D$276=Analítico!AU$3),(Bens!$G$4:$G$276))</f>
        <v>0</v>
      </c>
      <c r="AV135" s="134">
        <f>SUMPRODUCT(-(Bens!$B$4:$B$276=Analítico!$B135),-(Bens!$D$4:$D$276=Analítico!AV$3),(Bens!$G$4:$G$276))</f>
        <v>0</v>
      </c>
      <c r="AW135" s="134">
        <f>SUMPRODUCT(-(Bens!$B$4:$B$276=Analítico!$B135),-(Bens!$D$4:$D$276=Analítico!AW$3),(Bens!$G$4:$G$276))</f>
        <v>0</v>
      </c>
      <c r="AX135" s="134">
        <f>SUMPRODUCT(-(Bens!$B$4:$B$276=Analítico!$B135),-(Bens!$D$4:$D$276=Analítico!AX$3),(Bens!$G$4:$G$276))</f>
        <v>0</v>
      </c>
      <c r="AY135" s="134">
        <f>SUMPRODUCT(-(Bens!$B$4:$B$276=Analítico!$B135),-(Bens!$D$4:$D$276=Analítico!AY$3),(Bens!$G$4:$G$276))</f>
        <v>0</v>
      </c>
      <c r="AZ135" s="134">
        <f>SUMPRODUCT(-(Bens!$B$4:$B$276=Analítico!$B135),-(Bens!$D$4:$D$276=Analítico!AZ$3),(Bens!$G$4:$G$276))</f>
        <v>0</v>
      </c>
      <c r="BA135" s="134">
        <f>SUMPRODUCT(-(Bens!$B$4:$B$276=Analítico!$B135),-(Bens!$D$4:$D$276=Analítico!BA$3),(Bens!$G$4:$G$276))</f>
        <v>0</v>
      </c>
      <c r="BB135" s="134">
        <f>SUMPRODUCT(-(Bens!$B$4:$B$276=Analítico!$B135),-(Bens!$D$4:$D$276=Analítico!BB$3),(Bens!$G$4:$G$276))</f>
        <v>0</v>
      </c>
      <c r="BC135" s="134">
        <f>SUMPRODUCT(-(Bens!$B$4:$B$276=Analítico!$B135),-(Bens!$D$4:$D$276=Analítico!BC$3),(Bens!$G$4:$G$276))</f>
        <v>0</v>
      </c>
      <c r="BD135" s="134">
        <f>SUMPRODUCT(-(Bens!$B$4:$B$276=Analítico!$B135),-(Bens!$D$4:$D$276=Analítico!BD$3),(Bens!$G$4:$G$276))</f>
        <v>0</v>
      </c>
      <c r="BE135" s="134">
        <f>SUMPRODUCT(-(Bens!$B$4:$B$276=Analítico!$B135),-(Bens!$D$4:$D$276=Analítico!BE$3),(Bens!$G$4:$G$276))</f>
        <v>0</v>
      </c>
      <c r="BF135" s="134">
        <f>SUMPRODUCT(-(Bens!$B$4:$B$276=Analítico!$B135),-(Bens!$D$4:$D$276=Analítico!BF$3),(Bens!$G$4:$G$276))</f>
        <v>0</v>
      </c>
      <c r="BG135" s="134">
        <f>SUMPRODUCT(-(Bens!$B$4:$B$276=Analítico!$B135),-(Bens!$D$4:$D$276=Analítico!BG$3),(Bens!$G$4:$G$276))</f>
        <v>0</v>
      </c>
      <c r="BH135" s="134">
        <f>SUMPRODUCT(-(Bens!$B$4:$B$276=Analítico!$B135),-(Bens!$D$4:$D$276=Analítico!BH$3),(Bens!$G$4:$G$276))</f>
        <v>0</v>
      </c>
      <c r="BI135" s="134">
        <f>SUMPRODUCT(-(Bens!$B$4:$B$276=Analítico!$B135),-(Bens!$D$4:$D$276=Analítico!BI$3),(Bens!$G$4:$G$276))</f>
        <v>0</v>
      </c>
      <c r="BJ135" s="134">
        <f>SUMPRODUCT(-(Bens!$B$4:$B$276=Analítico!$B135),-(Bens!$D$4:$D$276=Analítico!BJ$3),(Bens!$G$4:$G$276))</f>
        <v>0</v>
      </c>
      <c r="BK135" s="189">
        <f t="shared" ref="BK135:BK146" si="32">SUM(C135:BJ135)</f>
        <v>858478.4</v>
      </c>
      <c r="BL135" s="136">
        <f t="shared" ref="BL135:BL146" ca="1" si="33">IF($BK$152=0,0,BK135/$BK$152)</f>
        <v>2.9557395081074734E-3</v>
      </c>
    </row>
    <row r="136" spans="1:64" s="160" customFormat="1" ht="23.25" customHeight="1">
      <c r="A136" s="198" t="s">
        <v>324</v>
      </c>
      <c r="B136" s="209" t="s">
        <v>325</v>
      </c>
      <c r="C136" s="188">
        <f>SUMPRODUCT(-(Bens!$B$4:$B$276=Analítico!$B136),-(Bens!$D$4:$D$276=Analítico!C$3),(Bens!$G$4:$G$276))</f>
        <v>15400</v>
      </c>
      <c r="D136" s="134">
        <f>SUMPRODUCT(-(Bens!$B$4:$B$276=Analítico!$B136),-(Bens!$D$4:$D$276=Analítico!D$3),(Bens!$G$4:$G$276))</f>
        <v>2500</v>
      </c>
      <c r="E136" s="134">
        <f>SUMPRODUCT(-(Bens!$B$4:$B$276=Analítico!$B136),-(Bens!$D$4:$D$276=Analítico!E$3),(Bens!$G$4:$G$276))</f>
        <v>0</v>
      </c>
      <c r="F136" s="134">
        <f>SUMPRODUCT(-(Bens!$B$4:$B$276=Analítico!$B136),-(Bens!$D$4:$D$276=Analítico!F$3),(Bens!$G$4:$G$276))</f>
        <v>37800</v>
      </c>
      <c r="G136" s="134">
        <f>SUMPRODUCT(-(Bens!$B$4:$B$276=Analítico!$B136),-(Bens!$D$4:$D$276=Analítico!G$3),(Bens!$G$4:$G$276))</f>
        <v>15400</v>
      </c>
      <c r="H136" s="134">
        <f>SUMPRODUCT(-(Bens!$B$4:$B$276=Analítico!$B136),-(Bens!$D$4:$D$276=Analítico!H$3),(Bens!$G$4:$G$276))</f>
        <v>0</v>
      </c>
      <c r="I136" s="134">
        <f>SUMPRODUCT(-(Bens!$B$4:$B$276=Analítico!$B136),-(Bens!$D$4:$D$276=Analítico!I$3),(Bens!$G$4:$G$276))</f>
        <v>2500</v>
      </c>
      <c r="J136" s="134">
        <f>SUMPRODUCT(-(Bens!$B$4:$B$276=Analítico!$B136),-(Bens!$D$4:$D$276=Analítico!J$3),(Bens!$G$4:$G$276))</f>
        <v>0</v>
      </c>
      <c r="K136" s="134">
        <f>SUMPRODUCT(-(Bens!$B$4:$B$276=Analítico!$B136),-(Bens!$D$4:$D$276=Analítico!K$3),(Bens!$G$4:$G$276))</f>
        <v>0</v>
      </c>
      <c r="L136" s="134">
        <f>SUMPRODUCT(-(Bens!$B$4:$B$276=Analítico!$B136),-(Bens!$D$4:$D$276=Analítico!L$3),(Bens!$G$4:$G$276))</f>
        <v>0</v>
      </c>
      <c r="M136" s="134">
        <f>SUMPRODUCT(-(Bens!$B$4:$B$276=Analítico!$B136),-(Bens!$D$4:$D$276=Analítico!M$3),(Bens!$G$4:$G$276))</f>
        <v>0</v>
      </c>
      <c r="N136" s="134">
        <f>SUMPRODUCT(-(Bens!$B$4:$B$276=Analítico!$B136),-(Bens!$D$4:$D$276=Analítico!N$3),(Bens!$G$4:$G$276))</f>
        <v>2500</v>
      </c>
      <c r="O136" s="134">
        <f>SUMPRODUCT(-(Bens!$B$4:$B$276=Analítico!$B136),-(Bens!$D$4:$D$276=Analítico!O$3),(Bens!$G$4:$G$276))</f>
        <v>0</v>
      </c>
      <c r="P136" s="134">
        <f>SUMPRODUCT(-(Bens!$B$4:$B$276=Analítico!$B136),-(Bens!$D$4:$D$276=Analítico!P$3),(Bens!$G$4:$G$276))</f>
        <v>0</v>
      </c>
      <c r="Q136" s="134">
        <f>SUMPRODUCT(-(Bens!$B$4:$B$276=Analítico!$B136),-(Bens!$D$4:$D$276=Analítico!Q$3),(Bens!$G$4:$G$276))</f>
        <v>49750</v>
      </c>
      <c r="R136" s="134">
        <f>SUMPRODUCT(-(Bens!$B$4:$B$276=Analítico!$B136),-(Bens!$D$4:$D$276=Analítico!R$3),(Bens!$G$4:$G$276))</f>
        <v>0</v>
      </c>
      <c r="S136" s="134">
        <f>SUMPRODUCT(-(Bens!$B$4:$B$276=Analítico!$B136),-(Bens!$D$4:$D$276=Analítico!S$3),(Bens!$G$4:$G$276))</f>
        <v>0</v>
      </c>
      <c r="T136" s="134">
        <f>SUMPRODUCT(-(Bens!$B$4:$B$276=Analítico!$B136),-(Bens!$D$4:$D$276=Analítico!T$3),(Bens!$G$4:$G$276))</f>
        <v>0</v>
      </c>
      <c r="U136" s="134">
        <f>SUMPRODUCT(-(Bens!$B$4:$B$276=Analítico!$B136),-(Bens!$D$4:$D$276=Analítico!U$3),(Bens!$G$4:$G$276))</f>
        <v>0</v>
      </c>
      <c r="V136" s="134">
        <f>SUMPRODUCT(-(Bens!$B$4:$B$276=Analítico!$B136),-(Bens!$D$4:$D$276=Analítico!V$3),(Bens!$G$4:$G$276))</f>
        <v>0</v>
      </c>
      <c r="W136" s="134">
        <f>SUMPRODUCT(-(Bens!$B$4:$B$276=Analítico!$B136),-(Bens!$D$4:$D$276=Analítico!W$3),(Bens!$G$4:$G$276))</f>
        <v>0</v>
      </c>
      <c r="X136" s="134">
        <f>SUMPRODUCT(-(Bens!$B$4:$B$276=Analítico!$B136),-(Bens!$D$4:$D$276=Analítico!X$3),(Bens!$G$4:$G$276))</f>
        <v>0</v>
      </c>
      <c r="Y136" s="134">
        <f>SUMPRODUCT(-(Bens!$B$4:$B$276=Analítico!$B136),-(Bens!$D$4:$D$276=Analítico!Y$3),(Bens!$G$4:$G$276))</f>
        <v>2500</v>
      </c>
      <c r="Z136" s="134">
        <f>SUMPRODUCT(-(Bens!$B$4:$B$276=Analítico!$B136),-(Bens!$D$4:$D$276=Analítico!Z$3),(Bens!$G$4:$G$276))</f>
        <v>0</v>
      </c>
      <c r="AA136" s="134">
        <f>SUMPRODUCT(-(Bens!$B$4:$B$276=Analítico!$B136),-(Bens!$D$4:$D$276=Analítico!AA$3),(Bens!$G$4:$G$276))</f>
        <v>0</v>
      </c>
      <c r="AB136" s="134">
        <f>SUMPRODUCT(-(Bens!$B$4:$B$276=Analítico!$B136),-(Bens!$D$4:$D$276=Analítico!AB$3),(Bens!$G$4:$G$276))</f>
        <v>2500</v>
      </c>
      <c r="AC136" s="134">
        <f>SUMPRODUCT(-(Bens!$B$4:$B$276=Analítico!$B136),-(Bens!$D$4:$D$276=Analítico!AC$3),(Bens!$G$4:$G$276))</f>
        <v>0</v>
      </c>
      <c r="AD136" s="134">
        <f>SUMPRODUCT(-(Bens!$B$4:$B$276=Analítico!$B136),-(Bens!$D$4:$D$276=Analítico!AD$3),(Bens!$G$4:$G$276))</f>
        <v>50400</v>
      </c>
      <c r="AE136" s="134">
        <f>SUMPRODUCT(-(Bens!$B$4:$B$276=Analítico!$B136),-(Bens!$D$4:$D$276=Analítico!AE$3),(Bens!$G$4:$G$276))</f>
        <v>0</v>
      </c>
      <c r="AF136" s="134">
        <f>SUMPRODUCT(-(Bens!$B$4:$B$276=Analítico!$B136),-(Bens!$D$4:$D$276=Analítico!AF$3),(Bens!$G$4:$G$276))</f>
        <v>0</v>
      </c>
      <c r="AG136" s="134">
        <f>SUMPRODUCT(-(Bens!$B$4:$B$276=Analítico!$B136),-(Bens!$D$4:$D$276=Analítico!AG$3),(Bens!$G$4:$G$276))</f>
        <v>0</v>
      </c>
      <c r="AH136" s="134">
        <f>SUMPRODUCT(-(Bens!$B$4:$B$276=Analítico!$B136),-(Bens!$D$4:$D$276=Analítico!AH$3),(Bens!$G$4:$G$276))</f>
        <v>2500</v>
      </c>
      <c r="AI136" s="134">
        <f>SUMPRODUCT(-(Bens!$B$4:$B$276=Analítico!$B136),-(Bens!$D$4:$D$276=Analítico!AI$3),(Bens!$G$4:$G$276))</f>
        <v>0</v>
      </c>
      <c r="AJ136" s="134">
        <f>SUMPRODUCT(-(Bens!$B$4:$B$276=Analítico!$B136),-(Bens!$D$4:$D$276=Analítico!AJ$3),(Bens!$G$4:$G$276))</f>
        <v>0</v>
      </c>
      <c r="AK136" s="134">
        <f>SUMPRODUCT(-(Bens!$B$4:$B$276=Analítico!$B136),-(Bens!$D$4:$D$276=Analítico!AK$3),(Bens!$G$4:$G$276))</f>
        <v>0</v>
      </c>
      <c r="AL136" s="134">
        <f>SUMPRODUCT(-(Bens!$B$4:$B$276=Analítico!$B136),-(Bens!$D$4:$D$276=Analítico!AL$3),(Bens!$G$4:$G$276))</f>
        <v>2500</v>
      </c>
      <c r="AM136" s="134">
        <f>SUMPRODUCT(-(Bens!$B$4:$B$276=Analítico!$B136),-(Bens!$D$4:$D$276=Analítico!AM$3),(Bens!$G$4:$G$276))</f>
        <v>0</v>
      </c>
      <c r="AN136" s="134">
        <f>SUMPRODUCT(-(Bens!$B$4:$B$276=Analítico!$B136),-(Bens!$D$4:$D$276=Analítico!AN$3),(Bens!$G$4:$G$276))</f>
        <v>0</v>
      </c>
      <c r="AO136" s="134">
        <f>SUMPRODUCT(-(Bens!$B$4:$B$276=Analítico!$B136),-(Bens!$D$4:$D$276=Analítico!AO$3),(Bens!$G$4:$G$276))</f>
        <v>2500</v>
      </c>
      <c r="AP136" s="134">
        <f>SUMPRODUCT(-(Bens!$B$4:$B$276=Analítico!$B136),-(Bens!$D$4:$D$276=Analítico!AP$3),(Bens!$G$4:$G$276))</f>
        <v>0</v>
      </c>
      <c r="AQ136" s="134">
        <f>SUMPRODUCT(-(Bens!$B$4:$B$276=Analítico!$B136),-(Bens!$D$4:$D$276=Analítico!AQ$3),(Bens!$G$4:$G$276))</f>
        <v>0</v>
      </c>
      <c r="AR136" s="134">
        <f>SUMPRODUCT(-(Bens!$B$4:$B$276=Analítico!$B136),-(Bens!$D$4:$D$276=Analítico!AR$3),(Bens!$G$4:$G$276))</f>
        <v>0</v>
      </c>
      <c r="AS136" s="134">
        <f>SUMPRODUCT(-(Bens!$B$4:$B$276=Analítico!$B136),-(Bens!$D$4:$D$276=Analítico!AS$3),(Bens!$G$4:$G$276))</f>
        <v>0</v>
      </c>
      <c r="AT136" s="134">
        <f>SUMPRODUCT(-(Bens!$B$4:$B$276=Analítico!$B136),-(Bens!$D$4:$D$276=Analítico!AT$3),(Bens!$G$4:$G$276))</f>
        <v>0</v>
      </c>
      <c r="AU136" s="134">
        <f>SUMPRODUCT(-(Bens!$B$4:$B$276=Analítico!$B136),-(Bens!$D$4:$D$276=Analítico!AU$3),(Bens!$G$4:$G$276))</f>
        <v>0</v>
      </c>
      <c r="AV136" s="134">
        <f>SUMPRODUCT(-(Bens!$B$4:$B$276=Analítico!$B136),-(Bens!$D$4:$D$276=Analítico!AV$3),(Bens!$G$4:$G$276))</f>
        <v>0</v>
      </c>
      <c r="AW136" s="134">
        <f>SUMPRODUCT(-(Bens!$B$4:$B$276=Analítico!$B136),-(Bens!$D$4:$D$276=Analítico!AW$3),(Bens!$G$4:$G$276))</f>
        <v>0</v>
      </c>
      <c r="AX136" s="134">
        <f>SUMPRODUCT(-(Bens!$B$4:$B$276=Analítico!$B136),-(Bens!$D$4:$D$276=Analítico!AX$3),(Bens!$G$4:$G$276))</f>
        <v>0</v>
      </c>
      <c r="AY136" s="134">
        <f>SUMPRODUCT(-(Bens!$B$4:$B$276=Analítico!$B136),-(Bens!$D$4:$D$276=Analítico!AY$3),(Bens!$G$4:$G$276))</f>
        <v>0</v>
      </c>
      <c r="AZ136" s="134">
        <f>SUMPRODUCT(-(Bens!$B$4:$B$276=Analítico!$B136),-(Bens!$D$4:$D$276=Analítico!AZ$3),(Bens!$G$4:$G$276))</f>
        <v>0</v>
      </c>
      <c r="BA136" s="134">
        <f>SUMPRODUCT(-(Bens!$B$4:$B$276=Analítico!$B136),-(Bens!$D$4:$D$276=Analítico!BA$3),(Bens!$G$4:$G$276))</f>
        <v>0</v>
      </c>
      <c r="BB136" s="134">
        <f>SUMPRODUCT(-(Bens!$B$4:$B$276=Analítico!$B136),-(Bens!$D$4:$D$276=Analítico!BB$3),(Bens!$G$4:$G$276))</f>
        <v>0</v>
      </c>
      <c r="BC136" s="134">
        <f>SUMPRODUCT(-(Bens!$B$4:$B$276=Analítico!$B136),-(Bens!$D$4:$D$276=Analítico!BC$3),(Bens!$G$4:$G$276))</f>
        <v>0</v>
      </c>
      <c r="BD136" s="134">
        <f>SUMPRODUCT(-(Bens!$B$4:$B$276=Analítico!$B136),-(Bens!$D$4:$D$276=Analítico!BD$3),(Bens!$G$4:$G$276))</f>
        <v>0</v>
      </c>
      <c r="BE136" s="134">
        <f>SUMPRODUCT(-(Bens!$B$4:$B$276=Analítico!$B136),-(Bens!$D$4:$D$276=Analítico!BE$3),(Bens!$G$4:$G$276))</f>
        <v>0</v>
      </c>
      <c r="BF136" s="134">
        <f>SUMPRODUCT(-(Bens!$B$4:$B$276=Analítico!$B136),-(Bens!$D$4:$D$276=Analítico!BF$3),(Bens!$G$4:$G$276))</f>
        <v>0</v>
      </c>
      <c r="BG136" s="134">
        <f>SUMPRODUCT(-(Bens!$B$4:$B$276=Analítico!$B136),-(Bens!$D$4:$D$276=Analítico!BG$3),(Bens!$G$4:$G$276))</f>
        <v>0</v>
      </c>
      <c r="BH136" s="134">
        <f>SUMPRODUCT(-(Bens!$B$4:$B$276=Analítico!$B136),-(Bens!$D$4:$D$276=Analítico!BH$3),(Bens!$G$4:$G$276))</f>
        <v>0</v>
      </c>
      <c r="BI136" s="134">
        <f>SUMPRODUCT(-(Bens!$B$4:$B$276=Analítico!$B136),-(Bens!$D$4:$D$276=Analítico!BI$3),(Bens!$G$4:$G$276))</f>
        <v>0</v>
      </c>
      <c r="BJ136" s="134">
        <f>SUMPRODUCT(-(Bens!$B$4:$B$276=Analítico!$B136),-(Bens!$D$4:$D$276=Analítico!BJ$3),(Bens!$G$4:$G$276))</f>
        <v>0</v>
      </c>
      <c r="BK136" s="189">
        <f t="shared" si="32"/>
        <v>188750</v>
      </c>
      <c r="BL136" s="136">
        <f t="shared" ca="1" si="33"/>
        <v>6.4986589313753909E-4</v>
      </c>
    </row>
    <row r="137" spans="1:64" s="160" customFormat="1" ht="23.25" customHeight="1">
      <c r="A137" s="198" t="s">
        <v>326</v>
      </c>
      <c r="B137" s="209" t="s">
        <v>327</v>
      </c>
      <c r="C137" s="188">
        <f>SUMPRODUCT(-(Bens!$B$4:$B$276=Analítico!$B137),-(Bens!$D$4:$D$276=Analítico!C$3),(Bens!$G$4:$G$276))</f>
        <v>88150</v>
      </c>
      <c r="D137" s="134">
        <f>SUMPRODUCT(-(Bens!$B$4:$B$276=Analítico!$B137),-(Bens!$D$4:$D$276=Analítico!D$3),(Bens!$G$4:$G$276))</f>
        <v>0</v>
      </c>
      <c r="E137" s="134">
        <f>SUMPRODUCT(-(Bens!$B$4:$B$276=Analítico!$B137),-(Bens!$D$4:$D$276=Analítico!E$3),(Bens!$G$4:$G$276))</f>
        <v>2500</v>
      </c>
      <c r="F137" s="134">
        <f>SUMPRODUCT(-(Bens!$B$4:$B$276=Analítico!$B137),-(Bens!$D$4:$D$276=Analítico!F$3),(Bens!$G$4:$G$276))</f>
        <v>0</v>
      </c>
      <c r="G137" s="134">
        <f>SUMPRODUCT(-(Bens!$B$4:$B$276=Analítico!$B137),-(Bens!$D$4:$D$276=Analítico!G$3),(Bens!$G$4:$G$276))</f>
        <v>131774</v>
      </c>
      <c r="H137" s="134">
        <f>SUMPRODUCT(-(Bens!$B$4:$B$276=Analítico!$B137),-(Bens!$D$4:$D$276=Analítico!H$3),(Bens!$G$4:$G$276))</f>
        <v>2500</v>
      </c>
      <c r="I137" s="134">
        <f>SUMPRODUCT(-(Bens!$B$4:$B$276=Analítico!$B137),-(Bens!$D$4:$D$276=Analítico!I$3),(Bens!$G$4:$G$276))</f>
        <v>0</v>
      </c>
      <c r="J137" s="134">
        <f>SUMPRODUCT(-(Bens!$B$4:$B$276=Analítico!$B137),-(Bens!$D$4:$D$276=Analítico!J$3),(Bens!$G$4:$G$276))</f>
        <v>30000</v>
      </c>
      <c r="K137" s="134">
        <f>SUMPRODUCT(-(Bens!$B$4:$B$276=Analítico!$B137),-(Bens!$D$4:$D$276=Analítico!K$3),(Bens!$G$4:$G$276))</f>
        <v>2500</v>
      </c>
      <c r="L137" s="134">
        <f>SUMPRODUCT(-(Bens!$B$4:$B$276=Analítico!$B137),-(Bens!$D$4:$D$276=Analítico!L$3),(Bens!$G$4:$G$276))</f>
        <v>0</v>
      </c>
      <c r="M137" s="134">
        <f>SUMPRODUCT(-(Bens!$B$4:$B$276=Analítico!$B137),-(Bens!$D$4:$D$276=Analítico!M$3),(Bens!$G$4:$G$276))</f>
        <v>30000</v>
      </c>
      <c r="N137" s="134">
        <f>SUMPRODUCT(-(Bens!$B$4:$B$276=Analítico!$B137),-(Bens!$D$4:$D$276=Analítico!N$3),(Bens!$G$4:$G$276))</f>
        <v>2500</v>
      </c>
      <c r="O137" s="134">
        <f>SUMPRODUCT(-(Bens!$B$4:$B$276=Analítico!$B137),-(Bens!$D$4:$D$276=Analítico!O$3),(Bens!$G$4:$G$276))</f>
        <v>0</v>
      </c>
      <c r="P137" s="134">
        <f>SUMPRODUCT(-(Bens!$B$4:$B$276=Analítico!$B137),-(Bens!$D$4:$D$276=Analítico!P$3),(Bens!$G$4:$G$276))</f>
        <v>0</v>
      </c>
      <c r="Q137" s="134">
        <f>SUMPRODUCT(-(Bens!$B$4:$B$276=Analítico!$B137),-(Bens!$D$4:$D$276=Analítico!Q$3),(Bens!$G$4:$G$276))</f>
        <v>2500</v>
      </c>
      <c r="R137" s="134">
        <f>SUMPRODUCT(-(Bens!$B$4:$B$276=Analítico!$B137),-(Bens!$D$4:$D$276=Analítico!R$3),(Bens!$G$4:$G$276))</f>
        <v>8500</v>
      </c>
      <c r="S137" s="134">
        <f>SUMPRODUCT(-(Bens!$B$4:$B$276=Analítico!$B137),-(Bens!$D$4:$D$276=Analítico!S$3),(Bens!$G$4:$G$276))</f>
        <v>0</v>
      </c>
      <c r="T137" s="134">
        <f>SUMPRODUCT(-(Bens!$B$4:$B$276=Analítico!$B137),-(Bens!$D$4:$D$276=Analítico!T$3),(Bens!$G$4:$G$276))</f>
        <v>2500</v>
      </c>
      <c r="U137" s="134">
        <f>SUMPRODUCT(-(Bens!$B$4:$B$276=Analítico!$B137),-(Bens!$D$4:$D$276=Analítico!U$3),(Bens!$G$4:$G$276))</f>
        <v>0</v>
      </c>
      <c r="V137" s="134">
        <f>SUMPRODUCT(-(Bens!$B$4:$B$276=Analítico!$B137),-(Bens!$D$4:$D$276=Analítico!V$3),(Bens!$G$4:$G$276))</f>
        <v>0</v>
      </c>
      <c r="W137" s="134">
        <f>SUMPRODUCT(-(Bens!$B$4:$B$276=Analítico!$B137),-(Bens!$D$4:$D$276=Analítico!W$3),(Bens!$G$4:$G$276))</f>
        <v>2500</v>
      </c>
      <c r="X137" s="134">
        <f>SUMPRODUCT(-(Bens!$B$4:$B$276=Analítico!$B137),-(Bens!$D$4:$D$276=Analítico!X$3),(Bens!$G$4:$G$276))</f>
        <v>0</v>
      </c>
      <c r="Y137" s="134">
        <f>SUMPRODUCT(-(Bens!$B$4:$B$276=Analítico!$B137),-(Bens!$D$4:$D$276=Analítico!Y$3),(Bens!$G$4:$G$276))</f>
        <v>0</v>
      </c>
      <c r="Z137" s="134">
        <f>SUMPRODUCT(-(Bens!$B$4:$B$276=Analítico!$B137),-(Bens!$D$4:$D$276=Analítico!Z$3),(Bens!$G$4:$G$276))</f>
        <v>2500</v>
      </c>
      <c r="AA137" s="134">
        <f>SUMPRODUCT(-(Bens!$B$4:$B$276=Analítico!$B137),-(Bens!$D$4:$D$276=Analítico!AA$3),(Bens!$G$4:$G$276))</f>
        <v>0</v>
      </c>
      <c r="AB137" s="134">
        <f>SUMPRODUCT(-(Bens!$B$4:$B$276=Analítico!$B137),-(Bens!$D$4:$D$276=Analítico!AB$3),(Bens!$G$4:$G$276))</f>
        <v>0</v>
      </c>
      <c r="AC137" s="134">
        <f>SUMPRODUCT(-(Bens!$B$4:$B$276=Analítico!$B137),-(Bens!$D$4:$D$276=Analítico!AC$3),(Bens!$G$4:$G$276))</f>
        <v>2500</v>
      </c>
      <c r="AD137" s="134">
        <f>SUMPRODUCT(-(Bens!$B$4:$B$276=Analítico!$B137),-(Bens!$D$4:$D$276=Analítico!AD$3),(Bens!$G$4:$G$276))</f>
        <v>112520</v>
      </c>
      <c r="AE137" s="134">
        <f>SUMPRODUCT(-(Bens!$B$4:$B$276=Analítico!$B137),-(Bens!$D$4:$D$276=Analítico!AE$3),(Bens!$G$4:$G$276))</f>
        <v>0</v>
      </c>
      <c r="AF137" s="134">
        <f>SUMPRODUCT(-(Bens!$B$4:$B$276=Analítico!$B137),-(Bens!$D$4:$D$276=Analítico!AF$3),(Bens!$G$4:$G$276))</f>
        <v>2500</v>
      </c>
      <c r="AG137" s="134">
        <f>SUMPRODUCT(-(Bens!$B$4:$B$276=Analítico!$B137),-(Bens!$D$4:$D$276=Analítico!AG$3),(Bens!$G$4:$G$276))</f>
        <v>0</v>
      </c>
      <c r="AH137" s="134">
        <f>SUMPRODUCT(-(Bens!$B$4:$B$276=Analítico!$B137),-(Bens!$D$4:$D$276=Analítico!AH$3),(Bens!$G$4:$G$276))</f>
        <v>0</v>
      </c>
      <c r="AI137" s="134">
        <f>SUMPRODUCT(-(Bens!$B$4:$B$276=Analítico!$B137),-(Bens!$D$4:$D$276=Analítico!AI$3),(Bens!$G$4:$G$276))</f>
        <v>2500</v>
      </c>
      <c r="AJ137" s="134">
        <f>SUMPRODUCT(-(Bens!$B$4:$B$276=Analítico!$B137),-(Bens!$D$4:$D$276=Analítico!AJ$3),(Bens!$G$4:$G$276))</f>
        <v>0</v>
      </c>
      <c r="AK137" s="134">
        <f>SUMPRODUCT(-(Bens!$B$4:$B$276=Analítico!$B137),-(Bens!$D$4:$D$276=Analítico!AK$3),(Bens!$G$4:$G$276))</f>
        <v>0</v>
      </c>
      <c r="AL137" s="134">
        <f>SUMPRODUCT(-(Bens!$B$4:$B$276=Analítico!$B137),-(Bens!$D$4:$D$276=Analítico!AL$3),(Bens!$G$4:$G$276))</f>
        <v>2500</v>
      </c>
      <c r="AM137" s="134">
        <f>SUMPRODUCT(-(Bens!$B$4:$B$276=Analítico!$B137),-(Bens!$D$4:$D$276=Analítico!AM$3),(Bens!$G$4:$G$276))</f>
        <v>0</v>
      </c>
      <c r="AN137" s="134">
        <f>SUMPRODUCT(-(Bens!$B$4:$B$276=Analítico!$B137),-(Bens!$D$4:$D$276=Analítico!AN$3),(Bens!$G$4:$G$276))</f>
        <v>0</v>
      </c>
      <c r="AO137" s="134">
        <f>SUMPRODUCT(-(Bens!$B$4:$B$276=Analítico!$B137),-(Bens!$D$4:$D$276=Analítico!AO$3),(Bens!$G$4:$G$276))</f>
        <v>2500</v>
      </c>
      <c r="AP137" s="134">
        <f>SUMPRODUCT(-(Bens!$B$4:$B$276=Analítico!$B137),-(Bens!$D$4:$D$276=Analítico!AP$3),(Bens!$G$4:$G$276))</f>
        <v>0</v>
      </c>
      <c r="AQ137" s="134">
        <f>SUMPRODUCT(-(Bens!$B$4:$B$276=Analítico!$B137),-(Bens!$D$4:$D$276=Analítico!AQ$3),(Bens!$G$4:$G$276))</f>
        <v>0</v>
      </c>
      <c r="AR137" s="134">
        <f>SUMPRODUCT(-(Bens!$B$4:$B$276=Analítico!$B137),-(Bens!$D$4:$D$276=Analítico!AR$3),(Bens!$G$4:$G$276))</f>
        <v>2500</v>
      </c>
      <c r="AS137" s="134">
        <f>SUMPRODUCT(-(Bens!$B$4:$B$276=Analítico!$B137),-(Bens!$D$4:$D$276=Analítico!AS$3),(Bens!$G$4:$G$276))</f>
        <v>0</v>
      </c>
      <c r="AT137" s="134">
        <f>SUMPRODUCT(-(Bens!$B$4:$B$276=Analítico!$B137),-(Bens!$D$4:$D$276=Analítico!AT$3),(Bens!$G$4:$G$276))</f>
        <v>0</v>
      </c>
      <c r="AU137" s="134">
        <f>SUMPRODUCT(-(Bens!$B$4:$B$276=Analítico!$B137),-(Bens!$D$4:$D$276=Analítico!AU$3),(Bens!$G$4:$G$276))</f>
        <v>2500</v>
      </c>
      <c r="AV137" s="134">
        <f>SUMPRODUCT(-(Bens!$B$4:$B$276=Analítico!$B137),-(Bens!$D$4:$D$276=Analítico!AV$3),(Bens!$G$4:$G$276))</f>
        <v>0</v>
      </c>
      <c r="AW137" s="134">
        <f>SUMPRODUCT(-(Bens!$B$4:$B$276=Analítico!$B137),-(Bens!$D$4:$D$276=Analítico!AW$3),(Bens!$G$4:$G$276))</f>
        <v>0</v>
      </c>
      <c r="AX137" s="134">
        <f>SUMPRODUCT(-(Bens!$B$4:$B$276=Analítico!$B137),-(Bens!$D$4:$D$276=Analítico!AX$3),(Bens!$G$4:$G$276))</f>
        <v>0</v>
      </c>
      <c r="AY137" s="134">
        <f>SUMPRODUCT(-(Bens!$B$4:$B$276=Analítico!$B137),-(Bens!$D$4:$D$276=Analítico!AY$3),(Bens!$G$4:$G$276))</f>
        <v>0</v>
      </c>
      <c r="AZ137" s="134">
        <f>SUMPRODUCT(-(Bens!$B$4:$B$276=Analítico!$B137),-(Bens!$D$4:$D$276=Analítico!AZ$3),(Bens!$G$4:$G$276))</f>
        <v>0</v>
      </c>
      <c r="BA137" s="134">
        <f>SUMPRODUCT(-(Bens!$B$4:$B$276=Analítico!$B137),-(Bens!$D$4:$D$276=Analítico!BA$3),(Bens!$G$4:$G$276))</f>
        <v>0</v>
      </c>
      <c r="BB137" s="134">
        <f>SUMPRODUCT(-(Bens!$B$4:$B$276=Analítico!$B137),-(Bens!$D$4:$D$276=Analítico!BB$3),(Bens!$G$4:$G$276))</f>
        <v>0</v>
      </c>
      <c r="BC137" s="134">
        <f>SUMPRODUCT(-(Bens!$B$4:$B$276=Analítico!$B137),-(Bens!$D$4:$D$276=Analítico!BC$3),(Bens!$G$4:$G$276))</f>
        <v>0</v>
      </c>
      <c r="BD137" s="134">
        <f>SUMPRODUCT(-(Bens!$B$4:$B$276=Analítico!$B137),-(Bens!$D$4:$D$276=Analítico!BD$3),(Bens!$G$4:$G$276))</f>
        <v>0</v>
      </c>
      <c r="BE137" s="134">
        <f>SUMPRODUCT(-(Bens!$B$4:$B$276=Analítico!$B137),-(Bens!$D$4:$D$276=Analítico!BE$3),(Bens!$G$4:$G$276))</f>
        <v>0</v>
      </c>
      <c r="BF137" s="134">
        <f>SUMPRODUCT(-(Bens!$B$4:$B$276=Analítico!$B137),-(Bens!$D$4:$D$276=Analítico!BF$3),(Bens!$G$4:$G$276))</f>
        <v>0</v>
      </c>
      <c r="BG137" s="134">
        <f>SUMPRODUCT(-(Bens!$B$4:$B$276=Analítico!$B137),-(Bens!$D$4:$D$276=Analítico!BG$3),(Bens!$G$4:$G$276))</f>
        <v>0</v>
      </c>
      <c r="BH137" s="134">
        <f>SUMPRODUCT(-(Bens!$B$4:$B$276=Analítico!$B137),-(Bens!$D$4:$D$276=Analítico!BH$3),(Bens!$G$4:$G$276))</f>
        <v>0</v>
      </c>
      <c r="BI137" s="134">
        <f>SUMPRODUCT(-(Bens!$B$4:$B$276=Analítico!$B137),-(Bens!$D$4:$D$276=Analítico!BI$3),(Bens!$G$4:$G$276))</f>
        <v>0</v>
      </c>
      <c r="BJ137" s="134">
        <f>SUMPRODUCT(-(Bens!$B$4:$B$276=Analítico!$B137),-(Bens!$D$4:$D$276=Analítico!BJ$3),(Bens!$G$4:$G$276))</f>
        <v>0</v>
      </c>
      <c r="BK137" s="189">
        <f t="shared" si="32"/>
        <v>438444</v>
      </c>
      <c r="BL137" s="136">
        <f t="shared" ca="1" si="33"/>
        <v>1.5095618630505707E-3</v>
      </c>
    </row>
    <row r="138" spans="1:64" s="160" customFormat="1" ht="23.25" customHeight="1">
      <c r="A138" s="198" t="s">
        <v>328</v>
      </c>
      <c r="B138" s="209" t="s">
        <v>329</v>
      </c>
      <c r="C138" s="188">
        <f>SUMPRODUCT(-(Bens!$B$4:$B$276=Analítico!$B138),-(Bens!$D$4:$D$276=Analítico!C$3),(Bens!$G$4:$G$276))</f>
        <v>0</v>
      </c>
      <c r="D138" s="134">
        <f>SUMPRODUCT(-(Bens!$B$4:$B$276=Analítico!$B138),-(Bens!$D$4:$D$276=Analítico!D$3),(Bens!$G$4:$G$276))</f>
        <v>2600</v>
      </c>
      <c r="E138" s="134">
        <f>SUMPRODUCT(-(Bens!$B$4:$B$276=Analítico!$B138),-(Bens!$D$4:$D$276=Analítico!E$3),(Bens!$G$4:$G$276))</f>
        <v>2000</v>
      </c>
      <c r="F138" s="134">
        <f>SUMPRODUCT(-(Bens!$B$4:$B$276=Analítico!$B138),-(Bens!$D$4:$D$276=Analítico!F$3),(Bens!$G$4:$G$276))</f>
        <v>0</v>
      </c>
      <c r="G138" s="134">
        <f>SUMPRODUCT(-(Bens!$B$4:$B$276=Analítico!$B138),-(Bens!$D$4:$D$276=Analítico!G$3),(Bens!$G$4:$G$276))</f>
        <v>1300</v>
      </c>
      <c r="H138" s="134">
        <f>SUMPRODUCT(-(Bens!$B$4:$B$276=Analítico!$B138),-(Bens!$D$4:$D$276=Analítico!H$3),(Bens!$G$4:$G$276))</f>
        <v>2000</v>
      </c>
      <c r="I138" s="134">
        <f>SUMPRODUCT(-(Bens!$B$4:$B$276=Analítico!$B138),-(Bens!$D$4:$D$276=Analítico!I$3),(Bens!$G$4:$G$276))</f>
        <v>0</v>
      </c>
      <c r="J138" s="134">
        <f>SUMPRODUCT(-(Bens!$B$4:$B$276=Analítico!$B138),-(Bens!$D$4:$D$276=Analítico!J$3),(Bens!$G$4:$G$276))</f>
        <v>0</v>
      </c>
      <c r="K138" s="134">
        <f>SUMPRODUCT(-(Bens!$B$4:$B$276=Analítico!$B138),-(Bens!$D$4:$D$276=Analítico!K$3),(Bens!$G$4:$G$276))</f>
        <v>2000</v>
      </c>
      <c r="L138" s="134">
        <f>SUMPRODUCT(-(Bens!$B$4:$B$276=Analítico!$B138),-(Bens!$D$4:$D$276=Analítico!L$3),(Bens!$G$4:$G$276))</f>
        <v>0</v>
      </c>
      <c r="M138" s="134">
        <f>SUMPRODUCT(-(Bens!$B$4:$B$276=Analítico!$B138),-(Bens!$D$4:$D$276=Analítico!M$3),(Bens!$G$4:$G$276))</f>
        <v>0</v>
      </c>
      <c r="N138" s="134">
        <f>SUMPRODUCT(-(Bens!$B$4:$B$276=Analítico!$B138),-(Bens!$D$4:$D$276=Analítico!N$3),(Bens!$G$4:$G$276))</f>
        <v>2000</v>
      </c>
      <c r="O138" s="134">
        <f>SUMPRODUCT(-(Bens!$B$4:$B$276=Analítico!$B138),-(Bens!$D$4:$D$276=Analítico!O$3),(Bens!$G$4:$G$276))</f>
        <v>0</v>
      </c>
      <c r="P138" s="134">
        <f>SUMPRODUCT(-(Bens!$B$4:$B$276=Analítico!$B138),-(Bens!$D$4:$D$276=Analítico!P$3),(Bens!$G$4:$G$276))</f>
        <v>0</v>
      </c>
      <c r="Q138" s="134">
        <f>SUMPRODUCT(-(Bens!$B$4:$B$276=Analítico!$B138),-(Bens!$D$4:$D$276=Analítico!Q$3),(Bens!$G$4:$G$276))</f>
        <v>2000</v>
      </c>
      <c r="R138" s="134">
        <f>SUMPRODUCT(-(Bens!$B$4:$B$276=Analítico!$B138),-(Bens!$D$4:$D$276=Analítico!R$3),(Bens!$G$4:$G$276))</f>
        <v>0</v>
      </c>
      <c r="S138" s="134">
        <f>SUMPRODUCT(-(Bens!$B$4:$B$276=Analítico!$B138),-(Bens!$D$4:$D$276=Analítico!S$3),(Bens!$G$4:$G$276))</f>
        <v>0</v>
      </c>
      <c r="T138" s="134">
        <f>SUMPRODUCT(-(Bens!$B$4:$B$276=Analítico!$B138),-(Bens!$D$4:$D$276=Analítico!T$3),(Bens!$G$4:$G$276))</f>
        <v>2000</v>
      </c>
      <c r="U138" s="134">
        <f>SUMPRODUCT(-(Bens!$B$4:$B$276=Analítico!$B138),-(Bens!$D$4:$D$276=Analítico!U$3),(Bens!$G$4:$G$276))</f>
        <v>0</v>
      </c>
      <c r="V138" s="134">
        <f>SUMPRODUCT(-(Bens!$B$4:$B$276=Analítico!$B138),-(Bens!$D$4:$D$276=Analítico!V$3),(Bens!$G$4:$G$276))</f>
        <v>0</v>
      </c>
      <c r="W138" s="134">
        <f>SUMPRODUCT(-(Bens!$B$4:$B$276=Analítico!$B138),-(Bens!$D$4:$D$276=Analítico!W$3),(Bens!$G$4:$G$276))</f>
        <v>2000</v>
      </c>
      <c r="X138" s="134">
        <f>SUMPRODUCT(-(Bens!$B$4:$B$276=Analítico!$B138),-(Bens!$D$4:$D$276=Analítico!X$3),(Bens!$G$4:$G$276))</f>
        <v>0</v>
      </c>
      <c r="Y138" s="134">
        <f>SUMPRODUCT(-(Bens!$B$4:$B$276=Analítico!$B138),-(Bens!$D$4:$D$276=Analítico!Y$3),(Bens!$G$4:$G$276))</f>
        <v>0</v>
      </c>
      <c r="Z138" s="134">
        <f>SUMPRODUCT(-(Bens!$B$4:$B$276=Analítico!$B138),-(Bens!$D$4:$D$276=Analítico!Z$3),(Bens!$G$4:$G$276))</f>
        <v>2000</v>
      </c>
      <c r="AA138" s="134">
        <f>SUMPRODUCT(-(Bens!$B$4:$B$276=Analítico!$B138),-(Bens!$D$4:$D$276=Analítico!AA$3),(Bens!$G$4:$G$276))</f>
        <v>0</v>
      </c>
      <c r="AB138" s="134">
        <f>SUMPRODUCT(-(Bens!$B$4:$B$276=Analítico!$B138),-(Bens!$D$4:$D$276=Analítico!AB$3),(Bens!$G$4:$G$276))</f>
        <v>0</v>
      </c>
      <c r="AC138" s="134">
        <f>SUMPRODUCT(-(Bens!$B$4:$B$276=Analítico!$B138),-(Bens!$D$4:$D$276=Analítico!AC$3),(Bens!$G$4:$G$276))</f>
        <v>2000</v>
      </c>
      <c r="AD138" s="134">
        <f>SUMPRODUCT(-(Bens!$B$4:$B$276=Analítico!$B138),-(Bens!$D$4:$D$276=Analítico!AD$3),(Bens!$G$4:$G$276))</f>
        <v>0</v>
      </c>
      <c r="AE138" s="134">
        <f>SUMPRODUCT(-(Bens!$B$4:$B$276=Analítico!$B138),-(Bens!$D$4:$D$276=Analítico!AE$3),(Bens!$G$4:$G$276))</f>
        <v>0</v>
      </c>
      <c r="AF138" s="134">
        <f>SUMPRODUCT(-(Bens!$B$4:$B$276=Analítico!$B138),-(Bens!$D$4:$D$276=Analítico!AF$3),(Bens!$G$4:$G$276))</f>
        <v>2000</v>
      </c>
      <c r="AG138" s="134">
        <f>SUMPRODUCT(-(Bens!$B$4:$B$276=Analítico!$B138),-(Bens!$D$4:$D$276=Analítico!AG$3),(Bens!$G$4:$G$276))</f>
        <v>0</v>
      </c>
      <c r="AH138" s="134">
        <f>SUMPRODUCT(-(Bens!$B$4:$B$276=Analítico!$B138),-(Bens!$D$4:$D$276=Analítico!AH$3),(Bens!$G$4:$G$276))</f>
        <v>0</v>
      </c>
      <c r="AI138" s="134">
        <f>SUMPRODUCT(-(Bens!$B$4:$B$276=Analítico!$B138),-(Bens!$D$4:$D$276=Analítico!AI$3),(Bens!$G$4:$G$276))</f>
        <v>2000</v>
      </c>
      <c r="AJ138" s="134">
        <f>SUMPRODUCT(-(Bens!$B$4:$B$276=Analítico!$B138),-(Bens!$D$4:$D$276=Analítico!AJ$3),(Bens!$G$4:$G$276))</f>
        <v>0</v>
      </c>
      <c r="AK138" s="134">
        <f>SUMPRODUCT(-(Bens!$B$4:$B$276=Analítico!$B138),-(Bens!$D$4:$D$276=Analítico!AK$3),(Bens!$G$4:$G$276))</f>
        <v>0</v>
      </c>
      <c r="AL138" s="134">
        <f>SUMPRODUCT(-(Bens!$B$4:$B$276=Analítico!$B138),-(Bens!$D$4:$D$276=Analítico!AL$3),(Bens!$G$4:$G$276))</f>
        <v>2000</v>
      </c>
      <c r="AM138" s="134">
        <f>SUMPRODUCT(-(Bens!$B$4:$B$276=Analítico!$B138),-(Bens!$D$4:$D$276=Analítico!AM$3),(Bens!$G$4:$G$276))</f>
        <v>0</v>
      </c>
      <c r="AN138" s="134">
        <f>SUMPRODUCT(-(Bens!$B$4:$B$276=Analítico!$B138),-(Bens!$D$4:$D$276=Analítico!AN$3),(Bens!$G$4:$G$276))</f>
        <v>0</v>
      </c>
      <c r="AO138" s="134">
        <f>SUMPRODUCT(-(Bens!$B$4:$B$276=Analítico!$B138),-(Bens!$D$4:$D$276=Analítico!AO$3),(Bens!$G$4:$G$276))</f>
        <v>2000</v>
      </c>
      <c r="AP138" s="134">
        <f>SUMPRODUCT(-(Bens!$B$4:$B$276=Analítico!$B138),-(Bens!$D$4:$D$276=Analítico!AP$3),(Bens!$G$4:$G$276))</f>
        <v>0</v>
      </c>
      <c r="AQ138" s="134">
        <f>SUMPRODUCT(-(Bens!$B$4:$B$276=Analítico!$B138),-(Bens!$D$4:$D$276=Analítico!AQ$3),(Bens!$G$4:$G$276))</f>
        <v>0</v>
      </c>
      <c r="AR138" s="134">
        <f>SUMPRODUCT(-(Bens!$B$4:$B$276=Analítico!$B138),-(Bens!$D$4:$D$276=Analítico!AR$3),(Bens!$G$4:$G$276))</f>
        <v>2000</v>
      </c>
      <c r="AS138" s="134">
        <f>SUMPRODUCT(-(Bens!$B$4:$B$276=Analítico!$B138),-(Bens!$D$4:$D$276=Analítico!AS$3),(Bens!$G$4:$G$276))</f>
        <v>0</v>
      </c>
      <c r="AT138" s="134">
        <f>SUMPRODUCT(-(Bens!$B$4:$B$276=Analítico!$B138),-(Bens!$D$4:$D$276=Analítico!AT$3),(Bens!$G$4:$G$276))</f>
        <v>0</v>
      </c>
      <c r="AU138" s="134">
        <f>SUMPRODUCT(-(Bens!$B$4:$B$276=Analítico!$B138),-(Bens!$D$4:$D$276=Analítico!AU$3),(Bens!$G$4:$G$276))</f>
        <v>2000</v>
      </c>
      <c r="AV138" s="134">
        <f>SUMPRODUCT(-(Bens!$B$4:$B$276=Analítico!$B138),-(Bens!$D$4:$D$276=Analítico!AV$3),(Bens!$G$4:$G$276))</f>
        <v>0</v>
      </c>
      <c r="AW138" s="134">
        <f>SUMPRODUCT(-(Bens!$B$4:$B$276=Analítico!$B138),-(Bens!$D$4:$D$276=Analítico!AW$3),(Bens!$G$4:$G$276))</f>
        <v>0</v>
      </c>
      <c r="AX138" s="134">
        <f>SUMPRODUCT(-(Bens!$B$4:$B$276=Analítico!$B138),-(Bens!$D$4:$D$276=Analítico!AX$3),(Bens!$G$4:$G$276))</f>
        <v>0</v>
      </c>
      <c r="AY138" s="134">
        <f>SUMPRODUCT(-(Bens!$B$4:$B$276=Analítico!$B138),-(Bens!$D$4:$D$276=Analítico!AY$3),(Bens!$G$4:$G$276))</f>
        <v>0</v>
      </c>
      <c r="AZ138" s="134">
        <f>SUMPRODUCT(-(Bens!$B$4:$B$276=Analítico!$B138),-(Bens!$D$4:$D$276=Analítico!AZ$3),(Bens!$G$4:$G$276))</f>
        <v>0</v>
      </c>
      <c r="BA138" s="134">
        <f>SUMPRODUCT(-(Bens!$B$4:$B$276=Analítico!$B138),-(Bens!$D$4:$D$276=Analítico!BA$3),(Bens!$G$4:$G$276))</f>
        <v>0</v>
      </c>
      <c r="BB138" s="134">
        <f>SUMPRODUCT(-(Bens!$B$4:$B$276=Analítico!$B138),-(Bens!$D$4:$D$276=Analítico!BB$3),(Bens!$G$4:$G$276))</f>
        <v>0</v>
      </c>
      <c r="BC138" s="134">
        <f>SUMPRODUCT(-(Bens!$B$4:$B$276=Analítico!$B138),-(Bens!$D$4:$D$276=Analítico!BC$3),(Bens!$G$4:$G$276))</f>
        <v>0</v>
      </c>
      <c r="BD138" s="134">
        <f>SUMPRODUCT(-(Bens!$B$4:$B$276=Analítico!$B138),-(Bens!$D$4:$D$276=Analítico!BD$3),(Bens!$G$4:$G$276))</f>
        <v>0</v>
      </c>
      <c r="BE138" s="134">
        <f>SUMPRODUCT(-(Bens!$B$4:$B$276=Analítico!$B138),-(Bens!$D$4:$D$276=Analítico!BE$3),(Bens!$G$4:$G$276))</f>
        <v>0</v>
      </c>
      <c r="BF138" s="134">
        <f>SUMPRODUCT(-(Bens!$B$4:$B$276=Analítico!$B138),-(Bens!$D$4:$D$276=Analítico!BF$3),(Bens!$G$4:$G$276))</f>
        <v>0</v>
      </c>
      <c r="BG138" s="134">
        <f>SUMPRODUCT(-(Bens!$B$4:$B$276=Analítico!$B138),-(Bens!$D$4:$D$276=Analítico!BG$3),(Bens!$G$4:$G$276))</f>
        <v>0</v>
      </c>
      <c r="BH138" s="134">
        <f>SUMPRODUCT(-(Bens!$B$4:$B$276=Analítico!$B138),-(Bens!$D$4:$D$276=Analítico!BH$3),(Bens!$G$4:$G$276))</f>
        <v>0</v>
      </c>
      <c r="BI138" s="134">
        <f>SUMPRODUCT(-(Bens!$B$4:$B$276=Analítico!$B138),-(Bens!$D$4:$D$276=Analítico!BI$3),(Bens!$G$4:$G$276))</f>
        <v>0</v>
      </c>
      <c r="BJ138" s="134">
        <f>SUMPRODUCT(-(Bens!$B$4:$B$276=Analítico!$B138),-(Bens!$D$4:$D$276=Analítico!BJ$3),(Bens!$G$4:$G$276))</f>
        <v>0</v>
      </c>
      <c r="BK138" s="189">
        <f t="shared" si="32"/>
        <v>33900</v>
      </c>
      <c r="BL138" s="136">
        <f t="shared" ca="1" si="33"/>
        <v>1.167176359065567E-4</v>
      </c>
    </row>
    <row r="139" spans="1:64" s="160" customFormat="1" ht="23.25" customHeight="1">
      <c r="A139" s="198" t="s">
        <v>330</v>
      </c>
      <c r="B139" s="209" t="s">
        <v>331</v>
      </c>
      <c r="C139" s="188">
        <f>SUMPRODUCT(-(Bens!$B$4:$B$276=Analítico!$B139),-(Bens!$D$4:$D$276=Analítico!C$3),(Bens!$G$4:$G$276))</f>
        <v>0</v>
      </c>
      <c r="D139" s="134">
        <f>SUMPRODUCT(-(Bens!$B$4:$B$276=Analítico!$B139),-(Bens!$D$4:$D$276=Analítico!D$3),(Bens!$G$4:$G$276))</f>
        <v>2962.8</v>
      </c>
      <c r="E139" s="134">
        <f>SUMPRODUCT(-(Bens!$B$4:$B$276=Analítico!$B139),-(Bens!$D$4:$D$276=Analítico!E$3),(Bens!$G$4:$G$276))</f>
        <v>2000</v>
      </c>
      <c r="F139" s="134">
        <f>SUMPRODUCT(-(Bens!$B$4:$B$276=Analítico!$B139),-(Bens!$D$4:$D$276=Analítico!F$3),(Bens!$G$4:$G$276))</f>
        <v>0</v>
      </c>
      <c r="G139" s="134">
        <f>SUMPRODUCT(-(Bens!$B$4:$B$276=Analítico!$B139),-(Bens!$D$4:$D$276=Analítico!G$3),(Bens!$G$4:$G$276))</f>
        <v>11200</v>
      </c>
      <c r="H139" s="134">
        <f>SUMPRODUCT(-(Bens!$B$4:$B$276=Analítico!$B139),-(Bens!$D$4:$D$276=Analítico!H$3),(Bens!$G$4:$G$276))</f>
        <v>2000</v>
      </c>
      <c r="I139" s="134">
        <f>SUMPRODUCT(-(Bens!$B$4:$B$276=Analítico!$B139),-(Bens!$D$4:$D$276=Analítico!I$3),(Bens!$G$4:$G$276))</f>
        <v>0</v>
      </c>
      <c r="J139" s="134">
        <f>SUMPRODUCT(-(Bens!$B$4:$B$276=Analítico!$B139),-(Bens!$D$4:$D$276=Analítico!J$3),(Bens!$G$4:$G$276))</f>
        <v>0</v>
      </c>
      <c r="K139" s="134">
        <f>SUMPRODUCT(-(Bens!$B$4:$B$276=Analítico!$B139),-(Bens!$D$4:$D$276=Analítico!K$3),(Bens!$G$4:$G$276))</f>
        <v>2000</v>
      </c>
      <c r="L139" s="134">
        <f>SUMPRODUCT(-(Bens!$B$4:$B$276=Analítico!$B139),-(Bens!$D$4:$D$276=Analítico!L$3),(Bens!$G$4:$G$276))</f>
        <v>0</v>
      </c>
      <c r="M139" s="134">
        <f>SUMPRODUCT(-(Bens!$B$4:$B$276=Analítico!$B139),-(Bens!$D$4:$D$276=Analítico!M$3),(Bens!$G$4:$G$276))</f>
        <v>0</v>
      </c>
      <c r="N139" s="134">
        <f>SUMPRODUCT(-(Bens!$B$4:$B$276=Analítico!$B139),-(Bens!$D$4:$D$276=Analítico!N$3),(Bens!$G$4:$G$276))</f>
        <v>2000</v>
      </c>
      <c r="O139" s="134">
        <f>SUMPRODUCT(-(Bens!$B$4:$B$276=Analítico!$B139),-(Bens!$D$4:$D$276=Analítico!O$3),(Bens!$G$4:$G$276))</f>
        <v>0</v>
      </c>
      <c r="P139" s="134">
        <f>SUMPRODUCT(-(Bens!$B$4:$B$276=Analítico!$B139),-(Bens!$D$4:$D$276=Analítico!P$3),(Bens!$G$4:$G$276))</f>
        <v>0</v>
      </c>
      <c r="Q139" s="134">
        <f>SUMPRODUCT(-(Bens!$B$4:$B$276=Analítico!$B139),-(Bens!$D$4:$D$276=Analítico!Q$3),(Bens!$G$4:$G$276))</f>
        <v>2000</v>
      </c>
      <c r="R139" s="134">
        <f>SUMPRODUCT(-(Bens!$B$4:$B$276=Analítico!$B139),-(Bens!$D$4:$D$276=Analítico!R$3),(Bens!$G$4:$G$276))</f>
        <v>0</v>
      </c>
      <c r="S139" s="134">
        <f>SUMPRODUCT(-(Bens!$B$4:$B$276=Analítico!$B139),-(Bens!$D$4:$D$276=Analítico!S$3),(Bens!$G$4:$G$276))</f>
        <v>0</v>
      </c>
      <c r="T139" s="134">
        <f>SUMPRODUCT(-(Bens!$B$4:$B$276=Analítico!$B139),-(Bens!$D$4:$D$276=Analítico!T$3),(Bens!$G$4:$G$276))</f>
        <v>2000</v>
      </c>
      <c r="U139" s="134">
        <f>SUMPRODUCT(-(Bens!$B$4:$B$276=Analítico!$B139),-(Bens!$D$4:$D$276=Analítico!U$3),(Bens!$G$4:$G$276))</f>
        <v>0</v>
      </c>
      <c r="V139" s="134">
        <f>SUMPRODUCT(-(Bens!$B$4:$B$276=Analítico!$B139),-(Bens!$D$4:$D$276=Analítico!V$3),(Bens!$G$4:$G$276))</f>
        <v>0</v>
      </c>
      <c r="W139" s="134">
        <f>SUMPRODUCT(-(Bens!$B$4:$B$276=Analítico!$B139),-(Bens!$D$4:$D$276=Analítico!W$3),(Bens!$G$4:$G$276))</f>
        <v>2000</v>
      </c>
      <c r="X139" s="134">
        <f>SUMPRODUCT(-(Bens!$B$4:$B$276=Analítico!$B139),-(Bens!$D$4:$D$276=Analítico!X$3),(Bens!$G$4:$G$276))</f>
        <v>0</v>
      </c>
      <c r="Y139" s="134">
        <f>SUMPRODUCT(-(Bens!$B$4:$B$276=Analítico!$B139),-(Bens!$D$4:$D$276=Analítico!Y$3),(Bens!$G$4:$G$276))</f>
        <v>0</v>
      </c>
      <c r="Z139" s="134">
        <f>SUMPRODUCT(-(Bens!$B$4:$B$276=Analítico!$B139),-(Bens!$D$4:$D$276=Analítico!Z$3),(Bens!$G$4:$G$276))</f>
        <v>2000</v>
      </c>
      <c r="AA139" s="134">
        <f>SUMPRODUCT(-(Bens!$B$4:$B$276=Analítico!$B139),-(Bens!$D$4:$D$276=Analítico!AA$3),(Bens!$G$4:$G$276))</f>
        <v>0</v>
      </c>
      <c r="AB139" s="134">
        <f>SUMPRODUCT(-(Bens!$B$4:$B$276=Analítico!$B139),-(Bens!$D$4:$D$276=Analítico!AB$3),(Bens!$G$4:$G$276))</f>
        <v>0</v>
      </c>
      <c r="AC139" s="134">
        <f>SUMPRODUCT(-(Bens!$B$4:$B$276=Analítico!$B139),-(Bens!$D$4:$D$276=Analítico!AC$3),(Bens!$G$4:$G$276))</f>
        <v>2000</v>
      </c>
      <c r="AD139" s="134">
        <f>SUMPRODUCT(-(Bens!$B$4:$B$276=Analítico!$B139),-(Bens!$D$4:$D$276=Analítico!AD$3),(Bens!$G$4:$G$276))</f>
        <v>0</v>
      </c>
      <c r="AE139" s="134">
        <f>SUMPRODUCT(-(Bens!$B$4:$B$276=Analítico!$B139),-(Bens!$D$4:$D$276=Analítico!AE$3),(Bens!$G$4:$G$276))</f>
        <v>0</v>
      </c>
      <c r="AF139" s="134">
        <f>SUMPRODUCT(-(Bens!$B$4:$B$276=Analítico!$B139),-(Bens!$D$4:$D$276=Analítico!AF$3),(Bens!$G$4:$G$276))</f>
        <v>2000</v>
      </c>
      <c r="AG139" s="134">
        <f>SUMPRODUCT(-(Bens!$B$4:$B$276=Analítico!$B139),-(Bens!$D$4:$D$276=Analítico!AG$3),(Bens!$G$4:$G$276))</f>
        <v>0</v>
      </c>
      <c r="AH139" s="134">
        <f>SUMPRODUCT(-(Bens!$B$4:$B$276=Analítico!$B139),-(Bens!$D$4:$D$276=Analítico!AH$3),(Bens!$G$4:$G$276))</f>
        <v>0</v>
      </c>
      <c r="AI139" s="134">
        <f>SUMPRODUCT(-(Bens!$B$4:$B$276=Analítico!$B139),-(Bens!$D$4:$D$276=Analítico!AI$3),(Bens!$G$4:$G$276))</f>
        <v>2000</v>
      </c>
      <c r="AJ139" s="134">
        <f>SUMPRODUCT(-(Bens!$B$4:$B$276=Analítico!$B139),-(Bens!$D$4:$D$276=Analítico!AJ$3),(Bens!$G$4:$G$276))</f>
        <v>0</v>
      </c>
      <c r="AK139" s="134">
        <f>SUMPRODUCT(-(Bens!$B$4:$B$276=Analítico!$B139),-(Bens!$D$4:$D$276=Analítico!AK$3),(Bens!$G$4:$G$276))</f>
        <v>0</v>
      </c>
      <c r="AL139" s="134">
        <f>SUMPRODUCT(-(Bens!$B$4:$B$276=Analítico!$B139),-(Bens!$D$4:$D$276=Analítico!AL$3),(Bens!$G$4:$G$276))</f>
        <v>2000</v>
      </c>
      <c r="AM139" s="134">
        <f>SUMPRODUCT(-(Bens!$B$4:$B$276=Analítico!$B139),-(Bens!$D$4:$D$276=Analítico!AM$3),(Bens!$G$4:$G$276))</f>
        <v>0</v>
      </c>
      <c r="AN139" s="134">
        <f>SUMPRODUCT(-(Bens!$B$4:$B$276=Analítico!$B139),-(Bens!$D$4:$D$276=Analítico!AN$3),(Bens!$G$4:$G$276))</f>
        <v>0</v>
      </c>
      <c r="AO139" s="134">
        <f>SUMPRODUCT(-(Bens!$B$4:$B$276=Analítico!$B139),-(Bens!$D$4:$D$276=Analítico!AO$3),(Bens!$G$4:$G$276))</f>
        <v>2000</v>
      </c>
      <c r="AP139" s="134">
        <f>SUMPRODUCT(-(Bens!$B$4:$B$276=Analítico!$B139),-(Bens!$D$4:$D$276=Analítico!AP$3),(Bens!$G$4:$G$276))</f>
        <v>0</v>
      </c>
      <c r="AQ139" s="134">
        <f>SUMPRODUCT(-(Bens!$B$4:$B$276=Analítico!$B139),-(Bens!$D$4:$D$276=Analítico!AQ$3),(Bens!$G$4:$G$276))</f>
        <v>0</v>
      </c>
      <c r="AR139" s="134">
        <f>SUMPRODUCT(-(Bens!$B$4:$B$276=Analítico!$B139),-(Bens!$D$4:$D$276=Analítico!AR$3),(Bens!$G$4:$G$276))</f>
        <v>2000</v>
      </c>
      <c r="AS139" s="134">
        <f>SUMPRODUCT(-(Bens!$B$4:$B$276=Analítico!$B139),-(Bens!$D$4:$D$276=Analítico!AS$3),(Bens!$G$4:$G$276))</f>
        <v>0</v>
      </c>
      <c r="AT139" s="134">
        <f>SUMPRODUCT(-(Bens!$B$4:$B$276=Analítico!$B139),-(Bens!$D$4:$D$276=Analítico!AT$3),(Bens!$G$4:$G$276))</f>
        <v>0</v>
      </c>
      <c r="AU139" s="134">
        <f>SUMPRODUCT(-(Bens!$B$4:$B$276=Analítico!$B139),-(Bens!$D$4:$D$276=Analítico!AU$3),(Bens!$G$4:$G$276))</f>
        <v>399.28</v>
      </c>
      <c r="AV139" s="134">
        <f>SUMPRODUCT(-(Bens!$B$4:$B$276=Analítico!$B139),-(Bens!$D$4:$D$276=Analítico!AV$3),(Bens!$G$4:$G$276))</f>
        <v>0</v>
      </c>
      <c r="AW139" s="134">
        <f>SUMPRODUCT(-(Bens!$B$4:$B$276=Analítico!$B139),-(Bens!$D$4:$D$276=Analítico!AW$3),(Bens!$G$4:$G$276))</f>
        <v>0</v>
      </c>
      <c r="AX139" s="134">
        <f>SUMPRODUCT(-(Bens!$B$4:$B$276=Analítico!$B139),-(Bens!$D$4:$D$276=Analítico!AX$3),(Bens!$G$4:$G$276))</f>
        <v>0</v>
      </c>
      <c r="AY139" s="134">
        <f>SUMPRODUCT(-(Bens!$B$4:$B$276=Analítico!$B139),-(Bens!$D$4:$D$276=Analítico!AY$3),(Bens!$G$4:$G$276))</f>
        <v>0</v>
      </c>
      <c r="AZ139" s="134">
        <f>SUMPRODUCT(-(Bens!$B$4:$B$276=Analítico!$B139),-(Bens!$D$4:$D$276=Analítico!AZ$3),(Bens!$G$4:$G$276))</f>
        <v>0</v>
      </c>
      <c r="BA139" s="134">
        <f>SUMPRODUCT(-(Bens!$B$4:$B$276=Analítico!$B139),-(Bens!$D$4:$D$276=Analítico!BA$3),(Bens!$G$4:$G$276))</f>
        <v>0</v>
      </c>
      <c r="BB139" s="134">
        <f>SUMPRODUCT(-(Bens!$B$4:$B$276=Analítico!$B139),-(Bens!$D$4:$D$276=Analítico!BB$3),(Bens!$G$4:$G$276))</f>
        <v>0</v>
      </c>
      <c r="BC139" s="134">
        <f>SUMPRODUCT(-(Bens!$B$4:$B$276=Analítico!$B139),-(Bens!$D$4:$D$276=Analítico!BC$3),(Bens!$G$4:$G$276))</f>
        <v>0</v>
      </c>
      <c r="BD139" s="134">
        <f>SUMPRODUCT(-(Bens!$B$4:$B$276=Analítico!$B139),-(Bens!$D$4:$D$276=Analítico!BD$3),(Bens!$G$4:$G$276))</f>
        <v>0</v>
      </c>
      <c r="BE139" s="134">
        <f>SUMPRODUCT(-(Bens!$B$4:$B$276=Analítico!$B139),-(Bens!$D$4:$D$276=Analítico!BE$3),(Bens!$G$4:$G$276))</f>
        <v>0</v>
      </c>
      <c r="BF139" s="134">
        <f>SUMPRODUCT(-(Bens!$B$4:$B$276=Analítico!$B139),-(Bens!$D$4:$D$276=Analítico!BF$3),(Bens!$G$4:$G$276))</f>
        <v>0</v>
      </c>
      <c r="BG139" s="134">
        <f>SUMPRODUCT(-(Bens!$B$4:$B$276=Analítico!$B139),-(Bens!$D$4:$D$276=Analítico!BG$3),(Bens!$G$4:$G$276))</f>
        <v>0</v>
      </c>
      <c r="BH139" s="134">
        <f>SUMPRODUCT(-(Bens!$B$4:$B$276=Analítico!$B139),-(Bens!$D$4:$D$276=Analítico!BH$3),(Bens!$G$4:$G$276))</f>
        <v>0</v>
      </c>
      <c r="BI139" s="134">
        <f>SUMPRODUCT(-(Bens!$B$4:$B$276=Analítico!$B139),-(Bens!$D$4:$D$276=Analítico!BI$3),(Bens!$G$4:$G$276))</f>
        <v>0</v>
      </c>
      <c r="BJ139" s="134">
        <f>SUMPRODUCT(-(Bens!$B$4:$B$276=Analítico!$B139),-(Bens!$D$4:$D$276=Analítico!BJ$3),(Bens!$G$4:$G$276))</f>
        <v>0</v>
      </c>
      <c r="BK139" s="189">
        <f t="shared" si="32"/>
        <v>42562.080000000002</v>
      </c>
      <c r="BL139" s="136">
        <f t="shared" ca="1" si="33"/>
        <v>1.4654116096949081E-4</v>
      </c>
    </row>
    <row r="140" spans="1:64" s="160" customFormat="1" ht="23.25" customHeight="1">
      <c r="A140" s="198" t="s">
        <v>332</v>
      </c>
      <c r="B140" s="209" t="s">
        <v>333</v>
      </c>
      <c r="C140" s="188">
        <f>SUMPRODUCT(-(Bens!$B$4:$B$276=Analítico!$B140),-(Bens!$D$4:$D$276=Analítico!C$3),(Bens!$G$4:$G$276))</f>
        <v>14240</v>
      </c>
      <c r="D140" s="134">
        <f>SUMPRODUCT(-(Bens!$B$4:$B$276=Analítico!$B140),-(Bens!$D$4:$D$276=Analítico!D$3),(Bens!$G$4:$G$276))</f>
        <v>0</v>
      </c>
      <c r="E140" s="134">
        <f>SUMPRODUCT(-(Bens!$B$4:$B$276=Analítico!$B140),-(Bens!$D$4:$D$276=Analítico!E$3),(Bens!$G$4:$G$276))</f>
        <v>3500</v>
      </c>
      <c r="F140" s="134">
        <f>SUMPRODUCT(-(Bens!$B$4:$B$276=Analítico!$B140),-(Bens!$D$4:$D$276=Analítico!F$3),(Bens!$G$4:$G$276))</f>
        <v>0</v>
      </c>
      <c r="G140" s="134">
        <f>SUMPRODUCT(-(Bens!$B$4:$B$276=Analítico!$B140),-(Bens!$D$4:$D$276=Analítico!G$3),(Bens!$G$4:$G$276))</f>
        <v>6720</v>
      </c>
      <c r="H140" s="134">
        <f>SUMPRODUCT(-(Bens!$B$4:$B$276=Analítico!$B140),-(Bens!$D$4:$D$276=Analítico!H$3),(Bens!$G$4:$G$276))</f>
        <v>3500</v>
      </c>
      <c r="I140" s="134">
        <f>SUMPRODUCT(-(Bens!$B$4:$B$276=Analítico!$B140),-(Bens!$D$4:$D$276=Analítico!I$3),(Bens!$G$4:$G$276))</f>
        <v>0</v>
      </c>
      <c r="J140" s="134">
        <f>SUMPRODUCT(-(Bens!$B$4:$B$276=Analítico!$B140),-(Bens!$D$4:$D$276=Analítico!J$3),(Bens!$G$4:$G$276))</f>
        <v>0</v>
      </c>
      <c r="K140" s="134">
        <f>SUMPRODUCT(-(Bens!$B$4:$B$276=Analítico!$B140),-(Bens!$D$4:$D$276=Analítico!K$3),(Bens!$G$4:$G$276))</f>
        <v>3500</v>
      </c>
      <c r="L140" s="134">
        <f>SUMPRODUCT(-(Bens!$B$4:$B$276=Analítico!$B140),-(Bens!$D$4:$D$276=Analítico!L$3),(Bens!$G$4:$G$276))</f>
        <v>0</v>
      </c>
      <c r="M140" s="134">
        <f>SUMPRODUCT(-(Bens!$B$4:$B$276=Analítico!$B140),-(Bens!$D$4:$D$276=Analítico!M$3),(Bens!$G$4:$G$276))</f>
        <v>0</v>
      </c>
      <c r="N140" s="134">
        <f>SUMPRODUCT(-(Bens!$B$4:$B$276=Analítico!$B140),-(Bens!$D$4:$D$276=Analítico!N$3),(Bens!$G$4:$G$276))</f>
        <v>3500</v>
      </c>
      <c r="O140" s="134">
        <f>SUMPRODUCT(-(Bens!$B$4:$B$276=Analítico!$B140),-(Bens!$D$4:$D$276=Analítico!O$3),(Bens!$G$4:$G$276))</f>
        <v>0</v>
      </c>
      <c r="P140" s="134">
        <f>SUMPRODUCT(-(Bens!$B$4:$B$276=Analítico!$B140),-(Bens!$D$4:$D$276=Analítico!P$3),(Bens!$G$4:$G$276))</f>
        <v>0</v>
      </c>
      <c r="Q140" s="134">
        <f>SUMPRODUCT(-(Bens!$B$4:$B$276=Analítico!$B140),-(Bens!$D$4:$D$276=Analítico!Q$3),(Bens!$G$4:$G$276))</f>
        <v>3500</v>
      </c>
      <c r="R140" s="134">
        <f>SUMPRODUCT(-(Bens!$B$4:$B$276=Analítico!$B140),-(Bens!$D$4:$D$276=Analítico!R$3),(Bens!$G$4:$G$276))</f>
        <v>22800</v>
      </c>
      <c r="S140" s="134">
        <f>SUMPRODUCT(-(Bens!$B$4:$B$276=Analítico!$B140),-(Bens!$D$4:$D$276=Analítico!S$3),(Bens!$G$4:$G$276))</f>
        <v>0</v>
      </c>
      <c r="T140" s="134">
        <f>SUMPRODUCT(-(Bens!$B$4:$B$276=Analítico!$B140),-(Bens!$D$4:$D$276=Analítico!T$3),(Bens!$G$4:$G$276))</f>
        <v>3500</v>
      </c>
      <c r="U140" s="134">
        <f>SUMPRODUCT(-(Bens!$B$4:$B$276=Analítico!$B140),-(Bens!$D$4:$D$276=Analítico!U$3),(Bens!$G$4:$G$276))</f>
        <v>0</v>
      </c>
      <c r="V140" s="134">
        <f>SUMPRODUCT(-(Bens!$B$4:$B$276=Analítico!$B140),-(Bens!$D$4:$D$276=Analítico!V$3),(Bens!$G$4:$G$276))</f>
        <v>0</v>
      </c>
      <c r="W140" s="134">
        <f>SUMPRODUCT(-(Bens!$B$4:$B$276=Analítico!$B140),-(Bens!$D$4:$D$276=Analítico!W$3),(Bens!$G$4:$G$276))</f>
        <v>3500</v>
      </c>
      <c r="X140" s="134">
        <f>SUMPRODUCT(-(Bens!$B$4:$B$276=Analítico!$B140),-(Bens!$D$4:$D$276=Analítico!X$3),(Bens!$G$4:$G$276))</f>
        <v>0</v>
      </c>
      <c r="Y140" s="134">
        <f>SUMPRODUCT(-(Bens!$B$4:$B$276=Analítico!$B140),-(Bens!$D$4:$D$276=Analítico!Y$3),(Bens!$G$4:$G$276))</f>
        <v>0</v>
      </c>
      <c r="Z140" s="134">
        <f>SUMPRODUCT(-(Bens!$B$4:$B$276=Analítico!$B140),-(Bens!$D$4:$D$276=Analítico!Z$3),(Bens!$G$4:$G$276))</f>
        <v>3500</v>
      </c>
      <c r="AA140" s="134">
        <f>SUMPRODUCT(-(Bens!$B$4:$B$276=Analítico!$B140),-(Bens!$D$4:$D$276=Analítico!AA$3),(Bens!$G$4:$G$276))</f>
        <v>0</v>
      </c>
      <c r="AB140" s="134">
        <f>SUMPRODUCT(-(Bens!$B$4:$B$276=Analítico!$B140),-(Bens!$D$4:$D$276=Analítico!AB$3),(Bens!$G$4:$G$276))</f>
        <v>0</v>
      </c>
      <c r="AC140" s="134">
        <f>SUMPRODUCT(-(Bens!$B$4:$B$276=Analítico!$B140),-(Bens!$D$4:$D$276=Analítico!AC$3),(Bens!$G$4:$G$276))</f>
        <v>3500</v>
      </c>
      <c r="AD140" s="134">
        <f>SUMPRODUCT(-(Bens!$B$4:$B$276=Analítico!$B140),-(Bens!$D$4:$D$276=Analítico!AD$3),(Bens!$G$4:$G$276))</f>
        <v>0</v>
      </c>
      <c r="AE140" s="134">
        <f>SUMPRODUCT(-(Bens!$B$4:$B$276=Analítico!$B140),-(Bens!$D$4:$D$276=Analítico!AE$3),(Bens!$G$4:$G$276))</f>
        <v>0</v>
      </c>
      <c r="AF140" s="134">
        <f>SUMPRODUCT(-(Bens!$B$4:$B$276=Analítico!$B140),-(Bens!$D$4:$D$276=Analítico!AF$3),(Bens!$G$4:$G$276))</f>
        <v>3500</v>
      </c>
      <c r="AG140" s="134">
        <f>SUMPRODUCT(-(Bens!$B$4:$B$276=Analítico!$B140),-(Bens!$D$4:$D$276=Analítico!AG$3),(Bens!$G$4:$G$276))</f>
        <v>0</v>
      </c>
      <c r="AH140" s="134">
        <f>SUMPRODUCT(-(Bens!$B$4:$B$276=Analítico!$B140),-(Bens!$D$4:$D$276=Analítico!AH$3),(Bens!$G$4:$G$276))</f>
        <v>0</v>
      </c>
      <c r="AI140" s="134">
        <f>SUMPRODUCT(-(Bens!$B$4:$B$276=Analítico!$B140),-(Bens!$D$4:$D$276=Analítico!AI$3),(Bens!$G$4:$G$276))</f>
        <v>3500</v>
      </c>
      <c r="AJ140" s="134">
        <f>SUMPRODUCT(-(Bens!$B$4:$B$276=Analítico!$B140),-(Bens!$D$4:$D$276=Analítico!AJ$3),(Bens!$G$4:$G$276))</f>
        <v>0</v>
      </c>
      <c r="AK140" s="134">
        <f>SUMPRODUCT(-(Bens!$B$4:$B$276=Analítico!$B140),-(Bens!$D$4:$D$276=Analítico!AK$3),(Bens!$G$4:$G$276))</f>
        <v>0</v>
      </c>
      <c r="AL140" s="134">
        <f>SUMPRODUCT(-(Bens!$B$4:$B$276=Analítico!$B140),-(Bens!$D$4:$D$276=Analítico!AL$3),(Bens!$G$4:$G$276))</f>
        <v>3500</v>
      </c>
      <c r="AM140" s="134">
        <f>SUMPRODUCT(-(Bens!$B$4:$B$276=Analítico!$B140),-(Bens!$D$4:$D$276=Analítico!AM$3),(Bens!$G$4:$G$276))</f>
        <v>0</v>
      </c>
      <c r="AN140" s="134">
        <f>SUMPRODUCT(-(Bens!$B$4:$B$276=Analítico!$B140),-(Bens!$D$4:$D$276=Analítico!AN$3),(Bens!$G$4:$G$276))</f>
        <v>0</v>
      </c>
      <c r="AO140" s="134">
        <f>SUMPRODUCT(-(Bens!$B$4:$B$276=Analítico!$B140),-(Bens!$D$4:$D$276=Analítico!AO$3),(Bens!$G$4:$G$276))</f>
        <v>3500</v>
      </c>
      <c r="AP140" s="134">
        <f>SUMPRODUCT(-(Bens!$B$4:$B$276=Analítico!$B140),-(Bens!$D$4:$D$276=Analítico!AP$3),(Bens!$G$4:$G$276))</f>
        <v>0</v>
      </c>
      <c r="AQ140" s="134">
        <f>SUMPRODUCT(-(Bens!$B$4:$B$276=Analítico!$B140),-(Bens!$D$4:$D$276=Analítico!AQ$3),(Bens!$G$4:$G$276))</f>
        <v>0</v>
      </c>
      <c r="AR140" s="134">
        <f>SUMPRODUCT(-(Bens!$B$4:$B$276=Analítico!$B140),-(Bens!$D$4:$D$276=Analítico!AR$3),(Bens!$G$4:$G$276))</f>
        <v>3500</v>
      </c>
      <c r="AS140" s="134">
        <f>SUMPRODUCT(-(Bens!$B$4:$B$276=Analítico!$B140),-(Bens!$D$4:$D$276=Analítico!AS$3),(Bens!$G$4:$G$276))</f>
        <v>0</v>
      </c>
      <c r="AT140" s="134">
        <f>SUMPRODUCT(-(Bens!$B$4:$B$276=Analítico!$B140),-(Bens!$D$4:$D$276=Analítico!AT$3),(Bens!$G$4:$G$276))</f>
        <v>0</v>
      </c>
      <c r="AU140" s="134">
        <f>SUMPRODUCT(-(Bens!$B$4:$B$276=Analítico!$B140),-(Bens!$D$4:$D$276=Analítico!AU$3),(Bens!$G$4:$G$276))</f>
        <v>3500</v>
      </c>
      <c r="AV140" s="134">
        <f>SUMPRODUCT(-(Bens!$B$4:$B$276=Analítico!$B140),-(Bens!$D$4:$D$276=Analítico!AV$3),(Bens!$G$4:$G$276))</f>
        <v>0</v>
      </c>
      <c r="AW140" s="134">
        <f>SUMPRODUCT(-(Bens!$B$4:$B$276=Analítico!$B140),-(Bens!$D$4:$D$276=Analítico!AW$3),(Bens!$G$4:$G$276))</f>
        <v>0</v>
      </c>
      <c r="AX140" s="134">
        <f>SUMPRODUCT(-(Bens!$B$4:$B$276=Analítico!$B140),-(Bens!$D$4:$D$276=Analítico!AX$3),(Bens!$G$4:$G$276))</f>
        <v>0</v>
      </c>
      <c r="AY140" s="134">
        <f>SUMPRODUCT(-(Bens!$B$4:$B$276=Analítico!$B140),-(Bens!$D$4:$D$276=Analítico!AY$3),(Bens!$G$4:$G$276))</f>
        <v>0</v>
      </c>
      <c r="AZ140" s="134">
        <f>SUMPRODUCT(-(Bens!$B$4:$B$276=Analítico!$B140),-(Bens!$D$4:$D$276=Analítico!AZ$3),(Bens!$G$4:$G$276))</f>
        <v>0</v>
      </c>
      <c r="BA140" s="134">
        <f>SUMPRODUCT(-(Bens!$B$4:$B$276=Analítico!$B140),-(Bens!$D$4:$D$276=Analítico!BA$3),(Bens!$G$4:$G$276))</f>
        <v>0</v>
      </c>
      <c r="BB140" s="134">
        <f>SUMPRODUCT(-(Bens!$B$4:$B$276=Analítico!$B140),-(Bens!$D$4:$D$276=Analítico!BB$3),(Bens!$G$4:$G$276))</f>
        <v>0</v>
      </c>
      <c r="BC140" s="134">
        <f>SUMPRODUCT(-(Bens!$B$4:$B$276=Analítico!$B140),-(Bens!$D$4:$D$276=Analítico!BC$3),(Bens!$G$4:$G$276))</f>
        <v>0</v>
      </c>
      <c r="BD140" s="134">
        <f>SUMPRODUCT(-(Bens!$B$4:$B$276=Analítico!$B140),-(Bens!$D$4:$D$276=Analítico!BD$3),(Bens!$G$4:$G$276))</f>
        <v>0</v>
      </c>
      <c r="BE140" s="134">
        <f>SUMPRODUCT(-(Bens!$B$4:$B$276=Analítico!$B140),-(Bens!$D$4:$D$276=Analítico!BE$3),(Bens!$G$4:$G$276))</f>
        <v>0</v>
      </c>
      <c r="BF140" s="134">
        <f>SUMPRODUCT(-(Bens!$B$4:$B$276=Analítico!$B140),-(Bens!$D$4:$D$276=Analítico!BF$3),(Bens!$G$4:$G$276))</f>
        <v>0</v>
      </c>
      <c r="BG140" s="134">
        <f>SUMPRODUCT(-(Bens!$B$4:$B$276=Analítico!$B140),-(Bens!$D$4:$D$276=Analítico!BG$3),(Bens!$G$4:$G$276))</f>
        <v>0</v>
      </c>
      <c r="BH140" s="134">
        <f>SUMPRODUCT(-(Bens!$B$4:$B$276=Analítico!$B140),-(Bens!$D$4:$D$276=Analítico!BH$3),(Bens!$G$4:$G$276))</f>
        <v>0</v>
      </c>
      <c r="BI140" s="134">
        <f>SUMPRODUCT(-(Bens!$B$4:$B$276=Analítico!$B140),-(Bens!$D$4:$D$276=Analítico!BI$3),(Bens!$G$4:$G$276))</f>
        <v>0</v>
      </c>
      <c r="BJ140" s="134">
        <f>SUMPRODUCT(-(Bens!$B$4:$B$276=Analítico!$B140),-(Bens!$D$4:$D$276=Analítico!BJ$3),(Bens!$G$4:$G$276))</f>
        <v>0</v>
      </c>
      <c r="BK140" s="189">
        <f t="shared" si="32"/>
        <v>96260</v>
      </c>
      <c r="BL140" s="136">
        <f t="shared" ca="1" si="33"/>
        <v>3.3142299800487161E-4</v>
      </c>
    </row>
    <row r="141" spans="1:64" s="160" customFormat="1" ht="23.25" customHeight="1">
      <c r="A141" s="198" t="s">
        <v>334</v>
      </c>
      <c r="B141" s="209" t="s">
        <v>335</v>
      </c>
      <c r="C141" s="188">
        <f>SUMPRODUCT(-(Bens!$B$4:$B$276=Analítico!$B141),-(Bens!$D$4:$D$276=Analítico!C$3),(Bens!$G$4:$G$276))</f>
        <v>143934</v>
      </c>
      <c r="D141" s="134">
        <f>SUMPRODUCT(-(Bens!$B$4:$B$276=Analítico!$B141),-(Bens!$D$4:$D$276=Analítico!D$3),(Bens!$G$4:$G$276))</f>
        <v>2200</v>
      </c>
      <c r="E141" s="134">
        <f>SUMPRODUCT(-(Bens!$B$4:$B$276=Analítico!$B141),-(Bens!$D$4:$D$276=Analítico!E$3),(Bens!$G$4:$G$276))</f>
        <v>0</v>
      </c>
      <c r="F141" s="134">
        <f>SUMPRODUCT(-(Bens!$B$4:$B$276=Analítico!$B141),-(Bens!$D$4:$D$276=Analítico!F$3),(Bens!$G$4:$G$276))</f>
        <v>5681.13</v>
      </c>
      <c r="G141" s="134">
        <f>SUMPRODUCT(-(Bens!$B$4:$B$276=Analítico!$B141),-(Bens!$D$4:$D$276=Analítico!G$3),(Bens!$G$4:$G$276))</f>
        <v>134802</v>
      </c>
      <c r="H141" s="134">
        <f>SUMPRODUCT(-(Bens!$B$4:$B$276=Analítico!$B141),-(Bens!$D$4:$D$276=Analítico!H$3),(Bens!$G$4:$G$276))</f>
        <v>8056.2000000000007</v>
      </c>
      <c r="I141" s="134">
        <f>SUMPRODUCT(-(Bens!$B$4:$B$276=Analítico!$B141),-(Bens!$D$4:$D$276=Analítico!I$3),(Bens!$G$4:$G$276))</f>
        <v>30000</v>
      </c>
      <c r="J141" s="134">
        <f>SUMPRODUCT(-(Bens!$B$4:$B$276=Analítico!$B141),-(Bens!$D$4:$D$276=Analítico!J$3),(Bens!$G$4:$G$276))</f>
        <v>0</v>
      </c>
      <c r="K141" s="134">
        <f>SUMPRODUCT(-(Bens!$B$4:$B$276=Analítico!$B141),-(Bens!$D$4:$D$276=Analítico!K$3),(Bens!$G$4:$G$276))</f>
        <v>0</v>
      </c>
      <c r="L141" s="134">
        <f>SUMPRODUCT(-(Bens!$B$4:$B$276=Analítico!$B141),-(Bens!$D$4:$D$276=Analítico!L$3),(Bens!$G$4:$G$276))</f>
        <v>40000</v>
      </c>
      <c r="M141" s="134">
        <f>SUMPRODUCT(-(Bens!$B$4:$B$276=Analítico!$B141),-(Bens!$D$4:$D$276=Analítico!M$3),(Bens!$G$4:$G$276))</f>
        <v>0</v>
      </c>
      <c r="N141" s="134">
        <f>SUMPRODUCT(-(Bens!$B$4:$B$276=Analítico!$B141),-(Bens!$D$4:$D$276=Analítico!N$3),(Bens!$G$4:$G$276))</f>
        <v>3500</v>
      </c>
      <c r="O141" s="134">
        <f>SUMPRODUCT(-(Bens!$B$4:$B$276=Analítico!$B141),-(Bens!$D$4:$D$276=Analítico!O$3),(Bens!$G$4:$G$276))</f>
        <v>0</v>
      </c>
      <c r="P141" s="134">
        <f>SUMPRODUCT(-(Bens!$B$4:$B$276=Analítico!$B141),-(Bens!$D$4:$D$276=Analítico!P$3),(Bens!$G$4:$G$276))</f>
        <v>0</v>
      </c>
      <c r="Q141" s="134">
        <f>SUMPRODUCT(-(Bens!$B$4:$B$276=Analítico!$B141),-(Bens!$D$4:$D$276=Analítico!Q$3),(Bens!$G$4:$G$276))</f>
        <v>2200</v>
      </c>
      <c r="R141" s="134">
        <f>SUMPRODUCT(-(Bens!$B$4:$B$276=Analítico!$B141),-(Bens!$D$4:$D$276=Analítico!R$3),(Bens!$G$4:$G$276))</f>
        <v>43950</v>
      </c>
      <c r="S141" s="134">
        <f>SUMPRODUCT(-(Bens!$B$4:$B$276=Analítico!$B141),-(Bens!$D$4:$D$276=Analítico!S$3),(Bens!$G$4:$G$276))</f>
        <v>0</v>
      </c>
      <c r="T141" s="134">
        <f>SUMPRODUCT(-(Bens!$B$4:$B$276=Analítico!$B141),-(Bens!$D$4:$D$276=Analítico!T$3),(Bens!$G$4:$G$276))</f>
        <v>5359.5599999999995</v>
      </c>
      <c r="U141" s="134">
        <f>SUMPRODUCT(-(Bens!$B$4:$B$276=Analítico!$B141),-(Bens!$D$4:$D$276=Analítico!U$3),(Bens!$G$4:$G$276))</f>
        <v>0</v>
      </c>
      <c r="V141" s="134">
        <f>SUMPRODUCT(-(Bens!$B$4:$B$276=Analítico!$B141),-(Bens!$D$4:$D$276=Analítico!V$3),(Bens!$G$4:$G$276))</f>
        <v>2220</v>
      </c>
      <c r="W141" s="134">
        <f>SUMPRODUCT(-(Bens!$B$4:$B$276=Analítico!$B141),-(Bens!$D$4:$D$276=Analítico!W$3),(Bens!$G$4:$G$276))</f>
        <v>0</v>
      </c>
      <c r="X141" s="134">
        <f>SUMPRODUCT(-(Bens!$B$4:$B$276=Analítico!$B141),-(Bens!$D$4:$D$276=Analítico!X$3),(Bens!$G$4:$G$276))</f>
        <v>0</v>
      </c>
      <c r="Y141" s="134">
        <f>SUMPRODUCT(-(Bens!$B$4:$B$276=Analítico!$B141),-(Bens!$D$4:$D$276=Analítico!Y$3),(Bens!$G$4:$G$276))</f>
        <v>0</v>
      </c>
      <c r="Z141" s="134">
        <f>SUMPRODUCT(-(Bens!$B$4:$B$276=Analítico!$B141),-(Bens!$D$4:$D$276=Analítico!Z$3),(Bens!$G$4:$G$276))</f>
        <v>0</v>
      </c>
      <c r="AA141" s="134">
        <f>SUMPRODUCT(-(Bens!$B$4:$B$276=Analítico!$B141),-(Bens!$D$4:$D$276=Analítico!AA$3),(Bens!$G$4:$G$276))</f>
        <v>0</v>
      </c>
      <c r="AB141" s="134">
        <f>SUMPRODUCT(-(Bens!$B$4:$B$276=Analítico!$B141),-(Bens!$D$4:$D$276=Analítico!AB$3),(Bens!$G$4:$G$276))</f>
        <v>0</v>
      </c>
      <c r="AC141" s="134">
        <f>SUMPRODUCT(-(Bens!$B$4:$B$276=Analítico!$B141),-(Bens!$D$4:$D$276=Analítico!AC$3),(Bens!$G$4:$G$276))</f>
        <v>0</v>
      </c>
      <c r="AD141" s="134">
        <f>SUMPRODUCT(-(Bens!$B$4:$B$276=Analítico!$B141),-(Bens!$D$4:$D$276=Analítico!AD$3),(Bens!$G$4:$G$276))</f>
        <v>2200</v>
      </c>
      <c r="AE141" s="134">
        <f>SUMPRODUCT(-(Bens!$B$4:$B$276=Analítico!$B141),-(Bens!$D$4:$D$276=Analítico!AE$3),(Bens!$G$4:$G$276))</f>
        <v>0</v>
      </c>
      <c r="AF141" s="134">
        <f>SUMPRODUCT(-(Bens!$B$4:$B$276=Analítico!$B141),-(Bens!$D$4:$D$276=Analítico!AF$3),(Bens!$G$4:$G$276))</f>
        <v>27600</v>
      </c>
      <c r="AG141" s="134">
        <f>SUMPRODUCT(-(Bens!$B$4:$B$276=Analítico!$B141),-(Bens!$D$4:$D$276=Analítico!AG$3),(Bens!$G$4:$G$276))</f>
        <v>0</v>
      </c>
      <c r="AH141" s="134">
        <f>SUMPRODUCT(-(Bens!$B$4:$B$276=Analítico!$B141),-(Bens!$D$4:$D$276=Analítico!AH$3),(Bens!$G$4:$G$276))</f>
        <v>0</v>
      </c>
      <c r="AI141" s="134">
        <f>SUMPRODUCT(-(Bens!$B$4:$B$276=Analítico!$B141),-(Bens!$D$4:$D$276=Analítico!AI$3),(Bens!$G$4:$G$276))</f>
        <v>0</v>
      </c>
      <c r="AJ141" s="134">
        <f>SUMPRODUCT(-(Bens!$B$4:$B$276=Analítico!$B141),-(Bens!$D$4:$D$276=Analítico!AJ$3),(Bens!$G$4:$G$276))</f>
        <v>0</v>
      </c>
      <c r="AK141" s="134">
        <f>SUMPRODUCT(-(Bens!$B$4:$B$276=Analítico!$B141),-(Bens!$D$4:$D$276=Analítico!AK$3),(Bens!$G$4:$G$276))</f>
        <v>0</v>
      </c>
      <c r="AL141" s="134">
        <f>SUMPRODUCT(-(Bens!$B$4:$B$276=Analítico!$B141),-(Bens!$D$4:$D$276=Analítico!AL$3),(Bens!$G$4:$G$276))</f>
        <v>0</v>
      </c>
      <c r="AM141" s="134">
        <f>SUMPRODUCT(-(Bens!$B$4:$B$276=Analítico!$B141),-(Bens!$D$4:$D$276=Analítico!AM$3),(Bens!$G$4:$G$276))</f>
        <v>0</v>
      </c>
      <c r="AN141" s="134">
        <f>SUMPRODUCT(-(Bens!$B$4:$B$276=Analítico!$B141),-(Bens!$D$4:$D$276=Analítico!AN$3),(Bens!$G$4:$G$276))</f>
        <v>0</v>
      </c>
      <c r="AO141" s="134">
        <f>SUMPRODUCT(-(Bens!$B$4:$B$276=Analítico!$B141),-(Bens!$D$4:$D$276=Analítico!AO$3),(Bens!$G$4:$G$276))</f>
        <v>0</v>
      </c>
      <c r="AP141" s="134">
        <f>SUMPRODUCT(-(Bens!$B$4:$B$276=Analítico!$B141),-(Bens!$D$4:$D$276=Analítico!AP$3),(Bens!$G$4:$G$276))</f>
        <v>0</v>
      </c>
      <c r="AQ141" s="134">
        <f>SUMPRODUCT(-(Bens!$B$4:$B$276=Analítico!$B141),-(Bens!$D$4:$D$276=Analítico!AQ$3),(Bens!$G$4:$G$276))</f>
        <v>2200</v>
      </c>
      <c r="AR141" s="134">
        <f>SUMPRODUCT(-(Bens!$B$4:$B$276=Analítico!$B141),-(Bens!$D$4:$D$276=Analítico!AR$3),(Bens!$G$4:$G$276))</f>
        <v>8241.99</v>
      </c>
      <c r="AS141" s="134">
        <f>SUMPRODUCT(-(Bens!$B$4:$B$276=Analítico!$B141),-(Bens!$D$4:$D$276=Analítico!AS$3),(Bens!$G$4:$G$276))</f>
        <v>0</v>
      </c>
      <c r="AT141" s="134">
        <f>SUMPRODUCT(-(Bens!$B$4:$B$276=Analítico!$B141),-(Bens!$D$4:$D$276=Analítico!AT$3),(Bens!$G$4:$G$276))</f>
        <v>0</v>
      </c>
      <c r="AU141" s="134">
        <f>SUMPRODUCT(-(Bens!$B$4:$B$276=Analítico!$B141),-(Bens!$D$4:$D$276=Analítico!AU$3),(Bens!$G$4:$G$276))</f>
        <v>0</v>
      </c>
      <c r="AV141" s="134">
        <f>SUMPRODUCT(-(Bens!$B$4:$B$276=Analítico!$B141),-(Bens!$D$4:$D$276=Analítico!AV$3),(Bens!$G$4:$G$276))</f>
        <v>0</v>
      </c>
      <c r="AW141" s="134">
        <f>SUMPRODUCT(-(Bens!$B$4:$B$276=Analítico!$B141),-(Bens!$D$4:$D$276=Analítico!AW$3),(Bens!$G$4:$G$276))</f>
        <v>0</v>
      </c>
      <c r="AX141" s="134">
        <f>SUMPRODUCT(-(Bens!$B$4:$B$276=Analítico!$B141),-(Bens!$D$4:$D$276=Analítico!AX$3),(Bens!$G$4:$G$276))</f>
        <v>0</v>
      </c>
      <c r="AY141" s="134">
        <f>SUMPRODUCT(-(Bens!$B$4:$B$276=Analítico!$B141),-(Bens!$D$4:$D$276=Analítico!AY$3),(Bens!$G$4:$G$276))</f>
        <v>0</v>
      </c>
      <c r="AZ141" s="134">
        <f>SUMPRODUCT(-(Bens!$B$4:$B$276=Analítico!$B141),-(Bens!$D$4:$D$276=Analítico!AZ$3),(Bens!$G$4:$G$276))</f>
        <v>0</v>
      </c>
      <c r="BA141" s="134">
        <f>SUMPRODUCT(-(Bens!$B$4:$B$276=Analítico!$B141),-(Bens!$D$4:$D$276=Analítico!BA$3),(Bens!$G$4:$G$276))</f>
        <v>0</v>
      </c>
      <c r="BB141" s="134">
        <f>SUMPRODUCT(-(Bens!$B$4:$B$276=Analítico!$B141),-(Bens!$D$4:$D$276=Analítico!BB$3),(Bens!$G$4:$G$276))</f>
        <v>0</v>
      </c>
      <c r="BC141" s="134">
        <f>SUMPRODUCT(-(Bens!$B$4:$B$276=Analítico!$B141),-(Bens!$D$4:$D$276=Analítico!BC$3),(Bens!$G$4:$G$276))</f>
        <v>0</v>
      </c>
      <c r="BD141" s="134">
        <f>SUMPRODUCT(-(Bens!$B$4:$B$276=Analítico!$B141),-(Bens!$D$4:$D$276=Analítico!BD$3),(Bens!$G$4:$G$276))</f>
        <v>0</v>
      </c>
      <c r="BE141" s="134">
        <f>SUMPRODUCT(-(Bens!$B$4:$B$276=Analítico!$B141),-(Bens!$D$4:$D$276=Analítico!BE$3),(Bens!$G$4:$G$276))</f>
        <v>0</v>
      </c>
      <c r="BF141" s="134">
        <f>SUMPRODUCT(-(Bens!$B$4:$B$276=Analítico!$B141),-(Bens!$D$4:$D$276=Analítico!BF$3),(Bens!$G$4:$G$276))</f>
        <v>0</v>
      </c>
      <c r="BG141" s="134">
        <f>SUMPRODUCT(-(Bens!$B$4:$B$276=Analítico!$B141),-(Bens!$D$4:$D$276=Analítico!BG$3),(Bens!$G$4:$G$276))</f>
        <v>0</v>
      </c>
      <c r="BH141" s="134">
        <f>SUMPRODUCT(-(Bens!$B$4:$B$276=Analítico!$B141),-(Bens!$D$4:$D$276=Analítico!BH$3),(Bens!$G$4:$G$276))</f>
        <v>0</v>
      </c>
      <c r="BI141" s="134">
        <f>SUMPRODUCT(-(Bens!$B$4:$B$276=Analítico!$B141),-(Bens!$D$4:$D$276=Analítico!BI$3),(Bens!$G$4:$G$276))</f>
        <v>0</v>
      </c>
      <c r="BJ141" s="134">
        <f>SUMPRODUCT(-(Bens!$B$4:$B$276=Analítico!$B141),-(Bens!$D$4:$D$276=Analítico!BJ$3),(Bens!$G$4:$G$276))</f>
        <v>0</v>
      </c>
      <c r="BK141" s="189">
        <f t="shared" si="32"/>
        <v>462144.88</v>
      </c>
      <c r="BL141" s="136">
        <f t="shared" ca="1" si="33"/>
        <v>1.5911639480802164E-3</v>
      </c>
    </row>
    <row r="142" spans="1:64" s="160" customFormat="1" ht="23.25" customHeight="1">
      <c r="A142" s="198" t="s">
        <v>336</v>
      </c>
      <c r="B142" s="209" t="s">
        <v>337</v>
      </c>
      <c r="C142" s="188">
        <f>SUMPRODUCT(-(Bens!$B$4:$B$276=Analítico!$B142),-(Bens!$D$4:$D$276=Analítico!C$3),(Bens!$G$4:$G$276))</f>
        <v>0</v>
      </c>
      <c r="D142" s="134">
        <f>SUMPRODUCT(-(Bens!$B$4:$B$276=Analítico!$B142),-(Bens!$D$4:$D$276=Analítico!D$3),(Bens!$G$4:$G$276))</f>
        <v>0</v>
      </c>
      <c r="E142" s="134">
        <f>SUMPRODUCT(-(Bens!$B$4:$B$276=Analítico!$B142),-(Bens!$D$4:$D$276=Analítico!E$3),(Bens!$G$4:$G$276))</f>
        <v>0</v>
      </c>
      <c r="F142" s="134">
        <f>SUMPRODUCT(-(Bens!$B$4:$B$276=Analítico!$B142),-(Bens!$D$4:$D$276=Analítico!F$3),(Bens!$G$4:$G$276))</f>
        <v>0</v>
      </c>
      <c r="G142" s="134">
        <f>SUMPRODUCT(-(Bens!$B$4:$B$276=Analítico!$B142),-(Bens!$D$4:$D$276=Analítico!G$3),(Bens!$G$4:$G$276))</f>
        <v>0</v>
      </c>
      <c r="H142" s="134">
        <f>SUMPRODUCT(-(Bens!$B$4:$B$276=Analítico!$B142),-(Bens!$D$4:$D$276=Analítico!H$3),(Bens!$G$4:$G$276))</f>
        <v>0</v>
      </c>
      <c r="I142" s="134">
        <f>SUMPRODUCT(-(Bens!$B$4:$B$276=Analítico!$B142),-(Bens!$D$4:$D$276=Analítico!I$3),(Bens!$G$4:$G$276))</f>
        <v>0</v>
      </c>
      <c r="J142" s="134">
        <f>SUMPRODUCT(-(Bens!$B$4:$B$276=Analítico!$B142),-(Bens!$D$4:$D$276=Analítico!J$3),(Bens!$G$4:$G$276))</f>
        <v>0</v>
      </c>
      <c r="K142" s="134">
        <f>SUMPRODUCT(-(Bens!$B$4:$B$276=Analítico!$B142),-(Bens!$D$4:$D$276=Analítico!K$3),(Bens!$G$4:$G$276))</f>
        <v>0</v>
      </c>
      <c r="L142" s="134">
        <f>SUMPRODUCT(-(Bens!$B$4:$B$276=Analítico!$B142),-(Bens!$D$4:$D$276=Analítico!L$3),(Bens!$G$4:$G$276))</f>
        <v>0</v>
      </c>
      <c r="M142" s="134">
        <f>SUMPRODUCT(-(Bens!$B$4:$B$276=Analítico!$B142),-(Bens!$D$4:$D$276=Analítico!M$3),(Bens!$G$4:$G$276))</f>
        <v>0</v>
      </c>
      <c r="N142" s="134">
        <f>SUMPRODUCT(-(Bens!$B$4:$B$276=Analítico!$B142),-(Bens!$D$4:$D$276=Analítico!N$3),(Bens!$G$4:$G$276))</f>
        <v>0</v>
      </c>
      <c r="O142" s="134">
        <f>SUMPRODUCT(-(Bens!$B$4:$B$276=Analítico!$B142),-(Bens!$D$4:$D$276=Analítico!O$3),(Bens!$G$4:$G$276))</f>
        <v>0</v>
      </c>
      <c r="P142" s="134">
        <f>SUMPRODUCT(-(Bens!$B$4:$B$276=Analítico!$B142),-(Bens!$D$4:$D$276=Analítico!P$3),(Bens!$G$4:$G$276))</f>
        <v>0</v>
      </c>
      <c r="Q142" s="134">
        <f>SUMPRODUCT(-(Bens!$B$4:$B$276=Analítico!$B142),-(Bens!$D$4:$D$276=Analítico!Q$3),(Bens!$G$4:$G$276))</f>
        <v>0</v>
      </c>
      <c r="R142" s="134">
        <f>SUMPRODUCT(-(Bens!$B$4:$B$276=Analítico!$B142),-(Bens!$D$4:$D$276=Analítico!R$3),(Bens!$G$4:$G$276))</f>
        <v>0</v>
      </c>
      <c r="S142" s="134">
        <f>SUMPRODUCT(-(Bens!$B$4:$B$276=Analítico!$B142),-(Bens!$D$4:$D$276=Analítico!S$3),(Bens!$G$4:$G$276))</f>
        <v>0</v>
      </c>
      <c r="T142" s="134">
        <f>SUMPRODUCT(-(Bens!$B$4:$B$276=Analítico!$B142),-(Bens!$D$4:$D$276=Analítico!T$3),(Bens!$G$4:$G$276))</f>
        <v>0</v>
      </c>
      <c r="U142" s="134">
        <f>SUMPRODUCT(-(Bens!$B$4:$B$276=Analítico!$B142),-(Bens!$D$4:$D$276=Analítico!U$3),(Bens!$G$4:$G$276))</f>
        <v>0</v>
      </c>
      <c r="V142" s="134">
        <f>SUMPRODUCT(-(Bens!$B$4:$B$276=Analítico!$B142),-(Bens!$D$4:$D$276=Analítico!V$3),(Bens!$G$4:$G$276))</f>
        <v>0</v>
      </c>
      <c r="W142" s="134">
        <f>SUMPRODUCT(-(Bens!$B$4:$B$276=Analítico!$B142),-(Bens!$D$4:$D$276=Analítico!W$3),(Bens!$G$4:$G$276))</f>
        <v>0</v>
      </c>
      <c r="X142" s="134">
        <f>SUMPRODUCT(-(Bens!$B$4:$B$276=Analítico!$B142),-(Bens!$D$4:$D$276=Analítico!X$3),(Bens!$G$4:$G$276))</f>
        <v>0</v>
      </c>
      <c r="Y142" s="134">
        <f>SUMPRODUCT(-(Bens!$B$4:$B$276=Analítico!$B142),-(Bens!$D$4:$D$276=Analítico!Y$3),(Bens!$G$4:$G$276))</f>
        <v>0</v>
      </c>
      <c r="Z142" s="134">
        <f>SUMPRODUCT(-(Bens!$B$4:$B$276=Analítico!$B142),-(Bens!$D$4:$D$276=Analítico!Z$3),(Bens!$G$4:$G$276))</f>
        <v>0</v>
      </c>
      <c r="AA142" s="134">
        <f>SUMPRODUCT(-(Bens!$B$4:$B$276=Analítico!$B142),-(Bens!$D$4:$D$276=Analítico!AA$3),(Bens!$G$4:$G$276))</f>
        <v>0</v>
      </c>
      <c r="AB142" s="134">
        <f>SUMPRODUCT(-(Bens!$B$4:$B$276=Analítico!$B142),-(Bens!$D$4:$D$276=Analítico!AB$3),(Bens!$G$4:$G$276))</f>
        <v>0</v>
      </c>
      <c r="AC142" s="134">
        <f>SUMPRODUCT(-(Bens!$B$4:$B$276=Analítico!$B142),-(Bens!$D$4:$D$276=Analítico!AC$3),(Bens!$G$4:$G$276))</f>
        <v>0</v>
      </c>
      <c r="AD142" s="134">
        <f>SUMPRODUCT(-(Bens!$B$4:$B$276=Analítico!$B142),-(Bens!$D$4:$D$276=Analítico!AD$3),(Bens!$G$4:$G$276))</f>
        <v>0</v>
      </c>
      <c r="AE142" s="134">
        <f>SUMPRODUCT(-(Bens!$B$4:$B$276=Analítico!$B142),-(Bens!$D$4:$D$276=Analítico!AE$3),(Bens!$G$4:$G$276))</f>
        <v>0</v>
      </c>
      <c r="AF142" s="134">
        <f>SUMPRODUCT(-(Bens!$B$4:$B$276=Analítico!$B142),-(Bens!$D$4:$D$276=Analítico!AF$3),(Bens!$G$4:$G$276))</f>
        <v>0</v>
      </c>
      <c r="AG142" s="134">
        <f>SUMPRODUCT(-(Bens!$B$4:$B$276=Analítico!$B142),-(Bens!$D$4:$D$276=Analítico!AG$3),(Bens!$G$4:$G$276))</f>
        <v>0</v>
      </c>
      <c r="AH142" s="134">
        <f>SUMPRODUCT(-(Bens!$B$4:$B$276=Analítico!$B142),-(Bens!$D$4:$D$276=Analítico!AH$3),(Bens!$G$4:$G$276))</f>
        <v>0</v>
      </c>
      <c r="AI142" s="134">
        <f>SUMPRODUCT(-(Bens!$B$4:$B$276=Analítico!$B142),-(Bens!$D$4:$D$276=Analítico!AI$3),(Bens!$G$4:$G$276))</f>
        <v>0</v>
      </c>
      <c r="AJ142" s="134">
        <f>SUMPRODUCT(-(Bens!$B$4:$B$276=Analítico!$B142),-(Bens!$D$4:$D$276=Analítico!AJ$3),(Bens!$G$4:$G$276))</f>
        <v>0</v>
      </c>
      <c r="AK142" s="134">
        <f>SUMPRODUCT(-(Bens!$B$4:$B$276=Analítico!$B142),-(Bens!$D$4:$D$276=Analítico!AK$3),(Bens!$G$4:$G$276))</f>
        <v>0</v>
      </c>
      <c r="AL142" s="134">
        <f>SUMPRODUCT(-(Bens!$B$4:$B$276=Analítico!$B142),-(Bens!$D$4:$D$276=Analítico!AL$3),(Bens!$G$4:$G$276))</f>
        <v>0</v>
      </c>
      <c r="AM142" s="134">
        <f>SUMPRODUCT(-(Bens!$B$4:$B$276=Analítico!$B142),-(Bens!$D$4:$D$276=Analítico!AM$3),(Bens!$G$4:$G$276))</f>
        <v>0</v>
      </c>
      <c r="AN142" s="134">
        <f>SUMPRODUCT(-(Bens!$B$4:$B$276=Analítico!$B142),-(Bens!$D$4:$D$276=Analítico!AN$3),(Bens!$G$4:$G$276))</f>
        <v>0</v>
      </c>
      <c r="AO142" s="134">
        <f>SUMPRODUCT(-(Bens!$B$4:$B$276=Analítico!$B142),-(Bens!$D$4:$D$276=Analítico!AO$3),(Bens!$G$4:$G$276))</f>
        <v>0</v>
      </c>
      <c r="AP142" s="134">
        <f>SUMPRODUCT(-(Bens!$B$4:$B$276=Analítico!$B142),-(Bens!$D$4:$D$276=Analítico!AP$3),(Bens!$G$4:$G$276))</f>
        <v>0</v>
      </c>
      <c r="AQ142" s="134">
        <f>SUMPRODUCT(-(Bens!$B$4:$B$276=Analítico!$B142),-(Bens!$D$4:$D$276=Analítico!AQ$3),(Bens!$G$4:$G$276))</f>
        <v>0</v>
      </c>
      <c r="AR142" s="134">
        <f>SUMPRODUCT(-(Bens!$B$4:$B$276=Analítico!$B142),-(Bens!$D$4:$D$276=Analítico!AR$3),(Bens!$G$4:$G$276))</f>
        <v>0</v>
      </c>
      <c r="AS142" s="134">
        <f>SUMPRODUCT(-(Bens!$B$4:$B$276=Analítico!$B142),-(Bens!$D$4:$D$276=Analítico!AS$3),(Bens!$G$4:$G$276))</f>
        <v>0</v>
      </c>
      <c r="AT142" s="134">
        <f>SUMPRODUCT(-(Bens!$B$4:$B$276=Analítico!$B142),-(Bens!$D$4:$D$276=Analítico!AT$3),(Bens!$G$4:$G$276))</f>
        <v>0</v>
      </c>
      <c r="AU142" s="134">
        <f>SUMPRODUCT(-(Bens!$B$4:$B$276=Analítico!$B142),-(Bens!$D$4:$D$276=Analítico!AU$3),(Bens!$G$4:$G$276))</f>
        <v>0</v>
      </c>
      <c r="AV142" s="134">
        <f>SUMPRODUCT(-(Bens!$B$4:$B$276=Analítico!$B142),-(Bens!$D$4:$D$276=Analítico!AV$3),(Bens!$G$4:$G$276))</f>
        <v>0</v>
      </c>
      <c r="AW142" s="134">
        <f>SUMPRODUCT(-(Bens!$B$4:$B$276=Analítico!$B142),-(Bens!$D$4:$D$276=Analítico!AW$3),(Bens!$G$4:$G$276))</f>
        <v>0</v>
      </c>
      <c r="AX142" s="134">
        <f>SUMPRODUCT(-(Bens!$B$4:$B$276=Analítico!$B142),-(Bens!$D$4:$D$276=Analítico!AX$3),(Bens!$G$4:$G$276))</f>
        <v>0</v>
      </c>
      <c r="AY142" s="134">
        <f>SUMPRODUCT(-(Bens!$B$4:$B$276=Analítico!$B142),-(Bens!$D$4:$D$276=Analítico!AY$3),(Bens!$G$4:$G$276))</f>
        <v>0</v>
      </c>
      <c r="AZ142" s="134">
        <f>SUMPRODUCT(-(Bens!$B$4:$B$276=Analítico!$B142),-(Bens!$D$4:$D$276=Analítico!AZ$3),(Bens!$G$4:$G$276))</f>
        <v>0</v>
      </c>
      <c r="BA142" s="134">
        <f>SUMPRODUCT(-(Bens!$B$4:$B$276=Analítico!$B142),-(Bens!$D$4:$D$276=Analítico!BA$3),(Bens!$G$4:$G$276))</f>
        <v>0</v>
      </c>
      <c r="BB142" s="134">
        <f>SUMPRODUCT(-(Bens!$B$4:$B$276=Analítico!$B142),-(Bens!$D$4:$D$276=Analítico!BB$3),(Bens!$G$4:$G$276))</f>
        <v>0</v>
      </c>
      <c r="BC142" s="134">
        <f>SUMPRODUCT(-(Bens!$B$4:$B$276=Analítico!$B142),-(Bens!$D$4:$D$276=Analítico!BC$3),(Bens!$G$4:$G$276))</f>
        <v>0</v>
      </c>
      <c r="BD142" s="134">
        <f>SUMPRODUCT(-(Bens!$B$4:$B$276=Analítico!$B142),-(Bens!$D$4:$D$276=Analítico!BD$3),(Bens!$G$4:$G$276))</f>
        <v>0</v>
      </c>
      <c r="BE142" s="134">
        <f>SUMPRODUCT(-(Bens!$B$4:$B$276=Analítico!$B142),-(Bens!$D$4:$D$276=Analítico!BE$3),(Bens!$G$4:$G$276))</f>
        <v>0</v>
      </c>
      <c r="BF142" s="134">
        <f>SUMPRODUCT(-(Bens!$B$4:$B$276=Analítico!$B142),-(Bens!$D$4:$D$276=Analítico!BF$3),(Bens!$G$4:$G$276))</f>
        <v>0</v>
      </c>
      <c r="BG142" s="134">
        <f>SUMPRODUCT(-(Bens!$B$4:$B$276=Analítico!$B142),-(Bens!$D$4:$D$276=Analítico!BG$3),(Bens!$G$4:$G$276))</f>
        <v>0</v>
      </c>
      <c r="BH142" s="134">
        <f>SUMPRODUCT(-(Bens!$B$4:$B$276=Analítico!$B142),-(Bens!$D$4:$D$276=Analítico!BH$3),(Bens!$G$4:$G$276))</f>
        <v>0</v>
      </c>
      <c r="BI142" s="134">
        <f>SUMPRODUCT(-(Bens!$B$4:$B$276=Analítico!$B142),-(Bens!$D$4:$D$276=Analítico!BI$3),(Bens!$G$4:$G$276))</f>
        <v>0</v>
      </c>
      <c r="BJ142" s="134">
        <f>SUMPRODUCT(-(Bens!$B$4:$B$276=Analítico!$B142),-(Bens!$D$4:$D$276=Analítico!BJ$3),(Bens!$G$4:$G$276))</f>
        <v>0</v>
      </c>
      <c r="BK142" s="189">
        <f t="shared" si="32"/>
        <v>0</v>
      </c>
      <c r="BL142" s="136">
        <f t="shared" ca="1" si="33"/>
        <v>0</v>
      </c>
    </row>
    <row r="143" spans="1:64" s="160" customFormat="1" ht="23.25" customHeight="1">
      <c r="A143" s="198" t="s">
        <v>338</v>
      </c>
      <c r="B143" s="209" t="s">
        <v>339</v>
      </c>
      <c r="C143" s="188">
        <f>SUMPRODUCT(-(Bens!$B$4:$B$276=Analítico!$B143),-(Bens!$D$4:$D$276=Analítico!C$3),(Bens!$G$4:$G$276))</f>
        <v>0</v>
      </c>
      <c r="D143" s="134">
        <f>SUMPRODUCT(-(Bens!$B$4:$B$276=Analítico!$B143),-(Bens!$D$4:$D$276=Analítico!D$3),(Bens!$G$4:$G$276))</f>
        <v>0</v>
      </c>
      <c r="E143" s="134">
        <f>SUMPRODUCT(-(Bens!$B$4:$B$276=Analítico!$B143),-(Bens!$D$4:$D$276=Analítico!E$3),(Bens!$G$4:$G$276))</f>
        <v>0</v>
      </c>
      <c r="F143" s="134">
        <f>SUMPRODUCT(-(Bens!$B$4:$B$276=Analítico!$B143),-(Bens!$D$4:$D$276=Analítico!F$3),(Bens!$G$4:$G$276))</f>
        <v>0</v>
      </c>
      <c r="G143" s="134">
        <f>SUMPRODUCT(-(Bens!$B$4:$B$276=Analítico!$B143),-(Bens!$D$4:$D$276=Analítico!G$3),(Bens!$G$4:$G$276))</f>
        <v>0</v>
      </c>
      <c r="H143" s="134">
        <f>SUMPRODUCT(-(Bens!$B$4:$B$276=Analítico!$B143),-(Bens!$D$4:$D$276=Analítico!H$3),(Bens!$G$4:$G$276))</f>
        <v>0</v>
      </c>
      <c r="I143" s="134">
        <f>SUMPRODUCT(-(Bens!$B$4:$B$276=Analítico!$B143),-(Bens!$D$4:$D$276=Analítico!I$3),(Bens!$G$4:$G$276))</f>
        <v>0</v>
      </c>
      <c r="J143" s="134">
        <f>SUMPRODUCT(-(Bens!$B$4:$B$276=Analítico!$B143),-(Bens!$D$4:$D$276=Analítico!J$3),(Bens!$G$4:$G$276))</f>
        <v>0</v>
      </c>
      <c r="K143" s="134">
        <f>SUMPRODUCT(-(Bens!$B$4:$B$276=Analítico!$B143),-(Bens!$D$4:$D$276=Analítico!K$3),(Bens!$G$4:$G$276))</f>
        <v>0</v>
      </c>
      <c r="L143" s="134">
        <f>SUMPRODUCT(-(Bens!$B$4:$B$276=Analítico!$B143),-(Bens!$D$4:$D$276=Analítico!L$3),(Bens!$G$4:$G$276))</f>
        <v>0</v>
      </c>
      <c r="M143" s="134">
        <f>SUMPRODUCT(-(Bens!$B$4:$B$276=Analítico!$B143),-(Bens!$D$4:$D$276=Analítico!M$3),(Bens!$G$4:$G$276))</f>
        <v>0</v>
      </c>
      <c r="N143" s="134">
        <f>SUMPRODUCT(-(Bens!$B$4:$B$276=Analítico!$B143),-(Bens!$D$4:$D$276=Analítico!N$3),(Bens!$G$4:$G$276))</f>
        <v>0</v>
      </c>
      <c r="O143" s="134">
        <f>SUMPRODUCT(-(Bens!$B$4:$B$276=Analítico!$B143),-(Bens!$D$4:$D$276=Analítico!O$3),(Bens!$G$4:$G$276))</f>
        <v>0</v>
      </c>
      <c r="P143" s="134">
        <f>SUMPRODUCT(-(Bens!$B$4:$B$276=Analítico!$B143),-(Bens!$D$4:$D$276=Analítico!P$3),(Bens!$G$4:$G$276))</f>
        <v>0</v>
      </c>
      <c r="Q143" s="134">
        <f>SUMPRODUCT(-(Bens!$B$4:$B$276=Analítico!$B143),-(Bens!$D$4:$D$276=Analítico!Q$3),(Bens!$G$4:$G$276))</f>
        <v>0</v>
      </c>
      <c r="R143" s="134">
        <f>SUMPRODUCT(-(Bens!$B$4:$B$276=Analítico!$B143),-(Bens!$D$4:$D$276=Analítico!R$3),(Bens!$G$4:$G$276))</f>
        <v>0</v>
      </c>
      <c r="S143" s="134">
        <f>SUMPRODUCT(-(Bens!$B$4:$B$276=Analítico!$B143),-(Bens!$D$4:$D$276=Analítico!S$3),(Bens!$G$4:$G$276))</f>
        <v>0</v>
      </c>
      <c r="T143" s="134">
        <f>SUMPRODUCT(-(Bens!$B$4:$B$276=Analítico!$B143),-(Bens!$D$4:$D$276=Analítico!T$3),(Bens!$G$4:$G$276))</f>
        <v>0</v>
      </c>
      <c r="U143" s="134">
        <f>SUMPRODUCT(-(Bens!$B$4:$B$276=Analítico!$B143),-(Bens!$D$4:$D$276=Analítico!U$3),(Bens!$G$4:$G$276))</f>
        <v>0</v>
      </c>
      <c r="V143" s="134">
        <f>SUMPRODUCT(-(Bens!$B$4:$B$276=Analítico!$B143),-(Bens!$D$4:$D$276=Analítico!V$3),(Bens!$G$4:$G$276))</f>
        <v>0</v>
      </c>
      <c r="W143" s="134">
        <f>SUMPRODUCT(-(Bens!$B$4:$B$276=Analítico!$B143),-(Bens!$D$4:$D$276=Analítico!W$3),(Bens!$G$4:$G$276))</f>
        <v>0</v>
      </c>
      <c r="X143" s="134">
        <f>SUMPRODUCT(-(Bens!$B$4:$B$276=Analítico!$B143),-(Bens!$D$4:$D$276=Analítico!X$3),(Bens!$G$4:$G$276))</f>
        <v>0</v>
      </c>
      <c r="Y143" s="134">
        <f>SUMPRODUCT(-(Bens!$B$4:$B$276=Analítico!$B143),-(Bens!$D$4:$D$276=Analítico!Y$3),(Bens!$G$4:$G$276))</f>
        <v>0</v>
      </c>
      <c r="Z143" s="134">
        <f>SUMPRODUCT(-(Bens!$B$4:$B$276=Analítico!$B143),-(Bens!$D$4:$D$276=Analítico!Z$3),(Bens!$G$4:$G$276))</f>
        <v>0</v>
      </c>
      <c r="AA143" s="134">
        <f>SUMPRODUCT(-(Bens!$B$4:$B$276=Analítico!$B143),-(Bens!$D$4:$D$276=Analítico!AA$3),(Bens!$G$4:$G$276))</f>
        <v>0</v>
      </c>
      <c r="AB143" s="134">
        <f>SUMPRODUCT(-(Bens!$B$4:$B$276=Analítico!$B143),-(Bens!$D$4:$D$276=Analítico!AB$3),(Bens!$G$4:$G$276))</f>
        <v>0</v>
      </c>
      <c r="AC143" s="134">
        <f>SUMPRODUCT(-(Bens!$B$4:$B$276=Analítico!$B143),-(Bens!$D$4:$D$276=Analítico!AC$3),(Bens!$G$4:$G$276))</f>
        <v>0</v>
      </c>
      <c r="AD143" s="134">
        <f>SUMPRODUCT(-(Bens!$B$4:$B$276=Analítico!$B143),-(Bens!$D$4:$D$276=Analítico!AD$3),(Bens!$G$4:$G$276))</f>
        <v>0</v>
      </c>
      <c r="AE143" s="134">
        <f>SUMPRODUCT(-(Bens!$B$4:$B$276=Analítico!$B143),-(Bens!$D$4:$D$276=Analítico!AE$3),(Bens!$G$4:$G$276))</f>
        <v>0</v>
      </c>
      <c r="AF143" s="134">
        <f>SUMPRODUCT(-(Bens!$B$4:$B$276=Analítico!$B143),-(Bens!$D$4:$D$276=Analítico!AF$3),(Bens!$G$4:$G$276))</f>
        <v>0</v>
      </c>
      <c r="AG143" s="134">
        <f>SUMPRODUCT(-(Bens!$B$4:$B$276=Analítico!$B143),-(Bens!$D$4:$D$276=Analítico!AG$3),(Bens!$G$4:$G$276))</f>
        <v>0</v>
      </c>
      <c r="AH143" s="134">
        <f>SUMPRODUCT(-(Bens!$B$4:$B$276=Analítico!$B143),-(Bens!$D$4:$D$276=Analítico!AH$3),(Bens!$G$4:$G$276))</f>
        <v>0</v>
      </c>
      <c r="AI143" s="134">
        <f>SUMPRODUCT(-(Bens!$B$4:$B$276=Analítico!$B143),-(Bens!$D$4:$D$276=Analítico!AI$3),(Bens!$G$4:$G$276))</f>
        <v>0</v>
      </c>
      <c r="AJ143" s="134">
        <f>SUMPRODUCT(-(Bens!$B$4:$B$276=Analítico!$B143),-(Bens!$D$4:$D$276=Analítico!AJ$3),(Bens!$G$4:$G$276))</f>
        <v>0</v>
      </c>
      <c r="AK143" s="134">
        <f>SUMPRODUCT(-(Bens!$B$4:$B$276=Analítico!$B143),-(Bens!$D$4:$D$276=Analítico!AK$3),(Bens!$G$4:$G$276))</f>
        <v>0</v>
      </c>
      <c r="AL143" s="134">
        <f>SUMPRODUCT(-(Bens!$B$4:$B$276=Analítico!$B143),-(Bens!$D$4:$D$276=Analítico!AL$3),(Bens!$G$4:$G$276))</f>
        <v>0</v>
      </c>
      <c r="AM143" s="134">
        <f>SUMPRODUCT(-(Bens!$B$4:$B$276=Analítico!$B143),-(Bens!$D$4:$D$276=Analítico!AM$3),(Bens!$G$4:$G$276))</f>
        <v>0</v>
      </c>
      <c r="AN143" s="134">
        <f>SUMPRODUCT(-(Bens!$B$4:$B$276=Analítico!$B143),-(Bens!$D$4:$D$276=Analítico!AN$3),(Bens!$G$4:$G$276))</f>
        <v>0</v>
      </c>
      <c r="AO143" s="134">
        <f>SUMPRODUCT(-(Bens!$B$4:$B$276=Analítico!$B143),-(Bens!$D$4:$D$276=Analítico!AO$3),(Bens!$G$4:$G$276))</f>
        <v>0</v>
      </c>
      <c r="AP143" s="134">
        <f>SUMPRODUCT(-(Bens!$B$4:$B$276=Analítico!$B143),-(Bens!$D$4:$D$276=Analítico!AP$3),(Bens!$G$4:$G$276))</f>
        <v>0</v>
      </c>
      <c r="AQ143" s="134">
        <f>SUMPRODUCT(-(Bens!$B$4:$B$276=Analítico!$B143),-(Bens!$D$4:$D$276=Analítico!AQ$3),(Bens!$G$4:$G$276))</f>
        <v>0</v>
      </c>
      <c r="AR143" s="134">
        <f>SUMPRODUCT(-(Bens!$B$4:$B$276=Analítico!$B143),-(Bens!$D$4:$D$276=Analítico!AR$3),(Bens!$G$4:$G$276))</f>
        <v>0</v>
      </c>
      <c r="AS143" s="134">
        <f>SUMPRODUCT(-(Bens!$B$4:$B$276=Analítico!$B143),-(Bens!$D$4:$D$276=Analítico!AS$3),(Bens!$G$4:$G$276))</f>
        <v>0</v>
      </c>
      <c r="AT143" s="134">
        <f>SUMPRODUCT(-(Bens!$B$4:$B$276=Analítico!$B143),-(Bens!$D$4:$D$276=Analítico!AT$3),(Bens!$G$4:$G$276))</f>
        <v>0</v>
      </c>
      <c r="AU143" s="134">
        <f>SUMPRODUCT(-(Bens!$B$4:$B$276=Analítico!$B143),-(Bens!$D$4:$D$276=Analítico!AU$3),(Bens!$G$4:$G$276))</f>
        <v>0</v>
      </c>
      <c r="AV143" s="134">
        <f>SUMPRODUCT(-(Bens!$B$4:$B$276=Analítico!$B143),-(Bens!$D$4:$D$276=Analítico!AV$3),(Bens!$G$4:$G$276))</f>
        <v>0</v>
      </c>
      <c r="AW143" s="134">
        <f>SUMPRODUCT(-(Bens!$B$4:$B$276=Analítico!$B143),-(Bens!$D$4:$D$276=Analítico!AW$3),(Bens!$G$4:$G$276))</f>
        <v>0</v>
      </c>
      <c r="AX143" s="134">
        <f>SUMPRODUCT(-(Bens!$B$4:$B$276=Analítico!$B143),-(Bens!$D$4:$D$276=Analítico!AX$3),(Bens!$G$4:$G$276))</f>
        <v>0</v>
      </c>
      <c r="AY143" s="134">
        <f>SUMPRODUCT(-(Bens!$B$4:$B$276=Analítico!$B143),-(Bens!$D$4:$D$276=Analítico!AY$3),(Bens!$G$4:$G$276))</f>
        <v>0</v>
      </c>
      <c r="AZ143" s="134">
        <f>SUMPRODUCT(-(Bens!$B$4:$B$276=Analítico!$B143),-(Bens!$D$4:$D$276=Analítico!AZ$3),(Bens!$G$4:$G$276))</f>
        <v>0</v>
      </c>
      <c r="BA143" s="134">
        <f>SUMPRODUCT(-(Bens!$B$4:$B$276=Analítico!$B143),-(Bens!$D$4:$D$276=Analítico!BA$3),(Bens!$G$4:$G$276))</f>
        <v>0</v>
      </c>
      <c r="BB143" s="134">
        <f>SUMPRODUCT(-(Bens!$B$4:$B$276=Analítico!$B143),-(Bens!$D$4:$D$276=Analítico!BB$3),(Bens!$G$4:$G$276))</f>
        <v>0</v>
      </c>
      <c r="BC143" s="134">
        <f>SUMPRODUCT(-(Bens!$B$4:$B$276=Analítico!$B143),-(Bens!$D$4:$D$276=Analítico!BC$3),(Bens!$G$4:$G$276))</f>
        <v>0</v>
      </c>
      <c r="BD143" s="134">
        <f>SUMPRODUCT(-(Bens!$B$4:$B$276=Analítico!$B143),-(Bens!$D$4:$D$276=Analítico!BD$3),(Bens!$G$4:$G$276))</f>
        <v>0</v>
      </c>
      <c r="BE143" s="134">
        <f>SUMPRODUCT(-(Bens!$B$4:$B$276=Analítico!$B143),-(Bens!$D$4:$D$276=Analítico!BE$3),(Bens!$G$4:$G$276))</f>
        <v>0</v>
      </c>
      <c r="BF143" s="134">
        <f>SUMPRODUCT(-(Bens!$B$4:$B$276=Analítico!$B143),-(Bens!$D$4:$D$276=Analítico!BF$3),(Bens!$G$4:$G$276))</f>
        <v>0</v>
      </c>
      <c r="BG143" s="134">
        <f>SUMPRODUCT(-(Bens!$B$4:$B$276=Analítico!$B143),-(Bens!$D$4:$D$276=Analítico!BG$3),(Bens!$G$4:$G$276))</f>
        <v>0</v>
      </c>
      <c r="BH143" s="134">
        <f>SUMPRODUCT(-(Bens!$B$4:$B$276=Analítico!$B143),-(Bens!$D$4:$D$276=Analítico!BH$3),(Bens!$G$4:$G$276))</f>
        <v>0</v>
      </c>
      <c r="BI143" s="134">
        <f>SUMPRODUCT(-(Bens!$B$4:$B$276=Analítico!$B143),-(Bens!$D$4:$D$276=Analítico!BI$3),(Bens!$G$4:$G$276))</f>
        <v>0</v>
      </c>
      <c r="BJ143" s="134">
        <f>SUMPRODUCT(-(Bens!$B$4:$B$276=Analítico!$B143),-(Bens!$D$4:$D$276=Analítico!BJ$3),(Bens!$G$4:$G$276))</f>
        <v>0</v>
      </c>
      <c r="BK143" s="189">
        <f t="shared" si="32"/>
        <v>0</v>
      </c>
      <c r="BL143" s="136">
        <f t="shared" ca="1" si="33"/>
        <v>0</v>
      </c>
    </row>
    <row r="144" spans="1:64" s="160" customFormat="1" ht="23.25" customHeight="1">
      <c r="A144" s="198" t="s">
        <v>340</v>
      </c>
      <c r="B144" s="209" t="s">
        <v>341</v>
      </c>
      <c r="C144" s="188">
        <f>SUMPRODUCT(-(Bens!$B$4:$B$276=Analítico!$B144),-(Bens!$D$4:$D$276=Analítico!C$3),(Bens!$G$4:$G$276))</f>
        <v>0</v>
      </c>
      <c r="D144" s="134">
        <f>SUMPRODUCT(-(Bens!$B$4:$B$276=Analítico!$B144),-(Bens!$D$4:$D$276=Analítico!D$3),(Bens!$G$4:$G$276))</f>
        <v>91024</v>
      </c>
      <c r="E144" s="134">
        <f>SUMPRODUCT(-(Bens!$B$4:$B$276=Analítico!$B144),-(Bens!$D$4:$D$276=Analítico!E$3),(Bens!$G$4:$G$276))</f>
        <v>0</v>
      </c>
      <c r="F144" s="134">
        <f>SUMPRODUCT(-(Bens!$B$4:$B$276=Analítico!$B144),-(Bens!$D$4:$D$276=Analítico!F$3),(Bens!$G$4:$G$276))</f>
        <v>0</v>
      </c>
      <c r="G144" s="134">
        <f>SUMPRODUCT(-(Bens!$B$4:$B$276=Analítico!$B144),-(Bens!$D$4:$D$276=Analítico!G$3),(Bens!$G$4:$G$276))</f>
        <v>0</v>
      </c>
      <c r="H144" s="134">
        <f>SUMPRODUCT(-(Bens!$B$4:$B$276=Analítico!$B144),-(Bens!$D$4:$D$276=Analítico!H$3),(Bens!$G$4:$G$276))</f>
        <v>0</v>
      </c>
      <c r="I144" s="134">
        <f>SUMPRODUCT(-(Bens!$B$4:$B$276=Analítico!$B144),-(Bens!$D$4:$D$276=Analítico!I$3),(Bens!$G$4:$G$276))</f>
        <v>0</v>
      </c>
      <c r="J144" s="134">
        <f>SUMPRODUCT(-(Bens!$B$4:$B$276=Analítico!$B144),-(Bens!$D$4:$D$276=Analítico!J$3),(Bens!$G$4:$G$276))</f>
        <v>0</v>
      </c>
      <c r="K144" s="134">
        <f>SUMPRODUCT(-(Bens!$B$4:$B$276=Analítico!$B144),-(Bens!$D$4:$D$276=Analítico!K$3),(Bens!$G$4:$G$276))</f>
        <v>0</v>
      </c>
      <c r="L144" s="134">
        <f>SUMPRODUCT(-(Bens!$B$4:$B$276=Analítico!$B144),-(Bens!$D$4:$D$276=Analítico!L$3),(Bens!$G$4:$G$276))</f>
        <v>0</v>
      </c>
      <c r="M144" s="134">
        <f>SUMPRODUCT(-(Bens!$B$4:$B$276=Analítico!$B144),-(Bens!$D$4:$D$276=Analítico!M$3),(Bens!$G$4:$G$276))</f>
        <v>0</v>
      </c>
      <c r="N144" s="134">
        <f>SUMPRODUCT(-(Bens!$B$4:$B$276=Analítico!$B144),-(Bens!$D$4:$D$276=Analítico!N$3),(Bens!$G$4:$G$276))</f>
        <v>0</v>
      </c>
      <c r="O144" s="134">
        <f>SUMPRODUCT(-(Bens!$B$4:$B$276=Analítico!$B144),-(Bens!$D$4:$D$276=Analítico!O$3),(Bens!$G$4:$G$276))</f>
        <v>0</v>
      </c>
      <c r="P144" s="134">
        <f>SUMPRODUCT(-(Bens!$B$4:$B$276=Analítico!$B144),-(Bens!$D$4:$D$276=Analítico!P$3),(Bens!$G$4:$G$276))</f>
        <v>0</v>
      </c>
      <c r="Q144" s="134">
        <f>SUMPRODUCT(-(Bens!$B$4:$B$276=Analítico!$B144),-(Bens!$D$4:$D$276=Analítico!Q$3),(Bens!$G$4:$G$276))</f>
        <v>0</v>
      </c>
      <c r="R144" s="134">
        <f>SUMPRODUCT(-(Bens!$B$4:$B$276=Analítico!$B144),-(Bens!$D$4:$D$276=Analítico!R$3),(Bens!$G$4:$G$276))</f>
        <v>0</v>
      </c>
      <c r="S144" s="134">
        <f>SUMPRODUCT(-(Bens!$B$4:$B$276=Analítico!$B144),-(Bens!$D$4:$D$276=Analítico!S$3),(Bens!$G$4:$G$276))</f>
        <v>0</v>
      </c>
      <c r="T144" s="134">
        <f>SUMPRODUCT(-(Bens!$B$4:$B$276=Analítico!$B144),-(Bens!$D$4:$D$276=Analítico!T$3),(Bens!$G$4:$G$276))</f>
        <v>0</v>
      </c>
      <c r="U144" s="134">
        <f>SUMPRODUCT(-(Bens!$B$4:$B$276=Analítico!$B144),-(Bens!$D$4:$D$276=Analítico!U$3),(Bens!$G$4:$G$276))</f>
        <v>0</v>
      </c>
      <c r="V144" s="134">
        <f>SUMPRODUCT(-(Bens!$B$4:$B$276=Analítico!$B144),-(Bens!$D$4:$D$276=Analítico!V$3),(Bens!$G$4:$G$276))</f>
        <v>0</v>
      </c>
      <c r="W144" s="134">
        <f>SUMPRODUCT(-(Bens!$B$4:$B$276=Analítico!$B144),-(Bens!$D$4:$D$276=Analítico!W$3),(Bens!$G$4:$G$276))</f>
        <v>0</v>
      </c>
      <c r="X144" s="134">
        <f>SUMPRODUCT(-(Bens!$B$4:$B$276=Analítico!$B144),-(Bens!$D$4:$D$276=Analítico!X$3),(Bens!$G$4:$G$276))</f>
        <v>0</v>
      </c>
      <c r="Y144" s="134">
        <f>SUMPRODUCT(-(Bens!$B$4:$B$276=Analítico!$B144),-(Bens!$D$4:$D$276=Analítico!Y$3),(Bens!$G$4:$G$276))</f>
        <v>0</v>
      </c>
      <c r="Z144" s="134">
        <f>SUMPRODUCT(-(Bens!$B$4:$B$276=Analítico!$B144),-(Bens!$D$4:$D$276=Analítico!Z$3),(Bens!$G$4:$G$276))</f>
        <v>0</v>
      </c>
      <c r="AA144" s="134">
        <f>SUMPRODUCT(-(Bens!$B$4:$B$276=Analítico!$B144),-(Bens!$D$4:$D$276=Analítico!AA$3),(Bens!$G$4:$G$276))</f>
        <v>0</v>
      </c>
      <c r="AB144" s="134">
        <f>SUMPRODUCT(-(Bens!$B$4:$B$276=Analítico!$B144),-(Bens!$D$4:$D$276=Analítico!AB$3),(Bens!$G$4:$G$276))</f>
        <v>0</v>
      </c>
      <c r="AC144" s="134">
        <f>SUMPRODUCT(-(Bens!$B$4:$B$276=Analítico!$B144),-(Bens!$D$4:$D$276=Analítico!AC$3),(Bens!$G$4:$G$276))</f>
        <v>0</v>
      </c>
      <c r="AD144" s="134">
        <f>SUMPRODUCT(-(Bens!$B$4:$B$276=Analítico!$B144),-(Bens!$D$4:$D$276=Analítico!AD$3),(Bens!$G$4:$G$276))</f>
        <v>0</v>
      </c>
      <c r="AE144" s="134">
        <f>SUMPRODUCT(-(Bens!$B$4:$B$276=Analítico!$B144),-(Bens!$D$4:$D$276=Analítico!AE$3),(Bens!$G$4:$G$276))</f>
        <v>0</v>
      </c>
      <c r="AF144" s="134">
        <f>SUMPRODUCT(-(Bens!$B$4:$B$276=Analítico!$B144),-(Bens!$D$4:$D$276=Analítico!AF$3),(Bens!$G$4:$G$276))</f>
        <v>0</v>
      </c>
      <c r="AG144" s="134">
        <f>SUMPRODUCT(-(Bens!$B$4:$B$276=Analítico!$B144),-(Bens!$D$4:$D$276=Analítico!AG$3),(Bens!$G$4:$G$276))</f>
        <v>0</v>
      </c>
      <c r="AH144" s="134">
        <f>SUMPRODUCT(-(Bens!$B$4:$B$276=Analítico!$B144),-(Bens!$D$4:$D$276=Analítico!AH$3),(Bens!$G$4:$G$276))</f>
        <v>0</v>
      </c>
      <c r="AI144" s="134">
        <f>SUMPRODUCT(-(Bens!$B$4:$B$276=Analítico!$B144),-(Bens!$D$4:$D$276=Analítico!AI$3),(Bens!$G$4:$G$276))</f>
        <v>0</v>
      </c>
      <c r="AJ144" s="134">
        <f>SUMPRODUCT(-(Bens!$B$4:$B$276=Analítico!$B144),-(Bens!$D$4:$D$276=Analítico!AJ$3),(Bens!$G$4:$G$276))</f>
        <v>0</v>
      </c>
      <c r="AK144" s="134">
        <f>SUMPRODUCT(-(Bens!$B$4:$B$276=Analítico!$B144),-(Bens!$D$4:$D$276=Analítico!AK$3),(Bens!$G$4:$G$276))</f>
        <v>0</v>
      </c>
      <c r="AL144" s="134">
        <f>SUMPRODUCT(-(Bens!$B$4:$B$276=Analítico!$B144),-(Bens!$D$4:$D$276=Analítico!AL$3),(Bens!$G$4:$G$276))</f>
        <v>0</v>
      </c>
      <c r="AM144" s="134">
        <f>SUMPRODUCT(-(Bens!$B$4:$B$276=Analítico!$B144),-(Bens!$D$4:$D$276=Analítico!AM$3),(Bens!$G$4:$G$276))</f>
        <v>0</v>
      </c>
      <c r="AN144" s="134">
        <f>SUMPRODUCT(-(Bens!$B$4:$B$276=Analítico!$B144),-(Bens!$D$4:$D$276=Analítico!AN$3),(Bens!$G$4:$G$276))</f>
        <v>0</v>
      </c>
      <c r="AO144" s="134">
        <f>SUMPRODUCT(-(Bens!$B$4:$B$276=Analítico!$B144),-(Bens!$D$4:$D$276=Analítico!AO$3),(Bens!$G$4:$G$276))</f>
        <v>0</v>
      </c>
      <c r="AP144" s="134">
        <f>SUMPRODUCT(-(Bens!$B$4:$B$276=Analítico!$B144),-(Bens!$D$4:$D$276=Analítico!AP$3),(Bens!$G$4:$G$276))</f>
        <v>0</v>
      </c>
      <c r="AQ144" s="134">
        <f>SUMPRODUCT(-(Bens!$B$4:$B$276=Analítico!$B144),-(Bens!$D$4:$D$276=Analítico!AQ$3),(Bens!$G$4:$G$276))</f>
        <v>0</v>
      </c>
      <c r="AR144" s="134">
        <f>SUMPRODUCT(-(Bens!$B$4:$B$276=Analítico!$B144),-(Bens!$D$4:$D$276=Analítico!AR$3),(Bens!$G$4:$G$276))</f>
        <v>0</v>
      </c>
      <c r="AS144" s="134">
        <f>SUMPRODUCT(-(Bens!$B$4:$B$276=Analítico!$B144),-(Bens!$D$4:$D$276=Analítico!AS$3),(Bens!$G$4:$G$276))</f>
        <v>0</v>
      </c>
      <c r="AT144" s="134">
        <f>SUMPRODUCT(-(Bens!$B$4:$B$276=Analítico!$B144),-(Bens!$D$4:$D$276=Analítico!AT$3),(Bens!$G$4:$G$276))</f>
        <v>0</v>
      </c>
      <c r="AU144" s="134">
        <f>SUMPRODUCT(-(Bens!$B$4:$B$276=Analítico!$B144),-(Bens!$D$4:$D$276=Analítico!AU$3),(Bens!$G$4:$G$276))</f>
        <v>0</v>
      </c>
      <c r="AV144" s="134">
        <f>SUMPRODUCT(-(Bens!$B$4:$B$276=Analítico!$B144),-(Bens!$D$4:$D$276=Analítico!AV$3),(Bens!$G$4:$G$276))</f>
        <v>0</v>
      </c>
      <c r="AW144" s="134">
        <f>SUMPRODUCT(-(Bens!$B$4:$B$276=Analítico!$B144),-(Bens!$D$4:$D$276=Analítico!AW$3),(Bens!$G$4:$G$276))</f>
        <v>0</v>
      </c>
      <c r="AX144" s="134">
        <f>SUMPRODUCT(-(Bens!$B$4:$B$276=Analítico!$B144),-(Bens!$D$4:$D$276=Analítico!AX$3),(Bens!$G$4:$G$276))</f>
        <v>0</v>
      </c>
      <c r="AY144" s="134">
        <f>SUMPRODUCT(-(Bens!$B$4:$B$276=Analítico!$B144),-(Bens!$D$4:$D$276=Analítico!AY$3),(Bens!$G$4:$G$276))</f>
        <v>0</v>
      </c>
      <c r="AZ144" s="134">
        <f>SUMPRODUCT(-(Bens!$B$4:$B$276=Analítico!$B144),-(Bens!$D$4:$D$276=Analítico!AZ$3),(Bens!$G$4:$G$276))</f>
        <v>0</v>
      </c>
      <c r="BA144" s="134">
        <f>SUMPRODUCT(-(Bens!$B$4:$B$276=Analítico!$B144),-(Bens!$D$4:$D$276=Analítico!BA$3),(Bens!$G$4:$G$276))</f>
        <v>0</v>
      </c>
      <c r="BB144" s="134">
        <f>SUMPRODUCT(-(Bens!$B$4:$B$276=Analítico!$B144),-(Bens!$D$4:$D$276=Analítico!BB$3),(Bens!$G$4:$G$276))</f>
        <v>0</v>
      </c>
      <c r="BC144" s="134">
        <f>SUMPRODUCT(-(Bens!$B$4:$B$276=Analítico!$B144),-(Bens!$D$4:$D$276=Analítico!BC$3),(Bens!$G$4:$G$276))</f>
        <v>0</v>
      </c>
      <c r="BD144" s="134">
        <f>SUMPRODUCT(-(Bens!$B$4:$B$276=Analítico!$B144),-(Bens!$D$4:$D$276=Analítico!BD$3),(Bens!$G$4:$G$276))</f>
        <v>0</v>
      </c>
      <c r="BE144" s="134">
        <f>SUMPRODUCT(-(Bens!$B$4:$B$276=Analítico!$B144),-(Bens!$D$4:$D$276=Analítico!BE$3),(Bens!$G$4:$G$276))</f>
        <v>0</v>
      </c>
      <c r="BF144" s="134">
        <f>SUMPRODUCT(-(Bens!$B$4:$B$276=Analítico!$B144),-(Bens!$D$4:$D$276=Analítico!BF$3),(Bens!$G$4:$G$276))</f>
        <v>0</v>
      </c>
      <c r="BG144" s="134">
        <f>SUMPRODUCT(-(Bens!$B$4:$B$276=Analítico!$B144),-(Bens!$D$4:$D$276=Analítico!BG$3),(Bens!$G$4:$G$276))</f>
        <v>0</v>
      </c>
      <c r="BH144" s="134">
        <f>SUMPRODUCT(-(Bens!$B$4:$B$276=Analítico!$B144),-(Bens!$D$4:$D$276=Analítico!BH$3),(Bens!$G$4:$G$276))</f>
        <v>0</v>
      </c>
      <c r="BI144" s="134">
        <f>SUMPRODUCT(-(Bens!$B$4:$B$276=Analítico!$B144),-(Bens!$D$4:$D$276=Analítico!BI$3),(Bens!$G$4:$G$276))</f>
        <v>0</v>
      </c>
      <c r="BJ144" s="134">
        <f>SUMPRODUCT(-(Bens!$B$4:$B$276=Analítico!$B144),-(Bens!$D$4:$D$276=Analítico!BJ$3),(Bens!$G$4:$G$276))</f>
        <v>0</v>
      </c>
      <c r="BK144" s="189">
        <f t="shared" si="32"/>
        <v>91024</v>
      </c>
      <c r="BL144" s="136">
        <f t="shared" ca="1" si="33"/>
        <v>3.1339545990437809E-4</v>
      </c>
    </row>
    <row r="145" spans="1:64" s="160" customFormat="1" ht="23.25" customHeight="1">
      <c r="A145" s="198" t="s">
        <v>342</v>
      </c>
      <c r="B145" s="209" t="s">
        <v>343</v>
      </c>
      <c r="C145" s="188">
        <f>SUMPRODUCT(-(Bens!$B$4:$B$276=Analítico!$B145),-(Bens!$D$4:$D$276=Analítico!C$3),(Bens!$G$4:$G$276))</f>
        <v>61000</v>
      </c>
      <c r="D145" s="134">
        <f>SUMPRODUCT(-(Bens!$B$4:$B$276=Analítico!$B145),-(Bens!$D$4:$D$276=Analítico!D$3),(Bens!$G$4:$G$276))</f>
        <v>25829</v>
      </c>
      <c r="E145" s="134">
        <f>SUMPRODUCT(-(Bens!$B$4:$B$276=Analítico!$B145),-(Bens!$D$4:$D$276=Analítico!E$3),(Bens!$G$4:$G$276))</f>
        <v>3500</v>
      </c>
      <c r="F145" s="134">
        <f>SUMPRODUCT(-(Bens!$B$4:$B$276=Analítico!$B145),-(Bens!$D$4:$D$276=Analítico!F$3),(Bens!$G$4:$G$276))</f>
        <v>0</v>
      </c>
      <c r="G145" s="134">
        <f>SUMPRODUCT(-(Bens!$B$4:$B$276=Analítico!$B145),-(Bens!$D$4:$D$276=Analítico!G$3),(Bens!$G$4:$G$276))</f>
        <v>28500</v>
      </c>
      <c r="H145" s="134">
        <f>SUMPRODUCT(-(Bens!$B$4:$B$276=Analítico!$B145),-(Bens!$D$4:$D$276=Analítico!H$3),(Bens!$G$4:$G$276))</f>
        <v>3500</v>
      </c>
      <c r="I145" s="134">
        <f>SUMPRODUCT(-(Bens!$B$4:$B$276=Analítico!$B145),-(Bens!$D$4:$D$276=Analítico!I$3),(Bens!$G$4:$G$276))</f>
        <v>0</v>
      </c>
      <c r="J145" s="134">
        <f>SUMPRODUCT(-(Bens!$B$4:$B$276=Analítico!$B145),-(Bens!$D$4:$D$276=Analítico!J$3),(Bens!$G$4:$G$276))</f>
        <v>0</v>
      </c>
      <c r="K145" s="134">
        <f>SUMPRODUCT(-(Bens!$B$4:$B$276=Analítico!$B145),-(Bens!$D$4:$D$276=Analítico!K$3),(Bens!$G$4:$G$276))</f>
        <v>3500</v>
      </c>
      <c r="L145" s="134">
        <f>SUMPRODUCT(-(Bens!$B$4:$B$276=Analítico!$B145),-(Bens!$D$4:$D$276=Analítico!L$3),(Bens!$G$4:$G$276))</f>
        <v>0</v>
      </c>
      <c r="M145" s="134">
        <f>SUMPRODUCT(-(Bens!$B$4:$B$276=Analítico!$B145),-(Bens!$D$4:$D$276=Analítico!M$3),(Bens!$G$4:$G$276))</f>
        <v>0</v>
      </c>
      <c r="N145" s="134">
        <f>SUMPRODUCT(-(Bens!$B$4:$B$276=Analítico!$B145),-(Bens!$D$4:$D$276=Analítico!N$3),(Bens!$G$4:$G$276))</f>
        <v>3500</v>
      </c>
      <c r="O145" s="134">
        <f>SUMPRODUCT(-(Bens!$B$4:$B$276=Analítico!$B145),-(Bens!$D$4:$D$276=Analítico!O$3),(Bens!$G$4:$G$276))</f>
        <v>0</v>
      </c>
      <c r="P145" s="134">
        <f>SUMPRODUCT(-(Bens!$B$4:$B$276=Analítico!$B145),-(Bens!$D$4:$D$276=Analítico!P$3),(Bens!$G$4:$G$276))</f>
        <v>0</v>
      </c>
      <c r="Q145" s="134">
        <f>SUMPRODUCT(-(Bens!$B$4:$B$276=Analítico!$B145),-(Bens!$D$4:$D$276=Analítico!Q$3),(Bens!$G$4:$G$276))</f>
        <v>3500</v>
      </c>
      <c r="R145" s="134">
        <f>SUMPRODUCT(-(Bens!$B$4:$B$276=Analítico!$B145),-(Bens!$D$4:$D$276=Analítico!R$3),(Bens!$G$4:$G$276))</f>
        <v>0</v>
      </c>
      <c r="S145" s="134">
        <f>SUMPRODUCT(-(Bens!$B$4:$B$276=Analítico!$B145),-(Bens!$D$4:$D$276=Analítico!S$3),(Bens!$G$4:$G$276))</f>
        <v>0</v>
      </c>
      <c r="T145" s="134">
        <f>SUMPRODUCT(-(Bens!$B$4:$B$276=Analítico!$B145),-(Bens!$D$4:$D$276=Analítico!T$3),(Bens!$G$4:$G$276))</f>
        <v>15500</v>
      </c>
      <c r="U145" s="134">
        <f>SUMPRODUCT(-(Bens!$B$4:$B$276=Analítico!$B145),-(Bens!$D$4:$D$276=Analítico!U$3),(Bens!$G$4:$G$276))</f>
        <v>0</v>
      </c>
      <c r="V145" s="134">
        <f>SUMPRODUCT(-(Bens!$B$4:$B$276=Analítico!$B145),-(Bens!$D$4:$D$276=Analítico!V$3),(Bens!$G$4:$G$276))</f>
        <v>0</v>
      </c>
      <c r="W145" s="134">
        <f>SUMPRODUCT(-(Bens!$B$4:$B$276=Analítico!$B145),-(Bens!$D$4:$D$276=Analítico!W$3),(Bens!$G$4:$G$276))</f>
        <v>3500</v>
      </c>
      <c r="X145" s="134">
        <f>SUMPRODUCT(-(Bens!$B$4:$B$276=Analítico!$B145),-(Bens!$D$4:$D$276=Analítico!X$3),(Bens!$G$4:$G$276))</f>
        <v>0</v>
      </c>
      <c r="Y145" s="134">
        <f>SUMPRODUCT(-(Bens!$B$4:$B$276=Analítico!$B145),-(Bens!$D$4:$D$276=Analítico!Y$3),(Bens!$G$4:$G$276))</f>
        <v>0</v>
      </c>
      <c r="Z145" s="134">
        <f>SUMPRODUCT(-(Bens!$B$4:$B$276=Analítico!$B145),-(Bens!$D$4:$D$276=Analítico!Z$3),(Bens!$G$4:$G$276))</f>
        <v>3500</v>
      </c>
      <c r="AA145" s="134">
        <f>SUMPRODUCT(-(Bens!$B$4:$B$276=Analítico!$B145),-(Bens!$D$4:$D$276=Analítico!AA$3),(Bens!$G$4:$G$276))</f>
        <v>0</v>
      </c>
      <c r="AB145" s="134">
        <f>SUMPRODUCT(-(Bens!$B$4:$B$276=Analítico!$B145),-(Bens!$D$4:$D$276=Analítico!AB$3),(Bens!$G$4:$G$276))</f>
        <v>0</v>
      </c>
      <c r="AC145" s="134">
        <f>SUMPRODUCT(-(Bens!$B$4:$B$276=Analítico!$B145),-(Bens!$D$4:$D$276=Analítico!AC$3),(Bens!$G$4:$G$276))</f>
        <v>3500</v>
      </c>
      <c r="AD145" s="134">
        <f>SUMPRODUCT(-(Bens!$B$4:$B$276=Analítico!$B145),-(Bens!$D$4:$D$276=Analítico!AD$3),(Bens!$G$4:$G$276))</f>
        <v>0</v>
      </c>
      <c r="AE145" s="134">
        <f>SUMPRODUCT(-(Bens!$B$4:$B$276=Analítico!$B145),-(Bens!$D$4:$D$276=Analítico!AE$3),(Bens!$G$4:$G$276))</f>
        <v>0</v>
      </c>
      <c r="AF145" s="134">
        <f>SUMPRODUCT(-(Bens!$B$4:$B$276=Analítico!$B145),-(Bens!$D$4:$D$276=Analítico!AF$3),(Bens!$G$4:$G$276))</f>
        <v>3500</v>
      </c>
      <c r="AG145" s="134">
        <f>SUMPRODUCT(-(Bens!$B$4:$B$276=Analítico!$B145),-(Bens!$D$4:$D$276=Analítico!AG$3),(Bens!$G$4:$G$276))</f>
        <v>0</v>
      </c>
      <c r="AH145" s="134">
        <f>SUMPRODUCT(-(Bens!$B$4:$B$276=Analítico!$B145),-(Bens!$D$4:$D$276=Analítico!AH$3),(Bens!$G$4:$G$276))</f>
        <v>0</v>
      </c>
      <c r="AI145" s="134">
        <f>SUMPRODUCT(-(Bens!$B$4:$B$276=Analítico!$B145),-(Bens!$D$4:$D$276=Analítico!AI$3),(Bens!$G$4:$G$276))</f>
        <v>3500</v>
      </c>
      <c r="AJ145" s="134">
        <f>SUMPRODUCT(-(Bens!$B$4:$B$276=Analítico!$B145),-(Bens!$D$4:$D$276=Analítico!AJ$3),(Bens!$G$4:$G$276))</f>
        <v>0</v>
      </c>
      <c r="AK145" s="134">
        <f>SUMPRODUCT(-(Bens!$B$4:$B$276=Analítico!$B145),-(Bens!$D$4:$D$276=Analítico!AK$3),(Bens!$G$4:$G$276))</f>
        <v>0</v>
      </c>
      <c r="AL145" s="134">
        <f>SUMPRODUCT(-(Bens!$B$4:$B$276=Analítico!$B145),-(Bens!$D$4:$D$276=Analítico!AL$3),(Bens!$G$4:$G$276))</f>
        <v>3500</v>
      </c>
      <c r="AM145" s="134">
        <f>SUMPRODUCT(-(Bens!$B$4:$B$276=Analítico!$B145),-(Bens!$D$4:$D$276=Analítico!AM$3),(Bens!$G$4:$G$276))</f>
        <v>0</v>
      </c>
      <c r="AN145" s="134">
        <f>SUMPRODUCT(-(Bens!$B$4:$B$276=Analítico!$B145),-(Bens!$D$4:$D$276=Analítico!AN$3),(Bens!$G$4:$G$276))</f>
        <v>0</v>
      </c>
      <c r="AO145" s="134">
        <f>SUMPRODUCT(-(Bens!$B$4:$B$276=Analítico!$B145),-(Bens!$D$4:$D$276=Analítico!AO$3),(Bens!$G$4:$G$276))</f>
        <v>3500</v>
      </c>
      <c r="AP145" s="134">
        <f>SUMPRODUCT(-(Bens!$B$4:$B$276=Analítico!$B145),-(Bens!$D$4:$D$276=Analítico!AP$3),(Bens!$G$4:$G$276))</f>
        <v>0</v>
      </c>
      <c r="AQ145" s="134">
        <f>SUMPRODUCT(-(Bens!$B$4:$B$276=Analítico!$B145),-(Bens!$D$4:$D$276=Analítico!AQ$3),(Bens!$G$4:$G$276))</f>
        <v>0</v>
      </c>
      <c r="AR145" s="134">
        <f>SUMPRODUCT(-(Bens!$B$4:$B$276=Analítico!$B145),-(Bens!$D$4:$D$276=Analítico!AR$3),(Bens!$G$4:$G$276))</f>
        <v>3500</v>
      </c>
      <c r="AS145" s="134">
        <f>SUMPRODUCT(-(Bens!$B$4:$B$276=Analítico!$B145),-(Bens!$D$4:$D$276=Analítico!AS$3),(Bens!$G$4:$G$276))</f>
        <v>0</v>
      </c>
      <c r="AT145" s="134">
        <f>SUMPRODUCT(-(Bens!$B$4:$B$276=Analítico!$B145),-(Bens!$D$4:$D$276=Analítico!AT$3),(Bens!$G$4:$G$276))</f>
        <v>0</v>
      </c>
      <c r="AU145" s="134">
        <f>SUMPRODUCT(-(Bens!$B$4:$B$276=Analítico!$B145),-(Bens!$D$4:$D$276=Analítico!AU$3),(Bens!$G$4:$G$276))</f>
        <v>3500</v>
      </c>
      <c r="AV145" s="134">
        <f>SUMPRODUCT(-(Bens!$B$4:$B$276=Analítico!$B145),-(Bens!$D$4:$D$276=Analítico!AV$3),(Bens!$G$4:$G$276))</f>
        <v>0</v>
      </c>
      <c r="AW145" s="134">
        <f>SUMPRODUCT(-(Bens!$B$4:$B$276=Analítico!$B145),-(Bens!$D$4:$D$276=Analítico!AW$3),(Bens!$G$4:$G$276))</f>
        <v>0</v>
      </c>
      <c r="AX145" s="134">
        <f>SUMPRODUCT(-(Bens!$B$4:$B$276=Analítico!$B145),-(Bens!$D$4:$D$276=Analítico!AX$3),(Bens!$G$4:$G$276))</f>
        <v>0</v>
      </c>
      <c r="AY145" s="134">
        <f>SUMPRODUCT(-(Bens!$B$4:$B$276=Analítico!$B145),-(Bens!$D$4:$D$276=Analítico!AY$3),(Bens!$G$4:$G$276))</f>
        <v>0</v>
      </c>
      <c r="AZ145" s="134">
        <f>SUMPRODUCT(-(Bens!$B$4:$B$276=Analítico!$B145),-(Bens!$D$4:$D$276=Analítico!AZ$3),(Bens!$G$4:$G$276))</f>
        <v>0</v>
      </c>
      <c r="BA145" s="134">
        <f>SUMPRODUCT(-(Bens!$B$4:$B$276=Analítico!$B145),-(Bens!$D$4:$D$276=Analítico!BA$3),(Bens!$G$4:$G$276))</f>
        <v>0</v>
      </c>
      <c r="BB145" s="134">
        <f>SUMPRODUCT(-(Bens!$B$4:$B$276=Analítico!$B145),-(Bens!$D$4:$D$276=Analítico!BB$3),(Bens!$G$4:$G$276))</f>
        <v>0</v>
      </c>
      <c r="BC145" s="134">
        <f>SUMPRODUCT(-(Bens!$B$4:$B$276=Analítico!$B145),-(Bens!$D$4:$D$276=Analítico!BC$3),(Bens!$G$4:$G$276))</f>
        <v>0</v>
      </c>
      <c r="BD145" s="134">
        <f>SUMPRODUCT(-(Bens!$B$4:$B$276=Analítico!$B145),-(Bens!$D$4:$D$276=Analítico!BD$3),(Bens!$G$4:$G$276))</f>
        <v>0</v>
      </c>
      <c r="BE145" s="134">
        <f>SUMPRODUCT(-(Bens!$B$4:$B$276=Analítico!$B145),-(Bens!$D$4:$D$276=Analítico!BE$3),(Bens!$G$4:$G$276))</f>
        <v>0</v>
      </c>
      <c r="BF145" s="134">
        <f>SUMPRODUCT(-(Bens!$B$4:$B$276=Analítico!$B145),-(Bens!$D$4:$D$276=Analítico!BF$3),(Bens!$G$4:$G$276))</f>
        <v>0</v>
      </c>
      <c r="BG145" s="134">
        <f>SUMPRODUCT(-(Bens!$B$4:$B$276=Analítico!$B145),-(Bens!$D$4:$D$276=Analítico!BG$3),(Bens!$G$4:$G$276))</f>
        <v>0</v>
      </c>
      <c r="BH145" s="134">
        <f>SUMPRODUCT(-(Bens!$B$4:$B$276=Analítico!$B145),-(Bens!$D$4:$D$276=Analítico!BH$3),(Bens!$G$4:$G$276))</f>
        <v>0</v>
      </c>
      <c r="BI145" s="134">
        <f>SUMPRODUCT(-(Bens!$B$4:$B$276=Analítico!$B145),-(Bens!$D$4:$D$276=Analítico!BI$3),(Bens!$G$4:$G$276))</f>
        <v>0</v>
      </c>
      <c r="BJ145" s="134">
        <f>SUMPRODUCT(-(Bens!$B$4:$B$276=Analítico!$B145),-(Bens!$D$4:$D$276=Analítico!BJ$3),(Bens!$G$4:$G$276))</f>
        <v>0</v>
      </c>
      <c r="BK145" s="189">
        <f t="shared" si="32"/>
        <v>179829</v>
      </c>
      <c r="BL145" s="136">
        <f t="shared" ca="1" si="33"/>
        <v>6.1915090700413527E-4</v>
      </c>
    </row>
    <row r="146" spans="1:64" s="160" customFormat="1" ht="23.25" customHeight="1">
      <c r="A146" s="198" t="s">
        <v>344</v>
      </c>
      <c r="B146" s="209" t="s">
        <v>345</v>
      </c>
      <c r="C146" s="188">
        <f>SUMPRODUCT(-(Bens!$B$4:$B$276=Analítico!$B146),-(Bens!$D$4:$D$276=Analítico!C$3),(Bens!$G$4:$G$276))</f>
        <v>0</v>
      </c>
      <c r="D146" s="134">
        <f>SUMPRODUCT(-(Bens!$B$4:$B$276=Analítico!$B146),-(Bens!$D$4:$D$276=Analítico!D$3),(Bens!$G$4:$G$276))</f>
        <v>0</v>
      </c>
      <c r="E146" s="134">
        <f>SUMPRODUCT(-(Bens!$B$4:$B$276=Analítico!$B146),-(Bens!$D$4:$D$276=Analítico!E$3),(Bens!$G$4:$G$276))</f>
        <v>0</v>
      </c>
      <c r="F146" s="134">
        <f>SUMPRODUCT(-(Bens!$B$4:$B$276=Analítico!$B146),-(Bens!$D$4:$D$276=Analítico!F$3),(Bens!$G$4:$G$276))</f>
        <v>0</v>
      </c>
      <c r="G146" s="134">
        <f>SUMPRODUCT(-(Bens!$B$4:$B$276=Analítico!$B146),-(Bens!$D$4:$D$276=Analítico!G$3),(Bens!$G$4:$G$276))</f>
        <v>0</v>
      </c>
      <c r="H146" s="134">
        <f>SUMPRODUCT(-(Bens!$B$4:$B$276=Analítico!$B146),-(Bens!$D$4:$D$276=Analítico!H$3),(Bens!$G$4:$G$276))</f>
        <v>0</v>
      </c>
      <c r="I146" s="134">
        <f>SUMPRODUCT(-(Bens!$B$4:$B$276=Analítico!$B146),-(Bens!$D$4:$D$276=Analítico!I$3),(Bens!$G$4:$G$276))</f>
        <v>0</v>
      </c>
      <c r="J146" s="134">
        <f>SUMPRODUCT(-(Bens!$B$4:$B$276=Analítico!$B146),-(Bens!$D$4:$D$276=Analítico!J$3),(Bens!$G$4:$G$276))</f>
        <v>0</v>
      </c>
      <c r="K146" s="134">
        <f>SUMPRODUCT(-(Bens!$B$4:$B$276=Analítico!$B146),-(Bens!$D$4:$D$276=Analítico!K$3),(Bens!$G$4:$G$276))</f>
        <v>0</v>
      </c>
      <c r="L146" s="134">
        <f>SUMPRODUCT(-(Bens!$B$4:$B$276=Analítico!$B146),-(Bens!$D$4:$D$276=Analítico!L$3),(Bens!$G$4:$G$276))</f>
        <v>0</v>
      </c>
      <c r="M146" s="134">
        <f>SUMPRODUCT(-(Bens!$B$4:$B$276=Analítico!$B146),-(Bens!$D$4:$D$276=Analítico!M$3),(Bens!$G$4:$G$276))</f>
        <v>0</v>
      </c>
      <c r="N146" s="134">
        <f>SUMPRODUCT(-(Bens!$B$4:$B$276=Analítico!$B146),-(Bens!$D$4:$D$276=Analítico!N$3),(Bens!$G$4:$G$276))</f>
        <v>0</v>
      </c>
      <c r="O146" s="134">
        <f>SUMPRODUCT(-(Bens!$B$4:$B$276=Analítico!$B146),-(Bens!$D$4:$D$276=Analítico!O$3),(Bens!$G$4:$G$276))</f>
        <v>0</v>
      </c>
      <c r="P146" s="134">
        <f>SUMPRODUCT(-(Bens!$B$4:$B$276=Analítico!$B146),-(Bens!$D$4:$D$276=Analítico!P$3),(Bens!$G$4:$G$276))</f>
        <v>0</v>
      </c>
      <c r="Q146" s="134">
        <f>SUMPRODUCT(-(Bens!$B$4:$B$276=Analítico!$B146),-(Bens!$D$4:$D$276=Analítico!Q$3),(Bens!$G$4:$G$276))</f>
        <v>0</v>
      </c>
      <c r="R146" s="134">
        <f>SUMPRODUCT(-(Bens!$B$4:$B$276=Analítico!$B146),-(Bens!$D$4:$D$276=Analítico!R$3),(Bens!$G$4:$G$276))</f>
        <v>0</v>
      </c>
      <c r="S146" s="134">
        <f>SUMPRODUCT(-(Bens!$B$4:$B$276=Analítico!$B146),-(Bens!$D$4:$D$276=Analítico!S$3),(Bens!$G$4:$G$276))</f>
        <v>0</v>
      </c>
      <c r="T146" s="134">
        <f>SUMPRODUCT(-(Bens!$B$4:$B$276=Analítico!$B146),-(Bens!$D$4:$D$276=Analítico!T$3),(Bens!$G$4:$G$276))</f>
        <v>0</v>
      </c>
      <c r="U146" s="134">
        <f>SUMPRODUCT(-(Bens!$B$4:$B$276=Analítico!$B146),-(Bens!$D$4:$D$276=Analítico!U$3),(Bens!$G$4:$G$276))</f>
        <v>0</v>
      </c>
      <c r="V146" s="134">
        <f>SUMPRODUCT(-(Bens!$B$4:$B$276=Analítico!$B146),-(Bens!$D$4:$D$276=Analítico!V$3),(Bens!$G$4:$G$276))</f>
        <v>0</v>
      </c>
      <c r="W146" s="134">
        <f>SUMPRODUCT(-(Bens!$B$4:$B$276=Analítico!$B146),-(Bens!$D$4:$D$276=Analítico!W$3),(Bens!$G$4:$G$276))</f>
        <v>0</v>
      </c>
      <c r="X146" s="134">
        <f>SUMPRODUCT(-(Bens!$B$4:$B$276=Analítico!$B146),-(Bens!$D$4:$D$276=Analítico!X$3),(Bens!$G$4:$G$276))</f>
        <v>0</v>
      </c>
      <c r="Y146" s="134">
        <f>SUMPRODUCT(-(Bens!$B$4:$B$276=Analítico!$B146),-(Bens!$D$4:$D$276=Analítico!Y$3),(Bens!$G$4:$G$276))</f>
        <v>0</v>
      </c>
      <c r="Z146" s="134">
        <f>SUMPRODUCT(-(Bens!$B$4:$B$276=Analítico!$B146),-(Bens!$D$4:$D$276=Analítico!Z$3),(Bens!$G$4:$G$276))</f>
        <v>0</v>
      </c>
      <c r="AA146" s="134">
        <f>SUMPRODUCT(-(Bens!$B$4:$B$276=Analítico!$B146),-(Bens!$D$4:$D$276=Analítico!AA$3),(Bens!$G$4:$G$276))</f>
        <v>0</v>
      </c>
      <c r="AB146" s="134">
        <f>SUMPRODUCT(-(Bens!$B$4:$B$276=Analítico!$B146),-(Bens!$D$4:$D$276=Analítico!AB$3),(Bens!$G$4:$G$276))</f>
        <v>0</v>
      </c>
      <c r="AC146" s="134">
        <f>SUMPRODUCT(-(Bens!$B$4:$B$276=Analítico!$B146),-(Bens!$D$4:$D$276=Analítico!AC$3),(Bens!$G$4:$G$276))</f>
        <v>0</v>
      </c>
      <c r="AD146" s="134">
        <f>SUMPRODUCT(-(Bens!$B$4:$B$276=Analítico!$B146),-(Bens!$D$4:$D$276=Analítico!AD$3),(Bens!$G$4:$G$276))</f>
        <v>0</v>
      </c>
      <c r="AE146" s="134">
        <f>SUMPRODUCT(-(Bens!$B$4:$B$276=Analítico!$B146),-(Bens!$D$4:$D$276=Analítico!AE$3),(Bens!$G$4:$G$276))</f>
        <v>0</v>
      </c>
      <c r="AF146" s="134">
        <f>SUMPRODUCT(-(Bens!$B$4:$B$276=Analítico!$B146),-(Bens!$D$4:$D$276=Analítico!AF$3),(Bens!$G$4:$G$276))</f>
        <v>0</v>
      </c>
      <c r="AG146" s="134">
        <f>SUMPRODUCT(-(Bens!$B$4:$B$276=Analítico!$B146),-(Bens!$D$4:$D$276=Analítico!AG$3),(Bens!$G$4:$G$276))</f>
        <v>0</v>
      </c>
      <c r="AH146" s="134">
        <f>SUMPRODUCT(-(Bens!$B$4:$B$276=Analítico!$B146),-(Bens!$D$4:$D$276=Analítico!AH$3),(Bens!$G$4:$G$276))</f>
        <v>0</v>
      </c>
      <c r="AI146" s="134">
        <f>SUMPRODUCT(-(Bens!$B$4:$B$276=Analítico!$B146),-(Bens!$D$4:$D$276=Analítico!AI$3),(Bens!$G$4:$G$276))</f>
        <v>0</v>
      </c>
      <c r="AJ146" s="134">
        <f>SUMPRODUCT(-(Bens!$B$4:$B$276=Analítico!$B146),-(Bens!$D$4:$D$276=Analítico!AJ$3),(Bens!$G$4:$G$276))</f>
        <v>0</v>
      </c>
      <c r="AK146" s="134">
        <f>SUMPRODUCT(-(Bens!$B$4:$B$276=Analítico!$B146),-(Bens!$D$4:$D$276=Analítico!AK$3),(Bens!$G$4:$G$276))</f>
        <v>0</v>
      </c>
      <c r="AL146" s="134">
        <f>SUMPRODUCT(-(Bens!$B$4:$B$276=Analítico!$B146),-(Bens!$D$4:$D$276=Analítico!AL$3),(Bens!$G$4:$G$276))</f>
        <v>0</v>
      </c>
      <c r="AM146" s="134">
        <f>SUMPRODUCT(-(Bens!$B$4:$B$276=Analítico!$B146),-(Bens!$D$4:$D$276=Analítico!AM$3),(Bens!$G$4:$G$276))</f>
        <v>0</v>
      </c>
      <c r="AN146" s="134">
        <f>SUMPRODUCT(-(Bens!$B$4:$B$276=Analítico!$B146),-(Bens!$D$4:$D$276=Analítico!AN$3),(Bens!$G$4:$G$276))</f>
        <v>0</v>
      </c>
      <c r="AO146" s="134">
        <f>SUMPRODUCT(-(Bens!$B$4:$B$276=Analítico!$B146),-(Bens!$D$4:$D$276=Analítico!AO$3),(Bens!$G$4:$G$276))</f>
        <v>0</v>
      </c>
      <c r="AP146" s="134">
        <f>SUMPRODUCT(-(Bens!$B$4:$B$276=Analítico!$B146),-(Bens!$D$4:$D$276=Analítico!AP$3),(Bens!$G$4:$G$276))</f>
        <v>0</v>
      </c>
      <c r="AQ146" s="134">
        <f>SUMPRODUCT(-(Bens!$B$4:$B$276=Analítico!$B146),-(Bens!$D$4:$D$276=Analítico!AQ$3),(Bens!$G$4:$G$276))</f>
        <v>0</v>
      </c>
      <c r="AR146" s="134">
        <f>SUMPRODUCT(-(Bens!$B$4:$B$276=Analítico!$B146),-(Bens!$D$4:$D$276=Analítico!AR$3),(Bens!$G$4:$G$276))</f>
        <v>0</v>
      </c>
      <c r="AS146" s="134">
        <f>SUMPRODUCT(-(Bens!$B$4:$B$276=Analítico!$B146),-(Bens!$D$4:$D$276=Analítico!AS$3),(Bens!$G$4:$G$276))</f>
        <v>0</v>
      </c>
      <c r="AT146" s="134">
        <f>SUMPRODUCT(-(Bens!$B$4:$B$276=Analítico!$B146),-(Bens!$D$4:$D$276=Analítico!AT$3),(Bens!$G$4:$G$276))</f>
        <v>0</v>
      </c>
      <c r="AU146" s="134">
        <f>SUMPRODUCT(-(Bens!$B$4:$B$276=Analítico!$B146),-(Bens!$D$4:$D$276=Analítico!AU$3),(Bens!$G$4:$G$276))</f>
        <v>0</v>
      </c>
      <c r="AV146" s="134">
        <f>SUMPRODUCT(-(Bens!$B$4:$B$276=Analítico!$B146),-(Bens!$D$4:$D$276=Analítico!AV$3),(Bens!$G$4:$G$276))</f>
        <v>0</v>
      </c>
      <c r="AW146" s="134">
        <f>SUMPRODUCT(-(Bens!$B$4:$B$276=Analítico!$B146),-(Bens!$D$4:$D$276=Analítico!AW$3),(Bens!$G$4:$G$276))</f>
        <v>0</v>
      </c>
      <c r="AX146" s="134">
        <f>SUMPRODUCT(-(Bens!$B$4:$B$276=Analítico!$B146),-(Bens!$D$4:$D$276=Analítico!AX$3),(Bens!$G$4:$G$276))</f>
        <v>0</v>
      </c>
      <c r="AY146" s="134">
        <f>SUMPRODUCT(-(Bens!$B$4:$B$276=Analítico!$B146),-(Bens!$D$4:$D$276=Analítico!AY$3),(Bens!$G$4:$G$276))</f>
        <v>0</v>
      </c>
      <c r="AZ146" s="134">
        <f>SUMPRODUCT(-(Bens!$B$4:$B$276=Analítico!$B146),-(Bens!$D$4:$D$276=Analítico!AZ$3),(Bens!$G$4:$G$276))</f>
        <v>0</v>
      </c>
      <c r="BA146" s="134">
        <f>SUMPRODUCT(-(Bens!$B$4:$B$276=Analítico!$B146),-(Bens!$D$4:$D$276=Analítico!BA$3),(Bens!$G$4:$G$276))</f>
        <v>0</v>
      </c>
      <c r="BB146" s="134">
        <f>SUMPRODUCT(-(Bens!$B$4:$B$276=Analítico!$B146),-(Bens!$D$4:$D$276=Analítico!BB$3),(Bens!$G$4:$G$276))</f>
        <v>0</v>
      </c>
      <c r="BC146" s="134">
        <f>SUMPRODUCT(-(Bens!$B$4:$B$276=Analítico!$B146),-(Bens!$D$4:$D$276=Analítico!BC$3),(Bens!$G$4:$G$276))</f>
        <v>0</v>
      </c>
      <c r="BD146" s="134">
        <f>SUMPRODUCT(-(Bens!$B$4:$B$276=Analítico!$B146),-(Bens!$D$4:$D$276=Analítico!BD$3),(Bens!$G$4:$G$276))</f>
        <v>0</v>
      </c>
      <c r="BE146" s="134">
        <f>SUMPRODUCT(-(Bens!$B$4:$B$276=Analítico!$B146),-(Bens!$D$4:$D$276=Analítico!BE$3),(Bens!$G$4:$G$276))</f>
        <v>0</v>
      </c>
      <c r="BF146" s="134">
        <f>SUMPRODUCT(-(Bens!$B$4:$B$276=Analítico!$B146),-(Bens!$D$4:$D$276=Analítico!BF$3),(Bens!$G$4:$G$276))</f>
        <v>0</v>
      </c>
      <c r="BG146" s="134">
        <f>SUMPRODUCT(-(Bens!$B$4:$B$276=Analítico!$B146),-(Bens!$D$4:$D$276=Analítico!BG$3),(Bens!$G$4:$G$276))</f>
        <v>0</v>
      </c>
      <c r="BH146" s="134">
        <f>SUMPRODUCT(-(Bens!$B$4:$B$276=Analítico!$B146),-(Bens!$D$4:$D$276=Analítico!BH$3),(Bens!$G$4:$G$276))</f>
        <v>0</v>
      </c>
      <c r="BI146" s="134">
        <f>SUMPRODUCT(-(Bens!$B$4:$B$276=Analítico!$B146),-(Bens!$D$4:$D$276=Analítico!BI$3),(Bens!$G$4:$G$276))</f>
        <v>0</v>
      </c>
      <c r="BJ146" s="134">
        <f>SUMPRODUCT(-(Bens!$B$4:$B$276=Analítico!$B146),-(Bens!$D$4:$D$276=Analítico!BJ$3),(Bens!$G$4:$G$276))</f>
        <v>0</v>
      </c>
      <c r="BK146" s="189">
        <f t="shared" si="32"/>
        <v>0</v>
      </c>
      <c r="BL146" s="136">
        <f t="shared" ca="1" si="33"/>
        <v>0</v>
      </c>
    </row>
    <row r="147" spans="1:64" s="160" customFormat="1" ht="23.25" customHeight="1">
      <c r="A147" s="198" t="s">
        <v>346</v>
      </c>
      <c r="B147" s="209" t="s">
        <v>347</v>
      </c>
      <c r="C147" s="188">
        <f>SUMPRODUCT(-(Bens!$B$4:$B$276=Analítico!$B147),-(Bens!$D$4:$D$276=Analítico!C$3),(Bens!$G$4:$G$276))</f>
        <v>0</v>
      </c>
      <c r="D147" s="134">
        <f>SUMPRODUCT(-(Bens!$B$4:$B$276=Analítico!$B147),-(Bens!$D$4:$D$276=Analítico!D$3),(Bens!$G$4:$G$276))</f>
        <v>0</v>
      </c>
      <c r="E147" s="134">
        <f>SUMPRODUCT(-(Bens!$B$4:$B$276=Analítico!$B147),-(Bens!$D$4:$D$276=Analítico!E$3),(Bens!$G$4:$G$276))</f>
        <v>0</v>
      </c>
      <c r="F147" s="134">
        <f>SUMPRODUCT(-(Bens!$B$4:$B$276=Analítico!$B147),-(Bens!$D$4:$D$276=Analítico!F$3),(Bens!$G$4:$G$276))</f>
        <v>0</v>
      </c>
      <c r="G147" s="134">
        <f>SUMPRODUCT(-(Bens!$B$4:$B$276=Analítico!$B147),-(Bens!$D$4:$D$276=Analítico!G$3),(Bens!$G$4:$G$276))</f>
        <v>0</v>
      </c>
      <c r="H147" s="134">
        <f>SUMPRODUCT(-(Bens!$B$4:$B$276=Analítico!$B147),-(Bens!$D$4:$D$276=Analítico!H$3),(Bens!$G$4:$G$276))</f>
        <v>0</v>
      </c>
      <c r="I147" s="134">
        <f>SUMPRODUCT(-(Bens!$B$4:$B$276=Analítico!$B147),-(Bens!$D$4:$D$276=Analítico!I$3),(Bens!$G$4:$G$276))</f>
        <v>0</v>
      </c>
      <c r="J147" s="134">
        <f>SUMPRODUCT(-(Bens!$B$4:$B$276=Analítico!$B147),-(Bens!$D$4:$D$276=Analítico!J$3),(Bens!$G$4:$G$276))</f>
        <v>0</v>
      </c>
      <c r="K147" s="134">
        <f>SUMPRODUCT(-(Bens!$B$4:$B$276=Analítico!$B147),-(Bens!$D$4:$D$276=Analítico!K$3),(Bens!$G$4:$G$276))</f>
        <v>0</v>
      </c>
      <c r="L147" s="134">
        <f>SUMPRODUCT(-(Bens!$B$4:$B$276=Analítico!$B147),-(Bens!$D$4:$D$276=Analítico!L$3),(Bens!$G$4:$G$276))</f>
        <v>0</v>
      </c>
      <c r="M147" s="134">
        <f>SUMPRODUCT(-(Bens!$B$4:$B$276=Analítico!$B147),-(Bens!$D$4:$D$276=Analítico!M$3),(Bens!$G$4:$G$276))</f>
        <v>0</v>
      </c>
      <c r="N147" s="134">
        <f>SUMPRODUCT(-(Bens!$B$4:$B$276=Analítico!$B147),-(Bens!$D$4:$D$276=Analítico!N$3),(Bens!$G$4:$G$276))</f>
        <v>0</v>
      </c>
      <c r="O147" s="134">
        <f>SUMPRODUCT(-(Bens!$B$4:$B$276=Analítico!$B147),-(Bens!$D$4:$D$276=Analítico!O$3),(Bens!$G$4:$G$276))</f>
        <v>0</v>
      </c>
      <c r="P147" s="134">
        <f>SUMPRODUCT(-(Bens!$B$4:$B$276=Analítico!$B147),-(Bens!$D$4:$D$276=Analítico!P$3),(Bens!$G$4:$G$276))</f>
        <v>0</v>
      </c>
      <c r="Q147" s="134">
        <f>SUMPRODUCT(-(Bens!$B$4:$B$276=Analítico!$B147),-(Bens!$D$4:$D$276=Analítico!Q$3),(Bens!$G$4:$G$276))</f>
        <v>0</v>
      </c>
      <c r="R147" s="134">
        <f>SUMPRODUCT(-(Bens!$B$4:$B$276=Analítico!$B147),-(Bens!$D$4:$D$276=Analítico!R$3),(Bens!$G$4:$G$276))</f>
        <v>0</v>
      </c>
      <c r="S147" s="134">
        <f>SUMPRODUCT(-(Bens!$B$4:$B$276=Analítico!$B147),-(Bens!$D$4:$D$276=Analítico!S$3),(Bens!$G$4:$G$276))</f>
        <v>0</v>
      </c>
      <c r="T147" s="134">
        <f>SUMPRODUCT(-(Bens!$B$4:$B$276=Analítico!$B147),-(Bens!$D$4:$D$276=Analítico!T$3),(Bens!$G$4:$G$276))</f>
        <v>0</v>
      </c>
      <c r="U147" s="134">
        <f>SUMPRODUCT(-(Bens!$B$4:$B$276=Analítico!$B147),-(Bens!$D$4:$D$276=Analítico!U$3),(Bens!$G$4:$G$276))</f>
        <v>0</v>
      </c>
      <c r="V147" s="134">
        <f>SUMPRODUCT(-(Bens!$B$4:$B$276=Analítico!$B147),-(Bens!$D$4:$D$276=Analítico!V$3),(Bens!$G$4:$G$276))</f>
        <v>0</v>
      </c>
      <c r="W147" s="134">
        <f>SUMPRODUCT(-(Bens!$B$4:$B$276=Analítico!$B147),-(Bens!$D$4:$D$276=Analítico!W$3),(Bens!$G$4:$G$276))</f>
        <v>0</v>
      </c>
      <c r="X147" s="134">
        <f>SUMPRODUCT(-(Bens!$B$4:$B$276=Analítico!$B147),-(Bens!$D$4:$D$276=Analítico!X$3),(Bens!$G$4:$G$276))</f>
        <v>0</v>
      </c>
      <c r="Y147" s="134">
        <f>SUMPRODUCT(-(Bens!$B$4:$B$276=Analítico!$B147),-(Bens!$D$4:$D$276=Analítico!Y$3),(Bens!$G$4:$G$276))</f>
        <v>0</v>
      </c>
      <c r="Z147" s="134">
        <f>SUMPRODUCT(-(Bens!$B$4:$B$276=Analítico!$B147),-(Bens!$D$4:$D$276=Analítico!Z$3),(Bens!$G$4:$G$276))</f>
        <v>0</v>
      </c>
      <c r="AA147" s="134">
        <f>SUMPRODUCT(-(Bens!$B$4:$B$276=Analítico!$B147),-(Bens!$D$4:$D$276=Analítico!AA$3),(Bens!$G$4:$G$276))</f>
        <v>0</v>
      </c>
      <c r="AB147" s="134">
        <f>SUMPRODUCT(-(Bens!$B$4:$B$276=Analítico!$B147),-(Bens!$D$4:$D$276=Analítico!AB$3),(Bens!$G$4:$G$276))</f>
        <v>0</v>
      </c>
      <c r="AC147" s="134">
        <f>SUMPRODUCT(-(Bens!$B$4:$B$276=Analítico!$B147),-(Bens!$D$4:$D$276=Analítico!AC$3),(Bens!$G$4:$G$276))</f>
        <v>0</v>
      </c>
      <c r="AD147" s="134">
        <f>SUMPRODUCT(-(Bens!$B$4:$B$276=Analítico!$B147),-(Bens!$D$4:$D$276=Analítico!AD$3),(Bens!$G$4:$G$276))</f>
        <v>0</v>
      </c>
      <c r="AE147" s="134">
        <f>SUMPRODUCT(-(Bens!$B$4:$B$276=Analítico!$B147),-(Bens!$D$4:$D$276=Analítico!AE$3),(Bens!$G$4:$G$276))</f>
        <v>0</v>
      </c>
      <c r="AF147" s="134">
        <f>SUMPRODUCT(-(Bens!$B$4:$B$276=Analítico!$B147),-(Bens!$D$4:$D$276=Analítico!AF$3),(Bens!$G$4:$G$276))</f>
        <v>0</v>
      </c>
      <c r="AG147" s="134">
        <f>SUMPRODUCT(-(Bens!$B$4:$B$276=Analítico!$B147),-(Bens!$D$4:$D$276=Analítico!AG$3),(Bens!$G$4:$G$276))</f>
        <v>0</v>
      </c>
      <c r="AH147" s="134">
        <f>SUMPRODUCT(-(Bens!$B$4:$B$276=Analítico!$B147),-(Bens!$D$4:$D$276=Analítico!AH$3),(Bens!$G$4:$G$276))</f>
        <v>0</v>
      </c>
      <c r="AI147" s="134">
        <f>SUMPRODUCT(-(Bens!$B$4:$B$276=Analítico!$B147),-(Bens!$D$4:$D$276=Analítico!AI$3),(Bens!$G$4:$G$276))</f>
        <v>0</v>
      </c>
      <c r="AJ147" s="134">
        <f>SUMPRODUCT(-(Bens!$B$4:$B$276=Analítico!$B147),-(Bens!$D$4:$D$276=Analítico!AJ$3),(Bens!$G$4:$G$276))</f>
        <v>0</v>
      </c>
      <c r="AK147" s="134">
        <f>SUMPRODUCT(-(Bens!$B$4:$B$276=Analítico!$B147),-(Bens!$D$4:$D$276=Analítico!AK$3),(Bens!$G$4:$G$276))</f>
        <v>0</v>
      </c>
      <c r="AL147" s="134">
        <f>SUMPRODUCT(-(Bens!$B$4:$B$276=Analítico!$B147),-(Bens!$D$4:$D$276=Analítico!AL$3),(Bens!$G$4:$G$276))</f>
        <v>0</v>
      </c>
      <c r="AM147" s="134">
        <f>SUMPRODUCT(-(Bens!$B$4:$B$276=Analítico!$B147),-(Bens!$D$4:$D$276=Analítico!AM$3),(Bens!$G$4:$G$276))</f>
        <v>0</v>
      </c>
      <c r="AN147" s="134">
        <f>SUMPRODUCT(-(Bens!$B$4:$B$276=Analítico!$B147),-(Bens!$D$4:$D$276=Analítico!AN$3),(Bens!$G$4:$G$276))</f>
        <v>0</v>
      </c>
      <c r="AO147" s="134">
        <f>SUMPRODUCT(-(Bens!$B$4:$B$276=Analítico!$B147),-(Bens!$D$4:$D$276=Analítico!AO$3),(Bens!$G$4:$G$276))</f>
        <v>0</v>
      </c>
      <c r="AP147" s="134">
        <f>SUMPRODUCT(-(Bens!$B$4:$B$276=Analítico!$B147),-(Bens!$D$4:$D$276=Analítico!AP$3),(Bens!$G$4:$G$276))</f>
        <v>0</v>
      </c>
      <c r="AQ147" s="134">
        <f>SUMPRODUCT(-(Bens!$B$4:$B$276=Analítico!$B147),-(Bens!$D$4:$D$276=Analítico!AQ$3),(Bens!$G$4:$G$276))</f>
        <v>0</v>
      </c>
      <c r="AR147" s="134">
        <f>SUMPRODUCT(-(Bens!$B$4:$B$276=Analítico!$B147),-(Bens!$D$4:$D$276=Analítico!AR$3),(Bens!$G$4:$G$276))</f>
        <v>0</v>
      </c>
      <c r="AS147" s="134">
        <f>SUMPRODUCT(-(Bens!$B$4:$B$276=Analítico!$B147),-(Bens!$D$4:$D$276=Analítico!AS$3),(Bens!$G$4:$G$276))</f>
        <v>0</v>
      </c>
      <c r="AT147" s="134">
        <f>SUMPRODUCT(-(Bens!$B$4:$B$276=Analítico!$B147),-(Bens!$D$4:$D$276=Analítico!AT$3),(Bens!$G$4:$G$276))</f>
        <v>0</v>
      </c>
      <c r="AU147" s="134">
        <f>SUMPRODUCT(-(Bens!$B$4:$B$276=Analítico!$B147),-(Bens!$D$4:$D$276=Analítico!AU$3),(Bens!$G$4:$G$276))</f>
        <v>0</v>
      </c>
      <c r="AV147" s="134">
        <f>SUMPRODUCT(-(Bens!$B$4:$B$276=Analítico!$B147),-(Bens!$D$4:$D$276=Analítico!AV$3),(Bens!$G$4:$G$276))</f>
        <v>0</v>
      </c>
      <c r="AW147" s="134">
        <f>SUMPRODUCT(-(Bens!$B$4:$B$276=Analítico!$B147),-(Bens!$D$4:$D$276=Analítico!AW$3),(Bens!$G$4:$G$276))</f>
        <v>0</v>
      </c>
      <c r="AX147" s="134">
        <f>SUMPRODUCT(-(Bens!$B$4:$B$276=Analítico!$B147),-(Bens!$D$4:$D$276=Analítico!AX$3),(Bens!$G$4:$G$276))</f>
        <v>0</v>
      </c>
      <c r="AY147" s="134">
        <f>SUMPRODUCT(-(Bens!$B$4:$B$276=Analítico!$B147),-(Bens!$D$4:$D$276=Analítico!AY$3),(Bens!$G$4:$G$276))</f>
        <v>0</v>
      </c>
      <c r="AZ147" s="134">
        <f>SUMPRODUCT(-(Bens!$B$4:$B$276=Analítico!$B147),-(Bens!$D$4:$D$276=Analítico!AZ$3),(Bens!$G$4:$G$276))</f>
        <v>0</v>
      </c>
      <c r="BA147" s="134">
        <f>SUMPRODUCT(-(Bens!$B$4:$B$276=Analítico!$B147),-(Bens!$D$4:$D$276=Analítico!BA$3),(Bens!$G$4:$G$276))</f>
        <v>0</v>
      </c>
      <c r="BB147" s="134">
        <f>SUMPRODUCT(-(Bens!$B$4:$B$276=Analítico!$B147),-(Bens!$D$4:$D$276=Analítico!BB$3),(Bens!$G$4:$G$276))</f>
        <v>0</v>
      </c>
      <c r="BC147" s="134">
        <f>SUMPRODUCT(-(Bens!$B$4:$B$276=Analítico!$B147),-(Bens!$D$4:$D$276=Analítico!BC$3),(Bens!$G$4:$G$276))</f>
        <v>0</v>
      </c>
      <c r="BD147" s="134">
        <f>SUMPRODUCT(-(Bens!$B$4:$B$276=Analítico!$B147),-(Bens!$D$4:$D$276=Analítico!BD$3),(Bens!$G$4:$G$276))</f>
        <v>0</v>
      </c>
      <c r="BE147" s="134">
        <f>SUMPRODUCT(-(Bens!$B$4:$B$276=Analítico!$B147),-(Bens!$D$4:$D$276=Analítico!BE$3),(Bens!$G$4:$G$276))</f>
        <v>0</v>
      </c>
      <c r="BF147" s="134">
        <f>SUMPRODUCT(-(Bens!$B$4:$B$276=Analítico!$B147),-(Bens!$D$4:$D$276=Analítico!BF$3),(Bens!$G$4:$G$276))</f>
        <v>0</v>
      </c>
      <c r="BG147" s="134">
        <f>SUMPRODUCT(-(Bens!$B$4:$B$276=Analítico!$B147),-(Bens!$D$4:$D$276=Analítico!BG$3),(Bens!$G$4:$G$276))</f>
        <v>0</v>
      </c>
      <c r="BH147" s="134">
        <f>SUMPRODUCT(-(Bens!$B$4:$B$276=Analítico!$B147),-(Bens!$D$4:$D$276=Analítico!BH$3),(Bens!$G$4:$G$276))</f>
        <v>0</v>
      </c>
      <c r="BI147" s="134">
        <f>SUMPRODUCT(-(Bens!$B$4:$B$276=Analítico!$B147),-(Bens!$D$4:$D$276=Analítico!BI$3),(Bens!$G$4:$G$276))</f>
        <v>0</v>
      </c>
      <c r="BJ147" s="134">
        <f>SUMPRODUCT(-(Bens!$B$4:$B$276=Analítico!$B147),-(Bens!$D$4:$D$276=Analítico!BJ$3),(Bens!$G$4:$G$276))</f>
        <v>0</v>
      </c>
      <c r="BK147" s="189">
        <f>SUM(C147:BJ147)</f>
        <v>0</v>
      </c>
      <c r="BL147" s="136">
        <f t="shared" ref="BL147:BL152" ca="1" si="34">IF($BK$152=0,0,BK147/$BK$152)</f>
        <v>0</v>
      </c>
    </row>
    <row r="148" spans="1:64" s="160" customFormat="1" ht="23.25" customHeight="1">
      <c r="A148" s="198" t="s">
        <v>348</v>
      </c>
      <c r="B148" s="220" t="s">
        <v>349</v>
      </c>
      <c r="C148" s="188">
        <f>SUMPRODUCT(-(Bens!$B$4:$B$276=Analítico!$B148),-(Bens!$D$4:$D$276=Analítico!C$3),(Bens!$G$4:$G$276))</f>
        <v>0</v>
      </c>
      <c r="D148" s="134">
        <f>SUMPRODUCT(-(Bens!$B$4:$B$276=Analítico!$B148),-(Bens!$D$4:$D$276=Analítico!D$3),(Bens!$G$4:$G$276))</f>
        <v>170118</v>
      </c>
      <c r="E148" s="134">
        <f>SUMPRODUCT(-(Bens!$B$4:$B$276=Analítico!$B148),-(Bens!$D$4:$D$276=Analítico!E$3),(Bens!$G$4:$G$276))</f>
        <v>0</v>
      </c>
      <c r="F148" s="134">
        <f>SUMPRODUCT(-(Bens!$B$4:$B$276=Analítico!$B148),-(Bens!$D$4:$D$276=Analítico!F$3),(Bens!$G$4:$G$276))</f>
        <v>8400</v>
      </c>
      <c r="G148" s="134">
        <f>SUMPRODUCT(-(Bens!$B$4:$B$276=Analítico!$B148),-(Bens!$D$4:$D$276=Analítico!G$3),(Bens!$G$4:$G$276))</f>
        <v>83559</v>
      </c>
      <c r="H148" s="134">
        <f>SUMPRODUCT(-(Bens!$B$4:$B$276=Analítico!$B148),-(Bens!$D$4:$D$276=Analítico!H$3),(Bens!$G$4:$G$276))</f>
        <v>0</v>
      </c>
      <c r="I148" s="134">
        <f>SUMPRODUCT(-(Bens!$B$4:$B$276=Analítico!$B148),-(Bens!$D$4:$D$276=Analítico!I$3),(Bens!$G$4:$G$276))</f>
        <v>0</v>
      </c>
      <c r="J148" s="134">
        <f>SUMPRODUCT(-(Bens!$B$4:$B$276=Analítico!$B148),-(Bens!$D$4:$D$276=Analítico!J$3),(Bens!$G$4:$G$276))</f>
        <v>2800</v>
      </c>
      <c r="K148" s="134">
        <f>SUMPRODUCT(-(Bens!$B$4:$B$276=Analítico!$B148),-(Bens!$D$4:$D$276=Analítico!K$3),(Bens!$G$4:$G$276))</f>
        <v>20000</v>
      </c>
      <c r="L148" s="134">
        <f>SUMPRODUCT(-(Bens!$B$4:$B$276=Analítico!$B148),-(Bens!$D$4:$D$276=Analítico!L$3),(Bens!$G$4:$G$276))</f>
        <v>2800</v>
      </c>
      <c r="M148" s="134">
        <f>SUMPRODUCT(-(Bens!$B$4:$B$276=Analítico!$B148),-(Bens!$D$4:$D$276=Analítico!M$3),(Bens!$G$4:$G$276))</f>
        <v>0</v>
      </c>
      <c r="N148" s="134">
        <f>SUMPRODUCT(-(Bens!$B$4:$B$276=Analítico!$B148),-(Bens!$D$4:$D$276=Analítico!N$3),(Bens!$G$4:$G$276))</f>
        <v>22800</v>
      </c>
      <c r="O148" s="134">
        <f>SUMPRODUCT(-(Bens!$B$4:$B$276=Analítico!$B148),-(Bens!$D$4:$D$276=Analítico!O$3),(Bens!$G$4:$G$276))</f>
        <v>0</v>
      </c>
      <c r="P148" s="134">
        <f>SUMPRODUCT(-(Bens!$B$4:$B$276=Analítico!$B148),-(Bens!$D$4:$D$276=Analítico!P$3),(Bens!$G$4:$G$276))</f>
        <v>15000</v>
      </c>
      <c r="Q148" s="134">
        <f>SUMPRODUCT(-(Bens!$B$4:$B$276=Analítico!$B148),-(Bens!$D$4:$D$276=Analítico!Q$3),(Bens!$G$4:$G$276))</f>
        <v>0</v>
      </c>
      <c r="R148" s="134">
        <f>SUMPRODUCT(-(Bens!$B$4:$B$276=Analítico!$B148),-(Bens!$D$4:$D$276=Analítico!R$3),(Bens!$G$4:$G$276))</f>
        <v>0</v>
      </c>
      <c r="S148" s="134">
        <f>SUMPRODUCT(-(Bens!$B$4:$B$276=Analítico!$B148),-(Bens!$D$4:$D$276=Analítico!S$3),(Bens!$G$4:$G$276))</f>
        <v>0</v>
      </c>
      <c r="T148" s="134">
        <f>SUMPRODUCT(-(Bens!$B$4:$B$276=Analítico!$B148),-(Bens!$D$4:$D$276=Analítico!T$3),(Bens!$G$4:$G$276))</f>
        <v>0</v>
      </c>
      <c r="U148" s="134">
        <f>SUMPRODUCT(-(Bens!$B$4:$B$276=Analítico!$B148),-(Bens!$D$4:$D$276=Analítico!U$3),(Bens!$G$4:$G$276))</f>
        <v>15000</v>
      </c>
      <c r="V148" s="134">
        <f>SUMPRODUCT(-(Bens!$B$4:$B$276=Analítico!$B148),-(Bens!$D$4:$D$276=Analítico!V$3),(Bens!$G$4:$G$276))</f>
        <v>0</v>
      </c>
      <c r="W148" s="134">
        <f>SUMPRODUCT(-(Bens!$B$4:$B$276=Analítico!$B148),-(Bens!$D$4:$D$276=Analítico!W$3),(Bens!$G$4:$G$276))</f>
        <v>0</v>
      </c>
      <c r="X148" s="134">
        <f>SUMPRODUCT(-(Bens!$B$4:$B$276=Analítico!$B148),-(Bens!$D$4:$D$276=Analítico!X$3),(Bens!$G$4:$G$276))</f>
        <v>2800</v>
      </c>
      <c r="Y148" s="134">
        <f>SUMPRODUCT(-(Bens!$B$4:$B$276=Analítico!$B148),-(Bens!$D$4:$D$276=Analítico!Y$3),(Bens!$G$4:$G$276))</f>
        <v>0</v>
      </c>
      <c r="Z148" s="134">
        <f>SUMPRODUCT(-(Bens!$B$4:$B$276=Analítico!$B148),-(Bens!$D$4:$D$276=Analítico!Z$3),(Bens!$G$4:$G$276))</f>
        <v>0</v>
      </c>
      <c r="AA148" s="134">
        <f>SUMPRODUCT(-(Bens!$B$4:$B$276=Analítico!$B148),-(Bens!$D$4:$D$276=Analítico!AA$3),(Bens!$G$4:$G$276))</f>
        <v>0</v>
      </c>
      <c r="AB148" s="134">
        <f>SUMPRODUCT(-(Bens!$B$4:$B$276=Analítico!$B148),-(Bens!$D$4:$D$276=Analítico!AB$3),(Bens!$G$4:$G$276))</f>
        <v>0</v>
      </c>
      <c r="AC148" s="134">
        <f>SUMPRODUCT(-(Bens!$B$4:$B$276=Analítico!$B148),-(Bens!$D$4:$D$276=Analítico!AC$3),(Bens!$G$4:$G$276))</f>
        <v>0</v>
      </c>
      <c r="AD148" s="134">
        <f>SUMPRODUCT(-(Bens!$B$4:$B$276=Analítico!$B148),-(Bens!$D$4:$D$276=Analítico!AD$3),(Bens!$G$4:$G$276))</f>
        <v>5600</v>
      </c>
      <c r="AE148" s="134">
        <f>SUMPRODUCT(-(Bens!$B$4:$B$276=Analítico!$B148),-(Bens!$D$4:$D$276=Analítico!AE$3),(Bens!$G$4:$G$276))</f>
        <v>0</v>
      </c>
      <c r="AF148" s="134">
        <f>SUMPRODUCT(-(Bens!$B$4:$B$276=Analítico!$B148),-(Bens!$D$4:$D$276=Analítico!AF$3),(Bens!$G$4:$G$276))</f>
        <v>0</v>
      </c>
      <c r="AG148" s="134">
        <f>SUMPRODUCT(-(Bens!$B$4:$B$276=Analítico!$B148),-(Bens!$D$4:$D$276=Analítico!AG$3),(Bens!$G$4:$G$276))</f>
        <v>15000</v>
      </c>
      <c r="AH148" s="134">
        <f>SUMPRODUCT(-(Bens!$B$4:$B$276=Analítico!$B148),-(Bens!$D$4:$D$276=Analítico!AH$3),(Bens!$G$4:$G$276))</f>
        <v>2800</v>
      </c>
      <c r="AI148" s="134">
        <f>SUMPRODUCT(-(Bens!$B$4:$B$276=Analítico!$B148),-(Bens!$D$4:$D$276=Analítico!AI$3),(Bens!$G$4:$G$276))</f>
        <v>0</v>
      </c>
      <c r="AJ148" s="134">
        <f>SUMPRODUCT(-(Bens!$B$4:$B$276=Analítico!$B148),-(Bens!$D$4:$D$276=Analítico!AJ$3),(Bens!$G$4:$G$276))</f>
        <v>2800</v>
      </c>
      <c r="AK148" s="134">
        <f>SUMPRODUCT(-(Bens!$B$4:$B$276=Analítico!$B148),-(Bens!$D$4:$D$276=Analítico!AK$3),(Bens!$G$4:$G$276))</f>
        <v>0</v>
      </c>
      <c r="AL148" s="134">
        <f>SUMPRODUCT(-(Bens!$B$4:$B$276=Analítico!$B148),-(Bens!$D$4:$D$276=Analítico!AL$3),(Bens!$G$4:$G$276))</f>
        <v>0</v>
      </c>
      <c r="AM148" s="134">
        <f>SUMPRODUCT(-(Bens!$B$4:$B$276=Analítico!$B148),-(Bens!$D$4:$D$276=Analítico!AM$3),(Bens!$G$4:$G$276))</f>
        <v>0</v>
      </c>
      <c r="AN148" s="134">
        <f>SUMPRODUCT(-(Bens!$B$4:$B$276=Analítico!$B148),-(Bens!$D$4:$D$276=Analítico!AN$3),(Bens!$G$4:$G$276))</f>
        <v>0</v>
      </c>
      <c r="AO148" s="134">
        <f>SUMPRODUCT(-(Bens!$B$4:$B$276=Analítico!$B148),-(Bens!$D$4:$D$276=Analítico!AO$3),(Bens!$G$4:$G$276))</f>
        <v>15000</v>
      </c>
      <c r="AP148" s="134">
        <f>SUMPRODUCT(-(Bens!$B$4:$B$276=Analítico!$B148),-(Bens!$D$4:$D$276=Analítico!AP$3),(Bens!$G$4:$G$276))</f>
        <v>0</v>
      </c>
      <c r="AQ148" s="134">
        <f>SUMPRODUCT(-(Bens!$B$4:$B$276=Analítico!$B148),-(Bens!$D$4:$D$276=Analítico!AQ$3),(Bens!$G$4:$G$276))</f>
        <v>0</v>
      </c>
      <c r="AR148" s="134">
        <f>SUMPRODUCT(-(Bens!$B$4:$B$276=Analítico!$B148),-(Bens!$D$4:$D$276=Analítico!AR$3),(Bens!$G$4:$G$276))</f>
        <v>0</v>
      </c>
      <c r="AS148" s="134">
        <f>SUMPRODUCT(-(Bens!$B$4:$B$276=Analítico!$B148),-(Bens!$D$4:$D$276=Analítico!AS$3),(Bens!$G$4:$G$276))</f>
        <v>0</v>
      </c>
      <c r="AT148" s="134">
        <f>SUMPRODUCT(-(Bens!$B$4:$B$276=Analítico!$B148),-(Bens!$D$4:$D$276=Analítico!AT$3),(Bens!$G$4:$G$276))</f>
        <v>2800</v>
      </c>
      <c r="AU148" s="134">
        <f>SUMPRODUCT(-(Bens!$B$4:$B$276=Analítico!$B148),-(Bens!$D$4:$D$276=Analítico!AU$3),(Bens!$G$4:$G$276))</f>
        <v>0</v>
      </c>
      <c r="AV148" s="134">
        <f>SUMPRODUCT(-(Bens!$B$4:$B$276=Analítico!$B148),-(Bens!$D$4:$D$276=Analítico!AV$3),(Bens!$G$4:$G$276))</f>
        <v>2800</v>
      </c>
      <c r="AW148" s="134">
        <f>SUMPRODUCT(-(Bens!$B$4:$B$276=Analítico!$B148),-(Bens!$D$4:$D$276=Analítico!AW$3),(Bens!$G$4:$G$276))</f>
        <v>0</v>
      </c>
      <c r="AX148" s="134">
        <f>SUMPRODUCT(-(Bens!$B$4:$B$276=Analítico!$B148),-(Bens!$D$4:$D$276=Analítico!AX$3),(Bens!$G$4:$G$276))</f>
        <v>0</v>
      </c>
      <c r="AY148" s="134">
        <f>SUMPRODUCT(-(Bens!$B$4:$B$276=Analítico!$B148),-(Bens!$D$4:$D$276=Analítico!AY$3),(Bens!$G$4:$G$276))</f>
        <v>0</v>
      </c>
      <c r="AZ148" s="134">
        <f>SUMPRODUCT(-(Bens!$B$4:$B$276=Analítico!$B148),-(Bens!$D$4:$D$276=Analítico!AZ$3),(Bens!$G$4:$G$276))</f>
        <v>0</v>
      </c>
      <c r="BA148" s="134">
        <f>SUMPRODUCT(-(Bens!$B$4:$B$276=Analítico!$B148),-(Bens!$D$4:$D$276=Analítico!BA$3),(Bens!$G$4:$G$276))</f>
        <v>0</v>
      </c>
      <c r="BB148" s="134">
        <f>SUMPRODUCT(-(Bens!$B$4:$B$276=Analítico!$B148),-(Bens!$D$4:$D$276=Analítico!BB$3),(Bens!$G$4:$G$276))</f>
        <v>0</v>
      </c>
      <c r="BC148" s="134">
        <f>SUMPRODUCT(-(Bens!$B$4:$B$276=Analítico!$B148),-(Bens!$D$4:$D$276=Analítico!BC$3),(Bens!$G$4:$G$276))</f>
        <v>0</v>
      </c>
      <c r="BD148" s="134">
        <f>SUMPRODUCT(-(Bens!$B$4:$B$276=Analítico!$B148),-(Bens!$D$4:$D$276=Analítico!BD$3),(Bens!$G$4:$G$276))</f>
        <v>0</v>
      </c>
      <c r="BE148" s="134">
        <f>SUMPRODUCT(-(Bens!$B$4:$B$276=Analítico!$B148),-(Bens!$D$4:$D$276=Analítico!BE$3),(Bens!$G$4:$G$276))</f>
        <v>0</v>
      </c>
      <c r="BF148" s="134">
        <f>SUMPRODUCT(-(Bens!$B$4:$B$276=Analítico!$B148),-(Bens!$D$4:$D$276=Analítico!BF$3),(Bens!$G$4:$G$276))</f>
        <v>0</v>
      </c>
      <c r="BG148" s="134">
        <f>SUMPRODUCT(-(Bens!$B$4:$B$276=Analítico!$B148),-(Bens!$D$4:$D$276=Analítico!BG$3),(Bens!$G$4:$G$276))</f>
        <v>0</v>
      </c>
      <c r="BH148" s="134">
        <f>SUMPRODUCT(-(Bens!$B$4:$B$276=Analítico!$B148),-(Bens!$D$4:$D$276=Analítico!BH$3),(Bens!$G$4:$G$276))</f>
        <v>0</v>
      </c>
      <c r="BI148" s="134">
        <f>SUMPRODUCT(-(Bens!$B$4:$B$276=Analítico!$B148),-(Bens!$D$4:$D$276=Analítico!BI$3),(Bens!$G$4:$G$276))</f>
        <v>0</v>
      </c>
      <c r="BJ148" s="134">
        <f>SUMPRODUCT(-(Bens!$B$4:$B$276=Analítico!$B148),-(Bens!$D$4:$D$276=Analítico!BJ$3),(Bens!$G$4:$G$276))</f>
        <v>0</v>
      </c>
      <c r="BK148" s="189">
        <f>SUM(C148:BJ148)</f>
        <v>390077</v>
      </c>
      <c r="BL148" s="136">
        <f t="shared" ca="1" si="34"/>
        <v>1.3430343734962217E-3</v>
      </c>
    </row>
    <row r="149" spans="1:64" s="160" customFormat="1" ht="23.25" customHeight="1" thickBot="1">
      <c r="A149" s="234"/>
      <c r="B149" s="222" t="s">
        <v>350</v>
      </c>
      <c r="C149" s="235">
        <f t="shared" ref="C149:AH149" si="35">SUBTOTAL(109,C135:C148)</f>
        <v>322724</v>
      </c>
      <c r="D149" s="235">
        <f t="shared" si="35"/>
        <v>297233.8</v>
      </c>
      <c r="E149" s="235">
        <f t="shared" si="35"/>
        <v>871978.4</v>
      </c>
      <c r="F149" s="235">
        <f t="shared" si="35"/>
        <v>51881.13</v>
      </c>
      <c r="G149" s="235">
        <f t="shared" si="35"/>
        <v>413255</v>
      </c>
      <c r="H149" s="235">
        <f t="shared" si="35"/>
        <v>21556.2</v>
      </c>
      <c r="I149" s="235">
        <f t="shared" si="35"/>
        <v>32500</v>
      </c>
      <c r="J149" s="235">
        <f t="shared" si="35"/>
        <v>32800</v>
      </c>
      <c r="K149" s="235">
        <f t="shared" si="35"/>
        <v>33500</v>
      </c>
      <c r="L149" s="235">
        <f t="shared" si="35"/>
        <v>42800</v>
      </c>
      <c r="M149" s="235">
        <f t="shared" si="35"/>
        <v>30000</v>
      </c>
      <c r="N149" s="235">
        <f t="shared" si="35"/>
        <v>42300</v>
      </c>
      <c r="O149" s="235">
        <f t="shared" si="35"/>
        <v>0</v>
      </c>
      <c r="P149" s="235">
        <f t="shared" si="35"/>
        <v>15000</v>
      </c>
      <c r="Q149" s="235">
        <f t="shared" si="35"/>
        <v>65450</v>
      </c>
      <c r="R149" s="235">
        <f t="shared" si="35"/>
        <v>75250</v>
      </c>
      <c r="S149" s="235">
        <f t="shared" si="35"/>
        <v>0</v>
      </c>
      <c r="T149" s="235">
        <f t="shared" si="35"/>
        <v>30859.559999999998</v>
      </c>
      <c r="U149" s="235">
        <f t="shared" si="35"/>
        <v>15000</v>
      </c>
      <c r="V149" s="235">
        <f t="shared" si="35"/>
        <v>2220</v>
      </c>
      <c r="W149" s="235">
        <f t="shared" si="35"/>
        <v>13500</v>
      </c>
      <c r="X149" s="235">
        <f t="shared" si="35"/>
        <v>2800</v>
      </c>
      <c r="Y149" s="235">
        <f t="shared" si="35"/>
        <v>2500</v>
      </c>
      <c r="Z149" s="235">
        <f t="shared" si="35"/>
        <v>13500</v>
      </c>
      <c r="AA149" s="235">
        <f t="shared" si="35"/>
        <v>0</v>
      </c>
      <c r="AB149" s="235">
        <f t="shared" si="35"/>
        <v>2500</v>
      </c>
      <c r="AC149" s="235">
        <f t="shared" si="35"/>
        <v>13500</v>
      </c>
      <c r="AD149" s="235">
        <f t="shared" si="35"/>
        <v>170720</v>
      </c>
      <c r="AE149" s="235">
        <f t="shared" si="35"/>
        <v>0</v>
      </c>
      <c r="AF149" s="235">
        <f t="shared" si="35"/>
        <v>41100</v>
      </c>
      <c r="AG149" s="235">
        <f t="shared" si="35"/>
        <v>15000</v>
      </c>
      <c r="AH149" s="235">
        <f t="shared" si="35"/>
        <v>5300</v>
      </c>
      <c r="AI149" s="235">
        <f t="shared" ref="AI149:BK149" si="36">SUBTOTAL(109,AI135:AI148)</f>
        <v>13500</v>
      </c>
      <c r="AJ149" s="235">
        <f t="shared" si="36"/>
        <v>2800</v>
      </c>
      <c r="AK149" s="235">
        <f t="shared" si="36"/>
        <v>0</v>
      </c>
      <c r="AL149" s="235">
        <f t="shared" si="36"/>
        <v>16000</v>
      </c>
      <c r="AM149" s="235">
        <f t="shared" si="36"/>
        <v>0</v>
      </c>
      <c r="AN149" s="235">
        <f t="shared" si="36"/>
        <v>0</v>
      </c>
      <c r="AO149" s="235">
        <f t="shared" si="36"/>
        <v>31000</v>
      </c>
      <c r="AP149" s="235">
        <f t="shared" si="36"/>
        <v>0</v>
      </c>
      <c r="AQ149" s="235">
        <f t="shared" si="36"/>
        <v>2200</v>
      </c>
      <c r="AR149" s="235">
        <f t="shared" si="36"/>
        <v>21741.989999999998</v>
      </c>
      <c r="AS149" s="235">
        <f t="shared" si="36"/>
        <v>0</v>
      </c>
      <c r="AT149" s="235">
        <f t="shared" si="36"/>
        <v>2800</v>
      </c>
      <c r="AU149" s="235">
        <f t="shared" si="36"/>
        <v>11899.279999999999</v>
      </c>
      <c r="AV149" s="235">
        <f t="shared" si="36"/>
        <v>2800</v>
      </c>
      <c r="AW149" s="235">
        <f t="shared" si="36"/>
        <v>0</v>
      </c>
      <c r="AX149" s="235">
        <f t="shared" si="36"/>
        <v>0</v>
      </c>
      <c r="AY149" s="235">
        <f t="shared" si="36"/>
        <v>0</v>
      </c>
      <c r="AZ149" s="235">
        <f t="shared" si="36"/>
        <v>0</v>
      </c>
      <c r="BA149" s="235">
        <f t="shared" si="36"/>
        <v>0</v>
      </c>
      <c r="BB149" s="235">
        <f t="shared" si="36"/>
        <v>0</v>
      </c>
      <c r="BC149" s="235">
        <f t="shared" si="36"/>
        <v>0</v>
      </c>
      <c r="BD149" s="235">
        <f t="shared" si="36"/>
        <v>0</v>
      </c>
      <c r="BE149" s="235">
        <f t="shared" si="36"/>
        <v>0</v>
      </c>
      <c r="BF149" s="235">
        <f t="shared" si="36"/>
        <v>0</v>
      </c>
      <c r="BG149" s="235">
        <f t="shared" si="36"/>
        <v>0</v>
      </c>
      <c r="BH149" s="235">
        <f t="shared" si="36"/>
        <v>0</v>
      </c>
      <c r="BI149" s="235">
        <f t="shared" si="36"/>
        <v>0</v>
      </c>
      <c r="BJ149" s="235">
        <f t="shared" si="36"/>
        <v>0</v>
      </c>
      <c r="BK149" s="235">
        <f t="shared" si="36"/>
        <v>2781469.36</v>
      </c>
      <c r="BL149" s="236">
        <f t="shared" ca="1" si="34"/>
        <v>9.5765937476614531E-3</v>
      </c>
    </row>
    <row r="150" spans="1:64" s="160" customFormat="1" ht="23.25" customHeight="1" thickBot="1">
      <c r="A150" s="225" t="s">
        <v>94</v>
      </c>
      <c r="B150" s="226" t="s">
        <v>95</v>
      </c>
      <c r="C150" s="237">
        <v>0</v>
      </c>
      <c r="D150" s="237">
        <v>0</v>
      </c>
      <c r="E150" s="237">
        <v>0</v>
      </c>
      <c r="F150" s="237">
        <v>0</v>
      </c>
      <c r="G150" s="237">
        <v>0</v>
      </c>
      <c r="H150" s="237">
        <v>0</v>
      </c>
      <c r="I150" s="237">
        <v>0</v>
      </c>
      <c r="J150" s="237">
        <v>0</v>
      </c>
      <c r="K150" s="237">
        <v>0</v>
      </c>
      <c r="L150" s="237">
        <v>0</v>
      </c>
      <c r="M150" s="237">
        <v>0</v>
      </c>
      <c r="N150" s="237">
        <v>0</v>
      </c>
      <c r="O150" s="237">
        <v>0</v>
      </c>
      <c r="P150" s="237">
        <v>0</v>
      </c>
      <c r="Q150" s="237">
        <v>0</v>
      </c>
      <c r="R150" s="237">
        <v>0</v>
      </c>
      <c r="S150" s="237">
        <v>0</v>
      </c>
      <c r="T150" s="237">
        <v>0</v>
      </c>
      <c r="U150" s="237">
        <v>0</v>
      </c>
      <c r="V150" s="237">
        <v>0</v>
      </c>
      <c r="W150" s="237">
        <v>0</v>
      </c>
      <c r="X150" s="237">
        <v>0</v>
      </c>
      <c r="Y150" s="237">
        <v>0</v>
      </c>
      <c r="Z150" s="237">
        <v>0</v>
      </c>
      <c r="AA150" s="237">
        <v>0</v>
      </c>
      <c r="AB150" s="237">
        <v>0</v>
      </c>
      <c r="AC150" s="237">
        <v>0</v>
      </c>
      <c r="AD150" s="237">
        <v>0</v>
      </c>
      <c r="AE150" s="237">
        <v>0</v>
      </c>
      <c r="AF150" s="237">
        <v>0</v>
      </c>
      <c r="AG150" s="237">
        <v>0</v>
      </c>
      <c r="AH150" s="237">
        <v>0</v>
      </c>
      <c r="AI150" s="237">
        <v>0</v>
      </c>
      <c r="AJ150" s="237">
        <v>0</v>
      </c>
      <c r="AK150" s="237">
        <v>0</v>
      </c>
      <c r="AL150" s="237">
        <v>0</v>
      </c>
      <c r="AM150" s="237">
        <v>0</v>
      </c>
      <c r="AN150" s="237">
        <v>0</v>
      </c>
      <c r="AO150" s="237">
        <v>0</v>
      </c>
      <c r="AP150" s="237">
        <v>0</v>
      </c>
      <c r="AQ150" s="237">
        <v>0</v>
      </c>
      <c r="AR150" s="237">
        <v>0</v>
      </c>
      <c r="AS150" s="237">
        <v>0</v>
      </c>
      <c r="AT150" s="237">
        <v>0</v>
      </c>
      <c r="AU150" s="237">
        <v>0</v>
      </c>
      <c r="AV150" s="237">
        <v>0</v>
      </c>
      <c r="AW150" s="237">
        <v>0</v>
      </c>
      <c r="AX150" s="237">
        <v>0</v>
      </c>
      <c r="AY150" s="237">
        <v>0</v>
      </c>
      <c r="AZ150" s="237">
        <v>0</v>
      </c>
      <c r="BA150" s="237">
        <v>0</v>
      </c>
      <c r="BB150" s="237">
        <v>0</v>
      </c>
      <c r="BC150" s="237">
        <v>0</v>
      </c>
      <c r="BD150" s="237">
        <v>0</v>
      </c>
      <c r="BE150" s="237">
        <v>0</v>
      </c>
      <c r="BF150" s="237">
        <v>0</v>
      </c>
      <c r="BG150" s="237">
        <v>0</v>
      </c>
      <c r="BH150" s="237">
        <v>0</v>
      </c>
      <c r="BI150" s="237">
        <v>0</v>
      </c>
      <c r="BJ150" s="237">
        <v>0</v>
      </c>
      <c r="BK150" s="223">
        <f>SUM(C150:BJ150)</f>
        <v>0</v>
      </c>
      <c r="BL150" s="224">
        <f t="shared" ca="1" si="34"/>
        <v>0</v>
      </c>
    </row>
    <row r="151" spans="1:64" s="160" customFormat="1" ht="23.25" customHeight="1" thickBot="1">
      <c r="A151" s="225" t="s">
        <v>96</v>
      </c>
      <c r="B151" s="226" t="s">
        <v>97</v>
      </c>
      <c r="C151" s="237"/>
      <c r="D151" s="237"/>
      <c r="E151" s="237"/>
      <c r="F151" s="237"/>
      <c r="G151" s="237"/>
      <c r="H151" s="237"/>
      <c r="I151" s="237"/>
      <c r="J151" s="237"/>
      <c r="K151" s="237"/>
      <c r="L151" s="237"/>
      <c r="M151" s="237"/>
      <c r="N151" s="237"/>
      <c r="O151" s="237"/>
      <c r="P151" s="237"/>
      <c r="Q151" s="237"/>
      <c r="R151" s="237"/>
      <c r="S151" s="237"/>
      <c r="T151" s="237"/>
      <c r="U151" s="237"/>
      <c r="V151" s="237"/>
      <c r="W151" s="237"/>
      <c r="X151" s="237"/>
      <c r="Y151" s="237"/>
      <c r="Z151" s="237"/>
      <c r="AA151" s="237"/>
      <c r="AB151" s="237"/>
      <c r="AC151" s="237"/>
      <c r="AD151" s="237"/>
      <c r="AE151" s="237"/>
      <c r="AF151" s="237"/>
      <c r="AG151" s="237"/>
      <c r="AH151" s="237"/>
      <c r="AI151" s="237"/>
      <c r="AJ151" s="237"/>
      <c r="AK151" s="237"/>
      <c r="AL151" s="237"/>
      <c r="AM151" s="237"/>
      <c r="AN151" s="237"/>
      <c r="AO151" s="237"/>
      <c r="AP151" s="237"/>
      <c r="AQ151" s="237"/>
      <c r="AR151" s="237"/>
      <c r="AS151" s="237"/>
      <c r="AT151" s="237"/>
      <c r="AU151" s="237"/>
      <c r="AV151" s="237"/>
      <c r="AW151" s="237"/>
      <c r="AX151" s="237"/>
      <c r="AY151" s="237"/>
      <c r="AZ151" s="237"/>
      <c r="BA151" s="237"/>
      <c r="BB151" s="237"/>
      <c r="BC151" s="237"/>
      <c r="BD151" s="237"/>
      <c r="BE151" s="237"/>
      <c r="BF151" s="237"/>
      <c r="BG151" s="237"/>
      <c r="BH151" s="237"/>
      <c r="BI151" s="237"/>
      <c r="BJ151" s="237"/>
      <c r="BK151" s="223">
        <f>Desmobilização!H24</f>
        <v>240000</v>
      </c>
      <c r="BL151" s="224">
        <f t="shared" ca="1" si="34"/>
        <v>8.2631954624110937E-4</v>
      </c>
    </row>
    <row r="152" spans="1:64" s="160" customFormat="1" ht="23.25" customHeight="1" thickBot="1">
      <c r="A152" s="390" t="s">
        <v>351</v>
      </c>
      <c r="B152" s="390"/>
      <c r="C152" s="238">
        <f t="shared" ref="C152:AH152" ca="1" si="37">SUBTOTAL(109,C20:C151)</f>
        <v>5419878.2386984108</v>
      </c>
      <c r="D152" s="238">
        <f t="shared" ca="1" si="37"/>
        <v>5180190.8186984099</v>
      </c>
      <c r="E152" s="238">
        <f t="shared" ca="1" si="37"/>
        <v>5964035.0583501337</v>
      </c>
      <c r="F152" s="238">
        <f t="shared" ca="1" si="37"/>
        <v>5463950.302824745</v>
      </c>
      <c r="G152" s="238">
        <f t="shared" ca="1" si="37"/>
        <v>6005408.8587536784</v>
      </c>
      <c r="H152" s="238">
        <f t="shared" ca="1" si="37"/>
        <v>5567647.7740970645</v>
      </c>
      <c r="I152" s="238">
        <f t="shared" ca="1" si="37"/>
        <v>5897464.1341117201</v>
      </c>
      <c r="J152" s="238">
        <f t="shared" ca="1" si="37"/>
        <v>5663014.1341117201</v>
      </c>
      <c r="K152" s="238">
        <f t="shared" ca="1" si="37"/>
        <v>5855912.3109411662</v>
      </c>
      <c r="L152" s="238">
        <f t="shared" ca="1" si="37"/>
        <v>6197777.2711119559</v>
      </c>
      <c r="M152" s="238">
        <f t="shared" ca="1" si="37"/>
        <v>5978189.5411119554</v>
      </c>
      <c r="N152" s="238">
        <f t="shared" ca="1" si="37"/>
        <v>6164268.3179414012</v>
      </c>
      <c r="O152" s="238">
        <f t="shared" ca="1" si="37"/>
        <v>6146864.7002443187</v>
      </c>
      <c r="P152" s="238">
        <f t="shared" ca="1" si="37"/>
        <v>6117022.9002443189</v>
      </c>
      <c r="Q152" s="238">
        <f t="shared" ca="1" si="37"/>
        <v>6198789.730244319</v>
      </c>
      <c r="R152" s="238">
        <f t="shared" ca="1" si="37"/>
        <v>6192293.730244319</v>
      </c>
      <c r="S152" s="238">
        <f t="shared" ca="1" si="37"/>
        <v>6337102.3249820629</v>
      </c>
      <c r="T152" s="238">
        <f t="shared" ca="1" si="37"/>
        <v>6367661.8849820625</v>
      </c>
      <c r="U152" s="238">
        <f t="shared" ca="1" si="37"/>
        <v>6338532.3249820629</v>
      </c>
      <c r="V152" s="238">
        <f t="shared" ca="1" si="37"/>
        <v>6319502.3249820629</v>
      </c>
      <c r="W152" s="238">
        <f t="shared" ca="1" si="37"/>
        <v>6330782.3249820629</v>
      </c>
      <c r="X152" s="238">
        <f t="shared" ca="1" si="37"/>
        <v>6320082.3249820629</v>
      </c>
      <c r="Y152" s="238">
        <f t="shared" ca="1" si="37"/>
        <v>6342172.3049820634</v>
      </c>
      <c r="Z152" s="238">
        <f t="shared" ca="1" si="37"/>
        <v>6333472.3049820634</v>
      </c>
      <c r="AA152" s="238">
        <f t="shared" ca="1" si="37"/>
        <v>6429723.9130128752</v>
      </c>
      <c r="AB152" s="238">
        <f t="shared" ca="1" si="37"/>
        <v>6413019.9130128752</v>
      </c>
      <c r="AC152" s="238">
        <f t="shared" ca="1" si="37"/>
        <v>6452392.2730128746</v>
      </c>
      <c r="AD152" s="238">
        <f t="shared" ca="1" si="37"/>
        <v>6595662.2730128746</v>
      </c>
      <c r="AE152" s="238">
        <f t="shared" ca="1" si="37"/>
        <v>6655552.3693976132</v>
      </c>
      <c r="AF152" s="238">
        <f t="shared" ca="1" si="37"/>
        <v>6696352.3693976132</v>
      </c>
      <c r="AG152" s="238">
        <f t="shared" ca="1" si="37"/>
        <v>6656982.3693976132</v>
      </c>
      <c r="AH152" s="238">
        <f t="shared" ca="1" si="37"/>
        <v>6641032.3693976132</v>
      </c>
      <c r="AI152" s="238">
        <f t="shared" ref="AI152:BK152" ca="1" si="38">SUBTOTAL(109,AI20:AI151)</f>
        <v>6649232.3693976132</v>
      </c>
      <c r="AJ152" s="238">
        <f t="shared" ca="1" si="38"/>
        <v>6638532.3693976132</v>
      </c>
      <c r="AK152" s="238">
        <f t="shared" ca="1" si="38"/>
        <v>6673190.2193976138</v>
      </c>
      <c r="AL152" s="238">
        <f t="shared" ca="1" si="38"/>
        <v>6663016.3793976139</v>
      </c>
      <c r="AM152" s="238">
        <f t="shared" ca="1" si="38"/>
        <v>5893673.4827505508</v>
      </c>
      <c r="AN152" s="238">
        <f t="shared" ca="1" si="38"/>
        <v>5851153.4827505499</v>
      </c>
      <c r="AO152" s="238">
        <f t="shared" ca="1" si="38"/>
        <v>5894977.4827505499</v>
      </c>
      <c r="AP152" s="238">
        <f t="shared" ca="1" si="38"/>
        <v>5855947.4827505499</v>
      </c>
      <c r="AQ152" s="238">
        <f t="shared" ca="1" si="38"/>
        <v>6116364.5534095727</v>
      </c>
      <c r="AR152" s="238">
        <f t="shared" ca="1" si="38"/>
        <v>6135606.5434095729</v>
      </c>
      <c r="AS152" s="238">
        <f t="shared" ca="1" si="38"/>
        <v>6106074.5534095727</v>
      </c>
      <c r="AT152" s="238">
        <f t="shared" ca="1" si="38"/>
        <v>6105974.5534095727</v>
      </c>
      <c r="AU152" s="238">
        <f t="shared" ca="1" si="38"/>
        <v>6115073.833409573</v>
      </c>
      <c r="AV152" s="238">
        <f t="shared" ca="1" si="38"/>
        <v>6126877.6034095734</v>
      </c>
      <c r="AW152" s="238">
        <f t="shared" ca="1" si="38"/>
        <v>6136110.6934095733</v>
      </c>
      <c r="AX152" s="238">
        <f t="shared" ca="1" si="38"/>
        <v>0</v>
      </c>
      <c r="AY152" s="238">
        <f t="shared" ca="1" si="38"/>
        <v>0</v>
      </c>
      <c r="AZ152" s="238">
        <f t="shared" ca="1" si="38"/>
        <v>0</v>
      </c>
      <c r="BA152" s="238">
        <f t="shared" ca="1" si="38"/>
        <v>0</v>
      </c>
      <c r="BB152" s="238">
        <f t="shared" ca="1" si="38"/>
        <v>0</v>
      </c>
      <c r="BC152" s="238">
        <f t="shared" ca="1" si="38"/>
        <v>0</v>
      </c>
      <c r="BD152" s="238">
        <f t="shared" ca="1" si="38"/>
        <v>0</v>
      </c>
      <c r="BE152" s="238">
        <f t="shared" ca="1" si="38"/>
        <v>0</v>
      </c>
      <c r="BF152" s="238">
        <f t="shared" ca="1" si="38"/>
        <v>0</v>
      </c>
      <c r="BG152" s="238">
        <f t="shared" ca="1" si="38"/>
        <v>0</v>
      </c>
      <c r="BH152" s="238">
        <f t="shared" ca="1" si="38"/>
        <v>0</v>
      </c>
      <c r="BI152" s="238">
        <f t="shared" ca="1" si="38"/>
        <v>0</v>
      </c>
      <c r="BJ152" s="238">
        <f t="shared" ca="1" si="38"/>
        <v>0</v>
      </c>
      <c r="BK152" s="238">
        <f t="shared" ca="1" si="38"/>
        <v>290444539.39368767</v>
      </c>
      <c r="BL152" s="239">
        <f t="shared" ca="1" si="34"/>
        <v>1</v>
      </c>
    </row>
    <row r="153" spans="1:64" s="160" customFormat="1">
      <c r="A153" s="158"/>
      <c r="B153" s="158"/>
      <c r="C153" s="158"/>
      <c r="D153" s="158"/>
      <c r="E153" s="158"/>
      <c r="F153" s="158"/>
      <c r="G153" s="158"/>
      <c r="H153" s="158"/>
      <c r="I153" s="158"/>
      <c r="J153" s="158"/>
      <c r="K153" s="158"/>
      <c r="L153" s="158"/>
      <c r="M153" s="158"/>
      <c r="N153" s="158"/>
      <c r="O153" s="158"/>
      <c r="P153" s="158"/>
      <c r="Q153" s="158"/>
      <c r="R153" s="158"/>
      <c r="S153" s="158"/>
      <c r="T153" s="158"/>
      <c r="U153" s="158"/>
      <c r="V153" s="158"/>
      <c r="W153" s="158"/>
      <c r="X153" s="158"/>
      <c r="Y153" s="158"/>
      <c r="Z153" s="158"/>
      <c r="AA153" s="158"/>
      <c r="AB153" s="158"/>
      <c r="AC153" s="158"/>
      <c r="AD153" s="158"/>
      <c r="AE153" s="158"/>
      <c r="AF153" s="158"/>
      <c r="AG153" s="158"/>
      <c r="AH153" s="158"/>
      <c r="AI153" s="158"/>
      <c r="AJ153" s="158"/>
      <c r="AK153" s="158"/>
      <c r="AL153" s="158"/>
      <c r="AM153" s="158"/>
      <c r="AN153" s="158"/>
      <c r="AO153" s="158"/>
      <c r="AP153" s="158"/>
      <c r="AQ153" s="158"/>
      <c r="AR153" s="158"/>
      <c r="AS153" s="158"/>
      <c r="AT153" s="158"/>
      <c r="AU153" s="158"/>
      <c r="AV153" s="158"/>
      <c r="AW153" s="158"/>
      <c r="AX153" s="158"/>
      <c r="AY153" s="158"/>
      <c r="AZ153" s="158"/>
      <c r="BA153" s="158"/>
      <c r="BB153" s="158"/>
      <c r="BC153" s="158"/>
      <c r="BD153" s="158"/>
      <c r="BE153" s="158"/>
      <c r="BF153" s="158"/>
      <c r="BG153" s="158"/>
      <c r="BH153" s="158"/>
      <c r="BI153" s="158"/>
      <c r="BJ153" s="158"/>
      <c r="BK153" s="158"/>
      <c r="BL153" s="159"/>
    </row>
    <row r="154" spans="1:64" s="160" customFormat="1">
      <c r="A154" s="158"/>
      <c r="B154" s="158"/>
      <c r="C154" s="158"/>
      <c r="BL154" s="240"/>
    </row>
    <row r="155" spans="1:64" s="160" customFormat="1">
      <c r="A155" s="158"/>
      <c r="B155" s="158"/>
      <c r="C155" s="158"/>
      <c r="BL155" s="240"/>
    </row>
    <row r="156" spans="1:64" s="160" customFormat="1">
      <c r="A156" s="158"/>
      <c r="B156" s="158"/>
      <c r="C156" s="158"/>
      <c r="BL156" s="240"/>
    </row>
    <row r="157" spans="1:64" s="160" customFormat="1">
      <c r="A157" s="158"/>
      <c r="B157" s="158"/>
      <c r="C157" s="158"/>
      <c r="BL157" s="240"/>
    </row>
    <row r="158" spans="1:64" s="160" customFormat="1">
      <c r="A158" s="158"/>
      <c r="B158" s="158"/>
      <c r="C158" s="158"/>
      <c r="BL158" s="240"/>
    </row>
    <row r="159" spans="1:64" s="160" customFormat="1">
      <c r="A159" s="158"/>
      <c r="B159" s="158"/>
      <c r="C159" s="158"/>
      <c r="BL159" s="240"/>
    </row>
  </sheetData>
  <sheetProtection algorithmName="SHA-512" hashValue="8c1y19RFVIDQZocMpGCDqlJww4jt0anpfvXSGj/up1W7kRxu0k6kq8B+CRAj6CLjwVvO1UZ10H4DIsp2I1CBOA==" saltValue="BxAHRQwu/RJOKosFWr2JoQ==" spinCount="100000" sheet="1" formatColumns="0" formatRows="0"/>
  <mergeCells count="6">
    <mergeCell ref="AA2:BJ2"/>
    <mergeCell ref="A152:B152"/>
    <mergeCell ref="C1:N1"/>
    <mergeCell ref="O1:Z1"/>
    <mergeCell ref="C2:N2"/>
    <mergeCell ref="O2:Z2"/>
  </mergeCells>
  <pageMargins left="0.196527777777778" right="0.196527777777778" top="0.59027777777777801" bottom="0.59027777777777801" header="0.51180555555555496" footer="0"/>
  <pageSetup paperSize="9" scale="63" firstPageNumber="0" orientation="landscape" horizontalDpi="300" verticalDpi="300" r:id="rId1"/>
  <headerFooter>
    <oddFooter>&amp;CPágina &amp;P de &amp;N</oddFooter>
  </headerFooter>
  <colBreaks count="4" manualBreakCount="4">
    <brk id="14" max="1048575" man="1"/>
    <brk id="26" max="1048575" man="1"/>
    <brk id="38" max="1048575" man="1"/>
    <brk id="50" max="104857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AMJ531"/>
  <sheetViews>
    <sheetView zoomScaleNormal="100" zoomScalePageLayoutView="80" workbookViewId="0">
      <pane xSplit="5" ySplit="5" topLeftCell="N314" activePane="bottomRight" state="frozen"/>
      <selection pane="topRight" activeCell="F1" sqref="F1"/>
      <selection pane="bottomLeft" activeCell="A6" sqref="A6"/>
      <selection pane="bottomRight" activeCell="W320" sqref="W320"/>
    </sheetView>
  </sheetViews>
  <sheetFormatPr defaultColWidth="17" defaultRowHeight="12.5"/>
  <cols>
    <col min="1" max="1" width="4.453125" style="158" customWidth="1"/>
    <col min="2" max="2" width="30" style="158" customWidth="1"/>
    <col min="3" max="3" width="6" style="158" customWidth="1"/>
    <col min="4" max="4" width="10" style="158" customWidth="1"/>
    <col min="5" max="5" width="13" style="158" customWidth="1"/>
    <col min="6" max="12" width="10.453125" style="158" customWidth="1"/>
    <col min="13" max="19" width="10.81640625" style="158" customWidth="1"/>
    <col min="20" max="20" width="10.453125" style="158" customWidth="1"/>
    <col min="21" max="21" width="11.26953125" style="158" customWidth="1"/>
    <col min="22" max="22" width="10" style="241" customWidth="1"/>
    <col min="23" max="23" width="11.81640625" style="158" customWidth="1"/>
    <col min="24" max="24" width="10" style="241" customWidth="1"/>
    <col min="25" max="25" width="10" style="158" customWidth="1"/>
    <col min="26" max="26" width="10" style="241" customWidth="1"/>
    <col min="27" max="28" width="10" style="158" customWidth="1"/>
    <col min="29" max="30" width="11.54296875" style="158" customWidth="1"/>
    <col min="31" max="1024" width="17" style="158"/>
  </cols>
  <sheetData>
    <row r="1" spans="1:30" s="160" customFormat="1" ht="31.5" customHeight="1">
      <c r="A1" s="383" t="str">
        <f>Capa!A1</f>
        <v>Memória de Cálculo
Contrato de Gestão nº 10/2023 celebrado entre a Secretaria de Estado de Justiça e Segurança Pública - SEJUSP e  o Pólo de Evolução de Medidas Socioeducativas</v>
      </c>
      <c r="B1" s="383"/>
      <c r="C1" s="383"/>
      <c r="D1" s="383"/>
      <c r="E1" s="383"/>
      <c r="F1" s="383"/>
      <c r="G1" s="383"/>
      <c r="H1" s="383"/>
      <c r="I1" s="383"/>
      <c r="J1" s="383"/>
      <c r="K1" s="383"/>
      <c r="L1" s="383"/>
      <c r="M1" s="383"/>
      <c r="N1" s="383"/>
      <c r="O1" s="383"/>
      <c r="P1" s="383"/>
      <c r="Q1" s="383"/>
      <c r="R1" s="383"/>
      <c r="S1" s="383"/>
      <c r="T1" s="383"/>
      <c r="U1" s="383"/>
      <c r="V1" s="383"/>
      <c r="W1" s="383"/>
      <c r="X1" s="383"/>
      <c r="Y1" s="383"/>
      <c r="Z1" s="383"/>
      <c r="AA1" s="383"/>
      <c r="AB1" s="383"/>
      <c r="AC1" s="383"/>
      <c r="AD1" s="383"/>
    </row>
    <row r="2" spans="1:30" s="160" customFormat="1" ht="18" customHeight="1">
      <c r="A2" s="393" t="s">
        <v>352</v>
      </c>
      <c r="B2" s="393"/>
      <c r="C2" s="393"/>
      <c r="D2" s="393"/>
      <c r="E2" s="393"/>
      <c r="F2" s="393"/>
      <c r="G2" s="393"/>
      <c r="H2" s="393"/>
      <c r="I2" s="393"/>
      <c r="J2" s="393"/>
      <c r="K2" s="393"/>
      <c r="L2" s="393"/>
      <c r="M2" s="393"/>
      <c r="N2" s="393"/>
      <c r="O2" s="393"/>
      <c r="P2" s="393"/>
      <c r="Q2" s="393"/>
      <c r="R2" s="393"/>
      <c r="S2" s="393"/>
      <c r="T2" s="393"/>
      <c r="U2" s="393"/>
      <c r="V2" s="393"/>
      <c r="W2" s="393"/>
      <c r="X2" s="393"/>
      <c r="Y2" s="393"/>
      <c r="Z2" s="393"/>
      <c r="AA2" s="393"/>
      <c r="AB2" s="393"/>
      <c r="AC2" s="393"/>
      <c r="AD2" s="393"/>
    </row>
    <row r="3" spans="1:30" s="160" customFormat="1" ht="17.25" customHeight="1">
      <c r="A3" s="384" t="s">
        <v>353</v>
      </c>
      <c r="B3" s="384"/>
      <c r="C3" s="384"/>
      <c r="D3" s="384"/>
      <c r="E3" s="384"/>
      <c r="F3" s="384"/>
      <c r="G3" s="384"/>
      <c r="H3" s="384"/>
      <c r="I3" s="384"/>
      <c r="J3" s="384"/>
      <c r="K3" s="384"/>
      <c r="L3" s="384"/>
      <c r="M3" s="384"/>
      <c r="N3" s="384"/>
      <c r="O3" s="384"/>
      <c r="P3" s="384"/>
      <c r="Q3" s="384"/>
      <c r="R3" s="384"/>
      <c r="S3" s="384"/>
      <c r="T3" s="384"/>
      <c r="U3" s="384"/>
      <c r="V3" s="384"/>
      <c r="W3" s="384"/>
      <c r="X3" s="384"/>
      <c r="Y3" s="384"/>
      <c r="Z3" s="384"/>
      <c r="AA3" s="384"/>
      <c r="AB3" s="384"/>
      <c r="AC3" s="384"/>
      <c r="AD3" s="384"/>
    </row>
    <row r="4" spans="1:30" s="119" customFormat="1" ht="30" customHeight="1">
      <c r="A4" s="243"/>
      <c r="B4" s="243"/>
      <c r="C4" s="243"/>
      <c r="D4" s="243"/>
      <c r="E4" s="244"/>
      <c r="F4" s="394" t="s">
        <v>86</v>
      </c>
      <c r="G4" s="394"/>
      <c r="H4" s="394"/>
      <c r="I4" s="394"/>
      <c r="J4" s="394"/>
      <c r="K4" s="394"/>
      <c r="L4" s="394"/>
      <c r="M4" s="394"/>
      <c r="N4" s="394"/>
      <c r="O4" s="394"/>
      <c r="P4" s="394"/>
      <c r="Q4" s="394"/>
      <c r="R4" s="394"/>
      <c r="S4" s="394"/>
      <c r="T4" s="394"/>
      <c r="U4" s="394"/>
      <c r="V4" s="391" t="s">
        <v>88</v>
      </c>
      <c r="W4" s="391"/>
      <c r="X4" s="391"/>
      <c r="Y4" s="391"/>
      <c r="Z4" s="391"/>
      <c r="AA4" s="391"/>
      <c r="AB4" s="391"/>
      <c r="AC4" s="391"/>
      <c r="AD4" s="392" t="s">
        <v>354</v>
      </c>
    </row>
    <row r="5" spans="1:30" s="119" customFormat="1" ht="38.25" customHeight="1">
      <c r="A5" s="245" t="s">
        <v>31</v>
      </c>
      <c r="B5" s="245" t="s">
        <v>355</v>
      </c>
      <c r="C5" s="245" t="s">
        <v>356</v>
      </c>
      <c r="D5" s="245" t="s">
        <v>357</v>
      </c>
      <c r="E5" s="246" t="s">
        <v>82</v>
      </c>
      <c r="F5" s="247" t="s">
        <v>154</v>
      </c>
      <c r="G5" s="245" t="s">
        <v>156</v>
      </c>
      <c r="H5" s="245" t="s">
        <v>158</v>
      </c>
      <c r="I5" s="245" t="s">
        <v>160</v>
      </c>
      <c r="J5" s="245" t="s">
        <v>162</v>
      </c>
      <c r="K5" s="245" t="s">
        <v>164</v>
      </c>
      <c r="L5" s="245" t="s">
        <v>166</v>
      </c>
      <c r="M5" s="245" t="s">
        <v>168</v>
      </c>
      <c r="N5" s="247" t="s">
        <v>134</v>
      </c>
      <c r="O5" s="248" t="s">
        <v>136</v>
      </c>
      <c r="P5" s="248" t="s">
        <v>138</v>
      </c>
      <c r="Q5" s="248" t="s">
        <v>140</v>
      </c>
      <c r="R5" s="245" t="s">
        <v>142</v>
      </c>
      <c r="S5" s="249" t="s">
        <v>358</v>
      </c>
      <c r="T5" s="245" t="s">
        <v>176</v>
      </c>
      <c r="U5" s="246" t="s">
        <v>60</v>
      </c>
      <c r="V5" s="248" t="s">
        <v>179</v>
      </c>
      <c r="W5" s="248" t="s">
        <v>181</v>
      </c>
      <c r="X5" s="248" t="s">
        <v>183</v>
      </c>
      <c r="Y5" s="248" t="s">
        <v>185</v>
      </c>
      <c r="Z5" s="248" t="s">
        <v>187</v>
      </c>
      <c r="AA5" s="248" t="s">
        <v>191</v>
      </c>
      <c r="AB5" s="248" t="s">
        <v>195</v>
      </c>
      <c r="AC5" s="245" t="s">
        <v>60</v>
      </c>
      <c r="AD5" s="392"/>
    </row>
    <row r="6" spans="1:30" s="160" customFormat="1">
      <c r="A6" s="250">
        <v>1</v>
      </c>
      <c r="B6" s="251" t="s">
        <v>460</v>
      </c>
      <c r="C6" s="252">
        <v>1</v>
      </c>
      <c r="D6" s="253">
        <v>6879.6</v>
      </c>
      <c r="E6" s="254">
        <f t="shared" ref="E6:E69" si="0">C6*D6</f>
        <v>6879.6</v>
      </c>
      <c r="F6" s="255">
        <f>(E6+J6+L6+K6+M6+S6)*27.5%</f>
        <v>2417.4150000000004</v>
      </c>
      <c r="G6" s="256">
        <f>(E6+J6+L6+K6+M6+S6)*1%</f>
        <v>87.906000000000006</v>
      </c>
      <c r="H6" s="256">
        <f>(E6+J6+L6+K6+M6+S6)*8%</f>
        <v>703.24800000000005</v>
      </c>
      <c r="I6" s="256">
        <f>H6*40%</f>
        <v>281.29920000000004</v>
      </c>
      <c r="J6" s="256">
        <f>(E6+N6+O6+R6+S6+T6)/12</f>
        <v>573.30000000000007</v>
      </c>
      <c r="K6" s="256">
        <f>(E6+N6+O6+R6+S6+T6)/12</f>
        <v>573.30000000000007</v>
      </c>
      <c r="L6" s="256">
        <f>(E6+R6)/3/12</f>
        <v>191.10000000000002</v>
      </c>
      <c r="M6" s="256">
        <f>(E6+S6)/12</f>
        <v>573.30000000000007</v>
      </c>
      <c r="N6" s="255">
        <v>0</v>
      </c>
      <c r="O6" s="256">
        <v>0</v>
      </c>
      <c r="P6" s="256">
        <v>0</v>
      </c>
      <c r="Q6" s="256">
        <v>0</v>
      </c>
      <c r="R6" s="256">
        <v>0</v>
      </c>
      <c r="S6" s="257">
        <v>0</v>
      </c>
      <c r="T6" s="256">
        <v>0</v>
      </c>
      <c r="U6" s="258">
        <f t="shared" ref="U6:U69" si="1">SUM(F6:T6)</f>
        <v>5400.8682000000008</v>
      </c>
      <c r="V6" s="256">
        <v>0</v>
      </c>
      <c r="W6" s="256">
        <v>529.20000000000005</v>
      </c>
      <c r="X6" s="256">
        <f>C6*29</f>
        <v>29</v>
      </c>
      <c r="Y6" s="256">
        <f>C6*10.12</f>
        <v>10.119999999999999</v>
      </c>
      <c r="Z6" s="256">
        <f>C6*17.5</f>
        <v>17.5</v>
      </c>
      <c r="AA6" s="256">
        <f>C6*24.95</f>
        <v>24.95</v>
      </c>
      <c r="AB6" s="256">
        <f>C6*(211.68+19)</f>
        <v>230.68</v>
      </c>
      <c r="AC6" s="189">
        <f t="shared" ref="AC6:AC69" si="2">SUM(V6:AB6)</f>
        <v>841.45</v>
      </c>
      <c r="AD6" s="259">
        <f t="shared" ref="AD6:AD69" si="3">E6+U6+AC6</f>
        <v>13121.918200000002</v>
      </c>
    </row>
    <row r="7" spans="1:30" s="160" customFormat="1">
      <c r="A7" s="250">
        <v>2</v>
      </c>
      <c r="B7" s="251" t="s">
        <v>422</v>
      </c>
      <c r="C7" s="252">
        <v>1</v>
      </c>
      <c r="D7" s="253">
        <v>3993.98</v>
      </c>
      <c r="E7" s="254">
        <f t="shared" si="0"/>
        <v>3993.98</v>
      </c>
      <c r="F7" s="255">
        <f t="shared" ref="F7:F70" si="4">(E7+J7+L7+K7+M7+S7)*27.5%</f>
        <v>1467.5102902777778</v>
      </c>
      <c r="G7" s="256">
        <f t="shared" ref="G7:G70" si="5">(E7+J7+L7+K7+M7+S7)*1%</f>
        <v>53.364010555555552</v>
      </c>
      <c r="H7" s="256">
        <f t="shared" ref="H7:H70" si="6">(E7+J7+L7+K7+M7+S7)*8%</f>
        <v>426.91208444444442</v>
      </c>
      <c r="I7" s="256">
        <f>H7*40%</f>
        <v>170.76483377777777</v>
      </c>
      <c r="J7" s="256">
        <f>(E7+N7+O7+R7+S7+T7)/12</f>
        <v>432.68116666666668</v>
      </c>
      <c r="K7" s="256">
        <f t="shared" ref="K7:K70" si="7">(E7+N7+O7+R7+S7+T7)/12</f>
        <v>432.68116666666668</v>
      </c>
      <c r="L7" s="256">
        <f t="shared" ref="L7:L70" si="8">(E7+R7)/3/12</f>
        <v>144.22705555555555</v>
      </c>
      <c r="M7" s="256">
        <f t="shared" ref="M7:M70" si="9">(E7+S7)/12</f>
        <v>332.83166666666665</v>
      </c>
      <c r="N7" s="255">
        <v>0</v>
      </c>
      <c r="O7" s="256">
        <v>0</v>
      </c>
      <c r="P7" s="256">
        <v>0</v>
      </c>
      <c r="Q7" s="256">
        <v>0</v>
      </c>
      <c r="R7" s="256">
        <f>E7*30%</f>
        <v>1198.194</v>
      </c>
      <c r="S7" s="257">
        <v>0</v>
      </c>
      <c r="T7" s="256">
        <v>0</v>
      </c>
      <c r="U7" s="258">
        <f t="shared" si="1"/>
        <v>4659.1662746111106</v>
      </c>
      <c r="V7" s="256">
        <v>0</v>
      </c>
      <c r="W7" s="256">
        <v>529.20000000000005</v>
      </c>
      <c r="X7" s="256">
        <f t="shared" ref="X7:X16" si="10">C7*29</f>
        <v>29</v>
      </c>
      <c r="Y7" s="256">
        <f>C7*10.12</f>
        <v>10.119999999999999</v>
      </c>
      <c r="Z7" s="256">
        <f t="shared" ref="Z7:Z70" si="11">C7*17.5</f>
        <v>17.5</v>
      </c>
      <c r="AA7" s="256">
        <f>C7*24.95</f>
        <v>24.95</v>
      </c>
      <c r="AB7" s="256">
        <f t="shared" ref="AB7:AB70" si="12">C7*(211.68+19)</f>
        <v>230.68</v>
      </c>
      <c r="AC7" s="189">
        <f t="shared" si="2"/>
        <v>841.45</v>
      </c>
      <c r="AD7" s="259">
        <f t="shared" si="3"/>
        <v>9494.5962746111109</v>
      </c>
    </row>
    <row r="8" spans="1:30" s="160" customFormat="1">
      <c r="A8" s="250">
        <v>3</v>
      </c>
      <c r="B8" s="251" t="s">
        <v>423</v>
      </c>
      <c r="C8" s="252">
        <v>1</v>
      </c>
      <c r="D8" s="253">
        <v>2751.84</v>
      </c>
      <c r="E8" s="254">
        <f t="shared" si="0"/>
        <v>2751.84</v>
      </c>
      <c r="F8" s="255">
        <f t="shared" si="4"/>
        <v>966.96600000000024</v>
      </c>
      <c r="G8" s="256">
        <f t="shared" si="5"/>
        <v>35.162400000000005</v>
      </c>
      <c r="H8" s="256">
        <f t="shared" si="6"/>
        <v>281.29920000000004</v>
      </c>
      <c r="I8" s="256">
        <f t="shared" ref="I8:I71" si="13">H8*40%</f>
        <v>112.51968000000002</v>
      </c>
      <c r="J8" s="256">
        <f t="shared" ref="J8:J71" si="14">(E8+N8+O8+R8+S8+T8)/12</f>
        <v>229.32000000000002</v>
      </c>
      <c r="K8" s="256">
        <f t="shared" si="7"/>
        <v>229.32000000000002</v>
      </c>
      <c r="L8" s="256">
        <f t="shared" si="8"/>
        <v>76.440000000000012</v>
      </c>
      <c r="M8" s="256">
        <f t="shared" si="9"/>
        <v>229.32000000000002</v>
      </c>
      <c r="N8" s="255">
        <v>0</v>
      </c>
      <c r="O8" s="256">
        <v>0</v>
      </c>
      <c r="P8" s="256">
        <f>E8/150*1.75</f>
        <v>32.104800000000004</v>
      </c>
      <c r="Q8" s="256">
        <f>P8/25*5</f>
        <v>6.4209600000000009</v>
      </c>
      <c r="R8" s="256">
        <v>0</v>
      </c>
      <c r="S8" s="257">
        <v>0</v>
      </c>
      <c r="T8" s="256">
        <v>0</v>
      </c>
      <c r="U8" s="258">
        <f t="shared" si="1"/>
        <v>2198.8730400000004</v>
      </c>
      <c r="V8" s="256">
        <f>C8*93.06</f>
        <v>93.06</v>
      </c>
      <c r="W8" s="256">
        <v>529.20000000000005</v>
      </c>
      <c r="X8" s="256">
        <f t="shared" si="10"/>
        <v>29</v>
      </c>
      <c r="Y8" s="256">
        <f t="shared" ref="Y8:Y71" si="15">C8*10.12</f>
        <v>10.119999999999999</v>
      </c>
      <c r="Z8" s="256">
        <f t="shared" si="11"/>
        <v>17.5</v>
      </c>
      <c r="AA8" s="256">
        <f t="shared" ref="AA8:AA71" si="16">C8*24.95</f>
        <v>24.95</v>
      </c>
      <c r="AB8" s="256">
        <f t="shared" si="12"/>
        <v>230.68</v>
      </c>
      <c r="AC8" s="189">
        <f t="shared" si="2"/>
        <v>934.51</v>
      </c>
      <c r="AD8" s="259">
        <f t="shared" si="3"/>
        <v>5885.2230400000008</v>
      </c>
    </row>
    <row r="9" spans="1:30" s="160" customFormat="1">
      <c r="A9" s="250">
        <v>4</v>
      </c>
      <c r="B9" s="251" t="s">
        <v>424</v>
      </c>
      <c r="C9" s="252">
        <v>1</v>
      </c>
      <c r="D9" s="253">
        <v>2751.84</v>
      </c>
      <c r="E9" s="254">
        <f t="shared" si="0"/>
        <v>2751.84</v>
      </c>
      <c r="F9" s="255">
        <f t="shared" si="4"/>
        <v>966.96600000000024</v>
      </c>
      <c r="G9" s="256">
        <f t="shared" si="5"/>
        <v>35.162400000000005</v>
      </c>
      <c r="H9" s="256">
        <f t="shared" si="6"/>
        <v>281.29920000000004</v>
      </c>
      <c r="I9" s="256">
        <f t="shared" si="13"/>
        <v>112.51968000000002</v>
      </c>
      <c r="J9" s="256">
        <f t="shared" si="14"/>
        <v>229.32000000000002</v>
      </c>
      <c r="K9" s="256">
        <f t="shared" si="7"/>
        <v>229.32000000000002</v>
      </c>
      <c r="L9" s="256">
        <f t="shared" si="8"/>
        <v>76.440000000000012</v>
      </c>
      <c r="M9" s="256">
        <f t="shared" si="9"/>
        <v>229.32000000000002</v>
      </c>
      <c r="N9" s="255">
        <v>0</v>
      </c>
      <c r="O9" s="256">
        <v>0</v>
      </c>
      <c r="P9" s="256">
        <f t="shared" ref="P9:P16" si="17">E9/150*1.75</f>
        <v>32.104800000000004</v>
      </c>
      <c r="Q9" s="256">
        <f t="shared" ref="Q9:Q16" si="18">P9/25*5</f>
        <v>6.4209600000000009</v>
      </c>
      <c r="R9" s="256">
        <v>0</v>
      </c>
      <c r="S9" s="257">
        <v>0</v>
      </c>
      <c r="T9" s="256">
        <v>0</v>
      </c>
      <c r="U9" s="258">
        <f t="shared" si="1"/>
        <v>2198.8730400000004</v>
      </c>
      <c r="V9" s="256">
        <f t="shared" ref="V9:V16" si="19">C9*93.06</f>
        <v>93.06</v>
      </c>
      <c r="W9" s="256">
        <v>529.20000000000005</v>
      </c>
      <c r="X9" s="256">
        <f t="shared" si="10"/>
        <v>29</v>
      </c>
      <c r="Y9" s="256">
        <f t="shared" si="15"/>
        <v>10.119999999999999</v>
      </c>
      <c r="Z9" s="256">
        <f t="shared" si="11"/>
        <v>17.5</v>
      </c>
      <c r="AA9" s="256">
        <f t="shared" si="16"/>
        <v>24.95</v>
      </c>
      <c r="AB9" s="256">
        <f t="shared" si="12"/>
        <v>230.68</v>
      </c>
      <c r="AC9" s="189">
        <f t="shared" si="2"/>
        <v>934.51</v>
      </c>
      <c r="AD9" s="259">
        <f t="shared" si="3"/>
        <v>5885.2230400000008</v>
      </c>
    </row>
    <row r="10" spans="1:30" s="160" customFormat="1">
      <c r="A10" s="250">
        <v>5</v>
      </c>
      <c r="B10" s="251" t="s">
        <v>425</v>
      </c>
      <c r="C10" s="252">
        <v>1</v>
      </c>
      <c r="D10" s="253">
        <v>2751.84</v>
      </c>
      <c r="E10" s="254">
        <f t="shared" si="0"/>
        <v>2751.84</v>
      </c>
      <c r="F10" s="255">
        <f t="shared" si="4"/>
        <v>966.96600000000024</v>
      </c>
      <c r="G10" s="256">
        <f t="shared" si="5"/>
        <v>35.162400000000005</v>
      </c>
      <c r="H10" s="256">
        <f t="shared" si="6"/>
        <v>281.29920000000004</v>
      </c>
      <c r="I10" s="256">
        <f t="shared" si="13"/>
        <v>112.51968000000002</v>
      </c>
      <c r="J10" s="256">
        <f t="shared" si="14"/>
        <v>229.32000000000002</v>
      </c>
      <c r="K10" s="256">
        <f t="shared" si="7"/>
        <v>229.32000000000002</v>
      </c>
      <c r="L10" s="256">
        <f t="shared" si="8"/>
        <v>76.440000000000012</v>
      </c>
      <c r="M10" s="256">
        <f t="shared" si="9"/>
        <v>229.32000000000002</v>
      </c>
      <c r="N10" s="255">
        <v>0</v>
      </c>
      <c r="O10" s="256">
        <v>0</v>
      </c>
      <c r="P10" s="256">
        <f t="shared" si="17"/>
        <v>32.104800000000004</v>
      </c>
      <c r="Q10" s="256">
        <f t="shared" si="18"/>
        <v>6.4209600000000009</v>
      </c>
      <c r="R10" s="256">
        <v>0</v>
      </c>
      <c r="S10" s="257">
        <v>0</v>
      </c>
      <c r="T10" s="256">
        <v>0</v>
      </c>
      <c r="U10" s="258">
        <f t="shared" si="1"/>
        <v>2198.8730400000004</v>
      </c>
      <c r="V10" s="256">
        <f t="shared" si="19"/>
        <v>93.06</v>
      </c>
      <c r="W10" s="256">
        <v>529.20000000000005</v>
      </c>
      <c r="X10" s="256">
        <f t="shared" si="10"/>
        <v>29</v>
      </c>
      <c r="Y10" s="256">
        <f t="shared" si="15"/>
        <v>10.119999999999999</v>
      </c>
      <c r="Z10" s="256">
        <f t="shared" si="11"/>
        <v>17.5</v>
      </c>
      <c r="AA10" s="256">
        <f t="shared" si="16"/>
        <v>24.95</v>
      </c>
      <c r="AB10" s="256">
        <f t="shared" si="12"/>
        <v>230.68</v>
      </c>
      <c r="AC10" s="189">
        <f t="shared" si="2"/>
        <v>934.51</v>
      </c>
      <c r="AD10" s="259">
        <f t="shared" si="3"/>
        <v>5885.2230400000008</v>
      </c>
    </row>
    <row r="11" spans="1:30" s="160" customFormat="1">
      <c r="A11" s="250">
        <v>6</v>
      </c>
      <c r="B11" s="251" t="s">
        <v>426</v>
      </c>
      <c r="C11" s="252">
        <v>1</v>
      </c>
      <c r="D11" s="253">
        <v>2751.84</v>
      </c>
      <c r="E11" s="254">
        <f t="shared" si="0"/>
        <v>2751.84</v>
      </c>
      <c r="F11" s="255">
        <f t="shared" si="4"/>
        <v>966.96600000000024</v>
      </c>
      <c r="G11" s="256">
        <f t="shared" si="5"/>
        <v>35.162400000000005</v>
      </c>
      <c r="H11" s="256">
        <f t="shared" si="6"/>
        <v>281.29920000000004</v>
      </c>
      <c r="I11" s="256">
        <f t="shared" si="13"/>
        <v>112.51968000000002</v>
      </c>
      <c r="J11" s="256">
        <f t="shared" si="14"/>
        <v>229.32000000000002</v>
      </c>
      <c r="K11" s="256">
        <f t="shared" si="7"/>
        <v>229.32000000000002</v>
      </c>
      <c r="L11" s="256">
        <f t="shared" si="8"/>
        <v>76.440000000000012</v>
      </c>
      <c r="M11" s="256">
        <f t="shared" si="9"/>
        <v>229.32000000000002</v>
      </c>
      <c r="N11" s="255">
        <v>0</v>
      </c>
      <c r="O11" s="256">
        <v>0</v>
      </c>
      <c r="P11" s="256">
        <f t="shared" si="17"/>
        <v>32.104800000000004</v>
      </c>
      <c r="Q11" s="256">
        <f t="shared" si="18"/>
        <v>6.4209600000000009</v>
      </c>
      <c r="R11" s="256">
        <v>0</v>
      </c>
      <c r="S11" s="257">
        <v>0</v>
      </c>
      <c r="T11" s="256">
        <v>0</v>
      </c>
      <c r="U11" s="258">
        <f t="shared" si="1"/>
        <v>2198.8730400000004</v>
      </c>
      <c r="V11" s="256">
        <f t="shared" si="19"/>
        <v>93.06</v>
      </c>
      <c r="W11" s="256">
        <v>529.20000000000005</v>
      </c>
      <c r="X11" s="256">
        <f t="shared" si="10"/>
        <v>29</v>
      </c>
      <c r="Y11" s="256">
        <f t="shared" si="15"/>
        <v>10.119999999999999</v>
      </c>
      <c r="Z11" s="256">
        <f t="shared" si="11"/>
        <v>17.5</v>
      </c>
      <c r="AA11" s="256">
        <f t="shared" si="16"/>
        <v>24.95</v>
      </c>
      <c r="AB11" s="256">
        <f t="shared" si="12"/>
        <v>230.68</v>
      </c>
      <c r="AC11" s="189">
        <f t="shared" si="2"/>
        <v>934.51</v>
      </c>
      <c r="AD11" s="259">
        <f t="shared" si="3"/>
        <v>5885.2230400000008</v>
      </c>
    </row>
    <row r="12" spans="1:30" s="160" customFormat="1">
      <c r="A12" s="250">
        <v>7</v>
      </c>
      <c r="B12" s="251" t="s">
        <v>427</v>
      </c>
      <c r="C12" s="252">
        <v>1</v>
      </c>
      <c r="D12" s="253">
        <v>2751.84</v>
      </c>
      <c r="E12" s="254">
        <f t="shared" si="0"/>
        <v>2751.84</v>
      </c>
      <c r="F12" s="255">
        <f t="shared" si="4"/>
        <v>966.96600000000024</v>
      </c>
      <c r="G12" s="256">
        <f t="shared" si="5"/>
        <v>35.162400000000005</v>
      </c>
      <c r="H12" s="256">
        <f t="shared" si="6"/>
        <v>281.29920000000004</v>
      </c>
      <c r="I12" s="256">
        <f t="shared" si="13"/>
        <v>112.51968000000002</v>
      </c>
      <c r="J12" s="256">
        <f t="shared" si="14"/>
        <v>229.32000000000002</v>
      </c>
      <c r="K12" s="256">
        <f t="shared" si="7"/>
        <v>229.32000000000002</v>
      </c>
      <c r="L12" s="256">
        <f t="shared" si="8"/>
        <v>76.440000000000012</v>
      </c>
      <c r="M12" s="256">
        <f t="shared" si="9"/>
        <v>229.32000000000002</v>
      </c>
      <c r="N12" s="255">
        <v>0</v>
      </c>
      <c r="O12" s="256">
        <v>0</v>
      </c>
      <c r="P12" s="256">
        <f t="shared" si="17"/>
        <v>32.104800000000004</v>
      </c>
      <c r="Q12" s="256">
        <f t="shared" si="18"/>
        <v>6.4209600000000009</v>
      </c>
      <c r="R12" s="256">
        <v>0</v>
      </c>
      <c r="S12" s="257">
        <v>0</v>
      </c>
      <c r="T12" s="256">
        <v>0</v>
      </c>
      <c r="U12" s="258">
        <f t="shared" si="1"/>
        <v>2198.8730400000004</v>
      </c>
      <c r="V12" s="256">
        <f t="shared" si="19"/>
        <v>93.06</v>
      </c>
      <c r="W12" s="256">
        <v>529.20000000000005</v>
      </c>
      <c r="X12" s="256">
        <f t="shared" si="10"/>
        <v>29</v>
      </c>
      <c r="Y12" s="256">
        <f t="shared" si="15"/>
        <v>10.119999999999999</v>
      </c>
      <c r="Z12" s="256">
        <f t="shared" si="11"/>
        <v>17.5</v>
      </c>
      <c r="AA12" s="256">
        <f t="shared" si="16"/>
        <v>24.95</v>
      </c>
      <c r="AB12" s="256">
        <f t="shared" si="12"/>
        <v>230.68</v>
      </c>
      <c r="AC12" s="189">
        <f t="shared" si="2"/>
        <v>934.51</v>
      </c>
      <c r="AD12" s="259">
        <f t="shared" si="3"/>
        <v>5885.2230400000008</v>
      </c>
    </row>
    <row r="13" spans="1:30" s="160" customFormat="1">
      <c r="A13" s="250">
        <v>8</v>
      </c>
      <c r="B13" s="251" t="s">
        <v>428</v>
      </c>
      <c r="C13" s="252">
        <v>1</v>
      </c>
      <c r="D13" s="253">
        <v>1852.2</v>
      </c>
      <c r="E13" s="254">
        <f t="shared" si="0"/>
        <v>1852.2</v>
      </c>
      <c r="F13" s="255">
        <f t="shared" si="4"/>
        <v>650.84249999999997</v>
      </c>
      <c r="G13" s="256">
        <f t="shared" si="5"/>
        <v>23.666999999999998</v>
      </c>
      <c r="H13" s="256">
        <f t="shared" si="6"/>
        <v>189.33599999999998</v>
      </c>
      <c r="I13" s="256">
        <f t="shared" si="13"/>
        <v>75.734399999999994</v>
      </c>
      <c r="J13" s="256">
        <f t="shared" si="14"/>
        <v>154.35</v>
      </c>
      <c r="K13" s="256">
        <f t="shared" si="7"/>
        <v>154.35</v>
      </c>
      <c r="L13" s="256">
        <f t="shared" si="8"/>
        <v>51.449999999999996</v>
      </c>
      <c r="M13" s="256">
        <f t="shared" si="9"/>
        <v>154.35</v>
      </c>
      <c r="N13" s="255">
        <v>0</v>
      </c>
      <c r="O13" s="256">
        <v>0</v>
      </c>
      <c r="P13" s="256">
        <f t="shared" si="17"/>
        <v>21.609000000000002</v>
      </c>
      <c r="Q13" s="256">
        <f t="shared" si="18"/>
        <v>4.3217999999999996</v>
      </c>
      <c r="R13" s="256">
        <v>0</v>
      </c>
      <c r="S13" s="257">
        <v>0</v>
      </c>
      <c r="T13" s="256">
        <v>0</v>
      </c>
      <c r="U13" s="258">
        <f t="shared" si="1"/>
        <v>1480.0106999999996</v>
      </c>
      <c r="V13" s="256">
        <f t="shared" si="19"/>
        <v>93.06</v>
      </c>
      <c r="W13" s="256">
        <v>529.20000000000005</v>
      </c>
      <c r="X13" s="256">
        <f t="shared" si="10"/>
        <v>29</v>
      </c>
      <c r="Y13" s="256">
        <f t="shared" si="15"/>
        <v>10.119999999999999</v>
      </c>
      <c r="Z13" s="256">
        <f t="shared" si="11"/>
        <v>17.5</v>
      </c>
      <c r="AA13" s="256">
        <f t="shared" si="16"/>
        <v>24.95</v>
      </c>
      <c r="AB13" s="256">
        <f t="shared" si="12"/>
        <v>230.68</v>
      </c>
      <c r="AC13" s="189">
        <f t="shared" si="2"/>
        <v>934.51</v>
      </c>
      <c r="AD13" s="259">
        <f t="shared" si="3"/>
        <v>4266.7206999999999</v>
      </c>
    </row>
    <row r="14" spans="1:30" s="160" customFormat="1">
      <c r="A14" s="250">
        <v>9</v>
      </c>
      <c r="B14" s="251" t="s">
        <v>429</v>
      </c>
      <c r="C14" s="252">
        <v>1</v>
      </c>
      <c r="D14" s="253">
        <v>1737.89</v>
      </c>
      <c r="E14" s="254">
        <f t="shared" si="0"/>
        <v>1737.89</v>
      </c>
      <c r="F14" s="255">
        <f t="shared" si="4"/>
        <v>610.6752361111113</v>
      </c>
      <c r="G14" s="256">
        <f t="shared" si="5"/>
        <v>22.206372222222225</v>
      </c>
      <c r="H14" s="256">
        <f t="shared" si="6"/>
        <v>177.6509777777778</v>
      </c>
      <c r="I14" s="256">
        <f t="shared" si="13"/>
        <v>71.060391111111116</v>
      </c>
      <c r="J14" s="256">
        <f t="shared" si="14"/>
        <v>144.82416666666668</v>
      </c>
      <c r="K14" s="256">
        <f t="shared" si="7"/>
        <v>144.82416666666668</v>
      </c>
      <c r="L14" s="256">
        <f t="shared" si="8"/>
        <v>48.274722222222231</v>
      </c>
      <c r="M14" s="256">
        <f t="shared" si="9"/>
        <v>144.82416666666668</v>
      </c>
      <c r="N14" s="255">
        <v>0</v>
      </c>
      <c r="O14" s="256">
        <v>0</v>
      </c>
      <c r="P14" s="256">
        <f t="shared" si="17"/>
        <v>20.275383333333334</v>
      </c>
      <c r="Q14" s="256">
        <f t="shared" si="18"/>
        <v>4.0550766666666664</v>
      </c>
      <c r="R14" s="256">
        <v>0</v>
      </c>
      <c r="S14" s="257">
        <v>0</v>
      </c>
      <c r="T14" s="256">
        <v>0</v>
      </c>
      <c r="U14" s="258">
        <f t="shared" si="1"/>
        <v>1388.6706594444449</v>
      </c>
      <c r="V14" s="256">
        <f t="shared" si="19"/>
        <v>93.06</v>
      </c>
      <c r="W14" s="256">
        <v>529.20000000000005</v>
      </c>
      <c r="X14" s="256">
        <f t="shared" si="10"/>
        <v>29</v>
      </c>
      <c r="Y14" s="256">
        <f t="shared" si="15"/>
        <v>10.119999999999999</v>
      </c>
      <c r="Z14" s="256">
        <f t="shared" si="11"/>
        <v>17.5</v>
      </c>
      <c r="AA14" s="256">
        <f t="shared" si="16"/>
        <v>24.95</v>
      </c>
      <c r="AB14" s="256">
        <f t="shared" si="12"/>
        <v>230.68</v>
      </c>
      <c r="AC14" s="189">
        <f t="shared" si="2"/>
        <v>934.51</v>
      </c>
      <c r="AD14" s="259">
        <f t="shared" si="3"/>
        <v>4061.0706594444455</v>
      </c>
    </row>
    <row r="15" spans="1:30" s="160" customFormat="1">
      <c r="A15" s="250">
        <v>10</v>
      </c>
      <c r="B15" s="251" t="s">
        <v>430</v>
      </c>
      <c r="C15" s="252">
        <v>1</v>
      </c>
      <c r="D15" s="253">
        <v>1465.88</v>
      </c>
      <c r="E15" s="254">
        <f t="shared" si="0"/>
        <v>1465.88</v>
      </c>
      <c r="F15" s="255">
        <f t="shared" si="4"/>
        <v>515.09394444444456</v>
      </c>
      <c r="G15" s="256">
        <f t="shared" si="5"/>
        <v>18.730688888888892</v>
      </c>
      <c r="H15" s="256">
        <f t="shared" si="6"/>
        <v>149.84551111111114</v>
      </c>
      <c r="I15" s="256">
        <f t="shared" si="13"/>
        <v>59.938204444444459</v>
      </c>
      <c r="J15" s="256">
        <f t="shared" si="14"/>
        <v>122.15666666666668</v>
      </c>
      <c r="K15" s="256">
        <f t="shared" si="7"/>
        <v>122.15666666666668</v>
      </c>
      <c r="L15" s="256">
        <f t="shared" si="8"/>
        <v>40.718888888888891</v>
      </c>
      <c r="M15" s="256">
        <f t="shared" si="9"/>
        <v>122.15666666666668</v>
      </c>
      <c r="N15" s="255">
        <v>0</v>
      </c>
      <c r="O15" s="256">
        <v>0</v>
      </c>
      <c r="P15" s="256">
        <f t="shared" si="17"/>
        <v>17.101933333333335</v>
      </c>
      <c r="Q15" s="256">
        <f t="shared" si="18"/>
        <v>3.4203866666666674</v>
      </c>
      <c r="R15" s="256">
        <v>0</v>
      </c>
      <c r="S15" s="257">
        <v>0</v>
      </c>
      <c r="T15" s="256">
        <v>0</v>
      </c>
      <c r="U15" s="258">
        <f t="shared" si="1"/>
        <v>1171.3195577777778</v>
      </c>
      <c r="V15" s="256">
        <f t="shared" si="19"/>
        <v>93.06</v>
      </c>
      <c r="W15" s="256">
        <v>529.20000000000005</v>
      </c>
      <c r="X15" s="256">
        <f t="shared" si="10"/>
        <v>29</v>
      </c>
      <c r="Y15" s="256">
        <f t="shared" si="15"/>
        <v>10.119999999999999</v>
      </c>
      <c r="Z15" s="256">
        <f t="shared" si="11"/>
        <v>17.5</v>
      </c>
      <c r="AA15" s="256">
        <f t="shared" si="16"/>
        <v>24.95</v>
      </c>
      <c r="AB15" s="256">
        <f t="shared" si="12"/>
        <v>230.68</v>
      </c>
      <c r="AC15" s="189">
        <f t="shared" si="2"/>
        <v>934.51</v>
      </c>
      <c r="AD15" s="259">
        <f t="shared" si="3"/>
        <v>3571.7095577777782</v>
      </c>
    </row>
    <row r="16" spans="1:30" s="160" customFormat="1">
      <c r="A16" s="250">
        <v>11</v>
      </c>
      <c r="B16" s="251" t="s">
        <v>431</v>
      </c>
      <c r="C16" s="252">
        <v>1</v>
      </c>
      <c r="D16" s="253">
        <v>1537.21</v>
      </c>
      <c r="E16" s="254">
        <f t="shared" si="0"/>
        <v>1537.21</v>
      </c>
      <c r="F16" s="255">
        <f t="shared" si="4"/>
        <v>540.15851388888905</v>
      </c>
      <c r="G16" s="256">
        <f t="shared" si="5"/>
        <v>19.64212777777778</v>
      </c>
      <c r="H16" s="256">
        <f t="shared" si="6"/>
        <v>157.13702222222224</v>
      </c>
      <c r="I16" s="256">
        <f t="shared" si="13"/>
        <v>62.854808888888897</v>
      </c>
      <c r="J16" s="256">
        <f t="shared" si="14"/>
        <v>128.10083333333333</v>
      </c>
      <c r="K16" s="256">
        <f t="shared" si="7"/>
        <v>128.10083333333333</v>
      </c>
      <c r="L16" s="256">
        <f t="shared" si="8"/>
        <v>42.700277777777778</v>
      </c>
      <c r="M16" s="256">
        <f t="shared" si="9"/>
        <v>128.10083333333333</v>
      </c>
      <c r="N16" s="255">
        <v>0</v>
      </c>
      <c r="O16" s="256">
        <v>0</v>
      </c>
      <c r="P16" s="256">
        <f t="shared" si="17"/>
        <v>17.934116666666668</v>
      </c>
      <c r="Q16" s="256">
        <f t="shared" si="18"/>
        <v>3.5868233333333337</v>
      </c>
      <c r="R16" s="256">
        <v>0</v>
      </c>
      <c r="S16" s="257">
        <v>0</v>
      </c>
      <c r="T16" s="256">
        <v>0</v>
      </c>
      <c r="U16" s="258">
        <f t="shared" si="1"/>
        <v>1228.3161905555557</v>
      </c>
      <c r="V16" s="256">
        <f t="shared" si="19"/>
        <v>93.06</v>
      </c>
      <c r="W16" s="256">
        <v>529.20000000000005</v>
      </c>
      <c r="X16" s="256">
        <f t="shared" si="10"/>
        <v>29</v>
      </c>
      <c r="Y16" s="256">
        <f t="shared" si="15"/>
        <v>10.119999999999999</v>
      </c>
      <c r="Z16" s="256">
        <f t="shared" si="11"/>
        <v>17.5</v>
      </c>
      <c r="AA16" s="256">
        <f t="shared" si="16"/>
        <v>24.95</v>
      </c>
      <c r="AB16" s="256">
        <f t="shared" si="12"/>
        <v>230.68</v>
      </c>
      <c r="AC16" s="189">
        <f t="shared" si="2"/>
        <v>934.51</v>
      </c>
      <c r="AD16" s="259">
        <f t="shared" si="3"/>
        <v>3700.0361905555555</v>
      </c>
    </row>
    <row r="17" spans="1:30" s="160" customFormat="1">
      <c r="A17" s="250">
        <v>12</v>
      </c>
      <c r="B17" s="251" t="s">
        <v>435</v>
      </c>
      <c r="C17" s="252">
        <v>2</v>
      </c>
      <c r="D17" s="253">
        <v>2010.96</v>
      </c>
      <c r="E17" s="254">
        <f t="shared" si="0"/>
        <v>4021.92</v>
      </c>
      <c r="F17" s="255">
        <f t="shared" si="4"/>
        <v>1632.0057600000002</v>
      </c>
      <c r="G17" s="256">
        <f t="shared" si="5"/>
        <v>59.345664000000006</v>
      </c>
      <c r="H17" s="256">
        <f t="shared" si="6"/>
        <v>474.76531200000005</v>
      </c>
      <c r="I17" s="256">
        <f t="shared" si="13"/>
        <v>189.90612480000004</v>
      </c>
      <c r="J17" s="256">
        <f t="shared" si="14"/>
        <v>498.27119999999996</v>
      </c>
      <c r="K17" s="256">
        <f t="shared" si="7"/>
        <v>498.27119999999996</v>
      </c>
      <c r="L17" s="256">
        <f t="shared" si="8"/>
        <v>145.23600000000002</v>
      </c>
      <c r="M17" s="256">
        <f t="shared" si="9"/>
        <v>368.67599999999999</v>
      </c>
      <c r="N17" s="255">
        <v>0</v>
      </c>
      <c r="O17" s="256">
        <v>0</v>
      </c>
      <c r="P17" s="256">
        <f>(R17+E17)/210*1.75*1.2</f>
        <v>52.284959999999998</v>
      </c>
      <c r="Q17" s="256">
        <f>P17/6</f>
        <v>8.7141599999999997</v>
      </c>
      <c r="R17" s="256">
        <f>E17*30%</f>
        <v>1206.576</v>
      </c>
      <c r="S17" s="257">
        <f>(D17*10%)*C17</f>
        <v>402.19200000000001</v>
      </c>
      <c r="T17" s="256">
        <f>(E17+R17+N17+O17)/30*2</f>
        <v>348.56639999999999</v>
      </c>
      <c r="U17" s="258">
        <f t="shared" si="1"/>
        <v>5884.8107808000004</v>
      </c>
      <c r="V17" s="256">
        <f>C17*63.45</f>
        <v>126.9</v>
      </c>
      <c r="W17" s="256">
        <f>C17*529.2</f>
        <v>1058.4000000000001</v>
      </c>
      <c r="X17" s="256">
        <f>C17*29</f>
        <v>58</v>
      </c>
      <c r="Y17" s="256">
        <f t="shared" si="15"/>
        <v>20.239999999999998</v>
      </c>
      <c r="Z17" s="256">
        <f t="shared" si="11"/>
        <v>35</v>
      </c>
      <c r="AA17" s="256">
        <f t="shared" si="16"/>
        <v>49.9</v>
      </c>
      <c r="AB17" s="256">
        <f t="shared" si="12"/>
        <v>461.36</v>
      </c>
      <c r="AC17" s="189">
        <f t="shared" si="2"/>
        <v>1809.8000000000002</v>
      </c>
      <c r="AD17" s="259">
        <f t="shared" si="3"/>
        <v>11716.5307808</v>
      </c>
    </row>
    <row r="18" spans="1:30" s="160" customFormat="1">
      <c r="A18" s="250">
        <v>13</v>
      </c>
      <c r="B18" s="251" t="s">
        <v>432</v>
      </c>
      <c r="C18" s="252">
        <v>12</v>
      </c>
      <c r="D18" s="253">
        <v>2010.96</v>
      </c>
      <c r="E18" s="254">
        <f t="shared" si="0"/>
        <v>24131.52</v>
      </c>
      <c r="F18" s="255">
        <f t="shared" si="4"/>
        <v>8962.5135600000012</v>
      </c>
      <c r="G18" s="256">
        <f t="shared" si="5"/>
        <v>325.90958400000005</v>
      </c>
      <c r="H18" s="256">
        <f t="shared" si="6"/>
        <v>2607.2766720000004</v>
      </c>
      <c r="I18" s="256">
        <f t="shared" si="13"/>
        <v>1042.9106688000002</v>
      </c>
      <c r="J18" s="256">
        <f t="shared" si="14"/>
        <v>2788.5311999999999</v>
      </c>
      <c r="K18" s="256">
        <f t="shared" si="7"/>
        <v>2788.5311999999999</v>
      </c>
      <c r="L18" s="256">
        <f t="shared" si="8"/>
        <v>871.41600000000005</v>
      </c>
      <c r="M18" s="256">
        <f t="shared" si="9"/>
        <v>2010.96</v>
      </c>
      <c r="N18" s="255">
        <v>0</v>
      </c>
      <c r="O18" s="256">
        <v>0</v>
      </c>
      <c r="P18" s="256">
        <f>(R18+E18)/210*1.75*1.2</f>
        <v>313.70976000000002</v>
      </c>
      <c r="Q18" s="256">
        <f>P18/6</f>
        <v>52.284960000000005</v>
      </c>
      <c r="R18" s="256">
        <f>E18*30%</f>
        <v>7239.4560000000001</v>
      </c>
      <c r="S18" s="257"/>
      <c r="T18" s="256">
        <f t="shared" ref="T18:T20" si="20">(E18+R18+N18+O18)/30*2</f>
        <v>2091.3984</v>
      </c>
      <c r="U18" s="258">
        <f t="shared" si="1"/>
        <v>31094.898004800001</v>
      </c>
      <c r="V18" s="256">
        <f t="shared" ref="V18:V20" si="21">C18*63.45</f>
        <v>761.40000000000009</v>
      </c>
      <c r="W18" s="256">
        <f>C18*529.2</f>
        <v>6350.4000000000005</v>
      </c>
      <c r="X18" s="256">
        <f>C18*29</f>
        <v>348</v>
      </c>
      <c r="Y18" s="256">
        <f t="shared" si="15"/>
        <v>121.44</v>
      </c>
      <c r="Z18" s="256">
        <f t="shared" si="11"/>
        <v>210</v>
      </c>
      <c r="AA18" s="256">
        <f t="shared" si="16"/>
        <v>299.39999999999998</v>
      </c>
      <c r="AB18" s="256">
        <f t="shared" si="12"/>
        <v>2768.16</v>
      </c>
      <c r="AC18" s="189">
        <f t="shared" si="2"/>
        <v>10858.8</v>
      </c>
      <c r="AD18" s="259">
        <f t="shared" si="3"/>
        <v>66085.218004800001</v>
      </c>
    </row>
    <row r="19" spans="1:30" s="160" customFormat="1">
      <c r="A19" s="250">
        <v>14</v>
      </c>
      <c r="B19" s="251" t="s">
        <v>433</v>
      </c>
      <c r="C19" s="252">
        <v>2</v>
      </c>
      <c r="D19" s="253">
        <v>2010.96</v>
      </c>
      <c r="E19" s="254">
        <f t="shared" si="0"/>
        <v>4021.92</v>
      </c>
      <c r="F19" s="255">
        <f t="shared" si="4"/>
        <v>1677.4484906666671</v>
      </c>
      <c r="G19" s="256">
        <f t="shared" si="5"/>
        <v>60.998126933333346</v>
      </c>
      <c r="H19" s="256">
        <f t="shared" si="6"/>
        <v>487.98501546666677</v>
      </c>
      <c r="I19" s="256">
        <f t="shared" si="13"/>
        <v>195.19400618666671</v>
      </c>
      <c r="J19" s="256">
        <f t="shared" si="14"/>
        <v>580.89434666666671</v>
      </c>
      <c r="K19" s="256">
        <f t="shared" si="7"/>
        <v>580.89434666666671</v>
      </c>
      <c r="L19" s="256">
        <f t="shared" si="8"/>
        <v>145.23600000000002</v>
      </c>
      <c r="M19" s="256">
        <f t="shared" si="9"/>
        <v>368.67599999999999</v>
      </c>
      <c r="N19" s="255">
        <f>(R19+E19)/210*20%*160</f>
        <v>796.72320000000013</v>
      </c>
      <c r="O19" s="256">
        <f>N19/6</f>
        <v>132.78720000000001</v>
      </c>
      <c r="P19" s="256">
        <f>(R19+E19)/210*1.75*1.2</f>
        <v>52.284959999999998</v>
      </c>
      <c r="Q19" s="256">
        <f>P19/6</f>
        <v>8.7141599999999997</v>
      </c>
      <c r="R19" s="256">
        <f>E19*30%</f>
        <v>1206.576</v>
      </c>
      <c r="S19" s="257">
        <f t="shared" ref="S19" si="22">(D19*10%)*C19</f>
        <v>402.19200000000001</v>
      </c>
      <c r="T19" s="256">
        <f t="shared" si="20"/>
        <v>410.53376000000003</v>
      </c>
      <c r="U19" s="258">
        <f t="shared" si="1"/>
        <v>7107.1376125866691</v>
      </c>
      <c r="V19" s="256">
        <f t="shared" si="21"/>
        <v>126.9</v>
      </c>
      <c r="W19" s="256">
        <f>C19*529.2</f>
        <v>1058.4000000000001</v>
      </c>
      <c r="X19" s="256">
        <f>C19*29</f>
        <v>58</v>
      </c>
      <c r="Y19" s="256">
        <f t="shared" si="15"/>
        <v>20.239999999999998</v>
      </c>
      <c r="Z19" s="256">
        <f t="shared" si="11"/>
        <v>35</v>
      </c>
      <c r="AA19" s="256">
        <f t="shared" si="16"/>
        <v>49.9</v>
      </c>
      <c r="AB19" s="256">
        <f t="shared" si="12"/>
        <v>461.36</v>
      </c>
      <c r="AC19" s="189">
        <f t="shared" si="2"/>
        <v>1809.8000000000002</v>
      </c>
      <c r="AD19" s="259">
        <f t="shared" si="3"/>
        <v>12938.857612586668</v>
      </c>
    </row>
    <row r="20" spans="1:30" s="160" customFormat="1">
      <c r="A20" s="250">
        <v>15</v>
      </c>
      <c r="B20" s="251" t="s">
        <v>434</v>
      </c>
      <c r="C20" s="252">
        <v>6</v>
      </c>
      <c r="D20" s="253">
        <v>2010.96</v>
      </c>
      <c r="E20" s="254">
        <f t="shared" si="0"/>
        <v>12065.76</v>
      </c>
      <c r="F20" s="255">
        <f t="shared" si="4"/>
        <v>4617.5849719999997</v>
      </c>
      <c r="G20" s="256">
        <f t="shared" si="5"/>
        <v>167.91218079999999</v>
      </c>
      <c r="H20" s="256">
        <f t="shared" si="6"/>
        <v>1343.2974463999999</v>
      </c>
      <c r="I20" s="256">
        <f t="shared" si="13"/>
        <v>537.31897856000001</v>
      </c>
      <c r="J20" s="256">
        <f t="shared" si="14"/>
        <v>1642.1350399999999</v>
      </c>
      <c r="K20" s="256">
        <f t="shared" si="7"/>
        <v>1642.1350399999999</v>
      </c>
      <c r="L20" s="256">
        <f t="shared" si="8"/>
        <v>435.70800000000003</v>
      </c>
      <c r="M20" s="256">
        <f t="shared" si="9"/>
        <v>1005.48</v>
      </c>
      <c r="N20" s="255">
        <f>(R20+E20)/210*20%*160</f>
        <v>2390.1696000000002</v>
      </c>
      <c r="O20" s="256">
        <f>N20/6</f>
        <v>398.36160000000001</v>
      </c>
      <c r="P20" s="256">
        <f>(R20+E20)/210*1.75*1.2</f>
        <v>156.85488000000001</v>
      </c>
      <c r="Q20" s="256">
        <f>P20/6</f>
        <v>26.142480000000003</v>
      </c>
      <c r="R20" s="256">
        <f>E20*30%</f>
        <v>3619.7280000000001</v>
      </c>
      <c r="S20" s="257">
        <v>0</v>
      </c>
      <c r="T20" s="256">
        <f t="shared" si="20"/>
        <v>1231.6012800000001</v>
      </c>
      <c r="U20" s="258">
        <f t="shared" si="1"/>
        <v>19214.429497759997</v>
      </c>
      <c r="V20" s="256">
        <f t="shared" si="21"/>
        <v>380.70000000000005</v>
      </c>
      <c r="W20" s="256">
        <f>C20*529.2</f>
        <v>3175.2000000000003</v>
      </c>
      <c r="X20" s="256">
        <f>C20*29</f>
        <v>174</v>
      </c>
      <c r="Y20" s="256">
        <f t="shared" si="15"/>
        <v>60.72</v>
      </c>
      <c r="Z20" s="256">
        <f t="shared" si="11"/>
        <v>105</v>
      </c>
      <c r="AA20" s="256">
        <f t="shared" si="16"/>
        <v>149.69999999999999</v>
      </c>
      <c r="AB20" s="256">
        <f t="shared" si="12"/>
        <v>1384.08</v>
      </c>
      <c r="AC20" s="189">
        <f t="shared" si="2"/>
        <v>5429.4</v>
      </c>
      <c r="AD20" s="259">
        <f t="shared" si="3"/>
        <v>36709.589497759996</v>
      </c>
    </row>
    <row r="21" spans="1:30" s="160" customFormat="1">
      <c r="A21" s="250">
        <v>16</v>
      </c>
      <c r="B21" s="251" t="s">
        <v>460</v>
      </c>
      <c r="C21" s="252">
        <v>1</v>
      </c>
      <c r="D21" s="253">
        <v>6879.6</v>
      </c>
      <c r="E21" s="254">
        <f t="shared" si="0"/>
        <v>6879.6</v>
      </c>
      <c r="F21" s="255">
        <f t="shared" si="4"/>
        <v>2417.4150000000004</v>
      </c>
      <c r="G21" s="256">
        <f t="shared" si="5"/>
        <v>87.906000000000006</v>
      </c>
      <c r="H21" s="256">
        <f t="shared" si="6"/>
        <v>703.24800000000005</v>
      </c>
      <c r="I21" s="256">
        <f t="shared" si="13"/>
        <v>281.29920000000004</v>
      </c>
      <c r="J21" s="256">
        <f t="shared" si="14"/>
        <v>573.30000000000007</v>
      </c>
      <c r="K21" s="256">
        <f t="shared" si="7"/>
        <v>573.30000000000007</v>
      </c>
      <c r="L21" s="256">
        <f t="shared" si="8"/>
        <v>191.10000000000002</v>
      </c>
      <c r="M21" s="256">
        <f t="shared" si="9"/>
        <v>573.30000000000007</v>
      </c>
      <c r="N21" s="255">
        <v>0</v>
      </c>
      <c r="O21" s="256">
        <v>0</v>
      </c>
      <c r="P21" s="256">
        <v>0</v>
      </c>
      <c r="Q21" s="256">
        <v>0</v>
      </c>
      <c r="R21" s="256">
        <v>0</v>
      </c>
      <c r="S21" s="257">
        <v>0</v>
      </c>
      <c r="T21" s="256">
        <v>0</v>
      </c>
      <c r="U21" s="258">
        <f t="shared" si="1"/>
        <v>5400.8682000000008</v>
      </c>
      <c r="V21" s="256">
        <v>0</v>
      </c>
      <c r="W21" s="256">
        <v>529.20000000000005</v>
      </c>
      <c r="X21" s="256">
        <f>C21*29</f>
        <v>29</v>
      </c>
      <c r="Y21" s="256">
        <f t="shared" si="15"/>
        <v>10.119999999999999</v>
      </c>
      <c r="Z21" s="256">
        <f t="shared" si="11"/>
        <v>17.5</v>
      </c>
      <c r="AA21" s="256">
        <f t="shared" si="16"/>
        <v>24.95</v>
      </c>
      <c r="AB21" s="256">
        <f t="shared" si="12"/>
        <v>230.68</v>
      </c>
      <c r="AC21" s="189">
        <f t="shared" si="2"/>
        <v>841.45</v>
      </c>
      <c r="AD21" s="259">
        <f t="shared" si="3"/>
        <v>13121.918200000002</v>
      </c>
    </row>
    <row r="22" spans="1:30" s="160" customFormat="1">
      <c r="A22" s="250">
        <v>17</v>
      </c>
      <c r="B22" s="251" t="s">
        <v>422</v>
      </c>
      <c r="C22" s="252">
        <v>1</v>
      </c>
      <c r="D22" s="253">
        <v>3993.98</v>
      </c>
      <c r="E22" s="254">
        <f t="shared" si="0"/>
        <v>3993.98</v>
      </c>
      <c r="F22" s="255">
        <f t="shared" si="4"/>
        <v>1467.5102902777778</v>
      </c>
      <c r="G22" s="256">
        <f t="shared" si="5"/>
        <v>53.364010555555552</v>
      </c>
      <c r="H22" s="256">
        <f t="shared" si="6"/>
        <v>426.91208444444442</v>
      </c>
      <c r="I22" s="256">
        <f t="shared" si="13"/>
        <v>170.76483377777777</v>
      </c>
      <c r="J22" s="256">
        <f t="shared" si="14"/>
        <v>432.68116666666668</v>
      </c>
      <c r="K22" s="256">
        <f t="shared" si="7"/>
        <v>432.68116666666668</v>
      </c>
      <c r="L22" s="256">
        <f t="shared" si="8"/>
        <v>144.22705555555555</v>
      </c>
      <c r="M22" s="256">
        <f t="shared" si="9"/>
        <v>332.83166666666665</v>
      </c>
      <c r="N22" s="255">
        <v>0</v>
      </c>
      <c r="O22" s="256">
        <v>0</v>
      </c>
      <c r="P22" s="256">
        <v>0</v>
      </c>
      <c r="Q22" s="256">
        <v>0</v>
      </c>
      <c r="R22" s="256">
        <f>E22*30%</f>
        <v>1198.194</v>
      </c>
      <c r="S22" s="257">
        <v>0</v>
      </c>
      <c r="T22" s="256">
        <v>0</v>
      </c>
      <c r="U22" s="258">
        <f t="shared" si="1"/>
        <v>4659.1662746111106</v>
      </c>
      <c r="V22" s="256">
        <v>0</v>
      </c>
      <c r="W22" s="256">
        <v>529.20000000000005</v>
      </c>
      <c r="X22" s="256">
        <f t="shared" ref="X22:X84" si="23">C22*29</f>
        <v>29</v>
      </c>
      <c r="Y22" s="256">
        <f t="shared" si="15"/>
        <v>10.119999999999999</v>
      </c>
      <c r="Z22" s="256">
        <f t="shared" si="11"/>
        <v>17.5</v>
      </c>
      <c r="AA22" s="256">
        <f t="shared" si="16"/>
        <v>24.95</v>
      </c>
      <c r="AB22" s="256">
        <f t="shared" si="12"/>
        <v>230.68</v>
      </c>
      <c r="AC22" s="189">
        <f t="shared" si="2"/>
        <v>841.45</v>
      </c>
      <c r="AD22" s="259">
        <f t="shared" si="3"/>
        <v>9494.5962746111109</v>
      </c>
    </row>
    <row r="23" spans="1:30" s="160" customFormat="1">
      <c r="A23" s="250">
        <v>18</v>
      </c>
      <c r="B23" s="251" t="s">
        <v>423</v>
      </c>
      <c r="C23" s="252">
        <v>1</v>
      </c>
      <c r="D23" s="253">
        <v>2751.84</v>
      </c>
      <c r="E23" s="254">
        <f t="shared" si="0"/>
        <v>2751.84</v>
      </c>
      <c r="F23" s="255">
        <f t="shared" si="4"/>
        <v>966.96600000000024</v>
      </c>
      <c r="G23" s="256">
        <f t="shared" si="5"/>
        <v>35.162400000000005</v>
      </c>
      <c r="H23" s="256">
        <f t="shared" si="6"/>
        <v>281.29920000000004</v>
      </c>
      <c r="I23" s="256">
        <f t="shared" si="13"/>
        <v>112.51968000000002</v>
      </c>
      <c r="J23" s="256">
        <f t="shared" si="14"/>
        <v>229.32000000000002</v>
      </c>
      <c r="K23" s="256">
        <f t="shared" si="7"/>
        <v>229.32000000000002</v>
      </c>
      <c r="L23" s="256">
        <f t="shared" si="8"/>
        <v>76.440000000000012</v>
      </c>
      <c r="M23" s="256">
        <f t="shared" si="9"/>
        <v>229.32000000000002</v>
      </c>
      <c r="N23" s="255">
        <v>0</v>
      </c>
      <c r="O23" s="256">
        <v>0</v>
      </c>
      <c r="P23" s="256">
        <f>E23/150*1.75</f>
        <v>32.104800000000004</v>
      </c>
      <c r="Q23" s="256">
        <f>P23/25*5</f>
        <v>6.4209600000000009</v>
      </c>
      <c r="R23" s="256">
        <v>0</v>
      </c>
      <c r="S23" s="257">
        <v>0</v>
      </c>
      <c r="T23" s="256">
        <v>0</v>
      </c>
      <c r="U23" s="258">
        <f t="shared" si="1"/>
        <v>2198.8730400000004</v>
      </c>
      <c r="V23" s="256">
        <f>C23*93.06</f>
        <v>93.06</v>
      </c>
      <c r="W23" s="256">
        <v>529.20000000000005</v>
      </c>
      <c r="X23" s="256">
        <f t="shared" si="23"/>
        <v>29</v>
      </c>
      <c r="Y23" s="256">
        <f t="shared" si="15"/>
        <v>10.119999999999999</v>
      </c>
      <c r="Z23" s="256">
        <f t="shared" si="11"/>
        <v>17.5</v>
      </c>
      <c r="AA23" s="256">
        <f t="shared" si="16"/>
        <v>24.95</v>
      </c>
      <c r="AB23" s="256">
        <f t="shared" si="12"/>
        <v>230.68</v>
      </c>
      <c r="AC23" s="189">
        <f t="shared" si="2"/>
        <v>934.51</v>
      </c>
      <c r="AD23" s="259">
        <f t="shared" si="3"/>
        <v>5885.2230400000008</v>
      </c>
    </row>
    <row r="24" spans="1:30" s="160" customFormat="1">
      <c r="A24" s="250">
        <v>19</v>
      </c>
      <c r="B24" s="251" t="s">
        <v>424</v>
      </c>
      <c r="C24" s="252">
        <v>1</v>
      </c>
      <c r="D24" s="253">
        <v>2751.84</v>
      </c>
      <c r="E24" s="254">
        <f t="shared" si="0"/>
        <v>2751.84</v>
      </c>
      <c r="F24" s="255">
        <f t="shared" si="4"/>
        <v>966.96600000000024</v>
      </c>
      <c r="G24" s="256">
        <f t="shared" si="5"/>
        <v>35.162400000000005</v>
      </c>
      <c r="H24" s="256">
        <f t="shared" si="6"/>
        <v>281.29920000000004</v>
      </c>
      <c r="I24" s="256">
        <f t="shared" si="13"/>
        <v>112.51968000000002</v>
      </c>
      <c r="J24" s="256">
        <f t="shared" si="14"/>
        <v>229.32000000000002</v>
      </c>
      <c r="K24" s="256">
        <f t="shared" si="7"/>
        <v>229.32000000000002</v>
      </c>
      <c r="L24" s="256">
        <f t="shared" si="8"/>
        <v>76.440000000000012</v>
      </c>
      <c r="M24" s="256">
        <f t="shared" si="9"/>
        <v>229.32000000000002</v>
      </c>
      <c r="N24" s="255">
        <v>0</v>
      </c>
      <c r="O24" s="256">
        <v>0</v>
      </c>
      <c r="P24" s="256">
        <f t="shared" ref="P24:P31" si="24">E24/150*1.75</f>
        <v>32.104800000000004</v>
      </c>
      <c r="Q24" s="256">
        <f t="shared" ref="Q24:Q31" si="25">P24/25*5</f>
        <v>6.4209600000000009</v>
      </c>
      <c r="R24" s="256">
        <v>0</v>
      </c>
      <c r="S24" s="257">
        <v>0</v>
      </c>
      <c r="T24" s="256">
        <v>0</v>
      </c>
      <c r="U24" s="258">
        <f t="shared" si="1"/>
        <v>2198.8730400000004</v>
      </c>
      <c r="V24" s="256">
        <f t="shared" ref="V24:V31" si="26">C24*93.06</f>
        <v>93.06</v>
      </c>
      <c r="W24" s="256">
        <v>529.20000000000005</v>
      </c>
      <c r="X24" s="256">
        <f t="shared" si="23"/>
        <v>29</v>
      </c>
      <c r="Y24" s="256">
        <f t="shared" si="15"/>
        <v>10.119999999999999</v>
      </c>
      <c r="Z24" s="256">
        <f t="shared" si="11"/>
        <v>17.5</v>
      </c>
      <c r="AA24" s="256">
        <f t="shared" si="16"/>
        <v>24.95</v>
      </c>
      <c r="AB24" s="256">
        <f t="shared" si="12"/>
        <v>230.68</v>
      </c>
      <c r="AC24" s="189">
        <f t="shared" si="2"/>
        <v>934.51</v>
      </c>
      <c r="AD24" s="259">
        <f t="shared" si="3"/>
        <v>5885.2230400000008</v>
      </c>
    </row>
    <row r="25" spans="1:30" s="160" customFormat="1">
      <c r="A25" s="250">
        <v>20</v>
      </c>
      <c r="B25" s="251" t="s">
        <v>425</v>
      </c>
      <c r="C25" s="252">
        <v>1</v>
      </c>
      <c r="D25" s="253">
        <v>2751.84</v>
      </c>
      <c r="E25" s="254">
        <f t="shared" si="0"/>
        <v>2751.84</v>
      </c>
      <c r="F25" s="255">
        <f t="shared" si="4"/>
        <v>966.96600000000024</v>
      </c>
      <c r="G25" s="256">
        <f t="shared" si="5"/>
        <v>35.162400000000005</v>
      </c>
      <c r="H25" s="256">
        <f t="shared" si="6"/>
        <v>281.29920000000004</v>
      </c>
      <c r="I25" s="256">
        <f t="shared" si="13"/>
        <v>112.51968000000002</v>
      </c>
      <c r="J25" s="256">
        <f t="shared" si="14"/>
        <v>229.32000000000002</v>
      </c>
      <c r="K25" s="256">
        <f t="shared" si="7"/>
        <v>229.32000000000002</v>
      </c>
      <c r="L25" s="256">
        <f t="shared" si="8"/>
        <v>76.440000000000012</v>
      </c>
      <c r="M25" s="256">
        <f t="shared" si="9"/>
        <v>229.32000000000002</v>
      </c>
      <c r="N25" s="255">
        <v>0</v>
      </c>
      <c r="O25" s="256">
        <v>0</v>
      </c>
      <c r="P25" s="256">
        <f t="shared" si="24"/>
        <v>32.104800000000004</v>
      </c>
      <c r="Q25" s="256">
        <f t="shared" si="25"/>
        <v>6.4209600000000009</v>
      </c>
      <c r="R25" s="256">
        <v>0</v>
      </c>
      <c r="S25" s="257">
        <v>0</v>
      </c>
      <c r="T25" s="256">
        <v>0</v>
      </c>
      <c r="U25" s="258">
        <f t="shared" si="1"/>
        <v>2198.8730400000004</v>
      </c>
      <c r="V25" s="256">
        <f t="shared" si="26"/>
        <v>93.06</v>
      </c>
      <c r="W25" s="256">
        <v>529.20000000000005</v>
      </c>
      <c r="X25" s="256">
        <f t="shared" si="23"/>
        <v>29</v>
      </c>
      <c r="Y25" s="256">
        <f t="shared" si="15"/>
        <v>10.119999999999999</v>
      </c>
      <c r="Z25" s="256">
        <f t="shared" si="11"/>
        <v>17.5</v>
      </c>
      <c r="AA25" s="256">
        <f t="shared" si="16"/>
        <v>24.95</v>
      </c>
      <c r="AB25" s="256">
        <f t="shared" si="12"/>
        <v>230.68</v>
      </c>
      <c r="AC25" s="189">
        <f t="shared" si="2"/>
        <v>934.51</v>
      </c>
      <c r="AD25" s="259">
        <f t="shared" si="3"/>
        <v>5885.2230400000008</v>
      </c>
    </row>
    <row r="26" spans="1:30" s="160" customFormat="1">
      <c r="A26" s="250">
        <v>21</v>
      </c>
      <c r="B26" s="251" t="s">
        <v>426</v>
      </c>
      <c r="C26" s="252">
        <v>1</v>
      </c>
      <c r="D26" s="253">
        <v>2751.84</v>
      </c>
      <c r="E26" s="254">
        <f t="shared" si="0"/>
        <v>2751.84</v>
      </c>
      <c r="F26" s="255">
        <f t="shared" si="4"/>
        <v>966.96600000000024</v>
      </c>
      <c r="G26" s="256">
        <f t="shared" si="5"/>
        <v>35.162400000000005</v>
      </c>
      <c r="H26" s="256">
        <f t="shared" si="6"/>
        <v>281.29920000000004</v>
      </c>
      <c r="I26" s="256">
        <f t="shared" si="13"/>
        <v>112.51968000000002</v>
      </c>
      <c r="J26" s="256">
        <f t="shared" si="14"/>
        <v>229.32000000000002</v>
      </c>
      <c r="K26" s="256">
        <f t="shared" si="7"/>
        <v>229.32000000000002</v>
      </c>
      <c r="L26" s="256">
        <f t="shared" si="8"/>
        <v>76.440000000000012</v>
      </c>
      <c r="M26" s="256">
        <f t="shared" si="9"/>
        <v>229.32000000000002</v>
      </c>
      <c r="N26" s="255">
        <v>0</v>
      </c>
      <c r="O26" s="256">
        <v>0</v>
      </c>
      <c r="P26" s="256">
        <f t="shared" si="24"/>
        <v>32.104800000000004</v>
      </c>
      <c r="Q26" s="256">
        <f t="shared" si="25"/>
        <v>6.4209600000000009</v>
      </c>
      <c r="R26" s="256">
        <v>0</v>
      </c>
      <c r="S26" s="257">
        <v>0</v>
      </c>
      <c r="T26" s="256">
        <v>0</v>
      </c>
      <c r="U26" s="258">
        <f t="shared" si="1"/>
        <v>2198.8730400000004</v>
      </c>
      <c r="V26" s="256">
        <f t="shared" si="26"/>
        <v>93.06</v>
      </c>
      <c r="W26" s="256">
        <v>529.20000000000005</v>
      </c>
      <c r="X26" s="256">
        <f t="shared" si="23"/>
        <v>29</v>
      </c>
      <c r="Y26" s="256">
        <f t="shared" si="15"/>
        <v>10.119999999999999</v>
      </c>
      <c r="Z26" s="256">
        <f t="shared" si="11"/>
        <v>17.5</v>
      </c>
      <c r="AA26" s="256">
        <f t="shared" si="16"/>
        <v>24.95</v>
      </c>
      <c r="AB26" s="256">
        <f t="shared" si="12"/>
        <v>230.68</v>
      </c>
      <c r="AC26" s="189">
        <f t="shared" si="2"/>
        <v>934.51</v>
      </c>
      <c r="AD26" s="259">
        <f t="shared" si="3"/>
        <v>5885.2230400000008</v>
      </c>
    </row>
    <row r="27" spans="1:30" s="160" customFormat="1">
      <c r="A27" s="250">
        <v>22</v>
      </c>
      <c r="B27" s="251" t="s">
        <v>427</v>
      </c>
      <c r="C27" s="252">
        <v>1</v>
      </c>
      <c r="D27" s="253">
        <v>2751.84</v>
      </c>
      <c r="E27" s="254">
        <f t="shared" si="0"/>
        <v>2751.84</v>
      </c>
      <c r="F27" s="255">
        <f t="shared" si="4"/>
        <v>966.96600000000024</v>
      </c>
      <c r="G27" s="256">
        <f t="shared" si="5"/>
        <v>35.162400000000005</v>
      </c>
      <c r="H27" s="256">
        <f t="shared" si="6"/>
        <v>281.29920000000004</v>
      </c>
      <c r="I27" s="256">
        <f t="shared" si="13"/>
        <v>112.51968000000002</v>
      </c>
      <c r="J27" s="256">
        <f t="shared" si="14"/>
        <v>229.32000000000002</v>
      </c>
      <c r="K27" s="256">
        <f t="shared" si="7"/>
        <v>229.32000000000002</v>
      </c>
      <c r="L27" s="256">
        <f t="shared" si="8"/>
        <v>76.440000000000012</v>
      </c>
      <c r="M27" s="256">
        <f t="shared" si="9"/>
        <v>229.32000000000002</v>
      </c>
      <c r="N27" s="255">
        <v>0</v>
      </c>
      <c r="O27" s="256">
        <v>0</v>
      </c>
      <c r="P27" s="256">
        <f t="shared" si="24"/>
        <v>32.104800000000004</v>
      </c>
      <c r="Q27" s="256">
        <f t="shared" si="25"/>
        <v>6.4209600000000009</v>
      </c>
      <c r="R27" s="256">
        <v>0</v>
      </c>
      <c r="S27" s="257">
        <v>0</v>
      </c>
      <c r="T27" s="256">
        <v>0</v>
      </c>
      <c r="U27" s="258">
        <f t="shared" si="1"/>
        <v>2198.8730400000004</v>
      </c>
      <c r="V27" s="256">
        <f t="shared" si="26"/>
        <v>93.06</v>
      </c>
      <c r="W27" s="256">
        <v>529.20000000000005</v>
      </c>
      <c r="X27" s="256">
        <f t="shared" si="23"/>
        <v>29</v>
      </c>
      <c r="Y27" s="256">
        <f t="shared" si="15"/>
        <v>10.119999999999999</v>
      </c>
      <c r="Z27" s="256">
        <f t="shared" si="11"/>
        <v>17.5</v>
      </c>
      <c r="AA27" s="256">
        <f t="shared" si="16"/>
        <v>24.95</v>
      </c>
      <c r="AB27" s="256">
        <f t="shared" si="12"/>
        <v>230.68</v>
      </c>
      <c r="AC27" s="189">
        <f t="shared" si="2"/>
        <v>934.51</v>
      </c>
      <c r="AD27" s="259">
        <f t="shared" si="3"/>
        <v>5885.2230400000008</v>
      </c>
    </row>
    <row r="28" spans="1:30" s="160" customFormat="1">
      <c r="A28" s="250">
        <v>23</v>
      </c>
      <c r="B28" s="251" t="s">
        <v>428</v>
      </c>
      <c r="C28" s="252">
        <v>1</v>
      </c>
      <c r="D28" s="253">
        <v>1852.2</v>
      </c>
      <c r="E28" s="254">
        <f t="shared" si="0"/>
        <v>1852.2</v>
      </c>
      <c r="F28" s="255">
        <f t="shared" si="4"/>
        <v>650.84249999999997</v>
      </c>
      <c r="G28" s="256">
        <f t="shared" si="5"/>
        <v>23.666999999999998</v>
      </c>
      <c r="H28" s="256">
        <f t="shared" si="6"/>
        <v>189.33599999999998</v>
      </c>
      <c r="I28" s="256">
        <f t="shared" si="13"/>
        <v>75.734399999999994</v>
      </c>
      <c r="J28" s="256">
        <f t="shared" si="14"/>
        <v>154.35</v>
      </c>
      <c r="K28" s="256">
        <f t="shared" si="7"/>
        <v>154.35</v>
      </c>
      <c r="L28" s="256">
        <f t="shared" si="8"/>
        <v>51.449999999999996</v>
      </c>
      <c r="M28" s="256">
        <f t="shared" si="9"/>
        <v>154.35</v>
      </c>
      <c r="N28" s="255">
        <v>0</v>
      </c>
      <c r="O28" s="256">
        <v>0</v>
      </c>
      <c r="P28" s="256">
        <f t="shared" si="24"/>
        <v>21.609000000000002</v>
      </c>
      <c r="Q28" s="256">
        <f t="shared" si="25"/>
        <v>4.3217999999999996</v>
      </c>
      <c r="R28" s="256">
        <v>0</v>
      </c>
      <c r="S28" s="257">
        <v>0</v>
      </c>
      <c r="T28" s="256">
        <v>0</v>
      </c>
      <c r="U28" s="258">
        <f t="shared" si="1"/>
        <v>1480.0106999999996</v>
      </c>
      <c r="V28" s="256">
        <f t="shared" si="26"/>
        <v>93.06</v>
      </c>
      <c r="W28" s="256">
        <v>529.20000000000005</v>
      </c>
      <c r="X28" s="256">
        <f t="shared" si="23"/>
        <v>29</v>
      </c>
      <c r="Y28" s="256">
        <f t="shared" si="15"/>
        <v>10.119999999999999</v>
      </c>
      <c r="Z28" s="256">
        <f t="shared" si="11"/>
        <v>17.5</v>
      </c>
      <c r="AA28" s="256">
        <f t="shared" si="16"/>
        <v>24.95</v>
      </c>
      <c r="AB28" s="256">
        <f t="shared" si="12"/>
        <v>230.68</v>
      </c>
      <c r="AC28" s="189">
        <f t="shared" si="2"/>
        <v>934.51</v>
      </c>
      <c r="AD28" s="259">
        <f t="shared" si="3"/>
        <v>4266.7206999999999</v>
      </c>
    </row>
    <row r="29" spans="1:30" s="160" customFormat="1">
      <c r="A29" s="250">
        <v>24</v>
      </c>
      <c r="B29" s="251" t="s">
        <v>429</v>
      </c>
      <c r="C29" s="252">
        <v>1</v>
      </c>
      <c r="D29" s="253">
        <v>1737.89</v>
      </c>
      <c r="E29" s="254">
        <f t="shared" si="0"/>
        <v>1737.89</v>
      </c>
      <c r="F29" s="255">
        <f t="shared" si="4"/>
        <v>610.6752361111113</v>
      </c>
      <c r="G29" s="256">
        <f t="shared" si="5"/>
        <v>22.206372222222225</v>
      </c>
      <c r="H29" s="256">
        <f t="shared" si="6"/>
        <v>177.6509777777778</v>
      </c>
      <c r="I29" s="256">
        <f t="shared" si="13"/>
        <v>71.060391111111116</v>
      </c>
      <c r="J29" s="256">
        <f t="shared" si="14"/>
        <v>144.82416666666668</v>
      </c>
      <c r="K29" s="256">
        <f t="shared" si="7"/>
        <v>144.82416666666668</v>
      </c>
      <c r="L29" s="256">
        <f t="shared" si="8"/>
        <v>48.274722222222231</v>
      </c>
      <c r="M29" s="256">
        <f t="shared" si="9"/>
        <v>144.82416666666668</v>
      </c>
      <c r="N29" s="255">
        <v>0</v>
      </c>
      <c r="O29" s="256">
        <v>0</v>
      </c>
      <c r="P29" s="256">
        <f t="shared" si="24"/>
        <v>20.275383333333334</v>
      </c>
      <c r="Q29" s="256">
        <f t="shared" si="25"/>
        <v>4.0550766666666664</v>
      </c>
      <c r="R29" s="256">
        <v>0</v>
      </c>
      <c r="S29" s="257">
        <v>0</v>
      </c>
      <c r="T29" s="256">
        <v>0</v>
      </c>
      <c r="U29" s="258">
        <f t="shared" si="1"/>
        <v>1388.6706594444449</v>
      </c>
      <c r="V29" s="256">
        <f t="shared" si="26"/>
        <v>93.06</v>
      </c>
      <c r="W29" s="256">
        <v>529.20000000000005</v>
      </c>
      <c r="X29" s="256">
        <f t="shared" si="23"/>
        <v>29</v>
      </c>
      <c r="Y29" s="256">
        <f t="shared" si="15"/>
        <v>10.119999999999999</v>
      </c>
      <c r="Z29" s="256">
        <f t="shared" si="11"/>
        <v>17.5</v>
      </c>
      <c r="AA29" s="256">
        <f t="shared" si="16"/>
        <v>24.95</v>
      </c>
      <c r="AB29" s="256">
        <f t="shared" si="12"/>
        <v>230.68</v>
      </c>
      <c r="AC29" s="189">
        <f t="shared" si="2"/>
        <v>934.51</v>
      </c>
      <c r="AD29" s="259">
        <f t="shared" si="3"/>
        <v>4061.0706594444455</v>
      </c>
    </row>
    <row r="30" spans="1:30" s="160" customFormat="1">
      <c r="A30" s="250">
        <v>25</v>
      </c>
      <c r="B30" s="251" t="s">
        <v>430</v>
      </c>
      <c r="C30" s="252">
        <v>1</v>
      </c>
      <c r="D30" s="253">
        <v>1465.88</v>
      </c>
      <c r="E30" s="254">
        <f t="shared" si="0"/>
        <v>1465.88</v>
      </c>
      <c r="F30" s="255">
        <f t="shared" si="4"/>
        <v>515.09394444444456</v>
      </c>
      <c r="G30" s="256">
        <f t="shared" si="5"/>
        <v>18.730688888888892</v>
      </c>
      <c r="H30" s="256">
        <f t="shared" si="6"/>
        <v>149.84551111111114</v>
      </c>
      <c r="I30" s="256">
        <f t="shared" si="13"/>
        <v>59.938204444444459</v>
      </c>
      <c r="J30" s="256">
        <f t="shared" si="14"/>
        <v>122.15666666666668</v>
      </c>
      <c r="K30" s="256">
        <f t="shared" si="7"/>
        <v>122.15666666666668</v>
      </c>
      <c r="L30" s="256">
        <f t="shared" si="8"/>
        <v>40.718888888888891</v>
      </c>
      <c r="M30" s="256">
        <f t="shared" si="9"/>
        <v>122.15666666666668</v>
      </c>
      <c r="N30" s="255">
        <v>0</v>
      </c>
      <c r="O30" s="256">
        <v>0</v>
      </c>
      <c r="P30" s="256">
        <f t="shared" si="24"/>
        <v>17.101933333333335</v>
      </c>
      <c r="Q30" s="256">
        <f t="shared" si="25"/>
        <v>3.4203866666666674</v>
      </c>
      <c r="R30" s="256">
        <v>0</v>
      </c>
      <c r="S30" s="257">
        <v>0</v>
      </c>
      <c r="T30" s="256">
        <v>0</v>
      </c>
      <c r="U30" s="258">
        <f t="shared" si="1"/>
        <v>1171.3195577777778</v>
      </c>
      <c r="V30" s="256">
        <f t="shared" si="26"/>
        <v>93.06</v>
      </c>
      <c r="W30" s="256">
        <v>529.20000000000005</v>
      </c>
      <c r="X30" s="256">
        <f t="shared" si="23"/>
        <v>29</v>
      </c>
      <c r="Y30" s="256">
        <f t="shared" si="15"/>
        <v>10.119999999999999</v>
      </c>
      <c r="Z30" s="256">
        <f t="shared" si="11"/>
        <v>17.5</v>
      </c>
      <c r="AA30" s="256">
        <f t="shared" si="16"/>
        <v>24.95</v>
      </c>
      <c r="AB30" s="256">
        <f t="shared" si="12"/>
        <v>230.68</v>
      </c>
      <c r="AC30" s="189">
        <f t="shared" si="2"/>
        <v>934.51</v>
      </c>
      <c r="AD30" s="259">
        <f t="shared" si="3"/>
        <v>3571.7095577777782</v>
      </c>
    </row>
    <row r="31" spans="1:30" s="160" customFormat="1">
      <c r="A31" s="250">
        <v>26</v>
      </c>
      <c r="B31" s="251" t="s">
        <v>431</v>
      </c>
      <c r="C31" s="252">
        <v>1</v>
      </c>
      <c r="D31" s="253">
        <v>1537.21</v>
      </c>
      <c r="E31" s="254">
        <f t="shared" si="0"/>
        <v>1537.21</v>
      </c>
      <c r="F31" s="255">
        <f t="shared" si="4"/>
        <v>540.15851388888905</v>
      </c>
      <c r="G31" s="256">
        <f t="shared" si="5"/>
        <v>19.64212777777778</v>
      </c>
      <c r="H31" s="256">
        <f t="shared" si="6"/>
        <v>157.13702222222224</v>
      </c>
      <c r="I31" s="256">
        <f t="shared" si="13"/>
        <v>62.854808888888897</v>
      </c>
      <c r="J31" s="256">
        <f t="shared" si="14"/>
        <v>128.10083333333333</v>
      </c>
      <c r="K31" s="256">
        <f t="shared" si="7"/>
        <v>128.10083333333333</v>
      </c>
      <c r="L31" s="256">
        <f t="shared" si="8"/>
        <v>42.700277777777778</v>
      </c>
      <c r="M31" s="256">
        <f t="shared" si="9"/>
        <v>128.10083333333333</v>
      </c>
      <c r="N31" s="255">
        <v>0</v>
      </c>
      <c r="O31" s="256">
        <v>0</v>
      </c>
      <c r="P31" s="256">
        <f t="shared" si="24"/>
        <v>17.934116666666668</v>
      </c>
      <c r="Q31" s="256">
        <f t="shared" si="25"/>
        <v>3.5868233333333337</v>
      </c>
      <c r="R31" s="256">
        <v>0</v>
      </c>
      <c r="S31" s="257">
        <v>0</v>
      </c>
      <c r="T31" s="256">
        <v>0</v>
      </c>
      <c r="U31" s="258">
        <f t="shared" si="1"/>
        <v>1228.3161905555557</v>
      </c>
      <c r="V31" s="256">
        <f t="shared" si="26"/>
        <v>93.06</v>
      </c>
      <c r="W31" s="256">
        <v>529.20000000000005</v>
      </c>
      <c r="X31" s="256">
        <f t="shared" si="23"/>
        <v>29</v>
      </c>
      <c r="Y31" s="256">
        <f t="shared" si="15"/>
        <v>10.119999999999999</v>
      </c>
      <c r="Z31" s="256">
        <f t="shared" si="11"/>
        <v>17.5</v>
      </c>
      <c r="AA31" s="256">
        <f t="shared" si="16"/>
        <v>24.95</v>
      </c>
      <c r="AB31" s="256">
        <f t="shared" si="12"/>
        <v>230.68</v>
      </c>
      <c r="AC31" s="189">
        <f t="shared" si="2"/>
        <v>934.51</v>
      </c>
      <c r="AD31" s="259">
        <f t="shared" si="3"/>
        <v>3700.0361905555555</v>
      </c>
    </row>
    <row r="32" spans="1:30" s="160" customFormat="1">
      <c r="A32" s="250">
        <v>27</v>
      </c>
      <c r="B32" s="251" t="s">
        <v>435</v>
      </c>
      <c r="C32" s="252">
        <v>2</v>
      </c>
      <c r="D32" s="253">
        <v>2010.96</v>
      </c>
      <c r="E32" s="254">
        <f t="shared" si="0"/>
        <v>4021.92</v>
      </c>
      <c r="F32" s="255">
        <f t="shared" si="4"/>
        <v>1632.0057600000002</v>
      </c>
      <c r="G32" s="256">
        <f t="shared" si="5"/>
        <v>59.345664000000006</v>
      </c>
      <c r="H32" s="256">
        <f t="shared" si="6"/>
        <v>474.76531200000005</v>
      </c>
      <c r="I32" s="256">
        <f t="shared" si="13"/>
        <v>189.90612480000004</v>
      </c>
      <c r="J32" s="256">
        <f t="shared" si="14"/>
        <v>498.27119999999996</v>
      </c>
      <c r="K32" s="256">
        <f t="shared" si="7"/>
        <v>498.27119999999996</v>
      </c>
      <c r="L32" s="256">
        <f t="shared" si="8"/>
        <v>145.23600000000002</v>
      </c>
      <c r="M32" s="256">
        <f t="shared" si="9"/>
        <v>368.67599999999999</v>
      </c>
      <c r="N32" s="255">
        <v>0</v>
      </c>
      <c r="O32" s="256">
        <v>0</v>
      </c>
      <c r="P32" s="256">
        <f>(R32+E32)/210*1.75*1.2</f>
        <v>52.284959999999998</v>
      </c>
      <c r="Q32" s="256">
        <f>P32/6</f>
        <v>8.7141599999999997</v>
      </c>
      <c r="R32" s="256">
        <f>E32*30%</f>
        <v>1206.576</v>
      </c>
      <c r="S32" s="257">
        <f>(D32*10%)*C32</f>
        <v>402.19200000000001</v>
      </c>
      <c r="T32" s="256">
        <f>(E32+R32+N32+O32)/30*2</f>
        <v>348.56639999999999</v>
      </c>
      <c r="U32" s="258">
        <f t="shared" si="1"/>
        <v>5884.8107808000004</v>
      </c>
      <c r="V32" s="256">
        <f>C32*63.45</f>
        <v>126.9</v>
      </c>
      <c r="W32" s="256">
        <f>C32*529.2</f>
        <v>1058.4000000000001</v>
      </c>
      <c r="X32" s="256">
        <f t="shared" si="23"/>
        <v>58</v>
      </c>
      <c r="Y32" s="256">
        <f t="shared" si="15"/>
        <v>20.239999999999998</v>
      </c>
      <c r="Z32" s="256">
        <f t="shared" si="11"/>
        <v>35</v>
      </c>
      <c r="AA32" s="256">
        <f t="shared" si="16"/>
        <v>49.9</v>
      </c>
      <c r="AB32" s="256">
        <f t="shared" si="12"/>
        <v>461.36</v>
      </c>
      <c r="AC32" s="189">
        <f t="shared" si="2"/>
        <v>1809.8000000000002</v>
      </c>
      <c r="AD32" s="259">
        <f t="shared" si="3"/>
        <v>11716.5307808</v>
      </c>
    </row>
    <row r="33" spans="1:30" s="160" customFormat="1">
      <c r="A33" s="250">
        <v>28</v>
      </c>
      <c r="B33" s="251" t="s">
        <v>432</v>
      </c>
      <c r="C33" s="252">
        <v>12</v>
      </c>
      <c r="D33" s="253">
        <v>2010.96</v>
      </c>
      <c r="E33" s="254">
        <f t="shared" si="0"/>
        <v>24131.52</v>
      </c>
      <c r="F33" s="255">
        <f t="shared" si="4"/>
        <v>8962.5135600000012</v>
      </c>
      <c r="G33" s="256">
        <f t="shared" si="5"/>
        <v>325.90958400000005</v>
      </c>
      <c r="H33" s="256">
        <f t="shared" si="6"/>
        <v>2607.2766720000004</v>
      </c>
      <c r="I33" s="256">
        <f t="shared" si="13"/>
        <v>1042.9106688000002</v>
      </c>
      <c r="J33" s="256">
        <f t="shared" si="14"/>
        <v>2788.5311999999999</v>
      </c>
      <c r="K33" s="256">
        <f t="shared" si="7"/>
        <v>2788.5311999999999</v>
      </c>
      <c r="L33" s="256">
        <f t="shared" si="8"/>
        <v>871.41600000000005</v>
      </c>
      <c r="M33" s="256">
        <f t="shared" si="9"/>
        <v>2010.96</v>
      </c>
      <c r="N33" s="255">
        <v>0</v>
      </c>
      <c r="O33" s="256">
        <v>0</v>
      </c>
      <c r="P33" s="256">
        <f>(R33+E33)/210*1.75*1.2</f>
        <v>313.70976000000002</v>
      </c>
      <c r="Q33" s="256">
        <f>P33/6</f>
        <v>52.284960000000005</v>
      </c>
      <c r="R33" s="256">
        <f>E33*30%</f>
        <v>7239.4560000000001</v>
      </c>
      <c r="S33" s="257"/>
      <c r="T33" s="256">
        <f t="shared" ref="T33:T35" si="27">(E33+R33+N33+O33)/30*2</f>
        <v>2091.3984</v>
      </c>
      <c r="U33" s="258">
        <f t="shared" si="1"/>
        <v>31094.898004800001</v>
      </c>
      <c r="V33" s="256">
        <f t="shared" ref="V33:V35" si="28">C33*63.45</f>
        <v>761.40000000000009</v>
      </c>
      <c r="W33" s="256">
        <f>C33*529.2</f>
        <v>6350.4000000000005</v>
      </c>
      <c r="X33" s="256">
        <f t="shared" si="23"/>
        <v>348</v>
      </c>
      <c r="Y33" s="256">
        <f t="shared" si="15"/>
        <v>121.44</v>
      </c>
      <c r="Z33" s="256">
        <f t="shared" si="11"/>
        <v>210</v>
      </c>
      <c r="AA33" s="256">
        <f t="shared" si="16"/>
        <v>299.39999999999998</v>
      </c>
      <c r="AB33" s="256">
        <f t="shared" si="12"/>
        <v>2768.16</v>
      </c>
      <c r="AC33" s="189">
        <f t="shared" si="2"/>
        <v>10858.8</v>
      </c>
      <c r="AD33" s="259">
        <f t="shared" si="3"/>
        <v>66085.218004800001</v>
      </c>
    </row>
    <row r="34" spans="1:30" s="160" customFormat="1">
      <c r="A34" s="250">
        <v>29</v>
      </c>
      <c r="B34" s="251" t="s">
        <v>433</v>
      </c>
      <c r="C34" s="252">
        <v>2</v>
      </c>
      <c r="D34" s="253">
        <v>2010.96</v>
      </c>
      <c r="E34" s="254">
        <f t="shared" si="0"/>
        <v>4021.92</v>
      </c>
      <c r="F34" s="255">
        <f t="shared" si="4"/>
        <v>1677.4484906666671</v>
      </c>
      <c r="G34" s="256">
        <f t="shared" si="5"/>
        <v>60.998126933333346</v>
      </c>
      <c r="H34" s="256">
        <f t="shared" si="6"/>
        <v>487.98501546666677</v>
      </c>
      <c r="I34" s="256">
        <f t="shared" si="13"/>
        <v>195.19400618666671</v>
      </c>
      <c r="J34" s="256">
        <f t="shared" si="14"/>
        <v>580.89434666666671</v>
      </c>
      <c r="K34" s="256">
        <f t="shared" si="7"/>
        <v>580.89434666666671</v>
      </c>
      <c r="L34" s="256">
        <f t="shared" si="8"/>
        <v>145.23600000000002</v>
      </c>
      <c r="M34" s="256">
        <f t="shared" si="9"/>
        <v>368.67599999999999</v>
      </c>
      <c r="N34" s="255">
        <f>(R34+E34)/210*20%*160</f>
        <v>796.72320000000013</v>
      </c>
      <c r="O34" s="256">
        <f>N34/6</f>
        <v>132.78720000000001</v>
      </c>
      <c r="P34" s="256">
        <f>(R34+E34)/210*1.75*1.2</f>
        <v>52.284959999999998</v>
      </c>
      <c r="Q34" s="256">
        <f>P34/6</f>
        <v>8.7141599999999997</v>
      </c>
      <c r="R34" s="256">
        <f>E34*30%</f>
        <v>1206.576</v>
      </c>
      <c r="S34" s="257">
        <f t="shared" ref="S34" si="29">(D34*10%)*C34</f>
        <v>402.19200000000001</v>
      </c>
      <c r="T34" s="256">
        <f t="shared" si="27"/>
        <v>410.53376000000003</v>
      </c>
      <c r="U34" s="258">
        <f t="shared" si="1"/>
        <v>7107.1376125866691</v>
      </c>
      <c r="V34" s="256">
        <f t="shared" si="28"/>
        <v>126.9</v>
      </c>
      <c r="W34" s="256">
        <f>C34*529.2</f>
        <v>1058.4000000000001</v>
      </c>
      <c r="X34" s="256">
        <f t="shared" si="23"/>
        <v>58</v>
      </c>
      <c r="Y34" s="256">
        <f t="shared" si="15"/>
        <v>20.239999999999998</v>
      </c>
      <c r="Z34" s="256">
        <f t="shared" si="11"/>
        <v>35</v>
      </c>
      <c r="AA34" s="256">
        <f t="shared" si="16"/>
        <v>49.9</v>
      </c>
      <c r="AB34" s="256">
        <f t="shared" si="12"/>
        <v>461.36</v>
      </c>
      <c r="AC34" s="189">
        <f t="shared" si="2"/>
        <v>1809.8000000000002</v>
      </c>
      <c r="AD34" s="259">
        <f t="shared" si="3"/>
        <v>12938.857612586668</v>
      </c>
    </row>
    <row r="35" spans="1:30" s="160" customFormat="1">
      <c r="A35" s="250">
        <v>30</v>
      </c>
      <c r="B35" s="251" t="s">
        <v>434</v>
      </c>
      <c r="C35" s="252">
        <v>6</v>
      </c>
      <c r="D35" s="253">
        <v>2010.96</v>
      </c>
      <c r="E35" s="254">
        <f t="shared" si="0"/>
        <v>12065.76</v>
      </c>
      <c r="F35" s="255">
        <f t="shared" si="4"/>
        <v>4617.5849719999997</v>
      </c>
      <c r="G35" s="256">
        <f t="shared" si="5"/>
        <v>167.91218079999999</v>
      </c>
      <c r="H35" s="256">
        <f t="shared" si="6"/>
        <v>1343.2974463999999</v>
      </c>
      <c r="I35" s="256">
        <f t="shared" si="13"/>
        <v>537.31897856000001</v>
      </c>
      <c r="J35" s="256">
        <f t="shared" si="14"/>
        <v>1642.1350399999999</v>
      </c>
      <c r="K35" s="256">
        <f t="shared" si="7"/>
        <v>1642.1350399999999</v>
      </c>
      <c r="L35" s="256">
        <f t="shared" si="8"/>
        <v>435.70800000000003</v>
      </c>
      <c r="M35" s="256">
        <f t="shared" si="9"/>
        <v>1005.48</v>
      </c>
      <c r="N35" s="255">
        <f>(R35+E35)/210*20%*160</f>
        <v>2390.1696000000002</v>
      </c>
      <c r="O35" s="256">
        <f>N35/6</f>
        <v>398.36160000000001</v>
      </c>
      <c r="P35" s="256">
        <f>(R35+E35)/210*1.75*1.2</f>
        <v>156.85488000000001</v>
      </c>
      <c r="Q35" s="256">
        <f>P35/6</f>
        <v>26.142480000000003</v>
      </c>
      <c r="R35" s="256">
        <f>E35*30%</f>
        <v>3619.7280000000001</v>
      </c>
      <c r="S35" s="257">
        <v>0</v>
      </c>
      <c r="T35" s="256">
        <f t="shared" si="27"/>
        <v>1231.6012800000001</v>
      </c>
      <c r="U35" s="258">
        <f t="shared" si="1"/>
        <v>19214.429497759997</v>
      </c>
      <c r="V35" s="256">
        <f t="shared" si="28"/>
        <v>380.70000000000005</v>
      </c>
      <c r="W35" s="256">
        <f>C35*529.2</f>
        <v>3175.2000000000003</v>
      </c>
      <c r="X35" s="256">
        <f t="shared" si="23"/>
        <v>174</v>
      </c>
      <c r="Y35" s="256">
        <f t="shared" si="15"/>
        <v>60.72</v>
      </c>
      <c r="Z35" s="256">
        <f t="shared" si="11"/>
        <v>105</v>
      </c>
      <c r="AA35" s="256">
        <f t="shared" si="16"/>
        <v>149.69999999999999</v>
      </c>
      <c r="AB35" s="256">
        <f t="shared" si="12"/>
        <v>1384.08</v>
      </c>
      <c r="AC35" s="189">
        <f t="shared" si="2"/>
        <v>5429.4</v>
      </c>
      <c r="AD35" s="259">
        <f t="shared" si="3"/>
        <v>36709.589497759996</v>
      </c>
    </row>
    <row r="36" spans="1:30" s="160" customFormat="1">
      <c r="A36" s="250">
        <v>31</v>
      </c>
      <c r="B36" s="251" t="s">
        <v>460</v>
      </c>
      <c r="C36" s="252">
        <v>1</v>
      </c>
      <c r="D36" s="253">
        <v>6879.6</v>
      </c>
      <c r="E36" s="254">
        <f t="shared" si="0"/>
        <v>6879.6</v>
      </c>
      <c r="F36" s="255">
        <f t="shared" si="4"/>
        <v>2417.4150000000004</v>
      </c>
      <c r="G36" s="256">
        <f t="shared" si="5"/>
        <v>87.906000000000006</v>
      </c>
      <c r="H36" s="256">
        <f t="shared" si="6"/>
        <v>703.24800000000005</v>
      </c>
      <c r="I36" s="256">
        <f t="shared" si="13"/>
        <v>281.29920000000004</v>
      </c>
      <c r="J36" s="256">
        <f t="shared" si="14"/>
        <v>573.30000000000007</v>
      </c>
      <c r="K36" s="256">
        <f t="shared" si="7"/>
        <v>573.30000000000007</v>
      </c>
      <c r="L36" s="256">
        <f t="shared" si="8"/>
        <v>191.10000000000002</v>
      </c>
      <c r="M36" s="256">
        <f t="shared" si="9"/>
        <v>573.30000000000007</v>
      </c>
      <c r="N36" s="255">
        <v>0</v>
      </c>
      <c r="O36" s="256">
        <v>0</v>
      </c>
      <c r="P36" s="256">
        <v>0</v>
      </c>
      <c r="Q36" s="256">
        <v>0</v>
      </c>
      <c r="R36" s="256">
        <v>0</v>
      </c>
      <c r="S36" s="257">
        <v>0</v>
      </c>
      <c r="T36" s="256">
        <v>0</v>
      </c>
      <c r="U36" s="258">
        <f t="shared" si="1"/>
        <v>5400.8682000000008</v>
      </c>
      <c r="V36" s="256">
        <v>0</v>
      </c>
      <c r="W36" s="256">
        <v>529.20000000000005</v>
      </c>
      <c r="X36" s="256">
        <f t="shared" si="23"/>
        <v>29</v>
      </c>
      <c r="Y36" s="256">
        <f t="shared" si="15"/>
        <v>10.119999999999999</v>
      </c>
      <c r="Z36" s="256">
        <f t="shared" si="11"/>
        <v>17.5</v>
      </c>
      <c r="AA36" s="256">
        <f t="shared" si="16"/>
        <v>24.95</v>
      </c>
      <c r="AB36" s="256">
        <f t="shared" si="12"/>
        <v>230.68</v>
      </c>
      <c r="AC36" s="189">
        <f t="shared" si="2"/>
        <v>841.45</v>
      </c>
      <c r="AD36" s="259">
        <f t="shared" si="3"/>
        <v>13121.918200000002</v>
      </c>
    </row>
    <row r="37" spans="1:30" s="160" customFormat="1">
      <c r="A37" s="250">
        <v>32</v>
      </c>
      <c r="B37" s="251" t="s">
        <v>422</v>
      </c>
      <c r="C37" s="252">
        <v>1</v>
      </c>
      <c r="D37" s="253">
        <v>3993.98</v>
      </c>
      <c r="E37" s="254">
        <f t="shared" si="0"/>
        <v>3993.98</v>
      </c>
      <c r="F37" s="255">
        <f t="shared" si="4"/>
        <v>1467.5102902777778</v>
      </c>
      <c r="G37" s="256">
        <f t="shared" si="5"/>
        <v>53.364010555555552</v>
      </c>
      <c r="H37" s="256">
        <f t="shared" si="6"/>
        <v>426.91208444444442</v>
      </c>
      <c r="I37" s="256">
        <f t="shared" si="13"/>
        <v>170.76483377777777</v>
      </c>
      <c r="J37" s="256">
        <f t="shared" si="14"/>
        <v>432.68116666666668</v>
      </c>
      <c r="K37" s="256">
        <f t="shared" si="7"/>
        <v>432.68116666666668</v>
      </c>
      <c r="L37" s="256">
        <f t="shared" si="8"/>
        <v>144.22705555555555</v>
      </c>
      <c r="M37" s="256">
        <f t="shared" si="9"/>
        <v>332.83166666666665</v>
      </c>
      <c r="N37" s="255">
        <v>0</v>
      </c>
      <c r="O37" s="256">
        <v>0</v>
      </c>
      <c r="P37" s="256">
        <v>0</v>
      </c>
      <c r="Q37" s="256">
        <v>0</v>
      </c>
      <c r="R37" s="256">
        <f>E37*30%</f>
        <v>1198.194</v>
      </c>
      <c r="S37" s="257">
        <v>0</v>
      </c>
      <c r="T37" s="256">
        <v>0</v>
      </c>
      <c r="U37" s="258">
        <f t="shared" si="1"/>
        <v>4659.1662746111106</v>
      </c>
      <c r="V37" s="256">
        <v>0</v>
      </c>
      <c r="W37" s="256">
        <v>529.20000000000005</v>
      </c>
      <c r="X37" s="256">
        <f t="shared" si="23"/>
        <v>29</v>
      </c>
      <c r="Y37" s="256">
        <f t="shared" si="15"/>
        <v>10.119999999999999</v>
      </c>
      <c r="Z37" s="256">
        <f t="shared" si="11"/>
        <v>17.5</v>
      </c>
      <c r="AA37" s="256">
        <f t="shared" si="16"/>
        <v>24.95</v>
      </c>
      <c r="AB37" s="256">
        <f t="shared" si="12"/>
        <v>230.68</v>
      </c>
      <c r="AC37" s="189">
        <f t="shared" si="2"/>
        <v>841.45</v>
      </c>
      <c r="AD37" s="259">
        <f t="shared" si="3"/>
        <v>9494.5962746111109</v>
      </c>
    </row>
    <row r="38" spans="1:30" s="160" customFormat="1">
      <c r="A38" s="250">
        <v>33</v>
      </c>
      <c r="B38" s="251" t="s">
        <v>423</v>
      </c>
      <c r="C38" s="252">
        <v>1</v>
      </c>
      <c r="D38" s="253">
        <v>2751.84</v>
      </c>
      <c r="E38" s="254">
        <f t="shared" si="0"/>
        <v>2751.84</v>
      </c>
      <c r="F38" s="255">
        <f t="shared" si="4"/>
        <v>966.96600000000024</v>
      </c>
      <c r="G38" s="256">
        <f t="shared" si="5"/>
        <v>35.162400000000005</v>
      </c>
      <c r="H38" s="256">
        <f t="shared" si="6"/>
        <v>281.29920000000004</v>
      </c>
      <c r="I38" s="256">
        <f t="shared" si="13"/>
        <v>112.51968000000002</v>
      </c>
      <c r="J38" s="256">
        <f t="shared" si="14"/>
        <v>229.32000000000002</v>
      </c>
      <c r="K38" s="256">
        <f t="shared" si="7"/>
        <v>229.32000000000002</v>
      </c>
      <c r="L38" s="256">
        <f t="shared" si="8"/>
        <v>76.440000000000012</v>
      </c>
      <c r="M38" s="256">
        <f t="shared" si="9"/>
        <v>229.32000000000002</v>
      </c>
      <c r="N38" s="255">
        <v>0</v>
      </c>
      <c r="O38" s="256">
        <v>0</v>
      </c>
      <c r="P38" s="256">
        <f>E38/150*1.75</f>
        <v>32.104800000000004</v>
      </c>
      <c r="Q38" s="256">
        <f>P38/25*5</f>
        <v>6.4209600000000009</v>
      </c>
      <c r="R38" s="256">
        <v>0</v>
      </c>
      <c r="S38" s="257">
        <v>0</v>
      </c>
      <c r="T38" s="256">
        <v>0</v>
      </c>
      <c r="U38" s="258">
        <f t="shared" si="1"/>
        <v>2198.8730400000004</v>
      </c>
      <c r="V38" s="256">
        <f>C38*99.26</f>
        <v>99.26</v>
      </c>
      <c r="W38" s="256">
        <v>529.20000000000005</v>
      </c>
      <c r="X38" s="256">
        <f t="shared" si="23"/>
        <v>29</v>
      </c>
      <c r="Y38" s="256">
        <f t="shared" si="15"/>
        <v>10.119999999999999</v>
      </c>
      <c r="Z38" s="256">
        <f t="shared" si="11"/>
        <v>17.5</v>
      </c>
      <c r="AA38" s="256">
        <f t="shared" si="16"/>
        <v>24.95</v>
      </c>
      <c r="AB38" s="256">
        <f t="shared" si="12"/>
        <v>230.68</v>
      </c>
      <c r="AC38" s="189">
        <f t="shared" si="2"/>
        <v>940.71</v>
      </c>
      <c r="AD38" s="259">
        <f t="shared" si="3"/>
        <v>5891.4230400000006</v>
      </c>
    </row>
    <row r="39" spans="1:30" s="160" customFormat="1">
      <c r="A39" s="250">
        <v>34</v>
      </c>
      <c r="B39" s="251" t="s">
        <v>424</v>
      </c>
      <c r="C39" s="252">
        <v>1</v>
      </c>
      <c r="D39" s="253">
        <v>2751.84</v>
      </c>
      <c r="E39" s="254">
        <f t="shared" si="0"/>
        <v>2751.84</v>
      </c>
      <c r="F39" s="255">
        <f t="shared" si="4"/>
        <v>966.96600000000024</v>
      </c>
      <c r="G39" s="256">
        <f t="shared" si="5"/>
        <v>35.162400000000005</v>
      </c>
      <c r="H39" s="256">
        <f t="shared" si="6"/>
        <v>281.29920000000004</v>
      </c>
      <c r="I39" s="256">
        <f t="shared" si="13"/>
        <v>112.51968000000002</v>
      </c>
      <c r="J39" s="256">
        <f t="shared" si="14"/>
        <v>229.32000000000002</v>
      </c>
      <c r="K39" s="256">
        <f t="shared" si="7"/>
        <v>229.32000000000002</v>
      </c>
      <c r="L39" s="256">
        <f t="shared" si="8"/>
        <v>76.440000000000012</v>
      </c>
      <c r="M39" s="256">
        <f t="shared" si="9"/>
        <v>229.32000000000002</v>
      </c>
      <c r="N39" s="255">
        <v>0</v>
      </c>
      <c r="O39" s="256">
        <v>0</v>
      </c>
      <c r="P39" s="256">
        <f t="shared" ref="P39:P46" si="30">E39/150*1.75</f>
        <v>32.104800000000004</v>
      </c>
      <c r="Q39" s="256">
        <f t="shared" ref="Q39:Q46" si="31">P39/25*5</f>
        <v>6.4209600000000009</v>
      </c>
      <c r="R39" s="256">
        <v>0</v>
      </c>
      <c r="S39" s="257">
        <v>0</v>
      </c>
      <c r="T39" s="256">
        <v>0</v>
      </c>
      <c r="U39" s="258">
        <f t="shared" si="1"/>
        <v>2198.8730400000004</v>
      </c>
      <c r="V39" s="256">
        <f t="shared" ref="V39:V46" si="32">C39*99.26</f>
        <v>99.26</v>
      </c>
      <c r="W39" s="256">
        <v>529.20000000000005</v>
      </c>
      <c r="X39" s="256">
        <f t="shared" si="23"/>
        <v>29</v>
      </c>
      <c r="Y39" s="256">
        <f t="shared" si="15"/>
        <v>10.119999999999999</v>
      </c>
      <c r="Z39" s="256">
        <f t="shared" si="11"/>
        <v>17.5</v>
      </c>
      <c r="AA39" s="256">
        <f t="shared" si="16"/>
        <v>24.95</v>
      </c>
      <c r="AB39" s="256">
        <f t="shared" si="12"/>
        <v>230.68</v>
      </c>
      <c r="AC39" s="189">
        <f t="shared" si="2"/>
        <v>940.71</v>
      </c>
      <c r="AD39" s="259">
        <f t="shared" si="3"/>
        <v>5891.4230400000006</v>
      </c>
    </row>
    <row r="40" spans="1:30" s="160" customFormat="1">
      <c r="A40" s="250">
        <v>35</v>
      </c>
      <c r="B40" s="251" t="s">
        <v>425</v>
      </c>
      <c r="C40" s="252">
        <v>1</v>
      </c>
      <c r="D40" s="253">
        <v>2751.84</v>
      </c>
      <c r="E40" s="254">
        <f t="shared" si="0"/>
        <v>2751.84</v>
      </c>
      <c r="F40" s="255">
        <f t="shared" si="4"/>
        <v>966.96600000000024</v>
      </c>
      <c r="G40" s="256">
        <f t="shared" si="5"/>
        <v>35.162400000000005</v>
      </c>
      <c r="H40" s="256">
        <f t="shared" si="6"/>
        <v>281.29920000000004</v>
      </c>
      <c r="I40" s="256">
        <f t="shared" si="13"/>
        <v>112.51968000000002</v>
      </c>
      <c r="J40" s="256">
        <f t="shared" si="14"/>
        <v>229.32000000000002</v>
      </c>
      <c r="K40" s="256">
        <f t="shared" si="7"/>
        <v>229.32000000000002</v>
      </c>
      <c r="L40" s="256">
        <f t="shared" si="8"/>
        <v>76.440000000000012</v>
      </c>
      <c r="M40" s="256">
        <f t="shared" si="9"/>
        <v>229.32000000000002</v>
      </c>
      <c r="N40" s="255">
        <v>0</v>
      </c>
      <c r="O40" s="256">
        <v>0</v>
      </c>
      <c r="P40" s="256">
        <f t="shared" si="30"/>
        <v>32.104800000000004</v>
      </c>
      <c r="Q40" s="256">
        <f t="shared" si="31"/>
        <v>6.4209600000000009</v>
      </c>
      <c r="R40" s="256">
        <v>0</v>
      </c>
      <c r="S40" s="257">
        <v>0</v>
      </c>
      <c r="T40" s="256">
        <v>0</v>
      </c>
      <c r="U40" s="258">
        <f t="shared" si="1"/>
        <v>2198.8730400000004</v>
      </c>
      <c r="V40" s="256">
        <f t="shared" si="32"/>
        <v>99.26</v>
      </c>
      <c r="W40" s="256">
        <v>529.20000000000005</v>
      </c>
      <c r="X40" s="256">
        <f t="shared" si="23"/>
        <v>29</v>
      </c>
      <c r="Y40" s="256">
        <f t="shared" si="15"/>
        <v>10.119999999999999</v>
      </c>
      <c r="Z40" s="256">
        <f t="shared" si="11"/>
        <v>17.5</v>
      </c>
      <c r="AA40" s="256">
        <f t="shared" si="16"/>
        <v>24.95</v>
      </c>
      <c r="AB40" s="256">
        <f t="shared" si="12"/>
        <v>230.68</v>
      </c>
      <c r="AC40" s="189">
        <f t="shared" si="2"/>
        <v>940.71</v>
      </c>
      <c r="AD40" s="259">
        <f t="shared" si="3"/>
        <v>5891.4230400000006</v>
      </c>
    </row>
    <row r="41" spans="1:30" s="160" customFormat="1">
      <c r="A41" s="250">
        <v>36</v>
      </c>
      <c r="B41" s="251" t="s">
        <v>426</v>
      </c>
      <c r="C41" s="252">
        <v>1</v>
      </c>
      <c r="D41" s="253">
        <v>2751.84</v>
      </c>
      <c r="E41" s="254">
        <f t="shared" si="0"/>
        <v>2751.84</v>
      </c>
      <c r="F41" s="255">
        <f t="shared" si="4"/>
        <v>966.96600000000024</v>
      </c>
      <c r="G41" s="256">
        <f t="shared" si="5"/>
        <v>35.162400000000005</v>
      </c>
      <c r="H41" s="256">
        <f t="shared" si="6"/>
        <v>281.29920000000004</v>
      </c>
      <c r="I41" s="256">
        <f t="shared" si="13"/>
        <v>112.51968000000002</v>
      </c>
      <c r="J41" s="256">
        <f t="shared" si="14"/>
        <v>229.32000000000002</v>
      </c>
      <c r="K41" s="256">
        <f t="shared" si="7"/>
        <v>229.32000000000002</v>
      </c>
      <c r="L41" s="256">
        <f t="shared" si="8"/>
        <v>76.440000000000012</v>
      </c>
      <c r="M41" s="256">
        <f t="shared" si="9"/>
        <v>229.32000000000002</v>
      </c>
      <c r="N41" s="255">
        <v>0</v>
      </c>
      <c r="O41" s="256">
        <v>0</v>
      </c>
      <c r="P41" s="256">
        <f t="shared" si="30"/>
        <v>32.104800000000004</v>
      </c>
      <c r="Q41" s="256">
        <f t="shared" si="31"/>
        <v>6.4209600000000009</v>
      </c>
      <c r="R41" s="256">
        <v>0</v>
      </c>
      <c r="S41" s="257">
        <v>0</v>
      </c>
      <c r="T41" s="256">
        <v>0</v>
      </c>
      <c r="U41" s="258">
        <f t="shared" si="1"/>
        <v>2198.8730400000004</v>
      </c>
      <c r="V41" s="256">
        <f t="shared" si="32"/>
        <v>99.26</v>
      </c>
      <c r="W41" s="256">
        <v>529.20000000000005</v>
      </c>
      <c r="X41" s="256">
        <f t="shared" si="23"/>
        <v>29</v>
      </c>
      <c r="Y41" s="256">
        <f t="shared" si="15"/>
        <v>10.119999999999999</v>
      </c>
      <c r="Z41" s="256">
        <f t="shared" si="11"/>
        <v>17.5</v>
      </c>
      <c r="AA41" s="256">
        <f t="shared" si="16"/>
        <v>24.95</v>
      </c>
      <c r="AB41" s="256">
        <f t="shared" si="12"/>
        <v>230.68</v>
      </c>
      <c r="AC41" s="189">
        <f t="shared" si="2"/>
        <v>940.71</v>
      </c>
      <c r="AD41" s="259">
        <f t="shared" si="3"/>
        <v>5891.4230400000006</v>
      </c>
    </row>
    <row r="42" spans="1:30" s="160" customFormat="1">
      <c r="A42" s="250">
        <v>37</v>
      </c>
      <c r="B42" s="251" t="s">
        <v>427</v>
      </c>
      <c r="C42" s="252">
        <v>1</v>
      </c>
      <c r="D42" s="253">
        <v>2751.84</v>
      </c>
      <c r="E42" s="254">
        <f t="shared" si="0"/>
        <v>2751.84</v>
      </c>
      <c r="F42" s="255">
        <f t="shared" si="4"/>
        <v>966.96600000000024</v>
      </c>
      <c r="G42" s="256">
        <f t="shared" si="5"/>
        <v>35.162400000000005</v>
      </c>
      <c r="H42" s="256">
        <f t="shared" si="6"/>
        <v>281.29920000000004</v>
      </c>
      <c r="I42" s="256">
        <f t="shared" si="13"/>
        <v>112.51968000000002</v>
      </c>
      <c r="J42" s="256">
        <f t="shared" si="14"/>
        <v>229.32000000000002</v>
      </c>
      <c r="K42" s="256">
        <f t="shared" si="7"/>
        <v>229.32000000000002</v>
      </c>
      <c r="L42" s="256">
        <f t="shared" si="8"/>
        <v>76.440000000000012</v>
      </c>
      <c r="M42" s="256">
        <f t="shared" si="9"/>
        <v>229.32000000000002</v>
      </c>
      <c r="N42" s="255">
        <v>0</v>
      </c>
      <c r="O42" s="256">
        <v>0</v>
      </c>
      <c r="P42" s="256">
        <f t="shared" si="30"/>
        <v>32.104800000000004</v>
      </c>
      <c r="Q42" s="256">
        <f t="shared" si="31"/>
        <v>6.4209600000000009</v>
      </c>
      <c r="R42" s="256">
        <v>0</v>
      </c>
      <c r="S42" s="257">
        <v>0</v>
      </c>
      <c r="T42" s="256">
        <v>0</v>
      </c>
      <c r="U42" s="258">
        <f t="shared" si="1"/>
        <v>2198.8730400000004</v>
      </c>
      <c r="V42" s="256">
        <f t="shared" si="32"/>
        <v>99.26</v>
      </c>
      <c r="W42" s="256">
        <v>529.20000000000005</v>
      </c>
      <c r="X42" s="256">
        <f t="shared" si="23"/>
        <v>29</v>
      </c>
      <c r="Y42" s="256">
        <f t="shared" si="15"/>
        <v>10.119999999999999</v>
      </c>
      <c r="Z42" s="256">
        <f t="shared" si="11"/>
        <v>17.5</v>
      </c>
      <c r="AA42" s="256">
        <f t="shared" si="16"/>
        <v>24.95</v>
      </c>
      <c r="AB42" s="256">
        <f t="shared" si="12"/>
        <v>230.68</v>
      </c>
      <c r="AC42" s="189">
        <f t="shared" si="2"/>
        <v>940.71</v>
      </c>
      <c r="AD42" s="259">
        <f t="shared" si="3"/>
        <v>5891.4230400000006</v>
      </c>
    </row>
    <row r="43" spans="1:30" s="160" customFormat="1">
      <c r="A43" s="250">
        <v>38</v>
      </c>
      <c r="B43" s="251" t="s">
        <v>428</v>
      </c>
      <c r="C43" s="252">
        <v>1</v>
      </c>
      <c r="D43" s="253">
        <v>1852.2</v>
      </c>
      <c r="E43" s="254">
        <f t="shared" si="0"/>
        <v>1852.2</v>
      </c>
      <c r="F43" s="255">
        <f t="shared" si="4"/>
        <v>650.84249999999997</v>
      </c>
      <c r="G43" s="256">
        <f t="shared" si="5"/>
        <v>23.666999999999998</v>
      </c>
      <c r="H43" s="256">
        <f t="shared" si="6"/>
        <v>189.33599999999998</v>
      </c>
      <c r="I43" s="256">
        <f t="shared" si="13"/>
        <v>75.734399999999994</v>
      </c>
      <c r="J43" s="256">
        <f t="shared" si="14"/>
        <v>154.35</v>
      </c>
      <c r="K43" s="256">
        <f t="shared" si="7"/>
        <v>154.35</v>
      </c>
      <c r="L43" s="256">
        <f t="shared" si="8"/>
        <v>51.449999999999996</v>
      </c>
      <c r="M43" s="256">
        <f t="shared" si="9"/>
        <v>154.35</v>
      </c>
      <c r="N43" s="255">
        <v>0</v>
      </c>
      <c r="O43" s="256">
        <v>0</v>
      </c>
      <c r="P43" s="256">
        <f t="shared" si="30"/>
        <v>21.609000000000002</v>
      </c>
      <c r="Q43" s="256">
        <f t="shared" si="31"/>
        <v>4.3217999999999996</v>
      </c>
      <c r="R43" s="256">
        <v>0</v>
      </c>
      <c r="S43" s="257">
        <v>0</v>
      </c>
      <c r="T43" s="256">
        <v>0</v>
      </c>
      <c r="U43" s="258">
        <f t="shared" si="1"/>
        <v>1480.0106999999996</v>
      </c>
      <c r="V43" s="256">
        <f t="shared" si="32"/>
        <v>99.26</v>
      </c>
      <c r="W43" s="256">
        <v>529.20000000000005</v>
      </c>
      <c r="X43" s="256">
        <f t="shared" si="23"/>
        <v>29</v>
      </c>
      <c r="Y43" s="256">
        <f t="shared" si="15"/>
        <v>10.119999999999999</v>
      </c>
      <c r="Z43" s="256">
        <f t="shared" si="11"/>
        <v>17.5</v>
      </c>
      <c r="AA43" s="256">
        <f t="shared" si="16"/>
        <v>24.95</v>
      </c>
      <c r="AB43" s="256">
        <f t="shared" si="12"/>
        <v>230.68</v>
      </c>
      <c r="AC43" s="189">
        <f t="shared" si="2"/>
        <v>940.71</v>
      </c>
      <c r="AD43" s="259">
        <f t="shared" si="3"/>
        <v>4272.9206999999997</v>
      </c>
    </row>
    <row r="44" spans="1:30" s="160" customFormat="1">
      <c r="A44" s="250">
        <v>39</v>
      </c>
      <c r="B44" s="251" t="s">
        <v>429</v>
      </c>
      <c r="C44" s="252">
        <v>1</v>
      </c>
      <c r="D44" s="253">
        <v>1737.89</v>
      </c>
      <c r="E44" s="254">
        <f t="shared" si="0"/>
        <v>1737.89</v>
      </c>
      <c r="F44" s="255">
        <f t="shared" si="4"/>
        <v>610.6752361111113</v>
      </c>
      <c r="G44" s="256">
        <f t="shared" si="5"/>
        <v>22.206372222222225</v>
      </c>
      <c r="H44" s="256">
        <f t="shared" si="6"/>
        <v>177.6509777777778</v>
      </c>
      <c r="I44" s="256">
        <f t="shared" si="13"/>
        <v>71.060391111111116</v>
      </c>
      <c r="J44" s="256">
        <f t="shared" si="14"/>
        <v>144.82416666666668</v>
      </c>
      <c r="K44" s="256">
        <f t="shared" si="7"/>
        <v>144.82416666666668</v>
      </c>
      <c r="L44" s="256">
        <f t="shared" si="8"/>
        <v>48.274722222222231</v>
      </c>
      <c r="M44" s="256">
        <f t="shared" si="9"/>
        <v>144.82416666666668</v>
      </c>
      <c r="N44" s="255">
        <v>0</v>
      </c>
      <c r="O44" s="256">
        <v>0</v>
      </c>
      <c r="P44" s="256">
        <f t="shared" si="30"/>
        <v>20.275383333333334</v>
      </c>
      <c r="Q44" s="256">
        <f t="shared" si="31"/>
        <v>4.0550766666666664</v>
      </c>
      <c r="R44" s="256">
        <v>0</v>
      </c>
      <c r="S44" s="257">
        <v>0</v>
      </c>
      <c r="T44" s="256">
        <v>0</v>
      </c>
      <c r="U44" s="258">
        <f t="shared" si="1"/>
        <v>1388.6706594444449</v>
      </c>
      <c r="V44" s="256">
        <f t="shared" si="32"/>
        <v>99.26</v>
      </c>
      <c r="W44" s="256">
        <v>529.20000000000005</v>
      </c>
      <c r="X44" s="256">
        <f t="shared" si="23"/>
        <v>29</v>
      </c>
      <c r="Y44" s="256">
        <f t="shared" si="15"/>
        <v>10.119999999999999</v>
      </c>
      <c r="Z44" s="256">
        <f t="shared" si="11"/>
        <v>17.5</v>
      </c>
      <c r="AA44" s="256">
        <f t="shared" si="16"/>
        <v>24.95</v>
      </c>
      <c r="AB44" s="256">
        <f t="shared" si="12"/>
        <v>230.68</v>
      </c>
      <c r="AC44" s="189">
        <f t="shared" si="2"/>
        <v>940.71</v>
      </c>
      <c r="AD44" s="259">
        <f t="shared" si="3"/>
        <v>4067.2706594444453</v>
      </c>
    </row>
    <row r="45" spans="1:30" s="160" customFormat="1">
      <c r="A45" s="250">
        <v>40</v>
      </c>
      <c r="B45" s="251" t="s">
        <v>430</v>
      </c>
      <c r="C45" s="252">
        <v>1</v>
      </c>
      <c r="D45" s="253">
        <v>1465.88</v>
      </c>
      <c r="E45" s="254">
        <f t="shared" si="0"/>
        <v>1465.88</v>
      </c>
      <c r="F45" s="255">
        <f t="shared" si="4"/>
        <v>515.09394444444456</v>
      </c>
      <c r="G45" s="256">
        <f t="shared" si="5"/>
        <v>18.730688888888892</v>
      </c>
      <c r="H45" s="256">
        <f t="shared" si="6"/>
        <v>149.84551111111114</v>
      </c>
      <c r="I45" s="256">
        <f t="shared" si="13"/>
        <v>59.938204444444459</v>
      </c>
      <c r="J45" s="256">
        <f t="shared" si="14"/>
        <v>122.15666666666668</v>
      </c>
      <c r="K45" s="256">
        <f t="shared" si="7"/>
        <v>122.15666666666668</v>
      </c>
      <c r="L45" s="256">
        <f t="shared" si="8"/>
        <v>40.718888888888891</v>
      </c>
      <c r="M45" s="256">
        <f t="shared" si="9"/>
        <v>122.15666666666668</v>
      </c>
      <c r="N45" s="255">
        <v>0</v>
      </c>
      <c r="O45" s="256">
        <v>0</v>
      </c>
      <c r="P45" s="256">
        <f t="shared" si="30"/>
        <v>17.101933333333335</v>
      </c>
      <c r="Q45" s="256">
        <f t="shared" si="31"/>
        <v>3.4203866666666674</v>
      </c>
      <c r="R45" s="256">
        <v>0</v>
      </c>
      <c r="S45" s="257">
        <v>0</v>
      </c>
      <c r="T45" s="256">
        <v>0</v>
      </c>
      <c r="U45" s="258">
        <f t="shared" si="1"/>
        <v>1171.3195577777778</v>
      </c>
      <c r="V45" s="256">
        <f t="shared" si="32"/>
        <v>99.26</v>
      </c>
      <c r="W45" s="256">
        <v>529.20000000000005</v>
      </c>
      <c r="X45" s="256">
        <f t="shared" si="23"/>
        <v>29</v>
      </c>
      <c r="Y45" s="256">
        <f t="shared" si="15"/>
        <v>10.119999999999999</v>
      </c>
      <c r="Z45" s="256">
        <f t="shared" si="11"/>
        <v>17.5</v>
      </c>
      <c r="AA45" s="256">
        <f t="shared" si="16"/>
        <v>24.95</v>
      </c>
      <c r="AB45" s="256">
        <f t="shared" si="12"/>
        <v>230.68</v>
      </c>
      <c r="AC45" s="189">
        <f t="shared" si="2"/>
        <v>940.71</v>
      </c>
      <c r="AD45" s="259">
        <f t="shared" si="3"/>
        <v>3577.909557777778</v>
      </c>
    </row>
    <row r="46" spans="1:30" s="160" customFormat="1">
      <c r="A46" s="250">
        <v>41</v>
      </c>
      <c r="B46" s="251" t="s">
        <v>431</v>
      </c>
      <c r="C46" s="252">
        <v>1</v>
      </c>
      <c r="D46" s="253">
        <v>1537.21</v>
      </c>
      <c r="E46" s="254">
        <f t="shared" si="0"/>
        <v>1537.21</v>
      </c>
      <c r="F46" s="255">
        <f t="shared" si="4"/>
        <v>540.15851388888905</v>
      </c>
      <c r="G46" s="256">
        <f t="shared" si="5"/>
        <v>19.64212777777778</v>
      </c>
      <c r="H46" s="256">
        <f t="shared" si="6"/>
        <v>157.13702222222224</v>
      </c>
      <c r="I46" s="256">
        <f t="shared" si="13"/>
        <v>62.854808888888897</v>
      </c>
      <c r="J46" s="256">
        <f t="shared" si="14"/>
        <v>128.10083333333333</v>
      </c>
      <c r="K46" s="256">
        <f t="shared" si="7"/>
        <v>128.10083333333333</v>
      </c>
      <c r="L46" s="256">
        <f t="shared" si="8"/>
        <v>42.700277777777778</v>
      </c>
      <c r="M46" s="256">
        <f t="shared" si="9"/>
        <v>128.10083333333333</v>
      </c>
      <c r="N46" s="255">
        <v>0</v>
      </c>
      <c r="O46" s="256">
        <v>0</v>
      </c>
      <c r="P46" s="256">
        <f t="shared" si="30"/>
        <v>17.934116666666668</v>
      </c>
      <c r="Q46" s="256">
        <f t="shared" si="31"/>
        <v>3.5868233333333337</v>
      </c>
      <c r="R46" s="256">
        <v>0</v>
      </c>
      <c r="S46" s="257">
        <v>0</v>
      </c>
      <c r="T46" s="256">
        <v>0</v>
      </c>
      <c r="U46" s="258">
        <f t="shared" si="1"/>
        <v>1228.3161905555557</v>
      </c>
      <c r="V46" s="256">
        <f t="shared" si="32"/>
        <v>99.26</v>
      </c>
      <c r="W46" s="256">
        <v>529.20000000000005</v>
      </c>
      <c r="X46" s="256">
        <f t="shared" si="23"/>
        <v>29</v>
      </c>
      <c r="Y46" s="256">
        <f t="shared" si="15"/>
        <v>10.119999999999999</v>
      </c>
      <c r="Z46" s="256">
        <f t="shared" si="11"/>
        <v>17.5</v>
      </c>
      <c r="AA46" s="256">
        <f t="shared" si="16"/>
        <v>24.95</v>
      </c>
      <c r="AB46" s="256">
        <f t="shared" si="12"/>
        <v>230.68</v>
      </c>
      <c r="AC46" s="189">
        <f t="shared" si="2"/>
        <v>940.71</v>
      </c>
      <c r="AD46" s="259">
        <f t="shared" si="3"/>
        <v>3706.2361905555558</v>
      </c>
    </row>
    <row r="47" spans="1:30" s="160" customFormat="1">
      <c r="A47" s="250">
        <v>42</v>
      </c>
      <c r="B47" s="251" t="s">
        <v>435</v>
      </c>
      <c r="C47" s="252">
        <v>2</v>
      </c>
      <c r="D47" s="253">
        <v>2010.96</v>
      </c>
      <c r="E47" s="254">
        <f t="shared" si="0"/>
        <v>4021.92</v>
      </c>
      <c r="F47" s="255">
        <f t="shared" si="4"/>
        <v>1632.0057600000002</v>
      </c>
      <c r="G47" s="256">
        <f t="shared" si="5"/>
        <v>59.345664000000006</v>
      </c>
      <c r="H47" s="256">
        <f t="shared" si="6"/>
        <v>474.76531200000005</v>
      </c>
      <c r="I47" s="256">
        <f t="shared" si="13"/>
        <v>189.90612480000004</v>
      </c>
      <c r="J47" s="256">
        <f t="shared" si="14"/>
        <v>498.27119999999996</v>
      </c>
      <c r="K47" s="256">
        <f t="shared" si="7"/>
        <v>498.27119999999996</v>
      </c>
      <c r="L47" s="256">
        <f t="shared" si="8"/>
        <v>145.23600000000002</v>
      </c>
      <c r="M47" s="256">
        <f t="shared" si="9"/>
        <v>368.67599999999999</v>
      </c>
      <c r="N47" s="255">
        <v>0</v>
      </c>
      <c r="O47" s="256">
        <v>0</v>
      </c>
      <c r="P47" s="256">
        <f>(R47+E47)/210*1.75*1.2</f>
        <v>52.284959999999998</v>
      </c>
      <c r="Q47" s="256">
        <f>P47/6</f>
        <v>8.7141599999999997</v>
      </c>
      <c r="R47" s="256">
        <f>E47*30%</f>
        <v>1206.576</v>
      </c>
      <c r="S47" s="257">
        <f>(D47*10%)*C47</f>
        <v>402.19200000000001</v>
      </c>
      <c r="T47" s="256">
        <f>(E47+R47+N47+O47)/30*2</f>
        <v>348.56639999999999</v>
      </c>
      <c r="U47" s="258">
        <f t="shared" si="1"/>
        <v>5884.8107808000004</v>
      </c>
      <c r="V47" s="256">
        <f>C47*67.68</f>
        <v>135.36000000000001</v>
      </c>
      <c r="W47" s="256">
        <f>C47*529.2</f>
        <v>1058.4000000000001</v>
      </c>
      <c r="X47" s="256">
        <f t="shared" si="23"/>
        <v>58</v>
      </c>
      <c r="Y47" s="256">
        <f t="shared" si="15"/>
        <v>20.239999999999998</v>
      </c>
      <c r="Z47" s="256">
        <f t="shared" si="11"/>
        <v>35</v>
      </c>
      <c r="AA47" s="256">
        <f t="shared" si="16"/>
        <v>49.9</v>
      </c>
      <c r="AB47" s="256">
        <f t="shared" si="12"/>
        <v>461.36</v>
      </c>
      <c r="AC47" s="189">
        <f t="shared" si="2"/>
        <v>1818.2600000000002</v>
      </c>
      <c r="AD47" s="259">
        <f t="shared" si="3"/>
        <v>11724.990780800001</v>
      </c>
    </row>
    <row r="48" spans="1:30" s="160" customFormat="1">
      <c r="A48" s="250">
        <v>43</v>
      </c>
      <c r="B48" s="251" t="s">
        <v>432</v>
      </c>
      <c r="C48" s="252">
        <v>12</v>
      </c>
      <c r="D48" s="253">
        <v>2010.96</v>
      </c>
      <c r="E48" s="254">
        <f t="shared" si="0"/>
        <v>24131.52</v>
      </c>
      <c r="F48" s="255">
        <f t="shared" si="4"/>
        <v>8962.5135600000012</v>
      </c>
      <c r="G48" s="256">
        <f t="shared" si="5"/>
        <v>325.90958400000005</v>
      </c>
      <c r="H48" s="256">
        <f t="shared" si="6"/>
        <v>2607.2766720000004</v>
      </c>
      <c r="I48" s="256">
        <f t="shared" si="13"/>
        <v>1042.9106688000002</v>
      </c>
      <c r="J48" s="256">
        <f t="shared" si="14"/>
        <v>2788.5311999999999</v>
      </c>
      <c r="K48" s="256">
        <f t="shared" si="7"/>
        <v>2788.5311999999999</v>
      </c>
      <c r="L48" s="256">
        <f t="shared" si="8"/>
        <v>871.41600000000005</v>
      </c>
      <c r="M48" s="256">
        <f t="shared" si="9"/>
        <v>2010.96</v>
      </c>
      <c r="N48" s="255">
        <v>0</v>
      </c>
      <c r="O48" s="256">
        <v>0</v>
      </c>
      <c r="P48" s="256">
        <f>(R48+E48)/210*1.75*1.2</f>
        <v>313.70976000000002</v>
      </c>
      <c r="Q48" s="256">
        <f>P48/6</f>
        <v>52.284960000000005</v>
      </c>
      <c r="R48" s="256">
        <f>E48*30%</f>
        <v>7239.4560000000001</v>
      </c>
      <c r="S48" s="257"/>
      <c r="T48" s="256">
        <f t="shared" ref="T48:T50" si="33">(E48+R48+N48+O48)/30*2</f>
        <v>2091.3984</v>
      </c>
      <c r="U48" s="258">
        <f t="shared" si="1"/>
        <v>31094.898004800001</v>
      </c>
      <c r="V48" s="256">
        <f t="shared" ref="V48:V50" si="34">C48*67.68</f>
        <v>812.16000000000008</v>
      </c>
      <c r="W48" s="256">
        <f>C48*529.2</f>
        <v>6350.4000000000005</v>
      </c>
      <c r="X48" s="256">
        <f t="shared" si="23"/>
        <v>348</v>
      </c>
      <c r="Y48" s="256">
        <f t="shared" si="15"/>
        <v>121.44</v>
      </c>
      <c r="Z48" s="256">
        <f t="shared" si="11"/>
        <v>210</v>
      </c>
      <c r="AA48" s="256">
        <f t="shared" si="16"/>
        <v>299.39999999999998</v>
      </c>
      <c r="AB48" s="256">
        <f t="shared" si="12"/>
        <v>2768.16</v>
      </c>
      <c r="AC48" s="189">
        <f t="shared" si="2"/>
        <v>10909.56</v>
      </c>
      <c r="AD48" s="259">
        <f t="shared" si="3"/>
        <v>66135.978004799996</v>
      </c>
    </row>
    <row r="49" spans="1:30" s="160" customFormat="1">
      <c r="A49" s="250">
        <v>44</v>
      </c>
      <c r="B49" s="251" t="s">
        <v>433</v>
      </c>
      <c r="C49" s="252">
        <v>2</v>
      </c>
      <c r="D49" s="253">
        <v>2010.96</v>
      </c>
      <c r="E49" s="254">
        <f t="shared" si="0"/>
        <v>4021.92</v>
      </c>
      <c r="F49" s="255">
        <f t="shared" si="4"/>
        <v>1677.4484906666671</v>
      </c>
      <c r="G49" s="256">
        <f t="shared" si="5"/>
        <v>60.998126933333346</v>
      </c>
      <c r="H49" s="256">
        <f t="shared" si="6"/>
        <v>487.98501546666677</v>
      </c>
      <c r="I49" s="256">
        <f t="shared" si="13"/>
        <v>195.19400618666671</v>
      </c>
      <c r="J49" s="256">
        <f t="shared" si="14"/>
        <v>580.89434666666671</v>
      </c>
      <c r="K49" s="256">
        <f t="shared" si="7"/>
        <v>580.89434666666671</v>
      </c>
      <c r="L49" s="256">
        <f t="shared" si="8"/>
        <v>145.23600000000002</v>
      </c>
      <c r="M49" s="256">
        <f t="shared" si="9"/>
        <v>368.67599999999999</v>
      </c>
      <c r="N49" s="255">
        <f>(R49+E49)/210*20%*160</f>
        <v>796.72320000000013</v>
      </c>
      <c r="O49" s="256">
        <f>N49/6</f>
        <v>132.78720000000001</v>
      </c>
      <c r="P49" s="256">
        <f>(R49+E49)/210*1.75*1.2</f>
        <v>52.284959999999998</v>
      </c>
      <c r="Q49" s="256">
        <f>P49/6</f>
        <v>8.7141599999999997</v>
      </c>
      <c r="R49" s="256">
        <f>E49*30%</f>
        <v>1206.576</v>
      </c>
      <c r="S49" s="257">
        <f t="shared" ref="S49" si="35">(D49*10%)*C49</f>
        <v>402.19200000000001</v>
      </c>
      <c r="T49" s="256">
        <f t="shared" si="33"/>
        <v>410.53376000000003</v>
      </c>
      <c r="U49" s="258">
        <f t="shared" si="1"/>
        <v>7107.1376125866691</v>
      </c>
      <c r="V49" s="256">
        <f t="shared" si="34"/>
        <v>135.36000000000001</v>
      </c>
      <c r="W49" s="256">
        <f>C49*529.2</f>
        <v>1058.4000000000001</v>
      </c>
      <c r="X49" s="256">
        <f t="shared" si="23"/>
        <v>58</v>
      </c>
      <c r="Y49" s="256">
        <f t="shared" si="15"/>
        <v>20.239999999999998</v>
      </c>
      <c r="Z49" s="256">
        <f t="shared" si="11"/>
        <v>35</v>
      </c>
      <c r="AA49" s="256">
        <f t="shared" si="16"/>
        <v>49.9</v>
      </c>
      <c r="AB49" s="256">
        <f t="shared" si="12"/>
        <v>461.36</v>
      </c>
      <c r="AC49" s="189">
        <f t="shared" si="2"/>
        <v>1818.2600000000002</v>
      </c>
      <c r="AD49" s="259">
        <f t="shared" si="3"/>
        <v>12947.317612586668</v>
      </c>
    </row>
    <row r="50" spans="1:30" s="160" customFormat="1">
      <c r="A50" s="250">
        <v>45</v>
      </c>
      <c r="B50" s="251" t="s">
        <v>434</v>
      </c>
      <c r="C50" s="252">
        <v>6</v>
      </c>
      <c r="D50" s="253">
        <v>2010.96</v>
      </c>
      <c r="E50" s="254">
        <f t="shared" si="0"/>
        <v>12065.76</v>
      </c>
      <c r="F50" s="255">
        <f t="shared" si="4"/>
        <v>4617.5849719999997</v>
      </c>
      <c r="G50" s="256">
        <f t="shared" si="5"/>
        <v>167.91218079999999</v>
      </c>
      <c r="H50" s="256">
        <f t="shared" si="6"/>
        <v>1343.2974463999999</v>
      </c>
      <c r="I50" s="256">
        <f t="shared" si="13"/>
        <v>537.31897856000001</v>
      </c>
      <c r="J50" s="256">
        <f t="shared" si="14"/>
        <v>1642.1350399999999</v>
      </c>
      <c r="K50" s="256">
        <f t="shared" si="7"/>
        <v>1642.1350399999999</v>
      </c>
      <c r="L50" s="256">
        <f t="shared" si="8"/>
        <v>435.70800000000003</v>
      </c>
      <c r="M50" s="256">
        <f t="shared" si="9"/>
        <v>1005.48</v>
      </c>
      <c r="N50" s="255">
        <f>(R50+E50)/210*20%*160</f>
        <v>2390.1696000000002</v>
      </c>
      <c r="O50" s="256">
        <f>N50/6</f>
        <v>398.36160000000001</v>
      </c>
      <c r="P50" s="256">
        <f>(R50+E50)/210*1.75*1.2</f>
        <v>156.85488000000001</v>
      </c>
      <c r="Q50" s="256">
        <f>P50/6</f>
        <v>26.142480000000003</v>
      </c>
      <c r="R50" s="256">
        <f>E50*30%</f>
        <v>3619.7280000000001</v>
      </c>
      <c r="S50" s="257">
        <v>0</v>
      </c>
      <c r="T50" s="256">
        <f t="shared" si="33"/>
        <v>1231.6012800000001</v>
      </c>
      <c r="U50" s="258">
        <f t="shared" si="1"/>
        <v>19214.429497759997</v>
      </c>
      <c r="V50" s="256">
        <f t="shared" si="34"/>
        <v>406.08000000000004</v>
      </c>
      <c r="W50" s="256">
        <f>C50*529.2</f>
        <v>3175.2000000000003</v>
      </c>
      <c r="X50" s="256">
        <f t="shared" si="23"/>
        <v>174</v>
      </c>
      <c r="Y50" s="256">
        <f t="shared" si="15"/>
        <v>60.72</v>
      </c>
      <c r="Z50" s="256">
        <f t="shared" si="11"/>
        <v>105</v>
      </c>
      <c r="AA50" s="256">
        <f t="shared" si="16"/>
        <v>149.69999999999999</v>
      </c>
      <c r="AB50" s="256">
        <f t="shared" si="12"/>
        <v>1384.08</v>
      </c>
      <c r="AC50" s="189">
        <f t="shared" si="2"/>
        <v>5454.78</v>
      </c>
      <c r="AD50" s="259">
        <f t="shared" si="3"/>
        <v>36734.969497759994</v>
      </c>
    </row>
    <row r="51" spans="1:30" s="160" customFormat="1">
      <c r="A51" s="250">
        <v>46</v>
      </c>
      <c r="B51" s="251" t="s">
        <v>460</v>
      </c>
      <c r="C51" s="252">
        <v>1</v>
      </c>
      <c r="D51" s="253">
        <v>6879.6</v>
      </c>
      <c r="E51" s="254">
        <f t="shared" si="0"/>
        <v>6879.6</v>
      </c>
      <c r="F51" s="255">
        <f t="shared" si="4"/>
        <v>2417.4150000000004</v>
      </c>
      <c r="G51" s="256">
        <f t="shared" si="5"/>
        <v>87.906000000000006</v>
      </c>
      <c r="H51" s="256">
        <f t="shared" si="6"/>
        <v>703.24800000000005</v>
      </c>
      <c r="I51" s="256">
        <f t="shared" si="13"/>
        <v>281.29920000000004</v>
      </c>
      <c r="J51" s="256">
        <f t="shared" si="14"/>
        <v>573.30000000000007</v>
      </c>
      <c r="K51" s="256">
        <f t="shared" si="7"/>
        <v>573.30000000000007</v>
      </c>
      <c r="L51" s="256">
        <f t="shared" si="8"/>
        <v>191.10000000000002</v>
      </c>
      <c r="M51" s="256">
        <f t="shared" si="9"/>
        <v>573.30000000000007</v>
      </c>
      <c r="N51" s="255">
        <v>0</v>
      </c>
      <c r="O51" s="256">
        <v>0</v>
      </c>
      <c r="P51" s="256">
        <v>0</v>
      </c>
      <c r="Q51" s="256">
        <v>0</v>
      </c>
      <c r="R51" s="256">
        <v>0</v>
      </c>
      <c r="S51" s="257">
        <v>0</v>
      </c>
      <c r="T51" s="256">
        <v>0</v>
      </c>
      <c r="U51" s="258">
        <f t="shared" si="1"/>
        <v>5400.8682000000008</v>
      </c>
      <c r="V51" s="256">
        <v>0</v>
      </c>
      <c r="W51" s="256">
        <v>529.20000000000005</v>
      </c>
      <c r="X51" s="256">
        <f t="shared" si="23"/>
        <v>29</v>
      </c>
      <c r="Y51" s="256">
        <f t="shared" si="15"/>
        <v>10.119999999999999</v>
      </c>
      <c r="Z51" s="256">
        <f t="shared" si="11"/>
        <v>17.5</v>
      </c>
      <c r="AA51" s="256">
        <f t="shared" si="16"/>
        <v>24.95</v>
      </c>
      <c r="AB51" s="256">
        <f t="shared" si="12"/>
        <v>230.68</v>
      </c>
      <c r="AC51" s="189">
        <f t="shared" si="2"/>
        <v>841.45</v>
      </c>
      <c r="AD51" s="259">
        <f t="shared" si="3"/>
        <v>13121.918200000002</v>
      </c>
    </row>
    <row r="52" spans="1:30" s="160" customFormat="1">
      <c r="A52" s="250">
        <v>47</v>
      </c>
      <c r="B52" s="251" t="s">
        <v>422</v>
      </c>
      <c r="C52" s="252">
        <v>1</v>
      </c>
      <c r="D52" s="253">
        <v>3993.98</v>
      </c>
      <c r="E52" s="254">
        <f t="shared" si="0"/>
        <v>3993.98</v>
      </c>
      <c r="F52" s="255">
        <f t="shared" si="4"/>
        <v>1467.5102902777778</v>
      </c>
      <c r="G52" s="256">
        <f t="shared" si="5"/>
        <v>53.364010555555552</v>
      </c>
      <c r="H52" s="256">
        <f t="shared" si="6"/>
        <v>426.91208444444442</v>
      </c>
      <c r="I52" s="256">
        <f t="shared" si="13"/>
        <v>170.76483377777777</v>
      </c>
      <c r="J52" s="256">
        <f t="shared" si="14"/>
        <v>432.68116666666668</v>
      </c>
      <c r="K52" s="256">
        <f t="shared" si="7"/>
        <v>432.68116666666668</v>
      </c>
      <c r="L52" s="256">
        <f t="shared" si="8"/>
        <v>144.22705555555555</v>
      </c>
      <c r="M52" s="256">
        <f t="shared" si="9"/>
        <v>332.83166666666665</v>
      </c>
      <c r="N52" s="255">
        <v>0</v>
      </c>
      <c r="O52" s="256">
        <v>0</v>
      </c>
      <c r="P52" s="256">
        <v>0</v>
      </c>
      <c r="Q52" s="256">
        <v>0</v>
      </c>
      <c r="R52" s="256">
        <f>E52*30%</f>
        <v>1198.194</v>
      </c>
      <c r="S52" s="257">
        <v>0</v>
      </c>
      <c r="T52" s="256">
        <v>0</v>
      </c>
      <c r="U52" s="258">
        <f t="shared" si="1"/>
        <v>4659.1662746111106</v>
      </c>
      <c r="V52" s="256">
        <v>0</v>
      </c>
      <c r="W52" s="256">
        <v>529.20000000000005</v>
      </c>
      <c r="X52" s="256">
        <f t="shared" si="23"/>
        <v>29</v>
      </c>
      <c r="Y52" s="256">
        <f t="shared" si="15"/>
        <v>10.119999999999999</v>
      </c>
      <c r="Z52" s="256">
        <f t="shared" si="11"/>
        <v>17.5</v>
      </c>
      <c r="AA52" s="256">
        <f t="shared" si="16"/>
        <v>24.95</v>
      </c>
      <c r="AB52" s="256">
        <f t="shared" si="12"/>
        <v>230.68</v>
      </c>
      <c r="AC52" s="189">
        <f t="shared" si="2"/>
        <v>841.45</v>
      </c>
      <c r="AD52" s="259">
        <f t="shared" si="3"/>
        <v>9494.5962746111109</v>
      </c>
    </row>
    <row r="53" spans="1:30" s="160" customFormat="1">
      <c r="A53" s="250">
        <v>48</v>
      </c>
      <c r="B53" s="251" t="s">
        <v>423</v>
      </c>
      <c r="C53" s="252">
        <v>1</v>
      </c>
      <c r="D53" s="253">
        <v>2751.84</v>
      </c>
      <c r="E53" s="254">
        <f t="shared" si="0"/>
        <v>2751.84</v>
      </c>
      <c r="F53" s="255">
        <f t="shared" si="4"/>
        <v>966.96600000000024</v>
      </c>
      <c r="G53" s="256">
        <f t="shared" si="5"/>
        <v>35.162400000000005</v>
      </c>
      <c r="H53" s="256">
        <f t="shared" si="6"/>
        <v>281.29920000000004</v>
      </c>
      <c r="I53" s="256">
        <f t="shared" si="13"/>
        <v>112.51968000000002</v>
      </c>
      <c r="J53" s="256">
        <f t="shared" si="14"/>
        <v>229.32000000000002</v>
      </c>
      <c r="K53" s="256">
        <f t="shared" si="7"/>
        <v>229.32000000000002</v>
      </c>
      <c r="L53" s="256">
        <f t="shared" si="8"/>
        <v>76.440000000000012</v>
      </c>
      <c r="M53" s="256">
        <f t="shared" si="9"/>
        <v>229.32000000000002</v>
      </c>
      <c r="N53" s="255">
        <v>0</v>
      </c>
      <c r="O53" s="256">
        <v>0</v>
      </c>
      <c r="P53" s="256">
        <f>E53/150*1.75</f>
        <v>32.104800000000004</v>
      </c>
      <c r="Q53" s="256">
        <f>P53/25*5</f>
        <v>6.4209600000000009</v>
      </c>
      <c r="R53" s="256">
        <v>0</v>
      </c>
      <c r="S53" s="257">
        <v>0</v>
      </c>
      <c r="T53" s="256">
        <v>0</v>
      </c>
      <c r="U53" s="258">
        <f t="shared" si="1"/>
        <v>2198.8730400000004</v>
      </c>
      <c r="V53" s="256">
        <f>C53*105.47</f>
        <v>105.47</v>
      </c>
      <c r="W53" s="256">
        <v>529.20000000000005</v>
      </c>
      <c r="X53" s="256">
        <f t="shared" si="23"/>
        <v>29</v>
      </c>
      <c r="Y53" s="256">
        <f t="shared" si="15"/>
        <v>10.119999999999999</v>
      </c>
      <c r="Z53" s="256">
        <f t="shared" si="11"/>
        <v>17.5</v>
      </c>
      <c r="AA53" s="256">
        <f t="shared" si="16"/>
        <v>24.95</v>
      </c>
      <c r="AB53" s="256">
        <f t="shared" si="12"/>
        <v>230.68</v>
      </c>
      <c r="AC53" s="189">
        <f t="shared" si="2"/>
        <v>946.92000000000007</v>
      </c>
      <c r="AD53" s="259">
        <f t="shared" si="3"/>
        <v>5897.6330400000006</v>
      </c>
    </row>
    <row r="54" spans="1:30" s="160" customFormat="1">
      <c r="A54" s="250">
        <v>49</v>
      </c>
      <c r="B54" s="251" t="s">
        <v>424</v>
      </c>
      <c r="C54" s="252">
        <v>1</v>
      </c>
      <c r="D54" s="253">
        <v>2751.84</v>
      </c>
      <c r="E54" s="254">
        <f t="shared" si="0"/>
        <v>2751.84</v>
      </c>
      <c r="F54" s="255">
        <f t="shared" si="4"/>
        <v>966.96600000000024</v>
      </c>
      <c r="G54" s="256">
        <f t="shared" si="5"/>
        <v>35.162400000000005</v>
      </c>
      <c r="H54" s="256">
        <f t="shared" si="6"/>
        <v>281.29920000000004</v>
      </c>
      <c r="I54" s="256">
        <f t="shared" si="13"/>
        <v>112.51968000000002</v>
      </c>
      <c r="J54" s="256">
        <f t="shared" si="14"/>
        <v>229.32000000000002</v>
      </c>
      <c r="K54" s="256">
        <f t="shared" si="7"/>
        <v>229.32000000000002</v>
      </c>
      <c r="L54" s="256">
        <f t="shared" si="8"/>
        <v>76.440000000000012</v>
      </c>
      <c r="M54" s="256">
        <f t="shared" si="9"/>
        <v>229.32000000000002</v>
      </c>
      <c r="N54" s="255">
        <v>0</v>
      </c>
      <c r="O54" s="256">
        <v>0</v>
      </c>
      <c r="P54" s="256">
        <f t="shared" ref="P54:P61" si="36">E54/150*1.75</f>
        <v>32.104800000000004</v>
      </c>
      <c r="Q54" s="256">
        <f t="shared" ref="Q54:Q61" si="37">P54/25*5</f>
        <v>6.4209600000000009</v>
      </c>
      <c r="R54" s="256">
        <v>0</v>
      </c>
      <c r="S54" s="257">
        <v>0</v>
      </c>
      <c r="T54" s="256">
        <v>0</v>
      </c>
      <c r="U54" s="258">
        <f t="shared" si="1"/>
        <v>2198.8730400000004</v>
      </c>
      <c r="V54" s="256">
        <f t="shared" ref="V54:V61" si="38">C54*105.47</f>
        <v>105.47</v>
      </c>
      <c r="W54" s="256">
        <v>529.20000000000005</v>
      </c>
      <c r="X54" s="256">
        <f t="shared" si="23"/>
        <v>29</v>
      </c>
      <c r="Y54" s="256">
        <f t="shared" si="15"/>
        <v>10.119999999999999</v>
      </c>
      <c r="Z54" s="256">
        <f t="shared" si="11"/>
        <v>17.5</v>
      </c>
      <c r="AA54" s="256">
        <f t="shared" si="16"/>
        <v>24.95</v>
      </c>
      <c r="AB54" s="256">
        <f t="shared" si="12"/>
        <v>230.68</v>
      </c>
      <c r="AC54" s="189">
        <f t="shared" si="2"/>
        <v>946.92000000000007</v>
      </c>
      <c r="AD54" s="259">
        <f t="shared" si="3"/>
        <v>5897.6330400000006</v>
      </c>
    </row>
    <row r="55" spans="1:30" s="160" customFormat="1">
      <c r="A55" s="250">
        <v>50</v>
      </c>
      <c r="B55" s="251" t="s">
        <v>425</v>
      </c>
      <c r="C55" s="252">
        <v>1</v>
      </c>
      <c r="D55" s="253">
        <v>2751.84</v>
      </c>
      <c r="E55" s="254">
        <f t="shared" si="0"/>
        <v>2751.84</v>
      </c>
      <c r="F55" s="255">
        <f t="shared" si="4"/>
        <v>966.96600000000024</v>
      </c>
      <c r="G55" s="256">
        <f t="shared" si="5"/>
        <v>35.162400000000005</v>
      </c>
      <c r="H55" s="256">
        <f t="shared" si="6"/>
        <v>281.29920000000004</v>
      </c>
      <c r="I55" s="256">
        <f t="shared" si="13"/>
        <v>112.51968000000002</v>
      </c>
      <c r="J55" s="256">
        <f t="shared" si="14"/>
        <v>229.32000000000002</v>
      </c>
      <c r="K55" s="256">
        <f t="shared" si="7"/>
        <v>229.32000000000002</v>
      </c>
      <c r="L55" s="256">
        <f t="shared" si="8"/>
        <v>76.440000000000012</v>
      </c>
      <c r="M55" s="256">
        <f t="shared" si="9"/>
        <v>229.32000000000002</v>
      </c>
      <c r="N55" s="255">
        <v>0</v>
      </c>
      <c r="O55" s="256">
        <v>0</v>
      </c>
      <c r="P55" s="256">
        <f t="shared" si="36"/>
        <v>32.104800000000004</v>
      </c>
      <c r="Q55" s="256">
        <f t="shared" si="37"/>
        <v>6.4209600000000009</v>
      </c>
      <c r="R55" s="256">
        <v>0</v>
      </c>
      <c r="S55" s="257">
        <v>0</v>
      </c>
      <c r="T55" s="256">
        <v>0</v>
      </c>
      <c r="U55" s="258">
        <f t="shared" si="1"/>
        <v>2198.8730400000004</v>
      </c>
      <c r="V55" s="256">
        <f t="shared" si="38"/>
        <v>105.47</v>
      </c>
      <c r="W55" s="256">
        <v>529.20000000000005</v>
      </c>
      <c r="X55" s="256">
        <f t="shared" si="23"/>
        <v>29</v>
      </c>
      <c r="Y55" s="256">
        <f t="shared" si="15"/>
        <v>10.119999999999999</v>
      </c>
      <c r="Z55" s="256">
        <f t="shared" si="11"/>
        <v>17.5</v>
      </c>
      <c r="AA55" s="256">
        <f t="shared" si="16"/>
        <v>24.95</v>
      </c>
      <c r="AB55" s="256">
        <f t="shared" si="12"/>
        <v>230.68</v>
      </c>
      <c r="AC55" s="189">
        <f t="shared" si="2"/>
        <v>946.92000000000007</v>
      </c>
      <c r="AD55" s="259">
        <f t="shared" si="3"/>
        <v>5897.6330400000006</v>
      </c>
    </row>
    <row r="56" spans="1:30" s="160" customFormat="1">
      <c r="A56" s="250">
        <v>51</v>
      </c>
      <c r="B56" s="251" t="s">
        <v>426</v>
      </c>
      <c r="C56" s="252">
        <v>1</v>
      </c>
      <c r="D56" s="253">
        <v>2751.84</v>
      </c>
      <c r="E56" s="254">
        <f t="shared" si="0"/>
        <v>2751.84</v>
      </c>
      <c r="F56" s="255">
        <f t="shared" si="4"/>
        <v>966.96600000000024</v>
      </c>
      <c r="G56" s="256">
        <f t="shared" si="5"/>
        <v>35.162400000000005</v>
      </c>
      <c r="H56" s="256">
        <f t="shared" si="6"/>
        <v>281.29920000000004</v>
      </c>
      <c r="I56" s="256">
        <f t="shared" si="13"/>
        <v>112.51968000000002</v>
      </c>
      <c r="J56" s="256">
        <f t="shared" si="14"/>
        <v>229.32000000000002</v>
      </c>
      <c r="K56" s="256">
        <f t="shared" si="7"/>
        <v>229.32000000000002</v>
      </c>
      <c r="L56" s="256">
        <f t="shared" si="8"/>
        <v>76.440000000000012</v>
      </c>
      <c r="M56" s="256">
        <f t="shared" si="9"/>
        <v>229.32000000000002</v>
      </c>
      <c r="N56" s="255">
        <v>0</v>
      </c>
      <c r="O56" s="256">
        <v>0</v>
      </c>
      <c r="P56" s="256">
        <f t="shared" si="36"/>
        <v>32.104800000000004</v>
      </c>
      <c r="Q56" s="256">
        <f t="shared" si="37"/>
        <v>6.4209600000000009</v>
      </c>
      <c r="R56" s="256">
        <v>0</v>
      </c>
      <c r="S56" s="257">
        <v>0</v>
      </c>
      <c r="T56" s="256">
        <v>0</v>
      </c>
      <c r="U56" s="258">
        <f t="shared" si="1"/>
        <v>2198.8730400000004</v>
      </c>
      <c r="V56" s="256">
        <f t="shared" si="38"/>
        <v>105.47</v>
      </c>
      <c r="W56" s="256">
        <v>529.20000000000005</v>
      </c>
      <c r="X56" s="256">
        <f t="shared" si="23"/>
        <v>29</v>
      </c>
      <c r="Y56" s="256">
        <f t="shared" si="15"/>
        <v>10.119999999999999</v>
      </c>
      <c r="Z56" s="256">
        <f t="shared" si="11"/>
        <v>17.5</v>
      </c>
      <c r="AA56" s="256">
        <f t="shared" si="16"/>
        <v>24.95</v>
      </c>
      <c r="AB56" s="256">
        <f t="shared" si="12"/>
        <v>230.68</v>
      </c>
      <c r="AC56" s="189">
        <f t="shared" si="2"/>
        <v>946.92000000000007</v>
      </c>
      <c r="AD56" s="259">
        <f t="shared" si="3"/>
        <v>5897.6330400000006</v>
      </c>
    </row>
    <row r="57" spans="1:30" s="160" customFormat="1">
      <c r="A57" s="250">
        <v>52</v>
      </c>
      <c r="B57" s="251" t="s">
        <v>427</v>
      </c>
      <c r="C57" s="252">
        <v>1</v>
      </c>
      <c r="D57" s="253">
        <v>2751.84</v>
      </c>
      <c r="E57" s="254">
        <f t="shared" si="0"/>
        <v>2751.84</v>
      </c>
      <c r="F57" s="255">
        <f t="shared" si="4"/>
        <v>966.96600000000024</v>
      </c>
      <c r="G57" s="256">
        <f t="shared" si="5"/>
        <v>35.162400000000005</v>
      </c>
      <c r="H57" s="256">
        <f t="shared" si="6"/>
        <v>281.29920000000004</v>
      </c>
      <c r="I57" s="256">
        <f t="shared" si="13"/>
        <v>112.51968000000002</v>
      </c>
      <c r="J57" s="256">
        <f t="shared" si="14"/>
        <v>229.32000000000002</v>
      </c>
      <c r="K57" s="256">
        <f t="shared" si="7"/>
        <v>229.32000000000002</v>
      </c>
      <c r="L57" s="256">
        <f t="shared" si="8"/>
        <v>76.440000000000012</v>
      </c>
      <c r="M57" s="256">
        <f t="shared" si="9"/>
        <v>229.32000000000002</v>
      </c>
      <c r="N57" s="255">
        <v>0</v>
      </c>
      <c r="O57" s="256">
        <v>0</v>
      </c>
      <c r="P57" s="256">
        <f t="shared" si="36"/>
        <v>32.104800000000004</v>
      </c>
      <c r="Q57" s="256">
        <f t="shared" si="37"/>
        <v>6.4209600000000009</v>
      </c>
      <c r="R57" s="256">
        <v>0</v>
      </c>
      <c r="S57" s="257">
        <v>0</v>
      </c>
      <c r="T57" s="256">
        <v>0</v>
      </c>
      <c r="U57" s="258">
        <f t="shared" si="1"/>
        <v>2198.8730400000004</v>
      </c>
      <c r="V57" s="256">
        <f t="shared" si="38"/>
        <v>105.47</v>
      </c>
      <c r="W57" s="256">
        <v>529.20000000000005</v>
      </c>
      <c r="X57" s="256">
        <f t="shared" si="23"/>
        <v>29</v>
      </c>
      <c r="Y57" s="256">
        <f t="shared" si="15"/>
        <v>10.119999999999999</v>
      </c>
      <c r="Z57" s="256">
        <f t="shared" si="11"/>
        <v>17.5</v>
      </c>
      <c r="AA57" s="256">
        <f t="shared" si="16"/>
        <v>24.95</v>
      </c>
      <c r="AB57" s="256">
        <f t="shared" si="12"/>
        <v>230.68</v>
      </c>
      <c r="AC57" s="189">
        <f t="shared" si="2"/>
        <v>946.92000000000007</v>
      </c>
      <c r="AD57" s="259">
        <f t="shared" si="3"/>
        <v>5897.6330400000006</v>
      </c>
    </row>
    <row r="58" spans="1:30" s="160" customFormat="1">
      <c r="A58" s="250">
        <v>53</v>
      </c>
      <c r="B58" s="251" t="s">
        <v>428</v>
      </c>
      <c r="C58" s="252">
        <v>1</v>
      </c>
      <c r="D58" s="253">
        <v>1852.2</v>
      </c>
      <c r="E58" s="254">
        <f t="shared" si="0"/>
        <v>1852.2</v>
      </c>
      <c r="F58" s="255">
        <f t="shared" si="4"/>
        <v>650.84249999999997</v>
      </c>
      <c r="G58" s="256">
        <f t="shared" si="5"/>
        <v>23.666999999999998</v>
      </c>
      <c r="H58" s="256">
        <f t="shared" si="6"/>
        <v>189.33599999999998</v>
      </c>
      <c r="I58" s="256">
        <f t="shared" si="13"/>
        <v>75.734399999999994</v>
      </c>
      <c r="J58" s="256">
        <f t="shared" si="14"/>
        <v>154.35</v>
      </c>
      <c r="K58" s="256">
        <f t="shared" si="7"/>
        <v>154.35</v>
      </c>
      <c r="L58" s="256">
        <f t="shared" si="8"/>
        <v>51.449999999999996</v>
      </c>
      <c r="M58" s="256">
        <f t="shared" si="9"/>
        <v>154.35</v>
      </c>
      <c r="N58" s="255">
        <v>0</v>
      </c>
      <c r="O58" s="256">
        <v>0</v>
      </c>
      <c r="P58" s="256">
        <f t="shared" si="36"/>
        <v>21.609000000000002</v>
      </c>
      <c r="Q58" s="256">
        <f t="shared" si="37"/>
        <v>4.3217999999999996</v>
      </c>
      <c r="R58" s="256">
        <v>0</v>
      </c>
      <c r="S58" s="257">
        <v>0</v>
      </c>
      <c r="T58" s="256">
        <v>0</v>
      </c>
      <c r="U58" s="258">
        <f t="shared" si="1"/>
        <v>1480.0106999999996</v>
      </c>
      <c r="V58" s="256">
        <f t="shared" si="38"/>
        <v>105.47</v>
      </c>
      <c r="W58" s="256">
        <v>529.20000000000005</v>
      </c>
      <c r="X58" s="256">
        <f t="shared" si="23"/>
        <v>29</v>
      </c>
      <c r="Y58" s="256">
        <f t="shared" si="15"/>
        <v>10.119999999999999</v>
      </c>
      <c r="Z58" s="256">
        <f t="shared" si="11"/>
        <v>17.5</v>
      </c>
      <c r="AA58" s="256">
        <f t="shared" si="16"/>
        <v>24.95</v>
      </c>
      <c r="AB58" s="256">
        <f t="shared" si="12"/>
        <v>230.68</v>
      </c>
      <c r="AC58" s="189">
        <f t="shared" si="2"/>
        <v>946.92000000000007</v>
      </c>
      <c r="AD58" s="259">
        <f t="shared" si="3"/>
        <v>4279.1306999999997</v>
      </c>
    </row>
    <row r="59" spans="1:30" s="160" customFormat="1">
      <c r="A59" s="250">
        <v>54</v>
      </c>
      <c r="B59" s="251" t="s">
        <v>429</v>
      </c>
      <c r="C59" s="252">
        <v>1</v>
      </c>
      <c r="D59" s="253">
        <v>1737.89</v>
      </c>
      <c r="E59" s="254">
        <f t="shared" si="0"/>
        <v>1737.89</v>
      </c>
      <c r="F59" s="255">
        <f t="shared" si="4"/>
        <v>610.6752361111113</v>
      </c>
      <c r="G59" s="256">
        <f t="shared" si="5"/>
        <v>22.206372222222225</v>
      </c>
      <c r="H59" s="256">
        <f t="shared" si="6"/>
        <v>177.6509777777778</v>
      </c>
      <c r="I59" s="256">
        <f t="shared" si="13"/>
        <v>71.060391111111116</v>
      </c>
      <c r="J59" s="256">
        <f t="shared" si="14"/>
        <v>144.82416666666668</v>
      </c>
      <c r="K59" s="256">
        <f t="shared" si="7"/>
        <v>144.82416666666668</v>
      </c>
      <c r="L59" s="256">
        <f t="shared" si="8"/>
        <v>48.274722222222231</v>
      </c>
      <c r="M59" s="256">
        <f t="shared" si="9"/>
        <v>144.82416666666668</v>
      </c>
      <c r="N59" s="255">
        <v>0</v>
      </c>
      <c r="O59" s="256">
        <v>0</v>
      </c>
      <c r="P59" s="256">
        <f t="shared" si="36"/>
        <v>20.275383333333334</v>
      </c>
      <c r="Q59" s="256">
        <f t="shared" si="37"/>
        <v>4.0550766666666664</v>
      </c>
      <c r="R59" s="256">
        <v>0</v>
      </c>
      <c r="S59" s="257">
        <v>0</v>
      </c>
      <c r="T59" s="256">
        <v>0</v>
      </c>
      <c r="U59" s="258">
        <f t="shared" si="1"/>
        <v>1388.6706594444449</v>
      </c>
      <c r="V59" s="256">
        <f t="shared" si="38"/>
        <v>105.47</v>
      </c>
      <c r="W59" s="256">
        <v>529.20000000000005</v>
      </c>
      <c r="X59" s="256">
        <f t="shared" si="23"/>
        <v>29</v>
      </c>
      <c r="Y59" s="256">
        <f t="shared" si="15"/>
        <v>10.119999999999999</v>
      </c>
      <c r="Z59" s="256">
        <f t="shared" si="11"/>
        <v>17.5</v>
      </c>
      <c r="AA59" s="256">
        <f t="shared" si="16"/>
        <v>24.95</v>
      </c>
      <c r="AB59" s="256">
        <f t="shared" si="12"/>
        <v>230.68</v>
      </c>
      <c r="AC59" s="189">
        <f t="shared" si="2"/>
        <v>946.92000000000007</v>
      </c>
      <c r="AD59" s="259">
        <f t="shared" si="3"/>
        <v>4073.4806594444453</v>
      </c>
    </row>
    <row r="60" spans="1:30" s="160" customFormat="1">
      <c r="A60" s="250">
        <v>55</v>
      </c>
      <c r="B60" s="251" t="s">
        <v>430</v>
      </c>
      <c r="C60" s="252">
        <v>1</v>
      </c>
      <c r="D60" s="253">
        <v>1465.88</v>
      </c>
      <c r="E60" s="254">
        <f t="shared" si="0"/>
        <v>1465.88</v>
      </c>
      <c r="F60" s="255">
        <f t="shared" si="4"/>
        <v>515.09394444444456</v>
      </c>
      <c r="G60" s="256">
        <f t="shared" si="5"/>
        <v>18.730688888888892</v>
      </c>
      <c r="H60" s="256">
        <f t="shared" si="6"/>
        <v>149.84551111111114</v>
      </c>
      <c r="I60" s="256">
        <f t="shared" si="13"/>
        <v>59.938204444444459</v>
      </c>
      <c r="J60" s="256">
        <f t="shared" si="14"/>
        <v>122.15666666666668</v>
      </c>
      <c r="K60" s="256">
        <f t="shared" si="7"/>
        <v>122.15666666666668</v>
      </c>
      <c r="L60" s="256">
        <f t="shared" si="8"/>
        <v>40.718888888888891</v>
      </c>
      <c r="M60" s="256">
        <f t="shared" si="9"/>
        <v>122.15666666666668</v>
      </c>
      <c r="N60" s="255">
        <v>0</v>
      </c>
      <c r="O60" s="256">
        <v>0</v>
      </c>
      <c r="P60" s="256">
        <f t="shared" si="36"/>
        <v>17.101933333333335</v>
      </c>
      <c r="Q60" s="256">
        <f t="shared" si="37"/>
        <v>3.4203866666666674</v>
      </c>
      <c r="R60" s="256">
        <v>0</v>
      </c>
      <c r="S60" s="257">
        <v>0</v>
      </c>
      <c r="T60" s="256">
        <v>0</v>
      </c>
      <c r="U60" s="258">
        <f t="shared" si="1"/>
        <v>1171.3195577777778</v>
      </c>
      <c r="V60" s="256">
        <f t="shared" si="38"/>
        <v>105.47</v>
      </c>
      <c r="W60" s="256">
        <v>529.20000000000005</v>
      </c>
      <c r="X60" s="256">
        <f t="shared" si="23"/>
        <v>29</v>
      </c>
      <c r="Y60" s="256">
        <f t="shared" si="15"/>
        <v>10.119999999999999</v>
      </c>
      <c r="Z60" s="256">
        <f t="shared" si="11"/>
        <v>17.5</v>
      </c>
      <c r="AA60" s="256">
        <f t="shared" si="16"/>
        <v>24.95</v>
      </c>
      <c r="AB60" s="256">
        <f t="shared" si="12"/>
        <v>230.68</v>
      </c>
      <c r="AC60" s="189">
        <f t="shared" si="2"/>
        <v>946.92000000000007</v>
      </c>
      <c r="AD60" s="259">
        <f t="shared" si="3"/>
        <v>3584.119557777778</v>
      </c>
    </row>
    <row r="61" spans="1:30" s="160" customFormat="1">
      <c r="A61" s="250">
        <v>56</v>
      </c>
      <c r="B61" s="251" t="s">
        <v>431</v>
      </c>
      <c r="C61" s="252">
        <v>1</v>
      </c>
      <c r="D61" s="253">
        <v>1537.21</v>
      </c>
      <c r="E61" s="254">
        <f t="shared" si="0"/>
        <v>1537.21</v>
      </c>
      <c r="F61" s="255">
        <f t="shared" si="4"/>
        <v>540.15851388888905</v>
      </c>
      <c r="G61" s="256">
        <f t="shared" si="5"/>
        <v>19.64212777777778</v>
      </c>
      <c r="H61" s="256">
        <f t="shared" si="6"/>
        <v>157.13702222222224</v>
      </c>
      <c r="I61" s="256">
        <f t="shared" si="13"/>
        <v>62.854808888888897</v>
      </c>
      <c r="J61" s="256">
        <f t="shared" si="14"/>
        <v>128.10083333333333</v>
      </c>
      <c r="K61" s="256">
        <f t="shared" si="7"/>
        <v>128.10083333333333</v>
      </c>
      <c r="L61" s="256">
        <f t="shared" si="8"/>
        <v>42.700277777777778</v>
      </c>
      <c r="M61" s="256">
        <f t="shared" si="9"/>
        <v>128.10083333333333</v>
      </c>
      <c r="N61" s="255">
        <v>0</v>
      </c>
      <c r="O61" s="256">
        <v>0</v>
      </c>
      <c r="P61" s="256">
        <f t="shared" si="36"/>
        <v>17.934116666666668</v>
      </c>
      <c r="Q61" s="256">
        <f t="shared" si="37"/>
        <v>3.5868233333333337</v>
      </c>
      <c r="R61" s="256">
        <v>0</v>
      </c>
      <c r="S61" s="257">
        <v>0</v>
      </c>
      <c r="T61" s="256">
        <v>0</v>
      </c>
      <c r="U61" s="258">
        <f t="shared" si="1"/>
        <v>1228.3161905555557</v>
      </c>
      <c r="V61" s="256">
        <f t="shared" si="38"/>
        <v>105.47</v>
      </c>
      <c r="W61" s="256">
        <v>529.20000000000005</v>
      </c>
      <c r="X61" s="256">
        <f t="shared" si="23"/>
        <v>29</v>
      </c>
      <c r="Y61" s="256">
        <f t="shared" si="15"/>
        <v>10.119999999999999</v>
      </c>
      <c r="Z61" s="256">
        <f t="shared" si="11"/>
        <v>17.5</v>
      </c>
      <c r="AA61" s="256">
        <f t="shared" si="16"/>
        <v>24.95</v>
      </c>
      <c r="AB61" s="256">
        <f t="shared" si="12"/>
        <v>230.68</v>
      </c>
      <c r="AC61" s="189">
        <f t="shared" si="2"/>
        <v>946.92000000000007</v>
      </c>
      <c r="AD61" s="259">
        <f t="shared" si="3"/>
        <v>3712.4461905555559</v>
      </c>
    </row>
    <row r="62" spans="1:30" s="160" customFormat="1">
      <c r="A62" s="250">
        <v>57</v>
      </c>
      <c r="B62" s="251" t="s">
        <v>435</v>
      </c>
      <c r="C62" s="252">
        <v>2</v>
      </c>
      <c r="D62" s="253">
        <v>2010.96</v>
      </c>
      <c r="E62" s="254">
        <f t="shared" si="0"/>
        <v>4021.92</v>
      </c>
      <c r="F62" s="255">
        <f t="shared" si="4"/>
        <v>1632.0057600000002</v>
      </c>
      <c r="G62" s="256">
        <f t="shared" si="5"/>
        <v>59.345664000000006</v>
      </c>
      <c r="H62" s="256">
        <f t="shared" si="6"/>
        <v>474.76531200000005</v>
      </c>
      <c r="I62" s="256">
        <f t="shared" si="13"/>
        <v>189.90612480000004</v>
      </c>
      <c r="J62" s="256">
        <f t="shared" si="14"/>
        <v>498.27119999999996</v>
      </c>
      <c r="K62" s="256">
        <f t="shared" si="7"/>
        <v>498.27119999999996</v>
      </c>
      <c r="L62" s="256">
        <f t="shared" si="8"/>
        <v>145.23600000000002</v>
      </c>
      <c r="M62" s="256">
        <f t="shared" si="9"/>
        <v>368.67599999999999</v>
      </c>
      <c r="N62" s="255">
        <v>0</v>
      </c>
      <c r="O62" s="256">
        <v>0</v>
      </c>
      <c r="P62" s="256">
        <f>(R62+E62)/210*1.75*1.2</f>
        <v>52.284959999999998</v>
      </c>
      <c r="Q62" s="256">
        <f>P62/6</f>
        <v>8.7141599999999997</v>
      </c>
      <c r="R62" s="256">
        <f>E62*30%</f>
        <v>1206.576</v>
      </c>
      <c r="S62" s="257">
        <f>(D62*10%)*C62</f>
        <v>402.19200000000001</v>
      </c>
      <c r="T62" s="256">
        <f>(E62+R62+N62+O62)/30*2</f>
        <v>348.56639999999999</v>
      </c>
      <c r="U62" s="258">
        <f t="shared" si="1"/>
        <v>5884.8107808000004</v>
      </c>
      <c r="V62" s="256">
        <f>C62*71.91</f>
        <v>143.82</v>
      </c>
      <c r="W62" s="256">
        <f>C62*529.2</f>
        <v>1058.4000000000001</v>
      </c>
      <c r="X62" s="256">
        <f t="shared" si="23"/>
        <v>58</v>
      </c>
      <c r="Y62" s="256">
        <f t="shared" si="15"/>
        <v>20.239999999999998</v>
      </c>
      <c r="Z62" s="256">
        <f t="shared" si="11"/>
        <v>35</v>
      </c>
      <c r="AA62" s="256">
        <f t="shared" si="16"/>
        <v>49.9</v>
      </c>
      <c r="AB62" s="256">
        <f t="shared" si="12"/>
        <v>461.36</v>
      </c>
      <c r="AC62" s="189">
        <f t="shared" si="2"/>
        <v>1826.7200000000003</v>
      </c>
      <c r="AD62" s="259">
        <f t="shared" si="3"/>
        <v>11733.450780800002</v>
      </c>
    </row>
    <row r="63" spans="1:30" s="160" customFormat="1">
      <c r="A63" s="250">
        <v>58</v>
      </c>
      <c r="B63" s="251" t="s">
        <v>432</v>
      </c>
      <c r="C63" s="252">
        <v>12</v>
      </c>
      <c r="D63" s="253">
        <v>2010.96</v>
      </c>
      <c r="E63" s="254">
        <f t="shared" si="0"/>
        <v>24131.52</v>
      </c>
      <c r="F63" s="255">
        <f t="shared" si="4"/>
        <v>8962.5135600000012</v>
      </c>
      <c r="G63" s="256">
        <f t="shared" si="5"/>
        <v>325.90958400000005</v>
      </c>
      <c r="H63" s="256">
        <f t="shared" si="6"/>
        <v>2607.2766720000004</v>
      </c>
      <c r="I63" s="256">
        <f t="shared" si="13"/>
        <v>1042.9106688000002</v>
      </c>
      <c r="J63" s="256">
        <f t="shared" si="14"/>
        <v>2788.5311999999999</v>
      </c>
      <c r="K63" s="256">
        <f t="shared" si="7"/>
        <v>2788.5311999999999</v>
      </c>
      <c r="L63" s="256">
        <f t="shared" si="8"/>
        <v>871.41600000000005</v>
      </c>
      <c r="M63" s="256">
        <f t="shared" si="9"/>
        <v>2010.96</v>
      </c>
      <c r="N63" s="255">
        <v>0</v>
      </c>
      <c r="O63" s="256">
        <v>0</v>
      </c>
      <c r="P63" s="256">
        <f>(R63+E63)/210*1.75*1.2</f>
        <v>313.70976000000002</v>
      </c>
      <c r="Q63" s="256">
        <f>P63/6</f>
        <v>52.284960000000005</v>
      </c>
      <c r="R63" s="256">
        <f>E63*30%</f>
        <v>7239.4560000000001</v>
      </c>
      <c r="S63" s="257"/>
      <c r="T63" s="256">
        <f t="shared" ref="T63:T65" si="39">(E63+R63+N63+O63)/30*2</f>
        <v>2091.3984</v>
      </c>
      <c r="U63" s="258">
        <f t="shared" si="1"/>
        <v>31094.898004800001</v>
      </c>
      <c r="V63" s="256">
        <f t="shared" ref="V63:V65" si="40">C63*71.91</f>
        <v>862.92</v>
      </c>
      <c r="W63" s="256">
        <f>C63*529.2</f>
        <v>6350.4000000000005</v>
      </c>
      <c r="X63" s="256">
        <f t="shared" si="23"/>
        <v>348</v>
      </c>
      <c r="Y63" s="256">
        <f t="shared" si="15"/>
        <v>121.44</v>
      </c>
      <c r="Z63" s="256">
        <f t="shared" si="11"/>
        <v>210</v>
      </c>
      <c r="AA63" s="256">
        <f t="shared" si="16"/>
        <v>299.39999999999998</v>
      </c>
      <c r="AB63" s="256">
        <f t="shared" si="12"/>
        <v>2768.16</v>
      </c>
      <c r="AC63" s="189">
        <f t="shared" si="2"/>
        <v>10960.32</v>
      </c>
      <c r="AD63" s="259">
        <f t="shared" si="3"/>
        <v>66186.73800479999</v>
      </c>
    </row>
    <row r="64" spans="1:30" s="160" customFormat="1">
      <c r="A64" s="250">
        <v>59</v>
      </c>
      <c r="B64" s="251" t="s">
        <v>433</v>
      </c>
      <c r="C64" s="252">
        <v>2</v>
      </c>
      <c r="D64" s="253">
        <v>2010.96</v>
      </c>
      <c r="E64" s="254">
        <f t="shared" si="0"/>
        <v>4021.92</v>
      </c>
      <c r="F64" s="255">
        <f t="shared" si="4"/>
        <v>1677.4484906666671</v>
      </c>
      <c r="G64" s="256">
        <f t="shared" si="5"/>
        <v>60.998126933333346</v>
      </c>
      <c r="H64" s="256">
        <f t="shared" si="6"/>
        <v>487.98501546666677</v>
      </c>
      <c r="I64" s="256">
        <f t="shared" si="13"/>
        <v>195.19400618666671</v>
      </c>
      <c r="J64" s="256">
        <f t="shared" si="14"/>
        <v>580.89434666666671</v>
      </c>
      <c r="K64" s="256">
        <f t="shared" si="7"/>
        <v>580.89434666666671</v>
      </c>
      <c r="L64" s="256">
        <f t="shared" si="8"/>
        <v>145.23600000000002</v>
      </c>
      <c r="M64" s="256">
        <f t="shared" si="9"/>
        <v>368.67599999999999</v>
      </c>
      <c r="N64" s="255">
        <f>(R64+E64)/210*20%*160</f>
        <v>796.72320000000013</v>
      </c>
      <c r="O64" s="256">
        <f>N64/6</f>
        <v>132.78720000000001</v>
      </c>
      <c r="P64" s="256">
        <f>(R64+E64)/210*1.75*1.2</f>
        <v>52.284959999999998</v>
      </c>
      <c r="Q64" s="256">
        <f>P64/6</f>
        <v>8.7141599999999997</v>
      </c>
      <c r="R64" s="256">
        <f>E64*30%</f>
        <v>1206.576</v>
      </c>
      <c r="S64" s="257">
        <f t="shared" ref="S64" si="41">(D64*10%)*C64</f>
        <v>402.19200000000001</v>
      </c>
      <c r="T64" s="256">
        <f t="shared" si="39"/>
        <v>410.53376000000003</v>
      </c>
      <c r="U64" s="258">
        <f t="shared" si="1"/>
        <v>7107.1376125866691</v>
      </c>
      <c r="V64" s="256">
        <f t="shared" si="40"/>
        <v>143.82</v>
      </c>
      <c r="W64" s="256">
        <f>C64*529.2</f>
        <v>1058.4000000000001</v>
      </c>
      <c r="X64" s="256">
        <f t="shared" si="23"/>
        <v>58</v>
      </c>
      <c r="Y64" s="256">
        <f t="shared" si="15"/>
        <v>20.239999999999998</v>
      </c>
      <c r="Z64" s="256">
        <f t="shared" si="11"/>
        <v>35</v>
      </c>
      <c r="AA64" s="256">
        <f t="shared" si="16"/>
        <v>49.9</v>
      </c>
      <c r="AB64" s="256">
        <f t="shared" si="12"/>
        <v>461.36</v>
      </c>
      <c r="AC64" s="189">
        <f t="shared" si="2"/>
        <v>1826.7200000000003</v>
      </c>
      <c r="AD64" s="259">
        <f t="shared" si="3"/>
        <v>12955.777612586669</v>
      </c>
    </row>
    <row r="65" spans="1:30" s="160" customFormat="1">
      <c r="A65" s="250">
        <v>60</v>
      </c>
      <c r="B65" s="251" t="s">
        <v>434</v>
      </c>
      <c r="C65" s="252">
        <v>6</v>
      </c>
      <c r="D65" s="253">
        <v>2010.96</v>
      </c>
      <c r="E65" s="254">
        <f t="shared" si="0"/>
        <v>12065.76</v>
      </c>
      <c r="F65" s="255">
        <f t="shared" si="4"/>
        <v>4617.5849719999997</v>
      </c>
      <c r="G65" s="256">
        <f t="shared" si="5"/>
        <v>167.91218079999999</v>
      </c>
      <c r="H65" s="256">
        <f t="shared" si="6"/>
        <v>1343.2974463999999</v>
      </c>
      <c r="I65" s="256">
        <f t="shared" si="13"/>
        <v>537.31897856000001</v>
      </c>
      <c r="J65" s="256">
        <f t="shared" si="14"/>
        <v>1642.1350399999999</v>
      </c>
      <c r="K65" s="256">
        <f t="shared" si="7"/>
        <v>1642.1350399999999</v>
      </c>
      <c r="L65" s="256">
        <f t="shared" si="8"/>
        <v>435.70800000000003</v>
      </c>
      <c r="M65" s="256">
        <f t="shared" si="9"/>
        <v>1005.48</v>
      </c>
      <c r="N65" s="255">
        <f>(R65+E65)/210*20%*160</f>
        <v>2390.1696000000002</v>
      </c>
      <c r="O65" s="256">
        <f>N65/6</f>
        <v>398.36160000000001</v>
      </c>
      <c r="P65" s="256">
        <f>(R65+E65)/210*1.75*1.2</f>
        <v>156.85488000000001</v>
      </c>
      <c r="Q65" s="256">
        <f>P65/6</f>
        <v>26.142480000000003</v>
      </c>
      <c r="R65" s="256">
        <f>E65*30%</f>
        <v>3619.7280000000001</v>
      </c>
      <c r="S65" s="257">
        <v>0</v>
      </c>
      <c r="T65" s="256">
        <f t="shared" si="39"/>
        <v>1231.6012800000001</v>
      </c>
      <c r="U65" s="258">
        <f t="shared" si="1"/>
        <v>19214.429497759997</v>
      </c>
      <c r="V65" s="256">
        <f t="shared" si="40"/>
        <v>431.46</v>
      </c>
      <c r="W65" s="256">
        <f>C65*529.2</f>
        <v>3175.2000000000003</v>
      </c>
      <c r="X65" s="256">
        <f t="shared" si="23"/>
        <v>174</v>
      </c>
      <c r="Y65" s="256">
        <f t="shared" si="15"/>
        <v>60.72</v>
      </c>
      <c r="Z65" s="256">
        <f t="shared" si="11"/>
        <v>105</v>
      </c>
      <c r="AA65" s="256">
        <f t="shared" si="16"/>
        <v>149.69999999999999</v>
      </c>
      <c r="AB65" s="256">
        <f t="shared" si="12"/>
        <v>1384.08</v>
      </c>
      <c r="AC65" s="189">
        <f t="shared" si="2"/>
        <v>5480.16</v>
      </c>
      <c r="AD65" s="259">
        <f t="shared" si="3"/>
        <v>36760.349497759991</v>
      </c>
    </row>
    <row r="66" spans="1:30" s="160" customFormat="1">
      <c r="A66" s="250">
        <v>61</v>
      </c>
      <c r="B66" s="251" t="s">
        <v>460</v>
      </c>
      <c r="C66" s="252">
        <v>1</v>
      </c>
      <c r="D66" s="253">
        <v>6879.6</v>
      </c>
      <c r="E66" s="254">
        <f t="shared" si="0"/>
        <v>6879.6</v>
      </c>
      <c r="F66" s="255">
        <f t="shared" si="4"/>
        <v>2417.4150000000004</v>
      </c>
      <c r="G66" s="256">
        <f t="shared" si="5"/>
        <v>87.906000000000006</v>
      </c>
      <c r="H66" s="256">
        <f t="shared" si="6"/>
        <v>703.24800000000005</v>
      </c>
      <c r="I66" s="256">
        <f t="shared" si="13"/>
        <v>281.29920000000004</v>
      </c>
      <c r="J66" s="256">
        <f t="shared" si="14"/>
        <v>573.30000000000007</v>
      </c>
      <c r="K66" s="256">
        <f t="shared" si="7"/>
        <v>573.30000000000007</v>
      </c>
      <c r="L66" s="256">
        <f t="shared" si="8"/>
        <v>191.10000000000002</v>
      </c>
      <c r="M66" s="256">
        <f t="shared" si="9"/>
        <v>573.30000000000007</v>
      </c>
      <c r="N66" s="255">
        <v>0</v>
      </c>
      <c r="O66" s="256">
        <v>0</v>
      </c>
      <c r="P66" s="256">
        <v>0</v>
      </c>
      <c r="Q66" s="256">
        <v>0</v>
      </c>
      <c r="R66" s="256">
        <v>0</v>
      </c>
      <c r="S66" s="257">
        <v>0</v>
      </c>
      <c r="T66" s="256">
        <v>0</v>
      </c>
      <c r="U66" s="258">
        <f t="shared" si="1"/>
        <v>5400.8682000000008</v>
      </c>
      <c r="V66" s="256">
        <v>0</v>
      </c>
      <c r="W66" s="256">
        <v>529.20000000000005</v>
      </c>
      <c r="X66" s="256">
        <f t="shared" si="23"/>
        <v>29</v>
      </c>
      <c r="Y66" s="256">
        <f t="shared" si="15"/>
        <v>10.119999999999999</v>
      </c>
      <c r="Z66" s="256">
        <f t="shared" si="11"/>
        <v>17.5</v>
      </c>
      <c r="AA66" s="256">
        <f t="shared" si="16"/>
        <v>24.95</v>
      </c>
      <c r="AB66" s="256">
        <f t="shared" si="12"/>
        <v>230.68</v>
      </c>
      <c r="AC66" s="189">
        <f t="shared" si="2"/>
        <v>841.45</v>
      </c>
      <c r="AD66" s="259">
        <f t="shared" si="3"/>
        <v>13121.918200000002</v>
      </c>
    </row>
    <row r="67" spans="1:30" s="160" customFormat="1">
      <c r="A67" s="250">
        <v>62</v>
      </c>
      <c r="B67" s="251" t="s">
        <v>422</v>
      </c>
      <c r="C67" s="252">
        <v>1</v>
      </c>
      <c r="D67" s="253">
        <v>3993.98</v>
      </c>
      <c r="E67" s="254">
        <f t="shared" si="0"/>
        <v>3993.98</v>
      </c>
      <c r="F67" s="255">
        <f t="shared" si="4"/>
        <v>1467.5102902777778</v>
      </c>
      <c r="G67" s="256">
        <f t="shared" si="5"/>
        <v>53.364010555555552</v>
      </c>
      <c r="H67" s="256">
        <f t="shared" si="6"/>
        <v>426.91208444444442</v>
      </c>
      <c r="I67" s="256">
        <f t="shared" si="13"/>
        <v>170.76483377777777</v>
      </c>
      <c r="J67" s="256">
        <f t="shared" si="14"/>
        <v>432.68116666666668</v>
      </c>
      <c r="K67" s="256">
        <f t="shared" si="7"/>
        <v>432.68116666666668</v>
      </c>
      <c r="L67" s="256">
        <f t="shared" si="8"/>
        <v>144.22705555555555</v>
      </c>
      <c r="M67" s="256">
        <f t="shared" si="9"/>
        <v>332.83166666666665</v>
      </c>
      <c r="N67" s="255">
        <v>0</v>
      </c>
      <c r="O67" s="256">
        <v>0</v>
      </c>
      <c r="P67" s="256">
        <v>0</v>
      </c>
      <c r="Q67" s="256">
        <v>0</v>
      </c>
      <c r="R67" s="256">
        <f>E67*30%</f>
        <v>1198.194</v>
      </c>
      <c r="S67" s="257">
        <v>0</v>
      </c>
      <c r="T67" s="256">
        <v>0</v>
      </c>
      <c r="U67" s="258">
        <f t="shared" si="1"/>
        <v>4659.1662746111106</v>
      </c>
      <c r="V67" s="256">
        <v>0</v>
      </c>
      <c r="W67" s="256">
        <v>529.20000000000005</v>
      </c>
      <c r="X67" s="256">
        <f t="shared" si="23"/>
        <v>29</v>
      </c>
      <c r="Y67" s="256">
        <f t="shared" si="15"/>
        <v>10.119999999999999</v>
      </c>
      <c r="Z67" s="256">
        <f t="shared" si="11"/>
        <v>17.5</v>
      </c>
      <c r="AA67" s="256">
        <f t="shared" si="16"/>
        <v>24.95</v>
      </c>
      <c r="AB67" s="256">
        <f t="shared" si="12"/>
        <v>230.68</v>
      </c>
      <c r="AC67" s="189">
        <f t="shared" si="2"/>
        <v>841.45</v>
      </c>
      <c r="AD67" s="259">
        <f t="shared" si="3"/>
        <v>9494.5962746111109</v>
      </c>
    </row>
    <row r="68" spans="1:30" s="160" customFormat="1">
      <c r="A68" s="250">
        <v>63</v>
      </c>
      <c r="B68" s="251" t="s">
        <v>423</v>
      </c>
      <c r="C68" s="252">
        <v>1</v>
      </c>
      <c r="D68" s="253">
        <v>2751.84</v>
      </c>
      <c r="E68" s="254">
        <f t="shared" si="0"/>
        <v>2751.84</v>
      </c>
      <c r="F68" s="255">
        <f t="shared" si="4"/>
        <v>966.96600000000024</v>
      </c>
      <c r="G68" s="256">
        <f t="shared" si="5"/>
        <v>35.162400000000005</v>
      </c>
      <c r="H68" s="256">
        <f t="shared" si="6"/>
        <v>281.29920000000004</v>
      </c>
      <c r="I68" s="256">
        <f t="shared" si="13"/>
        <v>112.51968000000002</v>
      </c>
      <c r="J68" s="256">
        <f t="shared" si="14"/>
        <v>229.32000000000002</v>
      </c>
      <c r="K68" s="256">
        <f t="shared" si="7"/>
        <v>229.32000000000002</v>
      </c>
      <c r="L68" s="256">
        <f t="shared" si="8"/>
        <v>76.440000000000012</v>
      </c>
      <c r="M68" s="256">
        <f t="shared" si="9"/>
        <v>229.32000000000002</v>
      </c>
      <c r="N68" s="255">
        <v>0</v>
      </c>
      <c r="O68" s="256">
        <v>0</v>
      </c>
      <c r="P68" s="256">
        <f>E68/150*1.75</f>
        <v>32.104800000000004</v>
      </c>
      <c r="Q68" s="256">
        <f>P68/25*5</f>
        <v>6.4209600000000009</v>
      </c>
      <c r="R68" s="256">
        <v>0</v>
      </c>
      <c r="S68" s="257">
        <v>0</v>
      </c>
      <c r="T68" s="256">
        <v>0</v>
      </c>
      <c r="U68" s="258">
        <f t="shared" si="1"/>
        <v>2198.8730400000004</v>
      </c>
      <c r="V68" s="256">
        <f>C68*138.7</f>
        <v>138.69999999999999</v>
      </c>
      <c r="W68" s="256">
        <v>529.20000000000005</v>
      </c>
      <c r="X68" s="256">
        <f t="shared" si="23"/>
        <v>29</v>
      </c>
      <c r="Y68" s="256">
        <f t="shared" si="15"/>
        <v>10.119999999999999</v>
      </c>
      <c r="Z68" s="256">
        <f t="shared" si="11"/>
        <v>17.5</v>
      </c>
      <c r="AA68" s="256">
        <f t="shared" si="16"/>
        <v>24.95</v>
      </c>
      <c r="AB68" s="256">
        <f t="shared" si="12"/>
        <v>230.68</v>
      </c>
      <c r="AC68" s="189">
        <f t="shared" si="2"/>
        <v>980.15000000000009</v>
      </c>
      <c r="AD68" s="259">
        <f t="shared" si="3"/>
        <v>5930.8630400000002</v>
      </c>
    </row>
    <row r="69" spans="1:30" s="160" customFormat="1">
      <c r="A69" s="250">
        <v>64</v>
      </c>
      <c r="B69" s="251" t="s">
        <v>424</v>
      </c>
      <c r="C69" s="252">
        <v>1</v>
      </c>
      <c r="D69" s="253">
        <v>2751.84</v>
      </c>
      <c r="E69" s="254">
        <f t="shared" si="0"/>
        <v>2751.84</v>
      </c>
      <c r="F69" s="255">
        <f t="shared" si="4"/>
        <v>966.96600000000024</v>
      </c>
      <c r="G69" s="256">
        <f t="shared" si="5"/>
        <v>35.162400000000005</v>
      </c>
      <c r="H69" s="256">
        <f t="shared" si="6"/>
        <v>281.29920000000004</v>
      </c>
      <c r="I69" s="256">
        <f t="shared" si="13"/>
        <v>112.51968000000002</v>
      </c>
      <c r="J69" s="256">
        <f t="shared" si="14"/>
        <v>229.32000000000002</v>
      </c>
      <c r="K69" s="256">
        <f t="shared" si="7"/>
        <v>229.32000000000002</v>
      </c>
      <c r="L69" s="256">
        <f t="shared" si="8"/>
        <v>76.440000000000012</v>
      </c>
      <c r="M69" s="256">
        <f t="shared" si="9"/>
        <v>229.32000000000002</v>
      </c>
      <c r="N69" s="255">
        <v>0</v>
      </c>
      <c r="O69" s="256">
        <v>0</v>
      </c>
      <c r="P69" s="256">
        <f t="shared" ref="P69:P76" si="42">E69/150*1.75</f>
        <v>32.104800000000004</v>
      </c>
      <c r="Q69" s="256">
        <f t="shared" ref="Q69:Q76" si="43">P69/25*5</f>
        <v>6.4209600000000009</v>
      </c>
      <c r="R69" s="256">
        <v>0</v>
      </c>
      <c r="S69" s="257">
        <v>0</v>
      </c>
      <c r="T69" s="256">
        <v>0</v>
      </c>
      <c r="U69" s="258">
        <f t="shared" si="1"/>
        <v>2198.8730400000004</v>
      </c>
      <c r="V69" s="256">
        <f t="shared" ref="V69:V76" si="44">C69*138.7</f>
        <v>138.69999999999999</v>
      </c>
      <c r="W69" s="256">
        <v>529.20000000000005</v>
      </c>
      <c r="X69" s="256">
        <f t="shared" si="23"/>
        <v>29</v>
      </c>
      <c r="Y69" s="256">
        <f t="shared" si="15"/>
        <v>10.119999999999999</v>
      </c>
      <c r="Z69" s="256">
        <f t="shared" si="11"/>
        <v>17.5</v>
      </c>
      <c r="AA69" s="256">
        <f t="shared" si="16"/>
        <v>24.95</v>
      </c>
      <c r="AB69" s="256">
        <f t="shared" si="12"/>
        <v>230.68</v>
      </c>
      <c r="AC69" s="189">
        <f t="shared" si="2"/>
        <v>980.15000000000009</v>
      </c>
      <c r="AD69" s="259">
        <f t="shared" si="3"/>
        <v>5930.8630400000002</v>
      </c>
    </row>
    <row r="70" spans="1:30" s="160" customFormat="1">
      <c r="A70" s="250">
        <v>65</v>
      </c>
      <c r="B70" s="251" t="s">
        <v>425</v>
      </c>
      <c r="C70" s="252">
        <v>1</v>
      </c>
      <c r="D70" s="253">
        <v>2751.84</v>
      </c>
      <c r="E70" s="254">
        <f t="shared" ref="E70:E133" si="45">C70*D70</f>
        <v>2751.84</v>
      </c>
      <c r="F70" s="255">
        <f t="shared" si="4"/>
        <v>966.96600000000024</v>
      </c>
      <c r="G70" s="256">
        <f t="shared" si="5"/>
        <v>35.162400000000005</v>
      </c>
      <c r="H70" s="256">
        <f t="shared" si="6"/>
        <v>281.29920000000004</v>
      </c>
      <c r="I70" s="256">
        <f t="shared" si="13"/>
        <v>112.51968000000002</v>
      </c>
      <c r="J70" s="256">
        <f t="shared" si="14"/>
        <v>229.32000000000002</v>
      </c>
      <c r="K70" s="256">
        <f t="shared" si="7"/>
        <v>229.32000000000002</v>
      </c>
      <c r="L70" s="256">
        <f t="shared" si="8"/>
        <v>76.440000000000012</v>
      </c>
      <c r="M70" s="256">
        <f t="shared" si="9"/>
        <v>229.32000000000002</v>
      </c>
      <c r="N70" s="255">
        <v>0</v>
      </c>
      <c r="O70" s="256">
        <v>0</v>
      </c>
      <c r="P70" s="256">
        <f t="shared" si="42"/>
        <v>32.104800000000004</v>
      </c>
      <c r="Q70" s="256">
        <f t="shared" si="43"/>
        <v>6.4209600000000009</v>
      </c>
      <c r="R70" s="256">
        <v>0</v>
      </c>
      <c r="S70" s="257">
        <v>0</v>
      </c>
      <c r="T70" s="256">
        <v>0</v>
      </c>
      <c r="U70" s="258">
        <f t="shared" ref="U70:U133" si="46">SUM(F70:T70)</f>
        <v>2198.8730400000004</v>
      </c>
      <c r="V70" s="256">
        <f t="shared" si="44"/>
        <v>138.69999999999999</v>
      </c>
      <c r="W70" s="256">
        <v>529.20000000000005</v>
      </c>
      <c r="X70" s="256">
        <f t="shared" si="23"/>
        <v>29</v>
      </c>
      <c r="Y70" s="256">
        <f t="shared" si="15"/>
        <v>10.119999999999999</v>
      </c>
      <c r="Z70" s="256">
        <f t="shared" si="11"/>
        <v>17.5</v>
      </c>
      <c r="AA70" s="256">
        <f t="shared" si="16"/>
        <v>24.95</v>
      </c>
      <c r="AB70" s="256">
        <f t="shared" si="12"/>
        <v>230.68</v>
      </c>
      <c r="AC70" s="189">
        <f t="shared" ref="AC70:AC133" si="47">SUM(V70:AB70)</f>
        <v>980.15000000000009</v>
      </c>
      <c r="AD70" s="259">
        <f t="shared" ref="AD70:AD133" si="48">E70+U70+AC70</f>
        <v>5930.8630400000002</v>
      </c>
    </row>
    <row r="71" spans="1:30" s="160" customFormat="1">
      <c r="A71" s="250">
        <v>66</v>
      </c>
      <c r="B71" s="251" t="s">
        <v>426</v>
      </c>
      <c r="C71" s="252">
        <v>1</v>
      </c>
      <c r="D71" s="253">
        <v>2751.84</v>
      </c>
      <c r="E71" s="254">
        <f t="shared" si="45"/>
        <v>2751.84</v>
      </c>
      <c r="F71" s="255">
        <f t="shared" ref="F71:F134" si="49">(E71+J71+L71+K71+M71+S71)*27.5%</f>
        <v>966.96600000000024</v>
      </c>
      <c r="G71" s="256">
        <f t="shared" ref="G71:G134" si="50">(E71+J71+L71+K71+M71+S71)*1%</f>
        <v>35.162400000000005</v>
      </c>
      <c r="H71" s="256">
        <f t="shared" ref="H71:H134" si="51">(E71+J71+L71+K71+M71+S71)*8%</f>
        <v>281.29920000000004</v>
      </c>
      <c r="I71" s="256">
        <f t="shared" si="13"/>
        <v>112.51968000000002</v>
      </c>
      <c r="J71" s="256">
        <f t="shared" si="14"/>
        <v>229.32000000000002</v>
      </c>
      <c r="K71" s="256">
        <f t="shared" ref="K71:K134" si="52">(E71+N71+O71+R71+S71+T71)/12</f>
        <v>229.32000000000002</v>
      </c>
      <c r="L71" s="256">
        <f t="shared" ref="L71:L134" si="53">(E71+R71)/3/12</f>
        <v>76.440000000000012</v>
      </c>
      <c r="M71" s="256">
        <f t="shared" ref="M71:M134" si="54">(E71+S71)/12</f>
        <v>229.32000000000002</v>
      </c>
      <c r="N71" s="255">
        <v>0</v>
      </c>
      <c r="O71" s="256">
        <v>0</v>
      </c>
      <c r="P71" s="256">
        <f t="shared" si="42"/>
        <v>32.104800000000004</v>
      </c>
      <c r="Q71" s="256">
        <f t="shared" si="43"/>
        <v>6.4209600000000009</v>
      </c>
      <c r="R71" s="256">
        <v>0</v>
      </c>
      <c r="S71" s="257">
        <v>0</v>
      </c>
      <c r="T71" s="256">
        <v>0</v>
      </c>
      <c r="U71" s="258">
        <f t="shared" si="46"/>
        <v>2198.8730400000004</v>
      </c>
      <c r="V71" s="256">
        <f t="shared" si="44"/>
        <v>138.69999999999999</v>
      </c>
      <c r="W71" s="256">
        <v>529.20000000000005</v>
      </c>
      <c r="X71" s="256">
        <f t="shared" si="23"/>
        <v>29</v>
      </c>
      <c r="Y71" s="256">
        <f t="shared" si="15"/>
        <v>10.119999999999999</v>
      </c>
      <c r="Z71" s="256">
        <f t="shared" ref="Z71:Z134" si="55">C71*17.5</f>
        <v>17.5</v>
      </c>
      <c r="AA71" s="256">
        <f t="shared" si="16"/>
        <v>24.95</v>
      </c>
      <c r="AB71" s="256">
        <f t="shared" ref="AB71:AB134" si="56">C71*(211.68+19)</f>
        <v>230.68</v>
      </c>
      <c r="AC71" s="189">
        <f t="shared" si="47"/>
        <v>980.15000000000009</v>
      </c>
      <c r="AD71" s="259">
        <f t="shared" si="48"/>
        <v>5930.8630400000002</v>
      </c>
    </row>
    <row r="72" spans="1:30" s="160" customFormat="1">
      <c r="A72" s="250">
        <v>67</v>
      </c>
      <c r="B72" s="251" t="s">
        <v>427</v>
      </c>
      <c r="C72" s="252">
        <v>1</v>
      </c>
      <c r="D72" s="253">
        <v>2751.84</v>
      </c>
      <c r="E72" s="254">
        <f t="shared" si="45"/>
        <v>2751.84</v>
      </c>
      <c r="F72" s="255">
        <f t="shared" si="49"/>
        <v>966.96600000000024</v>
      </c>
      <c r="G72" s="256">
        <f t="shared" si="50"/>
        <v>35.162400000000005</v>
      </c>
      <c r="H72" s="256">
        <f t="shared" si="51"/>
        <v>281.29920000000004</v>
      </c>
      <c r="I72" s="256">
        <f t="shared" ref="I72:I135" si="57">H72*40%</f>
        <v>112.51968000000002</v>
      </c>
      <c r="J72" s="256">
        <f t="shared" ref="J72:J135" si="58">(E72+N72+O72+R72+S72+T72)/12</f>
        <v>229.32000000000002</v>
      </c>
      <c r="K72" s="256">
        <f t="shared" si="52"/>
        <v>229.32000000000002</v>
      </c>
      <c r="L72" s="256">
        <f t="shared" si="53"/>
        <v>76.440000000000012</v>
      </c>
      <c r="M72" s="256">
        <f t="shared" si="54"/>
        <v>229.32000000000002</v>
      </c>
      <c r="N72" s="255">
        <v>0</v>
      </c>
      <c r="O72" s="256">
        <v>0</v>
      </c>
      <c r="P72" s="256">
        <f t="shared" si="42"/>
        <v>32.104800000000004</v>
      </c>
      <c r="Q72" s="256">
        <f t="shared" si="43"/>
        <v>6.4209600000000009</v>
      </c>
      <c r="R72" s="256">
        <v>0</v>
      </c>
      <c r="S72" s="257">
        <v>0</v>
      </c>
      <c r="T72" s="256">
        <v>0</v>
      </c>
      <c r="U72" s="258">
        <f t="shared" si="46"/>
        <v>2198.8730400000004</v>
      </c>
      <c r="V72" s="256">
        <f t="shared" si="44"/>
        <v>138.69999999999999</v>
      </c>
      <c r="W72" s="256">
        <v>529.20000000000005</v>
      </c>
      <c r="X72" s="256">
        <f t="shared" si="23"/>
        <v>29</v>
      </c>
      <c r="Y72" s="256">
        <f t="shared" ref="Y72:Y135" si="59">C72*10.12</f>
        <v>10.119999999999999</v>
      </c>
      <c r="Z72" s="256">
        <f t="shared" si="55"/>
        <v>17.5</v>
      </c>
      <c r="AA72" s="256">
        <f t="shared" ref="AA72:AA135" si="60">C72*24.95</f>
        <v>24.95</v>
      </c>
      <c r="AB72" s="256">
        <f t="shared" si="56"/>
        <v>230.68</v>
      </c>
      <c r="AC72" s="189">
        <f t="shared" si="47"/>
        <v>980.15000000000009</v>
      </c>
      <c r="AD72" s="259">
        <f t="shared" si="48"/>
        <v>5930.8630400000002</v>
      </c>
    </row>
    <row r="73" spans="1:30" s="160" customFormat="1">
      <c r="A73" s="250">
        <v>68</v>
      </c>
      <c r="B73" s="251" t="s">
        <v>428</v>
      </c>
      <c r="C73" s="252">
        <v>1</v>
      </c>
      <c r="D73" s="253">
        <v>1852.2</v>
      </c>
      <c r="E73" s="254">
        <f t="shared" si="45"/>
        <v>1852.2</v>
      </c>
      <c r="F73" s="255">
        <f t="shared" si="49"/>
        <v>650.84249999999997</v>
      </c>
      <c r="G73" s="256">
        <f t="shared" si="50"/>
        <v>23.666999999999998</v>
      </c>
      <c r="H73" s="256">
        <f t="shared" si="51"/>
        <v>189.33599999999998</v>
      </c>
      <c r="I73" s="256">
        <f t="shared" si="57"/>
        <v>75.734399999999994</v>
      </c>
      <c r="J73" s="256">
        <f t="shared" si="58"/>
        <v>154.35</v>
      </c>
      <c r="K73" s="256">
        <f t="shared" si="52"/>
        <v>154.35</v>
      </c>
      <c r="L73" s="256">
        <f t="shared" si="53"/>
        <v>51.449999999999996</v>
      </c>
      <c r="M73" s="256">
        <f t="shared" si="54"/>
        <v>154.35</v>
      </c>
      <c r="N73" s="255">
        <v>0</v>
      </c>
      <c r="O73" s="256">
        <v>0</v>
      </c>
      <c r="P73" s="256">
        <f t="shared" si="42"/>
        <v>21.609000000000002</v>
      </c>
      <c r="Q73" s="256">
        <f t="shared" si="43"/>
        <v>4.3217999999999996</v>
      </c>
      <c r="R73" s="256">
        <v>0</v>
      </c>
      <c r="S73" s="257">
        <v>0</v>
      </c>
      <c r="T73" s="256">
        <v>0</v>
      </c>
      <c r="U73" s="258">
        <f t="shared" si="46"/>
        <v>1480.0106999999996</v>
      </c>
      <c r="V73" s="256">
        <f t="shared" si="44"/>
        <v>138.69999999999999</v>
      </c>
      <c r="W73" s="256">
        <v>529.20000000000005</v>
      </c>
      <c r="X73" s="256">
        <f t="shared" si="23"/>
        <v>29</v>
      </c>
      <c r="Y73" s="256">
        <f t="shared" si="59"/>
        <v>10.119999999999999</v>
      </c>
      <c r="Z73" s="256">
        <f t="shared" si="55"/>
        <v>17.5</v>
      </c>
      <c r="AA73" s="256">
        <f t="shared" si="60"/>
        <v>24.95</v>
      </c>
      <c r="AB73" s="256">
        <f t="shared" si="56"/>
        <v>230.68</v>
      </c>
      <c r="AC73" s="189">
        <f t="shared" si="47"/>
        <v>980.15000000000009</v>
      </c>
      <c r="AD73" s="259">
        <f t="shared" si="48"/>
        <v>4312.3606999999993</v>
      </c>
    </row>
    <row r="74" spans="1:30" s="160" customFormat="1">
      <c r="A74" s="250">
        <v>69</v>
      </c>
      <c r="B74" s="251" t="s">
        <v>429</v>
      </c>
      <c r="C74" s="252">
        <v>1</v>
      </c>
      <c r="D74" s="253">
        <v>1737.89</v>
      </c>
      <c r="E74" s="254">
        <f t="shared" si="45"/>
        <v>1737.89</v>
      </c>
      <c r="F74" s="255">
        <f t="shared" si="49"/>
        <v>610.6752361111113</v>
      </c>
      <c r="G74" s="256">
        <f t="shared" si="50"/>
        <v>22.206372222222225</v>
      </c>
      <c r="H74" s="256">
        <f t="shared" si="51"/>
        <v>177.6509777777778</v>
      </c>
      <c r="I74" s="256">
        <f t="shared" si="57"/>
        <v>71.060391111111116</v>
      </c>
      <c r="J74" s="256">
        <f t="shared" si="58"/>
        <v>144.82416666666668</v>
      </c>
      <c r="K74" s="256">
        <f t="shared" si="52"/>
        <v>144.82416666666668</v>
      </c>
      <c r="L74" s="256">
        <f t="shared" si="53"/>
        <v>48.274722222222231</v>
      </c>
      <c r="M74" s="256">
        <f t="shared" si="54"/>
        <v>144.82416666666668</v>
      </c>
      <c r="N74" s="255">
        <v>0</v>
      </c>
      <c r="O74" s="256">
        <v>0</v>
      </c>
      <c r="P74" s="256">
        <f t="shared" si="42"/>
        <v>20.275383333333334</v>
      </c>
      <c r="Q74" s="256">
        <f t="shared" si="43"/>
        <v>4.0550766666666664</v>
      </c>
      <c r="R74" s="256">
        <v>0</v>
      </c>
      <c r="S74" s="257">
        <v>0</v>
      </c>
      <c r="T74" s="256">
        <v>0</v>
      </c>
      <c r="U74" s="258">
        <f t="shared" si="46"/>
        <v>1388.6706594444449</v>
      </c>
      <c r="V74" s="256">
        <f t="shared" si="44"/>
        <v>138.69999999999999</v>
      </c>
      <c r="W74" s="256">
        <v>529.20000000000005</v>
      </c>
      <c r="X74" s="256">
        <f t="shared" si="23"/>
        <v>29</v>
      </c>
      <c r="Y74" s="256">
        <f t="shared" si="59"/>
        <v>10.119999999999999</v>
      </c>
      <c r="Z74" s="256">
        <f t="shared" si="55"/>
        <v>17.5</v>
      </c>
      <c r="AA74" s="256">
        <f t="shared" si="60"/>
        <v>24.95</v>
      </c>
      <c r="AB74" s="256">
        <f t="shared" si="56"/>
        <v>230.68</v>
      </c>
      <c r="AC74" s="189">
        <f t="shared" si="47"/>
        <v>980.15000000000009</v>
      </c>
      <c r="AD74" s="259">
        <f t="shared" si="48"/>
        <v>4106.7106594444449</v>
      </c>
    </row>
    <row r="75" spans="1:30" s="160" customFormat="1">
      <c r="A75" s="250">
        <v>70</v>
      </c>
      <c r="B75" s="251" t="s">
        <v>430</v>
      </c>
      <c r="C75" s="252">
        <v>1</v>
      </c>
      <c r="D75" s="253">
        <v>1465.88</v>
      </c>
      <c r="E75" s="254">
        <f t="shared" si="45"/>
        <v>1465.88</v>
      </c>
      <c r="F75" s="255">
        <f t="shared" si="49"/>
        <v>515.09394444444456</v>
      </c>
      <c r="G75" s="256">
        <f t="shared" si="50"/>
        <v>18.730688888888892</v>
      </c>
      <c r="H75" s="256">
        <f t="shared" si="51"/>
        <v>149.84551111111114</v>
      </c>
      <c r="I75" s="256">
        <f t="shared" si="57"/>
        <v>59.938204444444459</v>
      </c>
      <c r="J75" s="256">
        <f t="shared" si="58"/>
        <v>122.15666666666668</v>
      </c>
      <c r="K75" s="256">
        <f t="shared" si="52"/>
        <v>122.15666666666668</v>
      </c>
      <c r="L75" s="256">
        <f t="shared" si="53"/>
        <v>40.718888888888891</v>
      </c>
      <c r="M75" s="256">
        <f t="shared" si="54"/>
        <v>122.15666666666668</v>
      </c>
      <c r="N75" s="255">
        <v>0</v>
      </c>
      <c r="O75" s="256">
        <v>0</v>
      </c>
      <c r="P75" s="256">
        <f t="shared" si="42"/>
        <v>17.101933333333335</v>
      </c>
      <c r="Q75" s="256">
        <f t="shared" si="43"/>
        <v>3.4203866666666674</v>
      </c>
      <c r="R75" s="256">
        <v>0</v>
      </c>
      <c r="S75" s="257">
        <v>0</v>
      </c>
      <c r="T75" s="256">
        <v>0</v>
      </c>
      <c r="U75" s="258">
        <f t="shared" si="46"/>
        <v>1171.3195577777778</v>
      </c>
      <c r="V75" s="256">
        <f t="shared" si="44"/>
        <v>138.69999999999999</v>
      </c>
      <c r="W75" s="256">
        <v>529.20000000000005</v>
      </c>
      <c r="X75" s="256">
        <f t="shared" si="23"/>
        <v>29</v>
      </c>
      <c r="Y75" s="256">
        <f t="shared" si="59"/>
        <v>10.119999999999999</v>
      </c>
      <c r="Z75" s="256">
        <f t="shared" si="55"/>
        <v>17.5</v>
      </c>
      <c r="AA75" s="256">
        <f t="shared" si="60"/>
        <v>24.95</v>
      </c>
      <c r="AB75" s="256">
        <f t="shared" si="56"/>
        <v>230.68</v>
      </c>
      <c r="AC75" s="189">
        <f t="shared" si="47"/>
        <v>980.15000000000009</v>
      </c>
      <c r="AD75" s="259">
        <f t="shared" si="48"/>
        <v>3617.349557777778</v>
      </c>
    </row>
    <row r="76" spans="1:30" s="160" customFormat="1">
      <c r="A76" s="250">
        <v>71</v>
      </c>
      <c r="B76" s="251" t="s">
        <v>431</v>
      </c>
      <c r="C76" s="252">
        <v>1</v>
      </c>
      <c r="D76" s="253">
        <v>1537.21</v>
      </c>
      <c r="E76" s="254">
        <f t="shared" si="45"/>
        <v>1537.21</v>
      </c>
      <c r="F76" s="255">
        <f t="shared" si="49"/>
        <v>540.15851388888905</v>
      </c>
      <c r="G76" s="256">
        <f t="shared" si="50"/>
        <v>19.64212777777778</v>
      </c>
      <c r="H76" s="256">
        <f t="shared" si="51"/>
        <v>157.13702222222224</v>
      </c>
      <c r="I76" s="256">
        <f t="shared" si="57"/>
        <v>62.854808888888897</v>
      </c>
      <c r="J76" s="256">
        <f t="shared" si="58"/>
        <v>128.10083333333333</v>
      </c>
      <c r="K76" s="256">
        <f t="shared" si="52"/>
        <v>128.10083333333333</v>
      </c>
      <c r="L76" s="256">
        <f t="shared" si="53"/>
        <v>42.700277777777778</v>
      </c>
      <c r="M76" s="256">
        <f t="shared" si="54"/>
        <v>128.10083333333333</v>
      </c>
      <c r="N76" s="255">
        <v>0</v>
      </c>
      <c r="O76" s="256">
        <v>0</v>
      </c>
      <c r="P76" s="256">
        <f t="shared" si="42"/>
        <v>17.934116666666668</v>
      </c>
      <c r="Q76" s="256">
        <f t="shared" si="43"/>
        <v>3.5868233333333337</v>
      </c>
      <c r="R76" s="256">
        <v>0</v>
      </c>
      <c r="S76" s="257">
        <v>0</v>
      </c>
      <c r="T76" s="256">
        <v>0</v>
      </c>
      <c r="U76" s="258">
        <f t="shared" si="46"/>
        <v>1228.3161905555557</v>
      </c>
      <c r="V76" s="256">
        <f t="shared" si="44"/>
        <v>138.69999999999999</v>
      </c>
      <c r="W76" s="256">
        <v>529.20000000000005</v>
      </c>
      <c r="X76" s="256">
        <f t="shared" si="23"/>
        <v>29</v>
      </c>
      <c r="Y76" s="256">
        <f t="shared" si="59"/>
        <v>10.119999999999999</v>
      </c>
      <c r="Z76" s="256">
        <f t="shared" si="55"/>
        <v>17.5</v>
      </c>
      <c r="AA76" s="256">
        <f t="shared" si="60"/>
        <v>24.95</v>
      </c>
      <c r="AB76" s="256">
        <f t="shared" si="56"/>
        <v>230.68</v>
      </c>
      <c r="AC76" s="189">
        <f t="shared" si="47"/>
        <v>980.15000000000009</v>
      </c>
      <c r="AD76" s="259">
        <f t="shared" si="48"/>
        <v>3745.6761905555559</v>
      </c>
    </row>
    <row r="77" spans="1:30" s="160" customFormat="1">
      <c r="A77" s="250">
        <v>72</v>
      </c>
      <c r="B77" s="251" t="s">
        <v>435</v>
      </c>
      <c r="C77" s="252">
        <v>2</v>
      </c>
      <c r="D77" s="253">
        <v>2010.96</v>
      </c>
      <c r="E77" s="254">
        <f t="shared" si="45"/>
        <v>4021.92</v>
      </c>
      <c r="F77" s="255">
        <f t="shared" si="49"/>
        <v>1632.0057600000002</v>
      </c>
      <c r="G77" s="256">
        <f t="shared" si="50"/>
        <v>59.345664000000006</v>
      </c>
      <c r="H77" s="256">
        <f t="shared" si="51"/>
        <v>474.76531200000005</v>
      </c>
      <c r="I77" s="256">
        <f t="shared" si="57"/>
        <v>189.90612480000004</v>
      </c>
      <c r="J77" s="256">
        <f t="shared" si="58"/>
        <v>498.27119999999996</v>
      </c>
      <c r="K77" s="256">
        <f t="shared" si="52"/>
        <v>498.27119999999996</v>
      </c>
      <c r="L77" s="256">
        <f t="shared" si="53"/>
        <v>145.23600000000002</v>
      </c>
      <c r="M77" s="256">
        <f t="shared" si="54"/>
        <v>368.67599999999999</v>
      </c>
      <c r="N77" s="255">
        <v>0</v>
      </c>
      <c r="O77" s="256">
        <v>0</v>
      </c>
      <c r="P77" s="256">
        <f>(R77+E77)/210*1.75*1.2</f>
        <v>52.284959999999998</v>
      </c>
      <c r="Q77" s="256">
        <f>P77/6</f>
        <v>8.7141599999999997</v>
      </c>
      <c r="R77" s="256">
        <f>E77*30%</f>
        <v>1206.576</v>
      </c>
      <c r="S77" s="257">
        <f>(D77*10%)*C77</f>
        <v>402.19200000000001</v>
      </c>
      <c r="T77" s="256">
        <f>(E77+R77+N77+O77)/30*2</f>
        <v>348.56639999999999</v>
      </c>
      <c r="U77" s="258">
        <f t="shared" si="46"/>
        <v>5884.8107808000004</v>
      </c>
      <c r="V77" s="256">
        <f>C77*94.75</f>
        <v>189.5</v>
      </c>
      <c r="W77" s="256">
        <f>C77*529.2</f>
        <v>1058.4000000000001</v>
      </c>
      <c r="X77" s="256">
        <f t="shared" si="23"/>
        <v>58</v>
      </c>
      <c r="Y77" s="256">
        <f t="shared" si="59"/>
        <v>20.239999999999998</v>
      </c>
      <c r="Z77" s="256">
        <f t="shared" si="55"/>
        <v>35</v>
      </c>
      <c r="AA77" s="256">
        <f t="shared" si="60"/>
        <v>49.9</v>
      </c>
      <c r="AB77" s="256">
        <f t="shared" si="56"/>
        <v>461.36</v>
      </c>
      <c r="AC77" s="189">
        <f t="shared" si="47"/>
        <v>1872.4</v>
      </c>
      <c r="AD77" s="259">
        <f t="shared" si="48"/>
        <v>11779.1307808</v>
      </c>
    </row>
    <row r="78" spans="1:30" s="160" customFormat="1">
      <c r="A78" s="250">
        <v>73</v>
      </c>
      <c r="B78" s="251" t="s">
        <v>432</v>
      </c>
      <c r="C78" s="252">
        <v>12</v>
      </c>
      <c r="D78" s="253">
        <v>2010.96</v>
      </c>
      <c r="E78" s="254">
        <f t="shared" si="45"/>
        <v>24131.52</v>
      </c>
      <c r="F78" s="255">
        <f t="shared" si="49"/>
        <v>8962.5135600000012</v>
      </c>
      <c r="G78" s="256">
        <f t="shared" si="50"/>
        <v>325.90958400000005</v>
      </c>
      <c r="H78" s="256">
        <f t="shared" si="51"/>
        <v>2607.2766720000004</v>
      </c>
      <c r="I78" s="256">
        <f t="shared" si="57"/>
        <v>1042.9106688000002</v>
      </c>
      <c r="J78" s="256">
        <f t="shared" si="58"/>
        <v>2788.5311999999999</v>
      </c>
      <c r="K78" s="256">
        <f t="shared" si="52"/>
        <v>2788.5311999999999</v>
      </c>
      <c r="L78" s="256">
        <f t="shared" si="53"/>
        <v>871.41600000000005</v>
      </c>
      <c r="M78" s="256">
        <f t="shared" si="54"/>
        <v>2010.96</v>
      </c>
      <c r="N78" s="255">
        <v>0</v>
      </c>
      <c r="O78" s="256">
        <v>0</v>
      </c>
      <c r="P78" s="256">
        <f>(R78+E78)/210*1.75*1.2</f>
        <v>313.70976000000002</v>
      </c>
      <c r="Q78" s="256">
        <f>P78/6</f>
        <v>52.284960000000005</v>
      </c>
      <c r="R78" s="256">
        <f>E78*30%</f>
        <v>7239.4560000000001</v>
      </c>
      <c r="S78" s="257"/>
      <c r="T78" s="256">
        <f t="shared" ref="T78:T80" si="61">(E78+R78+N78+O78)/30*2</f>
        <v>2091.3984</v>
      </c>
      <c r="U78" s="258">
        <f t="shared" si="46"/>
        <v>31094.898004800001</v>
      </c>
      <c r="V78" s="256">
        <f t="shared" ref="V78:V80" si="62">C78*94.75</f>
        <v>1137</v>
      </c>
      <c r="W78" s="256">
        <f>C78*529.2</f>
        <v>6350.4000000000005</v>
      </c>
      <c r="X78" s="256">
        <f t="shared" si="23"/>
        <v>348</v>
      </c>
      <c r="Y78" s="256">
        <f t="shared" si="59"/>
        <v>121.44</v>
      </c>
      <c r="Z78" s="256">
        <f t="shared" si="55"/>
        <v>210</v>
      </c>
      <c r="AA78" s="256">
        <f t="shared" si="60"/>
        <v>299.39999999999998</v>
      </c>
      <c r="AB78" s="256">
        <f t="shared" si="56"/>
        <v>2768.16</v>
      </c>
      <c r="AC78" s="189">
        <f t="shared" si="47"/>
        <v>11234.4</v>
      </c>
      <c r="AD78" s="259">
        <f t="shared" si="48"/>
        <v>66460.818004799992</v>
      </c>
    </row>
    <row r="79" spans="1:30" s="160" customFormat="1">
      <c r="A79" s="250">
        <v>74</v>
      </c>
      <c r="B79" s="251" t="s">
        <v>433</v>
      </c>
      <c r="C79" s="252">
        <v>2</v>
      </c>
      <c r="D79" s="253">
        <v>2010.96</v>
      </c>
      <c r="E79" s="254">
        <f t="shared" si="45"/>
        <v>4021.92</v>
      </c>
      <c r="F79" s="255">
        <f t="shared" si="49"/>
        <v>1677.4484906666671</v>
      </c>
      <c r="G79" s="256">
        <f t="shared" si="50"/>
        <v>60.998126933333346</v>
      </c>
      <c r="H79" s="256">
        <f t="shared" si="51"/>
        <v>487.98501546666677</v>
      </c>
      <c r="I79" s="256">
        <f t="shared" si="57"/>
        <v>195.19400618666671</v>
      </c>
      <c r="J79" s="256">
        <f t="shared" si="58"/>
        <v>580.89434666666671</v>
      </c>
      <c r="K79" s="256">
        <f t="shared" si="52"/>
        <v>580.89434666666671</v>
      </c>
      <c r="L79" s="256">
        <f t="shared" si="53"/>
        <v>145.23600000000002</v>
      </c>
      <c r="M79" s="256">
        <f t="shared" si="54"/>
        <v>368.67599999999999</v>
      </c>
      <c r="N79" s="255">
        <f>(R79+E79)/210*20%*160</f>
        <v>796.72320000000013</v>
      </c>
      <c r="O79" s="256">
        <f>N79/6</f>
        <v>132.78720000000001</v>
      </c>
      <c r="P79" s="256">
        <f>(R79+E79)/210*1.75*1.2</f>
        <v>52.284959999999998</v>
      </c>
      <c r="Q79" s="256">
        <f>P79/6</f>
        <v>8.7141599999999997</v>
      </c>
      <c r="R79" s="256">
        <f>E79*30%</f>
        <v>1206.576</v>
      </c>
      <c r="S79" s="257">
        <f t="shared" ref="S79" si="63">(D79*10%)*C79</f>
        <v>402.19200000000001</v>
      </c>
      <c r="T79" s="256">
        <f t="shared" si="61"/>
        <v>410.53376000000003</v>
      </c>
      <c r="U79" s="258">
        <f t="shared" si="46"/>
        <v>7107.1376125866691</v>
      </c>
      <c r="V79" s="256">
        <f t="shared" si="62"/>
        <v>189.5</v>
      </c>
      <c r="W79" s="256">
        <f>C79*529.2</f>
        <v>1058.4000000000001</v>
      </c>
      <c r="X79" s="256">
        <f t="shared" si="23"/>
        <v>58</v>
      </c>
      <c r="Y79" s="256">
        <f t="shared" si="59"/>
        <v>20.239999999999998</v>
      </c>
      <c r="Z79" s="256">
        <f t="shared" si="55"/>
        <v>35</v>
      </c>
      <c r="AA79" s="256">
        <f t="shared" si="60"/>
        <v>49.9</v>
      </c>
      <c r="AB79" s="256">
        <f t="shared" si="56"/>
        <v>461.36</v>
      </c>
      <c r="AC79" s="189">
        <f t="shared" si="47"/>
        <v>1872.4</v>
      </c>
      <c r="AD79" s="259">
        <f t="shared" si="48"/>
        <v>13001.457612586668</v>
      </c>
    </row>
    <row r="80" spans="1:30" s="160" customFormat="1">
      <c r="A80" s="250">
        <v>75</v>
      </c>
      <c r="B80" s="251" t="s">
        <v>434</v>
      </c>
      <c r="C80" s="252">
        <v>6</v>
      </c>
      <c r="D80" s="253">
        <v>2010.96</v>
      </c>
      <c r="E80" s="254">
        <f t="shared" si="45"/>
        <v>12065.76</v>
      </c>
      <c r="F80" s="255">
        <f t="shared" si="49"/>
        <v>4617.5849719999997</v>
      </c>
      <c r="G80" s="256">
        <f t="shared" si="50"/>
        <v>167.91218079999999</v>
      </c>
      <c r="H80" s="256">
        <f t="shared" si="51"/>
        <v>1343.2974463999999</v>
      </c>
      <c r="I80" s="256">
        <f t="shared" si="57"/>
        <v>537.31897856000001</v>
      </c>
      <c r="J80" s="256">
        <f t="shared" si="58"/>
        <v>1642.1350399999999</v>
      </c>
      <c r="K80" s="256">
        <f t="shared" si="52"/>
        <v>1642.1350399999999</v>
      </c>
      <c r="L80" s="256">
        <f t="shared" si="53"/>
        <v>435.70800000000003</v>
      </c>
      <c r="M80" s="256">
        <f t="shared" si="54"/>
        <v>1005.48</v>
      </c>
      <c r="N80" s="255">
        <f>(R80+E80)/210*20%*160</f>
        <v>2390.1696000000002</v>
      </c>
      <c r="O80" s="256">
        <f>N80/6</f>
        <v>398.36160000000001</v>
      </c>
      <c r="P80" s="256">
        <f>(R80+E80)/210*1.75*1.2</f>
        <v>156.85488000000001</v>
      </c>
      <c r="Q80" s="256">
        <f>P80/6</f>
        <v>26.142480000000003</v>
      </c>
      <c r="R80" s="256">
        <f>E80*30%</f>
        <v>3619.7280000000001</v>
      </c>
      <c r="S80" s="257">
        <v>0</v>
      </c>
      <c r="T80" s="256">
        <f t="shared" si="61"/>
        <v>1231.6012800000001</v>
      </c>
      <c r="U80" s="258">
        <f t="shared" si="46"/>
        <v>19214.429497759997</v>
      </c>
      <c r="V80" s="256">
        <f t="shared" si="62"/>
        <v>568.5</v>
      </c>
      <c r="W80" s="256">
        <f>C80*529.2</f>
        <v>3175.2000000000003</v>
      </c>
      <c r="X80" s="256">
        <f t="shared" si="23"/>
        <v>174</v>
      </c>
      <c r="Y80" s="256">
        <f t="shared" si="59"/>
        <v>60.72</v>
      </c>
      <c r="Z80" s="256">
        <f t="shared" si="55"/>
        <v>105</v>
      </c>
      <c r="AA80" s="256">
        <f t="shared" si="60"/>
        <v>149.69999999999999</v>
      </c>
      <c r="AB80" s="256">
        <f t="shared" si="56"/>
        <v>1384.08</v>
      </c>
      <c r="AC80" s="189">
        <f t="shared" si="47"/>
        <v>5617.2</v>
      </c>
      <c r="AD80" s="259">
        <f t="shared" si="48"/>
        <v>36897.389497759992</v>
      </c>
    </row>
    <row r="81" spans="1:30" s="160" customFormat="1">
      <c r="A81" s="250">
        <v>76</v>
      </c>
      <c r="B81" s="251" t="s">
        <v>460</v>
      </c>
      <c r="C81" s="252">
        <v>1</v>
      </c>
      <c r="D81" s="253">
        <v>6879.6</v>
      </c>
      <c r="E81" s="254">
        <f t="shared" si="45"/>
        <v>6879.6</v>
      </c>
      <c r="F81" s="255">
        <f t="shared" si="49"/>
        <v>2417.4150000000004</v>
      </c>
      <c r="G81" s="256">
        <f t="shared" si="50"/>
        <v>87.906000000000006</v>
      </c>
      <c r="H81" s="256">
        <f t="shared" si="51"/>
        <v>703.24800000000005</v>
      </c>
      <c r="I81" s="256">
        <f t="shared" si="57"/>
        <v>281.29920000000004</v>
      </c>
      <c r="J81" s="256">
        <f t="shared" si="58"/>
        <v>573.30000000000007</v>
      </c>
      <c r="K81" s="256">
        <f t="shared" si="52"/>
        <v>573.30000000000007</v>
      </c>
      <c r="L81" s="256">
        <f t="shared" si="53"/>
        <v>191.10000000000002</v>
      </c>
      <c r="M81" s="256">
        <f t="shared" si="54"/>
        <v>573.30000000000007</v>
      </c>
      <c r="N81" s="255">
        <v>0</v>
      </c>
      <c r="O81" s="256">
        <v>0</v>
      </c>
      <c r="P81" s="256">
        <v>0</v>
      </c>
      <c r="Q81" s="256">
        <v>0</v>
      </c>
      <c r="R81" s="256">
        <v>0</v>
      </c>
      <c r="S81" s="257">
        <v>0</v>
      </c>
      <c r="T81" s="256">
        <v>0</v>
      </c>
      <c r="U81" s="258">
        <f t="shared" si="46"/>
        <v>5400.8682000000008</v>
      </c>
      <c r="V81" s="256">
        <v>0</v>
      </c>
      <c r="W81" s="256">
        <v>529.20000000000005</v>
      </c>
      <c r="X81" s="256">
        <f t="shared" si="23"/>
        <v>29</v>
      </c>
      <c r="Y81" s="256">
        <f t="shared" si="59"/>
        <v>10.119999999999999</v>
      </c>
      <c r="Z81" s="256">
        <f t="shared" si="55"/>
        <v>17.5</v>
      </c>
      <c r="AA81" s="256">
        <f t="shared" si="60"/>
        <v>24.95</v>
      </c>
      <c r="AB81" s="256">
        <f t="shared" si="56"/>
        <v>230.68</v>
      </c>
      <c r="AC81" s="189">
        <f t="shared" si="47"/>
        <v>841.45</v>
      </c>
      <c r="AD81" s="259">
        <f t="shared" si="48"/>
        <v>13121.918200000002</v>
      </c>
    </row>
    <row r="82" spans="1:30" s="160" customFormat="1">
      <c r="A82" s="250">
        <v>77</v>
      </c>
      <c r="B82" s="251" t="s">
        <v>422</v>
      </c>
      <c r="C82" s="252">
        <v>1</v>
      </c>
      <c r="D82" s="253">
        <v>3993.98</v>
      </c>
      <c r="E82" s="254">
        <f t="shared" si="45"/>
        <v>3993.98</v>
      </c>
      <c r="F82" s="255">
        <f t="shared" si="49"/>
        <v>1467.5102902777778</v>
      </c>
      <c r="G82" s="256">
        <f t="shared" si="50"/>
        <v>53.364010555555552</v>
      </c>
      <c r="H82" s="256">
        <f t="shared" si="51"/>
        <v>426.91208444444442</v>
      </c>
      <c r="I82" s="256">
        <f t="shared" si="57"/>
        <v>170.76483377777777</v>
      </c>
      <c r="J82" s="256">
        <f t="shared" si="58"/>
        <v>432.68116666666668</v>
      </c>
      <c r="K82" s="256">
        <f t="shared" si="52"/>
        <v>432.68116666666668</v>
      </c>
      <c r="L82" s="256">
        <f t="shared" si="53"/>
        <v>144.22705555555555</v>
      </c>
      <c r="M82" s="256">
        <f t="shared" si="54"/>
        <v>332.83166666666665</v>
      </c>
      <c r="N82" s="255">
        <v>0</v>
      </c>
      <c r="O82" s="256">
        <v>0</v>
      </c>
      <c r="P82" s="256">
        <v>0</v>
      </c>
      <c r="Q82" s="256">
        <v>0</v>
      </c>
      <c r="R82" s="256">
        <f>E82*30%</f>
        <v>1198.194</v>
      </c>
      <c r="S82" s="257">
        <v>0</v>
      </c>
      <c r="T82" s="256">
        <v>0</v>
      </c>
      <c r="U82" s="258">
        <f t="shared" si="46"/>
        <v>4659.1662746111106</v>
      </c>
      <c r="V82" s="256">
        <v>0</v>
      </c>
      <c r="W82" s="256">
        <v>529.20000000000005</v>
      </c>
      <c r="X82" s="256">
        <f t="shared" si="23"/>
        <v>29</v>
      </c>
      <c r="Y82" s="256">
        <f t="shared" si="59"/>
        <v>10.119999999999999</v>
      </c>
      <c r="Z82" s="256">
        <f t="shared" si="55"/>
        <v>17.5</v>
      </c>
      <c r="AA82" s="256">
        <f t="shared" si="60"/>
        <v>24.95</v>
      </c>
      <c r="AB82" s="256">
        <f t="shared" si="56"/>
        <v>230.68</v>
      </c>
      <c r="AC82" s="189">
        <f t="shared" si="47"/>
        <v>841.45</v>
      </c>
      <c r="AD82" s="259">
        <f t="shared" si="48"/>
        <v>9494.5962746111109</v>
      </c>
    </row>
    <row r="83" spans="1:30" s="160" customFormat="1">
      <c r="A83" s="250">
        <v>78</v>
      </c>
      <c r="B83" s="251" t="s">
        <v>423</v>
      </c>
      <c r="C83" s="252">
        <v>1</v>
      </c>
      <c r="D83" s="253">
        <v>2751.84</v>
      </c>
      <c r="E83" s="254">
        <f t="shared" si="45"/>
        <v>2751.84</v>
      </c>
      <c r="F83" s="255">
        <f t="shared" si="49"/>
        <v>966.96600000000024</v>
      </c>
      <c r="G83" s="256">
        <f t="shared" si="50"/>
        <v>35.162400000000005</v>
      </c>
      <c r="H83" s="256">
        <f t="shared" si="51"/>
        <v>281.29920000000004</v>
      </c>
      <c r="I83" s="256">
        <f t="shared" si="57"/>
        <v>112.51968000000002</v>
      </c>
      <c r="J83" s="256">
        <f t="shared" si="58"/>
        <v>229.32000000000002</v>
      </c>
      <c r="K83" s="256">
        <f t="shared" si="52"/>
        <v>229.32000000000002</v>
      </c>
      <c r="L83" s="256">
        <f t="shared" si="53"/>
        <v>76.440000000000012</v>
      </c>
      <c r="M83" s="256">
        <f t="shared" si="54"/>
        <v>229.32000000000002</v>
      </c>
      <c r="N83" s="255">
        <v>0</v>
      </c>
      <c r="O83" s="256">
        <v>0</v>
      </c>
      <c r="P83" s="256">
        <f>E83/150*1.75</f>
        <v>32.104800000000004</v>
      </c>
      <c r="Q83" s="256">
        <f>P83/25*5</f>
        <v>6.4209600000000009</v>
      </c>
      <c r="R83" s="256">
        <v>0</v>
      </c>
      <c r="S83" s="257">
        <v>0</v>
      </c>
      <c r="T83" s="256">
        <v>0</v>
      </c>
      <c r="U83" s="258">
        <f t="shared" si="46"/>
        <v>2198.8730400000004</v>
      </c>
      <c r="V83" s="256">
        <f>C83*93.06</f>
        <v>93.06</v>
      </c>
      <c r="W83" s="256">
        <v>529.20000000000005</v>
      </c>
      <c r="X83" s="256">
        <f t="shared" si="23"/>
        <v>29</v>
      </c>
      <c r="Y83" s="256">
        <f t="shared" si="59"/>
        <v>10.119999999999999</v>
      </c>
      <c r="Z83" s="256">
        <f t="shared" si="55"/>
        <v>17.5</v>
      </c>
      <c r="AA83" s="256">
        <f t="shared" si="60"/>
        <v>24.95</v>
      </c>
      <c r="AB83" s="256">
        <f t="shared" si="56"/>
        <v>230.68</v>
      </c>
      <c r="AC83" s="189">
        <f t="shared" si="47"/>
        <v>934.51</v>
      </c>
      <c r="AD83" s="259">
        <f t="shared" si="48"/>
        <v>5885.2230400000008</v>
      </c>
    </row>
    <row r="84" spans="1:30" s="160" customFormat="1">
      <c r="A84" s="250">
        <v>79</v>
      </c>
      <c r="B84" s="251" t="s">
        <v>424</v>
      </c>
      <c r="C84" s="252">
        <v>1</v>
      </c>
      <c r="D84" s="253">
        <v>2751.84</v>
      </c>
      <c r="E84" s="254">
        <f t="shared" si="45"/>
        <v>2751.84</v>
      </c>
      <c r="F84" s="255">
        <f t="shared" si="49"/>
        <v>966.96600000000024</v>
      </c>
      <c r="G84" s="256">
        <f t="shared" si="50"/>
        <v>35.162400000000005</v>
      </c>
      <c r="H84" s="256">
        <f t="shared" si="51"/>
        <v>281.29920000000004</v>
      </c>
      <c r="I84" s="256">
        <f t="shared" si="57"/>
        <v>112.51968000000002</v>
      </c>
      <c r="J84" s="256">
        <f t="shared" si="58"/>
        <v>229.32000000000002</v>
      </c>
      <c r="K84" s="256">
        <f t="shared" si="52"/>
        <v>229.32000000000002</v>
      </c>
      <c r="L84" s="256">
        <f t="shared" si="53"/>
        <v>76.440000000000012</v>
      </c>
      <c r="M84" s="256">
        <f t="shared" si="54"/>
        <v>229.32000000000002</v>
      </c>
      <c r="N84" s="255">
        <v>0</v>
      </c>
      <c r="O84" s="256">
        <v>0</v>
      </c>
      <c r="P84" s="256">
        <f t="shared" ref="P84:P91" si="64">E84/150*1.75</f>
        <v>32.104800000000004</v>
      </c>
      <c r="Q84" s="256">
        <f t="shared" ref="Q84:Q91" si="65">P84/25*5</f>
        <v>6.4209600000000009</v>
      </c>
      <c r="R84" s="256">
        <v>0</v>
      </c>
      <c r="S84" s="257">
        <v>0</v>
      </c>
      <c r="T84" s="256">
        <v>0</v>
      </c>
      <c r="U84" s="258">
        <f t="shared" si="46"/>
        <v>2198.8730400000004</v>
      </c>
      <c r="V84" s="256">
        <f t="shared" ref="V84:V91" si="66">C84*93.06</f>
        <v>93.06</v>
      </c>
      <c r="W84" s="256">
        <v>529.20000000000005</v>
      </c>
      <c r="X84" s="256">
        <f t="shared" si="23"/>
        <v>29</v>
      </c>
      <c r="Y84" s="256">
        <f t="shared" si="59"/>
        <v>10.119999999999999</v>
      </c>
      <c r="Z84" s="256">
        <f t="shared" si="55"/>
        <v>17.5</v>
      </c>
      <c r="AA84" s="256">
        <f t="shared" si="60"/>
        <v>24.95</v>
      </c>
      <c r="AB84" s="256">
        <f t="shared" si="56"/>
        <v>230.68</v>
      </c>
      <c r="AC84" s="189">
        <f t="shared" si="47"/>
        <v>934.51</v>
      </c>
      <c r="AD84" s="259">
        <f t="shared" si="48"/>
        <v>5885.2230400000008</v>
      </c>
    </row>
    <row r="85" spans="1:30" s="160" customFormat="1">
      <c r="A85" s="250">
        <v>80</v>
      </c>
      <c r="B85" s="251" t="s">
        <v>425</v>
      </c>
      <c r="C85" s="252">
        <v>1</v>
      </c>
      <c r="D85" s="253">
        <v>2751.84</v>
      </c>
      <c r="E85" s="254">
        <f t="shared" si="45"/>
        <v>2751.84</v>
      </c>
      <c r="F85" s="255">
        <f t="shared" si="49"/>
        <v>966.96600000000024</v>
      </c>
      <c r="G85" s="256">
        <f t="shared" si="50"/>
        <v>35.162400000000005</v>
      </c>
      <c r="H85" s="256">
        <f t="shared" si="51"/>
        <v>281.29920000000004</v>
      </c>
      <c r="I85" s="256">
        <f t="shared" si="57"/>
        <v>112.51968000000002</v>
      </c>
      <c r="J85" s="256">
        <f t="shared" si="58"/>
        <v>229.32000000000002</v>
      </c>
      <c r="K85" s="256">
        <f t="shared" si="52"/>
        <v>229.32000000000002</v>
      </c>
      <c r="L85" s="256">
        <f t="shared" si="53"/>
        <v>76.440000000000012</v>
      </c>
      <c r="M85" s="256">
        <f t="shared" si="54"/>
        <v>229.32000000000002</v>
      </c>
      <c r="N85" s="255">
        <v>0</v>
      </c>
      <c r="O85" s="256">
        <v>0</v>
      </c>
      <c r="P85" s="256">
        <f t="shared" si="64"/>
        <v>32.104800000000004</v>
      </c>
      <c r="Q85" s="256">
        <f t="shared" si="65"/>
        <v>6.4209600000000009</v>
      </c>
      <c r="R85" s="256">
        <v>0</v>
      </c>
      <c r="S85" s="257">
        <v>0</v>
      </c>
      <c r="T85" s="256">
        <v>0</v>
      </c>
      <c r="U85" s="258">
        <f t="shared" si="46"/>
        <v>2198.8730400000004</v>
      </c>
      <c r="V85" s="256">
        <f t="shared" si="66"/>
        <v>93.06</v>
      </c>
      <c r="W85" s="256">
        <v>529.20000000000005</v>
      </c>
      <c r="X85" s="256">
        <f t="shared" ref="X85:X148" si="67">C85*29</f>
        <v>29</v>
      </c>
      <c r="Y85" s="256">
        <f t="shared" si="59"/>
        <v>10.119999999999999</v>
      </c>
      <c r="Z85" s="256">
        <f t="shared" si="55"/>
        <v>17.5</v>
      </c>
      <c r="AA85" s="256">
        <f t="shared" si="60"/>
        <v>24.95</v>
      </c>
      <c r="AB85" s="256">
        <f t="shared" si="56"/>
        <v>230.68</v>
      </c>
      <c r="AC85" s="189">
        <f t="shared" si="47"/>
        <v>934.51</v>
      </c>
      <c r="AD85" s="259">
        <f t="shared" si="48"/>
        <v>5885.2230400000008</v>
      </c>
    </row>
    <row r="86" spans="1:30" s="160" customFormat="1">
      <c r="A86" s="250">
        <v>81</v>
      </c>
      <c r="B86" s="251" t="s">
        <v>426</v>
      </c>
      <c r="C86" s="252">
        <v>1</v>
      </c>
      <c r="D86" s="253">
        <v>2751.84</v>
      </c>
      <c r="E86" s="254">
        <f t="shared" si="45"/>
        <v>2751.84</v>
      </c>
      <c r="F86" s="255">
        <f t="shared" si="49"/>
        <v>966.96600000000024</v>
      </c>
      <c r="G86" s="256">
        <f t="shared" si="50"/>
        <v>35.162400000000005</v>
      </c>
      <c r="H86" s="256">
        <f t="shared" si="51"/>
        <v>281.29920000000004</v>
      </c>
      <c r="I86" s="256">
        <f t="shared" si="57"/>
        <v>112.51968000000002</v>
      </c>
      <c r="J86" s="256">
        <f t="shared" si="58"/>
        <v>229.32000000000002</v>
      </c>
      <c r="K86" s="256">
        <f t="shared" si="52"/>
        <v>229.32000000000002</v>
      </c>
      <c r="L86" s="256">
        <f t="shared" si="53"/>
        <v>76.440000000000012</v>
      </c>
      <c r="M86" s="256">
        <f t="shared" si="54"/>
        <v>229.32000000000002</v>
      </c>
      <c r="N86" s="255">
        <v>0</v>
      </c>
      <c r="O86" s="256">
        <v>0</v>
      </c>
      <c r="P86" s="256">
        <f t="shared" si="64"/>
        <v>32.104800000000004</v>
      </c>
      <c r="Q86" s="256">
        <f t="shared" si="65"/>
        <v>6.4209600000000009</v>
      </c>
      <c r="R86" s="256">
        <v>0</v>
      </c>
      <c r="S86" s="257">
        <v>0</v>
      </c>
      <c r="T86" s="256">
        <v>0</v>
      </c>
      <c r="U86" s="258">
        <f t="shared" si="46"/>
        <v>2198.8730400000004</v>
      </c>
      <c r="V86" s="256">
        <f t="shared" si="66"/>
        <v>93.06</v>
      </c>
      <c r="W86" s="256">
        <v>529.20000000000005</v>
      </c>
      <c r="X86" s="256">
        <f t="shared" si="67"/>
        <v>29</v>
      </c>
      <c r="Y86" s="256">
        <f t="shared" si="59"/>
        <v>10.119999999999999</v>
      </c>
      <c r="Z86" s="256">
        <f t="shared" si="55"/>
        <v>17.5</v>
      </c>
      <c r="AA86" s="256">
        <f t="shared" si="60"/>
        <v>24.95</v>
      </c>
      <c r="AB86" s="256">
        <f t="shared" si="56"/>
        <v>230.68</v>
      </c>
      <c r="AC86" s="189">
        <f t="shared" si="47"/>
        <v>934.51</v>
      </c>
      <c r="AD86" s="259">
        <f t="shared" si="48"/>
        <v>5885.2230400000008</v>
      </c>
    </row>
    <row r="87" spans="1:30" s="160" customFormat="1">
      <c r="A87" s="250">
        <v>82</v>
      </c>
      <c r="B87" s="251" t="s">
        <v>427</v>
      </c>
      <c r="C87" s="252">
        <v>1</v>
      </c>
      <c r="D87" s="253">
        <v>2751.84</v>
      </c>
      <c r="E87" s="254">
        <f t="shared" si="45"/>
        <v>2751.84</v>
      </c>
      <c r="F87" s="255">
        <f t="shared" si="49"/>
        <v>966.96600000000024</v>
      </c>
      <c r="G87" s="256">
        <f t="shared" si="50"/>
        <v>35.162400000000005</v>
      </c>
      <c r="H87" s="256">
        <f t="shared" si="51"/>
        <v>281.29920000000004</v>
      </c>
      <c r="I87" s="256">
        <f t="shared" si="57"/>
        <v>112.51968000000002</v>
      </c>
      <c r="J87" s="256">
        <f t="shared" si="58"/>
        <v>229.32000000000002</v>
      </c>
      <c r="K87" s="256">
        <f t="shared" si="52"/>
        <v>229.32000000000002</v>
      </c>
      <c r="L87" s="256">
        <f t="shared" si="53"/>
        <v>76.440000000000012</v>
      </c>
      <c r="M87" s="256">
        <f t="shared" si="54"/>
        <v>229.32000000000002</v>
      </c>
      <c r="N87" s="255">
        <v>0</v>
      </c>
      <c r="O87" s="256">
        <v>0</v>
      </c>
      <c r="P87" s="256">
        <f t="shared" si="64"/>
        <v>32.104800000000004</v>
      </c>
      <c r="Q87" s="256">
        <f t="shared" si="65"/>
        <v>6.4209600000000009</v>
      </c>
      <c r="R87" s="256">
        <v>0</v>
      </c>
      <c r="S87" s="257">
        <v>0</v>
      </c>
      <c r="T87" s="256">
        <v>0</v>
      </c>
      <c r="U87" s="258">
        <f t="shared" si="46"/>
        <v>2198.8730400000004</v>
      </c>
      <c r="V87" s="256">
        <f t="shared" si="66"/>
        <v>93.06</v>
      </c>
      <c r="W87" s="256">
        <v>529.20000000000005</v>
      </c>
      <c r="X87" s="256">
        <f t="shared" si="67"/>
        <v>29</v>
      </c>
      <c r="Y87" s="256">
        <f t="shared" si="59"/>
        <v>10.119999999999999</v>
      </c>
      <c r="Z87" s="256">
        <f t="shared" si="55"/>
        <v>17.5</v>
      </c>
      <c r="AA87" s="256">
        <f t="shared" si="60"/>
        <v>24.95</v>
      </c>
      <c r="AB87" s="256">
        <f t="shared" si="56"/>
        <v>230.68</v>
      </c>
      <c r="AC87" s="189">
        <f t="shared" si="47"/>
        <v>934.51</v>
      </c>
      <c r="AD87" s="259">
        <f t="shared" si="48"/>
        <v>5885.2230400000008</v>
      </c>
    </row>
    <row r="88" spans="1:30" s="160" customFormat="1">
      <c r="A88" s="250">
        <v>83</v>
      </c>
      <c r="B88" s="251" t="s">
        <v>428</v>
      </c>
      <c r="C88" s="252">
        <v>1</v>
      </c>
      <c r="D88" s="253">
        <v>1852.2</v>
      </c>
      <c r="E88" s="254">
        <f t="shared" si="45"/>
        <v>1852.2</v>
      </c>
      <c r="F88" s="255">
        <f t="shared" si="49"/>
        <v>650.84249999999997</v>
      </c>
      <c r="G88" s="256">
        <f t="shared" si="50"/>
        <v>23.666999999999998</v>
      </c>
      <c r="H88" s="256">
        <f t="shared" si="51"/>
        <v>189.33599999999998</v>
      </c>
      <c r="I88" s="256">
        <f t="shared" si="57"/>
        <v>75.734399999999994</v>
      </c>
      <c r="J88" s="256">
        <f t="shared" si="58"/>
        <v>154.35</v>
      </c>
      <c r="K88" s="256">
        <f t="shared" si="52"/>
        <v>154.35</v>
      </c>
      <c r="L88" s="256">
        <f t="shared" si="53"/>
        <v>51.449999999999996</v>
      </c>
      <c r="M88" s="256">
        <f t="shared" si="54"/>
        <v>154.35</v>
      </c>
      <c r="N88" s="255">
        <v>0</v>
      </c>
      <c r="O88" s="256">
        <v>0</v>
      </c>
      <c r="P88" s="256">
        <f t="shared" si="64"/>
        <v>21.609000000000002</v>
      </c>
      <c r="Q88" s="256">
        <f t="shared" si="65"/>
        <v>4.3217999999999996</v>
      </c>
      <c r="R88" s="256">
        <v>0</v>
      </c>
      <c r="S88" s="257">
        <v>0</v>
      </c>
      <c r="T88" s="256">
        <v>0</v>
      </c>
      <c r="U88" s="258">
        <f t="shared" si="46"/>
        <v>1480.0106999999996</v>
      </c>
      <c r="V88" s="256">
        <f t="shared" si="66"/>
        <v>93.06</v>
      </c>
      <c r="W88" s="256">
        <v>529.20000000000005</v>
      </c>
      <c r="X88" s="256">
        <f t="shared" si="67"/>
        <v>29</v>
      </c>
      <c r="Y88" s="256">
        <f t="shared" si="59"/>
        <v>10.119999999999999</v>
      </c>
      <c r="Z88" s="256">
        <f t="shared" si="55"/>
        <v>17.5</v>
      </c>
      <c r="AA88" s="256">
        <f t="shared" si="60"/>
        <v>24.95</v>
      </c>
      <c r="AB88" s="256">
        <f t="shared" si="56"/>
        <v>230.68</v>
      </c>
      <c r="AC88" s="189">
        <f t="shared" si="47"/>
        <v>934.51</v>
      </c>
      <c r="AD88" s="259">
        <f t="shared" si="48"/>
        <v>4266.7206999999999</v>
      </c>
    </row>
    <row r="89" spans="1:30" s="160" customFormat="1">
      <c r="A89" s="250">
        <v>84</v>
      </c>
      <c r="B89" s="251" t="s">
        <v>429</v>
      </c>
      <c r="C89" s="252">
        <v>1</v>
      </c>
      <c r="D89" s="253">
        <v>1737.89</v>
      </c>
      <c r="E89" s="254">
        <f t="shared" si="45"/>
        <v>1737.89</v>
      </c>
      <c r="F89" s="255">
        <f t="shared" si="49"/>
        <v>610.6752361111113</v>
      </c>
      <c r="G89" s="256">
        <f t="shared" si="50"/>
        <v>22.206372222222225</v>
      </c>
      <c r="H89" s="256">
        <f t="shared" si="51"/>
        <v>177.6509777777778</v>
      </c>
      <c r="I89" s="256">
        <f t="shared" si="57"/>
        <v>71.060391111111116</v>
      </c>
      <c r="J89" s="256">
        <f t="shared" si="58"/>
        <v>144.82416666666668</v>
      </c>
      <c r="K89" s="256">
        <f t="shared" si="52"/>
        <v>144.82416666666668</v>
      </c>
      <c r="L89" s="256">
        <f t="shared" si="53"/>
        <v>48.274722222222231</v>
      </c>
      <c r="M89" s="256">
        <f t="shared" si="54"/>
        <v>144.82416666666668</v>
      </c>
      <c r="N89" s="255">
        <v>0</v>
      </c>
      <c r="O89" s="256">
        <v>0</v>
      </c>
      <c r="P89" s="256">
        <f t="shared" si="64"/>
        <v>20.275383333333334</v>
      </c>
      <c r="Q89" s="256">
        <f t="shared" si="65"/>
        <v>4.0550766666666664</v>
      </c>
      <c r="R89" s="256">
        <v>0</v>
      </c>
      <c r="S89" s="257">
        <v>0</v>
      </c>
      <c r="T89" s="256">
        <v>0</v>
      </c>
      <c r="U89" s="258">
        <f t="shared" si="46"/>
        <v>1388.6706594444449</v>
      </c>
      <c r="V89" s="256">
        <f t="shared" si="66"/>
        <v>93.06</v>
      </c>
      <c r="W89" s="256">
        <v>529.20000000000005</v>
      </c>
      <c r="X89" s="256">
        <f t="shared" si="67"/>
        <v>29</v>
      </c>
      <c r="Y89" s="256">
        <f t="shared" si="59"/>
        <v>10.119999999999999</v>
      </c>
      <c r="Z89" s="256">
        <f t="shared" si="55"/>
        <v>17.5</v>
      </c>
      <c r="AA89" s="256">
        <f t="shared" si="60"/>
        <v>24.95</v>
      </c>
      <c r="AB89" s="256">
        <f t="shared" si="56"/>
        <v>230.68</v>
      </c>
      <c r="AC89" s="189">
        <f t="shared" si="47"/>
        <v>934.51</v>
      </c>
      <c r="AD89" s="259">
        <f t="shared" si="48"/>
        <v>4061.0706594444455</v>
      </c>
    </row>
    <row r="90" spans="1:30" s="160" customFormat="1">
      <c r="A90" s="250">
        <v>85</v>
      </c>
      <c r="B90" s="251" t="s">
        <v>430</v>
      </c>
      <c r="C90" s="252">
        <v>1</v>
      </c>
      <c r="D90" s="253">
        <v>1465.88</v>
      </c>
      <c r="E90" s="254">
        <f t="shared" si="45"/>
        <v>1465.88</v>
      </c>
      <c r="F90" s="255">
        <f t="shared" si="49"/>
        <v>515.09394444444456</v>
      </c>
      <c r="G90" s="256">
        <f t="shared" si="50"/>
        <v>18.730688888888892</v>
      </c>
      <c r="H90" s="256">
        <f t="shared" si="51"/>
        <v>149.84551111111114</v>
      </c>
      <c r="I90" s="256">
        <f t="shared" si="57"/>
        <v>59.938204444444459</v>
      </c>
      <c r="J90" s="256">
        <f t="shared" si="58"/>
        <v>122.15666666666668</v>
      </c>
      <c r="K90" s="256">
        <f t="shared" si="52"/>
        <v>122.15666666666668</v>
      </c>
      <c r="L90" s="256">
        <f t="shared" si="53"/>
        <v>40.718888888888891</v>
      </c>
      <c r="M90" s="256">
        <f t="shared" si="54"/>
        <v>122.15666666666668</v>
      </c>
      <c r="N90" s="255">
        <v>0</v>
      </c>
      <c r="O90" s="256">
        <v>0</v>
      </c>
      <c r="P90" s="256">
        <f t="shared" si="64"/>
        <v>17.101933333333335</v>
      </c>
      <c r="Q90" s="256">
        <f t="shared" si="65"/>
        <v>3.4203866666666674</v>
      </c>
      <c r="R90" s="256">
        <v>0</v>
      </c>
      <c r="S90" s="257">
        <v>0</v>
      </c>
      <c r="T90" s="256">
        <v>0</v>
      </c>
      <c r="U90" s="258">
        <f t="shared" si="46"/>
        <v>1171.3195577777778</v>
      </c>
      <c r="V90" s="256">
        <f t="shared" si="66"/>
        <v>93.06</v>
      </c>
      <c r="W90" s="256">
        <v>529.20000000000005</v>
      </c>
      <c r="X90" s="256">
        <f t="shared" si="67"/>
        <v>29</v>
      </c>
      <c r="Y90" s="256">
        <f t="shared" si="59"/>
        <v>10.119999999999999</v>
      </c>
      <c r="Z90" s="256">
        <f t="shared" si="55"/>
        <v>17.5</v>
      </c>
      <c r="AA90" s="256">
        <f t="shared" si="60"/>
        <v>24.95</v>
      </c>
      <c r="AB90" s="256">
        <f t="shared" si="56"/>
        <v>230.68</v>
      </c>
      <c r="AC90" s="189">
        <f t="shared" si="47"/>
        <v>934.51</v>
      </c>
      <c r="AD90" s="259">
        <f t="shared" si="48"/>
        <v>3571.7095577777782</v>
      </c>
    </row>
    <row r="91" spans="1:30" s="160" customFormat="1">
      <c r="A91" s="250">
        <v>86</v>
      </c>
      <c r="B91" s="251" t="s">
        <v>431</v>
      </c>
      <c r="C91" s="252">
        <v>1</v>
      </c>
      <c r="D91" s="253">
        <v>1537.21</v>
      </c>
      <c r="E91" s="254">
        <f t="shared" si="45"/>
        <v>1537.21</v>
      </c>
      <c r="F91" s="255">
        <f t="shared" si="49"/>
        <v>540.15851388888905</v>
      </c>
      <c r="G91" s="256">
        <f t="shared" si="50"/>
        <v>19.64212777777778</v>
      </c>
      <c r="H91" s="256">
        <f t="shared" si="51"/>
        <v>157.13702222222224</v>
      </c>
      <c r="I91" s="256">
        <f t="shared" si="57"/>
        <v>62.854808888888897</v>
      </c>
      <c r="J91" s="256">
        <f t="shared" si="58"/>
        <v>128.10083333333333</v>
      </c>
      <c r="K91" s="256">
        <f t="shared" si="52"/>
        <v>128.10083333333333</v>
      </c>
      <c r="L91" s="256">
        <f t="shared" si="53"/>
        <v>42.700277777777778</v>
      </c>
      <c r="M91" s="256">
        <f t="shared" si="54"/>
        <v>128.10083333333333</v>
      </c>
      <c r="N91" s="255">
        <v>0</v>
      </c>
      <c r="O91" s="256">
        <v>0</v>
      </c>
      <c r="P91" s="256">
        <f t="shared" si="64"/>
        <v>17.934116666666668</v>
      </c>
      <c r="Q91" s="256">
        <f t="shared" si="65"/>
        <v>3.5868233333333337</v>
      </c>
      <c r="R91" s="256">
        <v>0</v>
      </c>
      <c r="S91" s="257">
        <v>0</v>
      </c>
      <c r="T91" s="256">
        <v>0</v>
      </c>
      <c r="U91" s="258">
        <f t="shared" si="46"/>
        <v>1228.3161905555557</v>
      </c>
      <c r="V91" s="256">
        <f t="shared" si="66"/>
        <v>93.06</v>
      </c>
      <c r="W91" s="256">
        <v>529.20000000000005</v>
      </c>
      <c r="X91" s="256">
        <f t="shared" si="67"/>
        <v>29</v>
      </c>
      <c r="Y91" s="256">
        <f t="shared" si="59"/>
        <v>10.119999999999999</v>
      </c>
      <c r="Z91" s="256">
        <f t="shared" si="55"/>
        <v>17.5</v>
      </c>
      <c r="AA91" s="256">
        <f t="shared" si="60"/>
        <v>24.95</v>
      </c>
      <c r="AB91" s="256">
        <f t="shared" si="56"/>
        <v>230.68</v>
      </c>
      <c r="AC91" s="189">
        <f t="shared" si="47"/>
        <v>934.51</v>
      </c>
      <c r="AD91" s="259">
        <f t="shared" si="48"/>
        <v>3700.0361905555555</v>
      </c>
    </row>
    <row r="92" spans="1:30" s="160" customFormat="1">
      <c r="A92" s="250">
        <v>87</v>
      </c>
      <c r="B92" s="251" t="s">
        <v>435</v>
      </c>
      <c r="C92" s="252">
        <v>2</v>
      </c>
      <c r="D92" s="253">
        <v>2010.96</v>
      </c>
      <c r="E92" s="254">
        <f t="shared" si="45"/>
        <v>4021.92</v>
      </c>
      <c r="F92" s="255">
        <f t="shared" si="49"/>
        <v>1632.0057600000002</v>
      </c>
      <c r="G92" s="256">
        <f t="shared" si="50"/>
        <v>59.345664000000006</v>
      </c>
      <c r="H92" s="256">
        <f t="shared" si="51"/>
        <v>474.76531200000005</v>
      </c>
      <c r="I92" s="256">
        <f t="shared" si="57"/>
        <v>189.90612480000004</v>
      </c>
      <c r="J92" s="256">
        <f t="shared" si="58"/>
        <v>498.27119999999996</v>
      </c>
      <c r="K92" s="256">
        <f t="shared" si="52"/>
        <v>498.27119999999996</v>
      </c>
      <c r="L92" s="256">
        <f t="shared" si="53"/>
        <v>145.23600000000002</v>
      </c>
      <c r="M92" s="256">
        <f t="shared" si="54"/>
        <v>368.67599999999999</v>
      </c>
      <c r="N92" s="255">
        <v>0</v>
      </c>
      <c r="O92" s="256">
        <v>0</v>
      </c>
      <c r="P92" s="256">
        <f>(R92+E92)/210*1.75*1.2</f>
        <v>52.284959999999998</v>
      </c>
      <c r="Q92" s="256">
        <f>P92/6</f>
        <v>8.7141599999999997</v>
      </c>
      <c r="R92" s="256">
        <f>E92*30%</f>
        <v>1206.576</v>
      </c>
      <c r="S92" s="257">
        <f>(D92*10%)*C92</f>
        <v>402.19200000000001</v>
      </c>
      <c r="T92" s="256">
        <f>(E92+R92+N92+O92)/30*2</f>
        <v>348.56639999999999</v>
      </c>
      <c r="U92" s="258">
        <f t="shared" si="46"/>
        <v>5884.8107808000004</v>
      </c>
      <c r="V92" s="256">
        <f>C92*63.45</f>
        <v>126.9</v>
      </c>
      <c r="W92" s="256">
        <f>C92*529.2</f>
        <v>1058.4000000000001</v>
      </c>
      <c r="X92" s="256">
        <f t="shared" si="67"/>
        <v>58</v>
      </c>
      <c r="Y92" s="256">
        <f t="shared" si="59"/>
        <v>20.239999999999998</v>
      </c>
      <c r="Z92" s="256">
        <f t="shared" si="55"/>
        <v>35</v>
      </c>
      <c r="AA92" s="256">
        <f t="shared" si="60"/>
        <v>49.9</v>
      </c>
      <c r="AB92" s="256">
        <f t="shared" si="56"/>
        <v>461.36</v>
      </c>
      <c r="AC92" s="189">
        <f t="shared" si="47"/>
        <v>1809.8000000000002</v>
      </c>
      <c r="AD92" s="259">
        <f t="shared" si="48"/>
        <v>11716.5307808</v>
      </c>
    </row>
    <row r="93" spans="1:30" s="160" customFormat="1">
      <c r="A93" s="250">
        <v>88</v>
      </c>
      <c r="B93" s="251" t="s">
        <v>432</v>
      </c>
      <c r="C93" s="252">
        <v>8</v>
      </c>
      <c r="D93" s="253">
        <v>2010.96</v>
      </c>
      <c r="E93" s="254">
        <f t="shared" si="45"/>
        <v>16087.68</v>
      </c>
      <c r="F93" s="255">
        <f t="shared" si="49"/>
        <v>5975.009039999999</v>
      </c>
      <c r="G93" s="256">
        <f t="shared" si="50"/>
        <v>217.27305599999997</v>
      </c>
      <c r="H93" s="256">
        <f t="shared" si="51"/>
        <v>1738.1844479999997</v>
      </c>
      <c r="I93" s="256">
        <f t="shared" si="57"/>
        <v>695.27377919999992</v>
      </c>
      <c r="J93" s="256">
        <f t="shared" si="58"/>
        <v>1859.0208</v>
      </c>
      <c r="K93" s="256">
        <f t="shared" si="52"/>
        <v>1859.0208</v>
      </c>
      <c r="L93" s="256">
        <f t="shared" si="53"/>
        <v>580.94400000000007</v>
      </c>
      <c r="M93" s="256">
        <f t="shared" si="54"/>
        <v>1340.64</v>
      </c>
      <c r="N93" s="255">
        <v>0</v>
      </c>
      <c r="O93" s="256">
        <v>0</v>
      </c>
      <c r="P93" s="256">
        <f>(R93+E93)/210*1.75*1.2</f>
        <v>209.13983999999999</v>
      </c>
      <c r="Q93" s="256">
        <f>P93/6</f>
        <v>34.856639999999999</v>
      </c>
      <c r="R93" s="256">
        <f>E93*30%</f>
        <v>4826.3040000000001</v>
      </c>
      <c r="S93" s="257"/>
      <c r="T93" s="256">
        <f t="shared" ref="T93:T95" si="68">(E93+R93+N93+O93)/30*2</f>
        <v>1394.2655999999999</v>
      </c>
      <c r="U93" s="258">
        <f t="shared" si="46"/>
        <v>20729.932003199996</v>
      </c>
      <c r="V93" s="256">
        <f t="shared" ref="V93:V95" si="69">C93*63.45</f>
        <v>507.6</v>
      </c>
      <c r="W93" s="256">
        <f>C93*529.2</f>
        <v>4233.6000000000004</v>
      </c>
      <c r="X93" s="256">
        <f t="shared" si="67"/>
        <v>232</v>
      </c>
      <c r="Y93" s="256">
        <f t="shared" si="59"/>
        <v>80.959999999999994</v>
      </c>
      <c r="Z93" s="256">
        <f t="shared" si="55"/>
        <v>140</v>
      </c>
      <c r="AA93" s="256">
        <f t="shared" si="60"/>
        <v>199.6</v>
      </c>
      <c r="AB93" s="256">
        <f t="shared" si="56"/>
        <v>1845.44</v>
      </c>
      <c r="AC93" s="189">
        <f t="shared" si="47"/>
        <v>7239.2000000000007</v>
      </c>
      <c r="AD93" s="259">
        <f t="shared" si="48"/>
        <v>44056.812003200001</v>
      </c>
    </row>
    <row r="94" spans="1:30" s="160" customFormat="1">
      <c r="A94" s="250">
        <v>89</v>
      </c>
      <c r="B94" s="251" t="s">
        <v>433</v>
      </c>
      <c r="C94" s="252">
        <v>2</v>
      </c>
      <c r="D94" s="253">
        <v>2010.96</v>
      </c>
      <c r="E94" s="254">
        <f t="shared" si="45"/>
        <v>4021.92</v>
      </c>
      <c r="F94" s="255">
        <f t="shared" si="49"/>
        <v>1677.4484906666671</v>
      </c>
      <c r="G94" s="256">
        <f t="shared" si="50"/>
        <v>60.998126933333346</v>
      </c>
      <c r="H94" s="256">
        <f t="shared" si="51"/>
        <v>487.98501546666677</v>
      </c>
      <c r="I94" s="256">
        <f t="shared" si="57"/>
        <v>195.19400618666671</v>
      </c>
      <c r="J94" s="256">
        <f t="shared" si="58"/>
        <v>580.89434666666671</v>
      </c>
      <c r="K94" s="256">
        <f t="shared" si="52"/>
        <v>580.89434666666671</v>
      </c>
      <c r="L94" s="256">
        <f t="shared" si="53"/>
        <v>145.23600000000002</v>
      </c>
      <c r="M94" s="256">
        <f t="shared" si="54"/>
        <v>368.67599999999999</v>
      </c>
      <c r="N94" s="255">
        <f>(R94+E94)/210*20%*160</f>
        <v>796.72320000000013</v>
      </c>
      <c r="O94" s="256">
        <f>N94/6</f>
        <v>132.78720000000001</v>
      </c>
      <c r="P94" s="256">
        <f>(R94+E94)/210*1.75*1.2</f>
        <v>52.284959999999998</v>
      </c>
      <c r="Q94" s="256">
        <f>P94/6</f>
        <v>8.7141599999999997</v>
      </c>
      <c r="R94" s="256">
        <f>E94*30%</f>
        <v>1206.576</v>
      </c>
      <c r="S94" s="257">
        <f t="shared" ref="S94" si="70">(D94*10%)*C94</f>
        <v>402.19200000000001</v>
      </c>
      <c r="T94" s="256">
        <f t="shared" si="68"/>
        <v>410.53376000000003</v>
      </c>
      <c r="U94" s="258">
        <f t="shared" si="46"/>
        <v>7107.1376125866691</v>
      </c>
      <c r="V94" s="256">
        <f t="shared" si="69"/>
        <v>126.9</v>
      </c>
      <c r="W94" s="256">
        <f>C94*529.2</f>
        <v>1058.4000000000001</v>
      </c>
      <c r="X94" s="256">
        <f t="shared" si="67"/>
        <v>58</v>
      </c>
      <c r="Y94" s="256">
        <f t="shared" si="59"/>
        <v>20.239999999999998</v>
      </c>
      <c r="Z94" s="256">
        <f t="shared" si="55"/>
        <v>35</v>
      </c>
      <c r="AA94" s="256">
        <f t="shared" si="60"/>
        <v>49.9</v>
      </c>
      <c r="AB94" s="256">
        <f t="shared" si="56"/>
        <v>461.36</v>
      </c>
      <c r="AC94" s="189">
        <f t="shared" si="47"/>
        <v>1809.8000000000002</v>
      </c>
      <c r="AD94" s="259">
        <f t="shared" si="48"/>
        <v>12938.857612586668</v>
      </c>
    </row>
    <row r="95" spans="1:30" s="160" customFormat="1">
      <c r="A95" s="250">
        <v>90</v>
      </c>
      <c r="B95" s="251" t="s">
        <v>434</v>
      </c>
      <c r="C95" s="252">
        <v>4</v>
      </c>
      <c r="D95" s="253">
        <v>2010.96</v>
      </c>
      <c r="E95" s="254">
        <f t="shared" si="45"/>
        <v>8043.84</v>
      </c>
      <c r="F95" s="255">
        <f t="shared" si="49"/>
        <v>3078.3899813333333</v>
      </c>
      <c r="G95" s="256">
        <f t="shared" si="50"/>
        <v>111.94145386666665</v>
      </c>
      <c r="H95" s="256">
        <f t="shared" si="51"/>
        <v>895.53163093333319</v>
      </c>
      <c r="I95" s="256">
        <f t="shared" si="57"/>
        <v>358.2126523733333</v>
      </c>
      <c r="J95" s="256">
        <f t="shared" si="58"/>
        <v>1094.7566933333335</v>
      </c>
      <c r="K95" s="256">
        <f t="shared" si="52"/>
        <v>1094.7566933333335</v>
      </c>
      <c r="L95" s="256">
        <f t="shared" si="53"/>
        <v>290.47200000000004</v>
      </c>
      <c r="M95" s="256">
        <f t="shared" si="54"/>
        <v>670.32</v>
      </c>
      <c r="N95" s="255">
        <f>(R95+E95)/210*20%*160</f>
        <v>1593.4464000000003</v>
      </c>
      <c r="O95" s="256">
        <f>N95/6</f>
        <v>265.57440000000003</v>
      </c>
      <c r="P95" s="256">
        <f>(R95+E95)/210*1.75*1.2</f>
        <v>104.56992</v>
      </c>
      <c r="Q95" s="256">
        <f>P95/6</f>
        <v>17.428319999999999</v>
      </c>
      <c r="R95" s="256">
        <f>E95*30%</f>
        <v>2413.152</v>
      </c>
      <c r="S95" s="257">
        <v>0</v>
      </c>
      <c r="T95" s="256">
        <f t="shared" si="68"/>
        <v>821.06752000000006</v>
      </c>
      <c r="U95" s="258">
        <f t="shared" si="46"/>
        <v>12809.619665173333</v>
      </c>
      <c r="V95" s="256">
        <f t="shared" si="69"/>
        <v>253.8</v>
      </c>
      <c r="W95" s="256">
        <f>C95*529.2</f>
        <v>2116.8000000000002</v>
      </c>
      <c r="X95" s="256">
        <f t="shared" si="67"/>
        <v>116</v>
      </c>
      <c r="Y95" s="256">
        <f t="shared" si="59"/>
        <v>40.479999999999997</v>
      </c>
      <c r="Z95" s="256">
        <f t="shared" si="55"/>
        <v>70</v>
      </c>
      <c r="AA95" s="256">
        <f t="shared" si="60"/>
        <v>99.8</v>
      </c>
      <c r="AB95" s="256">
        <f t="shared" si="56"/>
        <v>922.72</v>
      </c>
      <c r="AC95" s="189">
        <f t="shared" si="47"/>
        <v>3619.6000000000004</v>
      </c>
      <c r="AD95" s="259">
        <f t="shared" si="48"/>
        <v>24473.059665173336</v>
      </c>
    </row>
    <row r="96" spans="1:30" s="160" customFormat="1">
      <c r="A96" s="250">
        <v>91</v>
      </c>
      <c r="B96" s="251" t="s">
        <v>460</v>
      </c>
      <c r="C96" s="252">
        <v>1</v>
      </c>
      <c r="D96" s="253">
        <v>6879.6</v>
      </c>
      <c r="E96" s="254">
        <f t="shared" si="45"/>
        <v>6879.6</v>
      </c>
      <c r="F96" s="255">
        <f t="shared" si="49"/>
        <v>2417.4150000000004</v>
      </c>
      <c r="G96" s="256">
        <f t="shared" si="50"/>
        <v>87.906000000000006</v>
      </c>
      <c r="H96" s="256">
        <f t="shared" si="51"/>
        <v>703.24800000000005</v>
      </c>
      <c r="I96" s="256">
        <f t="shared" si="57"/>
        <v>281.29920000000004</v>
      </c>
      <c r="J96" s="256">
        <f t="shared" si="58"/>
        <v>573.30000000000007</v>
      </c>
      <c r="K96" s="256">
        <f t="shared" si="52"/>
        <v>573.30000000000007</v>
      </c>
      <c r="L96" s="256">
        <f t="shared" si="53"/>
        <v>191.10000000000002</v>
      </c>
      <c r="M96" s="256">
        <f t="shared" si="54"/>
        <v>573.30000000000007</v>
      </c>
      <c r="N96" s="255">
        <v>0</v>
      </c>
      <c r="O96" s="256">
        <v>0</v>
      </c>
      <c r="P96" s="256">
        <v>0</v>
      </c>
      <c r="Q96" s="256">
        <v>0</v>
      </c>
      <c r="R96" s="256">
        <v>0</v>
      </c>
      <c r="S96" s="257">
        <v>0</v>
      </c>
      <c r="T96" s="256">
        <v>0</v>
      </c>
      <c r="U96" s="258">
        <f t="shared" si="46"/>
        <v>5400.8682000000008</v>
      </c>
      <c r="V96" s="256">
        <v>0</v>
      </c>
      <c r="W96" s="256">
        <v>529.20000000000005</v>
      </c>
      <c r="X96" s="256">
        <f t="shared" si="67"/>
        <v>29</v>
      </c>
      <c r="Y96" s="256">
        <f t="shared" si="59"/>
        <v>10.119999999999999</v>
      </c>
      <c r="Z96" s="256">
        <f t="shared" si="55"/>
        <v>17.5</v>
      </c>
      <c r="AA96" s="256">
        <f t="shared" si="60"/>
        <v>24.95</v>
      </c>
      <c r="AB96" s="256">
        <f t="shared" si="56"/>
        <v>230.68</v>
      </c>
      <c r="AC96" s="189">
        <f t="shared" si="47"/>
        <v>841.45</v>
      </c>
      <c r="AD96" s="259">
        <f t="shared" si="48"/>
        <v>13121.918200000002</v>
      </c>
    </row>
    <row r="97" spans="1:30" s="160" customFormat="1">
      <c r="A97" s="250">
        <v>92</v>
      </c>
      <c r="B97" s="251" t="s">
        <v>422</v>
      </c>
      <c r="C97" s="252">
        <v>1</v>
      </c>
      <c r="D97" s="253">
        <v>3993.98</v>
      </c>
      <c r="E97" s="254">
        <f t="shared" si="45"/>
        <v>3993.98</v>
      </c>
      <c r="F97" s="255">
        <f t="shared" si="49"/>
        <v>1467.5102902777778</v>
      </c>
      <c r="G97" s="256">
        <f t="shared" si="50"/>
        <v>53.364010555555552</v>
      </c>
      <c r="H97" s="256">
        <f t="shared" si="51"/>
        <v>426.91208444444442</v>
      </c>
      <c r="I97" s="256">
        <f t="shared" si="57"/>
        <v>170.76483377777777</v>
      </c>
      <c r="J97" s="256">
        <f t="shared" si="58"/>
        <v>432.68116666666668</v>
      </c>
      <c r="K97" s="256">
        <f t="shared" si="52"/>
        <v>432.68116666666668</v>
      </c>
      <c r="L97" s="256">
        <f t="shared" si="53"/>
        <v>144.22705555555555</v>
      </c>
      <c r="M97" s="256">
        <f t="shared" si="54"/>
        <v>332.83166666666665</v>
      </c>
      <c r="N97" s="255">
        <v>0</v>
      </c>
      <c r="O97" s="256">
        <v>0</v>
      </c>
      <c r="P97" s="256">
        <v>0</v>
      </c>
      <c r="Q97" s="256">
        <v>0</v>
      </c>
      <c r="R97" s="256">
        <f>E97*30%</f>
        <v>1198.194</v>
      </c>
      <c r="S97" s="257">
        <v>0</v>
      </c>
      <c r="T97" s="256">
        <v>0</v>
      </c>
      <c r="U97" s="258">
        <f t="shared" si="46"/>
        <v>4659.1662746111106</v>
      </c>
      <c r="V97" s="256">
        <v>0</v>
      </c>
      <c r="W97" s="256">
        <v>529.20000000000005</v>
      </c>
      <c r="X97" s="256">
        <f t="shared" si="67"/>
        <v>29</v>
      </c>
      <c r="Y97" s="256">
        <f t="shared" si="59"/>
        <v>10.119999999999999</v>
      </c>
      <c r="Z97" s="256">
        <f t="shared" si="55"/>
        <v>17.5</v>
      </c>
      <c r="AA97" s="256">
        <f t="shared" si="60"/>
        <v>24.95</v>
      </c>
      <c r="AB97" s="256">
        <f t="shared" si="56"/>
        <v>230.68</v>
      </c>
      <c r="AC97" s="189">
        <f t="shared" si="47"/>
        <v>841.45</v>
      </c>
      <c r="AD97" s="259">
        <f t="shared" si="48"/>
        <v>9494.5962746111109</v>
      </c>
    </row>
    <row r="98" spans="1:30" s="160" customFormat="1">
      <c r="A98" s="250">
        <v>93</v>
      </c>
      <c r="B98" s="251" t="s">
        <v>423</v>
      </c>
      <c r="C98" s="252">
        <v>1</v>
      </c>
      <c r="D98" s="253">
        <v>2751.84</v>
      </c>
      <c r="E98" s="254">
        <f t="shared" si="45"/>
        <v>2751.84</v>
      </c>
      <c r="F98" s="255">
        <f t="shared" si="49"/>
        <v>966.96600000000024</v>
      </c>
      <c r="G98" s="256">
        <f t="shared" si="50"/>
        <v>35.162400000000005</v>
      </c>
      <c r="H98" s="256">
        <f t="shared" si="51"/>
        <v>281.29920000000004</v>
      </c>
      <c r="I98" s="256">
        <f t="shared" si="57"/>
        <v>112.51968000000002</v>
      </c>
      <c r="J98" s="256">
        <f t="shared" si="58"/>
        <v>229.32000000000002</v>
      </c>
      <c r="K98" s="256">
        <f t="shared" si="52"/>
        <v>229.32000000000002</v>
      </c>
      <c r="L98" s="256">
        <f t="shared" si="53"/>
        <v>76.440000000000012</v>
      </c>
      <c r="M98" s="256">
        <f t="shared" si="54"/>
        <v>229.32000000000002</v>
      </c>
      <c r="N98" s="255">
        <v>0</v>
      </c>
      <c r="O98" s="256">
        <v>0</v>
      </c>
      <c r="P98" s="256">
        <f>E98/150*1.75</f>
        <v>32.104800000000004</v>
      </c>
      <c r="Q98" s="256">
        <f>P98/25*5</f>
        <v>6.4209600000000009</v>
      </c>
      <c r="R98" s="256">
        <v>0</v>
      </c>
      <c r="S98" s="257">
        <v>0</v>
      </c>
      <c r="T98" s="256">
        <v>0</v>
      </c>
      <c r="U98" s="258">
        <f t="shared" si="46"/>
        <v>2198.8730400000004</v>
      </c>
      <c r="V98" s="256">
        <f>C98*111.67</f>
        <v>111.67</v>
      </c>
      <c r="W98" s="256">
        <v>529.20000000000005</v>
      </c>
      <c r="X98" s="256">
        <f t="shared" si="67"/>
        <v>29</v>
      </c>
      <c r="Y98" s="256">
        <f t="shared" si="59"/>
        <v>10.119999999999999</v>
      </c>
      <c r="Z98" s="256">
        <f t="shared" si="55"/>
        <v>17.5</v>
      </c>
      <c r="AA98" s="256">
        <f t="shared" si="60"/>
        <v>24.95</v>
      </c>
      <c r="AB98" s="256">
        <f t="shared" si="56"/>
        <v>230.68</v>
      </c>
      <c r="AC98" s="189">
        <f t="shared" si="47"/>
        <v>953.12000000000012</v>
      </c>
      <c r="AD98" s="259">
        <f t="shared" si="48"/>
        <v>5903.8330400000004</v>
      </c>
    </row>
    <row r="99" spans="1:30" s="160" customFormat="1">
      <c r="A99" s="250">
        <v>94</v>
      </c>
      <c r="B99" s="251" t="s">
        <v>424</v>
      </c>
      <c r="C99" s="252">
        <v>1</v>
      </c>
      <c r="D99" s="253">
        <v>2751.84</v>
      </c>
      <c r="E99" s="254">
        <f t="shared" si="45"/>
        <v>2751.84</v>
      </c>
      <c r="F99" s="255">
        <f t="shared" si="49"/>
        <v>966.96600000000024</v>
      </c>
      <c r="G99" s="256">
        <f t="shared" si="50"/>
        <v>35.162400000000005</v>
      </c>
      <c r="H99" s="256">
        <f t="shared" si="51"/>
        <v>281.29920000000004</v>
      </c>
      <c r="I99" s="256">
        <f t="shared" si="57"/>
        <v>112.51968000000002</v>
      </c>
      <c r="J99" s="256">
        <f t="shared" si="58"/>
        <v>229.32000000000002</v>
      </c>
      <c r="K99" s="256">
        <f t="shared" si="52"/>
        <v>229.32000000000002</v>
      </c>
      <c r="L99" s="256">
        <f t="shared" si="53"/>
        <v>76.440000000000012</v>
      </c>
      <c r="M99" s="256">
        <f t="shared" si="54"/>
        <v>229.32000000000002</v>
      </c>
      <c r="N99" s="255">
        <v>0</v>
      </c>
      <c r="O99" s="256">
        <v>0</v>
      </c>
      <c r="P99" s="256">
        <f t="shared" ref="P99:P106" si="71">E99/150*1.75</f>
        <v>32.104800000000004</v>
      </c>
      <c r="Q99" s="256">
        <f t="shared" ref="Q99:Q106" si="72">P99/25*5</f>
        <v>6.4209600000000009</v>
      </c>
      <c r="R99" s="256">
        <v>0</v>
      </c>
      <c r="S99" s="257">
        <v>0</v>
      </c>
      <c r="T99" s="256">
        <v>0</v>
      </c>
      <c r="U99" s="258">
        <f t="shared" si="46"/>
        <v>2198.8730400000004</v>
      </c>
      <c r="V99" s="256">
        <f t="shared" ref="V99:V106" si="73">C99*111.67</f>
        <v>111.67</v>
      </c>
      <c r="W99" s="256">
        <v>529.20000000000005</v>
      </c>
      <c r="X99" s="256">
        <f t="shared" si="67"/>
        <v>29</v>
      </c>
      <c r="Y99" s="256">
        <f t="shared" si="59"/>
        <v>10.119999999999999</v>
      </c>
      <c r="Z99" s="256">
        <f t="shared" si="55"/>
        <v>17.5</v>
      </c>
      <c r="AA99" s="256">
        <f t="shared" si="60"/>
        <v>24.95</v>
      </c>
      <c r="AB99" s="256">
        <f t="shared" si="56"/>
        <v>230.68</v>
      </c>
      <c r="AC99" s="189">
        <f t="shared" si="47"/>
        <v>953.12000000000012</v>
      </c>
      <c r="AD99" s="259">
        <f t="shared" si="48"/>
        <v>5903.8330400000004</v>
      </c>
    </row>
    <row r="100" spans="1:30" s="160" customFormat="1">
      <c r="A100" s="250">
        <v>95</v>
      </c>
      <c r="B100" s="251" t="s">
        <v>425</v>
      </c>
      <c r="C100" s="252">
        <v>1</v>
      </c>
      <c r="D100" s="253">
        <v>2751.84</v>
      </c>
      <c r="E100" s="254">
        <f t="shared" si="45"/>
        <v>2751.84</v>
      </c>
      <c r="F100" s="255">
        <f t="shared" si="49"/>
        <v>966.96600000000024</v>
      </c>
      <c r="G100" s="256">
        <f t="shared" si="50"/>
        <v>35.162400000000005</v>
      </c>
      <c r="H100" s="256">
        <f t="shared" si="51"/>
        <v>281.29920000000004</v>
      </c>
      <c r="I100" s="256">
        <f t="shared" si="57"/>
        <v>112.51968000000002</v>
      </c>
      <c r="J100" s="256">
        <f t="shared" si="58"/>
        <v>229.32000000000002</v>
      </c>
      <c r="K100" s="256">
        <f t="shared" si="52"/>
        <v>229.32000000000002</v>
      </c>
      <c r="L100" s="256">
        <f t="shared" si="53"/>
        <v>76.440000000000012</v>
      </c>
      <c r="M100" s="256">
        <f t="shared" si="54"/>
        <v>229.32000000000002</v>
      </c>
      <c r="N100" s="255">
        <v>0</v>
      </c>
      <c r="O100" s="256">
        <v>0</v>
      </c>
      <c r="P100" s="256">
        <f t="shared" si="71"/>
        <v>32.104800000000004</v>
      </c>
      <c r="Q100" s="256">
        <f t="shared" si="72"/>
        <v>6.4209600000000009</v>
      </c>
      <c r="R100" s="256">
        <v>0</v>
      </c>
      <c r="S100" s="257">
        <v>0</v>
      </c>
      <c r="T100" s="256">
        <v>0</v>
      </c>
      <c r="U100" s="258">
        <f t="shared" si="46"/>
        <v>2198.8730400000004</v>
      </c>
      <c r="V100" s="256">
        <f t="shared" si="73"/>
        <v>111.67</v>
      </c>
      <c r="W100" s="256">
        <v>529.20000000000005</v>
      </c>
      <c r="X100" s="256">
        <f t="shared" si="67"/>
        <v>29</v>
      </c>
      <c r="Y100" s="256">
        <f t="shared" si="59"/>
        <v>10.119999999999999</v>
      </c>
      <c r="Z100" s="256">
        <f t="shared" si="55"/>
        <v>17.5</v>
      </c>
      <c r="AA100" s="256">
        <f t="shared" si="60"/>
        <v>24.95</v>
      </c>
      <c r="AB100" s="256">
        <f t="shared" si="56"/>
        <v>230.68</v>
      </c>
      <c r="AC100" s="189">
        <f t="shared" si="47"/>
        <v>953.12000000000012</v>
      </c>
      <c r="AD100" s="259">
        <f t="shared" si="48"/>
        <v>5903.8330400000004</v>
      </c>
    </row>
    <row r="101" spans="1:30" s="160" customFormat="1">
      <c r="A101" s="250">
        <v>96</v>
      </c>
      <c r="B101" s="251" t="s">
        <v>426</v>
      </c>
      <c r="C101" s="252">
        <v>1</v>
      </c>
      <c r="D101" s="253">
        <v>2751.84</v>
      </c>
      <c r="E101" s="254">
        <f t="shared" si="45"/>
        <v>2751.84</v>
      </c>
      <c r="F101" s="255">
        <f t="shared" si="49"/>
        <v>966.96600000000024</v>
      </c>
      <c r="G101" s="256">
        <f t="shared" si="50"/>
        <v>35.162400000000005</v>
      </c>
      <c r="H101" s="256">
        <f t="shared" si="51"/>
        <v>281.29920000000004</v>
      </c>
      <c r="I101" s="256">
        <f t="shared" si="57"/>
        <v>112.51968000000002</v>
      </c>
      <c r="J101" s="256">
        <f t="shared" si="58"/>
        <v>229.32000000000002</v>
      </c>
      <c r="K101" s="256">
        <f t="shared" si="52"/>
        <v>229.32000000000002</v>
      </c>
      <c r="L101" s="256">
        <f t="shared" si="53"/>
        <v>76.440000000000012</v>
      </c>
      <c r="M101" s="256">
        <f t="shared" si="54"/>
        <v>229.32000000000002</v>
      </c>
      <c r="N101" s="255">
        <v>0</v>
      </c>
      <c r="O101" s="256">
        <v>0</v>
      </c>
      <c r="P101" s="256">
        <f t="shared" si="71"/>
        <v>32.104800000000004</v>
      </c>
      <c r="Q101" s="256">
        <f t="shared" si="72"/>
        <v>6.4209600000000009</v>
      </c>
      <c r="R101" s="256">
        <v>0</v>
      </c>
      <c r="S101" s="257">
        <v>0</v>
      </c>
      <c r="T101" s="256">
        <v>0</v>
      </c>
      <c r="U101" s="258">
        <f t="shared" si="46"/>
        <v>2198.8730400000004</v>
      </c>
      <c r="V101" s="256">
        <f t="shared" si="73"/>
        <v>111.67</v>
      </c>
      <c r="W101" s="256">
        <v>529.20000000000005</v>
      </c>
      <c r="X101" s="256">
        <f t="shared" si="67"/>
        <v>29</v>
      </c>
      <c r="Y101" s="256">
        <f t="shared" si="59"/>
        <v>10.119999999999999</v>
      </c>
      <c r="Z101" s="256">
        <f t="shared" si="55"/>
        <v>17.5</v>
      </c>
      <c r="AA101" s="256">
        <f t="shared" si="60"/>
        <v>24.95</v>
      </c>
      <c r="AB101" s="256">
        <f t="shared" si="56"/>
        <v>230.68</v>
      </c>
      <c r="AC101" s="189">
        <f t="shared" si="47"/>
        <v>953.12000000000012</v>
      </c>
      <c r="AD101" s="259">
        <f t="shared" si="48"/>
        <v>5903.8330400000004</v>
      </c>
    </row>
    <row r="102" spans="1:30" s="160" customFormat="1">
      <c r="A102" s="250">
        <v>97</v>
      </c>
      <c r="B102" s="251" t="s">
        <v>427</v>
      </c>
      <c r="C102" s="252">
        <v>1</v>
      </c>
      <c r="D102" s="253">
        <v>2751.84</v>
      </c>
      <c r="E102" s="254">
        <f t="shared" si="45"/>
        <v>2751.84</v>
      </c>
      <c r="F102" s="255">
        <f t="shared" si="49"/>
        <v>966.96600000000024</v>
      </c>
      <c r="G102" s="256">
        <f t="shared" si="50"/>
        <v>35.162400000000005</v>
      </c>
      <c r="H102" s="256">
        <f t="shared" si="51"/>
        <v>281.29920000000004</v>
      </c>
      <c r="I102" s="256">
        <f t="shared" si="57"/>
        <v>112.51968000000002</v>
      </c>
      <c r="J102" s="256">
        <f t="shared" si="58"/>
        <v>229.32000000000002</v>
      </c>
      <c r="K102" s="256">
        <f t="shared" si="52"/>
        <v>229.32000000000002</v>
      </c>
      <c r="L102" s="256">
        <f t="shared" si="53"/>
        <v>76.440000000000012</v>
      </c>
      <c r="M102" s="256">
        <f t="shared" si="54"/>
        <v>229.32000000000002</v>
      </c>
      <c r="N102" s="255">
        <v>0</v>
      </c>
      <c r="O102" s="256">
        <v>0</v>
      </c>
      <c r="P102" s="256">
        <f t="shared" si="71"/>
        <v>32.104800000000004</v>
      </c>
      <c r="Q102" s="256">
        <f t="shared" si="72"/>
        <v>6.4209600000000009</v>
      </c>
      <c r="R102" s="256">
        <v>0</v>
      </c>
      <c r="S102" s="257">
        <v>0</v>
      </c>
      <c r="T102" s="256">
        <v>0</v>
      </c>
      <c r="U102" s="258">
        <f t="shared" si="46"/>
        <v>2198.8730400000004</v>
      </c>
      <c r="V102" s="256">
        <f t="shared" si="73"/>
        <v>111.67</v>
      </c>
      <c r="W102" s="256">
        <v>529.20000000000005</v>
      </c>
      <c r="X102" s="256">
        <f t="shared" si="67"/>
        <v>29</v>
      </c>
      <c r="Y102" s="256">
        <f t="shared" si="59"/>
        <v>10.119999999999999</v>
      </c>
      <c r="Z102" s="256">
        <f t="shared" si="55"/>
        <v>17.5</v>
      </c>
      <c r="AA102" s="256">
        <f t="shared" si="60"/>
        <v>24.95</v>
      </c>
      <c r="AB102" s="256">
        <f t="shared" si="56"/>
        <v>230.68</v>
      </c>
      <c r="AC102" s="189">
        <f t="shared" si="47"/>
        <v>953.12000000000012</v>
      </c>
      <c r="AD102" s="259">
        <f t="shared" si="48"/>
        <v>5903.8330400000004</v>
      </c>
    </row>
    <row r="103" spans="1:30" s="160" customFormat="1">
      <c r="A103" s="250">
        <v>98</v>
      </c>
      <c r="B103" s="251" t="s">
        <v>428</v>
      </c>
      <c r="C103" s="252">
        <v>1</v>
      </c>
      <c r="D103" s="253">
        <v>1852.2</v>
      </c>
      <c r="E103" s="254">
        <f t="shared" si="45"/>
        <v>1852.2</v>
      </c>
      <c r="F103" s="255">
        <f t="shared" si="49"/>
        <v>650.84249999999997</v>
      </c>
      <c r="G103" s="256">
        <f t="shared" si="50"/>
        <v>23.666999999999998</v>
      </c>
      <c r="H103" s="256">
        <f t="shared" si="51"/>
        <v>189.33599999999998</v>
      </c>
      <c r="I103" s="256">
        <f t="shared" si="57"/>
        <v>75.734399999999994</v>
      </c>
      <c r="J103" s="256">
        <f t="shared" si="58"/>
        <v>154.35</v>
      </c>
      <c r="K103" s="256">
        <f t="shared" si="52"/>
        <v>154.35</v>
      </c>
      <c r="L103" s="256">
        <f t="shared" si="53"/>
        <v>51.449999999999996</v>
      </c>
      <c r="M103" s="256">
        <f t="shared" si="54"/>
        <v>154.35</v>
      </c>
      <c r="N103" s="255">
        <v>0</v>
      </c>
      <c r="O103" s="256">
        <v>0</v>
      </c>
      <c r="P103" s="256">
        <f t="shared" si="71"/>
        <v>21.609000000000002</v>
      </c>
      <c r="Q103" s="256">
        <f t="shared" si="72"/>
        <v>4.3217999999999996</v>
      </c>
      <c r="R103" s="256">
        <v>0</v>
      </c>
      <c r="S103" s="257">
        <v>0</v>
      </c>
      <c r="T103" s="256">
        <v>0</v>
      </c>
      <c r="U103" s="258">
        <f t="shared" si="46"/>
        <v>1480.0106999999996</v>
      </c>
      <c r="V103" s="256">
        <f t="shared" si="73"/>
        <v>111.67</v>
      </c>
      <c r="W103" s="256">
        <v>529.20000000000005</v>
      </c>
      <c r="X103" s="256">
        <f t="shared" si="67"/>
        <v>29</v>
      </c>
      <c r="Y103" s="256">
        <f t="shared" si="59"/>
        <v>10.119999999999999</v>
      </c>
      <c r="Z103" s="256">
        <f t="shared" si="55"/>
        <v>17.5</v>
      </c>
      <c r="AA103" s="256">
        <f t="shared" si="60"/>
        <v>24.95</v>
      </c>
      <c r="AB103" s="256">
        <f t="shared" si="56"/>
        <v>230.68</v>
      </c>
      <c r="AC103" s="189">
        <f t="shared" si="47"/>
        <v>953.12000000000012</v>
      </c>
      <c r="AD103" s="259">
        <f t="shared" si="48"/>
        <v>4285.3306999999995</v>
      </c>
    </row>
    <row r="104" spans="1:30" s="160" customFormat="1">
      <c r="A104" s="250">
        <v>99</v>
      </c>
      <c r="B104" s="251" t="s">
        <v>429</v>
      </c>
      <c r="C104" s="252">
        <v>1</v>
      </c>
      <c r="D104" s="253">
        <v>1737.89</v>
      </c>
      <c r="E104" s="254">
        <f t="shared" si="45"/>
        <v>1737.89</v>
      </c>
      <c r="F104" s="255">
        <f t="shared" si="49"/>
        <v>610.6752361111113</v>
      </c>
      <c r="G104" s="256">
        <f t="shared" si="50"/>
        <v>22.206372222222225</v>
      </c>
      <c r="H104" s="256">
        <f t="shared" si="51"/>
        <v>177.6509777777778</v>
      </c>
      <c r="I104" s="256">
        <f t="shared" si="57"/>
        <v>71.060391111111116</v>
      </c>
      <c r="J104" s="256">
        <f t="shared" si="58"/>
        <v>144.82416666666668</v>
      </c>
      <c r="K104" s="256">
        <f t="shared" si="52"/>
        <v>144.82416666666668</v>
      </c>
      <c r="L104" s="256">
        <f t="shared" si="53"/>
        <v>48.274722222222231</v>
      </c>
      <c r="M104" s="256">
        <f t="shared" si="54"/>
        <v>144.82416666666668</v>
      </c>
      <c r="N104" s="255">
        <v>0</v>
      </c>
      <c r="O104" s="256">
        <v>0</v>
      </c>
      <c r="P104" s="256">
        <f t="shared" si="71"/>
        <v>20.275383333333334</v>
      </c>
      <c r="Q104" s="256">
        <f t="shared" si="72"/>
        <v>4.0550766666666664</v>
      </c>
      <c r="R104" s="256">
        <v>0</v>
      </c>
      <c r="S104" s="257">
        <v>0</v>
      </c>
      <c r="T104" s="256">
        <v>0</v>
      </c>
      <c r="U104" s="258">
        <f t="shared" si="46"/>
        <v>1388.6706594444449</v>
      </c>
      <c r="V104" s="256">
        <f t="shared" si="73"/>
        <v>111.67</v>
      </c>
      <c r="W104" s="256">
        <v>529.20000000000005</v>
      </c>
      <c r="X104" s="256">
        <f t="shared" si="67"/>
        <v>29</v>
      </c>
      <c r="Y104" s="256">
        <f t="shared" si="59"/>
        <v>10.119999999999999</v>
      </c>
      <c r="Z104" s="256">
        <f t="shared" si="55"/>
        <v>17.5</v>
      </c>
      <c r="AA104" s="256">
        <f t="shared" si="60"/>
        <v>24.95</v>
      </c>
      <c r="AB104" s="256">
        <f t="shared" si="56"/>
        <v>230.68</v>
      </c>
      <c r="AC104" s="189">
        <f t="shared" si="47"/>
        <v>953.12000000000012</v>
      </c>
      <c r="AD104" s="259">
        <f t="shared" si="48"/>
        <v>4079.6806594444452</v>
      </c>
    </row>
    <row r="105" spans="1:30" s="160" customFormat="1">
      <c r="A105" s="250">
        <v>100</v>
      </c>
      <c r="B105" s="251" t="s">
        <v>430</v>
      </c>
      <c r="C105" s="252">
        <v>1</v>
      </c>
      <c r="D105" s="253">
        <v>1465.88</v>
      </c>
      <c r="E105" s="254">
        <f t="shared" si="45"/>
        <v>1465.88</v>
      </c>
      <c r="F105" s="255">
        <f t="shared" si="49"/>
        <v>515.09394444444456</v>
      </c>
      <c r="G105" s="256">
        <f t="shared" si="50"/>
        <v>18.730688888888892</v>
      </c>
      <c r="H105" s="256">
        <f t="shared" si="51"/>
        <v>149.84551111111114</v>
      </c>
      <c r="I105" s="256">
        <f t="shared" si="57"/>
        <v>59.938204444444459</v>
      </c>
      <c r="J105" s="256">
        <f t="shared" si="58"/>
        <v>122.15666666666668</v>
      </c>
      <c r="K105" s="256">
        <f t="shared" si="52"/>
        <v>122.15666666666668</v>
      </c>
      <c r="L105" s="256">
        <f t="shared" si="53"/>
        <v>40.718888888888891</v>
      </c>
      <c r="M105" s="256">
        <f t="shared" si="54"/>
        <v>122.15666666666668</v>
      </c>
      <c r="N105" s="255">
        <v>0</v>
      </c>
      <c r="O105" s="256">
        <v>0</v>
      </c>
      <c r="P105" s="256">
        <f t="shared" si="71"/>
        <v>17.101933333333335</v>
      </c>
      <c r="Q105" s="256">
        <f t="shared" si="72"/>
        <v>3.4203866666666674</v>
      </c>
      <c r="R105" s="256">
        <v>0</v>
      </c>
      <c r="S105" s="257">
        <v>0</v>
      </c>
      <c r="T105" s="256">
        <v>0</v>
      </c>
      <c r="U105" s="258">
        <f t="shared" si="46"/>
        <v>1171.3195577777778</v>
      </c>
      <c r="V105" s="256">
        <f t="shared" si="73"/>
        <v>111.67</v>
      </c>
      <c r="W105" s="256">
        <v>529.20000000000005</v>
      </c>
      <c r="X105" s="256">
        <f t="shared" si="67"/>
        <v>29</v>
      </c>
      <c r="Y105" s="256">
        <f t="shared" si="59"/>
        <v>10.119999999999999</v>
      </c>
      <c r="Z105" s="256">
        <f t="shared" si="55"/>
        <v>17.5</v>
      </c>
      <c r="AA105" s="256">
        <f t="shared" si="60"/>
        <v>24.95</v>
      </c>
      <c r="AB105" s="256">
        <f t="shared" si="56"/>
        <v>230.68</v>
      </c>
      <c r="AC105" s="189">
        <f t="shared" si="47"/>
        <v>953.12000000000012</v>
      </c>
      <c r="AD105" s="259">
        <f t="shared" si="48"/>
        <v>3590.3195577777778</v>
      </c>
    </row>
    <row r="106" spans="1:30" s="160" customFormat="1">
      <c r="A106" s="250">
        <v>101</v>
      </c>
      <c r="B106" s="251" t="s">
        <v>431</v>
      </c>
      <c r="C106" s="252">
        <v>1</v>
      </c>
      <c r="D106" s="253">
        <v>1537.21</v>
      </c>
      <c r="E106" s="254">
        <f t="shared" si="45"/>
        <v>1537.21</v>
      </c>
      <c r="F106" s="255">
        <f t="shared" si="49"/>
        <v>540.15851388888905</v>
      </c>
      <c r="G106" s="256">
        <f t="shared" si="50"/>
        <v>19.64212777777778</v>
      </c>
      <c r="H106" s="256">
        <f t="shared" si="51"/>
        <v>157.13702222222224</v>
      </c>
      <c r="I106" s="256">
        <f t="shared" si="57"/>
        <v>62.854808888888897</v>
      </c>
      <c r="J106" s="256">
        <f t="shared" si="58"/>
        <v>128.10083333333333</v>
      </c>
      <c r="K106" s="256">
        <f t="shared" si="52"/>
        <v>128.10083333333333</v>
      </c>
      <c r="L106" s="256">
        <f t="shared" si="53"/>
        <v>42.700277777777778</v>
      </c>
      <c r="M106" s="256">
        <f t="shared" si="54"/>
        <v>128.10083333333333</v>
      </c>
      <c r="N106" s="255">
        <v>0</v>
      </c>
      <c r="O106" s="256">
        <v>0</v>
      </c>
      <c r="P106" s="256">
        <f t="shared" si="71"/>
        <v>17.934116666666668</v>
      </c>
      <c r="Q106" s="256">
        <f t="shared" si="72"/>
        <v>3.5868233333333337</v>
      </c>
      <c r="R106" s="256">
        <v>0</v>
      </c>
      <c r="S106" s="257">
        <v>0</v>
      </c>
      <c r="T106" s="256">
        <v>0</v>
      </c>
      <c r="U106" s="258">
        <f t="shared" si="46"/>
        <v>1228.3161905555557</v>
      </c>
      <c r="V106" s="256">
        <f t="shared" si="73"/>
        <v>111.67</v>
      </c>
      <c r="W106" s="256">
        <v>529.20000000000005</v>
      </c>
      <c r="X106" s="256">
        <f t="shared" si="67"/>
        <v>29</v>
      </c>
      <c r="Y106" s="256">
        <f t="shared" si="59"/>
        <v>10.119999999999999</v>
      </c>
      <c r="Z106" s="256">
        <f t="shared" si="55"/>
        <v>17.5</v>
      </c>
      <c r="AA106" s="256">
        <f t="shared" si="60"/>
        <v>24.95</v>
      </c>
      <c r="AB106" s="256">
        <f t="shared" si="56"/>
        <v>230.68</v>
      </c>
      <c r="AC106" s="189">
        <f t="shared" si="47"/>
        <v>953.12000000000012</v>
      </c>
      <c r="AD106" s="259">
        <f t="shared" si="48"/>
        <v>3718.6461905555561</v>
      </c>
    </row>
    <row r="107" spans="1:30" s="160" customFormat="1">
      <c r="A107" s="250">
        <v>102</v>
      </c>
      <c r="B107" s="251" t="s">
        <v>435</v>
      </c>
      <c r="C107" s="252">
        <v>2</v>
      </c>
      <c r="D107" s="253">
        <v>2010.96</v>
      </c>
      <c r="E107" s="254">
        <f t="shared" si="45"/>
        <v>4021.92</v>
      </c>
      <c r="F107" s="255">
        <f t="shared" si="49"/>
        <v>1632.0057600000002</v>
      </c>
      <c r="G107" s="256">
        <f t="shared" si="50"/>
        <v>59.345664000000006</v>
      </c>
      <c r="H107" s="256">
        <f t="shared" si="51"/>
        <v>474.76531200000005</v>
      </c>
      <c r="I107" s="256">
        <f t="shared" si="57"/>
        <v>189.90612480000004</v>
      </c>
      <c r="J107" s="256">
        <f t="shared" si="58"/>
        <v>498.27119999999996</v>
      </c>
      <c r="K107" s="256">
        <f t="shared" si="52"/>
        <v>498.27119999999996</v>
      </c>
      <c r="L107" s="256">
        <f t="shared" si="53"/>
        <v>145.23600000000002</v>
      </c>
      <c r="M107" s="256">
        <f t="shared" si="54"/>
        <v>368.67599999999999</v>
      </c>
      <c r="N107" s="255">
        <v>0</v>
      </c>
      <c r="O107" s="256">
        <v>0</v>
      </c>
      <c r="P107" s="256">
        <f>(R107+E107)/210*1.75*1.2</f>
        <v>52.284959999999998</v>
      </c>
      <c r="Q107" s="256">
        <f>P107/6</f>
        <v>8.7141599999999997</v>
      </c>
      <c r="R107" s="256">
        <f>E107*30%</f>
        <v>1206.576</v>
      </c>
      <c r="S107" s="257">
        <f>(D107*10%)*C107</f>
        <v>402.19200000000001</v>
      </c>
      <c r="T107" s="256">
        <f>(E107+R107+N107+O107)/30*2</f>
        <v>348.56639999999999</v>
      </c>
      <c r="U107" s="258">
        <f t="shared" si="46"/>
        <v>5884.8107808000004</v>
      </c>
      <c r="V107" s="256">
        <f>C107*76.14</f>
        <v>152.28</v>
      </c>
      <c r="W107" s="256">
        <f>C107*529.2</f>
        <v>1058.4000000000001</v>
      </c>
      <c r="X107" s="256">
        <f t="shared" si="67"/>
        <v>58</v>
      </c>
      <c r="Y107" s="256">
        <f t="shared" si="59"/>
        <v>20.239999999999998</v>
      </c>
      <c r="Z107" s="256">
        <f t="shared" si="55"/>
        <v>35</v>
      </c>
      <c r="AA107" s="256">
        <f t="shared" si="60"/>
        <v>49.9</v>
      </c>
      <c r="AB107" s="256">
        <f t="shared" si="56"/>
        <v>461.36</v>
      </c>
      <c r="AC107" s="189">
        <f t="shared" si="47"/>
        <v>1835.1800000000003</v>
      </c>
      <c r="AD107" s="259">
        <f t="shared" si="48"/>
        <v>11741.910780800001</v>
      </c>
    </row>
    <row r="108" spans="1:30" s="160" customFormat="1">
      <c r="A108" s="250">
        <v>103</v>
      </c>
      <c r="B108" s="251" t="s">
        <v>432</v>
      </c>
      <c r="C108" s="252">
        <v>5</v>
      </c>
      <c r="D108" s="253">
        <v>2010.96</v>
      </c>
      <c r="E108" s="254">
        <f t="shared" si="45"/>
        <v>10054.799999999999</v>
      </c>
      <c r="F108" s="255">
        <f t="shared" si="49"/>
        <v>3734.3806499999996</v>
      </c>
      <c r="G108" s="256">
        <f t="shared" si="50"/>
        <v>135.79565999999997</v>
      </c>
      <c r="H108" s="256">
        <f t="shared" si="51"/>
        <v>1086.3652799999998</v>
      </c>
      <c r="I108" s="256">
        <f t="shared" si="57"/>
        <v>434.54611199999994</v>
      </c>
      <c r="J108" s="256">
        <f t="shared" si="58"/>
        <v>1161.8879999999997</v>
      </c>
      <c r="K108" s="256">
        <f t="shared" si="52"/>
        <v>1161.8879999999997</v>
      </c>
      <c r="L108" s="256">
        <f t="shared" si="53"/>
        <v>363.08999999999992</v>
      </c>
      <c r="M108" s="256">
        <f t="shared" si="54"/>
        <v>837.9</v>
      </c>
      <c r="N108" s="255">
        <v>0</v>
      </c>
      <c r="O108" s="256">
        <v>0</v>
      </c>
      <c r="P108" s="256">
        <f>(R108+E108)/210*1.75*1.2</f>
        <v>130.71239999999997</v>
      </c>
      <c r="Q108" s="256">
        <f>P108/6</f>
        <v>21.785399999999996</v>
      </c>
      <c r="R108" s="256">
        <f>E108*30%</f>
        <v>3016.4399999999996</v>
      </c>
      <c r="S108" s="257"/>
      <c r="T108" s="256">
        <f t="shared" ref="T108:T110" si="74">(E108+R108+N108+O108)/30*2</f>
        <v>871.41599999999983</v>
      </c>
      <c r="U108" s="258">
        <f t="shared" si="46"/>
        <v>12956.207501999999</v>
      </c>
      <c r="V108" s="256">
        <f t="shared" ref="V108:V110" si="75">C108*76.14</f>
        <v>380.7</v>
      </c>
      <c r="W108" s="256">
        <f>C108*529.2</f>
        <v>2646</v>
      </c>
      <c r="X108" s="256">
        <f t="shared" si="67"/>
        <v>145</v>
      </c>
      <c r="Y108" s="256">
        <f t="shared" si="59"/>
        <v>50.599999999999994</v>
      </c>
      <c r="Z108" s="256">
        <f t="shared" si="55"/>
        <v>87.5</v>
      </c>
      <c r="AA108" s="256">
        <f t="shared" si="60"/>
        <v>124.75</v>
      </c>
      <c r="AB108" s="256">
        <f t="shared" si="56"/>
        <v>1153.4000000000001</v>
      </c>
      <c r="AC108" s="189">
        <f t="shared" si="47"/>
        <v>4587.95</v>
      </c>
      <c r="AD108" s="259">
        <f t="shared" si="48"/>
        <v>27598.957502000001</v>
      </c>
    </row>
    <row r="109" spans="1:30" s="160" customFormat="1">
      <c r="A109" s="250">
        <v>104</v>
      </c>
      <c r="B109" s="251" t="s">
        <v>433</v>
      </c>
      <c r="C109" s="252">
        <v>2</v>
      </c>
      <c r="D109" s="253">
        <v>2010.96</v>
      </c>
      <c r="E109" s="254">
        <f t="shared" si="45"/>
        <v>4021.92</v>
      </c>
      <c r="F109" s="255">
        <f t="shared" si="49"/>
        <v>1677.4484906666671</v>
      </c>
      <c r="G109" s="256">
        <f t="shared" si="50"/>
        <v>60.998126933333346</v>
      </c>
      <c r="H109" s="256">
        <f t="shared" si="51"/>
        <v>487.98501546666677</v>
      </c>
      <c r="I109" s="256">
        <f t="shared" si="57"/>
        <v>195.19400618666671</v>
      </c>
      <c r="J109" s="256">
        <f t="shared" si="58"/>
        <v>580.89434666666671</v>
      </c>
      <c r="K109" s="256">
        <f t="shared" si="52"/>
        <v>580.89434666666671</v>
      </c>
      <c r="L109" s="256">
        <f t="shared" si="53"/>
        <v>145.23600000000002</v>
      </c>
      <c r="M109" s="256">
        <f t="shared" si="54"/>
        <v>368.67599999999999</v>
      </c>
      <c r="N109" s="255">
        <f>(R109+E109)/210*20%*160</f>
        <v>796.72320000000013</v>
      </c>
      <c r="O109" s="256">
        <f>N109/6</f>
        <v>132.78720000000001</v>
      </c>
      <c r="P109" s="256">
        <f>(R109+E109)/210*1.75*1.2</f>
        <v>52.284959999999998</v>
      </c>
      <c r="Q109" s="256">
        <f>P109/6</f>
        <v>8.7141599999999997</v>
      </c>
      <c r="R109" s="256">
        <f>E109*30%</f>
        <v>1206.576</v>
      </c>
      <c r="S109" s="257">
        <f t="shared" ref="S109" si="76">(D109*10%)*C109</f>
        <v>402.19200000000001</v>
      </c>
      <c r="T109" s="256">
        <f t="shared" si="74"/>
        <v>410.53376000000003</v>
      </c>
      <c r="U109" s="258">
        <f t="shared" si="46"/>
        <v>7107.1376125866691</v>
      </c>
      <c r="V109" s="256">
        <f t="shared" si="75"/>
        <v>152.28</v>
      </c>
      <c r="W109" s="256">
        <f>C109*529.2</f>
        <v>1058.4000000000001</v>
      </c>
      <c r="X109" s="256">
        <f t="shared" si="67"/>
        <v>58</v>
      </c>
      <c r="Y109" s="256">
        <f t="shared" si="59"/>
        <v>20.239999999999998</v>
      </c>
      <c r="Z109" s="256">
        <f t="shared" si="55"/>
        <v>35</v>
      </c>
      <c r="AA109" s="256">
        <f t="shared" si="60"/>
        <v>49.9</v>
      </c>
      <c r="AB109" s="256">
        <f t="shared" si="56"/>
        <v>461.36</v>
      </c>
      <c r="AC109" s="189">
        <f t="shared" si="47"/>
        <v>1835.1800000000003</v>
      </c>
      <c r="AD109" s="259">
        <f t="shared" si="48"/>
        <v>12964.237612586669</v>
      </c>
    </row>
    <row r="110" spans="1:30" s="160" customFormat="1">
      <c r="A110" s="250">
        <v>105</v>
      </c>
      <c r="B110" s="251" t="s">
        <v>434</v>
      </c>
      <c r="C110" s="252">
        <v>4</v>
      </c>
      <c r="D110" s="253">
        <v>2010.96</v>
      </c>
      <c r="E110" s="254">
        <f t="shared" si="45"/>
        <v>8043.84</v>
      </c>
      <c r="F110" s="255">
        <f t="shared" si="49"/>
        <v>3078.3899813333333</v>
      </c>
      <c r="G110" s="256">
        <f t="shared" si="50"/>
        <v>111.94145386666665</v>
      </c>
      <c r="H110" s="256">
        <f t="shared" si="51"/>
        <v>895.53163093333319</v>
      </c>
      <c r="I110" s="256">
        <f t="shared" si="57"/>
        <v>358.2126523733333</v>
      </c>
      <c r="J110" s="256">
        <f t="shared" si="58"/>
        <v>1094.7566933333335</v>
      </c>
      <c r="K110" s="256">
        <f t="shared" si="52"/>
        <v>1094.7566933333335</v>
      </c>
      <c r="L110" s="256">
        <f t="shared" si="53"/>
        <v>290.47200000000004</v>
      </c>
      <c r="M110" s="256">
        <f t="shared" si="54"/>
        <v>670.32</v>
      </c>
      <c r="N110" s="255">
        <f>(R110+E110)/210*20%*160</f>
        <v>1593.4464000000003</v>
      </c>
      <c r="O110" s="256">
        <f>N110/6</f>
        <v>265.57440000000003</v>
      </c>
      <c r="P110" s="256">
        <f>(R110+E110)/210*1.75*1.2</f>
        <v>104.56992</v>
      </c>
      <c r="Q110" s="256">
        <f>P110/6</f>
        <v>17.428319999999999</v>
      </c>
      <c r="R110" s="256">
        <f>E110*30%</f>
        <v>2413.152</v>
      </c>
      <c r="S110" s="257">
        <v>0</v>
      </c>
      <c r="T110" s="256">
        <f t="shared" si="74"/>
        <v>821.06752000000006</v>
      </c>
      <c r="U110" s="258">
        <f t="shared" si="46"/>
        <v>12809.619665173333</v>
      </c>
      <c r="V110" s="256">
        <f t="shared" si="75"/>
        <v>304.56</v>
      </c>
      <c r="W110" s="256">
        <f>C110*529.2</f>
        <v>2116.8000000000002</v>
      </c>
      <c r="X110" s="256">
        <f t="shared" si="67"/>
        <v>116</v>
      </c>
      <c r="Y110" s="256">
        <f t="shared" si="59"/>
        <v>40.479999999999997</v>
      </c>
      <c r="Z110" s="256">
        <f t="shared" si="55"/>
        <v>70</v>
      </c>
      <c r="AA110" s="256">
        <f t="shared" si="60"/>
        <v>99.8</v>
      </c>
      <c r="AB110" s="256">
        <f t="shared" si="56"/>
        <v>922.72</v>
      </c>
      <c r="AC110" s="189">
        <f t="shared" si="47"/>
        <v>3670.3600000000006</v>
      </c>
      <c r="AD110" s="259">
        <f t="shared" si="48"/>
        <v>24523.819665173334</v>
      </c>
    </row>
    <row r="111" spans="1:30" s="160" customFormat="1">
      <c r="A111" s="250">
        <v>106</v>
      </c>
      <c r="B111" s="251" t="s">
        <v>460</v>
      </c>
      <c r="C111" s="252">
        <v>1</v>
      </c>
      <c r="D111" s="253">
        <v>6879.6</v>
      </c>
      <c r="E111" s="254">
        <f t="shared" si="45"/>
        <v>6879.6</v>
      </c>
      <c r="F111" s="255">
        <f t="shared" si="49"/>
        <v>2417.4150000000004</v>
      </c>
      <c r="G111" s="256">
        <f t="shared" si="50"/>
        <v>87.906000000000006</v>
      </c>
      <c r="H111" s="256">
        <f t="shared" si="51"/>
        <v>703.24800000000005</v>
      </c>
      <c r="I111" s="256">
        <f t="shared" si="57"/>
        <v>281.29920000000004</v>
      </c>
      <c r="J111" s="256">
        <f t="shared" si="58"/>
        <v>573.30000000000007</v>
      </c>
      <c r="K111" s="256">
        <f t="shared" si="52"/>
        <v>573.30000000000007</v>
      </c>
      <c r="L111" s="256">
        <f t="shared" si="53"/>
        <v>191.10000000000002</v>
      </c>
      <c r="M111" s="256">
        <f t="shared" si="54"/>
        <v>573.30000000000007</v>
      </c>
      <c r="N111" s="255">
        <v>0</v>
      </c>
      <c r="O111" s="256">
        <v>0</v>
      </c>
      <c r="P111" s="256">
        <v>0</v>
      </c>
      <c r="Q111" s="256">
        <v>0</v>
      </c>
      <c r="R111" s="256">
        <v>0</v>
      </c>
      <c r="S111" s="257">
        <v>0</v>
      </c>
      <c r="T111" s="256">
        <v>0</v>
      </c>
      <c r="U111" s="258">
        <f t="shared" si="46"/>
        <v>5400.8682000000008</v>
      </c>
      <c r="V111" s="256">
        <v>0</v>
      </c>
      <c r="W111" s="256">
        <v>529.20000000000005</v>
      </c>
      <c r="X111" s="256">
        <f t="shared" si="67"/>
        <v>29</v>
      </c>
      <c r="Y111" s="256">
        <f t="shared" si="59"/>
        <v>10.119999999999999</v>
      </c>
      <c r="Z111" s="256">
        <f t="shared" si="55"/>
        <v>17.5</v>
      </c>
      <c r="AA111" s="256">
        <f t="shared" si="60"/>
        <v>24.95</v>
      </c>
      <c r="AB111" s="256">
        <f t="shared" si="56"/>
        <v>230.68</v>
      </c>
      <c r="AC111" s="189">
        <f t="shared" si="47"/>
        <v>841.45</v>
      </c>
      <c r="AD111" s="259">
        <f t="shared" si="48"/>
        <v>13121.918200000002</v>
      </c>
    </row>
    <row r="112" spans="1:30" s="160" customFormat="1">
      <c r="A112" s="250">
        <v>107</v>
      </c>
      <c r="B112" s="251" t="s">
        <v>422</v>
      </c>
      <c r="C112" s="252">
        <v>1</v>
      </c>
      <c r="D112" s="253">
        <v>3993.98</v>
      </c>
      <c r="E112" s="254">
        <f t="shared" si="45"/>
        <v>3993.98</v>
      </c>
      <c r="F112" s="255">
        <f t="shared" si="49"/>
        <v>1467.5102902777778</v>
      </c>
      <c r="G112" s="256">
        <f t="shared" si="50"/>
        <v>53.364010555555552</v>
      </c>
      <c r="H112" s="256">
        <f t="shared" si="51"/>
        <v>426.91208444444442</v>
      </c>
      <c r="I112" s="256">
        <f t="shared" si="57"/>
        <v>170.76483377777777</v>
      </c>
      <c r="J112" s="256">
        <f t="shared" si="58"/>
        <v>432.68116666666668</v>
      </c>
      <c r="K112" s="256">
        <f t="shared" si="52"/>
        <v>432.68116666666668</v>
      </c>
      <c r="L112" s="256">
        <f t="shared" si="53"/>
        <v>144.22705555555555</v>
      </c>
      <c r="M112" s="256">
        <f t="shared" si="54"/>
        <v>332.83166666666665</v>
      </c>
      <c r="N112" s="255">
        <v>0</v>
      </c>
      <c r="O112" s="256">
        <v>0</v>
      </c>
      <c r="P112" s="256">
        <v>0</v>
      </c>
      <c r="Q112" s="256">
        <v>0</v>
      </c>
      <c r="R112" s="256">
        <f>E112*30%</f>
        <v>1198.194</v>
      </c>
      <c r="S112" s="257">
        <v>0</v>
      </c>
      <c r="T112" s="256">
        <v>0</v>
      </c>
      <c r="U112" s="258">
        <f t="shared" si="46"/>
        <v>4659.1662746111106</v>
      </c>
      <c r="V112" s="256">
        <v>0</v>
      </c>
      <c r="W112" s="256">
        <v>529.20000000000005</v>
      </c>
      <c r="X112" s="256">
        <f t="shared" si="67"/>
        <v>29</v>
      </c>
      <c r="Y112" s="256">
        <f t="shared" si="59"/>
        <v>10.119999999999999</v>
      </c>
      <c r="Z112" s="256">
        <f t="shared" si="55"/>
        <v>17.5</v>
      </c>
      <c r="AA112" s="256">
        <f t="shared" si="60"/>
        <v>24.95</v>
      </c>
      <c r="AB112" s="256">
        <f t="shared" si="56"/>
        <v>230.68</v>
      </c>
      <c r="AC112" s="189">
        <f t="shared" si="47"/>
        <v>841.45</v>
      </c>
      <c r="AD112" s="259">
        <f t="shared" si="48"/>
        <v>9494.5962746111109</v>
      </c>
    </row>
    <row r="113" spans="1:30" s="160" customFormat="1">
      <c r="A113" s="250">
        <v>108</v>
      </c>
      <c r="B113" s="251" t="s">
        <v>423</v>
      </c>
      <c r="C113" s="252">
        <v>1</v>
      </c>
      <c r="D113" s="253">
        <v>2751.84</v>
      </c>
      <c r="E113" s="254">
        <f t="shared" si="45"/>
        <v>2751.84</v>
      </c>
      <c r="F113" s="255">
        <f t="shared" si="49"/>
        <v>966.96600000000024</v>
      </c>
      <c r="G113" s="256">
        <f t="shared" si="50"/>
        <v>35.162400000000005</v>
      </c>
      <c r="H113" s="256">
        <f t="shared" si="51"/>
        <v>281.29920000000004</v>
      </c>
      <c r="I113" s="256">
        <f t="shared" si="57"/>
        <v>112.51968000000002</v>
      </c>
      <c r="J113" s="256">
        <f t="shared" si="58"/>
        <v>229.32000000000002</v>
      </c>
      <c r="K113" s="256">
        <f t="shared" si="52"/>
        <v>229.32000000000002</v>
      </c>
      <c r="L113" s="256">
        <f t="shared" si="53"/>
        <v>76.440000000000012</v>
      </c>
      <c r="M113" s="256">
        <f t="shared" si="54"/>
        <v>229.32000000000002</v>
      </c>
      <c r="N113" s="255">
        <v>0</v>
      </c>
      <c r="O113" s="256">
        <v>0</v>
      </c>
      <c r="P113" s="256">
        <f>E113/150*1.75</f>
        <v>32.104800000000004</v>
      </c>
      <c r="Q113" s="256">
        <f>P113/25*5</f>
        <v>6.4209600000000009</v>
      </c>
      <c r="R113" s="256">
        <v>0</v>
      </c>
      <c r="S113" s="257">
        <v>0</v>
      </c>
      <c r="T113" s="256">
        <v>0</v>
      </c>
      <c r="U113" s="258">
        <f t="shared" si="46"/>
        <v>2198.8730400000004</v>
      </c>
      <c r="V113" s="256">
        <f>C113*111.67</f>
        <v>111.67</v>
      </c>
      <c r="W113" s="256">
        <v>529.20000000000005</v>
      </c>
      <c r="X113" s="256">
        <f t="shared" si="67"/>
        <v>29</v>
      </c>
      <c r="Y113" s="256">
        <f t="shared" si="59"/>
        <v>10.119999999999999</v>
      </c>
      <c r="Z113" s="256">
        <f t="shared" si="55"/>
        <v>17.5</v>
      </c>
      <c r="AA113" s="256">
        <f t="shared" si="60"/>
        <v>24.95</v>
      </c>
      <c r="AB113" s="256">
        <f t="shared" si="56"/>
        <v>230.68</v>
      </c>
      <c r="AC113" s="189">
        <f t="shared" si="47"/>
        <v>953.12000000000012</v>
      </c>
      <c r="AD113" s="259">
        <f t="shared" si="48"/>
        <v>5903.8330400000004</v>
      </c>
    </row>
    <row r="114" spans="1:30" s="160" customFormat="1">
      <c r="A114" s="250">
        <v>109</v>
      </c>
      <c r="B114" s="251" t="s">
        <v>424</v>
      </c>
      <c r="C114" s="252">
        <v>1</v>
      </c>
      <c r="D114" s="253">
        <v>2751.84</v>
      </c>
      <c r="E114" s="254">
        <f t="shared" si="45"/>
        <v>2751.84</v>
      </c>
      <c r="F114" s="255">
        <f t="shared" si="49"/>
        <v>966.96600000000024</v>
      </c>
      <c r="G114" s="256">
        <f t="shared" si="50"/>
        <v>35.162400000000005</v>
      </c>
      <c r="H114" s="256">
        <f t="shared" si="51"/>
        <v>281.29920000000004</v>
      </c>
      <c r="I114" s="256">
        <f t="shared" si="57"/>
        <v>112.51968000000002</v>
      </c>
      <c r="J114" s="256">
        <f t="shared" si="58"/>
        <v>229.32000000000002</v>
      </c>
      <c r="K114" s="256">
        <f t="shared" si="52"/>
        <v>229.32000000000002</v>
      </c>
      <c r="L114" s="256">
        <f t="shared" si="53"/>
        <v>76.440000000000012</v>
      </c>
      <c r="M114" s="256">
        <f t="shared" si="54"/>
        <v>229.32000000000002</v>
      </c>
      <c r="N114" s="255">
        <v>0</v>
      </c>
      <c r="O114" s="256">
        <v>0</v>
      </c>
      <c r="P114" s="256">
        <f t="shared" ref="P114:P121" si="77">E114/150*1.75</f>
        <v>32.104800000000004</v>
      </c>
      <c r="Q114" s="256">
        <f t="shared" ref="Q114:Q121" si="78">P114/25*5</f>
        <v>6.4209600000000009</v>
      </c>
      <c r="R114" s="256">
        <v>0</v>
      </c>
      <c r="S114" s="257">
        <v>0</v>
      </c>
      <c r="T114" s="256">
        <v>0</v>
      </c>
      <c r="U114" s="258">
        <f t="shared" si="46"/>
        <v>2198.8730400000004</v>
      </c>
      <c r="V114" s="256">
        <f t="shared" ref="V114:V121" si="79">C114*111.67</f>
        <v>111.67</v>
      </c>
      <c r="W114" s="256">
        <v>529.20000000000005</v>
      </c>
      <c r="X114" s="256">
        <f t="shared" si="67"/>
        <v>29</v>
      </c>
      <c r="Y114" s="256">
        <f t="shared" si="59"/>
        <v>10.119999999999999</v>
      </c>
      <c r="Z114" s="256">
        <f t="shared" si="55"/>
        <v>17.5</v>
      </c>
      <c r="AA114" s="256">
        <f t="shared" si="60"/>
        <v>24.95</v>
      </c>
      <c r="AB114" s="256">
        <f t="shared" si="56"/>
        <v>230.68</v>
      </c>
      <c r="AC114" s="189">
        <f t="shared" si="47"/>
        <v>953.12000000000012</v>
      </c>
      <c r="AD114" s="259">
        <f t="shared" si="48"/>
        <v>5903.8330400000004</v>
      </c>
    </row>
    <row r="115" spans="1:30" s="160" customFormat="1">
      <c r="A115" s="250">
        <v>110</v>
      </c>
      <c r="B115" s="251" t="s">
        <v>425</v>
      </c>
      <c r="C115" s="252">
        <v>1</v>
      </c>
      <c r="D115" s="253">
        <v>2751.84</v>
      </c>
      <c r="E115" s="254">
        <f t="shared" si="45"/>
        <v>2751.84</v>
      </c>
      <c r="F115" s="255">
        <f t="shared" si="49"/>
        <v>966.96600000000024</v>
      </c>
      <c r="G115" s="256">
        <f t="shared" si="50"/>
        <v>35.162400000000005</v>
      </c>
      <c r="H115" s="256">
        <f t="shared" si="51"/>
        <v>281.29920000000004</v>
      </c>
      <c r="I115" s="256">
        <f t="shared" si="57"/>
        <v>112.51968000000002</v>
      </c>
      <c r="J115" s="256">
        <f t="shared" si="58"/>
        <v>229.32000000000002</v>
      </c>
      <c r="K115" s="256">
        <f t="shared" si="52"/>
        <v>229.32000000000002</v>
      </c>
      <c r="L115" s="256">
        <f t="shared" si="53"/>
        <v>76.440000000000012</v>
      </c>
      <c r="M115" s="256">
        <f t="shared" si="54"/>
        <v>229.32000000000002</v>
      </c>
      <c r="N115" s="255">
        <v>0</v>
      </c>
      <c r="O115" s="256">
        <v>0</v>
      </c>
      <c r="P115" s="256">
        <f t="shared" si="77"/>
        <v>32.104800000000004</v>
      </c>
      <c r="Q115" s="256">
        <f t="shared" si="78"/>
        <v>6.4209600000000009</v>
      </c>
      <c r="R115" s="256">
        <v>0</v>
      </c>
      <c r="S115" s="257">
        <v>0</v>
      </c>
      <c r="T115" s="256">
        <v>0</v>
      </c>
      <c r="U115" s="258">
        <f t="shared" si="46"/>
        <v>2198.8730400000004</v>
      </c>
      <c r="V115" s="256">
        <f t="shared" si="79"/>
        <v>111.67</v>
      </c>
      <c r="W115" s="256">
        <v>529.20000000000005</v>
      </c>
      <c r="X115" s="256">
        <f t="shared" si="67"/>
        <v>29</v>
      </c>
      <c r="Y115" s="256">
        <f t="shared" si="59"/>
        <v>10.119999999999999</v>
      </c>
      <c r="Z115" s="256">
        <f t="shared" si="55"/>
        <v>17.5</v>
      </c>
      <c r="AA115" s="256">
        <f t="shared" si="60"/>
        <v>24.95</v>
      </c>
      <c r="AB115" s="256">
        <f t="shared" si="56"/>
        <v>230.68</v>
      </c>
      <c r="AC115" s="189">
        <f t="shared" si="47"/>
        <v>953.12000000000012</v>
      </c>
      <c r="AD115" s="259">
        <f t="shared" si="48"/>
        <v>5903.8330400000004</v>
      </c>
    </row>
    <row r="116" spans="1:30" s="160" customFormat="1">
      <c r="A116" s="250">
        <v>111</v>
      </c>
      <c r="B116" s="251" t="s">
        <v>426</v>
      </c>
      <c r="C116" s="252">
        <v>1</v>
      </c>
      <c r="D116" s="253">
        <v>2751.84</v>
      </c>
      <c r="E116" s="254">
        <f t="shared" si="45"/>
        <v>2751.84</v>
      </c>
      <c r="F116" s="255">
        <f t="shared" si="49"/>
        <v>966.96600000000024</v>
      </c>
      <c r="G116" s="256">
        <f t="shared" si="50"/>
        <v>35.162400000000005</v>
      </c>
      <c r="H116" s="256">
        <f t="shared" si="51"/>
        <v>281.29920000000004</v>
      </c>
      <c r="I116" s="256">
        <f t="shared" si="57"/>
        <v>112.51968000000002</v>
      </c>
      <c r="J116" s="256">
        <f t="shared" si="58"/>
        <v>229.32000000000002</v>
      </c>
      <c r="K116" s="256">
        <f t="shared" si="52"/>
        <v>229.32000000000002</v>
      </c>
      <c r="L116" s="256">
        <f t="shared" si="53"/>
        <v>76.440000000000012</v>
      </c>
      <c r="M116" s="256">
        <f t="shared" si="54"/>
        <v>229.32000000000002</v>
      </c>
      <c r="N116" s="255">
        <v>0</v>
      </c>
      <c r="O116" s="256">
        <v>0</v>
      </c>
      <c r="P116" s="256">
        <f t="shared" si="77"/>
        <v>32.104800000000004</v>
      </c>
      <c r="Q116" s="256">
        <f t="shared" si="78"/>
        <v>6.4209600000000009</v>
      </c>
      <c r="R116" s="256">
        <v>0</v>
      </c>
      <c r="S116" s="257">
        <v>0</v>
      </c>
      <c r="T116" s="256">
        <v>0</v>
      </c>
      <c r="U116" s="258">
        <f t="shared" si="46"/>
        <v>2198.8730400000004</v>
      </c>
      <c r="V116" s="256">
        <f t="shared" si="79"/>
        <v>111.67</v>
      </c>
      <c r="W116" s="256">
        <v>529.20000000000005</v>
      </c>
      <c r="X116" s="256">
        <f t="shared" si="67"/>
        <v>29</v>
      </c>
      <c r="Y116" s="256">
        <f t="shared" si="59"/>
        <v>10.119999999999999</v>
      </c>
      <c r="Z116" s="256">
        <f t="shared" si="55"/>
        <v>17.5</v>
      </c>
      <c r="AA116" s="256">
        <f t="shared" si="60"/>
        <v>24.95</v>
      </c>
      <c r="AB116" s="256">
        <f t="shared" si="56"/>
        <v>230.68</v>
      </c>
      <c r="AC116" s="189">
        <f t="shared" si="47"/>
        <v>953.12000000000012</v>
      </c>
      <c r="AD116" s="259">
        <f t="shared" si="48"/>
        <v>5903.8330400000004</v>
      </c>
    </row>
    <row r="117" spans="1:30" s="160" customFormat="1">
      <c r="A117" s="250">
        <v>112</v>
      </c>
      <c r="B117" s="251" t="s">
        <v>427</v>
      </c>
      <c r="C117" s="252">
        <v>1</v>
      </c>
      <c r="D117" s="253">
        <v>2751.84</v>
      </c>
      <c r="E117" s="254">
        <f t="shared" si="45"/>
        <v>2751.84</v>
      </c>
      <c r="F117" s="255">
        <f t="shared" si="49"/>
        <v>966.96600000000024</v>
      </c>
      <c r="G117" s="256">
        <f t="shared" si="50"/>
        <v>35.162400000000005</v>
      </c>
      <c r="H117" s="256">
        <f t="shared" si="51"/>
        <v>281.29920000000004</v>
      </c>
      <c r="I117" s="256">
        <f t="shared" si="57"/>
        <v>112.51968000000002</v>
      </c>
      <c r="J117" s="256">
        <f t="shared" si="58"/>
        <v>229.32000000000002</v>
      </c>
      <c r="K117" s="256">
        <f t="shared" si="52"/>
        <v>229.32000000000002</v>
      </c>
      <c r="L117" s="256">
        <f t="shared" si="53"/>
        <v>76.440000000000012</v>
      </c>
      <c r="M117" s="256">
        <f t="shared" si="54"/>
        <v>229.32000000000002</v>
      </c>
      <c r="N117" s="255">
        <v>0</v>
      </c>
      <c r="O117" s="256">
        <v>0</v>
      </c>
      <c r="P117" s="256">
        <f t="shared" si="77"/>
        <v>32.104800000000004</v>
      </c>
      <c r="Q117" s="256">
        <f t="shared" si="78"/>
        <v>6.4209600000000009</v>
      </c>
      <c r="R117" s="256">
        <v>0</v>
      </c>
      <c r="S117" s="257">
        <v>0</v>
      </c>
      <c r="T117" s="256">
        <v>0</v>
      </c>
      <c r="U117" s="258">
        <f t="shared" si="46"/>
        <v>2198.8730400000004</v>
      </c>
      <c r="V117" s="256">
        <f t="shared" si="79"/>
        <v>111.67</v>
      </c>
      <c r="W117" s="256">
        <v>529.20000000000005</v>
      </c>
      <c r="X117" s="256">
        <f t="shared" si="67"/>
        <v>29</v>
      </c>
      <c r="Y117" s="256">
        <f t="shared" si="59"/>
        <v>10.119999999999999</v>
      </c>
      <c r="Z117" s="256">
        <f t="shared" si="55"/>
        <v>17.5</v>
      </c>
      <c r="AA117" s="256">
        <f t="shared" si="60"/>
        <v>24.95</v>
      </c>
      <c r="AB117" s="256">
        <f t="shared" si="56"/>
        <v>230.68</v>
      </c>
      <c r="AC117" s="189">
        <f t="shared" si="47"/>
        <v>953.12000000000012</v>
      </c>
      <c r="AD117" s="259">
        <f t="shared" si="48"/>
        <v>5903.8330400000004</v>
      </c>
    </row>
    <row r="118" spans="1:30" s="160" customFormat="1">
      <c r="A118" s="250">
        <v>113</v>
      </c>
      <c r="B118" s="251" t="s">
        <v>428</v>
      </c>
      <c r="C118" s="252">
        <v>1</v>
      </c>
      <c r="D118" s="253">
        <v>1852.2</v>
      </c>
      <c r="E118" s="254">
        <f t="shared" si="45"/>
        <v>1852.2</v>
      </c>
      <c r="F118" s="255">
        <f t="shared" si="49"/>
        <v>650.84249999999997</v>
      </c>
      <c r="G118" s="256">
        <f t="shared" si="50"/>
        <v>23.666999999999998</v>
      </c>
      <c r="H118" s="256">
        <f t="shared" si="51"/>
        <v>189.33599999999998</v>
      </c>
      <c r="I118" s="256">
        <f t="shared" si="57"/>
        <v>75.734399999999994</v>
      </c>
      <c r="J118" s="256">
        <f t="shared" si="58"/>
        <v>154.35</v>
      </c>
      <c r="K118" s="256">
        <f t="shared" si="52"/>
        <v>154.35</v>
      </c>
      <c r="L118" s="256">
        <f t="shared" si="53"/>
        <v>51.449999999999996</v>
      </c>
      <c r="M118" s="256">
        <f t="shared" si="54"/>
        <v>154.35</v>
      </c>
      <c r="N118" s="255">
        <v>0</v>
      </c>
      <c r="O118" s="256">
        <v>0</v>
      </c>
      <c r="P118" s="256">
        <f t="shared" si="77"/>
        <v>21.609000000000002</v>
      </c>
      <c r="Q118" s="256">
        <f t="shared" si="78"/>
        <v>4.3217999999999996</v>
      </c>
      <c r="R118" s="256">
        <v>0</v>
      </c>
      <c r="S118" s="257">
        <v>0</v>
      </c>
      <c r="T118" s="256">
        <v>0</v>
      </c>
      <c r="U118" s="258">
        <f t="shared" si="46"/>
        <v>1480.0106999999996</v>
      </c>
      <c r="V118" s="256">
        <f t="shared" si="79"/>
        <v>111.67</v>
      </c>
      <c r="W118" s="256">
        <v>529.20000000000005</v>
      </c>
      <c r="X118" s="256">
        <f t="shared" si="67"/>
        <v>29</v>
      </c>
      <c r="Y118" s="256">
        <f t="shared" si="59"/>
        <v>10.119999999999999</v>
      </c>
      <c r="Z118" s="256">
        <f t="shared" si="55"/>
        <v>17.5</v>
      </c>
      <c r="AA118" s="256">
        <f t="shared" si="60"/>
        <v>24.95</v>
      </c>
      <c r="AB118" s="256">
        <f t="shared" si="56"/>
        <v>230.68</v>
      </c>
      <c r="AC118" s="189">
        <f t="shared" si="47"/>
        <v>953.12000000000012</v>
      </c>
      <c r="AD118" s="259">
        <f t="shared" si="48"/>
        <v>4285.3306999999995</v>
      </c>
    </row>
    <row r="119" spans="1:30" s="160" customFormat="1">
      <c r="A119" s="250">
        <v>114</v>
      </c>
      <c r="B119" s="251" t="s">
        <v>429</v>
      </c>
      <c r="C119" s="252">
        <v>1</v>
      </c>
      <c r="D119" s="253">
        <v>1737.89</v>
      </c>
      <c r="E119" s="254">
        <f t="shared" si="45"/>
        <v>1737.89</v>
      </c>
      <c r="F119" s="255">
        <f t="shared" si="49"/>
        <v>610.6752361111113</v>
      </c>
      <c r="G119" s="256">
        <f t="shared" si="50"/>
        <v>22.206372222222225</v>
      </c>
      <c r="H119" s="256">
        <f t="shared" si="51"/>
        <v>177.6509777777778</v>
      </c>
      <c r="I119" s="256">
        <f t="shared" si="57"/>
        <v>71.060391111111116</v>
      </c>
      <c r="J119" s="256">
        <f t="shared" si="58"/>
        <v>144.82416666666668</v>
      </c>
      <c r="K119" s="256">
        <f t="shared" si="52"/>
        <v>144.82416666666668</v>
      </c>
      <c r="L119" s="256">
        <f t="shared" si="53"/>
        <v>48.274722222222231</v>
      </c>
      <c r="M119" s="256">
        <f t="shared" si="54"/>
        <v>144.82416666666668</v>
      </c>
      <c r="N119" s="255">
        <v>0</v>
      </c>
      <c r="O119" s="256">
        <v>0</v>
      </c>
      <c r="P119" s="256">
        <f t="shared" si="77"/>
        <v>20.275383333333334</v>
      </c>
      <c r="Q119" s="256">
        <f t="shared" si="78"/>
        <v>4.0550766666666664</v>
      </c>
      <c r="R119" s="256">
        <v>0</v>
      </c>
      <c r="S119" s="257">
        <v>0</v>
      </c>
      <c r="T119" s="256">
        <v>0</v>
      </c>
      <c r="U119" s="258">
        <f t="shared" si="46"/>
        <v>1388.6706594444449</v>
      </c>
      <c r="V119" s="256">
        <f t="shared" si="79"/>
        <v>111.67</v>
      </c>
      <c r="W119" s="256">
        <v>529.20000000000005</v>
      </c>
      <c r="X119" s="256">
        <f t="shared" si="67"/>
        <v>29</v>
      </c>
      <c r="Y119" s="256">
        <f t="shared" si="59"/>
        <v>10.119999999999999</v>
      </c>
      <c r="Z119" s="256">
        <f t="shared" si="55"/>
        <v>17.5</v>
      </c>
      <c r="AA119" s="256">
        <f t="shared" si="60"/>
        <v>24.95</v>
      </c>
      <c r="AB119" s="256">
        <f t="shared" si="56"/>
        <v>230.68</v>
      </c>
      <c r="AC119" s="189">
        <f t="shared" si="47"/>
        <v>953.12000000000012</v>
      </c>
      <c r="AD119" s="259">
        <f t="shared" si="48"/>
        <v>4079.6806594444452</v>
      </c>
    </row>
    <row r="120" spans="1:30" s="160" customFormat="1">
      <c r="A120" s="250">
        <v>115</v>
      </c>
      <c r="B120" s="251" t="s">
        <v>430</v>
      </c>
      <c r="C120" s="252">
        <v>1</v>
      </c>
      <c r="D120" s="253">
        <v>1465.88</v>
      </c>
      <c r="E120" s="254">
        <f t="shared" si="45"/>
        <v>1465.88</v>
      </c>
      <c r="F120" s="255">
        <f t="shared" si="49"/>
        <v>515.09394444444456</v>
      </c>
      <c r="G120" s="256">
        <f t="shared" si="50"/>
        <v>18.730688888888892</v>
      </c>
      <c r="H120" s="256">
        <f t="shared" si="51"/>
        <v>149.84551111111114</v>
      </c>
      <c r="I120" s="256">
        <f t="shared" si="57"/>
        <v>59.938204444444459</v>
      </c>
      <c r="J120" s="256">
        <f t="shared" si="58"/>
        <v>122.15666666666668</v>
      </c>
      <c r="K120" s="256">
        <f t="shared" si="52"/>
        <v>122.15666666666668</v>
      </c>
      <c r="L120" s="256">
        <f t="shared" si="53"/>
        <v>40.718888888888891</v>
      </c>
      <c r="M120" s="256">
        <f t="shared" si="54"/>
        <v>122.15666666666668</v>
      </c>
      <c r="N120" s="255">
        <v>0</v>
      </c>
      <c r="O120" s="256">
        <v>0</v>
      </c>
      <c r="P120" s="256">
        <f t="shared" si="77"/>
        <v>17.101933333333335</v>
      </c>
      <c r="Q120" s="256">
        <f t="shared" si="78"/>
        <v>3.4203866666666674</v>
      </c>
      <c r="R120" s="256">
        <v>0</v>
      </c>
      <c r="S120" s="257">
        <v>0</v>
      </c>
      <c r="T120" s="256">
        <v>0</v>
      </c>
      <c r="U120" s="258">
        <f t="shared" si="46"/>
        <v>1171.3195577777778</v>
      </c>
      <c r="V120" s="256">
        <f t="shared" si="79"/>
        <v>111.67</v>
      </c>
      <c r="W120" s="256">
        <v>529.20000000000005</v>
      </c>
      <c r="X120" s="256">
        <f t="shared" si="67"/>
        <v>29</v>
      </c>
      <c r="Y120" s="256">
        <f t="shared" si="59"/>
        <v>10.119999999999999</v>
      </c>
      <c r="Z120" s="256">
        <f t="shared" si="55"/>
        <v>17.5</v>
      </c>
      <c r="AA120" s="256">
        <f t="shared" si="60"/>
        <v>24.95</v>
      </c>
      <c r="AB120" s="256">
        <f t="shared" si="56"/>
        <v>230.68</v>
      </c>
      <c r="AC120" s="189">
        <f t="shared" si="47"/>
        <v>953.12000000000012</v>
      </c>
      <c r="AD120" s="259">
        <f t="shared" si="48"/>
        <v>3590.3195577777778</v>
      </c>
    </row>
    <row r="121" spans="1:30" s="160" customFormat="1">
      <c r="A121" s="250">
        <v>116</v>
      </c>
      <c r="B121" s="251" t="s">
        <v>431</v>
      </c>
      <c r="C121" s="252">
        <v>1</v>
      </c>
      <c r="D121" s="253">
        <v>1537.21</v>
      </c>
      <c r="E121" s="254">
        <f t="shared" si="45"/>
        <v>1537.21</v>
      </c>
      <c r="F121" s="255">
        <f t="shared" si="49"/>
        <v>540.15851388888905</v>
      </c>
      <c r="G121" s="256">
        <f t="shared" si="50"/>
        <v>19.64212777777778</v>
      </c>
      <c r="H121" s="256">
        <f t="shared" si="51"/>
        <v>157.13702222222224</v>
      </c>
      <c r="I121" s="256">
        <f t="shared" si="57"/>
        <v>62.854808888888897</v>
      </c>
      <c r="J121" s="256">
        <f t="shared" si="58"/>
        <v>128.10083333333333</v>
      </c>
      <c r="K121" s="256">
        <f t="shared" si="52"/>
        <v>128.10083333333333</v>
      </c>
      <c r="L121" s="256">
        <f t="shared" si="53"/>
        <v>42.700277777777778</v>
      </c>
      <c r="M121" s="256">
        <f t="shared" si="54"/>
        <v>128.10083333333333</v>
      </c>
      <c r="N121" s="255">
        <v>0</v>
      </c>
      <c r="O121" s="256">
        <v>0</v>
      </c>
      <c r="P121" s="256">
        <f t="shared" si="77"/>
        <v>17.934116666666668</v>
      </c>
      <c r="Q121" s="256">
        <f t="shared" si="78"/>
        <v>3.5868233333333337</v>
      </c>
      <c r="R121" s="256">
        <v>0</v>
      </c>
      <c r="S121" s="257">
        <v>0</v>
      </c>
      <c r="T121" s="256">
        <v>0</v>
      </c>
      <c r="U121" s="258">
        <f t="shared" si="46"/>
        <v>1228.3161905555557</v>
      </c>
      <c r="V121" s="256">
        <f t="shared" si="79"/>
        <v>111.67</v>
      </c>
      <c r="W121" s="256">
        <v>529.20000000000005</v>
      </c>
      <c r="X121" s="256">
        <f t="shared" si="67"/>
        <v>29</v>
      </c>
      <c r="Y121" s="256">
        <f t="shared" si="59"/>
        <v>10.119999999999999</v>
      </c>
      <c r="Z121" s="256">
        <f t="shared" si="55"/>
        <v>17.5</v>
      </c>
      <c r="AA121" s="256">
        <f t="shared" si="60"/>
        <v>24.95</v>
      </c>
      <c r="AB121" s="256">
        <f t="shared" si="56"/>
        <v>230.68</v>
      </c>
      <c r="AC121" s="189">
        <f t="shared" si="47"/>
        <v>953.12000000000012</v>
      </c>
      <c r="AD121" s="259">
        <f t="shared" si="48"/>
        <v>3718.6461905555561</v>
      </c>
    </row>
    <row r="122" spans="1:30" s="160" customFormat="1">
      <c r="A122" s="250">
        <v>117</v>
      </c>
      <c r="B122" s="251" t="s">
        <v>435</v>
      </c>
      <c r="C122" s="252">
        <v>2</v>
      </c>
      <c r="D122" s="253">
        <v>2010.96</v>
      </c>
      <c r="E122" s="254">
        <f t="shared" si="45"/>
        <v>4021.92</v>
      </c>
      <c r="F122" s="255">
        <f t="shared" si="49"/>
        <v>1632.0057600000002</v>
      </c>
      <c r="G122" s="256">
        <f t="shared" si="50"/>
        <v>59.345664000000006</v>
      </c>
      <c r="H122" s="256">
        <f t="shared" si="51"/>
        <v>474.76531200000005</v>
      </c>
      <c r="I122" s="256">
        <f t="shared" si="57"/>
        <v>189.90612480000004</v>
      </c>
      <c r="J122" s="256">
        <f t="shared" si="58"/>
        <v>498.27119999999996</v>
      </c>
      <c r="K122" s="256">
        <f t="shared" si="52"/>
        <v>498.27119999999996</v>
      </c>
      <c r="L122" s="256">
        <f t="shared" si="53"/>
        <v>145.23600000000002</v>
      </c>
      <c r="M122" s="256">
        <f t="shared" si="54"/>
        <v>368.67599999999999</v>
      </c>
      <c r="N122" s="255">
        <v>0</v>
      </c>
      <c r="O122" s="256">
        <v>0</v>
      </c>
      <c r="P122" s="256">
        <f>(R122+E122)/210*1.75*1.2</f>
        <v>52.284959999999998</v>
      </c>
      <c r="Q122" s="256">
        <f>P122/6</f>
        <v>8.7141599999999997</v>
      </c>
      <c r="R122" s="256">
        <f>E122*30%</f>
        <v>1206.576</v>
      </c>
      <c r="S122" s="257">
        <f>(D122*10%)*C122</f>
        <v>402.19200000000001</v>
      </c>
      <c r="T122" s="256">
        <f>(E122+R122+N122+O122)/30*2</f>
        <v>348.56639999999999</v>
      </c>
      <c r="U122" s="258">
        <f t="shared" si="46"/>
        <v>5884.8107808000004</v>
      </c>
      <c r="V122" s="256">
        <f>C122*76.14</f>
        <v>152.28</v>
      </c>
      <c r="W122" s="256">
        <f>C122*529.2</f>
        <v>1058.4000000000001</v>
      </c>
      <c r="X122" s="256">
        <f t="shared" si="67"/>
        <v>58</v>
      </c>
      <c r="Y122" s="256">
        <f t="shared" si="59"/>
        <v>20.239999999999998</v>
      </c>
      <c r="Z122" s="256">
        <f t="shared" si="55"/>
        <v>35</v>
      </c>
      <c r="AA122" s="256">
        <f t="shared" si="60"/>
        <v>49.9</v>
      </c>
      <c r="AB122" s="256">
        <f t="shared" si="56"/>
        <v>461.36</v>
      </c>
      <c r="AC122" s="189">
        <f t="shared" si="47"/>
        <v>1835.1800000000003</v>
      </c>
      <c r="AD122" s="259">
        <f t="shared" si="48"/>
        <v>11741.910780800001</v>
      </c>
    </row>
    <row r="123" spans="1:30" s="160" customFormat="1">
      <c r="A123" s="250">
        <v>118</v>
      </c>
      <c r="B123" s="251" t="s">
        <v>432</v>
      </c>
      <c r="C123" s="252">
        <v>12</v>
      </c>
      <c r="D123" s="253">
        <v>2010.96</v>
      </c>
      <c r="E123" s="254">
        <f t="shared" si="45"/>
        <v>24131.52</v>
      </c>
      <c r="F123" s="255">
        <f t="shared" si="49"/>
        <v>8962.5135600000012</v>
      </c>
      <c r="G123" s="256">
        <f t="shared" si="50"/>
        <v>325.90958400000005</v>
      </c>
      <c r="H123" s="256">
        <f t="shared" si="51"/>
        <v>2607.2766720000004</v>
      </c>
      <c r="I123" s="256">
        <f t="shared" si="57"/>
        <v>1042.9106688000002</v>
      </c>
      <c r="J123" s="256">
        <f t="shared" si="58"/>
        <v>2788.5311999999999</v>
      </c>
      <c r="K123" s="256">
        <f t="shared" si="52"/>
        <v>2788.5311999999999</v>
      </c>
      <c r="L123" s="256">
        <f t="shared" si="53"/>
        <v>871.41600000000005</v>
      </c>
      <c r="M123" s="256">
        <f t="shared" si="54"/>
        <v>2010.96</v>
      </c>
      <c r="N123" s="255">
        <v>0</v>
      </c>
      <c r="O123" s="256">
        <v>0</v>
      </c>
      <c r="P123" s="256">
        <f>(R123+E123)/210*1.75*1.2</f>
        <v>313.70976000000002</v>
      </c>
      <c r="Q123" s="256">
        <f>P123/6</f>
        <v>52.284960000000005</v>
      </c>
      <c r="R123" s="256">
        <f>E123*30%</f>
        <v>7239.4560000000001</v>
      </c>
      <c r="S123" s="257"/>
      <c r="T123" s="256">
        <f t="shared" ref="T123:T125" si="80">(E123+R123+N123+O123)/30*2</f>
        <v>2091.3984</v>
      </c>
      <c r="U123" s="258">
        <f t="shared" si="46"/>
        <v>31094.898004800001</v>
      </c>
      <c r="V123" s="256">
        <f t="shared" ref="V123:V125" si="81">C123*76.14</f>
        <v>913.68000000000006</v>
      </c>
      <c r="W123" s="256">
        <f>C123*529.2</f>
        <v>6350.4000000000005</v>
      </c>
      <c r="X123" s="256">
        <f t="shared" si="67"/>
        <v>348</v>
      </c>
      <c r="Y123" s="256">
        <f t="shared" si="59"/>
        <v>121.44</v>
      </c>
      <c r="Z123" s="256">
        <f t="shared" si="55"/>
        <v>210</v>
      </c>
      <c r="AA123" s="256">
        <f t="shared" si="60"/>
        <v>299.39999999999998</v>
      </c>
      <c r="AB123" s="256">
        <f t="shared" si="56"/>
        <v>2768.16</v>
      </c>
      <c r="AC123" s="189">
        <f t="shared" si="47"/>
        <v>11011.08</v>
      </c>
      <c r="AD123" s="259">
        <f t="shared" si="48"/>
        <v>66237.4980048</v>
      </c>
    </row>
    <row r="124" spans="1:30" s="160" customFormat="1">
      <c r="A124" s="250">
        <v>119</v>
      </c>
      <c r="B124" s="251" t="s">
        <v>433</v>
      </c>
      <c r="C124" s="252">
        <v>2</v>
      </c>
      <c r="D124" s="253">
        <v>2010.96</v>
      </c>
      <c r="E124" s="254">
        <f t="shared" si="45"/>
        <v>4021.92</v>
      </c>
      <c r="F124" s="255">
        <f t="shared" si="49"/>
        <v>1677.4484906666671</v>
      </c>
      <c r="G124" s="256">
        <f t="shared" si="50"/>
        <v>60.998126933333346</v>
      </c>
      <c r="H124" s="256">
        <f t="shared" si="51"/>
        <v>487.98501546666677</v>
      </c>
      <c r="I124" s="256">
        <f t="shared" si="57"/>
        <v>195.19400618666671</v>
      </c>
      <c r="J124" s="256">
        <f t="shared" si="58"/>
        <v>580.89434666666671</v>
      </c>
      <c r="K124" s="256">
        <f t="shared" si="52"/>
        <v>580.89434666666671</v>
      </c>
      <c r="L124" s="256">
        <f t="shared" si="53"/>
        <v>145.23600000000002</v>
      </c>
      <c r="M124" s="256">
        <f t="shared" si="54"/>
        <v>368.67599999999999</v>
      </c>
      <c r="N124" s="255">
        <f>(R124+E124)/210*20%*160</f>
        <v>796.72320000000013</v>
      </c>
      <c r="O124" s="256">
        <f>N124/6</f>
        <v>132.78720000000001</v>
      </c>
      <c r="P124" s="256">
        <f>(R124+E124)/210*1.75*1.2</f>
        <v>52.284959999999998</v>
      </c>
      <c r="Q124" s="256">
        <f>P124/6</f>
        <v>8.7141599999999997</v>
      </c>
      <c r="R124" s="256">
        <f>E124*30%</f>
        <v>1206.576</v>
      </c>
      <c r="S124" s="257">
        <f t="shared" ref="S124" si="82">(D124*10%)*C124</f>
        <v>402.19200000000001</v>
      </c>
      <c r="T124" s="256">
        <f t="shared" si="80"/>
        <v>410.53376000000003</v>
      </c>
      <c r="U124" s="258">
        <f t="shared" si="46"/>
        <v>7107.1376125866691</v>
      </c>
      <c r="V124" s="256">
        <f t="shared" si="81"/>
        <v>152.28</v>
      </c>
      <c r="W124" s="256">
        <f>C124*529.2</f>
        <v>1058.4000000000001</v>
      </c>
      <c r="X124" s="256">
        <f t="shared" si="67"/>
        <v>58</v>
      </c>
      <c r="Y124" s="256">
        <f t="shared" si="59"/>
        <v>20.239999999999998</v>
      </c>
      <c r="Z124" s="256">
        <f t="shared" si="55"/>
        <v>35</v>
      </c>
      <c r="AA124" s="256">
        <f t="shared" si="60"/>
        <v>49.9</v>
      </c>
      <c r="AB124" s="256">
        <f t="shared" si="56"/>
        <v>461.36</v>
      </c>
      <c r="AC124" s="189">
        <f t="shared" si="47"/>
        <v>1835.1800000000003</v>
      </c>
      <c r="AD124" s="259">
        <f t="shared" si="48"/>
        <v>12964.237612586669</v>
      </c>
    </row>
    <row r="125" spans="1:30" s="160" customFormat="1">
      <c r="A125" s="250">
        <v>120</v>
      </c>
      <c r="B125" s="251" t="s">
        <v>434</v>
      </c>
      <c r="C125" s="252">
        <v>6</v>
      </c>
      <c r="D125" s="253">
        <v>2010.96</v>
      </c>
      <c r="E125" s="254">
        <f t="shared" si="45"/>
        <v>12065.76</v>
      </c>
      <c r="F125" s="255">
        <f t="shared" si="49"/>
        <v>4617.5849719999997</v>
      </c>
      <c r="G125" s="256">
        <f t="shared" si="50"/>
        <v>167.91218079999999</v>
      </c>
      <c r="H125" s="256">
        <f t="shared" si="51"/>
        <v>1343.2974463999999</v>
      </c>
      <c r="I125" s="256">
        <f t="shared" si="57"/>
        <v>537.31897856000001</v>
      </c>
      <c r="J125" s="256">
        <f t="shared" si="58"/>
        <v>1642.1350399999999</v>
      </c>
      <c r="K125" s="256">
        <f t="shared" si="52"/>
        <v>1642.1350399999999</v>
      </c>
      <c r="L125" s="256">
        <f t="shared" si="53"/>
        <v>435.70800000000003</v>
      </c>
      <c r="M125" s="256">
        <f t="shared" si="54"/>
        <v>1005.48</v>
      </c>
      <c r="N125" s="255">
        <f>(R125+E125)/210*20%*160</f>
        <v>2390.1696000000002</v>
      </c>
      <c r="O125" s="256">
        <f>N125/6</f>
        <v>398.36160000000001</v>
      </c>
      <c r="P125" s="256">
        <f>(R125+E125)/210*1.75*1.2</f>
        <v>156.85488000000001</v>
      </c>
      <c r="Q125" s="256">
        <f>P125/6</f>
        <v>26.142480000000003</v>
      </c>
      <c r="R125" s="256">
        <f>E125*30%</f>
        <v>3619.7280000000001</v>
      </c>
      <c r="S125" s="257">
        <v>0</v>
      </c>
      <c r="T125" s="256">
        <f t="shared" si="80"/>
        <v>1231.6012800000001</v>
      </c>
      <c r="U125" s="258">
        <f t="shared" si="46"/>
        <v>19214.429497759997</v>
      </c>
      <c r="V125" s="256">
        <f t="shared" si="81"/>
        <v>456.84000000000003</v>
      </c>
      <c r="W125" s="256">
        <f>C125*529.2</f>
        <v>3175.2000000000003</v>
      </c>
      <c r="X125" s="256">
        <f t="shared" si="67"/>
        <v>174</v>
      </c>
      <c r="Y125" s="256">
        <f t="shared" si="59"/>
        <v>60.72</v>
      </c>
      <c r="Z125" s="256">
        <f t="shared" si="55"/>
        <v>105</v>
      </c>
      <c r="AA125" s="256">
        <f t="shared" si="60"/>
        <v>149.69999999999999</v>
      </c>
      <c r="AB125" s="256">
        <f t="shared" si="56"/>
        <v>1384.08</v>
      </c>
      <c r="AC125" s="189">
        <f t="shared" si="47"/>
        <v>5505.54</v>
      </c>
      <c r="AD125" s="259">
        <f t="shared" si="48"/>
        <v>36785.729497759996</v>
      </c>
    </row>
    <row r="126" spans="1:30" s="160" customFormat="1">
      <c r="A126" s="250">
        <v>121</v>
      </c>
      <c r="B126" s="251" t="s">
        <v>460</v>
      </c>
      <c r="C126" s="252">
        <v>1</v>
      </c>
      <c r="D126" s="253">
        <v>6879.6</v>
      </c>
      <c r="E126" s="254">
        <f t="shared" si="45"/>
        <v>6879.6</v>
      </c>
      <c r="F126" s="255">
        <f t="shared" si="49"/>
        <v>2417.4150000000004</v>
      </c>
      <c r="G126" s="256">
        <f t="shared" si="50"/>
        <v>87.906000000000006</v>
      </c>
      <c r="H126" s="256">
        <f t="shared" si="51"/>
        <v>703.24800000000005</v>
      </c>
      <c r="I126" s="256">
        <f t="shared" si="57"/>
        <v>281.29920000000004</v>
      </c>
      <c r="J126" s="256">
        <f t="shared" si="58"/>
        <v>573.30000000000007</v>
      </c>
      <c r="K126" s="256">
        <f t="shared" si="52"/>
        <v>573.30000000000007</v>
      </c>
      <c r="L126" s="256">
        <f t="shared" si="53"/>
        <v>191.10000000000002</v>
      </c>
      <c r="M126" s="256">
        <f t="shared" si="54"/>
        <v>573.30000000000007</v>
      </c>
      <c r="N126" s="255">
        <v>0</v>
      </c>
      <c r="O126" s="256">
        <v>0</v>
      </c>
      <c r="P126" s="256">
        <v>0</v>
      </c>
      <c r="Q126" s="256">
        <v>0</v>
      </c>
      <c r="R126" s="256">
        <v>0</v>
      </c>
      <c r="S126" s="257">
        <v>0</v>
      </c>
      <c r="T126" s="256">
        <v>0</v>
      </c>
      <c r="U126" s="258">
        <f t="shared" si="46"/>
        <v>5400.8682000000008</v>
      </c>
      <c r="V126" s="256">
        <v>0</v>
      </c>
      <c r="W126" s="256">
        <v>529.20000000000005</v>
      </c>
      <c r="X126" s="256">
        <f t="shared" si="67"/>
        <v>29</v>
      </c>
      <c r="Y126" s="256">
        <f t="shared" si="59"/>
        <v>10.119999999999999</v>
      </c>
      <c r="Z126" s="256">
        <f t="shared" si="55"/>
        <v>17.5</v>
      </c>
      <c r="AA126" s="256">
        <f t="shared" si="60"/>
        <v>24.95</v>
      </c>
      <c r="AB126" s="256">
        <f t="shared" si="56"/>
        <v>230.68</v>
      </c>
      <c r="AC126" s="189">
        <f t="shared" si="47"/>
        <v>841.45</v>
      </c>
      <c r="AD126" s="259">
        <f t="shared" si="48"/>
        <v>13121.918200000002</v>
      </c>
    </row>
    <row r="127" spans="1:30" s="160" customFormat="1">
      <c r="A127" s="250">
        <v>122</v>
      </c>
      <c r="B127" s="251" t="s">
        <v>422</v>
      </c>
      <c r="C127" s="252">
        <v>1</v>
      </c>
      <c r="D127" s="253">
        <v>3993.98</v>
      </c>
      <c r="E127" s="254">
        <f t="shared" si="45"/>
        <v>3993.98</v>
      </c>
      <c r="F127" s="255">
        <f t="shared" si="49"/>
        <v>1467.5102902777778</v>
      </c>
      <c r="G127" s="256">
        <f t="shared" si="50"/>
        <v>53.364010555555552</v>
      </c>
      <c r="H127" s="256">
        <f t="shared" si="51"/>
        <v>426.91208444444442</v>
      </c>
      <c r="I127" s="256">
        <f t="shared" si="57"/>
        <v>170.76483377777777</v>
      </c>
      <c r="J127" s="256">
        <f t="shared" si="58"/>
        <v>432.68116666666668</v>
      </c>
      <c r="K127" s="256">
        <f t="shared" si="52"/>
        <v>432.68116666666668</v>
      </c>
      <c r="L127" s="256">
        <f t="shared" si="53"/>
        <v>144.22705555555555</v>
      </c>
      <c r="M127" s="256">
        <f t="shared" si="54"/>
        <v>332.83166666666665</v>
      </c>
      <c r="N127" s="255">
        <v>0</v>
      </c>
      <c r="O127" s="256">
        <v>0</v>
      </c>
      <c r="P127" s="256">
        <v>0</v>
      </c>
      <c r="Q127" s="256">
        <v>0</v>
      </c>
      <c r="R127" s="256">
        <f>E127*30%</f>
        <v>1198.194</v>
      </c>
      <c r="S127" s="257">
        <v>0</v>
      </c>
      <c r="T127" s="256">
        <v>0</v>
      </c>
      <c r="U127" s="258">
        <f t="shared" si="46"/>
        <v>4659.1662746111106</v>
      </c>
      <c r="V127" s="256">
        <v>0</v>
      </c>
      <c r="W127" s="256">
        <v>529.20000000000005</v>
      </c>
      <c r="X127" s="256">
        <f t="shared" si="67"/>
        <v>29</v>
      </c>
      <c r="Y127" s="256">
        <f t="shared" si="59"/>
        <v>10.119999999999999</v>
      </c>
      <c r="Z127" s="256">
        <f t="shared" si="55"/>
        <v>17.5</v>
      </c>
      <c r="AA127" s="256">
        <f t="shared" si="60"/>
        <v>24.95</v>
      </c>
      <c r="AB127" s="256">
        <f t="shared" si="56"/>
        <v>230.68</v>
      </c>
      <c r="AC127" s="189">
        <f t="shared" si="47"/>
        <v>841.45</v>
      </c>
      <c r="AD127" s="259">
        <f t="shared" si="48"/>
        <v>9494.5962746111109</v>
      </c>
    </row>
    <row r="128" spans="1:30" s="160" customFormat="1">
      <c r="A128" s="250">
        <v>123</v>
      </c>
      <c r="B128" s="251" t="s">
        <v>423</v>
      </c>
      <c r="C128" s="252">
        <v>1</v>
      </c>
      <c r="D128" s="253">
        <v>2751.84</v>
      </c>
      <c r="E128" s="254">
        <f t="shared" si="45"/>
        <v>2751.84</v>
      </c>
      <c r="F128" s="255">
        <f t="shared" si="49"/>
        <v>966.96600000000024</v>
      </c>
      <c r="G128" s="256">
        <f t="shared" si="50"/>
        <v>35.162400000000005</v>
      </c>
      <c r="H128" s="256">
        <f t="shared" si="51"/>
        <v>281.29920000000004</v>
      </c>
      <c r="I128" s="256">
        <f t="shared" si="57"/>
        <v>112.51968000000002</v>
      </c>
      <c r="J128" s="256">
        <f t="shared" si="58"/>
        <v>229.32000000000002</v>
      </c>
      <c r="K128" s="256">
        <f t="shared" si="52"/>
        <v>229.32000000000002</v>
      </c>
      <c r="L128" s="256">
        <f t="shared" si="53"/>
        <v>76.440000000000012</v>
      </c>
      <c r="M128" s="256">
        <f t="shared" si="54"/>
        <v>229.32000000000002</v>
      </c>
      <c r="N128" s="255">
        <v>0</v>
      </c>
      <c r="O128" s="256">
        <v>0</v>
      </c>
      <c r="P128" s="256">
        <f>E128/150*1.75</f>
        <v>32.104800000000004</v>
      </c>
      <c r="Q128" s="256">
        <f>P128/25*5</f>
        <v>6.4209600000000009</v>
      </c>
      <c r="R128" s="256">
        <v>0</v>
      </c>
      <c r="S128" s="257">
        <v>0</v>
      </c>
      <c r="T128" s="256">
        <v>0</v>
      </c>
      <c r="U128" s="258">
        <f t="shared" si="46"/>
        <v>2198.8730400000004</v>
      </c>
      <c r="V128" s="256">
        <f>C128*111.67</f>
        <v>111.67</v>
      </c>
      <c r="W128" s="256">
        <v>529.20000000000005</v>
      </c>
      <c r="X128" s="256">
        <f t="shared" si="67"/>
        <v>29</v>
      </c>
      <c r="Y128" s="256">
        <f t="shared" si="59"/>
        <v>10.119999999999999</v>
      </c>
      <c r="Z128" s="256">
        <f t="shared" si="55"/>
        <v>17.5</v>
      </c>
      <c r="AA128" s="256">
        <f t="shared" si="60"/>
        <v>24.95</v>
      </c>
      <c r="AB128" s="256">
        <f t="shared" si="56"/>
        <v>230.68</v>
      </c>
      <c r="AC128" s="189">
        <f t="shared" si="47"/>
        <v>953.12000000000012</v>
      </c>
      <c r="AD128" s="259">
        <f t="shared" si="48"/>
        <v>5903.8330400000004</v>
      </c>
    </row>
    <row r="129" spans="1:30" s="160" customFormat="1">
      <c r="A129" s="250">
        <v>124</v>
      </c>
      <c r="B129" s="251" t="s">
        <v>424</v>
      </c>
      <c r="C129" s="252">
        <v>1</v>
      </c>
      <c r="D129" s="253">
        <v>2751.84</v>
      </c>
      <c r="E129" s="254">
        <f t="shared" si="45"/>
        <v>2751.84</v>
      </c>
      <c r="F129" s="255">
        <f t="shared" si="49"/>
        <v>966.96600000000024</v>
      </c>
      <c r="G129" s="256">
        <f t="shared" si="50"/>
        <v>35.162400000000005</v>
      </c>
      <c r="H129" s="256">
        <f t="shared" si="51"/>
        <v>281.29920000000004</v>
      </c>
      <c r="I129" s="256">
        <f t="shared" si="57"/>
        <v>112.51968000000002</v>
      </c>
      <c r="J129" s="256">
        <f t="shared" si="58"/>
        <v>229.32000000000002</v>
      </c>
      <c r="K129" s="256">
        <f t="shared" si="52"/>
        <v>229.32000000000002</v>
      </c>
      <c r="L129" s="256">
        <f t="shared" si="53"/>
        <v>76.440000000000012</v>
      </c>
      <c r="M129" s="256">
        <f t="shared" si="54"/>
        <v>229.32000000000002</v>
      </c>
      <c r="N129" s="255">
        <v>0</v>
      </c>
      <c r="O129" s="256">
        <v>0</v>
      </c>
      <c r="P129" s="256">
        <f t="shared" ref="P129:P136" si="83">E129/150*1.75</f>
        <v>32.104800000000004</v>
      </c>
      <c r="Q129" s="256">
        <f t="shared" ref="Q129:Q136" si="84">P129/25*5</f>
        <v>6.4209600000000009</v>
      </c>
      <c r="R129" s="256">
        <v>0</v>
      </c>
      <c r="S129" s="257">
        <v>0</v>
      </c>
      <c r="T129" s="256">
        <v>0</v>
      </c>
      <c r="U129" s="258">
        <f t="shared" si="46"/>
        <v>2198.8730400000004</v>
      </c>
      <c r="V129" s="256">
        <f t="shared" ref="V129:V136" si="85">C129*111.67</f>
        <v>111.67</v>
      </c>
      <c r="W129" s="256">
        <v>529.20000000000005</v>
      </c>
      <c r="X129" s="256">
        <f t="shared" si="67"/>
        <v>29</v>
      </c>
      <c r="Y129" s="256">
        <f t="shared" si="59"/>
        <v>10.119999999999999</v>
      </c>
      <c r="Z129" s="256">
        <f t="shared" si="55"/>
        <v>17.5</v>
      </c>
      <c r="AA129" s="256">
        <f t="shared" si="60"/>
        <v>24.95</v>
      </c>
      <c r="AB129" s="256">
        <f t="shared" si="56"/>
        <v>230.68</v>
      </c>
      <c r="AC129" s="189">
        <f t="shared" si="47"/>
        <v>953.12000000000012</v>
      </c>
      <c r="AD129" s="259">
        <f t="shared" si="48"/>
        <v>5903.8330400000004</v>
      </c>
    </row>
    <row r="130" spans="1:30" s="160" customFormat="1">
      <c r="A130" s="250">
        <v>125</v>
      </c>
      <c r="B130" s="251" t="s">
        <v>425</v>
      </c>
      <c r="C130" s="252">
        <v>1</v>
      </c>
      <c r="D130" s="253">
        <v>2751.84</v>
      </c>
      <c r="E130" s="254">
        <f t="shared" si="45"/>
        <v>2751.84</v>
      </c>
      <c r="F130" s="255">
        <f t="shared" si="49"/>
        <v>966.96600000000024</v>
      </c>
      <c r="G130" s="256">
        <f t="shared" si="50"/>
        <v>35.162400000000005</v>
      </c>
      <c r="H130" s="256">
        <f t="shared" si="51"/>
        <v>281.29920000000004</v>
      </c>
      <c r="I130" s="256">
        <f t="shared" si="57"/>
        <v>112.51968000000002</v>
      </c>
      <c r="J130" s="256">
        <f t="shared" si="58"/>
        <v>229.32000000000002</v>
      </c>
      <c r="K130" s="256">
        <f t="shared" si="52"/>
        <v>229.32000000000002</v>
      </c>
      <c r="L130" s="256">
        <f t="shared" si="53"/>
        <v>76.440000000000012</v>
      </c>
      <c r="M130" s="256">
        <f t="shared" si="54"/>
        <v>229.32000000000002</v>
      </c>
      <c r="N130" s="255">
        <v>0</v>
      </c>
      <c r="O130" s="256">
        <v>0</v>
      </c>
      <c r="P130" s="256">
        <f t="shared" si="83"/>
        <v>32.104800000000004</v>
      </c>
      <c r="Q130" s="256">
        <f t="shared" si="84"/>
        <v>6.4209600000000009</v>
      </c>
      <c r="R130" s="256">
        <v>0</v>
      </c>
      <c r="S130" s="257">
        <v>0</v>
      </c>
      <c r="T130" s="256">
        <v>0</v>
      </c>
      <c r="U130" s="258">
        <f t="shared" si="46"/>
        <v>2198.8730400000004</v>
      </c>
      <c r="V130" s="256">
        <f t="shared" si="85"/>
        <v>111.67</v>
      </c>
      <c r="W130" s="256">
        <v>529.20000000000005</v>
      </c>
      <c r="X130" s="256">
        <f t="shared" si="67"/>
        <v>29</v>
      </c>
      <c r="Y130" s="256">
        <f t="shared" si="59"/>
        <v>10.119999999999999</v>
      </c>
      <c r="Z130" s="256">
        <f t="shared" si="55"/>
        <v>17.5</v>
      </c>
      <c r="AA130" s="256">
        <f t="shared" si="60"/>
        <v>24.95</v>
      </c>
      <c r="AB130" s="256">
        <f t="shared" si="56"/>
        <v>230.68</v>
      </c>
      <c r="AC130" s="189">
        <f t="shared" si="47"/>
        <v>953.12000000000012</v>
      </c>
      <c r="AD130" s="259">
        <f t="shared" si="48"/>
        <v>5903.8330400000004</v>
      </c>
    </row>
    <row r="131" spans="1:30" s="160" customFormat="1">
      <c r="A131" s="250">
        <v>126</v>
      </c>
      <c r="B131" s="251" t="s">
        <v>426</v>
      </c>
      <c r="C131" s="252">
        <v>1</v>
      </c>
      <c r="D131" s="253">
        <v>2751.84</v>
      </c>
      <c r="E131" s="254">
        <f t="shared" si="45"/>
        <v>2751.84</v>
      </c>
      <c r="F131" s="255">
        <f t="shared" si="49"/>
        <v>966.96600000000024</v>
      </c>
      <c r="G131" s="256">
        <f t="shared" si="50"/>
        <v>35.162400000000005</v>
      </c>
      <c r="H131" s="256">
        <f t="shared" si="51"/>
        <v>281.29920000000004</v>
      </c>
      <c r="I131" s="256">
        <f t="shared" si="57"/>
        <v>112.51968000000002</v>
      </c>
      <c r="J131" s="256">
        <f t="shared" si="58"/>
        <v>229.32000000000002</v>
      </c>
      <c r="K131" s="256">
        <f t="shared" si="52"/>
        <v>229.32000000000002</v>
      </c>
      <c r="L131" s="256">
        <f t="shared" si="53"/>
        <v>76.440000000000012</v>
      </c>
      <c r="M131" s="256">
        <f t="shared" si="54"/>
        <v>229.32000000000002</v>
      </c>
      <c r="N131" s="255">
        <v>0</v>
      </c>
      <c r="O131" s="256">
        <v>0</v>
      </c>
      <c r="P131" s="256">
        <f t="shared" si="83"/>
        <v>32.104800000000004</v>
      </c>
      <c r="Q131" s="256">
        <f t="shared" si="84"/>
        <v>6.4209600000000009</v>
      </c>
      <c r="R131" s="256">
        <v>0</v>
      </c>
      <c r="S131" s="257">
        <v>0</v>
      </c>
      <c r="T131" s="256">
        <v>0</v>
      </c>
      <c r="U131" s="258">
        <f t="shared" si="46"/>
        <v>2198.8730400000004</v>
      </c>
      <c r="V131" s="256">
        <f t="shared" si="85"/>
        <v>111.67</v>
      </c>
      <c r="W131" s="256">
        <v>529.20000000000005</v>
      </c>
      <c r="X131" s="256">
        <f t="shared" si="67"/>
        <v>29</v>
      </c>
      <c r="Y131" s="256">
        <f t="shared" si="59"/>
        <v>10.119999999999999</v>
      </c>
      <c r="Z131" s="256">
        <f t="shared" si="55"/>
        <v>17.5</v>
      </c>
      <c r="AA131" s="256">
        <f t="shared" si="60"/>
        <v>24.95</v>
      </c>
      <c r="AB131" s="256">
        <f t="shared" si="56"/>
        <v>230.68</v>
      </c>
      <c r="AC131" s="189">
        <f t="shared" si="47"/>
        <v>953.12000000000012</v>
      </c>
      <c r="AD131" s="259">
        <f t="shared" si="48"/>
        <v>5903.8330400000004</v>
      </c>
    </row>
    <row r="132" spans="1:30" s="160" customFormat="1">
      <c r="A132" s="250">
        <v>127</v>
      </c>
      <c r="B132" s="251" t="s">
        <v>427</v>
      </c>
      <c r="C132" s="252">
        <v>1</v>
      </c>
      <c r="D132" s="253">
        <v>2751.84</v>
      </c>
      <c r="E132" s="254">
        <f t="shared" si="45"/>
        <v>2751.84</v>
      </c>
      <c r="F132" s="255">
        <f t="shared" si="49"/>
        <v>966.96600000000024</v>
      </c>
      <c r="G132" s="256">
        <f t="shared" si="50"/>
        <v>35.162400000000005</v>
      </c>
      <c r="H132" s="256">
        <f t="shared" si="51"/>
        <v>281.29920000000004</v>
      </c>
      <c r="I132" s="256">
        <f t="shared" si="57"/>
        <v>112.51968000000002</v>
      </c>
      <c r="J132" s="256">
        <f t="shared" si="58"/>
        <v>229.32000000000002</v>
      </c>
      <c r="K132" s="256">
        <f t="shared" si="52"/>
        <v>229.32000000000002</v>
      </c>
      <c r="L132" s="256">
        <f t="shared" si="53"/>
        <v>76.440000000000012</v>
      </c>
      <c r="M132" s="256">
        <f t="shared" si="54"/>
        <v>229.32000000000002</v>
      </c>
      <c r="N132" s="255">
        <v>0</v>
      </c>
      <c r="O132" s="256">
        <v>0</v>
      </c>
      <c r="P132" s="256">
        <f t="shared" si="83"/>
        <v>32.104800000000004</v>
      </c>
      <c r="Q132" s="256">
        <f t="shared" si="84"/>
        <v>6.4209600000000009</v>
      </c>
      <c r="R132" s="256">
        <v>0</v>
      </c>
      <c r="S132" s="257">
        <v>0</v>
      </c>
      <c r="T132" s="256">
        <v>0</v>
      </c>
      <c r="U132" s="258">
        <f t="shared" si="46"/>
        <v>2198.8730400000004</v>
      </c>
      <c r="V132" s="256">
        <f t="shared" si="85"/>
        <v>111.67</v>
      </c>
      <c r="W132" s="256">
        <v>529.20000000000005</v>
      </c>
      <c r="X132" s="256">
        <f t="shared" si="67"/>
        <v>29</v>
      </c>
      <c r="Y132" s="256">
        <f t="shared" si="59"/>
        <v>10.119999999999999</v>
      </c>
      <c r="Z132" s="256">
        <f t="shared" si="55"/>
        <v>17.5</v>
      </c>
      <c r="AA132" s="256">
        <f t="shared" si="60"/>
        <v>24.95</v>
      </c>
      <c r="AB132" s="256">
        <f t="shared" si="56"/>
        <v>230.68</v>
      </c>
      <c r="AC132" s="189">
        <f t="shared" si="47"/>
        <v>953.12000000000012</v>
      </c>
      <c r="AD132" s="259">
        <f t="shared" si="48"/>
        <v>5903.8330400000004</v>
      </c>
    </row>
    <row r="133" spans="1:30" s="160" customFormat="1">
      <c r="A133" s="250">
        <v>128</v>
      </c>
      <c r="B133" s="251" t="s">
        <v>428</v>
      </c>
      <c r="C133" s="252">
        <v>1</v>
      </c>
      <c r="D133" s="253">
        <v>1852.2</v>
      </c>
      <c r="E133" s="254">
        <f t="shared" si="45"/>
        <v>1852.2</v>
      </c>
      <c r="F133" s="255">
        <f t="shared" si="49"/>
        <v>650.84249999999997</v>
      </c>
      <c r="G133" s="256">
        <f t="shared" si="50"/>
        <v>23.666999999999998</v>
      </c>
      <c r="H133" s="256">
        <f t="shared" si="51"/>
        <v>189.33599999999998</v>
      </c>
      <c r="I133" s="256">
        <f t="shared" si="57"/>
        <v>75.734399999999994</v>
      </c>
      <c r="J133" s="256">
        <f t="shared" si="58"/>
        <v>154.35</v>
      </c>
      <c r="K133" s="256">
        <f t="shared" si="52"/>
        <v>154.35</v>
      </c>
      <c r="L133" s="256">
        <f t="shared" si="53"/>
        <v>51.449999999999996</v>
      </c>
      <c r="M133" s="256">
        <f t="shared" si="54"/>
        <v>154.35</v>
      </c>
      <c r="N133" s="255">
        <v>0</v>
      </c>
      <c r="O133" s="256">
        <v>0</v>
      </c>
      <c r="P133" s="256">
        <f t="shared" si="83"/>
        <v>21.609000000000002</v>
      </c>
      <c r="Q133" s="256">
        <f t="shared" si="84"/>
        <v>4.3217999999999996</v>
      </c>
      <c r="R133" s="256">
        <v>0</v>
      </c>
      <c r="S133" s="257">
        <v>0</v>
      </c>
      <c r="T133" s="256">
        <v>0</v>
      </c>
      <c r="U133" s="258">
        <f t="shared" si="46"/>
        <v>1480.0106999999996</v>
      </c>
      <c r="V133" s="256">
        <f t="shared" si="85"/>
        <v>111.67</v>
      </c>
      <c r="W133" s="256">
        <v>529.20000000000005</v>
      </c>
      <c r="X133" s="256">
        <f t="shared" si="67"/>
        <v>29</v>
      </c>
      <c r="Y133" s="256">
        <f t="shared" si="59"/>
        <v>10.119999999999999</v>
      </c>
      <c r="Z133" s="256">
        <f t="shared" si="55"/>
        <v>17.5</v>
      </c>
      <c r="AA133" s="256">
        <f t="shared" si="60"/>
        <v>24.95</v>
      </c>
      <c r="AB133" s="256">
        <f t="shared" si="56"/>
        <v>230.68</v>
      </c>
      <c r="AC133" s="189">
        <f t="shared" si="47"/>
        <v>953.12000000000012</v>
      </c>
      <c r="AD133" s="259">
        <f t="shared" si="48"/>
        <v>4285.3306999999995</v>
      </c>
    </row>
    <row r="134" spans="1:30" s="160" customFormat="1">
      <c r="A134" s="250">
        <v>129</v>
      </c>
      <c r="B134" s="251" t="s">
        <v>429</v>
      </c>
      <c r="C134" s="252">
        <v>1</v>
      </c>
      <c r="D134" s="253">
        <v>1737.89</v>
      </c>
      <c r="E134" s="254">
        <f t="shared" ref="E134:E197" si="86">C134*D134</f>
        <v>1737.89</v>
      </c>
      <c r="F134" s="255">
        <f t="shared" si="49"/>
        <v>610.6752361111113</v>
      </c>
      <c r="G134" s="256">
        <f t="shared" si="50"/>
        <v>22.206372222222225</v>
      </c>
      <c r="H134" s="256">
        <f t="shared" si="51"/>
        <v>177.6509777777778</v>
      </c>
      <c r="I134" s="256">
        <f t="shared" si="57"/>
        <v>71.060391111111116</v>
      </c>
      <c r="J134" s="256">
        <f t="shared" si="58"/>
        <v>144.82416666666668</v>
      </c>
      <c r="K134" s="256">
        <f t="shared" si="52"/>
        <v>144.82416666666668</v>
      </c>
      <c r="L134" s="256">
        <f t="shared" si="53"/>
        <v>48.274722222222231</v>
      </c>
      <c r="M134" s="256">
        <f t="shared" si="54"/>
        <v>144.82416666666668</v>
      </c>
      <c r="N134" s="255">
        <v>0</v>
      </c>
      <c r="O134" s="256">
        <v>0</v>
      </c>
      <c r="P134" s="256">
        <f t="shared" si="83"/>
        <v>20.275383333333334</v>
      </c>
      <c r="Q134" s="256">
        <f t="shared" si="84"/>
        <v>4.0550766666666664</v>
      </c>
      <c r="R134" s="256">
        <v>0</v>
      </c>
      <c r="S134" s="257">
        <v>0</v>
      </c>
      <c r="T134" s="256">
        <v>0</v>
      </c>
      <c r="U134" s="258">
        <f t="shared" ref="U134:U197" si="87">SUM(F134:T134)</f>
        <v>1388.6706594444449</v>
      </c>
      <c r="V134" s="256">
        <f t="shared" si="85"/>
        <v>111.67</v>
      </c>
      <c r="W134" s="256">
        <v>529.20000000000005</v>
      </c>
      <c r="X134" s="256">
        <f t="shared" si="67"/>
        <v>29</v>
      </c>
      <c r="Y134" s="256">
        <f t="shared" si="59"/>
        <v>10.119999999999999</v>
      </c>
      <c r="Z134" s="256">
        <f t="shared" si="55"/>
        <v>17.5</v>
      </c>
      <c r="AA134" s="256">
        <f t="shared" si="60"/>
        <v>24.95</v>
      </c>
      <c r="AB134" s="256">
        <f t="shared" si="56"/>
        <v>230.68</v>
      </c>
      <c r="AC134" s="189">
        <f t="shared" ref="AC134:AC197" si="88">SUM(V134:AB134)</f>
        <v>953.12000000000012</v>
      </c>
      <c r="AD134" s="259">
        <f t="shared" ref="AD134:AD197" si="89">E134+U134+AC134</f>
        <v>4079.6806594444452</v>
      </c>
    </row>
    <row r="135" spans="1:30" s="160" customFormat="1">
      <c r="A135" s="250">
        <v>130</v>
      </c>
      <c r="B135" s="251" t="s">
        <v>430</v>
      </c>
      <c r="C135" s="252">
        <v>1</v>
      </c>
      <c r="D135" s="253">
        <v>1465.88</v>
      </c>
      <c r="E135" s="254">
        <f t="shared" si="86"/>
        <v>1465.88</v>
      </c>
      <c r="F135" s="255">
        <f t="shared" ref="F135:F198" si="90">(E135+J135+L135+K135+M135+S135)*27.5%</f>
        <v>515.09394444444456</v>
      </c>
      <c r="G135" s="256">
        <f t="shared" ref="G135:G198" si="91">(E135+J135+L135+K135+M135+S135)*1%</f>
        <v>18.730688888888892</v>
      </c>
      <c r="H135" s="256">
        <f t="shared" ref="H135:H198" si="92">(E135+J135+L135+K135+M135+S135)*8%</f>
        <v>149.84551111111114</v>
      </c>
      <c r="I135" s="256">
        <f t="shared" si="57"/>
        <v>59.938204444444459</v>
      </c>
      <c r="J135" s="256">
        <f t="shared" si="58"/>
        <v>122.15666666666668</v>
      </c>
      <c r="K135" s="256">
        <f t="shared" ref="K135:K198" si="93">(E135+N135+O135+R135+S135+T135)/12</f>
        <v>122.15666666666668</v>
      </c>
      <c r="L135" s="256">
        <f t="shared" ref="L135:L198" si="94">(E135+R135)/3/12</f>
        <v>40.718888888888891</v>
      </c>
      <c r="M135" s="256">
        <f t="shared" ref="M135:M198" si="95">(E135+S135)/12</f>
        <v>122.15666666666668</v>
      </c>
      <c r="N135" s="255">
        <v>0</v>
      </c>
      <c r="O135" s="256">
        <v>0</v>
      </c>
      <c r="P135" s="256">
        <f t="shared" si="83"/>
        <v>17.101933333333335</v>
      </c>
      <c r="Q135" s="256">
        <f t="shared" si="84"/>
        <v>3.4203866666666674</v>
      </c>
      <c r="R135" s="256">
        <v>0</v>
      </c>
      <c r="S135" s="257">
        <v>0</v>
      </c>
      <c r="T135" s="256">
        <v>0</v>
      </c>
      <c r="U135" s="258">
        <f t="shared" si="87"/>
        <v>1171.3195577777778</v>
      </c>
      <c r="V135" s="256">
        <f t="shared" si="85"/>
        <v>111.67</v>
      </c>
      <c r="W135" s="256">
        <v>529.20000000000005</v>
      </c>
      <c r="X135" s="256">
        <f t="shared" si="67"/>
        <v>29</v>
      </c>
      <c r="Y135" s="256">
        <f t="shared" si="59"/>
        <v>10.119999999999999</v>
      </c>
      <c r="Z135" s="256">
        <f t="shared" ref="Z135:Z185" si="96">C135*17.5</f>
        <v>17.5</v>
      </c>
      <c r="AA135" s="256">
        <f t="shared" si="60"/>
        <v>24.95</v>
      </c>
      <c r="AB135" s="256">
        <f t="shared" ref="AB135:AB185" si="97">C135*(211.68+19)</f>
        <v>230.68</v>
      </c>
      <c r="AC135" s="189">
        <f t="shared" si="88"/>
        <v>953.12000000000012</v>
      </c>
      <c r="AD135" s="259">
        <f t="shared" si="89"/>
        <v>3590.3195577777778</v>
      </c>
    </row>
    <row r="136" spans="1:30" s="160" customFormat="1">
      <c r="A136" s="250">
        <v>131</v>
      </c>
      <c r="B136" s="251" t="s">
        <v>431</v>
      </c>
      <c r="C136" s="252">
        <v>1</v>
      </c>
      <c r="D136" s="253">
        <v>1537.21</v>
      </c>
      <c r="E136" s="254">
        <f t="shared" si="86"/>
        <v>1537.21</v>
      </c>
      <c r="F136" s="255">
        <f t="shared" si="90"/>
        <v>540.15851388888905</v>
      </c>
      <c r="G136" s="256">
        <f t="shared" si="91"/>
        <v>19.64212777777778</v>
      </c>
      <c r="H136" s="256">
        <f t="shared" si="92"/>
        <v>157.13702222222224</v>
      </c>
      <c r="I136" s="256">
        <f t="shared" ref="I136:I199" si="98">H136*40%</f>
        <v>62.854808888888897</v>
      </c>
      <c r="J136" s="256">
        <f t="shared" ref="J136:J199" si="99">(E136+N136+O136+R136+S136+T136)/12</f>
        <v>128.10083333333333</v>
      </c>
      <c r="K136" s="256">
        <f t="shared" si="93"/>
        <v>128.10083333333333</v>
      </c>
      <c r="L136" s="256">
        <f t="shared" si="94"/>
        <v>42.700277777777778</v>
      </c>
      <c r="M136" s="256">
        <f t="shared" si="95"/>
        <v>128.10083333333333</v>
      </c>
      <c r="N136" s="255">
        <v>0</v>
      </c>
      <c r="O136" s="256">
        <v>0</v>
      </c>
      <c r="P136" s="256">
        <f t="shared" si="83"/>
        <v>17.934116666666668</v>
      </c>
      <c r="Q136" s="256">
        <f t="shared" si="84"/>
        <v>3.5868233333333337</v>
      </c>
      <c r="R136" s="256">
        <v>0</v>
      </c>
      <c r="S136" s="257">
        <v>0</v>
      </c>
      <c r="T136" s="256">
        <v>0</v>
      </c>
      <c r="U136" s="258">
        <f t="shared" si="87"/>
        <v>1228.3161905555557</v>
      </c>
      <c r="V136" s="256">
        <f t="shared" si="85"/>
        <v>111.67</v>
      </c>
      <c r="W136" s="256">
        <v>529.20000000000005</v>
      </c>
      <c r="X136" s="256">
        <f t="shared" si="67"/>
        <v>29</v>
      </c>
      <c r="Y136" s="256">
        <f t="shared" ref="Y136:Y185" si="100">C136*10.12</f>
        <v>10.119999999999999</v>
      </c>
      <c r="Z136" s="256">
        <f t="shared" si="96"/>
        <v>17.5</v>
      </c>
      <c r="AA136" s="256">
        <f t="shared" ref="AA136:AA185" si="101">C136*24.95</f>
        <v>24.95</v>
      </c>
      <c r="AB136" s="256">
        <f t="shared" si="97"/>
        <v>230.68</v>
      </c>
      <c r="AC136" s="189">
        <f t="shared" si="88"/>
        <v>953.12000000000012</v>
      </c>
      <c r="AD136" s="259">
        <f t="shared" si="89"/>
        <v>3718.6461905555561</v>
      </c>
    </row>
    <row r="137" spans="1:30" s="160" customFormat="1">
      <c r="A137" s="250">
        <v>132</v>
      </c>
      <c r="B137" s="251" t="s">
        <v>435</v>
      </c>
      <c r="C137" s="252">
        <v>2</v>
      </c>
      <c r="D137" s="253">
        <v>2010.96</v>
      </c>
      <c r="E137" s="254">
        <f t="shared" si="86"/>
        <v>4021.92</v>
      </c>
      <c r="F137" s="255">
        <f t="shared" si="90"/>
        <v>1632.0057600000002</v>
      </c>
      <c r="G137" s="256">
        <f t="shared" si="91"/>
        <v>59.345664000000006</v>
      </c>
      <c r="H137" s="256">
        <f t="shared" si="92"/>
        <v>474.76531200000005</v>
      </c>
      <c r="I137" s="256">
        <f t="shared" si="98"/>
        <v>189.90612480000004</v>
      </c>
      <c r="J137" s="256">
        <f t="shared" si="99"/>
        <v>498.27119999999996</v>
      </c>
      <c r="K137" s="256">
        <f t="shared" si="93"/>
        <v>498.27119999999996</v>
      </c>
      <c r="L137" s="256">
        <f t="shared" si="94"/>
        <v>145.23600000000002</v>
      </c>
      <c r="M137" s="256">
        <f t="shared" si="95"/>
        <v>368.67599999999999</v>
      </c>
      <c r="N137" s="255">
        <v>0</v>
      </c>
      <c r="O137" s="256">
        <v>0</v>
      </c>
      <c r="P137" s="256">
        <f>(R137+E137)/210*1.75*1.2</f>
        <v>52.284959999999998</v>
      </c>
      <c r="Q137" s="256">
        <f>P137/6</f>
        <v>8.7141599999999997</v>
      </c>
      <c r="R137" s="256">
        <f>E137*30%</f>
        <v>1206.576</v>
      </c>
      <c r="S137" s="257">
        <f>(D137*10%)*C137</f>
        <v>402.19200000000001</v>
      </c>
      <c r="T137" s="256">
        <f>(E137+R137+N137+O137)/30*2</f>
        <v>348.56639999999999</v>
      </c>
      <c r="U137" s="258">
        <f t="shared" si="87"/>
        <v>5884.8107808000004</v>
      </c>
      <c r="V137" s="256">
        <f>C137*76.14</f>
        <v>152.28</v>
      </c>
      <c r="W137" s="256">
        <f>C137*529.2</f>
        <v>1058.4000000000001</v>
      </c>
      <c r="X137" s="256">
        <f t="shared" si="67"/>
        <v>58</v>
      </c>
      <c r="Y137" s="256">
        <f t="shared" si="100"/>
        <v>20.239999999999998</v>
      </c>
      <c r="Z137" s="256">
        <f t="shared" si="96"/>
        <v>35</v>
      </c>
      <c r="AA137" s="256">
        <f t="shared" si="101"/>
        <v>49.9</v>
      </c>
      <c r="AB137" s="256">
        <f t="shared" si="97"/>
        <v>461.36</v>
      </c>
      <c r="AC137" s="189">
        <f t="shared" si="88"/>
        <v>1835.1800000000003</v>
      </c>
      <c r="AD137" s="259">
        <f t="shared" si="89"/>
        <v>11741.910780800001</v>
      </c>
    </row>
    <row r="138" spans="1:30" s="160" customFormat="1">
      <c r="A138" s="250">
        <v>133</v>
      </c>
      <c r="B138" s="251" t="s">
        <v>432</v>
      </c>
      <c r="C138" s="252">
        <v>12</v>
      </c>
      <c r="D138" s="253">
        <v>2010.96</v>
      </c>
      <c r="E138" s="254">
        <f t="shared" si="86"/>
        <v>24131.52</v>
      </c>
      <c r="F138" s="255">
        <f t="shared" si="90"/>
        <v>8962.5135600000012</v>
      </c>
      <c r="G138" s="256">
        <f t="shared" si="91"/>
        <v>325.90958400000005</v>
      </c>
      <c r="H138" s="256">
        <f t="shared" si="92"/>
        <v>2607.2766720000004</v>
      </c>
      <c r="I138" s="256">
        <f t="shared" si="98"/>
        <v>1042.9106688000002</v>
      </c>
      <c r="J138" s="256">
        <f t="shared" si="99"/>
        <v>2788.5311999999999</v>
      </c>
      <c r="K138" s="256">
        <f t="shared" si="93"/>
        <v>2788.5311999999999</v>
      </c>
      <c r="L138" s="256">
        <f t="shared" si="94"/>
        <v>871.41600000000005</v>
      </c>
      <c r="M138" s="256">
        <f t="shared" si="95"/>
        <v>2010.96</v>
      </c>
      <c r="N138" s="255">
        <v>0</v>
      </c>
      <c r="O138" s="256">
        <v>0</v>
      </c>
      <c r="P138" s="256">
        <f>(R138+E138)/210*1.75*1.2</f>
        <v>313.70976000000002</v>
      </c>
      <c r="Q138" s="256">
        <f>P138/6</f>
        <v>52.284960000000005</v>
      </c>
      <c r="R138" s="256">
        <f>E138*30%</f>
        <v>7239.4560000000001</v>
      </c>
      <c r="S138" s="257"/>
      <c r="T138" s="256">
        <f t="shared" ref="T138:T140" si="102">(E138+R138+N138+O138)/30*2</f>
        <v>2091.3984</v>
      </c>
      <c r="U138" s="258">
        <f t="shared" si="87"/>
        <v>31094.898004800001</v>
      </c>
      <c r="V138" s="256">
        <f t="shared" ref="V138:V140" si="103">C138*76.14</f>
        <v>913.68000000000006</v>
      </c>
      <c r="W138" s="256">
        <f>C138*529.2</f>
        <v>6350.4000000000005</v>
      </c>
      <c r="X138" s="256">
        <f t="shared" si="67"/>
        <v>348</v>
      </c>
      <c r="Y138" s="256">
        <f t="shared" si="100"/>
        <v>121.44</v>
      </c>
      <c r="Z138" s="256">
        <f t="shared" si="96"/>
        <v>210</v>
      </c>
      <c r="AA138" s="256">
        <f t="shared" si="101"/>
        <v>299.39999999999998</v>
      </c>
      <c r="AB138" s="256">
        <f t="shared" si="97"/>
        <v>2768.16</v>
      </c>
      <c r="AC138" s="189">
        <f t="shared" si="88"/>
        <v>11011.08</v>
      </c>
      <c r="AD138" s="259">
        <f t="shared" si="89"/>
        <v>66237.4980048</v>
      </c>
    </row>
    <row r="139" spans="1:30" s="160" customFormat="1">
      <c r="A139" s="250">
        <v>134</v>
      </c>
      <c r="B139" s="251" t="s">
        <v>433</v>
      </c>
      <c r="C139" s="252">
        <v>2</v>
      </c>
      <c r="D139" s="253">
        <v>2010.96</v>
      </c>
      <c r="E139" s="254">
        <f t="shared" si="86"/>
        <v>4021.92</v>
      </c>
      <c r="F139" s="255">
        <f t="shared" si="90"/>
        <v>1677.4484906666671</v>
      </c>
      <c r="G139" s="256">
        <f t="shared" si="91"/>
        <v>60.998126933333346</v>
      </c>
      <c r="H139" s="256">
        <f t="shared" si="92"/>
        <v>487.98501546666677</v>
      </c>
      <c r="I139" s="256">
        <f t="shared" si="98"/>
        <v>195.19400618666671</v>
      </c>
      <c r="J139" s="256">
        <f t="shared" si="99"/>
        <v>580.89434666666671</v>
      </c>
      <c r="K139" s="256">
        <f t="shared" si="93"/>
        <v>580.89434666666671</v>
      </c>
      <c r="L139" s="256">
        <f t="shared" si="94"/>
        <v>145.23600000000002</v>
      </c>
      <c r="M139" s="256">
        <f t="shared" si="95"/>
        <v>368.67599999999999</v>
      </c>
      <c r="N139" s="255">
        <f>(R139+E139)/210*20%*160</f>
        <v>796.72320000000013</v>
      </c>
      <c r="O139" s="256">
        <f>N139/6</f>
        <v>132.78720000000001</v>
      </c>
      <c r="P139" s="256">
        <f>(R139+E139)/210*1.75*1.2</f>
        <v>52.284959999999998</v>
      </c>
      <c r="Q139" s="256">
        <f>P139/6</f>
        <v>8.7141599999999997</v>
      </c>
      <c r="R139" s="256">
        <f>E139*30%</f>
        <v>1206.576</v>
      </c>
      <c r="S139" s="257">
        <f t="shared" ref="S139" si="104">(D139*10%)*C139</f>
        <v>402.19200000000001</v>
      </c>
      <c r="T139" s="256">
        <f t="shared" si="102"/>
        <v>410.53376000000003</v>
      </c>
      <c r="U139" s="258">
        <f t="shared" si="87"/>
        <v>7107.1376125866691</v>
      </c>
      <c r="V139" s="256">
        <f t="shared" si="103"/>
        <v>152.28</v>
      </c>
      <c r="W139" s="256">
        <f>C139*529.2</f>
        <v>1058.4000000000001</v>
      </c>
      <c r="X139" s="256">
        <f t="shared" si="67"/>
        <v>58</v>
      </c>
      <c r="Y139" s="256">
        <f t="shared" si="100"/>
        <v>20.239999999999998</v>
      </c>
      <c r="Z139" s="256">
        <f t="shared" si="96"/>
        <v>35</v>
      </c>
      <c r="AA139" s="256">
        <f t="shared" si="101"/>
        <v>49.9</v>
      </c>
      <c r="AB139" s="256">
        <f t="shared" si="97"/>
        <v>461.36</v>
      </c>
      <c r="AC139" s="189">
        <f t="shared" si="88"/>
        <v>1835.1800000000003</v>
      </c>
      <c r="AD139" s="259">
        <f t="shared" si="89"/>
        <v>12964.237612586669</v>
      </c>
    </row>
    <row r="140" spans="1:30" s="160" customFormat="1">
      <c r="A140" s="250">
        <v>135</v>
      </c>
      <c r="B140" s="251" t="s">
        <v>434</v>
      </c>
      <c r="C140" s="252">
        <v>6</v>
      </c>
      <c r="D140" s="253">
        <v>2010.96</v>
      </c>
      <c r="E140" s="254">
        <f t="shared" si="86"/>
        <v>12065.76</v>
      </c>
      <c r="F140" s="255">
        <f t="shared" si="90"/>
        <v>4617.5849719999997</v>
      </c>
      <c r="G140" s="256">
        <f t="shared" si="91"/>
        <v>167.91218079999999</v>
      </c>
      <c r="H140" s="256">
        <f t="shared" si="92"/>
        <v>1343.2974463999999</v>
      </c>
      <c r="I140" s="256">
        <f t="shared" si="98"/>
        <v>537.31897856000001</v>
      </c>
      <c r="J140" s="256">
        <f t="shared" si="99"/>
        <v>1642.1350399999999</v>
      </c>
      <c r="K140" s="256">
        <f t="shared" si="93"/>
        <v>1642.1350399999999</v>
      </c>
      <c r="L140" s="256">
        <f t="shared" si="94"/>
        <v>435.70800000000003</v>
      </c>
      <c r="M140" s="256">
        <f t="shared" si="95"/>
        <v>1005.48</v>
      </c>
      <c r="N140" s="255">
        <f>(R140+E140)/210*20%*160</f>
        <v>2390.1696000000002</v>
      </c>
      <c r="O140" s="256">
        <f>N140/6</f>
        <v>398.36160000000001</v>
      </c>
      <c r="P140" s="256">
        <f>(R140+E140)/210*1.75*1.2</f>
        <v>156.85488000000001</v>
      </c>
      <c r="Q140" s="256">
        <f>P140/6</f>
        <v>26.142480000000003</v>
      </c>
      <c r="R140" s="256">
        <f>E140*30%</f>
        <v>3619.7280000000001</v>
      </c>
      <c r="S140" s="257">
        <v>0</v>
      </c>
      <c r="T140" s="256">
        <f t="shared" si="102"/>
        <v>1231.6012800000001</v>
      </c>
      <c r="U140" s="258">
        <f t="shared" si="87"/>
        <v>19214.429497759997</v>
      </c>
      <c r="V140" s="256">
        <f t="shared" si="103"/>
        <v>456.84000000000003</v>
      </c>
      <c r="W140" s="256">
        <f>C140*529.2</f>
        <v>3175.2000000000003</v>
      </c>
      <c r="X140" s="256">
        <f t="shared" si="67"/>
        <v>174</v>
      </c>
      <c r="Y140" s="256">
        <f t="shared" si="100"/>
        <v>60.72</v>
      </c>
      <c r="Z140" s="256">
        <f t="shared" si="96"/>
        <v>105</v>
      </c>
      <c r="AA140" s="256">
        <f t="shared" si="101"/>
        <v>149.69999999999999</v>
      </c>
      <c r="AB140" s="256">
        <f t="shared" si="97"/>
        <v>1384.08</v>
      </c>
      <c r="AC140" s="189">
        <f t="shared" si="88"/>
        <v>5505.54</v>
      </c>
      <c r="AD140" s="259">
        <f t="shared" si="89"/>
        <v>36785.729497759996</v>
      </c>
    </row>
    <row r="141" spans="1:30" s="160" customFormat="1">
      <c r="A141" s="250">
        <v>136</v>
      </c>
      <c r="B141" s="251" t="s">
        <v>460</v>
      </c>
      <c r="C141" s="252">
        <v>1</v>
      </c>
      <c r="D141" s="253">
        <v>6879.6</v>
      </c>
      <c r="E141" s="254">
        <f t="shared" si="86"/>
        <v>6879.6</v>
      </c>
      <c r="F141" s="255">
        <f t="shared" si="90"/>
        <v>2417.4150000000004</v>
      </c>
      <c r="G141" s="256">
        <f t="shared" si="91"/>
        <v>87.906000000000006</v>
      </c>
      <c r="H141" s="256">
        <f t="shared" si="92"/>
        <v>703.24800000000005</v>
      </c>
      <c r="I141" s="256">
        <f t="shared" si="98"/>
        <v>281.29920000000004</v>
      </c>
      <c r="J141" s="256">
        <f t="shared" si="99"/>
        <v>573.30000000000007</v>
      </c>
      <c r="K141" s="256">
        <f t="shared" si="93"/>
        <v>573.30000000000007</v>
      </c>
      <c r="L141" s="256">
        <f t="shared" si="94"/>
        <v>191.10000000000002</v>
      </c>
      <c r="M141" s="256">
        <f t="shared" si="95"/>
        <v>573.30000000000007</v>
      </c>
      <c r="N141" s="255">
        <v>0</v>
      </c>
      <c r="O141" s="256">
        <v>0</v>
      </c>
      <c r="P141" s="256">
        <v>0</v>
      </c>
      <c r="Q141" s="256">
        <v>0</v>
      </c>
      <c r="R141" s="256">
        <v>0</v>
      </c>
      <c r="S141" s="257">
        <v>0</v>
      </c>
      <c r="T141" s="256">
        <v>0</v>
      </c>
      <c r="U141" s="258">
        <f t="shared" si="87"/>
        <v>5400.8682000000008</v>
      </c>
      <c r="V141" s="256">
        <v>0</v>
      </c>
      <c r="W141" s="256">
        <v>529.20000000000005</v>
      </c>
      <c r="X141" s="256">
        <f t="shared" si="67"/>
        <v>29</v>
      </c>
      <c r="Y141" s="256">
        <f t="shared" si="100"/>
        <v>10.119999999999999</v>
      </c>
      <c r="Z141" s="256">
        <f t="shared" si="96"/>
        <v>17.5</v>
      </c>
      <c r="AA141" s="256">
        <f t="shared" si="101"/>
        <v>24.95</v>
      </c>
      <c r="AB141" s="256">
        <f t="shared" si="97"/>
        <v>230.68</v>
      </c>
      <c r="AC141" s="189">
        <f t="shared" si="88"/>
        <v>841.45</v>
      </c>
      <c r="AD141" s="259">
        <f t="shared" si="89"/>
        <v>13121.918200000002</v>
      </c>
    </row>
    <row r="142" spans="1:30" s="160" customFormat="1">
      <c r="A142" s="250">
        <v>137</v>
      </c>
      <c r="B142" s="251" t="s">
        <v>422</v>
      </c>
      <c r="C142" s="252">
        <v>1</v>
      </c>
      <c r="D142" s="253">
        <v>3993.98</v>
      </c>
      <c r="E142" s="254">
        <f t="shared" si="86"/>
        <v>3993.98</v>
      </c>
      <c r="F142" s="255">
        <f t="shared" si="90"/>
        <v>1467.5102902777778</v>
      </c>
      <c r="G142" s="256">
        <f t="shared" si="91"/>
        <v>53.364010555555552</v>
      </c>
      <c r="H142" s="256">
        <f t="shared" si="92"/>
        <v>426.91208444444442</v>
      </c>
      <c r="I142" s="256">
        <f t="shared" si="98"/>
        <v>170.76483377777777</v>
      </c>
      <c r="J142" s="256">
        <f t="shared" si="99"/>
        <v>432.68116666666668</v>
      </c>
      <c r="K142" s="256">
        <f t="shared" si="93"/>
        <v>432.68116666666668</v>
      </c>
      <c r="L142" s="256">
        <f t="shared" si="94"/>
        <v>144.22705555555555</v>
      </c>
      <c r="M142" s="256">
        <f t="shared" si="95"/>
        <v>332.83166666666665</v>
      </c>
      <c r="N142" s="255">
        <v>0</v>
      </c>
      <c r="O142" s="256">
        <v>0</v>
      </c>
      <c r="P142" s="256">
        <v>0</v>
      </c>
      <c r="Q142" s="256">
        <v>0</v>
      </c>
      <c r="R142" s="256">
        <f>E142*30%</f>
        <v>1198.194</v>
      </c>
      <c r="S142" s="257">
        <v>0</v>
      </c>
      <c r="T142" s="256">
        <v>0</v>
      </c>
      <c r="U142" s="258">
        <f t="shared" si="87"/>
        <v>4659.1662746111106</v>
      </c>
      <c r="V142" s="256">
        <v>0</v>
      </c>
      <c r="W142" s="256">
        <v>529.20000000000005</v>
      </c>
      <c r="X142" s="256">
        <f t="shared" si="67"/>
        <v>29</v>
      </c>
      <c r="Y142" s="256">
        <f t="shared" si="100"/>
        <v>10.119999999999999</v>
      </c>
      <c r="Z142" s="256">
        <f t="shared" si="96"/>
        <v>17.5</v>
      </c>
      <c r="AA142" s="256">
        <f t="shared" si="101"/>
        <v>24.95</v>
      </c>
      <c r="AB142" s="256">
        <f t="shared" si="97"/>
        <v>230.68</v>
      </c>
      <c r="AC142" s="189">
        <f t="shared" si="88"/>
        <v>841.45</v>
      </c>
      <c r="AD142" s="259">
        <f t="shared" si="89"/>
        <v>9494.5962746111109</v>
      </c>
    </row>
    <row r="143" spans="1:30" s="160" customFormat="1">
      <c r="A143" s="250">
        <v>138</v>
      </c>
      <c r="B143" s="251" t="s">
        <v>423</v>
      </c>
      <c r="C143" s="252">
        <v>1</v>
      </c>
      <c r="D143" s="253">
        <v>2751.84</v>
      </c>
      <c r="E143" s="254">
        <f t="shared" si="86"/>
        <v>2751.84</v>
      </c>
      <c r="F143" s="255">
        <f t="shared" si="90"/>
        <v>966.96600000000024</v>
      </c>
      <c r="G143" s="256">
        <f t="shared" si="91"/>
        <v>35.162400000000005</v>
      </c>
      <c r="H143" s="256">
        <f t="shared" si="92"/>
        <v>281.29920000000004</v>
      </c>
      <c r="I143" s="256">
        <f t="shared" si="98"/>
        <v>112.51968000000002</v>
      </c>
      <c r="J143" s="256">
        <f t="shared" si="99"/>
        <v>229.32000000000002</v>
      </c>
      <c r="K143" s="256">
        <f t="shared" si="93"/>
        <v>229.32000000000002</v>
      </c>
      <c r="L143" s="256">
        <f t="shared" si="94"/>
        <v>76.440000000000012</v>
      </c>
      <c r="M143" s="256">
        <f t="shared" si="95"/>
        <v>229.32000000000002</v>
      </c>
      <c r="N143" s="255">
        <v>0</v>
      </c>
      <c r="O143" s="256">
        <v>0</v>
      </c>
      <c r="P143" s="256">
        <f>E143/150*1.75</f>
        <v>32.104800000000004</v>
      </c>
      <c r="Q143" s="256">
        <f>P143/25*5</f>
        <v>6.4209600000000009</v>
      </c>
      <c r="R143" s="256">
        <v>0</v>
      </c>
      <c r="S143" s="257">
        <v>0</v>
      </c>
      <c r="T143" s="256">
        <v>0</v>
      </c>
      <c r="U143" s="258">
        <f t="shared" si="87"/>
        <v>2198.8730400000004</v>
      </c>
      <c r="V143" s="256">
        <f>C143*111.67</f>
        <v>111.67</v>
      </c>
      <c r="W143" s="256">
        <v>529.20000000000005</v>
      </c>
      <c r="X143" s="256">
        <f t="shared" si="67"/>
        <v>29</v>
      </c>
      <c r="Y143" s="256">
        <f t="shared" si="100"/>
        <v>10.119999999999999</v>
      </c>
      <c r="Z143" s="256">
        <f t="shared" si="96"/>
        <v>17.5</v>
      </c>
      <c r="AA143" s="256">
        <f t="shared" si="101"/>
        <v>24.95</v>
      </c>
      <c r="AB143" s="256">
        <f t="shared" si="97"/>
        <v>230.68</v>
      </c>
      <c r="AC143" s="189">
        <f t="shared" si="88"/>
        <v>953.12000000000012</v>
      </c>
      <c r="AD143" s="259">
        <f t="shared" si="89"/>
        <v>5903.8330400000004</v>
      </c>
    </row>
    <row r="144" spans="1:30" s="160" customFormat="1">
      <c r="A144" s="250">
        <v>139</v>
      </c>
      <c r="B144" s="251" t="s">
        <v>424</v>
      </c>
      <c r="C144" s="252">
        <v>1</v>
      </c>
      <c r="D144" s="253">
        <v>2751.84</v>
      </c>
      <c r="E144" s="254">
        <f t="shared" si="86"/>
        <v>2751.84</v>
      </c>
      <c r="F144" s="255">
        <f t="shared" si="90"/>
        <v>966.96600000000024</v>
      </c>
      <c r="G144" s="256">
        <f t="shared" si="91"/>
        <v>35.162400000000005</v>
      </c>
      <c r="H144" s="256">
        <f t="shared" si="92"/>
        <v>281.29920000000004</v>
      </c>
      <c r="I144" s="256">
        <f t="shared" si="98"/>
        <v>112.51968000000002</v>
      </c>
      <c r="J144" s="256">
        <f t="shared" si="99"/>
        <v>229.32000000000002</v>
      </c>
      <c r="K144" s="256">
        <f t="shared" si="93"/>
        <v>229.32000000000002</v>
      </c>
      <c r="L144" s="256">
        <f t="shared" si="94"/>
        <v>76.440000000000012</v>
      </c>
      <c r="M144" s="256">
        <f t="shared" si="95"/>
        <v>229.32000000000002</v>
      </c>
      <c r="N144" s="255">
        <v>0</v>
      </c>
      <c r="O144" s="256">
        <v>0</v>
      </c>
      <c r="P144" s="256">
        <f t="shared" ref="P144:P151" si="105">E144/150*1.75</f>
        <v>32.104800000000004</v>
      </c>
      <c r="Q144" s="256">
        <f t="shared" ref="Q144:Q151" si="106">P144/25*5</f>
        <v>6.4209600000000009</v>
      </c>
      <c r="R144" s="256">
        <v>0</v>
      </c>
      <c r="S144" s="257">
        <v>0</v>
      </c>
      <c r="T144" s="256">
        <v>0</v>
      </c>
      <c r="U144" s="258">
        <f t="shared" si="87"/>
        <v>2198.8730400000004</v>
      </c>
      <c r="V144" s="256">
        <f t="shared" ref="V144:V151" si="107">C144*111.67</f>
        <v>111.67</v>
      </c>
      <c r="W144" s="256">
        <v>529.20000000000005</v>
      </c>
      <c r="X144" s="256">
        <f t="shared" si="67"/>
        <v>29</v>
      </c>
      <c r="Y144" s="256">
        <f t="shared" si="100"/>
        <v>10.119999999999999</v>
      </c>
      <c r="Z144" s="256">
        <f t="shared" si="96"/>
        <v>17.5</v>
      </c>
      <c r="AA144" s="256">
        <f t="shared" si="101"/>
        <v>24.95</v>
      </c>
      <c r="AB144" s="256">
        <f t="shared" si="97"/>
        <v>230.68</v>
      </c>
      <c r="AC144" s="189">
        <f t="shared" si="88"/>
        <v>953.12000000000012</v>
      </c>
      <c r="AD144" s="259">
        <f t="shared" si="89"/>
        <v>5903.8330400000004</v>
      </c>
    </row>
    <row r="145" spans="1:30" s="160" customFormat="1">
      <c r="A145" s="250">
        <v>140</v>
      </c>
      <c r="B145" s="251" t="s">
        <v>425</v>
      </c>
      <c r="C145" s="252">
        <v>1</v>
      </c>
      <c r="D145" s="253">
        <v>2751.84</v>
      </c>
      <c r="E145" s="254">
        <f t="shared" si="86"/>
        <v>2751.84</v>
      </c>
      <c r="F145" s="255">
        <f t="shared" si="90"/>
        <v>966.96600000000024</v>
      </c>
      <c r="G145" s="256">
        <f t="shared" si="91"/>
        <v>35.162400000000005</v>
      </c>
      <c r="H145" s="256">
        <f t="shared" si="92"/>
        <v>281.29920000000004</v>
      </c>
      <c r="I145" s="256">
        <f t="shared" si="98"/>
        <v>112.51968000000002</v>
      </c>
      <c r="J145" s="256">
        <f t="shared" si="99"/>
        <v>229.32000000000002</v>
      </c>
      <c r="K145" s="256">
        <f t="shared" si="93"/>
        <v>229.32000000000002</v>
      </c>
      <c r="L145" s="256">
        <f t="shared" si="94"/>
        <v>76.440000000000012</v>
      </c>
      <c r="M145" s="256">
        <f t="shared" si="95"/>
        <v>229.32000000000002</v>
      </c>
      <c r="N145" s="255">
        <v>0</v>
      </c>
      <c r="O145" s="256">
        <v>0</v>
      </c>
      <c r="P145" s="256">
        <f t="shared" si="105"/>
        <v>32.104800000000004</v>
      </c>
      <c r="Q145" s="256">
        <f t="shared" si="106"/>
        <v>6.4209600000000009</v>
      </c>
      <c r="R145" s="256">
        <v>0</v>
      </c>
      <c r="S145" s="257">
        <v>0</v>
      </c>
      <c r="T145" s="256">
        <v>0</v>
      </c>
      <c r="U145" s="258">
        <f t="shared" si="87"/>
        <v>2198.8730400000004</v>
      </c>
      <c r="V145" s="256">
        <f t="shared" si="107"/>
        <v>111.67</v>
      </c>
      <c r="W145" s="256">
        <v>529.20000000000005</v>
      </c>
      <c r="X145" s="256">
        <f t="shared" si="67"/>
        <v>29</v>
      </c>
      <c r="Y145" s="256">
        <f t="shared" si="100"/>
        <v>10.119999999999999</v>
      </c>
      <c r="Z145" s="256">
        <f t="shared" si="96"/>
        <v>17.5</v>
      </c>
      <c r="AA145" s="256">
        <f t="shared" si="101"/>
        <v>24.95</v>
      </c>
      <c r="AB145" s="256">
        <f t="shared" si="97"/>
        <v>230.68</v>
      </c>
      <c r="AC145" s="189">
        <f t="shared" si="88"/>
        <v>953.12000000000012</v>
      </c>
      <c r="AD145" s="259">
        <f t="shared" si="89"/>
        <v>5903.8330400000004</v>
      </c>
    </row>
    <row r="146" spans="1:30" s="160" customFormat="1">
      <c r="A146" s="250">
        <v>141</v>
      </c>
      <c r="B146" s="251" t="s">
        <v>426</v>
      </c>
      <c r="C146" s="252">
        <v>1</v>
      </c>
      <c r="D146" s="253">
        <v>2751.84</v>
      </c>
      <c r="E146" s="254">
        <f t="shared" si="86"/>
        <v>2751.84</v>
      </c>
      <c r="F146" s="255">
        <f t="shared" si="90"/>
        <v>966.96600000000024</v>
      </c>
      <c r="G146" s="256">
        <f t="shared" si="91"/>
        <v>35.162400000000005</v>
      </c>
      <c r="H146" s="256">
        <f t="shared" si="92"/>
        <v>281.29920000000004</v>
      </c>
      <c r="I146" s="256">
        <f t="shared" si="98"/>
        <v>112.51968000000002</v>
      </c>
      <c r="J146" s="256">
        <f t="shared" si="99"/>
        <v>229.32000000000002</v>
      </c>
      <c r="K146" s="256">
        <f t="shared" si="93"/>
        <v>229.32000000000002</v>
      </c>
      <c r="L146" s="256">
        <f t="shared" si="94"/>
        <v>76.440000000000012</v>
      </c>
      <c r="M146" s="256">
        <f t="shared" si="95"/>
        <v>229.32000000000002</v>
      </c>
      <c r="N146" s="255">
        <v>0</v>
      </c>
      <c r="O146" s="256">
        <v>0</v>
      </c>
      <c r="P146" s="256">
        <f t="shared" si="105"/>
        <v>32.104800000000004</v>
      </c>
      <c r="Q146" s="256">
        <f t="shared" si="106"/>
        <v>6.4209600000000009</v>
      </c>
      <c r="R146" s="256">
        <v>0</v>
      </c>
      <c r="S146" s="257">
        <v>0</v>
      </c>
      <c r="T146" s="256">
        <v>0</v>
      </c>
      <c r="U146" s="258">
        <f t="shared" si="87"/>
        <v>2198.8730400000004</v>
      </c>
      <c r="V146" s="256">
        <f t="shared" si="107"/>
        <v>111.67</v>
      </c>
      <c r="W146" s="256">
        <v>529.20000000000005</v>
      </c>
      <c r="X146" s="256">
        <f t="shared" si="67"/>
        <v>29</v>
      </c>
      <c r="Y146" s="256">
        <f t="shared" si="100"/>
        <v>10.119999999999999</v>
      </c>
      <c r="Z146" s="256">
        <f t="shared" si="96"/>
        <v>17.5</v>
      </c>
      <c r="AA146" s="256">
        <f t="shared" si="101"/>
        <v>24.95</v>
      </c>
      <c r="AB146" s="256">
        <f t="shared" si="97"/>
        <v>230.68</v>
      </c>
      <c r="AC146" s="189">
        <f t="shared" si="88"/>
        <v>953.12000000000012</v>
      </c>
      <c r="AD146" s="259">
        <f t="shared" si="89"/>
        <v>5903.8330400000004</v>
      </c>
    </row>
    <row r="147" spans="1:30" s="160" customFormat="1">
      <c r="A147" s="250">
        <v>142</v>
      </c>
      <c r="B147" s="251" t="s">
        <v>427</v>
      </c>
      <c r="C147" s="252">
        <v>1</v>
      </c>
      <c r="D147" s="253">
        <v>2751.84</v>
      </c>
      <c r="E147" s="254">
        <f t="shared" si="86"/>
        <v>2751.84</v>
      </c>
      <c r="F147" s="255">
        <f t="shared" si="90"/>
        <v>966.96600000000024</v>
      </c>
      <c r="G147" s="256">
        <f t="shared" si="91"/>
        <v>35.162400000000005</v>
      </c>
      <c r="H147" s="256">
        <f t="shared" si="92"/>
        <v>281.29920000000004</v>
      </c>
      <c r="I147" s="256">
        <f t="shared" si="98"/>
        <v>112.51968000000002</v>
      </c>
      <c r="J147" s="256">
        <f t="shared" si="99"/>
        <v>229.32000000000002</v>
      </c>
      <c r="K147" s="256">
        <f t="shared" si="93"/>
        <v>229.32000000000002</v>
      </c>
      <c r="L147" s="256">
        <f t="shared" si="94"/>
        <v>76.440000000000012</v>
      </c>
      <c r="M147" s="256">
        <f t="shared" si="95"/>
        <v>229.32000000000002</v>
      </c>
      <c r="N147" s="255">
        <v>0</v>
      </c>
      <c r="O147" s="256">
        <v>0</v>
      </c>
      <c r="P147" s="256">
        <f t="shared" si="105"/>
        <v>32.104800000000004</v>
      </c>
      <c r="Q147" s="256">
        <f t="shared" si="106"/>
        <v>6.4209600000000009</v>
      </c>
      <c r="R147" s="256">
        <v>0</v>
      </c>
      <c r="S147" s="257">
        <v>0</v>
      </c>
      <c r="T147" s="256">
        <v>0</v>
      </c>
      <c r="U147" s="258">
        <f t="shared" si="87"/>
        <v>2198.8730400000004</v>
      </c>
      <c r="V147" s="256">
        <f t="shared" si="107"/>
        <v>111.67</v>
      </c>
      <c r="W147" s="256">
        <v>529.20000000000005</v>
      </c>
      <c r="X147" s="256">
        <f t="shared" si="67"/>
        <v>29</v>
      </c>
      <c r="Y147" s="256">
        <f t="shared" si="100"/>
        <v>10.119999999999999</v>
      </c>
      <c r="Z147" s="256">
        <f t="shared" si="96"/>
        <v>17.5</v>
      </c>
      <c r="AA147" s="256">
        <f t="shared" si="101"/>
        <v>24.95</v>
      </c>
      <c r="AB147" s="256">
        <f t="shared" si="97"/>
        <v>230.68</v>
      </c>
      <c r="AC147" s="189">
        <f t="shared" si="88"/>
        <v>953.12000000000012</v>
      </c>
      <c r="AD147" s="259">
        <f t="shared" si="89"/>
        <v>5903.8330400000004</v>
      </c>
    </row>
    <row r="148" spans="1:30" s="160" customFormat="1">
      <c r="A148" s="250">
        <v>143</v>
      </c>
      <c r="B148" s="251" t="s">
        <v>428</v>
      </c>
      <c r="C148" s="252">
        <v>1</v>
      </c>
      <c r="D148" s="253">
        <v>1852.2</v>
      </c>
      <c r="E148" s="254">
        <f t="shared" si="86"/>
        <v>1852.2</v>
      </c>
      <c r="F148" s="255">
        <f t="shared" si="90"/>
        <v>650.84249999999997</v>
      </c>
      <c r="G148" s="256">
        <f t="shared" si="91"/>
        <v>23.666999999999998</v>
      </c>
      <c r="H148" s="256">
        <f t="shared" si="92"/>
        <v>189.33599999999998</v>
      </c>
      <c r="I148" s="256">
        <f t="shared" si="98"/>
        <v>75.734399999999994</v>
      </c>
      <c r="J148" s="256">
        <f t="shared" si="99"/>
        <v>154.35</v>
      </c>
      <c r="K148" s="256">
        <f t="shared" si="93"/>
        <v>154.35</v>
      </c>
      <c r="L148" s="256">
        <f t="shared" si="94"/>
        <v>51.449999999999996</v>
      </c>
      <c r="M148" s="256">
        <f t="shared" si="95"/>
        <v>154.35</v>
      </c>
      <c r="N148" s="255">
        <v>0</v>
      </c>
      <c r="O148" s="256">
        <v>0</v>
      </c>
      <c r="P148" s="256">
        <f t="shared" si="105"/>
        <v>21.609000000000002</v>
      </c>
      <c r="Q148" s="256">
        <f t="shared" si="106"/>
        <v>4.3217999999999996</v>
      </c>
      <c r="R148" s="256">
        <v>0</v>
      </c>
      <c r="S148" s="257">
        <v>0</v>
      </c>
      <c r="T148" s="256">
        <v>0</v>
      </c>
      <c r="U148" s="258">
        <f t="shared" si="87"/>
        <v>1480.0106999999996</v>
      </c>
      <c r="V148" s="256">
        <f t="shared" si="107"/>
        <v>111.67</v>
      </c>
      <c r="W148" s="256">
        <v>529.20000000000005</v>
      </c>
      <c r="X148" s="256">
        <f t="shared" si="67"/>
        <v>29</v>
      </c>
      <c r="Y148" s="256">
        <f t="shared" si="100"/>
        <v>10.119999999999999</v>
      </c>
      <c r="Z148" s="256">
        <f t="shared" si="96"/>
        <v>17.5</v>
      </c>
      <c r="AA148" s="256">
        <f t="shared" si="101"/>
        <v>24.95</v>
      </c>
      <c r="AB148" s="256">
        <f t="shared" si="97"/>
        <v>230.68</v>
      </c>
      <c r="AC148" s="189">
        <f t="shared" si="88"/>
        <v>953.12000000000012</v>
      </c>
      <c r="AD148" s="259">
        <f t="shared" si="89"/>
        <v>4285.3306999999995</v>
      </c>
    </row>
    <row r="149" spans="1:30" s="160" customFormat="1">
      <c r="A149" s="250">
        <v>144</v>
      </c>
      <c r="B149" s="251" t="s">
        <v>429</v>
      </c>
      <c r="C149" s="252">
        <v>1</v>
      </c>
      <c r="D149" s="253">
        <v>1737.89</v>
      </c>
      <c r="E149" s="254">
        <f t="shared" si="86"/>
        <v>1737.89</v>
      </c>
      <c r="F149" s="255">
        <f t="shared" si="90"/>
        <v>610.6752361111113</v>
      </c>
      <c r="G149" s="256">
        <f t="shared" si="91"/>
        <v>22.206372222222225</v>
      </c>
      <c r="H149" s="256">
        <f t="shared" si="92"/>
        <v>177.6509777777778</v>
      </c>
      <c r="I149" s="256">
        <f t="shared" si="98"/>
        <v>71.060391111111116</v>
      </c>
      <c r="J149" s="256">
        <f t="shared" si="99"/>
        <v>144.82416666666668</v>
      </c>
      <c r="K149" s="256">
        <f t="shared" si="93"/>
        <v>144.82416666666668</v>
      </c>
      <c r="L149" s="256">
        <f t="shared" si="94"/>
        <v>48.274722222222231</v>
      </c>
      <c r="M149" s="256">
        <f t="shared" si="95"/>
        <v>144.82416666666668</v>
      </c>
      <c r="N149" s="255">
        <v>0</v>
      </c>
      <c r="O149" s="256">
        <v>0</v>
      </c>
      <c r="P149" s="256">
        <f t="shared" si="105"/>
        <v>20.275383333333334</v>
      </c>
      <c r="Q149" s="256">
        <f t="shared" si="106"/>
        <v>4.0550766666666664</v>
      </c>
      <c r="R149" s="256">
        <v>0</v>
      </c>
      <c r="S149" s="257">
        <v>0</v>
      </c>
      <c r="T149" s="256">
        <v>0</v>
      </c>
      <c r="U149" s="258">
        <f t="shared" si="87"/>
        <v>1388.6706594444449</v>
      </c>
      <c r="V149" s="256">
        <f t="shared" si="107"/>
        <v>111.67</v>
      </c>
      <c r="W149" s="256">
        <v>529.20000000000005</v>
      </c>
      <c r="X149" s="256">
        <f t="shared" ref="X149:X185" si="108">C149*29</f>
        <v>29</v>
      </c>
      <c r="Y149" s="256">
        <f t="shared" si="100"/>
        <v>10.119999999999999</v>
      </c>
      <c r="Z149" s="256">
        <f t="shared" si="96"/>
        <v>17.5</v>
      </c>
      <c r="AA149" s="256">
        <f t="shared" si="101"/>
        <v>24.95</v>
      </c>
      <c r="AB149" s="256">
        <f t="shared" si="97"/>
        <v>230.68</v>
      </c>
      <c r="AC149" s="189">
        <f t="shared" si="88"/>
        <v>953.12000000000012</v>
      </c>
      <c r="AD149" s="259">
        <f t="shared" si="89"/>
        <v>4079.6806594444452</v>
      </c>
    </row>
    <row r="150" spans="1:30" s="160" customFormat="1">
      <c r="A150" s="250">
        <v>145</v>
      </c>
      <c r="B150" s="251" t="s">
        <v>430</v>
      </c>
      <c r="C150" s="252">
        <v>1</v>
      </c>
      <c r="D150" s="253">
        <v>1465.88</v>
      </c>
      <c r="E150" s="254">
        <f t="shared" si="86"/>
        <v>1465.88</v>
      </c>
      <c r="F150" s="255">
        <f t="shared" si="90"/>
        <v>515.09394444444456</v>
      </c>
      <c r="G150" s="256">
        <f t="shared" si="91"/>
        <v>18.730688888888892</v>
      </c>
      <c r="H150" s="256">
        <f t="shared" si="92"/>
        <v>149.84551111111114</v>
      </c>
      <c r="I150" s="256">
        <f t="shared" si="98"/>
        <v>59.938204444444459</v>
      </c>
      <c r="J150" s="256">
        <f t="shared" si="99"/>
        <v>122.15666666666668</v>
      </c>
      <c r="K150" s="256">
        <f t="shared" si="93"/>
        <v>122.15666666666668</v>
      </c>
      <c r="L150" s="256">
        <f t="shared" si="94"/>
        <v>40.718888888888891</v>
      </c>
      <c r="M150" s="256">
        <f t="shared" si="95"/>
        <v>122.15666666666668</v>
      </c>
      <c r="N150" s="255">
        <v>0</v>
      </c>
      <c r="O150" s="256">
        <v>0</v>
      </c>
      <c r="P150" s="256">
        <f t="shared" si="105"/>
        <v>17.101933333333335</v>
      </c>
      <c r="Q150" s="256">
        <f t="shared" si="106"/>
        <v>3.4203866666666674</v>
      </c>
      <c r="R150" s="256">
        <v>0</v>
      </c>
      <c r="S150" s="257">
        <v>0</v>
      </c>
      <c r="T150" s="256">
        <v>0</v>
      </c>
      <c r="U150" s="258">
        <f t="shared" si="87"/>
        <v>1171.3195577777778</v>
      </c>
      <c r="V150" s="256">
        <f t="shared" si="107"/>
        <v>111.67</v>
      </c>
      <c r="W150" s="256">
        <v>529.20000000000005</v>
      </c>
      <c r="X150" s="256">
        <f t="shared" si="108"/>
        <v>29</v>
      </c>
      <c r="Y150" s="256">
        <f t="shared" si="100"/>
        <v>10.119999999999999</v>
      </c>
      <c r="Z150" s="256">
        <f t="shared" si="96"/>
        <v>17.5</v>
      </c>
      <c r="AA150" s="256">
        <f t="shared" si="101"/>
        <v>24.95</v>
      </c>
      <c r="AB150" s="256">
        <f t="shared" si="97"/>
        <v>230.68</v>
      </c>
      <c r="AC150" s="189">
        <f t="shared" si="88"/>
        <v>953.12000000000012</v>
      </c>
      <c r="AD150" s="259">
        <f t="shared" si="89"/>
        <v>3590.3195577777778</v>
      </c>
    </row>
    <row r="151" spans="1:30" s="160" customFormat="1">
      <c r="A151" s="250">
        <v>146</v>
      </c>
      <c r="B151" s="251" t="s">
        <v>431</v>
      </c>
      <c r="C151" s="252">
        <v>1</v>
      </c>
      <c r="D151" s="253">
        <v>1537.21</v>
      </c>
      <c r="E151" s="254">
        <f t="shared" si="86"/>
        <v>1537.21</v>
      </c>
      <c r="F151" s="255">
        <f t="shared" si="90"/>
        <v>540.15851388888905</v>
      </c>
      <c r="G151" s="256">
        <f t="shared" si="91"/>
        <v>19.64212777777778</v>
      </c>
      <c r="H151" s="256">
        <f t="shared" si="92"/>
        <v>157.13702222222224</v>
      </c>
      <c r="I151" s="256">
        <f t="shared" si="98"/>
        <v>62.854808888888897</v>
      </c>
      <c r="J151" s="256">
        <f t="shared" si="99"/>
        <v>128.10083333333333</v>
      </c>
      <c r="K151" s="256">
        <f t="shared" si="93"/>
        <v>128.10083333333333</v>
      </c>
      <c r="L151" s="256">
        <f t="shared" si="94"/>
        <v>42.700277777777778</v>
      </c>
      <c r="M151" s="256">
        <f t="shared" si="95"/>
        <v>128.10083333333333</v>
      </c>
      <c r="N151" s="255">
        <v>0</v>
      </c>
      <c r="O151" s="256">
        <v>0</v>
      </c>
      <c r="P151" s="256">
        <f t="shared" si="105"/>
        <v>17.934116666666668</v>
      </c>
      <c r="Q151" s="256">
        <f t="shared" si="106"/>
        <v>3.5868233333333337</v>
      </c>
      <c r="R151" s="256">
        <v>0</v>
      </c>
      <c r="S151" s="257">
        <v>0</v>
      </c>
      <c r="T151" s="256">
        <v>0</v>
      </c>
      <c r="U151" s="258">
        <f t="shared" si="87"/>
        <v>1228.3161905555557</v>
      </c>
      <c r="V151" s="256">
        <f t="shared" si="107"/>
        <v>111.67</v>
      </c>
      <c r="W151" s="256">
        <v>529.20000000000005</v>
      </c>
      <c r="X151" s="256">
        <f t="shared" si="108"/>
        <v>29</v>
      </c>
      <c r="Y151" s="256">
        <f t="shared" si="100"/>
        <v>10.119999999999999</v>
      </c>
      <c r="Z151" s="256">
        <f t="shared" si="96"/>
        <v>17.5</v>
      </c>
      <c r="AA151" s="256">
        <f t="shared" si="101"/>
        <v>24.95</v>
      </c>
      <c r="AB151" s="256">
        <f t="shared" si="97"/>
        <v>230.68</v>
      </c>
      <c r="AC151" s="189">
        <f t="shared" si="88"/>
        <v>953.12000000000012</v>
      </c>
      <c r="AD151" s="259">
        <f t="shared" si="89"/>
        <v>3718.6461905555561</v>
      </c>
    </row>
    <row r="152" spans="1:30" s="160" customFormat="1">
      <c r="A152" s="250">
        <v>147</v>
      </c>
      <c r="B152" s="251" t="s">
        <v>435</v>
      </c>
      <c r="C152" s="252">
        <v>2</v>
      </c>
      <c r="D152" s="253">
        <v>2010.96</v>
      </c>
      <c r="E152" s="254">
        <f t="shared" si="86"/>
        <v>4021.92</v>
      </c>
      <c r="F152" s="255">
        <f t="shared" si="90"/>
        <v>1632.0057600000002</v>
      </c>
      <c r="G152" s="256">
        <f t="shared" si="91"/>
        <v>59.345664000000006</v>
      </c>
      <c r="H152" s="256">
        <f t="shared" si="92"/>
        <v>474.76531200000005</v>
      </c>
      <c r="I152" s="256">
        <f t="shared" si="98"/>
        <v>189.90612480000004</v>
      </c>
      <c r="J152" s="256">
        <f t="shared" si="99"/>
        <v>498.27119999999996</v>
      </c>
      <c r="K152" s="256">
        <f t="shared" si="93"/>
        <v>498.27119999999996</v>
      </c>
      <c r="L152" s="256">
        <f t="shared" si="94"/>
        <v>145.23600000000002</v>
      </c>
      <c r="M152" s="256">
        <f t="shared" si="95"/>
        <v>368.67599999999999</v>
      </c>
      <c r="N152" s="255">
        <v>0</v>
      </c>
      <c r="O152" s="256">
        <v>0</v>
      </c>
      <c r="P152" s="256">
        <f>(R152+E152)/210*1.75*1.2</f>
        <v>52.284959999999998</v>
      </c>
      <c r="Q152" s="256">
        <f>P152/6</f>
        <v>8.7141599999999997</v>
      </c>
      <c r="R152" s="256">
        <f>E152*30%</f>
        <v>1206.576</v>
      </c>
      <c r="S152" s="257">
        <f>(D152*10%)*C152</f>
        <v>402.19200000000001</v>
      </c>
      <c r="T152" s="256">
        <f>(E152+R152+N152+O152)/30*2</f>
        <v>348.56639999999999</v>
      </c>
      <c r="U152" s="258">
        <f t="shared" si="87"/>
        <v>5884.8107808000004</v>
      </c>
      <c r="V152" s="256">
        <f>C152*76.14</f>
        <v>152.28</v>
      </c>
      <c r="W152" s="256">
        <f>C152*529.2</f>
        <v>1058.4000000000001</v>
      </c>
      <c r="X152" s="256">
        <f t="shared" si="108"/>
        <v>58</v>
      </c>
      <c r="Y152" s="256">
        <f t="shared" si="100"/>
        <v>20.239999999999998</v>
      </c>
      <c r="Z152" s="256">
        <f t="shared" si="96"/>
        <v>35</v>
      </c>
      <c r="AA152" s="256">
        <f t="shared" si="101"/>
        <v>49.9</v>
      </c>
      <c r="AB152" s="256">
        <f t="shared" si="97"/>
        <v>461.36</v>
      </c>
      <c r="AC152" s="189">
        <f t="shared" si="88"/>
        <v>1835.1800000000003</v>
      </c>
      <c r="AD152" s="259">
        <f t="shared" si="89"/>
        <v>11741.910780800001</v>
      </c>
    </row>
    <row r="153" spans="1:30" s="160" customFormat="1">
      <c r="A153" s="250">
        <v>148</v>
      </c>
      <c r="B153" s="251" t="s">
        <v>432</v>
      </c>
      <c r="C153" s="252">
        <v>12</v>
      </c>
      <c r="D153" s="253">
        <v>2010.96</v>
      </c>
      <c r="E153" s="254">
        <f t="shared" si="86"/>
        <v>24131.52</v>
      </c>
      <c r="F153" s="255">
        <f t="shared" si="90"/>
        <v>8962.5135600000012</v>
      </c>
      <c r="G153" s="256">
        <f t="shared" si="91"/>
        <v>325.90958400000005</v>
      </c>
      <c r="H153" s="256">
        <f t="shared" si="92"/>
        <v>2607.2766720000004</v>
      </c>
      <c r="I153" s="256">
        <f t="shared" si="98"/>
        <v>1042.9106688000002</v>
      </c>
      <c r="J153" s="256">
        <f t="shared" si="99"/>
        <v>2788.5311999999999</v>
      </c>
      <c r="K153" s="256">
        <f t="shared" si="93"/>
        <v>2788.5311999999999</v>
      </c>
      <c r="L153" s="256">
        <f t="shared" si="94"/>
        <v>871.41600000000005</v>
      </c>
      <c r="M153" s="256">
        <f t="shared" si="95"/>
        <v>2010.96</v>
      </c>
      <c r="N153" s="255">
        <v>0</v>
      </c>
      <c r="O153" s="256">
        <v>0</v>
      </c>
      <c r="P153" s="256">
        <f>(R153+E153)/210*1.75*1.2</f>
        <v>313.70976000000002</v>
      </c>
      <c r="Q153" s="256">
        <f>P153/6</f>
        <v>52.284960000000005</v>
      </c>
      <c r="R153" s="256">
        <f>E153*30%</f>
        <v>7239.4560000000001</v>
      </c>
      <c r="S153" s="257"/>
      <c r="T153" s="256">
        <f t="shared" ref="T153:T155" si="109">(E153+R153+N153+O153)/30*2</f>
        <v>2091.3984</v>
      </c>
      <c r="U153" s="258">
        <f t="shared" si="87"/>
        <v>31094.898004800001</v>
      </c>
      <c r="V153" s="256">
        <f t="shared" ref="V153:V155" si="110">C153*76.14</f>
        <v>913.68000000000006</v>
      </c>
      <c r="W153" s="256">
        <f>C153*529.2</f>
        <v>6350.4000000000005</v>
      </c>
      <c r="X153" s="256">
        <f t="shared" si="108"/>
        <v>348</v>
      </c>
      <c r="Y153" s="256">
        <f t="shared" si="100"/>
        <v>121.44</v>
      </c>
      <c r="Z153" s="256">
        <f t="shared" si="96"/>
        <v>210</v>
      </c>
      <c r="AA153" s="256">
        <f t="shared" si="101"/>
        <v>299.39999999999998</v>
      </c>
      <c r="AB153" s="256">
        <f t="shared" si="97"/>
        <v>2768.16</v>
      </c>
      <c r="AC153" s="189">
        <f t="shared" si="88"/>
        <v>11011.08</v>
      </c>
      <c r="AD153" s="259">
        <f t="shared" si="89"/>
        <v>66237.4980048</v>
      </c>
    </row>
    <row r="154" spans="1:30" s="160" customFormat="1">
      <c r="A154" s="250">
        <v>149</v>
      </c>
      <c r="B154" s="251" t="s">
        <v>433</v>
      </c>
      <c r="C154" s="252">
        <v>2</v>
      </c>
      <c r="D154" s="253">
        <v>2010.96</v>
      </c>
      <c r="E154" s="254">
        <f t="shared" si="86"/>
        <v>4021.92</v>
      </c>
      <c r="F154" s="255">
        <f t="shared" si="90"/>
        <v>1677.4484906666671</v>
      </c>
      <c r="G154" s="256">
        <f t="shared" si="91"/>
        <v>60.998126933333346</v>
      </c>
      <c r="H154" s="256">
        <f t="shared" si="92"/>
        <v>487.98501546666677</v>
      </c>
      <c r="I154" s="256">
        <f t="shared" si="98"/>
        <v>195.19400618666671</v>
      </c>
      <c r="J154" s="256">
        <f t="shared" si="99"/>
        <v>580.89434666666671</v>
      </c>
      <c r="K154" s="256">
        <f t="shared" si="93"/>
        <v>580.89434666666671</v>
      </c>
      <c r="L154" s="256">
        <f t="shared" si="94"/>
        <v>145.23600000000002</v>
      </c>
      <c r="M154" s="256">
        <f t="shared" si="95"/>
        <v>368.67599999999999</v>
      </c>
      <c r="N154" s="255">
        <f>(R154+E154)/210*20%*160</f>
        <v>796.72320000000013</v>
      </c>
      <c r="O154" s="256">
        <f>N154/6</f>
        <v>132.78720000000001</v>
      </c>
      <c r="P154" s="256">
        <f>(R154+E154)/210*1.75*1.2</f>
        <v>52.284959999999998</v>
      </c>
      <c r="Q154" s="256">
        <f>P154/6</f>
        <v>8.7141599999999997</v>
      </c>
      <c r="R154" s="256">
        <f>E154*30%</f>
        <v>1206.576</v>
      </c>
      <c r="S154" s="257">
        <f t="shared" ref="S154" si="111">(D154*10%)*C154</f>
        <v>402.19200000000001</v>
      </c>
      <c r="T154" s="256">
        <f t="shared" si="109"/>
        <v>410.53376000000003</v>
      </c>
      <c r="U154" s="258">
        <f t="shared" si="87"/>
        <v>7107.1376125866691</v>
      </c>
      <c r="V154" s="256">
        <f t="shared" si="110"/>
        <v>152.28</v>
      </c>
      <c r="W154" s="256">
        <f>C154*529.2</f>
        <v>1058.4000000000001</v>
      </c>
      <c r="X154" s="256">
        <f t="shared" si="108"/>
        <v>58</v>
      </c>
      <c r="Y154" s="256">
        <f t="shared" si="100"/>
        <v>20.239999999999998</v>
      </c>
      <c r="Z154" s="256">
        <f t="shared" si="96"/>
        <v>35</v>
      </c>
      <c r="AA154" s="256">
        <f t="shared" si="101"/>
        <v>49.9</v>
      </c>
      <c r="AB154" s="256">
        <f t="shared" si="97"/>
        <v>461.36</v>
      </c>
      <c r="AC154" s="189">
        <f t="shared" si="88"/>
        <v>1835.1800000000003</v>
      </c>
      <c r="AD154" s="259">
        <f t="shared" si="89"/>
        <v>12964.237612586669</v>
      </c>
    </row>
    <row r="155" spans="1:30" s="160" customFormat="1">
      <c r="A155" s="250">
        <v>150</v>
      </c>
      <c r="B155" s="251" t="s">
        <v>434</v>
      </c>
      <c r="C155" s="252">
        <v>6</v>
      </c>
      <c r="D155" s="253">
        <v>2010.96</v>
      </c>
      <c r="E155" s="254">
        <f t="shared" si="86"/>
        <v>12065.76</v>
      </c>
      <c r="F155" s="255">
        <f t="shared" si="90"/>
        <v>4617.5849719999997</v>
      </c>
      <c r="G155" s="256">
        <f t="shared" si="91"/>
        <v>167.91218079999999</v>
      </c>
      <c r="H155" s="256">
        <f t="shared" si="92"/>
        <v>1343.2974463999999</v>
      </c>
      <c r="I155" s="256">
        <f t="shared" si="98"/>
        <v>537.31897856000001</v>
      </c>
      <c r="J155" s="256">
        <f t="shared" si="99"/>
        <v>1642.1350399999999</v>
      </c>
      <c r="K155" s="256">
        <f t="shared" si="93"/>
        <v>1642.1350399999999</v>
      </c>
      <c r="L155" s="256">
        <f t="shared" si="94"/>
        <v>435.70800000000003</v>
      </c>
      <c r="M155" s="256">
        <f t="shared" si="95"/>
        <v>1005.48</v>
      </c>
      <c r="N155" s="255">
        <f>(R155+E155)/210*20%*160</f>
        <v>2390.1696000000002</v>
      </c>
      <c r="O155" s="256">
        <f>N155/6</f>
        <v>398.36160000000001</v>
      </c>
      <c r="P155" s="256">
        <f>(R155+E155)/210*1.75*1.2</f>
        <v>156.85488000000001</v>
      </c>
      <c r="Q155" s="256">
        <f>P155/6</f>
        <v>26.142480000000003</v>
      </c>
      <c r="R155" s="256">
        <f>E155*30%</f>
        <v>3619.7280000000001</v>
      </c>
      <c r="S155" s="257">
        <v>0</v>
      </c>
      <c r="T155" s="256">
        <f t="shared" si="109"/>
        <v>1231.6012800000001</v>
      </c>
      <c r="U155" s="258">
        <f t="shared" si="87"/>
        <v>19214.429497759997</v>
      </c>
      <c r="V155" s="256">
        <f t="shared" si="110"/>
        <v>456.84000000000003</v>
      </c>
      <c r="W155" s="256">
        <f>C155*529.2</f>
        <v>3175.2000000000003</v>
      </c>
      <c r="X155" s="256">
        <f t="shared" si="108"/>
        <v>174</v>
      </c>
      <c r="Y155" s="256">
        <f t="shared" si="100"/>
        <v>60.72</v>
      </c>
      <c r="Z155" s="256">
        <f t="shared" si="96"/>
        <v>105</v>
      </c>
      <c r="AA155" s="256">
        <f t="shared" si="101"/>
        <v>149.69999999999999</v>
      </c>
      <c r="AB155" s="256">
        <f t="shared" si="97"/>
        <v>1384.08</v>
      </c>
      <c r="AC155" s="189">
        <f t="shared" si="88"/>
        <v>5505.54</v>
      </c>
      <c r="AD155" s="259">
        <f t="shared" si="89"/>
        <v>36785.729497759996</v>
      </c>
    </row>
    <row r="156" spans="1:30" s="160" customFormat="1">
      <c r="A156" s="250">
        <v>151</v>
      </c>
      <c r="B156" s="251" t="s">
        <v>460</v>
      </c>
      <c r="C156" s="252">
        <v>1</v>
      </c>
      <c r="D156" s="253">
        <v>6879.6</v>
      </c>
      <c r="E156" s="254">
        <f t="shared" si="86"/>
        <v>6879.6</v>
      </c>
      <c r="F156" s="255">
        <f t="shared" si="90"/>
        <v>2417.4150000000004</v>
      </c>
      <c r="G156" s="256">
        <f t="shared" si="91"/>
        <v>87.906000000000006</v>
      </c>
      <c r="H156" s="256">
        <f t="shared" si="92"/>
        <v>703.24800000000005</v>
      </c>
      <c r="I156" s="256">
        <f t="shared" si="98"/>
        <v>281.29920000000004</v>
      </c>
      <c r="J156" s="256">
        <f t="shared" si="99"/>
        <v>573.30000000000007</v>
      </c>
      <c r="K156" s="256">
        <f t="shared" si="93"/>
        <v>573.30000000000007</v>
      </c>
      <c r="L156" s="256">
        <f t="shared" si="94"/>
        <v>191.10000000000002</v>
      </c>
      <c r="M156" s="256">
        <f t="shared" si="95"/>
        <v>573.30000000000007</v>
      </c>
      <c r="N156" s="255">
        <v>0</v>
      </c>
      <c r="O156" s="256">
        <v>0</v>
      </c>
      <c r="P156" s="256">
        <v>0</v>
      </c>
      <c r="Q156" s="256">
        <v>0</v>
      </c>
      <c r="R156" s="256">
        <v>0</v>
      </c>
      <c r="S156" s="257">
        <v>0</v>
      </c>
      <c r="T156" s="256">
        <v>0</v>
      </c>
      <c r="U156" s="258">
        <f t="shared" si="87"/>
        <v>5400.8682000000008</v>
      </c>
      <c r="V156" s="256">
        <v>0</v>
      </c>
      <c r="W156" s="256">
        <v>529.20000000000005</v>
      </c>
      <c r="X156" s="256">
        <f t="shared" si="108"/>
        <v>29</v>
      </c>
      <c r="Y156" s="256">
        <f t="shared" si="100"/>
        <v>10.119999999999999</v>
      </c>
      <c r="Z156" s="256">
        <f t="shared" si="96"/>
        <v>17.5</v>
      </c>
      <c r="AA156" s="256">
        <f t="shared" si="101"/>
        <v>24.95</v>
      </c>
      <c r="AB156" s="256">
        <f t="shared" si="97"/>
        <v>230.68</v>
      </c>
      <c r="AC156" s="189">
        <f t="shared" si="88"/>
        <v>841.45</v>
      </c>
      <c r="AD156" s="259">
        <f t="shared" si="89"/>
        <v>13121.918200000002</v>
      </c>
    </row>
    <row r="157" spans="1:30" s="160" customFormat="1">
      <c r="A157" s="250">
        <v>152</v>
      </c>
      <c r="B157" s="251" t="s">
        <v>422</v>
      </c>
      <c r="C157" s="252">
        <v>1</v>
      </c>
      <c r="D157" s="253">
        <v>3993.98</v>
      </c>
      <c r="E157" s="254">
        <f t="shared" si="86"/>
        <v>3993.98</v>
      </c>
      <c r="F157" s="255">
        <f t="shared" si="90"/>
        <v>1467.5102902777778</v>
      </c>
      <c r="G157" s="256">
        <f t="shared" si="91"/>
        <v>53.364010555555552</v>
      </c>
      <c r="H157" s="256">
        <f t="shared" si="92"/>
        <v>426.91208444444442</v>
      </c>
      <c r="I157" s="256">
        <f t="shared" si="98"/>
        <v>170.76483377777777</v>
      </c>
      <c r="J157" s="256">
        <f t="shared" si="99"/>
        <v>432.68116666666668</v>
      </c>
      <c r="K157" s="256">
        <f t="shared" si="93"/>
        <v>432.68116666666668</v>
      </c>
      <c r="L157" s="256">
        <f t="shared" si="94"/>
        <v>144.22705555555555</v>
      </c>
      <c r="M157" s="256">
        <f t="shared" si="95"/>
        <v>332.83166666666665</v>
      </c>
      <c r="N157" s="255">
        <v>0</v>
      </c>
      <c r="O157" s="256">
        <v>0</v>
      </c>
      <c r="P157" s="256">
        <v>0</v>
      </c>
      <c r="Q157" s="256">
        <v>0</v>
      </c>
      <c r="R157" s="256">
        <f>E157*30%</f>
        <v>1198.194</v>
      </c>
      <c r="S157" s="257">
        <v>0</v>
      </c>
      <c r="T157" s="256">
        <v>0</v>
      </c>
      <c r="U157" s="258">
        <f t="shared" si="87"/>
        <v>4659.1662746111106</v>
      </c>
      <c r="V157" s="256">
        <v>0</v>
      </c>
      <c r="W157" s="256">
        <v>529.20000000000005</v>
      </c>
      <c r="X157" s="256">
        <f t="shared" si="108"/>
        <v>29</v>
      </c>
      <c r="Y157" s="256">
        <f t="shared" si="100"/>
        <v>10.119999999999999</v>
      </c>
      <c r="Z157" s="256">
        <f t="shared" si="96"/>
        <v>17.5</v>
      </c>
      <c r="AA157" s="256">
        <f t="shared" si="101"/>
        <v>24.95</v>
      </c>
      <c r="AB157" s="256">
        <f t="shared" si="97"/>
        <v>230.68</v>
      </c>
      <c r="AC157" s="189">
        <f t="shared" si="88"/>
        <v>841.45</v>
      </c>
      <c r="AD157" s="259">
        <f t="shared" si="89"/>
        <v>9494.5962746111109</v>
      </c>
    </row>
    <row r="158" spans="1:30" s="160" customFormat="1">
      <c r="A158" s="250">
        <v>153</v>
      </c>
      <c r="B158" s="251" t="s">
        <v>423</v>
      </c>
      <c r="C158" s="252">
        <v>1</v>
      </c>
      <c r="D158" s="253">
        <v>2751.84</v>
      </c>
      <c r="E158" s="254">
        <f t="shared" si="86"/>
        <v>2751.84</v>
      </c>
      <c r="F158" s="255">
        <f t="shared" si="90"/>
        <v>966.96600000000024</v>
      </c>
      <c r="G158" s="256">
        <f t="shared" si="91"/>
        <v>35.162400000000005</v>
      </c>
      <c r="H158" s="256">
        <f t="shared" si="92"/>
        <v>281.29920000000004</v>
      </c>
      <c r="I158" s="256">
        <f t="shared" si="98"/>
        <v>112.51968000000002</v>
      </c>
      <c r="J158" s="256">
        <f t="shared" si="99"/>
        <v>229.32000000000002</v>
      </c>
      <c r="K158" s="256">
        <f t="shared" si="93"/>
        <v>229.32000000000002</v>
      </c>
      <c r="L158" s="256">
        <f t="shared" si="94"/>
        <v>76.440000000000012</v>
      </c>
      <c r="M158" s="256">
        <f t="shared" si="95"/>
        <v>229.32000000000002</v>
      </c>
      <c r="N158" s="255">
        <v>0</v>
      </c>
      <c r="O158" s="256">
        <v>0</v>
      </c>
      <c r="P158" s="256">
        <f>E158/150*1.75</f>
        <v>32.104800000000004</v>
      </c>
      <c r="Q158" s="256">
        <f>P158/25*5</f>
        <v>6.4209600000000009</v>
      </c>
      <c r="R158" s="256">
        <v>0</v>
      </c>
      <c r="S158" s="257">
        <v>0</v>
      </c>
      <c r="T158" s="256">
        <v>0</v>
      </c>
      <c r="U158" s="258">
        <f t="shared" si="87"/>
        <v>2198.8730400000004</v>
      </c>
      <c r="V158" s="256">
        <f>C158*111.67</f>
        <v>111.67</v>
      </c>
      <c r="W158" s="256">
        <v>529.20000000000005</v>
      </c>
      <c r="X158" s="256">
        <f t="shared" si="108"/>
        <v>29</v>
      </c>
      <c r="Y158" s="256">
        <f t="shared" si="100"/>
        <v>10.119999999999999</v>
      </c>
      <c r="Z158" s="256">
        <f t="shared" si="96"/>
        <v>17.5</v>
      </c>
      <c r="AA158" s="256">
        <f t="shared" si="101"/>
        <v>24.95</v>
      </c>
      <c r="AB158" s="256">
        <f t="shared" si="97"/>
        <v>230.68</v>
      </c>
      <c r="AC158" s="189">
        <f t="shared" si="88"/>
        <v>953.12000000000012</v>
      </c>
      <c r="AD158" s="259">
        <f t="shared" si="89"/>
        <v>5903.8330400000004</v>
      </c>
    </row>
    <row r="159" spans="1:30" s="160" customFormat="1">
      <c r="A159" s="250">
        <v>154</v>
      </c>
      <c r="B159" s="251" t="s">
        <v>424</v>
      </c>
      <c r="C159" s="252">
        <v>1</v>
      </c>
      <c r="D159" s="253">
        <v>2751.84</v>
      </c>
      <c r="E159" s="254">
        <f t="shared" si="86"/>
        <v>2751.84</v>
      </c>
      <c r="F159" s="255">
        <f t="shared" si="90"/>
        <v>966.96600000000024</v>
      </c>
      <c r="G159" s="256">
        <f t="shared" si="91"/>
        <v>35.162400000000005</v>
      </c>
      <c r="H159" s="256">
        <f t="shared" si="92"/>
        <v>281.29920000000004</v>
      </c>
      <c r="I159" s="256">
        <f t="shared" si="98"/>
        <v>112.51968000000002</v>
      </c>
      <c r="J159" s="256">
        <f t="shared" si="99"/>
        <v>229.32000000000002</v>
      </c>
      <c r="K159" s="256">
        <f t="shared" si="93"/>
        <v>229.32000000000002</v>
      </c>
      <c r="L159" s="256">
        <f t="shared" si="94"/>
        <v>76.440000000000012</v>
      </c>
      <c r="M159" s="256">
        <f t="shared" si="95"/>
        <v>229.32000000000002</v>
      </c>
      <c r="N159" s="255">
        <v>0</v>
      </c>
      <c r="O159" s="256">
        <v>0</v>
      </c>
      <c r="P159" s="256">
        <f t="shared" ref="P159:P166" si="112">E159/150*1.75</f>
        <v>32.104800000000004</v>
      </c>
      <c r="Q159" s="256">
        <f t="shared" ref="Q159:Q166" si="113">P159/25*5</f>
        <v>6.4209600000000009</v>
      </c>
      <c r="R159" s="256">
        <v>0</v>
      </c>
      <c r="S159" s="257">
        <v>0</v>
      </c>
      <c r="T159" s="256">
        <v>0</v>
      </c>
      <c r="U159" s="258">
        <f t="shared" si="87"/>
        <v>2198.8730400000004</v>
      </c>
      <c r="V159" s="256">
        <f t="shared" ref="V159:V166" si="114">C159*111.67</f>
        <v>111.67</v>
      </c>
      <c r="W159" s="256">
        <v>529.20000000000005</v>
      </c>
      <c r="X159" s="256">
        <f t="shared" si="108"/>
        <v>29</v>
      </c>
      <c r="Y159" s="256">
        <f t="shared" si="100"/>
        <v>10.119999999999999</v>
      </c>
      <c r="Z159" s="256">
        <f t="shared" si="96"/>
        <v>17.5</v>
      </c>
      <c r="AA159" s="256">
        <f t="shared" si="101"/>
        <v>24.95</v>
      </c>
      <c r="AB159" s="256">
        <f t="shared" si="97"/>
        <v>230.68</v>
      </c>
      <c r="AC159" s="189">
        <f t="shared" si="88"/>
        <v>953.12000000000012</v>
      </c>
      <c r="AD159" s="259">
        <f t="shared" si="89"/>
        <v>5903.8330400000004</v>
      </c>
    </row>
    <row r="160" spans="1:30" s="160" customFormat="1">
      <c r="A160" s="250">
        <v>155</v>
      </c>
      <c r="B160" s="251" t="s">
        <v>425</v>
      </c>
      <c r="C160" s="252">
        <v>1</v>
      </c>
      <c r="D160" s="253">
        <v>2751.84</v>
      </c>
      <c r="E160" s="254">
        <f t="shared" si="86"/>
        <v>2751.84</v>
      </c>
      <c r="F160" s="255">
        <f t="shared" si="90"/>
        <v>966.96600000000024</v>
      </c>
      <c r="G160" s="256">
        <f t="shared" si="91"/>
        <v>35.162400000000005</v>
      </c>
      <c r="H160" s="256">
        <f t="shared" si="92"/>
        <v>281.29920000000004</v>
      </c>
      <c r="I160" s="256">
        <f t="shared" si="98"/>
        <v>112.51968000000002</v>
      </c>
      <c r="J160" s="256">
        <f t="shared" si="99"/>
        <v>229.32000000000002</v>
      </c>
      <c r="K160" s="256">
        <f t="shared" si="93"/>
        <v>229.32000000000002</v>
      </c>
      <c r="L160" s="256">
        <f t="shared" si="94"/>
        <v>76.440000000000012</v>
      </c>
      <c r="M160" s="256">
        <f t="shared" si="95"/>
        <v>229.32000000000002</v>
      </c>
      <c r="N160" s="255">
        <v>0</v>
      </c>
      <c r="O160" s="256">
        <v>0</v>
      </c>
      <c r="P160" s="256">
        <f t="shared" si="112"/>
        <v>32.104800000000004</v>
      </c>
      <c r="Q160" s="256">
        <f t="shared" si="113"/>
        <v>6.4209600000000009</v>
      </c>
      <c r="R160" s="256">
        <v>0</v>
      </c>
      <c r="S160" s="257">
        <v>0</v>
      </c>
      <c r="T160" s="256">
        <v>0</v>
      </c>
      <c r="U160" s="258">
        <f t="shared" si="87"/>
        <v>2198.8730400000004</v>
      </c>
      <c r="V160" s="256">
        <f t="shared" si="114"/>
        <v>111.67</v>
      </c>
      <c r="W160" s="256">
        <v>529.20000000000005</v>
      </c>
      <c r="X160" s="256">
        <f t="shared" si="108"/>
        <v>29</v>
      </c>
      <c r="Y160" s="256">
        <f t="shared" si="100"/>
        <v>10.119999999999999</v>
      </c>
      <c r="Z160" s="256">
        <f t="shared" si="96"/>
        <v>17.5</v>
      </c>
      <c r="AA160" s="256">
        <f t="shared" si="101"/>
        <v>24.95</v>
      </c>
      <c r="AB160" s="256">
        <f t="shared" si="97"/>
        <v>230.68</v>
      </c>
      <c r="AC160" s="189">
        <f t="shared" si="88"/>
        <v>953.12000000000012</v>
      </c>
      <c r="AD160" s="259">
        <f t="shared" si="89"/>
        <v>5903.8330400000004</v>
      </c>
    </row>
    <row r="161" spans="1:30" s="160" customFormat="1">
      <c r="A161" s="250">
        <v>156</v>
      </c>
      <c r="B161" s="251" t="s">
        <v>426</v>
      </c>
      <c r="C161" s="252">
        <v>1</v>
      </c>
      <c r="D161" s="253">
        <v>2751.84</v>
      </c>
      <c r="E161" s="254">
        <f t="shared" si="86"/>
        <v>2751.84</v>
      </c>
      <c r="F161" s="255">
        <f t="shared" si="90"/>
        <v>966.96600000000024</v>
      </c>
      <c r="G161" s="256">
        <f t="shared" si="91"/>
        <v>35.162400000000005</v>
      </c>
      <c r="H161" s="256">
        <f t="shared" si="92"/>
        <v>281.29920000000004</v>
      </c>
      <c r="I161" s="256">
        <f t="shared" si="98"/>
        <v>112.51968000000002</v>
      </c>
      <c r="J161" s="256">
        <f t="shared" si="99"/>
        <v>229.32000000000002</v>
      </c>
      <c r="K161" s="256">
        <f t="shared" si="93"/>
        <v>229.32000000000002</v>
      </c>
      <c r="L161" s="256">
        <f t="shared" si="94"/>
        <v>76.440000000000012</v>
      </c>
      <c r="M161" s="256">
        <f t="shared" si="95"/>
        <v>229.32000000000002</v>
      </c>
      <c r="N161" s="255">
        <v>0</v>
      </c>
      <c r="O161" s="256">
        <v>0</v>
      </c>
      <c r="P161" s="256">
        <f t="shared" si="112"/>
        <v>32.104800000000004</v>
      </c>
      <c r="Q161" s="256">
        <f t="shared" si="113"/>
        <v>6.4209600000000009</v>
      </c>
      <c r="R161" s="256">
        <v>0</v>
      </c>
      <c r="S161" s="257">
        <v>0</v>
      </c>
      <c r="T161" s="256">
        <v>0</v>
      </c>
      <c r="U161" s="258">
        <f t="shared" si="87"/>
        <v>2198.8730400000004</v>
      </c>
      <c r="V161" s="256">
        <f t="shared" si="114"/>
        <v>111.67</v>
      </c>
      <c r="W161" s="256">
        <v>529.20000000000005</v>
      </c>
      <c r="X161" s="256">
        <f t="shared" si="108"/>
        <v>29</v>
      </c>
      <c r="Y161" s="256">
        <f t="shared" si="100"/>
        <v>10.119999999999999</v>
      </c>
      <c r="Z161" s="256">
        <f t="shared" si="96"/>
        <v>17.5</v>
      </c>
      <c r="AA161" s="256">
        <f t="shared" si="101"/>
        <v>24.95</v>
      </c>
      <c r="AB161" s="256">
        <f t="shared" si="97"/>
        <v>230.68</v>
      </c>
      <c r="AC161" s="189">
        <f t="shared" si="88"/>
        <v>953.12000000000012</v>
      </c>
      <c r="AD161" s="259">
        <f t="shared" si="89"/>
        <v>5903.8330400000004</v>
      </c>
    </row>
    <row r="162" spans="1:30" s="160" customFormat="1">
      <c r="A162" s="250">
        <v>157</v>
      </c>
      <c r="B162" s="251" t="s">
        <v>427</v>
      </c>
      <c r="C162" s="252">
        <v>1</v>
      </c>
      <c r="D162" s="253">
        <v>2751.84</v>
      </c>
      <c r="E162" s="254">
        <f t="shared" si="86"/>
        <v>2751.84</v>
      </c>
      <c r="F162" s="255">
        <f t="shared" si="90"/>
        <v>966.96600000000024</v>
      </c>
      <c r="G162" s="256">
        <f t="shared" si="91"/>
        <v>35.162400000000005</v>
      </c>
      <c r="H162" s="256">
        <f t="shared" si="92"/>
        <v>281.29920000000004</v>
      </c>
      <c r="I162" s="256">
        <f t="shared" si="98"/>
        <v>112.51968000000002</v>
      </c>
      <c r="J162" s="256">
        <f t="shared" si="99"/>
        <v>229.32000000000002</v>
      </c>
      <c r="K162" s="256">
        <f t="shared" si="93"/>
        <v>229.32000000000002</v>
      </c>
      <c r="L162" s="256">
        <f t="shared" si="94"/>
        <v>76.440000000000012</v>
      </c>
      <c r="M162" s="256">
        <f t="shared" si="95"/>
        <v>229.32000000000002</v>
      </c>
      <c r="N162" s="255">
        <v>0</v>
      </c>
      <c r="O162" s="256">
        <v>0</v>
      </c>
      <c r="P162" s="256">
        <f t="shared" si="112"/>
        <v>32.104800000000004</v>
      </c>
      <c r="Q162" s="256">
        <f t="shared" si="113"/>
        <v>6.4209600000000009</v>
      </c>
      <c r="R162" s="256">
        <v>0</v>
      </c>
      <c r="S162" s="257">
        <v>0</v>
      </c>
      <c r="T162" s="256">
        <v>0</v>
      </c>
      <c r="U162" s="258">
        <f t="shared" si="87"/>
        <v>2198.8730400000004</v>
      </c>
      <c r="V162" s="256">
        <f t="shared" si="114"/>
        <v>111.67</v>
      </c>
      <c r="W162" s="256">
        <v>529.20000000000005</v>
      </c>
      <c r="X162" s="256">
        <f t="shared" si="108"/>
        <v>29</v>
      </c>
      <c r="Y162" s="256">
        <f t="shared" si="100"/>
        <v>10.119999999999999</v>
      </c>
      <c r="Z162" s="256">
        <f t="shared" si="96"/>
        <v>17.5</v>
      </c>
      <c r="AA162" s="256">
        <f t="shared" si="101"/>
        <v>24.95</v>
      </c>
      <c r="AB162" s="256">
        <f t="shared" si="97"/>
        <v>230.68</v>
      </c>
      <c r="AC162" s="189">
        <f t="shared" si="88"/>
        <v>953.12000000000012</v>
      </c>
      <c r="AD162" s="259">
        <f t="shared" si="89"/>
        <v>5903.8330400000004</v>
      </c>
    </row>
    <row r="163" spans="1:30" s="160" customFormat="1">
      <c r="A163" s="250">
        <v>158</v>
      </c>
      <c r="B163" s="251" t="s">
        <v>428</v>
      </c>
      <c r="C163" s="252">
        <v>1</v>
      </c>
      <c r="D163" s="253">
        <v>1852.2</v>
      </c>
      <c r="E163" s="254">
        <f t="shared" si="86"/>
        <v>1852.2</v>
      </c>
      <c r="F163" s="255">
        <f t="shared" si="90"/>
        <v>650.84249999999997</v>
      </c>
      <c r="G163" s="256">
        <f t="shared" si="91"/>
        <v>23.666999999999998</v>
      </c>
      <c r="H163" s="256">
        <f t="shared" si="92"/>
        <v>189.33599999999998</v>
      </c>
      <c r="I163" s="256">
        <f t="shared" si="98"/>
        <v>75.734399999999994</v>
      </c>
      <c r="J163" s="256">
        <f t="shared" si="99"/>
        <v>154.35</v>
      </c>
      <c r="K163" s="256">
        <f t="shared" si="93"/>
        <v>154.35</v>
      </c>
      <c r="L163" s="256">
        <f t="shared" si="94"/>
        <v>51.449999999999996</v>
      </c>
      <c r="M163" s="256">
        <f t="shared" si="95"/>
        <v>154.35</v>
      </c>
      <c r="N163" s="255">
        <v>0</v>
      </c>
      <c r="O163" s="256">
        <v>0</v>
      </c>
      <c r="P163" s="256">
        <f t="shared" si="112"/>
        <v>21.609000000000002</v>
      </c>
      <c r="Q163" s="256">
        <f t="shared" si="113"/>
        <v>4.3217999999999996</v>
      </c>
      <c r="R163" s="256">
        <v>0</v>
      </c>
      <c r="S163" s="257">
        <v>0</v>
      </c>
      <c r="T163" s="256">
        <v>0</v>
      </c>
      <c r="U163" s="258">
        <f t="shared" si="87"/>
        <v>1480.0106999999996</v>
      </c>
      <c r="V163" s="256">
        <f t="shared" si="114"/>
        <v>111.67</v>
      </c>
      <c r="W163" s="256">
        <v>529.20000000000005</v>
      </c>
      <c r="X163" s="256">
        <f t="shared" si="108"/>
        <v>29</v>
      </c>
      <c r="Y163" s="256">
        <f t="shared" si="100"/>
        <v>10.119999999999999</v>
      </c>
      <c r="Z163" s="256">
        <f t="shared" si="96"/>
        <v>17.5</v>
      </c>
      <c r="AA163" s="256">
        <f t="shared" si="101"/>
        <v>24.95</v>
      </c>
      <c r="AB163" s="256">
        <f t="shared" si="97"/>
        <v>230.68</v>
      </c>
      <c r="AC163" s="189">
        <f t="shared" si="88"/>
        <v>953.12000000000012</v>
      </c>
      <c r="AD163" s="259">
        <f t="shared" si="89"/>
        <v>4285.3306999999995</v>
      </c>
    </row>
    <row r="164" spans="1:30" s="160" customFormat="1">
      <c r="A164" s="250">
        <v>159</v>
      </c>
      <c r="B164" s="251" t="s">
        <v>429</v>
      </c>
      <c r="C164" s="252">
        <v>1</v>
      </c>
      <c r="D164" s="253">
        <v>1737.89</v>
      </c>
      <c r="E164" s="254">
        <f t="shared" si="86"/>
        <v>1737.89</v>
      </c>
      <c r="F164" s="255">
        <f t="shared" si="90"/>
        <v>610.6752361111113</v>
      </c>
      <c r="G164" s="256">
        <f t="shared" si="91"/>
        <v>22.206372222222225</v>
      </c>
      <c r="H164" s="256">
        <f t="shared" si="92"/>
        <v>177.6509777777778</v>
      </c>
      <c r="I164" s="256">
        <f t="shared" si="98"/>
        <v>71.060391111111116</v>
      </c>
      <c r="J164" s="256">
        <f t="shared" si="99"/>
        <v>144.82416666666668</v>
      </c>
      <c r="K164" s="256">
        <f t="shared" si="93"/>
        <v>144.82416666666668</v>
      </c>
      <c r="L164" s="256">
        <f t="shared" si="94"/>
        <v>48.274722222222231</v>
      </c>
      <c r="M164" s="256">
        <f t="shared" si="95"/>
        <v>144.82416666666668</v>
      </c>
      <c r="N164" s="255">
        <v>0</v>
      </c>
      <c r="O164" s="256">
        <v>0</v>
      </c>
      <c r="P164" s="256">
        <f t="shared" si="112"/>
        <v>20.275383333333334</v>
      </c>
      <c r="Q164" s="256">
        <f t="shared" si="113"/>
        <v>4.0550766666666664</v>
      </c>
      <c r="R164" s="256">
        <v>0</v>
      </c>
      <c r="S164" s="257">
        <v>0</v>
      </c>
      <c r="T164" s="256">
        <v>0</v>
      </c>
      <c r="U164" s="258">
        <f t="shared" si="87"/>
        <v>1388.6706594444449</v>
      </c>
      <c r="V164" s="256">
        <f t="shared" si="114"/>
        <v>111.67</v>
      </c>
      <c r="W164" s="256">
        <v>529.20000000000005</v>
      </c>
      <c r="X164" s="256">
        <f t="shared" si="108"/>
        <v>29</v>
      </c>
      <c r="Y164" s="256">
        <f t="shared" si="100"/>
        <v>10.119999999999999</v>
      </c>
      <c r="Z164" s="256">
        <f t="shared" si="96"/>
        <v>17.5</v>
      </c>
      <c r="AA164" s="256">
        <f t="shared" si="101"/>
        <v>24.95</v>
      </c>
      <c r="AB164" s="256">
        <f t="shared" si="97"/>
        <v>230.68</v>
      </c>
      <c r="AC164" s="189">
        <f t="shared" si="88"/>
        <v>953.12000000000012</v>
      </c>
      <c r="AD164" s="259">
        <f t="shared" si="89"/>
        <v>4079.6806594444452</v>
      </c>
    </row>
    <row r="165" spans="1:30" s="160" customFormat="1">
      <c r="A165" s="250">
        <v>160</v>
      </c>
      <c r="B165" s="251" t="s">
        <v>430</v>
      </c>
      <c r="C165" s="252">
        <v>1</v>
      </c>
      <c r="D165" s="253">
        <v>1465.88</v>
      </c>
      <c r="E165" s="254">
        <f t="shared" si="86"/>
        <v>1465.88</v>
      </c>
      <c r="F165" s="255">
        <f t="shared" si="90"/>
        <v>515.09394444444456</v>
      </c>
      <c r="G165" s="256">
        <f t="shared" si="91"/>
        <v>18.730688888888892</v>
      </c>
      <c r="H165" s="256">
        <f t="shared" si="92"/>
        <v>149.84551111111114</v>
      </c>
      <c r="I165" s="256">
        <f t="shared" si="98"/>
        <v>59.938204444444459</v>
      </c>
      <c r="J165" s="256">
        <f t="shared" si="99"/>
        <v>122.15666666666668</v>
      </c>
      <c r="K165" s="256">
        <f t="shared" si="93"/>
        <v>122.15666666666668</v>
      </c>
      <c r="L165" s="256">
        <f t="shared" si="94"/>
        <v>40.718888888888891</v>
      </c>
      <c r="M165" s="256">
        <f t="shared" si="95"/>
        <v>122.15666666666668</v>
      </c>
      <c r="N165" s="255">
        <v>0</v>
      </c>
      <c r="O165" s="256">
        <v>0</v>
      </c>
      <c r="P165" s="256">
        <f t="shared" si="112"/>
        <v>17.101933333333335</v>
      </c>
      <c r="Q165" s="256">
        <f t="shared" si="113"/>
        <v>3.4203866666666674</v>
      </c>
      <c r="R165" s="256">
        <v>0</v>
      </c>
      <c r="S165" s="257">
        <v>0</v>
      </c>
      <c r="T165" s="256">
        <v>0</v>
      </c>
      <c r="U165" s="258">
        <f t="shared" si="87"/>
        <v>1171.3195577777778</v>
      </c>
      <c r="V165" s="256">
        <f t="shared" si="114"/>
        <v>111.67</v>
      </c>
      <c r="W165" s="256">
        <v>529.20000000000005</v>
      </c>
      <c r="X165" s="256">
        <f t="shared" si="108"/>
        <v>29</v>
      </c>
      <c r="Y165" s="256">
        <f t="shared" si="100"/>
        <v>10.119999999999999</v>
      </c>
      <c r="Z165" s="256">
        <f t="shared" si="96"/>
        <v>17.5</v>
      </c>
      <c r="AA165" s="256">
        <f t="shared" si="101"/>
        <v>24.95</v>
      </c>
      <c r="AB165" s="256">
        <f t="shared" si="97"/>
        <v>230.68</v>
      </c>
      <c r="AC165" s="189">
        <f t="shared" si="88"/>
        <v>953.12000000000012</v>
      </c>
      <c r="AD165" s="259">
        <f t="shared" si="89"/>
        <v>3590.3195577777778</v>
      </c>
    </row>
    <row r="166" spans="1:30" s="160" customFormat="1">
      <c r="A166" s="250">
        <v>161</v>
      </c>
      <c r="B166" s="251" t="s">
        <v>431</v>
      </c>
      <c r="C166" s="252">
        <v>1</v>
      </c>
      <c r="D166" s="253">
        <v>1537.21</v>
      </c>
      <c r="E166" s="254">
        <f t="shared" si="86"/>
        <v>1537.21</v>
      </c>
      <c r="F166" s="255">
        <f t="shared" si="90"/>
        <v>540.15851388888905</v>
      </c>
      <c r="G166" s="256">
        <f t="shared" si="91"/>
        <v>19.64212777777778</v>
      </c>
      <c r="H166" s="256">
        <f t="shared" si="92"/>
        <v>157.13702222222224</v>
      </c>
      <c r="I166" s="256">
        <f t="shared" si="98"/>
        <v>62.854808888888897</v>
      </c>
      <c r="J166" s="256">
        <f t="shared" si="99"/>
        <v>128.10083333333333</v>
      </c>
      <c r="K166" s="256">
        <f t="shared" si="93"/>
        <v>128.10083333333333</v>
      </c>
      <c r="L166" s="256">
        <f t="shared" si="94"/>
        <v>42.700277777777778</v>
      </c>
      <c r="M166" s="256">
        <f t="shared" si="95"/>
        <v>128.10083333333333</v>
      </c>
      <c r="N166" s="255">
        <v>0</v>
      </c>
      <c r="O166" s="256">
        <v>0</v>
      </c>
      <c r="P166" s="256">
        <f t="shared" si="112"/>
        <v>17.934116666666668</v>
      </c>
      <c r="Q166" s="256">
        <f t="shared" si="113"/>
        <v>3.5868233333333337</v>
      </c>
      <c r="R166" s="256">
        <v>0</v>
      </c>
      <c r="S166" s="257">
        <v>0</v>
      </c>
      <c r="T166" s="256">
        <v>0</v>
      </c>
      <c r="U166" s="258">
        <f t="shared" si="87"/>
        <v>1228.3161905555557</v>
      </c>
      <c r="V166" s="256">
        <f t="shared" si="114"/>
        <v>111.67</v>
      </c>
      <c r="W166" s="256">
        <v>529.20000000000005</v>
      </c>
      <c r="X166" s="256">
        <f t="shared" si="108"/>
        <v>29</v>
      </c>
      <c r="Y166" s="256">
        <f t="shared" si="100"/>
        <v>10.119999999999999</v>
      </c>
      <c r="Z166" s="256">
        <f t="shared" si="96"/>
        <v>17.5</v>
      </c>
      <c r="AA166" s="256">
        <f t="shared" si="101"/>
        <v>24.95</v>
      </c>
      <c r="AB166" s="256">
        <f t="shared" si="97"/>
        <v>230.68</v>
      </c>
      <c r="AC166" s="189">
        <f t="shared" si="88"/>
        <v>953.12000000000012</v>
      </c>
      <c r="AD166" s="259">
        <f t="shared" si="89"/>
        <v>3718.6461905555561</v>
      </c>
    </row>
    <row r="167" spans="1:30" s="160" customFormat="1">
      <c r="A167" s="250">
        <v>162</v>
      </c>
      <c r="B167" s="251" t="s">
        <v>435</v>
      </c>
      <c r="C167" s="252">
        <v>2</v>
      </c>
      <c r="D167" s="253">
        <v>2010.96</v>
      </c>
      <c r="E167" s="254">
        <f t="shared" si="86"/>
        <v>4021.92</v>
      </c>
      <c r="F167" s="255">
        <f t="shared" si="90"/>
        <v>1632.0057600000002</v>
      </c>
      <c r="G167" s="256">
        <f t="shared" si="91"/>
        <v>59.345664000000006</v>
      </c>
      <c r="H167" s="256">
        <f t="shared" si="92"/>
        <v>474.76531200000005</v>
      </c>
      <c r="I167" s="256">
        <f t="shared" si="98"/>
        <v>189.90612480000004</v>
      </c>
      <c r="J167" s="256">
        <f t="shared" si="99"/>
        <v>498.27119999999996</v>
      </c>
      <c r="K167" s="256">
        <f t="shared" si="93"/>
        <v>498.27119999999996</v>
      </c>
      <c r="L167" s="256">
        <f t="shared" si="94"/>
        <v>145.23600000000002</v>
      </c>
      <c r="M167" s="256">
        <f t="shared" si="95"/>
        <v>368.67599999999999</v>
      </c>
      <c r="N167" s="255">
        <v>0</v>
      </c>
      <c r="O167" s="256">
        <v>0</v>
      </c>
      <c r="P167" s="256">
        <f>(R167+E167)/210*1.75*1.2</f>
        <v>52.284959999999998</v>
      </c>
      <c r="Q167" s="256">
        <f>P167/6</f>
        <v>8.7141599999999997</v>
      </c>
      <c r="R167" s="256">
        <f>E167*30%</f>
        <v>1206.576</v>
      </c>
      <c r="S167" s="257">
        <f>(D167*10%)*C167</f>
        <v>402.19200000000001</v>
      </c>
      <c r="T167" s="256">
        <f>(E167+R167+N167+O167)/30*2</f>
        <v>348.56639999999999</v>
      </c>
      <c r="U167" s="258">
        <f t="shared" si="87"/>
        <v>5884.8107808000004</v>
      </c>
      <c r="V167" s="256">
        <f>C167*76.14</f>
        <v>152.28</v>
      </c>
      <c r="W167" s="256">
        <f>C167*529.2</f>
        <v>1058.4000000000001</v>
      </c>
      <c r="X167" s="256">
        <f t="shared" si="108"/>
        <v>58</v>
      </c>
      <c r="Y167" s="256">
        <f t="shared" si="100"/>
        <v>20.239999999999998</v>
      </c>
      <c r="Z167" s="256">
        <f t="shared" si="96"/>
        <v>35</v>
      </c>
      <c r="AA167" s="256">
        <f t="shared" si="101"/>
        <v>49.9</v>
      </c>
      <c r="AB167" s="256">
        <f t="shared" si="97"/>
        <v>461.36</v>
      </c>
      <c r="AC167" s="189">
        <f t="shared" si="88"/>
        <v>1835.1800000000003</v>
      </c>
      <c r="AD167" s="259">
        <f t="shared" si="89"/>
        <v>11741.910780800001</v>
      </c>
    </row>
    <row r="168" spans="1:30" s="160" customFormat="1">
      <c r="A168" s="250">
        <v>163</v>
      </c>
      <c r="B168" s="251" t="s">
        <v>432</v>
      </c>
      <c r="C168" s="252">
        <v>12</v>
      </c>
      <c r="D168" s="253">
        <v>2010.96</v>
      </c>
      <c r="E168" s="254">
        <f t="shared" si="86"/>
        <v>24131.52</v>
      </c>
      <c r="F168" s="255">
        <f t="shared" si="90"/>
        <v>8962.5135600000012</v>
      </c>
      <c r="G168" s="256">
        <f t="shared" si="91"/>
        <v>325.90958400000005</v>
      </c>
      <c r="H168" s="256">
        <f t="shared" si="92"/>
        <v>2607.2766720000004</v>
      </c>
      <c r="I168" s="256">
        <f t="shared" si="98"/>
        <v>1042.9106688000002</v>
      </c>
      <c r="J168" s="256">
        <f t="shared" si="99"/>
        <v>2788.5311999999999</v>
      </c>
      <c r="K168" s="256">
        <f t="shared" si="93"/>
        <v>2788.5311999999999</v>
      </c>
      <c r="L168" s="256">
        <f t="shared" si="94"/>
        <v>871.41600000000005</v>
      </c>
      <c r="M168" s="256">
        <f t="shared" si="95"/>
        <v>2010.96</v>
      </c>
      <c r="N168" s="255">
        <v>0</v>
      </c>
      <c r="O168" s="256">
        <v>0</v>
      </c>
      <c r="P168" s="256">
        <f>(R168+E168)/210*1.75*1.2</f>
        <v>313.70976000000002</v>
      </c>
      <c r="Q168" s="256">
        <f>P168/6</f>
        <v>52.284960000000005</v>
      </c>
      <c r="R168" s="256">
        <f>E168*30%</f>
        <v>7239.4560000000001</v>
      </c>
      <c r="S168" s="257"/>
      <c r="T168" s="256">
        <f t="shared" ref="T168:T170" si="115">(E168+R168+N168+O168)/30*2</f>
        <v>2091.3984</v>
      </c>
      <c r="U168" s="258">
        <f t="shared" si="87"/>
        <v>31094.898004800001</v>
      </c>
      <c r="V168" s="256">
        <f t="shared" ref="V168:V170" si="116">C168*76.14</f>
        <v>913.68000000000006</v>
      </c>
      <c r="W168" s="256">
        <f>C168*529.2</f>
        <v>6350.4000000000005</v>
      </c>
      <c r="X168" s="256">
        <f t="shared" si="108"/>
        <v>348</v>
      </c>
      <c r="Y168" s="256">
        <f t="shared" si="100"/>
        <v>121.44</v>
      </c>
      <c r="Z168" s="256">
        <f t="shared" si="96"/>
        <v>210</v>
      </c>
      <c r="AA168" s="256">
        <f t="shared" si="101"/>
        <v>299.39999999999998</v>
      </c>
      <c r="AB168" s="256">
        <f t="shared" si="97"/>
        <v>2768.16</v>
      </c>
      <c r="AC168" s="189">
        <f t="shared" si="88"/>
        <v>11011.08</v>
      </c>
      <c r="AD168" s="259">
        <f t="shared" si="89"/>
        <v>66237.4980048</v>
      </c>
    </row>
    <row r="169" spans="1:30" s="160" customFormat="1">
      <c r="A169" s="250">
        <v>164</v>
      </c>
      <c r="B169" s="251" t="s">
        <v>433</v>
      </c>
      <c r="C169" s="252">
        <v>2</v>
      </c>
      <c r="D169" s="253">
        <v>2010.96</v>
      </c>
      <c r="E169" s="254">
        <f t="shared" si="86"/>
        <v>4021.92</v>
      </c>
      <c r="F169" s="255">
        <f t="shared" si="90"/>
        <v>1677.4484906666671</v>
      </c>
      <c r="G169" s="256">
        <f t="shared" si="91"/>
        <v>60.998126933333346</v>
      </c>
      <c r="H169" s="256">
        <f t="shared" si="92"/>
        <v>487.98501546666677</v>
      </c>
      <c r="I169" s="256">
        <f t="shared" si="98"/>
        <v>195.19400618666671</v>
      </c>
      <c r="J169" s="256">
        <f t="shared" si="99"/>
        <v>580.89434666666671</v>
      </c>
      <c r="K169" s="256">
        <f t="shared" si="93"/>
        <v>580.89434666666671</v>
      </c>
      <c r="L169" s="256">
        <f t="shared" si="94"/>
        <v>145.23600000000002</v>
      </c>
      <c r="M169" s="256">
        <f t="shared" si="95"/>
        <v>368.67599999999999</v>
      </c>
      <c r="N169" s="255">
        <f>(R169+E169)/210*20%*160</f>
        <v>796.72320000000013</v>
      </c>
      <c r="O169" s="256">
        <f>N169/6</f>
        <v>132.78720000000001</v>
      </c>
      <c r="P169" s="256">
        <f>(R169+E169)/210*1.75*1.2</f>
        <v>52.284959999999998</v>
      </c>
      <c r="Q169" s="256">
        <f>P169/6</f>
        <v>8.7141599999999997</v>
      </c>
      <c r="R169" s="256">
        <f>E169*30%</f>
        <v>1206.576</v>
      </c>
      <c r="S169" s="257">
        <f t="shared" ref="S169" si="117">(D169*10%)*C169</f>
        <v>402.19200000000001</v>
      </c>
      <c r="T169" s="256">
        <f t="shared" si="115"/>
        <v>410.53376000000003</v>
      </c>
      <c r="U169" s="258">
        <f t="shared" si="87"/>
        <v>7107.1376125866691</v>
      </c>
      <c r="V169" s="256">
        <f t="shared" si="116"/>
        <v>152.28</v>
      </c>
      <c r="W169" s="256">
        <f>C169*529.2</f>
        <v>1058.4000000000001</v>
      </c>
      <c r="X169" s="256">
        <f t="shared" si="108"/>
        <v>58</v>
      </c>
      <c r="Y169" s="256">
        <f t="shared" si="100"/>
        <v>20.239999999999998</v>
      </c>
      <c r="Z169" s="256">
        <f t="shared" si="96"/>
        <v>35</v>
      </c>
      <c r="AA169" s="256">
        <f t="shared" si="101"/>
        <v>49.9</v>
      </c>
      <c r="AB169" s="256">
        <f t="shared" si="97"/>
        <v>461.36</v>
      </c>
      <c r="AC169" s="189">
        <f t="shared" si="88"/>
        <v>1835.1800000000003</v>
      </c>
      <c r="AD169" s="259">
        <f t="shared" si="89"/>
        <v>12964.237612586669</v>
      </c>
    </row>
    <row r="170" spans="1:30" s="160" customFormat="1">
      <c r="A170" s="250">
        <v>165</v>
      </c>
      <c r="B170" s="251" t="s">
        <v>434</v>
      </c>
      <c r="C170" s="252">
        <v>6</v>
      </c>
      <c r="D170" s="253">
        <v>2010.96</v>
      </c>
      <c r="E170" s="254">
        <f t="shared" si="86"/>
        <v>12065.76</v>
      </c>
      <c r="F170" s="255">
        <f t="shared" si="90"/>
        <v>4617.5849719999997</v>
      </c>
      <c r="G170" s="256">
        <f t="shared" si="91"/>
        <v>167.91218079999999</v>
      </c>
      <c r="H170" s="256">
        <f t="shared" si="92"/>
        <v>1343.2974463999999</v>
      </c>
      <c r="I170" s="256">
        <f t="shared" si="98"/>
        <v>537.31897856000001</v>
      </c>
      <c r="J170" s="256">
        <f t="shared" si="99"/>
        <v>1642.1350399999999</v>
      </c>
      <c r="K170" s="256">
        <f t="shared" si="93"/>
        <v>1642.1350399999999</v>
      </c>
      <c r="L170" s="256">
        <f t="shared" si="94"/>
        <v>435.70800000000003</v>
      </c>
      <c r="M170" s="256">
        <f t="shared" si="95"/>
        <v>1005.48</v>
      </c>
      <c r="N170" s="255">
        <f>(R170+E170)/210*20%*160</f>
        <v>2390.1696000000002</v>
      </c>
      <c r="O170" s="256">
        <f>N170/6</f>
        <v>398.36160000000001</v>
      </c>
      <c r="P170" s="256">
        <f>(R170+E170)/210*1.75*1.2</f>
        <v>156.85488000000001</v>
      </c>
      <c r="Q170" s="256">
        <f>P170/6</f>
        <v>26.142480000000003</v>
      </c>
      <c r="R170" s="256">
        <f>E170*30%</f>
        <v>3619.7280000000001</v>
      </c>
      <c r="S170" s="257">
        <v>0</v>
      </c>
      <c r="T170" s="256">
        <f t="shared" si="115"/>
        <v>1231.6012800000001</v>
      </c>
      <c r="U170" s="258">
        <f t="shared" si="87"/>
        <v>19214.429497759997</v>
      </c>
      <c r="V170" s="256">
        <f t="shared" si="116"/>
        <v>456.84000000000003</v>
      </c>
      <c r="W170" s="256">
        <f>C170*529.2</f>
        <v>3175.2000000000003</v>
      </c>
      <c r="X170" s="256">
        <f t="shared" si="108"/>
        <v>174</v>
      </c>
      <c r="Y170" s="256">
        <f t="shared" si="100"/>
        <v>60.72</v>
      </c>
      <c r="Z170" s="256">
        <f t="shared" si="96"/>
        <v>105</v>
      </c>
      <c r="AA170" s="256">
        <f t="shared" si="101"/>
        <v>149.69999999999999</v>
      </c>
      <c r="AB170" s="256">
        <f t="shared" si="97"/>
        <v>1384.08</v>
      </c>
      <c r="AC170" s="189">
        <f t="shared" si="88"/>
        <v>5505.54</v>
      </c>
      <c r="AD170" s="259">
        <f t="shared" si="89"/>
        <v>36785.729497759996</v>
      </c>
    </row>
    <row r="171" spans="1:30" s="160" customFormat="1">
      <c r="A171" s="250">
        <v>166</v>
      </c>
      <c r="B171" s="251" t="s">
        <v>460</v>
      </c>
      <c r="C171" s="252">
        <v>1</v>
      </c>
      <c r="D171" s="253">
        <v>6879.6</v>
      </c>
      <c r="E171" s="254">
        <f t="shared" si="86"/>
        <v>6879.6</v>
      </c>
      <c r="F171" s="255">
        <f t="shared" si="90"/>
        <v>2417.4150000000004</v>
      </c>
      <c r="G171" s="256">
        <f t="shared" si="91"/>
        <v>87.906000000000006</v>
      </c>
      <c r="H171" s="256">
        <f t="shared" si="92"/>
        <v>703.24800000000005</v>
      </c>
      <c r="I171" s="256">
        <f t="shared" si="98"/>
        <v>281.29920000000004</v>
      </c>
      <c r="J171" s="256">
        <f t="shared" si="99"/>
        <v>573.30000000000007</v>
      </c>
      <c r="K171" s="256">
        <f t="shared" si="93"/>
        <v>573.30000000000007</v>
      </c>
      <c r="L171" s="256">
        <f t="shared" si="94"/>
        <v>191.10000000000002</v>
      </c>
      <c r="M171" s="256">
        <f t="shared" si="95"/>
        <v>573.30000000000007</v>
      </c>
      <c r="N171" s="255">
        <v>0</v>
      </c>
      <c r="O171" s="256">
        <v>0</v>
      </c>
      <c r="P171" s="256">
        <v>0</v>
      </c>
      <c r="Q171" s="256">
        <v>0</v>
      </c>
      <c r="R171" s="256">
        <v>0</v>
      </c>
      <c r="S171" s="257">
        <v>0</v>
      </c>
      <c r="T171" s="256">
        <v>0</v>
      </c>
      <c r="U171" s="258">
        <f t="shared" si="87"/>
        <v>5400.8682000000008</v>
      </c>
      <c r="V171" s="256">
        <v>0</v>
      </c>
      <c r="W171" s="256">
        <v>529.20000000000005</v>
      </c>
      <c r="X171" s="256">
        <f t="shared" si="108"/>
        <v>29</v>
      </c>
      <c r="Y171" s="256">
        <f t="shared" si="100"/>
        <v>10.119999999999999</v>
      </c>
      <c r="Z171" s="256">
        <f t="shared" si="96"/>
        <v>17.5</v>
      </c>
      <c r="AA171" s="256">
        <f t="shared" si="101"/>
        <v>24.95</v>
      </c>
      <c r="AB171" s="256">
        <f t="shared" si="97"/>
        <v>230.68</v>
      </c>
      <c r="AC171" s="189">
        <f t="shared" si="88"/>
        <v>841.45</v>
      </c>
      <c r="AD171" s="259">
        <f t="shared" si="89"/>
        <v>13121.918200000002</v>
      </c>
    </row>
    <row r="172" spans="1:30" s="160" customFormat="1">
      <c r="A172" s="250">
        <v>167</v>
      </c>
      <c r="B172" s="251" t="s">
        <v>422</v>
      </c>
      <c r="C172" s="252">
        <v>1</v>
      </c>
      <c r="D172" s="253">
        <v>3993.98</v>
      </c>
      <c r="E172" s="254">
        <f t="shared" si="86"/>
        <v>3993.98</v>
      </c>
      <c r="F172" s="255">
        <f t="shared" si="90"/>
        <v>1467.5102902777778</v>
      </c>
      <c r="G172" s="256">
        <f t="shared" si="91"/>
        <v>53.364010555555552</v>
      </c>
      <c r="H172" s="256">
        <f t="shared" si="92"/>
        <v>426.91208444444442</v>
      </c>
      <c r="I172" s="256">
        <f t="shared" si="98"/>
        <v>170.76483377777777</v>
      </c>
      <c r="J172" s="256">
        <f t="shared" si="99"/>
        <v>432.68116666666668</v>
      </c>
      <c r="K172" s="256">
        <f t="shared" si="93"/>
        <v>432.68116666666668</v>
      </c>
      <c r="L172" s="256">
        <f t="shared" si="94"/>
        <v>144.22705555555555</v>
      </c>
      <c r="M172" s="256">
        <f t="shared" si="95"/>
        <v>332.83166666666665</v>
      </c>
      <c r="N172" s="255">
        <v>0</v>
      </c>
      <c r="O172" s="256">
        <v>0</v>
      </c>
      <c r="P172" s="256">
        <v>0</v>
      </c>
      <c r="Q172" s="256">
        <v>0</v>
      </c>
      <c r="R172" s="256">
        <f>E172*30%</f>
        <v>1198.194</v>
      </c>
      <c r="S172" s="257">
        <v>0</v>
      </c>
      <c r="T172" s="256">
        <v>0</v>
      </c>
      <c r="U172" s="258">
        <f t="shared" si="87"/>
        <v>4659.1662746111106</v>
      </c>
      <c r="V172" s="256">
        <v>0</v>
      </c>
      <c r="W172" s="256">
        <v>529.20000000000005</v>
      </c>
      <c r="X172" s="256">
        <f t="shared" si="108"/>
        <v>29</v>
      </c>
      <c r="Y172" s="256">
        <f t="shared" si="100"/>
        <v>10.119999999999999</v>
      </c>
      <c r="Z172" s="256">
        <f t="shared" si="96"/>
        <v>17.5</v>
      </c>
      <c r="AA172" s="256">
        <f t="shared" si="101"/>
        <v>24.95</v>
      </c>
      <c r="AB172" s="256">
        <f t="shared" si="97"/>
        <v>230.68</v>
      </c>
      <c r="AC172" s="189">
        <f t="shared" si="88"/>
        <v>841.45</v>
      </c>
      <c r="AD172" s="259">
        <f t="shared" si="89"/>
        <v>9494.5962746111109</v>
      </c>
    </row>
    <row r="173" spans="1:30" s="160" customFormat="1">
      <c r="A173" s="250">
        <v>168</v>
      </c>
      <c r="B173" s="251" t="s">
        <v>423</v>
      </c>
      <c r="C173" s="252">
        <v>1</v>
      </c>
      <c r="D173" s="253">
        <v>2751.84</v>
      </c>
      <c r="E173" s="254">
        <f t="shared" si="86"/>
        <v>2751.84</v>
      </c>
      <c r="F173" s="255">
        <f t="shared" si="90"/>
        <v>966.96600000000024</v>
      </c>
      <c r="G173" s="256">
        <f t="shared" si="91"/>
        <v>35.162400000000005</v>
      </c>
      <c r="H173" s="256">
        <f t="shared" si="92"/>
        <v>281.29920000000004</v>
      </c>
      <c r="I173" s="256">
        <f t="shared" si="98"/>
        <v>112.51968000000002</v>
      </c>
      <c r="J173" s="256">
        <f t="shared" si="99"/>
        <v>229.32000000000002</v>
      </c>
      <c r="K173" s="256">
        <f t="shared" si="93"/>
        <v>229.32000000000002</v>
      </c>
      <c r="L173" s="256">
        <f t="shared" si="94"/>
        <v>76.440000000000012</v>
      </c>
      <c r="M173" s="256">
        <f t="shared" si="95"/>
        <v>229.32000000000002</v>
      </c>
      <c r="N173" s="255">
        <v>0</v>
      </c>
      <c r="O173" s="256">
        <v>0</v>
      </c>
      <c r="P173" s="256">
        <f>E173/150*1.75</f>
        <v>32.104800000000004</v>
      </c>
      <c r="Q173" s="256">
        <f>P173/25*5</f>
        <v>6.4209600000000009</v>
      </c>
      <c r="R173" s="256">
        <v>0</v>
      </c>
      <c r="S173" s="257">
        <v>0</v>
      </c>
      <c r="T173" s="256">
        <v>0</v>
      </c>
      <c r="U173" s="258">
        <f t="shared" si="87"/>
        <v>2198.8730400000004</v>
      </c>
      <c r="V173" s="256">
        <f>C173*136.49</f>
        <v>136.49</v>
      </c>
      <c r="W173" s="256">
        <v>529.20000000000005</v>
      </c>
      <c r="X173" s="256">
        <f t="shared" si="108"/>
        <v>29</v>
      </c>
      <c r="Y173" s="256">
        <f t="shared" si="100"/>
        <v>10.119999999999999</v>
      </c>
      <c r="Z173" s="256">
        <f t="shared" si="96"/>
        <v>17.5</v>
      </c>
      <c r="AA173" s="256">
        <f t="shared" si="101"/>
        <v>24.95</v>
      </c>
      <c r="AB173" s="256">
        <f t="shared" si="97"/>
        <v>230.68</v>
      </c>
      <c r="AC173" s="189">
        <f t="shared" si="88"/>
        <v>977.94</v>
      </c>
      <c r="AD173" s="259">
        <f t="shared" si="89"/>
        <v>5928.6530400000011</v>
      </c>
    </row>
    <row r="174" spans="1:30" s="160" customFormat="1">
      <c r="A174" s="250">
        <v>169</v>
      </c>
      <c r="B174" s="251" t="s">
        <v>424</v>
      </c>
      <c r="C174" s="252">
        <v>1</v>
      </c>
      <c r="D174" s="253">
        <v>2751.84</v>
      </c>
      <c r="E174" s="254">
        <f t="shared" si="86"/>
        <v>2751.84</v>
      </c>
      <c r="F174" s="255">
        <f t="shared" si="90"/>
        <v>966.96600000000024</v>
      </c>
      <c r="G174" s="256">
        <f t="shared" si="91"/>
        <v>35.162400000000005</v>
      </c>
      <c r="H174" s="256">
        <f t="shared" si="92"/>
        <v>281.29920000000004</v>
      </c>
      <c r="I174" s="256">
        <f t="shared" si="98"/>
        <v>112.51968000000002</v>
      </c>
      <c r="J174" s="256">
        <f t="shared" si="99"/>
        <v>229.32000000000002</v>
      </c>
      <c r="K174" s="256">
        <f t="shared" si="93"/>
        <v>229.32000000000002</v>
      </c>
      <c r="L174" s="256">
        <f t="shared" si="94"/>
        <v>76.440000000000012</v>
      </c>
      <c r="M174" s="256">
        <f t="shared" si="95"/>
        <v>229.32000000000002</v>
      </c>
      <c r="N174" s="255">
        <v>0</v>
      </c>
      <c r="O174" s="256">
        <v>0</v>
      </c>
      <c r="P174" s="256">
        <f t="shared" ref="P174:P181" si="118">E174/150*1.75</f>
        <v>32.104800000000004</v>
      </c>
      <c r="Q174" s="256">
        <f t="shared" ref="Q174:Q181" si="119">P174/25*5</f>
        <v>6.4209600000000009</v>
      </c>
      <c r="R174" s="256">
        <v>0</v>
      </c>
      <c r="S174" s="257">
        <v>0</v>
      </c>
      <c r="T174" s="256">
        <v>0</v>
      </c>
      <c r="U174" s="258">
        <f t="shared" si="87"/>
        <v>2198.8730400000004</v>
      </c>
      <c r="V174" s="256">
        <f t="shared" ref="V174:V181" si="120">C174*136.49</f>
        <v>136.49</v>
      </c>
      <c r="W174" s="256">
        <v>529.20000000000005</v>
      </c>
      <c r="X174" s="256">
        <f t="shared" si="108"/>
        <v>29</v>
      </c>
      <c r="Y174" s="256">
        <f t="shared" si="100"/>
        <v>10.119999999999999</v>
      </c>
      <c r="Z174" s="256">
        <f t="shared" si="96"/>
        <v>17.5</v>
      </c>
      <c r="AA174" s="256">
        <f t="shared" si="101"/>
        <v>24.95</v>
      </c>
      <c r="AB174" s="256">
        <f t="shared" si="97"/>
        <v>230.68</v>
      </c>
      <c r="AC174" s="189">
        <f t="shared" si="88"/>
        <v>977.94</v>
      </c>
      <c r="AD174" s="259">
        <f t="shared" si="89"/>
        <v>5928.6530400000011</v>
      </c>
    </row>
    <row r="175" spans="1:30" s="160" customFormat="1">
      <c r="A175" s="250">
        <v>170</v>
      </c>
      <c r="B175" s="251" t="s">
        <v>425</v>
      </c>
      <c r="C175" s="252">
        <v>1</v>
      </c>
      <c r="D175" s="253">
        <v>2751.84</v>
      </c>
      <c r="E175" s="254">
        <f t="shared" si="86"/>
        <v>2751.84</v>
      </c>
      <c r="F175" s="255">
        <f t="shared" si="90"/>
        <v>966.96600000000024</v>
      </c>
      <c r="G175" s="256">
        <f t="shared" si="91"/>
        <v>35.162400000000005</v>
      </c>
      <c r="H175" s="256">
        <f t="shared" si="92"/>
        <v>281.29920000000004</v>
      </c>
      <c r="I175" s="256">
        <f t="shared" si="98"/>
        <v>112.51968000000002</v>
      </c>
      <c r="J175" s="256">
        <f t="shared" si="99"/>
        <v>229.32000000000002</v>
      </c>
      <c r="K175" s="256">
        <f t="shared" si="93"/>
        <v>229.32000000000002</v>
      </c>
      <c r="L175" s="256">
        <f t="shared" si="94"/>
        <v>76.440000000000012</v>
      </c>
      <c r="M175" s="256">
        <f t="shared" si="95"/>
        <v>229.32000000000002</v>
      </c>
      <c r="N175" s="255">
        <v>0</v>
      </c>
      <c r="O175" s="256">
        <v>0</v>
      </c>
      <c r="P175" s="256">
        <f t="shared" si="118"/>
        <v>32.104800000000004</v>
      </c>
      <c r="Q175" s="256">
        <f t="shared" si="119"/>
        <v>6.4209600000000009</v>
      </c>
      <c r="R175" s="256">
        <v>0</v>
      </c>
      <c r="S175" s="257">
        <v>0</v>
      </c>
      <c r="T175" s="256">
        <v>0</v>
      </c>
      <c r="U175" s="258">
        <f t="shared" si="87"/>
        <v>2198.8730400000004</v>
      </c>
      <c r="V175" s="256">
        <f t="shared" si="120"/>
        <v>136.49</v>
      </c>
      <c r="W175" s="256">
        <v>529.20000000000005</v>
      </c>
      <c r="X175" s="256">
        <f t="shared" si="108"/>
        <v>29</v>
      </c>
      <c r="Y175" s="256">
        <f t="shared" si="100"/>
        <v>10.119999999999999</v>
      </c>
      <c r="Z175" s="256">
        <f t="shared" si="96"/>
        <v>17.5</v>
      </c>
      <c r="AA175" s="256">
        <f t="shared" si="101"/>
        <v>24.95</v>
      </c>
      <c r="AB175" s="256">
        <f t="shared" si="97"/>
        <v>230.68</v>
      </c>
      <c r="AC175" s="189">
        <f t="shared" si="88"/>
        <v>977.94</v>
      </c>
      <c r="AD175" s="259">
        <f t="shared" si="89"/>
        <v>5928.6530400000011</v>
      </c>
    </row>
    <row r="176" spans="1:30" s="160" customFormat="1">
      <c r="A176" s="250">
        <v>171</v>
      </c>
      <c r="B176" s="251" t="s">
        <v>426</v>
      </c>
      <c r="C176" s="252">
        <v>1</v>
      </c>
      <c r="D176" s="253">
        <v>2751.84</v>
      </c>
      <c r="E176" s="254">
        <f t="shared" si="86"/>
        <v>2751.84</v>
      </c>
      <c r="F176" s="255">
        <f t="shared" si="90"/>
        <v>966.96600000000024</v>
      </c>
      <c r="G176" s="256">
        <f t="shared" si="91"/>
        <v>35.162400000000005</v>
      </c>
      <c r="H176" s="256">
        <f t="shared" si="92"/>
        <v>281.29920000000004</v>
      </c>
      <c r="I176" s="256">
        <f t="shared" si="98"/>
        <v>112.51968000000002</v>
      </c>
      <c r="J176" s="256">
        <f t="shared" si="99"/>
        <v>229.32000000000002</v>
      </c>
      <c r="K176" s="256">
        <f t="shared" si="93"/>
        <v>229.32000000000002</v>
      </c>
      <c r="L176" s="256">
        <f t="shared" si="94"/>
        <v>76.440000000000012</v>
      </c>
      <c r="M176" s="256">
        <f t="shared" si="95"/>
        <v>229.32000000000002</v>
      </c>
      <c r="N176" s="255">
        <v>0</v>
      </c>
      <c r="O176" s="256">
        <v>0</v>
      </c>
      <c r="P176" s="256">
        <f t="shared" si="118"/>
        <v>32.104800000000004</v>
      </c>
      <c r="Q176" s="256">
        <f t="shared" si="119"/>
        <v>6.4209600000000009</v>
      </c>
      <c r="R176" s="256">
        <v>0</v>
      </c>
      <c r="S176" s="257">
        <v>0</v>
      </c>
      <c r="T176" s="256">
        <v>0</v>
      </c>
      <c r="U176" s="258">
        <f t="shared" si="87"/>
        <v>2198.8730400000004</v>
      </c>
      <c r="V176" s="256">
        <f t="shared" si="120"/>
        <v>136.49</v>
      </c>
      <c r="W176" s="256">
        <v>529.20000000000005</v>
      </c>
      <c r="X176" s="256">
        <f t="shared" si="108"/>
        <v>29</v>
      </c>
      <c r="Y176" s="256">
        <f t="shared" si="100"/>
        <v>10.119999999999999</v>
      </c>
      <c r="Z176" s="256">
        <f t="shared" si="96"/>
        <v>17.5</v>
      </c>
      <c r="AA176" s="256">
        <f t="shared" si="101"/>
        <v>24.95</v>
      </c>
      <c r="AB176" s="256">
        <f t="shared" si="97"/>
        <v>230.68</v>
      </c>
      <c r="AC176" s="189">
        <f t="shared" si="88"/>
        <v>977.94</v>
      </c>
      <c r="AD176" s="259">
        <f t="shared" si="89"/>
        <v>5928.6530400000011</v>
      </c>
    </row>
    <row r="177" spans="1:30" s="160" customFormat="1">
      <c r="A177" s="250">
        <v>172</v>
      </c>
      <c r="B177" s="251" t="s">
        <v>427</v>
      </c>
      <c r="C177" s="252">
        <v>1</v>
      </c>
      <c r="D177" s="253">
        <v>2751.84</v>
      </c>
      <c r="E177" s="254">
        <f t="shared" si="86"/>
        <v>2751.84</v>
      </c>
      <c r="F177" s="255">
        <f t="shared" si="90"/>
        <v>966.96600000000024</v>
      </c>
      <c r="G177" s="256">
        <f t="shared" si="91"/>
        <v>35.162400000000005</v>
      </c>
      <c r="H177" s="256">
        <f t="shared" si="92"/>
        <v>281.29920000000004</v>
      </c>
      <c r="I177" s="256">
        <f t="shared" si="98"/>
        <v>112.51968000000002</v>
      </c>
      <c r="J177" s="256">
        <f t="shared" si="99"/>
        <v>229.32000000000002</v>
      </c>
      <c r="K177" s="256">
        <f t="shared" si="93"/>
        <v>229.32000000000002</v>
      </c>
      <c r="L177" s="256">
        <f t="shared" si="94"/>
        <v>76.440000000000012</v>
      </c>
      <c r="M177" s="256">
        <f t="shared" si="95"/>
        <v>229.32000000000002</v>
      </c>
      <c r="N177" s="255">
        <v>0</v>
      </c>
      <c r="O177" s="256">
        <v>0</v>
      </c>
      <c r="P177" s="256">
        <f t="shared" si="118"/>
        <v>32.104800000000004</v>
      </c>
      <c r="Q177" s="256">
        <f t="shared" si="119"/>
        <v>6.4209600000000009</v>
      </c>
      <c r="R177" s="256">
        <v>0</v>
      </c>
      <c r="S177" s="257">
        <v>0</v>
      </c>
      <c r="T177" s="256">
        <v>0</v>
      </c>
      <c r="U177" s="258">
        <f t="shared" si="87"/>
        <v>2198.8730400000004</v>
      </c>
      <c r="V177" s="256">
        <f t="shared" si="120"/>
        <v>136.49</v>
      </c>
      <c r="W177" s="256">
        <v>529.20000000000005</v>
      </c>
      <c r="X177" s="256">
        <f t="shared" si="108"/>
        <v>29</v>
      </c>
      <c r="Y177" s="256">
        <f t="shared" si="100"/>
        <v>10.119999999999999</v>
      </c>
      <c r="Z177" s="256">
        <f t="shared" si="96"/>
        <v>17.5</v>
      </c>
      <c r="AA177" s="256">
        <f t="shared" si="101"/>
        <v>24.95</v>
      </c>
      <c r="AB177" s="256">
        <f t="shared" si="97"/>
        <v>230.68</v>
      </c>
      <c r="AC177" s="189">
        <f t="shared" si="88"/>
        <v>977.94</v>
      </c>
      <c r="AD177" s="259">
        <f t="shared" si="89"/>
        <v>5928.6530400000011</v>
      </c>
    </row>
    <row r="178" spans="1:30" s="160" customFormat="1">
      <c r="A178" s="250">
        <v>173</v>
      </c>
      <c r="B178" s="251" t="s">
        <v>428</v>
      </c>
      <c r="C178" s="252">
        <v>1</v>
      </c>
      <c r="D178" s="253">
        <v>1852.2</v>
      </c>
      <c r="E178" s="254">
        <f t="shared" si="86"/>
        <v>1852.2</v>
      </c>
      <c r="F178" s="255">
        <f t="shared" si="90"/>
        <v>650.84249999999997</v>
      </c>
      <c r="G178" s="256">
        <f t="shared" si="91"/>
        <v>23.666999999999998</v>
      </c>
      <c r="H178" s="256">
        <f t="shared" si="92"/>
        <v>189.33599999999998</v>
      </c>
      <c r="I178" s="256">
        <f t="shared" si="98"/>
        <v>75.734399999999994</v>
      </c>
      <c r="J178" s="256">
        <f t="shared" si="99"/>
        <v>154.35</v>
      </c>
      <c r="K178" s="256">
        <f t="shared" si="93"/>
        <v>154.35</v>
      </c>
      <c r="L178" s="256">
        <f t="shared" si="94"/>
        <v>51.449999999999996</v>
      </c>
      <c r="M178" s="256">
        <f t="shared" si="95"/>
        <v>154.35</v>
      </c>
      <c r="N178" s="255">
        <v>0</v>
      </c>
      <c r="O178" s="256">
        <v>0</v>
      </c>
      <c r="P178" s="256">
        <f t="shared" si="118"/>
        <v>21.609000000000002</v>
      </c>
      <c r="Q178" s="256">
        <f t="shared" si="119"/>
        <v>4.3217999999999996</v>
      </c>
      <c r="R178" s="256">
        <v>0</v>
      </c>
      <c r="S178" s="257">
        <v>0</v>
      </c>
      <c r="T178" s="256">
        <v>0</v>
      </c>
      <c r="U178" s="258">
        <f t="shared" si="87"/>
        <v>1480.0106999999996</v>
      </c>
      <c r="V178" s="256">
        <f t="shared" si="120"/>
        <v>136.49</v>
      </c>
      <c r="W178" s="256">
        <v>529.20000000000005</v>
      </c>
      <c r="X178" s="256">
        <f t="shared" si="108"/>
        <v>29</v>
      </c>
      <c r="Y178" s="256">
        <f t="shared" si="100"/>
        <v>10.119999999999999</v>
      </c>
      <c r="Z178" s="256">
        <f t="shared" si="96"/>
        <v>17.5</v>
      </c>
      <c r="AA178" s="256">
        <f t="shared" si="101"/>
        <v>24.95</v>
      </c>
      <c r="AB178" s="256">
        <f t="shared" si="97"/>
        <v>230.68</v>
      </c>
      <c r="AC178" s="189">
        <f t="shared" si="88"/>
        <v>977.94</v>
      </c>
      <c r="AD178" s="259">
        <f t="shared" si="89"/>
        <v>4310.1507000000001</v>
      </c>
    </row>
    <row r="179" spans="1:30" s="160" customFormat="1">
      <c r="A179" s="250">
        <v>174</v>
      </c>
      <c r="B179" s="251" t="s">
        <v>429</v>
      </c>
      <c r="C179" s="252">
        <v>1</v>
      </c>
      <c r="D179" s="253">
        <v>1737.89</v>
      </c>
      <c r="E179" s="254">
        <f t="shared" si="86"/>
        <v>1737.89</v>
      </c>
      <c r="F179" s="255">
        <f t="shared" si="90"/>
        <v>610.6752361111113</v>
      </c>
      <c r="G179" s="256">
        <f t="shared" si="91"/>
        <v>22.206372222222225</v>
      </c>
      <c r="H179" s="256">
        <f t="shared" si="92"/>
        <v>177.6509777777778</v>
      </c>
      <c r="I179" s="256">
        <f t="shared" si="98"/>
        <v>71.060391111111116</v>
      </c>
      <c r="J179" s="256">
        <f t="shared" si="99"/>
        <v>144.82416666666668</v>
      </c>
      <c r="K179" s="256">
        <f t="shared" si="93"/>
        <v>144.82416666666668</v>
      </c>
      <c r="L179" s="256">
        <f t="shared" si="94"/>
        <v>48.274722222222231</v>
      </c>
      <c r="M179" s="256">
        <f t="shared" si="95"/>
        <v>144.82416666666668</v>
      </c>
      <c r="N179" s="255">
        <v>0</v>
      </c>
      <c r="O179" s="256">
        <v>0</v>
      </c>
      <c r="P179" s="256">
        <f t="shared" si="118"/>
        <v>20.275383333333334</v>
      </c>
      <c r="Q179" s="256">
        <f t="shared" si="119"/>
        <v>4.0550766666666664</v>
      </c>
      <c r="R179" s="256">
        <v>0</v>
      </c>
      <c r="S179" s="257">
        <v>0</v>
      </c>
      <c r="T179" s="256">
        <v>0</v>
      </c>
      <c r="U179" s="258">
        <f t="shared" si="87"/>
        <v>1388.6706594444449</v>
      </c>
      <c r="V179" s="256">
        <f t="shared" si="120"/>
        <v>136.49</v>
      </c>
      <c r="W179" s="256">
        <v>529.20000000000005</v>
      </c>
      <c r="X179" s="256">
        <f t="shared" si="108"/>
        <v>29</v>
      </c>
      <c r="Y179" s="256">
        <f t="shared" si="100"/>
        <v>10.119999999999999</v>
      </c>
      <c r="Z179" s="256">
        <f t="shared" si="96"/>
        <v>17.5</v>
      </c>
      <c r="AA179" s="256">
        <f t="shared" si="101"/>
        <v>24.95</v>
      </c>
      <c r="AB179" s="256">
        <f t="shared" si="97"/>
        <v>230.68</v>
      </c>
      <c r="AC179" s="189">
        <f t="shared" si="88"/>
        <v>977.94</v>
      </c>
      <c r="AD179" s="259">
        <f t="shared" si="89"/>
        <v>4104.5006594444458</v>
      </c>
    </row>
    <row r="180" spans="1:30" s="160" customFormat="1">
      <c r="A180" s="250">
        <v>175</v>
      </c>
      <c r="B180" s="251" t="s">
        <v>430</v>
      </c>
      <c r="C180" s="252">
        <v>1</v>
      </c>
      <c r="D180" s="253">
        <v>1465.88</v>
      </c>
      <c r="E180" s="254">
        <f t="shared" si="86"/>
        <v>1465.88</v>
      </c>
      <c r="F180" s="255">
        <f t="shared" si="90"/>
        <v>515.09394444444456</v>
      </c>
      <c r="G180" s="256">
        <f t="shared" si="91"/>
        <v>18.730688888888892</v>
      </c>
      <c r="H180" s="256">
        <f t="shared" si="92"/>
        <v>149.84551111111114</v>
      </c>
      <c r="I180" s="256">
        <f t="shared" si="98"/>
        <v>59.938204444444459</v>
      </c>
      <c r="J180" s="256">
        <f t="shared" si="99"/>
        <v>122.15666666666668</v>
      </c>
      <c r="K180" s="256">
        <f t="shared" si="93"/>
        <v>122.15666666666668</v>
      </c>
      <c r="L180" s="256">
        <f t="shared" si="94"/>
        <v>40.718888888888891</v>
      </c>
      <c r="M180" s="256">
        <f t="shared" si="95"/>
        <v>122.15666666666668</v>
      </c>
      <c r="N180" s="255">
        <v>0</v>
      </c>
      <c r="O180" s="256">
        <v>0</v>
      </c>
      <c r="P180" s="256">
        <f t="shared" si="118"/>
        <v>17.101933333333335</v>
      </c>
      <c r="Q180" s="256">
        <f t="shared" si="119"/>
        <v>3.4203866666666674</v>
      </c>
      <c r="R180" s="256">
        <v>0</v>
      </c>
      <c r="S180" s="257">
        <v>0</v>
      </c>
      <c r="T180" s="256">
        <v>0</v>
      </c>
      <c r="U180" s="258">
        <f t="shared" si="87"/>
        <v>1171.3195577777778</v>
      </c>
      <c r="V180" s="256">
        <f t="shared" si="120"/>
        <v>136.49</v>
      </c>
      <c r="W180" s="256">
        <v>529.20000000000005</v>
      </c>
      <c r="X180" s="256">
        <f t="shared" si="108"/>
        <v>29</v>
      </c>
      <c r="Y180" s="256">
        <f t="shared" si="100"/>
        <v>10.119999999999999</v>
      </c>
      <c r="Z180" s="256">
        <f t="shared" si="96"/>
        <v>17.5</v>
      </c>
      <c r="AA180" s="256">
        <f t="shared" si="101"/>
        <v>24.95</v>
      </c>
      <c r="AB180" s="256">
        <f t="shared" si="97"/>
        <v>230.68</v>
      </c>
      <c r="AC180" s="189">
        <f t="shared" si="88"/>
        <v>977.94</v>
      </c>
      <c r="AD180" s="259">
        <f t="shared" si="89"/>
        <v>3615.139557777778</v>
      </c>
    </row>
    <row r="181" spans="1:30" s="160" customFormat="1">
      <c r="A181" s="250">
        <v>176</v>
      </c>
      <c r="B181" s="251" t="s">
        <v>431</v>
      </c>
      <c r="C181" s="252">
        <v>1</v>
      </c>
      <c r="D181" s="253">
        <v>1537.21</v>
      </c>
      <c r="E181" s="254">
        <f t="shared" si="86"/>
        <v>1537.21</v>
      </c>
      <c r="F181" s="255">
        <f t="shared" si="90"/>
        <v>540.15851388888905</v>
      </c>
      <c r="G181" s="256">
        <f t="shared" si="91"/>
        <v>19.64212777777778</v>
      </c>
      <c r="H181" s="256">
        <f t="shared" si="92"/>
        <v>157.13702222222224</v>
      </c>
      <c r="I181" s="256">
        <f t="shared" si="98"/>
        <v>62.854808888888897</v>
      </c>
      <c r="J181" s="256">
        <f t="shared" si="99"/>
        <v>128.10083333333333</v>
      </c>
      <c r="K181" s="256">
        <f t="shared" si="93"/>
        <v>128.10083333333333</v>
      </c>
      <c r="L181" s="256">
        <f t="shared" si="94"/>
        <v>42.700277777777778</v>
      </c>
      <c r="M181" s="256">
        <f t="shared" si="95"/>
        <v>128.10083333333333</v>
      </c>
      <c r="N181" s="255">
        <v>0</v>
      </c>
      <c r="O181" s="256">
        <v>0</v>
      </c>
      <c r="P181" s="256">
        <f t="shared" si="118"/>
        <v>17.934116666666668</v>
      </c>
      <c r="Q181" s="256">
        <f t="shared" si="119"/>
        <v>3.5868233333333337</v>
      </c>
      <c r="R181" s="256">
        <v>0</v>
      </c>
      <c r="S181" s="257">
        <v>0</v>
      </c>
      <c r="T181" s="256">
        <v>0</v>
      </c>
      <c r="U181" s="258">
        <f t="shared" si="87"/>
        <v>1228.3161905555557</v>
      </c>
      <c r="V181" s="256">
        <f t="shared" si="120"/>
        <v>136.49</v>
      </c>
      <c r="W181" s="256">
        <v>529.20000000000005</v>
      </c>
      <c r="X181" s="256">
        <f t="shared" si="108"/>
        <v>29</v>
      </c>
      <c r="Y181" s="256">
        <f t="shared" si="100"/>
        <v>10.119999999999999</v>
      </c>
      <c r="Z181" s="256">
        <f t="shared" si="96"/>
        <v>17.5</v>
      </c>
      <c r="AA181" s="256">
        <f t="shared" si="101"/>
        <v>24.95</v>
      </c>
      <c r="AB181" s="256">
        <f t="shared" si="97"/>
        <v>230.68</v>
      </c>
      <c r="AC181" s="189">
        <f t="shared" si="88"/>
        <v>977.94</v>
      </c>
      <c r="AD181" s="259">
        <f t="shared" si="89"/>
        <v>3743.4661905555558</v>
      </c>
    </row>
    <row r="182" spans="1:30" s="160" customFormat="1">
      <c r="A182" s="250">
        <v>177</v>
      </c>
      <c r="B182" s="251" t="s">
        <v>435</v>
      </c>
      <c r="C182" s="252">
        <v>2</v>
      </c>
      <c r="D182" s="253">
        <v>2010.96</v>
      </c>
      <c r="E182" s="254">
        <f t="shared" si="86"/>
        <v>4021.92</v>
      </c>
      <c r="F182" s="255">
        <f t="shared" si="90"/>
        <v>1632.0057600000002</v>
      </c>
      <c r="G182" s="256">
        <f t="shared" si="91"/>
        <v>59.345664000000006</v>
      </c>
      <c r="H182" s="256">
        <f t="shared" si="92"/>
        <v>474.76531200000005</v>
      </c>
      <c r="I182" s="256">
        <f t="shared" si="98"/>
        <v>189.90612480000004</v>
      </c>
      <c r="J182" s="256">
        <f t="shared" si="99"/>
        <v>498.27119999999996</v>
      </c>
      <c r="K182" s="256">
        <f t="shared" si="93"/>
        <v>498.27119999999996</v>
      </c>
      <c r="L182" s="256">
        <f t="shared" si="94"/>
        <v>145.23600000000002</v>
      </c>
      <c r="M182" s="256">
        <f t="shared" si="95"/>
        <v>368.67599999999999</v>
      </c>
      <c r="N182" s="255">
        <v>0</v>
      </c>
      <c r="O182" s="256">
        <v>0</v>
      </c>
      <c r="P182" s="256">
        <f>(R182+E182)/210*1.75*1.2</f>
        <v>52.284959999999998</v>
      </c>
      <c r="Q182" s="256">
        <f>P182/6</f>
        <v>8.7141599999999997</v>
      </c>
      <c r="R182" s="256">
        <f>E182*30%</f>
        <v>1206.576</v>
      </c>
      <c r="S182" s="257">
        <f>(D182*10%)*C182</f>
        <v>402.19200000000001</v>
      </c>
      <c r="T182" s="256">
        <f>(E182+R182+N182+O182)/30*2</f>
        <v>348.56639999999999</v>
      </c>
      <c r="U182" s="258">
        <f t="shared" si="87"/>
        <v>5884.8107808000004</v>
      </c>
      <c r="V182" s="256">
        <f>C182*93.06</f>
        <v>186.12</v>
      </c>
      <c r="W182" s="256">
        <f>C182*529.2</f>
        <v>1058.4000000000001</v>
      </c>
      <c r="X182" s="256">
        <f t="shared" si="108"/>
        <v>58</v>
      </c>
      <c r="Y182" s="256">
        <f t="shared" si="100"/>
        <v>20.239999999999998</v>
      </c>
      <c r="Z182" s="256">
        <f t="shared" si="96"/>
        <v>35</v>
      </c>
      <c r="AA182" s="256">
        <f t="shared" si="101"/>
        <v>49.9</v>
      </c>
      <c r="AB182" s="256">
        <f t="shared" si="97"/>
        <v>461.36</v>
      </c>
      <c r="AC182" s="189">
        <f t="shared" si="88"/>
        <v>1869.02</v>
      </c>
      <c r="AD182" s="259">
        <f t="shared" si="89"/>
        <v>11775.750780800001</v>
      </c>
    </row>
    <row r="183" spans="1:30" s="160" customFormat="1">
      <c r="A183" s="250">
        <v>178</v>
      </c>
      <c r="B183" s="251" t="s">
        <v>432</v>
      </c>
      <c r="C183" s="252">
        <v>12</v>
      </c>
      <c r="D183" s="253">
        <v>2010.96</v>
      </c>
      <c r="E183" s="254">
        <f t="shared" si="86"/>
        <v>24131.52</v>
      </c>
      <c r="F183" s="255">
        <f t="shared" si="90"/>
        <v>8962.5135600000012</v>
      </c>
      <c r="G183" s="256">
        <f t="shared" si="91"/>
        <v>325.90958400000005</v>
      </c>
      <c r="H183" s="256">
        <f t="shared" si="92"/>
        <v>2607.2766720000004</v>
      </c>
      <c r="I183" s="256">
        <f t="shared" si="98"/>
        <v>1042.9106688000002</v>
      </c>
      <c r="J183" s="256">
        <f t="shared" si="99"/>
        <v>2788.5311999999999</v>
      </c>
      <c r="K183" s="256">
        <f t="shared" si="93"/>
        <v>2788.5311999999999</v>
      </c>
      <c r="L183" s="256">
        <f t="shared" si="94"/>
        <v>871.41600000000005</v>
      </c>
      <c r="M183" s="256">
        <f t="shared" si="95"/>
        <v>2010.96</v>
      </c>
      <c r="N183" s="255">
        <v>0</v>
      </c>
      <c r="O183" s="256">
        <v>0</v>
      </c>
      <c r="P183" s="256">
        <f>(R183+E183)/210*1.75*1.2</f>
        <v>313.70976000000002</v>
      </c>
      <c r="Q183" s="256">
        <f>P183/6</f>
        <v>52.284960000000005</v>
      </c>
      <c r="R183" s="256">
        <f>E183*30%</f>
        <v>7239.4560000000001</v>
      </c>
      <c r="S183" s="257"/>
      <c r="T183" s="256">
        <f t="shared" ref="T183:T185" si="121">(E183+R183+N183+O183)/30*2</f>
        <v>2091.3984</v>
      </c>
      <c r="U183" s="258">
        <f t="shared" si="87"/>
        <v>31094.898004800001</v>
      </c>
      <c r="V183" s="256">
        <f t="shared" ref="V183:V185" si="122">C183*93.06</f>
        <v>1116.72</v>
      </c>
      <c r="W183" s="256">
        <f>C183*529.2</f>
        <v>6350.4000000000005</v>
      </c>
      <c r="X183" s="256">
        <f t="shared" si="108"/>
        <v>348</v>
      </c>
      <c r="Y183" s="256">
        <f t="shared" si="100"/>
        <v>121.44</v>
      </c>
      <c r="Z183" s="256">
        <f t="shared" si="96"/>
        <v>210</v>
      </c>
      <c r="AA183" s="256">
        <f t="shared" si="101"/>
        <v>299.39999999999998</v>
      </c>
      <c r="AB183" s="256">
        <f t="shared" si="97"/>
        <v>2768.16</v>
      </c>
      <c r="AC183" s="189">
        <f t="shared" si="88"/>
        <v>11214.12</v>
      </c>
      <c r="AD183" s="259">
        <f t="shared" si="89"/>
        <v>66440.538004799993</v>
      </c>
    </row>
    <row r="184" spans="1:30" s="160" customFormat="1">
      <c r="A184" s="250">
        <v>179</v>
      </c>
      <c r="B184" s="251" t="s">
        <v>433</v>
      </c>
      <c r="C184" s="252">
        <v>2</v>
      </c>
      <c r="D184" s="253">
        <v>2010.96</v>
      </c>
      <c r="E184" s="254">
        <f t="shared" si="86"/>
        <v>4021.92</v>
      </c>
      <c r="F184" s="255">
        <f t="shared" si="90"/>
        <v>1677.4484906666671</v>
      </c>
      <c r="G184" s="256">
        <f t="shared" si="91"/>
        <v>60.998126933333346</v>
      </c>
      <c r="H184" s="256">
        <f t="shared" si="92"/>
        <v>487.98501546666677</v>
      </c>
      <c r="I184" s="256">
        <f t="shared" si="98"/>
        <v>195.19400618666671</v>
      </c>
      <c r="J184" s="256">
        <f t="shared" si="99"/>
        <v>580.89434666666671</v>
      </c>
      <c r="K184" s="256">
        <f t="shared" si="93"/>
        <v>580.89434666666671</v>
      </c>
      <c r="L184" s="256">
        <f t="shared" si="94"/>
        <v>145.23600000000002</v>
      </c>
      <c r="M184" s="256">
        <f t="shared" si="95"/>
        <v>368.67599999999999</v>
      </c>
      <c r="N184" s="255">
        <f>(R184+E184)/210*20%*160</f>
        <v>796.72320000000013</v>
      </c>
      <c r="O184" s="256">
        <f>N184/6</f>
        <v>132.78720000000001</v>
      </c>
      <c r="P184" s="256">
        <f>(R184+E184)/210*1.75*1.2</f>
        <v>52.284959999999998</v>
      </c>
      <c r="Q184" s="256">
        <f>P184/6</f>
        <v>8.7141599999999997</v>
      </c>
      <c r="R184" s="256">
        <f>E184*30%</f>
        <v>1206.576</v>
      </c>
      <c r="S184" s="257">
        <f t="shared" ref="S184" si="123">(D184*10%)*C184</f>
        <v>402.19200000000001</v>
      </c>
      <c r="T184" s="256">
        <f t="shared" si="121"/>
        <v>410.53376000000003</v>
      </c>
      <c r="U184" s="258">
        <f t="shared" si="87"/>
        <v>7107.1376125866691</v>
      </c>
      <c r="V184" s="256">
        <f t="shared" si="122"/>
        <v>186.12</v>
      </c>
      <c r="W184" s="256">
        <f>C184*529.2</f>
        <v>1058.4000000000001</v>
      </c>
      <c r="X184" s="256">
        <f t="shared" si="108"/>
        <v>58</v>
      </c>
      <c r="Y184" s="256">
        <f t="shared" si="100"/>
        <v>20.239999999999998</v>
      </c>
      <c r="Z184" s="256">
        <f t="shared" si="96"/>
        <v>35</v>
      </c>
      <c r="AA184" s="256">
        <f t="shared" si="101"/>
        <v>49.9</v>
      </c>
      <c r="AB184" s="256">
        <f t="shared" si="97"/>
        <v>461.36</v>
      </c>
      <c r="AC184" s="189">
        <f t="shared" si="88"/>
        <v>1869.02</v>
      </c>
      <c r="AD184" s="259">
        <f t="shared" si="89"/>
        <v>12998.077612586669</v>
      </c>
    </row>
    <row r="185" spans="1:30" s="160" customFormat="1">
      <c r="A185" s="250">
        <v>180</v>
      </c>
      <c r="B185" s="251" t="s">
        <v>434</v>
      </c>
      <c r="C185" s="252">
        <v>6</v>
      </c>
      <c r="D185" s="253">
        <v>2010.96</v>
      </c>
      <c r="E185" s="254">
        <f t="shared" si="86"/>
        <v>12065.76</v>
      </c>
      <c r="F185" s="255">
        <f t="shared" si="90"/>
        <v>4617.5849719999997</v>
      </c>
      <c r="G185" s="256">
        <f t="shared" si="91"/>
        <v>167.91218079999999</v>
      </c>
      <c r="H185" s="256">
        <f t="shared" si="92"/>
        <v>1343.2974463999999</v>
      </c>
      <c r="I185" s="256">
        <f t="shared" si="98"/>
        <v>537.31897856000001</v>
      </c>
      <c r="J185" s="256">
        <f t="shared" si="99"/>
        <v>1642.1350399999999</v>
      </c>
      <c r="K185" s="256">
        <f t="shared" si="93"/>
        <v>1642.1350399999999</v>
      </c>
      <c r="L185" s="256">
        <f t="shared" si="94"/>
        <v>435.70800000000003</v>
      </c>
      <c r="M185" s="256">
        <f t="shared" si="95"/>
        <v>1005.48</v>
      </c>
      <c r="N185" s="255">
        <f>(R185+E185)/210*20%*160</f>
        <v>2390.1696000000002</v>
      </c>
      <c r="O185" s="256">
        <f>N185/6</f>
        <v>398.36160000000001</v>
      </c>
      <c r="P185" s="256">
        <f>(R185+E185)/210*1.75*1.2</f>
        <v>156.85488000000001</v>
      </c>
      <c r="Q185" s="256">
        <f>P185/6</f>
        <v>26.142480000000003</v>
      </c>
      <c r="R185" s="256">
        <f>E185*30%</f>
        <v>3619.7280000000001</v>
      </c>
      <c r="S185" s="257">
        <v>0</v>
      </c>
      <c r="T185" s="256">
        <f t="shared" si="121"/>
        <v>1231.6012800000001</v>
      </c>
      <c r="U185" s="258">
        <f t="shared" si="87"/>
        <v>19214.429497759997</v>
      </c>
      <c r="V185" s="256">
        <f t="shared" si="122"/>
        <v>558.36</v>
      </c>
      <c r="W185" s="256">
        <f>C185*529.2</f>
        <v>3175.2000000000003</v>
      </c>
      <c r="X185" s="256">
        <f t="shared" si="108"/>
        <v>174</v>
      </c>
      <c r="Y185" s="256">
        <f t="shared" si="100"/>
        <v>60.72</v>
      </c>
      <c r="Z185" s="256">
        <f t="shared" si="96"/>
        <v>105</v>
      </c>
      <c r="AA185" s="256">
        <f t="shared" si="101"/>
        <v>149.69999999999999</v>
      </c>
      <c r="AB185" s="256">
        <f t="shared" si="97"/>
        <v>1384.08</v>
      </c>
      <c r="AC185" s="189">
        <f t="shared" si="88"/>
        <v>5607.06</v>
      </c>
      <c r="AD185" s="259">
        <f t="shared" si="89"/>
        <v>36887.249497759993</v>
      </c>
    </row>
    <row r="186" spans="1:30" s="160" customFormat="1">
      <c r="A186" s="250">
        <v>181</v>
      </c>
      <c r="B186" s="251" t="s">
        <v>460</v>
      </c>
      <c r="C186" s="252">
        <v>1</v>
      </c>
      <c r="D186" s="253">
        <v>7281.36</v>
      </c>
      <c r="E186" s="254">
        <f t="shared" si="86"/>
        <v>7281.36</v>
      </c>
      <c r="F186" s="255">
        <f t="shared" si="90"/>
        <v>2558.5890000000004</v>
      </c>
      <c r="G186" s="256">
        <f t="shared" si="91"/>
        <v>93.039600000000007</v>
      </c>
      <c r="H186" s="256">
        <f t="shared" si="92"/>
        <v>744.31680000000006</v>
      </c>
      <c r="I186" s="256">
        <f t="shared" si="98"/>
        <v>297.72672000000006</v>
      </c>
      <c r="J186" s="256">
        <f t="shared" si="99"/>
        <v>606.78</v>
      </c>
      <c r="K186" s="256">
        <f t="shared" si="93"/>
        <v>606.78</v>
      </c>
      <c r="L186" s="256">
        <f t="shared" si="94"/>
        <v>202.26</v>
      </c>
      <c r="M186" s="256">
        <f t="shared" si="95"/>
        <v>606.78</v>
      </c>
      <c r="N186" s="255">
        <v>0</v>
      </c>
      <c r="O186" s="256">
        <v>0</v>
      </c>
      <c r="P186" s="256">
        <v>0</v>
      </c>
      <c r="Q186" s="256">
        <v>0</v>
      </c>
      <c r="R186" s="256">
        <v>0</v>
      </c>
      <c r="S186" s="257">
        <v>0</v>
      </c>
      <c r="T186" s="256">
        <v>0</v>
      </c>
      <c r="U186" s="258">
        <f t="shared" si="87"/>
        <v>5716.2721200000005</v>
      </c>
      <c r="V186" s="256">
        <v>0</v>
      </c>
      <c r="W186" s="256">
        <f>C186*560.1</f>
        <v>560.1</v>
      </c>
      <c r="X186" s="256">
        <f>C186*30.69</f>
        <v>30.69</v>
      </c>
      <c r="Y186" s="256">
        <f>C186*10.71</f>
        <v>10.71</v>
      </c>
      <c r="Z186" s="256">
        <f>C186*18.52</f>
        <v>18.52</v>
      </c>
      <c r="AA186" s="256">
        <f>C186*26.4</f>
        <v>26.4</v>
      </c>
      <c r="AB186" s="256">
        <f>C186*(224.04+20.1)</f>
        <v>244.14</v>
      </c>
      <c r="AC186" s="189">
        <f t="shared" si="88"/>
        <v>890.56000000000006</v>
      </c>
      <c r="AD186" s="259">
        <f t="shared" si="89"/>
        <v>13888.19212</v>
      </c>
    </row>
    <row r="187" spans="1:30" s="160" customFormat="1">
      <c r="A187" s="250">
        <v>182</v>
      </c>
      <c r="B187" s="251" t="s">
        <v>422</v>
      </c>
      <c r="C187" s="252">
        <v>1</v>
      </c>
      <c r="D187" s="253">
        <v>4227.22</v>
      </c>
      <c r="E187" s="254">
        <f t="shared" si="86"/>
        <v>4227.22</v>
      </c>
      <c r="F187" s="255">
        <f t="shared" si="90"/>
        <v>1553.2097930555556</v>
      </c>
      <c r="G187" s="256">
        <f t="shared" si="91"/>
        <v>56.480356111111107</v>
      </c>
      <c r="H187" s="256">
        <f t="shared" si="92"/>
        <v>451.84284888888885</v>
      </c>
      <c r="I187" s="256">
        <f t="shared" si="98"/>
        <v>180.73713955555556</v>
      </c>
      <c r="J187" s="256">
        <f t="shared" si="99"/>
        <v>457.94883333333337</v>
      </c>
      <c r="K187" s="256">
        <f t="shared" si="93"/>
        <v>457.94883333333337</v>
      </c>
      <c r="L187" s="256">
        <f t="shared" si="94"/>
        <v>152.64961111111111</v>
      </c>
      <c r="M187" s="256">
        <f t="shared" si="95"/>
        <v>352.26833333333337</v>
      </c>
      <c r="N187" s="255">
        <v>0</v>
      </c>
      <c r="O187" s="256">
        <v>0</v>
      </c>
      <c r="P187" s="256">
        <v>0</v>
      </c>
      <c r="Q187" s="256">
        <v>0</v>
      </c>
      <c r="R187" s="256">
        <f>E187*30%</f>
        <v>1268.1659999999999</v>
      </c>
      <c r="S187" s="257">
        <v>0</v>
      </c>
      <c r="T187" s="256">
        <v>0</v>
      </c>
      <c r="U187" s="258">
        <f t="shared" si="87"/>
        <v>4931.2517487222221</v>
      </c>
      <c r="V187" s="256">
        <v>0</v>
      </c>
      <c r="W187" s="256">
        <f t="shared" ref="W187:W215" si="124">C187*560.1</f>
        <v>560.1</v>
      </c>
      <c r="X187" s="256">
        <f t="shared" ref="X187:X215" si="125">C187*30.69</f>
        <v>30.69</v>
      </c>
      <c r="Y187" s="256">
        <f t="shared" ref="Y187:Y215" si="126">C187*10.71</f>
        <v>10.71</v>
      </c>
      <c r="Z187" s="256">
        <f t="shared" ref="Z187:Z215" si="127">C187*18.52</f>
        <v>18.52</v>
      </c>
      <c r="AA187" s="256">
        <f t="shared" ref="AA187:AA215" si="128">C187*26.4</f>
        <v>26.4</v>
      </c>
      <c r="AB187" s="256">
        <f t="shared" ref="AB187:AB215" si="129">C187*(224.04+20.1)</f>
        <v>244.14</v>
      </c>
      <c r="AC187" s="189">
        <f t="shared" si="88"/>
        <v>890.56000000000006</v>
      </c>
      <c r="AD187" s="259">
        <f t="shared" si="89"/>
        <v>10049.031748722222</v>
      </c>
    </row>
    <row r="188" spans="1:30" s="160" customFormat="1">
      <c r="A188" s="250">
        <v>183</v>
      </c>
      <c r="B188" s="251" t="s">
        <v>423</v>
      </c>
      <c r="C188" s="252">
        <v>1</v>
      </c>
      <c r="D188" s="253">
        <v>2912.55</v>
      </c>
      <c r="E188" s="254">
        <f t="shared" si="86"/>
        <v>2912.55</v>
      </c>
      <c r="F188" s="255">
        <f t="shared" si="90"/>
        <v>1023.4377083333336</v>
      </c>
      <c r="G188" s="256">
        <f t="shared" si="91"/>
        <v>37.215916666666672</v>
      </c>
      <c r="H188" s="256">
        <f t="shared" si="92"/>
        <v>297.72733333333338</v>
      </c>
      <c r="I188" s="256">
        <f t="shared" si="98"/>
        <v>119.09093333333335</v>
      </c>
      <c r="J188" s="256">
        <f t="shared" si="99"/>
        <v>242.71250000000001</v>
      </c>
      <c r="K188" s="256">
        <f t="shared" si="93"/>
        <v>242.71250000000001</v>
      </c>
      <c r="L188" s="256">
        <f t="shared" si="94"/>
        <v>80.904166666666669</v>
      </c>
      <c r="M188" s="256">
        <f t="shared" si="95"/>
        <v>242.71250000000001</v>
      </c>
      <c r="N188" s="255">
        <v>0</v>
      </c>
      <c r="O188" s="256">
        <v>0</v>
      </c>
      <c r="P188" s="256">
        <f>E188/150*1.75</f>
        <v>33.979750000000003</v>
      </c>
      <c r="Q188" s="256">
        <f>P188/25*5</f>
        <v>6.7959500000000004</v>
      </c>
      <c r="R188" s="256">
        <v>0</v>
      </c>
      <c r="S188" s="257">
        <v>0</v>
      </c>
      <c r="T188" s="256">
        <v>0</v>
      </c>
      <c r="U188" s="258">
        <f t="shared" si="87"/>
        <v>2327.2892583333341</v>
      </c>
      <c r="V188" s="256">
        <f>C188*218.59</f>
        <v>218.59</v>
      </c>
      <c r="W188" s="256">
        <f t="shared" si="124"/>
        <v>560.1</v>
      </c>
      <c r="X188" s="256">
        <f t="shared" si="125"/>
        <v>30.69</v>
      </c>
      <c r="Y188" s="256">
        <f t="shared" si="126"/>
        <v>10.71</v>
      </c>
      <c r="Z188" s="256">
        <f t="shared" si="127"/>
        <v>18.52</v>
      </c>
      <c r="AA188" s="256">
        <f t="shared" si="128"/>
        <v>26.4</v>
      </c>
      <c r="AB188" s="256">
        <f t="shared" si="129"/>
        <v>244.14</v>
      </c>
      <c r="AC188" s="189">
        <f t="shared" si="88"/>
        <v>1109.1500000000001</v>
      </c>
      <c r="AD188" s="259">
        <f t="shared" si="89"/>
        <v>6348.9892583333349</v>
      </c>
    </row>
    <row r="189" spans="1:30" s="160" customFormat="1">
      <c r="A189" s="250">
        <v>184</v>
      </c>
      <c r="B189" s="251" t="s">
        <v>424</v>
      </c>
      <c r="C189" s="252">
        <v>1</v>
      </c>
      <c r="D189" s="253">
        <v>2912.55</v>
      </c>
      <c r="E189" s="254">
        <f t="shared" si="86"/>
        <v>2912.55</v>
      </c>
      <c r="F189" s="255">
        <f t="shared" si="90"/>
        <v>1023.4377083333336</v>
      </c>
      <c r="G189" s="256">
        <f t="shared" si="91"/>
        <v>37.215916666666672</v>
      </c>
      <c r="H189" s="256">
        <f t="shared" si="92"/>
        <v>297.72733333333338</v>
      </c>
      <c r="I189" s="256">
        <f t="shared" si="98"/>
        <v>119.09093333333335</v>
      </c>
      <c r="J189" s="256">
        <f t="shared" si="99"/>
        <v>242.71250000000001</v>
      </c>
      <c r="K189" s="256">
        <f t="shared" si="93"/>
        <v>242.71250000000001</v>
      </c>
      <c r="L189" s="256">
        <f t="shared" si="94"/>
        <v>80.904166666666669</v>
      </c>
      <c r="M189" s="256">
        <f t="shared" si="95"/>
        <v>242.71250000000001</v>
      </c>
      <c r="N189" s="255">
        <v>0</v>
      </c>
      <c r="O189" s="256">
        <v>0</v>
      </c>
      <c r="P189" s="256">
        <f t="shared" ref="P189:P196" si="130">E189/150*1.75</f>
        <v>33.979750000000003</v>
      </c>
      <c r="Q189" s="256">
        <f t="shared" ref="Q189:Q196" si="131">P189/25*5</f>
        <v>6.7959500000000004</v>
      </c>
      <c r="R189" s="256">
        <v>0</v>
      </c>
      <c r="S189" s="257">
        <v>0</v>
      </c>
      <c r="T189" s="256">
        <v>0</v>
      </c>
      <c r="U189" s="258">
        <f t="shared" si="87"/>
        <v>2327.2892583333341</v>
      </c>
      <c r="V189" s="256">
        <f t="shared" ref="V189:V196" si="132">C189*218.59</f>
        <v>218.59</v>
      </c>
      <c r="W189" s="256">
        <f t="shared" si="124"/>
        <v>560.1</v>
      </c>
      <c r="X189" s="256">
        <f t="shared" si="125"/>
        <v>30.69</v>
      </c>
      <c r="Y189" s="256">
        <f t="shared" si="126"/>
        <v>10.71</v>
      </c>
      <c r="Z189" s="256">
        <f t="shared" si="127"/>
        <v>18.52</v>
      </c>
      <c r="AA189" s="256">
        <f t="shared" si="128"/>
        <v>26.4</v>
      </c>
      <c r="AB189" s="256">
        <f t="shared" si="129"/>
        <v>244.14</v>
      </c>
      <c r="AC189" s="189">
        <f t="shared" si="88"/>
        <v>1109.1500000000001</v>
      </c>
      <c r="AD189" s="259">
        <f t="shared" si="89"/>
        <v>6348.9892583333349</v>
      </c>
    </row>
    <row r="190" spans="1:30" s="160" customFormat="1">
      <c r="A190" s="250">
        <v>185</v>
      </c>
      <c r="B190" s="251" t="s">
        <v>425</v>
      </c>
      <c r="C190" s="252">
        <v>1</v>
      </c>
      <c r="D190" s="253">
        <v>2912.55</v>
      </c>
      <c r="E190" s="254">
        <f t="shared" si="86"/>
        <v>2912.55</v>
      </c>
      <c r="F190" s="255">
        <f t="shared" si="90"/>
        <v>1023.4377083333336</v>
      </c>
      <c r="G190" s="256">
        <f t="shared" si="91"/>
        <v>37.215916666666672</v>
      </c>
      <c r="H190" s="256">
        <f t="shared" si="92"/>
        <v>297.72733333333338</v>
      </c>
      <c r="I190" s="256">
        <f t="shared" si="98"/>
        <v>119.09093333333335</v>
      </c>
      <c r="J190" s="256">
        <f t="shared" si="99"/>
        <v>242.71250000000001</v>
      </c>
      <c r="K190" s="256">
        <f t="shared" si="93"/>
        <v>242.71250000000001</v>
      </c>
      <c r="L190" s="256">
        <f t="shared" si="94"/>
        <v>80.904166666666669</v>
      </c>
      <c r="M190" s="256">
        <f t="shared" si="95"/>
        <v>242.71250000000001</v>
      </c>
      <c r="N190" s="255">
        <v>0</v>
      </c>
      <c r="O190" s="256">
        <v>0</v>
      </c>
      <c r="P190" s="256">
        <f t="shared" si="130"/>
        <v>33.979750000000003</v>
      </c>
      <c r="Q190" s="256">
        <f t="shared" si="131"/>
        <v>6.7959500000000004</v>
      </c>
      <c r="R190" s="256">
        <v>0</v>
      </c>
      <c r="S190" s="257">
        <v>0</v>
      </c>
      <c r="T190" s="256">
        <v>0</v>
      </c>
      <c r="U190" s="258">
        <f t="shared" si="87"/>
        <v>2327.2892583333341</v>
      </c>
      <c r="V190" s="256">
        <f t="shared" si="132"/>
        <v>218.59</v>
      </c>
      <c r="W190" s="256">
        <f t="shared" si="124"/>
        <v>560.1</v>
      </c>
      <c r="X190" s="256">
        <f t="shared" si="125"/>
        <v>30.69</v>
      </c>
      <c r="Y190" s="256">
        <f t="shared" si="126"/>
        <v>10.71</v>
      </c>
      <c r="Z190" s="256">
        <f t="shared" si="127"/>
        <v>18.52</v>
      </c>
      <c r="AA190" s="256">
        <f t="shared" si="128"/>
        <v>26.4</v>
      </c>
      <c r="AB190" s="256">
        <f t="shared" si="129"/>
        <v>244.14</v>
      </c>
      <c r="AC190" s="189">
        <f t="shared" si="88"/>
        <v>1109.1500000000001</v>
      </c>
      <c r="AD190" s="259">
        <f t="shared" si="89"/>
        <v>6348.9892583333349</v>
      </c>
    </row>
    <row r="191" spans="1:30" s="160" customFormat="1">
      <c r="A191" s="250">
        <v>186</v>
      </c>
      <c r="B191" s="251" t="s">
        <v>426</v>
      </c>
      <c r="C191" s="252">
        <v>1</v>
      </c>
      <c r="D191" s="253">
        <v>2912.55</v>
      </c>
      <c r="E191" s="254">
        <f t="shared" si="86"/>
        <v>2912.55</v>
      </c>
      <c r="F191" s="255">
        <f t="shared" si="90"/>
        <v>1023.4377083333336</v>
      </c>
      <c r="G191" s="256">
        <f t="shared" si="91"/>
        <v>37.215916666666672</v>
      </c>
      <c r="H191" s="256">
        <f t="shared" si="92"/>
        <v>297.72733333333338</v>
      </c>
      <c r="I191" s="256">
        <f t="shared" si="98"/>
        <v>119.09093333333335</v>
      </c>
      <c r="J191" s="256">
        <f t="shared" si="99"/>
        <v>242.71250000000001</v>
      </c>
      <c r="K191" s="256">
        <f t="shared" si="93"/>
        <v>242.71250000000001</v>
      </c>
      <c r="L191" s="256">
        <f t="shared" si="94"/>
        <v>80.904166666666669</v>
      </c>
      <c r="M191" s="256">
        <f t="shared" si="95"/>
        <v>242.71250000000001</v>
      </c>
      <c r="N191" s="255">
        <v>0</v>
      </c>
      <c r="O191" s="256">
        <v>0</v>
      </c>
      <c r="P191" s="256">
        <f t="shared" si="130"/>
        <v>33.979750000000003</v>
      </c>
      <c r="Q191" s="256">
        <f t="shared" si="131"/>
        <v>6.7959500000000004</v>
      </c>
      <c r="R191" s="256">
        <v>0</v>
      </c>
      <c r="S191" s="257">
        <v>0</v>
      </c>
      <c r="T191" s="256">
        <v>0</v>
      </c>
      <c r="U191" s="258">
        <f t="shared" si="87"/>
        <v>2327.2892583333341</v>
      </c>
      <c r="V191" s="256">
        <f t="shared" si="132"/>
        <v>218.59</v>
      </c>
      <c r="W191" s="256">
        <f t="shared" si="124"/>
        <v>560.1</v>
      </c>
      <c r="X191" s="256">
        <f t="shared" si="125"/>
        <v>30.69</v>
      </c>
      <c r="Y191" s="256">
        <f t="shared" si="126"/>
        <v>10.71</v>
      </c>
      <c r="Z191" s="256">
        <f t="shared" si="127"/>
        <v>18.52</v>
      </c>
      <c r="AA191" s="256">
        <f t="shared" si="128"/>
        <v>26.4</v>
      </c>
      <c r="AB191" s="256">
        <f t="shared" si="129"/>
        <v>244.14</v>
      </c>
      <c r="AC191" s="189">
        <f t="shared" si="88"/>
        <v>1109.1500000000001</v>
      </c>
      <c r="AD191" s="259">
        <f t="shared" si="89"/>
        <v>6348.9892583333349</v>
      </c>
    </row>
    <row r="192" spans="1:30" s="160" customFormat="1">
      <c r="A192" s="250">
        <v>187</v>
      </c>
      <c r="B192" s="251" t="s">
        <v>427</v>
      </c>
      <c r="C192" s="252">
        <v>1</v>
      </c>
      <c r="D192" s="253">
        <v>2912.55</v>
      </c>
      <c r="E192" s="254">
        <f t="shared" si="86"/>
        <v>2912.55</v>
      </c>
      <c r="F192" s="255">
        <f t="shared" si="90"/>
        <v>1023.4377083333336</v>
      </c>
      <c r="G192" s="256">
        <f t="shared" si="91"/>
        <v>37.215916666666672</v>
      </c>
      <c r="H192" s="256">
        <f t="shared" si="92"/>
        <v>297.72733333333338</v>
      </c>
      <c r="I192" s="256">
        <f t="shared" si="98"/>
        <v>119.09093333333335</v>
      </c>
      <c r="J192" s="256">
        <f t="shared" si="99"/>
        <v>242.71250000000001</v>
      </c>
      <c r="K192" s="256">
        <f t="shared" si="93"/>
        <v>242.71250000000001</v>
      </c>
      <c r="L192" s="256">
        <f t="shared" si="94"/>
        <v>80.904166666666669</v>
      </c>
      <c r="M192" s="256">
        <f t="shared" si="95"/>
        <v>242.71250000000001</v>
      </c>
      <c r="N192" s="255">
        <v>0</v>
      </c>
      <c r="O192" s="256">
        <v>0</v>
      </c>
      <c r="P192" s="256">
        <f t="shared" si="130"/>
        <v>33.979750000000003</v>
      </c>
      <c r="Q192" s="256">
        <f t="shared" si="131"/>
        <v>6.7959500000000004</v>
      </c>
      <c r="R192" s="256">
        <v>0</v>
      </c>
      <c r="S192" s="257">
        <v>0</v>
      </c>
      <c r="T192" s="256">
        <v>0</v>
      </c>
      <c r="U192" s="258">
        <f t="shared" si="87"/>
        <v>2327.2892583333341</v>
      </c>
      <c r="V192" s="256">
        <f t="shared" si="132"/>
        <v>218.59</v>
      </c>
      <c r="W192" s="256">
        <f t="shared" si="124"/>
        <v>560.1</v>
      </c>
      <c r="X192" s="256">
        <f t="shared" si="125"/>
        <v>30.69</v>
      </c>
      <c r="Y192" s="256">
        <f t="shared" si="126"/>
        <v>10.71</v>
      </c>
      <c r="Z192" s="256">
        <f t="shared" si="127"/>
        <v>18.52</v>
      </c>
      <c r="AA192" s="256">
        <f t="shared" si="128"/>
        <v>26.4</v>
      </c>
      <c r="AB192" s="256">
        <f t="shared" si="129"/>
        <v>244.14</v>
      </c>
      <c r="AC192" s="189">
        <f t="shared" si="88"/>
        <v>1109.1500000000001</v>
      </c>
      <c r="AD192" s="259">
        <f t="shared" si="89"/>
        <v>6348.9892583333349</v>
      </c>
    </row>
    <row r="193" spans="1:30" s="160" customFormat="1">
      <c r="A193" s="250">
        <v>188</v>
      </c>
      <c r="B193" s="251" t="s">
        <v>428</v>
      </c>
      <c r="C193" s="252">
        <v>1</v>
      </c>
      <c r="D193" s="253">
        <v>1960.37</v>
      </c>
      <c r="E193" s="254">
        <f t="shared" si="86"/>
        <v>1960.37</v>
      </c>
      <c r="F193" s="255">
        <f t="shared" si="90"/>
        <v>688.85223611111121</v>
      </c>
      <c r="G193" s="256">
        <f t="shared" si="91"/>
        <v>25.049172222222225</v>
      </c>
      <c r="H193" s="256">
        <f t="shared" si="92"/>
        <v>200.3933777777778</v>
      </c>
      <c r="I193" s="256">
        <f t="shared" si="98"/>
        <v>80.157351111111126</v>
      </c>
      <c r="J193" s="256">
        <f t="shared" si="99"/>
        <v>163.36416666666665</v>
      </c>
      <c r="K193" s="256">
        <f t="shared" si="93"/>
        <v>163.36416666666665</v>
      </c>
      <c r="L193" s="256">
        <f t="shared" si="94"/>
        <v>54.454722222222216</v>
      </c>
      <c r="M193" s="256">
        <f t="shared" si="95"/>
        <v>163.36416666666665</v>
      </c>
      <c r="N193" s="255">
        <v>0</v>
      </c>
      <c r="O193" s="256">
        <v>0</v>
      </c>
      <c r="P193" s="256">
        <f t="shared" si="130"/>
        <v>22.870983333333335</v>
      </c>
      <c r="Q193" s="256">
        <f t="shared" si="131"/>
        <v>4.5741966666666674</v>
      </c>
      <c r="R193" s="256">
        <v>0</v>
      </c>
      <c r="S193" s="257">
        <v>0</v>
      </c>
      <c r="T193" s="256">
        <v>0</v>
      </c>
      <c r="U193" s="258">
        <f t="shared" si="87"/>
        <v>1566.4445394444447</v>
      </c>
      <c r="V193" s="256">
        <f t="shared" si="132"/>
        <v>218.59</v>
      </c>
      <c r="W193" s="256">
        <f t="shared" si="124"/>
        <v>560.1</v>
      </c>
      <c r="X193" s="256">
        <f t="shared" si="125"/>
        <v>30.69</v>
      </c>
      <c r="Y193" s="256">
        <f t="shared" si="126"/>
        <v>10.71</v>
      </c>
      <c r="Z193" s="256">
        <f t="shared" si="127"/>
        <v>18.52</v>
      </c>
      <c r="AA193" s="256">
        <f t="shared" si="128"/>
        <v>26.4</v>
      </c>
      <c r="AB193" s="256">
        <f t="shared" si="129"/>
        <v>244.14</v>
      </c>
      <c r="AC193" s="189">
        <f t="shared" si="88"/>
        <v>1109.1500000000001</v>
      </c>
      <c r="AD193" s="259">
        <f t="shared" si="89"/>
        <v>4635.9645394444451</v>
      </c>
    </row>
    <row r="194" spans="1:30" s="160" customFormat="1">
      <c r="A194" s="250">
        <v>189</v>
      </c>
      <c r="B194" s="251" t="s">
        <v>429</v>
      </c>
      <c r="C194" s="252">
        <v>1</v>
      </c>
      <c r="D194" s="253">
        <v>1839.38</v>
      </c>
      <c r="E194" s="254">
        <f t="shared" si="86"/>
        <v>1839.38</v>
      </c>
      <c r="F194" s="255">
        <f t="shared" si="90"/>
        <v>646.33769444444454</v>
      </c>
      <c r="G194" s="256">
        <f t="shared" si="91"/>
        <v>23.503188888888889</v>
      </c>
      <c r="H194" s="256">
        <f t="shared" si="92"/>
        <v>188.02551111111111</v>
      </c>
      <c r="I194" s="256">
        <f t="shared" si="98"/>
        <v>75.210204444444443</v>
      </c>
      <c r="J194" s="256">
        <f t="shared" si="99"/>
        <v>153.28166666666667</v>
      </c>
      <c r="K194" s="256">
        <f t="shared" si="93"/>
        <v>153.28166666666667</v>
      </c>
      <c r="L194" s="256">
        <f t="shared" si="94"/>
        <v>51.093888888888891</v>
      </c>
      <c r="M194" s="256">
        <f t="shared" si="95"/>
        <v>153.28166666666667</v>
      </c>
      <c r="N194" s="255">
        <v>0</v>
      </c>
      <c r="O194" s="256">
        <v>0</v>
      </c>
      <c r="P194" s="256">
        <f t="shared" si="130"/>
        <v>21.459433333333333</v>
      </c>
      <c r="Q194" s="256">
        <f t="shared" si="131"/>
        <v>4.2918866666666666</v>
      </c>
      <c r="R194" s="256">
        <v>0</v>
      </c>
      <c r="S194" s="257">
        <v>0</v>
      </c>
      <c r="T194" s="256">
        <v>0</v>
      </c>
      <c r="U194" s="258">
        <f t="shared" si="87"/>
        <v>1469.766807777778</v>
      </c>
      <c r="V194" s="256">
        <f t="shared" si="132"/>
        <v>218.59</v>
      </c>
      <c r="W194" s="256">
        <f t="shared" si="124"/>
        <v>560.1</v>
      </c>
      <c r="X194" s="256">
        <f t="shared" si="125"/>
        <v>30.69</v>
      </c>
      <c r="Y194" s="256">
        <f t="shared" si="126"/>
        <v>10.71</v>
      </c>
      <c r="Z194" s="256">
        <f t="shared" si="127"/>
        <v>18.52</v>
      </c>
      <c r="AA194" s="256">
        <f t="shared" si="128"/>
        <v>26.4</v>
      </c>
      <c r="AB194" s="256">
        <f t="shared" si="129"/>
        <v>244.14</v>
      </c>
      <c r="AC194" s="189">
        <f t="shared" si="88"/>
        <v>1109.1500000000001</v>
      </c>
      <c r="AD194" s="259">
        <f t="shared" si="89"/>
        <v>4418.2968077777787</v>
      </c>
    </row>
    <row r="195" spans="1:30" s="160" customFormat="1">
      <c r="A195" s="250">
        <v>190</v>
      </c>
      <c r="B195" s="251" t="s">
        <v>430</v>
      </c>
      <c r="C195" s="252">
        <v>1</v>
      </c>
      <c r="D195" s="253">
        <v>1551.48</v>
      </c>
      <c r="E195" s="254">
        <f t="shared" si="86"/>
        <v>1551.48</v>
      </c>
      <c r="F195" s="255">
        <f t="shared" si="90"/>
        <v>545.1728333333333</v>
      </c>
      <c r="G195" s="256">
        <f t="shared" si="91"/>
        <v>19.824466666666666</v>
      </c>
      <c r="H195" s="256">
        <f t="shared" si="92"/>
        <v>158.59573333333333</v>
      </c>
      <c r="I195" s="256">
        <f t="shared" si="98"/>
        <v>63.438293333333334</v>
      </c>
      <c r="J195" s="256">
        <f t="shared" si="99"/>
        <v>129.29</v>
      </c>
      <c r="K195" s="256">
        <f t="shared" si="93"/>
        <v>129.29</v>
      </c>
      <c r="L195" s="256">
        <f t="shared" si="94"/>
        <v>43.096666666666664</v>
      </c>
      <c r="M195" s="256">
        <f t="shared" si="95"/>
        <v>129.29</v>
      </c>
      <c r="N195" s="255">
        <v>0</v>
      </c>
      <c r="O195" s="256">
        <v>0</v>
      </c>
      <c r="P195" s="256">
        <f t="shared" si="130"/>
        <v>18.1006</v>
      </c>
      <c r="Q195" s="256">
        <f t="shared" si="131"/>
        <v>3.62012</v>
      </c>
      <c r="R195" s="256">
        <v>0</v>
      </c>
      <c r="S195" s="257">
        <v>0</v>
      </c>
      <c r="T195" s="256">
        <v>0</v>
      </c>
      <c r="U195" s="258">
        <f t="shared" si="87"/>
        <v>1239.7187133333332</v>
      </c>
      <c r="V195" s="256">
        <f t="shared" si="132"/>
        <v>218.59</v>
      </c>
      <c r="W195" s="256">
        <f t="shared" si="124"/>
        <v>560.1</v>
      </c>
      <c r="X195" s="256">
        <f t="shared" si="125"/>
        <v>30.69</v>
      </c>
      <c r="Y195" s="256">
        <f t="shared" si="126"/>
        <v>10.71</v>
      </c>
      <c r="Z195" s="256">
        <f t="shared" si="127"/>
        <v>18.52</v>
      </c>
      <c r="AA195" s="256">
        <f t="shared" si="128"/>
        <v>26.4</v>
      </c>
      <c r="AB195" s="256">
        <f t="shared" si="129"/>
        <v>244.14</v>
      </c>
      <c r="AC195" s="189">
        <f t="shared" si="88"/>
        <v>1109.1500000000001</v>
      </c>
      <c r="AD195" s="259">
        <f t="shared" si="89"/>
        <v>3900.3487133333333</v>
      </c>
    </row>
    <row r="196" spans="1:30" s="160" customFormat="1">
      <c r="A196" s="250">
        <v>191</v>
      </c>
      <c r="B196" s="251" t="s">
        <v>431</v>
      </c>
      <c r="C196" s="252">
        <v>1</v>
      </c>
      <c r="D196" s="253">
        <v>1626.98</v>
      </c>
      <c r="E196" s="254">
        <f t="shared" si="86"/>
        <v>1626.98</v>
      </c>
      <c r="F196" s="255">
        <f t="shared" si="90"/>
        <v>571.70269444444455</v>
      </c>
      <c r="G196" s="256">
        <f t="shared" si="91"/>
        <v>20.789188888888891</v>
      </c>
      <c r="H196" s="256">
        <f t="shared" si="92"/>
        <v>166.31351111111113</v>
      </c>
      <c r="I196" s="256">
        <f t="shared" si="98"/>
        <v>66.525404444444447</v>
      </c>
      <c r="J196" s="256">
        <f t="shared" si="99"/>
        <v>135.58166666666668</v>
      </c>
      <c r="K196" s="256">
        <f t="shared" si="93"/>
        <v>135.58166666666668</v>
      </c>
      <c r="L196" s="256">
        <f t="shared" si="94"/>
        <v>45.193888888888893</v>
      </c>
      <c r="M196" s="256">
        <f t="shared" si="95"/>
        <v>135.58166666666668</v>
      </c>
      <c r="N196" s="255">
        <v>0</v>
      </c>
      <c r="O196" s="256">
        <v>0</v>
      </c>
      <c r="P196" s="256">
        <f t="shared" si="130"/>
        <v>18.981433333333335</v>
      </c>
      <c r="Q196" s="256">
        <f t="shared" si="131"/>
        <v>3.796286666666667</v>
      </c>
      <c r="R196" s="256">
        <v>0</v>
      </c>
      <c r="S196" s="257">
        <v>0</v>
      </c>
      <c r="T196" s="256">
        <v>0</v>
      </c>
      <c r="U196" s="258">
        <f t="shared" si="87"/>
        <v>1300.0474077777781</v>
      </c>
      <c r="V196" s="256">
        <f t="shared" si="132"/>
        <v>218.59</v>
      </c>
      <c r="W196" s="256">
        <f t="shared" si="124"/>
        <v>560.1</v>
      </c>
      <c r="X196" s="256">
        <f t="shared" si="125"/>
        <v>30.69</v>
      </c>
      <c r="Y196" s="256">
        <f t="shared" si="126"/>
        <v>10.71</v>
      </c>
      <c r="Z196" s="256">
        <f t="shared" si="127"/>
        <v>18.52</v>
      </c>
      <c r="AA196" s="256">
        <f t="shared" si="128"/>
        <v>26.4</v>
      </c>
      <c r="AB196" s="256">
        <f t="shared" si="129"/>
        <v>244.14</v>
      </c>
      <c r="AC196" s="189">
        <f t="shared" si="88"/>
        <v>1109.1500000000001</v>
      </c>
      <c r="AD196" s="259">
        <f t="shared" si="89"/>
        <v>4036.1774077777782</v>
      </c>
    </row>
    <row r="197" spans="1:30" s="160" customFormat="1">
      <c r="A197" s="250">
        <v>192</v>
      </c>
      <c r="B197" s="251" t="s">
        <v>435</v>
      </c>
      <c r="C197" s="252">
        <v>2</v>
      </c>
      <c r="D197" s="253">
        <v>2128.4</v>
      </c>
      <c r="E197" s="254">
        <f t="shared" si="86"/>
        <v>4256.8</v>
      </c>
      <c r="F197" s="255">
        <f t="shared" si="90"/>
        <v>1727.3148444444446</v>
      </c>
      <c r="G197" s="256">
        <f t="shared" si="91"/>
        <v>62.81144888888889</v>
      </c>
      <c r="H197" s="256">
        <f t="shared" si="92"/>
        <v>502.49159111111112</v>
      </c>
      <c r="I197" s="256">
        <f t="shared" si="98"/>
        <v>200.99663644444445</v>
      </c>
      <c r="J197" s="256">
        <f t="shared" si="99"/>
        <v>527.3702222222222</v>
      </c>
      <c r="K197" s="256">
        <f t="shared" si="93"/>
        <v>527.3702222222222</v>
      </c>
      <c r="L197" s="256">
        <f t="shared" si="94"/>
        <v>153.7177777777778</v>
      </c>
      <c r="M197" s="256">
        <f t="shared" si="95"/>
        <v>390.20666666666671</v>
      </c>
      <c r="N197" s="255">
        <v>0</v>
      </c>
      <c r="O197" s="256">
        <v>0</v>
      </c>
      <c r="P197" s="256">
        <f>(R197+E197)/210*1.75*1.2</f>
        <v>55.338400000000007</v>
      </c>
      <c r="Q197" s="256">
        <f>P197/6</f>
        <v>9.2230666666666679</v>
      </c>
      <c r="R197" s="256">
        <f>E197*30%</f>
        <v>1277.04</v>
      </c>
      <c r="S197" s="257">
        <f>(D197*10%)*C197</f>
        <v>425.68000000000006</v>
      </c>
      <c r="T197" s="256">
        <f>(E197+R197+N197+O197)/30*2</f>
        <v>368.92266666666666</v>
      </c>
      <c r="U197" s="258">
        <f t="shared" si="87"/>
        <v>6228.4835431111114</v>
      </c>
      <c r="V197" s="256">
        <f>C197*140.1</f>
        <v>280.2</v>
      </c>
      <c r="W197" s="256">
        <f t="shared" si="124"/>
        <v>1120.2</v>
      </c>
      <c r="X197" s="256">
        <f t="shared" si="125"/>
        <v>61.38</v>
      </c>
      <c r="Y197" s="256">
        <f t="shared" si="126"/>
        <v>21.42</v>
      </c>
      <c r="Z197" s="256">
        <f t="shared" si="127"/>
        <v>37.04</v>
      </c>
      <c r="AA197" s="256">
        <f t="shared" si="128"/>
        <v>52.8</v>
      </c>
      <c r="AB197" s="256">
        <f t="shared" si="129"/>
        <v>488.28</v>
      </c>
      <c r="AC197" s="189">
        <f t="shared" si="88"/>
        <v>2061.3200000000002</v>
      </c>
      <c r="AD197" s="259">
        <f t="shared" si="89"/>
        <v>12546.603543111112</v>
      </c>
    </row>
    <row r="198" spans="1:30" s="160" customFormat="1">
      <c r="A198" s="250">
        <v>193</v>
      </c>
      <c r="B198" s="251" t="s">
        <v>432</v>
      </c>
      <c r="C198" s="252">
        <v>12</v>
      </c>
      <c r="D198" s="253">
        <v>2128.4</v>
      </c>
      <c r="E198" s="254">
        <f t="shared" ref="E198:E261" si="133">C198*D198</f>
        <v>25540.800000000003</v>
      </c>
      <c r="F198" s="255">
        <f t="shared" si="90"/>
        <v>9485.9240666666683</v>
      </c>
      <c r="G198" s="256">
        <f t="shared" si="91"/>
        <v>344.94269333333335</v>
      </c>
      <c r="H198" s="256">
        <f t="shared" si="92"/>
        <v>2759.5415466666668</v>
      </c>
      <c r="I198" s="256">
        <f t="shared" si="98"/>
        <v>1103.8166186666667</v>
      </c>
      <c r="J198" s="256">
        <f t="shared" si="99"/>
        <v>2951.3813333333333</v>
      </c>
      <c r="K198" s="256">
        <f t="shared" si="93"/>
        <v>2951.3813333333333</v>
      </c>
      <c r="L198" s="256">
        <f t="shared" si="94"/>
        <v>922.30666666666673</v>
      </c>
      <c r="M198" s="256">
        <f t="shared" si="95"/>
        <v>2128.4</v>
      </c>
      <c r="N198" s="255">
        <v>0</v>
      </c>
      <c r="O198" s="256">
        <v>0</v>
      </c>
      <c r="P198" s="256">
        <f>(R198+E198)/210*1.75*1.2</f>
        <v>332.03039999999999</v>
      </c>
      <c r="Q198" s="256">
        <f>P198/6</f>
        <v>55.3384</v>
      </c>
      <c r="R198" s="256">
        <f>E198*30%</f>
        <v>7662.2400000000007</v>
      </c>
      <c r="S198" s="257"/>
      <c r="T198" s="256">
        <f t="shared" ref="T198:T200" si="134">(E198+R198+N198+O198)/30*2</f>
        <v>2213.5360000000001</v>
      </c>
      <c r="U198" s="258">
        <f t="shared" ref="U198:U261" si="135">SUM(F198:T198)</f>
        <v>32910.839058666679</v>
      </c>
      <c r="V198" s="256">
        <f t="shared" ref="V198:V200" si="136">C198*140.1</f>
        <v>1681.1999999999998</v>
      </c>
      <c r="W198" s="256">
        <f t="shared" si="124"/>
        <v>6721.2000000000007</v>
      </c>
      <c r="X198" s="256">
        <f t="shared" si="125"/>
        <v>368.28000000000003</v>
      </c>
      <c r="Y198" s="256">
        <f t="shared" si="126"/>
        <v>128.52000000000001</v>
      </c>
      <c r="Z198" s="256">
        <f t="shared" si="127"/>
        <v>222.24</v>
      </c>
      <c r="AA198" s="256">
        <f t="shared" si="128"/>
        <v>316.79999999999995</v>
      </c>
      <c r="AB198" s="256">
        <f t="shared" si="129"/>
        <v>2929.68</v>
      </c>
      <c r="AC198" s="189">
        <f t="shared" ref="AC198:AC261" si="137">SUM(V198:AB198)</f>
        <v>12367.920000000002</v>
      </c>
      <c r="AD198" s="259">
        <f t="shared" ref="AD198:AD261" si="138">E198+U198+AC198</f>
        <v>70819.55905866668</v>
      </c>
    </row>
    <row r="199" spans="1:30" s="160" customFormat="1">
      <c r="A199" s="250">
        <v>194</v>
      </c>
      <c r="B199" s="251" t="s">
        <v>433</v>
      </c>
      <c r="C199" s="252">
        <v>2</v>
      </c>
      <c r="D199" s="253">
        <v>2128.4</v>
      </c>
      <c r="E199" s="254">
        <f t="shared" si="133"/>
        <v>4256.8</v>
      </c>
      <c r="F199" s="255">
        <f t="shared" ref="F199:F262" si="139">(E199+J199+L199+K199+M199+S199)*27.5%</f>
        <v>1775.411429135803</v>
      </c>
      <c r="G199" s="256">
        <f t="shared" ref="G199:G262" si="140">(E199+J199+L199+K199+M199+S199)*1%</f>
        <v>64.560415604938285</v>
      </c>
      <c r="H199" s="256">
        <f t="shared" ref="H199:H262" si="141">(E199+J199+L199+K199+M199+S199)*8%</f>
        <v>516.48332483950628</v>
      </c>
      <c r="I199" s="256">
        <f t="shared" si="98"/>
        <v>206.59332993580253</v>
      </c>
      <c r="J199" s="256">
        <f t="shared" si="99"/>
        <v>614.81855802469147</v>
      </c>
      <c r="K199" s="256">
        <f t="shared" ref="K199:K262" si="142">(E199+N199+O199+R199+S199+T199)/12</f>
        <v>614.81855802469147</v>
      </c>
      <c r="L199" s="256">
        <f t="shared" ref="L199:L262" si="143">(E199+R199)/3/12</f>
        <v>153.7177777777778</v>
      </c>
      <c r="M199" s="256">
        <f t="shared" ref="M199:M262" si="144">(E199+S199)/12</f>
        <v>390.20666666666671</v>
      </c>
      <c r="N199" s="255">
        <f>(R199+E199)/210*20%*160</f>
        <v>843.25180952380958</v>
      </c>
      <c r="O199" s="256">
        <f>N199/6</f>
        <v>140.54196825396826</v>
      </c>
      <c r="P199" s="256">
        <f>(R199+E199)/210*1.75*1.2</f>
        <v>55.338400000000007</v>
      </c>
      <c r="Q199" s="256">
        <f>P199/6</f>
        <v>9.2230666666666679</v>
      </c>
      <c r="R199" s="256">
        <f>E199*30%</f>
        <v>1277.04</v>
      </c>
      <c r="S199" s="257">
        <f t="shared" ref="S199" si="145">(D199*10%)*C199</f>
        <v>425.68000000000006</v>
      </c>
      <c r="T199" s="256">
        <f t="shared" si="134"/>
        <v>434.50891851851856</v>
      </c>
      <c r="U199" s="258">
        <f t="shared" si="135"/>
        <v>7522.1942229728402</v>
      </c>
      <c r="V199" s="256">
        <f t="shared" si="136"/>
        <v>280.2</v>
      </c>
      <c r="W199" s="256">
        <f t="shared" si="124"/>
        <v>1120.2</v>
      </c>
      <c r="X199" s="256">
        <f t="shared" si="125"/>
        <v>61.38</v>
      </c>
      <c r="Y199" s="256">
        <f t="shared" si="126"/>
        <v>21.42</v>
      </c>
      <c r="Z199" s="256">
        <f t="shared" si="127"/>
        <v>37.04</v>
      </c>
      <c r="AA199" s="256">
        <f t="shared" si="128"/>
        <v>52.8</v>
      </c>
      <c r="AB199" s="256">
        <f t="shared" si="129"/>
        <v>488.28</v>
      </c>
      <c r="AC199" s="189">
        <f t="shared" si="137"/>
        <v>2061.3200000000002</v>
      </c>
      <c r="AD199" s="259">
        <f t="shared" si="138"/>
        <v>13840.31422297284</v>
      </c>
    </row>
    <row r="200" spans="1:30" s="160" customFormat="1">
      <c r="A200" s="250">
        <v>195</v>
      </c>
      <c r="B200" s="251" t="s">
        <v>434</v>
      </c>
      <c r="C200" s="252">
        <v>6</v>
      </c>
      <c r="D200" s="253">
        <v>2128.4</v>
      </c>
      <c r="E200" s="254">
        <f t="shared" si="133"/>
        <v>12770.400000000001</v>
      </c>
      <c r="F200" s="255">
        <f t="shared" si="139"/>
        <v>4887.2517874074083</v>
      </c>
      <c r="G200" s="256">
        <f t="shared" si="140"/>
        <v>177.71824681481485</v>
      </c>
      <c r="H200" s="256">
        <f t="shared" si="141"/>
        <v>1421.7459745185188</v>
      </c>
      <c r="I200" s="256">
        <f t="shared" ref="I200:I263" si="146">H200*40%</f>
        <v>568.69838980740758</v>
      </c>
      <c r="J200" s="256">
        <f t="shared" ref="J200:J263" si="147">(E200+N200+O200+R200+S200+T200)/12</f>
        <v>1738.0356740740742</v>
      </c>
      <c r="K200" s="256">
        <f t="shared" si="142"/>
        <v>1738.0356740740742</v>
      </c>
      <c r="L200" s="256">
        <f t="shared" si="143"/>
        <v>461.15333333333336</v>
      </c>
      <c r="M200" s="256">
        <f t="shared" si="144"/>
        <v>1064.2</v>
      </c>
      <c r="N200" s="255">
        <f>(R200+E200)/210*20%*160</f>
        <v>2529.7554285714286</v>
      </c>
      <c r="O200" s="256">
        <f>N200/6</f>
        <v>421.62590476190479</v>
      </c>
      <c r="P200" s="256">
        <f>(R200+E200)/210*1.75*1.2</f>
        <v>166.01519999999999</v>
      </c>
      <c r="Q200" s="256">
        <f>P200/6</f>
        <v>27.6692</v>
      </c>
      <c r="R200" s="256">
        <f>E200*30%</f>
        <v>3831.1200000000003</v>
      </c>
      <c r="S200" s="257">
        <v>0</v>
      </c>
      <c r="T200" s="256">
        <f t="shared" si="134"/>
        <v>1303.5267555555556</v>
      </c>
      <c r="U200" s="258">
        <f t="shared" si="135"/>
        <v>20336.551568918519</v>
      </c>
      <c r="V200" s="256">
        <f t="shared" si="136"/>
        <v>840.59999999999991</v>
      </c>
      <c r="W200" s="256">
        <f t="shared" si="124"/>
        <v>3360.6000000000004</v>
      </c>
      <c r="X200" s="256">
        <f t="shared" si="125"/>
        <v>184.14000000000001</v>
      </c>
      <c r="Y200" s="256">
        <f t="shared" si="126"/>
        <v>64.260000000000005</v>
      </c>
      <c r="Z200" s="256">
        <f t="shared" si="127"/>
        <v>111.12</v>
      </c>
      <c r="AA200" s="256">
        <f t="shared" si="128"/>
        <v>158.39999999999998</v>
      </c>
      <c r="AB200" s="256">
        <f t="shared" si="129"/>
        <v>1464.84</v>
      </c>
      <c r="AC200" s="189">
        <f t="shared" si="137"/>
        <v>6183.9600000000009</v>
      </c>
      <c r="AD200" s="259">
        <f t="shared" si="138"/>
        <v>39290.91156891852</v>
      </c>
    </row>
    <row r="201" spans="1:30" s="160" customFormat="1">
      <c r="A201" s="250">
        <v>196</v>
      </c>
      <c r="B201" s="251" t="s">
        <v>460</v>
      </c>
      <c r="C201" s="252">
        <v>1</v>
      </c>
      <c r="D201" s="253">
        <v>7281.36</v>
      </c>
      <c r="E201" s="254">
        <f t="shared" si="133"/>
        <v>7281.36</v>
      </c>
      <c r="F201" s="255">
        <f t="shared" si="139"/>
        <v>2558.5890000000004</v>
      </c>
      <c r="G201" s="256">
        <f t="shared" si="140"/>
        <v>93.039600000000007</v>
      </c>
      <c r="H201" s="256">
        <f t="shared" si="141"/>
        <v>744.31680000000006</v>
      </c>
      <c r="I201" s="256">
        <f t="shared" si="146"/>
        <v>297.72672000000006</v>
      </c>
      <c r="J201" s="256">
        <f t="shared" si="147"/>
        <v>606.78</v>
      </c>
      <c r="K201" s="256">
        <f t="shared" si="142"/>
        <v>606.78</v>
      </c>
      <c r="L201" s="256">
        <f t="shared" si="143"/>
        <v>202.26</v>
      </c>
      <c r="M201" s="256">
        <f t="shared" si="144"/>
        <v>606.78</v>
      </c>
      <c r="N201" s="255">
        <v>0</v>
      </c>
      <c r="O201" s="256">
        <v>0</v>
      </c>
      <c r="P201" s="256">
        <v>0</v>
      </c>
      <c r="Q201" s="256">
        <v>0</v>
      </c>
      <c r="R201" s="256">
        <v>0</v>
      </c>
      <c r="S201" s="257">
        <v>0</v>
      </c>
      <c r="T201" s="256">
        <v>0</v>
      </c>
      <c r="U201" s="258">
        <f t="shared" si="135"/>
        <v>5716.2721200000005</v>
      </c>
      <c r="V201" s="256">
        <v>0</v>
      </c>
      <c r="W201" s="256">
        <f t="shared" si="124"/>
        <v>560.1</v>
      </c>
      <c r="X201" s="256">
        <f t="shared" si="125"/>
        <v>30.69</v>
      </c>
      <c r="Y201" s="256">
        <f t="shared" si="126"/>
        <v>10.71</v>
      </c>
      <c r="Z201" s="256">
        <f t="shared" si="127"/>
        <v>18.52</v>
      </c>
      <c r="AA201" s="256">
        <f t="shared" si="128"/>
        <v>26.4</v>
      </c>
      <c r="AB201" s="256">
        <f t="shared" si="129"/>
        <v>244.14</v>
      </c>
      <c r="AC201" s="189">
        <f t="shared" si="137"/>
        <v>890.56000000000006</v>
      </c>
      <c r="AD201" s="259">
        <f t="shared" si="138"/>
        <v>13888.19212</v>
      </c>
    </row>
    <row r="202" spans="1:30" s="160" customFormat="1">
      <c r="A202" s="250">
        <v>197</v>
      </c>
      <c r="B202" s="251" t="s">
        <v>422</v>
      </c>
      <c r="C202" s="252">
        <v>1</v>
      </c>
      <c r="D202" s="253">
        <v>4227.22</v>
      </c>
      <c r="E202" s="254">
        <f t="shared" si="133"/>
        <v>4227.22</v>
      </c>
      <c r="F202" s="255">
        <f t="shared" si="139"/>
        <v>1553.2097930555556</v>
      </c>
      <c r="G202" s="256">
        <f t="shared" si="140"/>
        <v>56.480356111111107</v>
      </c>
      <c r="H202" s="256">
        <f t="shared" si="141"/>
        <v>451.84284888888885</v>
      </c>
      <c r="I202" s="256">
        <f t="shared" si="146"/>
        <v>180.73713955555556</v>
      </c>
      <c r="J202" s="256">
        <f t="shared" si="147"/>
        <v>457.94883333333337</v>
      </c>
      <c r="K202" s="256">
        <f t="shared" si="142"/>
        <v>457.94883333333337</v>
      </c>
      <c r="L202" s="256">
        <f t="shared" si="143"/>
        <v>152.64961111111111</v>
      </c>
      <c r="M202" s="256">
        <f t="shared" si="144"/>
        <v>352.26833333333337</v>
      </c>
      <c r="N202" s="255">
        <v>0</v>
      </c>
      <c r="O202" s="256">
        <v>0</v>
      </c>
      <c r="P202" s="256">
        <v>0</v>
      </c>
      <c r="Q202" s="256">
        <v>0</v>
      </c>
      <c r="R202" s="256">
        <f>E202*30%</f>
        <v>1268.1659999999999</v>
      </c>
      <c r="S202" s="257">
        <v>0</v>
      </c>
      <c r="T202" s="256">
        <v>0</v>
      </c>
      <c r="U202" s="258">
        <f t="shared" si="135"/>
        <v>4931.2517487222221</v>
      </c>
      <c r="V202" s="256">
        <v>0</v>
      </c>
      <c r="W202" s="256">
        <f t="shared" si="124"/>
        <v>560.1</v>
      </c>
      <c r="X202" s="256">
        <f t="shared" si="125"/>
        <v>30.69</v>
      </c>
      <c r="Y202" s="256">
        <f t="shared" si="126"/>
        <v>10.71</v>
      </c>
      <c r="Z202" s="256">
        <f t="shared" si="127"/>
        <v>18.52</v>
      </c>
      <c r="AA202" s="256">
        <f t="shared" si="128"/>
        <v>26.4</v>
      </c>
      <c r="AB202" s="256">
        <f t="shared" si="129"/>
        <v>244.14</v>
      </c>
      <c r="AC202" s="189">
        <f t="shared" si="137"/>
        <v>890.56000000000006</v>
      </c>
      <c r="AD202" s="259">
        <f t="shared" si="138"/>
        <v>10049.031748722222</v>
      </c>
    </row>
    <row r="203" spans="1:30" s="160" customFormat="1">
      <c r="A203" s="250">
        <v>198</v>
      </c>
      <c r="B203" s="251" t="s">
        <v>423</v>
      </c>
      <c r="C203" s="252">
        <v>1</v>
      </c>
      <c r="D203" s="253">
        <v>2912.55</v>
      </c>
      <c r="E203" s="254">
        <f t="shared" si="133"/>
        <v>2912.55</v>
      </c>
      <c r="F203" s="255">
        <f t="shared" si="139"/>
        <v>1023.4377083333336</v>
      </c>
      <c r="G203" s="256">
        <f t="shared" si="140"/>
        <v>37.215916666666672</v>
      </c>
      <c r="H203" s="256">
        <f t="shared" si="141"/>
        <v>297.72733333333338</v>
      </c>
      <c r="I203" s="256">
        <f t="shared" si="146"/>
        <v>119.09093333333335</v>
      </c>
      <c r="J203" s="256">
        <f t="shared" si="147"/>
        <v>242.71250000000001</v>
      </c>
      <c r="K203" s="256">
        <f t="shared" si="142"/>
        <v>242.71250000000001</v>
      </c>
      <c r="L203" s="256">
        <f t="shared" si="143"/>
        <v>80.904166666666669</v>
      </c>
      <c r="M203" s="256">
        <f t="shared" si="144"/>
        <v>242.71250000000001</v>
      </c>
      <c r="N203" s="255">
        <v>0</v>
      </c>
      <c r="O203" s="256">
        <v>0</v>
      </c>
      <c r="P203" s="256">
        <f>E203/150*1.75</f>
        <v>33.979750000000003</v>
      </c>
      <c r="Q203" s="256">
        <f>P203/25*5</f>
        <v>6.7959500000000004</v>
      </c>
      <c r="R203" s="256">
        <v>0</v>
      </c>
      <c r="S203" s="257">
        <v>0</v>
      </c>
      <c r="T203" s="256">
        <v>0</v>
      </c>
      <c r="U203" s="258">
        <f t="shared" si="135"/>
        <v>2327.2892583333341</v>
      </c>
      <c r="V203" s="256">
        <f>C203*111.67</f>
        <v>111.67</v>
      </c>
      <c r="W203" s="256">
        <f t="shared" si="124"/>
        <v>560.1</v>
      </c>
      <c r="X203" s="256">
        <f t="shared" si="125"/>
        <v>30.69</v>
      </c>
      <c r="Y203" s="256">
        <f t="shared" si="126"/>
        <v>10.71</v>
      </c>
      <c r="Z203" s="256">
        <f t="shared" si="127"/>
        <v>18.52</v>
      </c>
      <c r="AA203" s="256">
        <f t="shared" si="128"/>
        <v>26.4</v>
      </c>
      <c r="AB203" s="256">
        <f t="shared" si="129"/>
        <v>244.14</v>
      </c>
      <c r="AC203" s="189">
        <f t="shared" si="137"/>
        <v>1002.23</v>
      </c>
      <c r="AD203" s="259">
        <f t="shared" si="138"/>
        <v>6242.0692583333348</v>
      </c>
    </row>
    <row r="204" spans="1:30" s="160" customFormat="1">
      <c r="A204" s="250">
        <v>199</v>
      </c>
      <c r="B204" s="251" t="s">
        <v>424</v>
      </c>
      <c r="C204" s="252">
        <v>1</v>
      </c>
      <c r="D204" s="253">
        <v>2912.55</v>
      </c>
      <c r="E204" s="254">
        <f t="shared" si="133"/>
        <v>2912.55</v>
      </c>
      <c r="F204" s="255">
        <f t="shared" si="139"/>
        <v>1023.4377083333336</v>
      </c>
      <c r="G204" s="256">
        <f t="shared" si="140"/>
        <v>37.215916666666672</v>
      </c>
      <c r="H204" s="256">
        <f t="shared" si="141"/>
        <v>297.72733333333338</v>
      </c>
      <c r="I204" s="256">
        <f t="shared" si="146"/>
        <v>119.09093333333335</v>
      </c>
      <c r="J204" s="256">
        <f t="shared" si="147"/>
        <v>242.71250000000001</v>
      </c>
      <c r="K204" s="256">
        <f t="shared" si="142"/>
        <v>242.71250000000001</v>
      </c>
      <c r="L204" s="256">
        <f t="shared" si="143"/>
        <v>80.904166666666669</v>
      </c>
      <c r="M204" s="256">
        <f t="shared" si="144"/>
        <v>242.71250000000001</v>
      </c>
      <c r="N204" s="255">
        <v>0</v>
      </c>
      <c r="O204" s="256">
        <v>0</v>
      </c>
      <c r="P204" s="256">
        <f t="shared" ref="P204:P211" si="148">E204/150*1.75</f>
        <v>33.979750000000003</v>
      </c>
      <c r="Q204" s="256">
        <f t="shared" ref="Q204:Q211" si="149">P204/25*5</f>
        <v>6.7959500000000004</v>
      </c>
      <c r="R204" s="256">
        <v>0</v>
      </c>
      <c r="S204" s="257">
        <v>0</v>
      </c>
      <c r="T204" s="256">
        <v>0</v>
      </c>
      <c r="U204" s="258">
        <f t="shared" si="135"/>
        <v>2327.2892583333341</v>
      </c>
      <c r="V204" s="256">
        <f t="shared" ref="V204:V211" si="150">C204*111.67</f>
        <v>111.67</v>
      </c>
      <c r="W204" s="256">
        <f t="shared" si="124"/>
        <v>560.1</v>
      </c>
      <c r="X204" s="256">
        <f t="shared" si="125"/>
        <v>30.69</v>
      </c>
      <c r="Y204" s="256">
        <f t="shared" si="126"/>
        <v>10.71</v>
      </c>
      <c r="Z204" s="256">
        <f t="shared" si="127"/>
        <v>18.52</v>
      </c>
      <c r="AA204" s="256">
        <f t="shared" si="128"/>
        <v>26.4</v>
      </c>
      <c r="AB204" s="256">
        <f t="shared" si="129"/>
        <v>244.14</v>
      </c>
      <c r="AC204" s="189">
        <f t="shared" si="137"/>
        <v>1002.23</v>
      </c>
      <c r="AD204" s="259">
        <f t="shared" si="138"/>
        <v>6242.0692583333348</v>
      </c>
    </row>
    <row r="205" spans="1:30" s="160" customFormat="1">
      <c r="A205" s="250">
        <v>200</v>
      </c>
      <c r="B205" s="251" t="s">
        <v>425</v>
      </c>
      <c r="C205" s="252">
        <v>1</v>
      </c>
      <c r="D205" s="253">
        <v>2912.55</v>
      </c>
      <c r="E205" s="254">
        <f t="shared" si="133"/>
        <v>2912.55</v>
      </c>
      <c r="F205" s="255">
        <f t="shared" si="139"/>
        <v>1023.4377083333336</v>
      </c>
      <c r="G205" s="256">
        <f t="shared" si="140"/>
        <v>37.215916666666672</v>
      </c>
      <c r="H205" s="256">
        <f t="shared" si="141"/>
        <v>297.72733333333338</v>
      </c>
      <c r="I205" s="256">
        <f t="shared" si="146"/>
        <v>119.09093333333335</v>
      </c>
      <c r="J205" s="256">
        <f t="shared" si="147"/>
        <v>242.71250000000001</v>
      </c>
      <c r="K205" s="256">
        <f t="shared" si="142"/>
        <v>242.71250000000001</v>
      </c>
      <c r="L205" s="256">
        <f t="shared" si="143"/>
        <v>80.904166666666669</v>
      </c>
      <c r="M205" s="256">
        <f t="shared" si="144"/>
        <v>242.71250000000001</v>
      </c>
      <c r="N205" s="255">
        <v>0</v>
      </c>
      <c r="O205" s="256">
        <v>0</v>
      </c>
      <c r="P205" s="256">
        <f t="shared" si="148"/>
        <v>33.979750000000003</v>
      </c>
      <c r="Q205" s="256">
        <f t="shared" si="149"/>
        <v>6.7959500000000004</v>
      </c>
      <c r="R205" s="256">
        <v>0</v>
      </c>
      <c r="S205" s="257">
        <v>0</v>
      </c>
      <c r="T205" s="256">
        <v>0</v>
      </c>
      <c r="U205" s="258">
        <f t="shared" si="135"/>
        <v>2327.2892583333341</v>
      </c>
      <c r="V205" s="256">
        <f t="shared" si="150"/>
        <v>111.67</v>
      </c>
      <c r="W205" s="256">
        <f t="shared" si="124"/>
        <v>560.1</v>
      </c>
      <c r="X205" s="256">
        <f t="shared" si="125"/>
        <v>30.69</v>
      </c>
      <c r="Y205" s="256">
        <f t="shared" si="126"/>
        <v>10.71</v>
      </c>
      <c r="Z205" s="256">
        <f t="shared" si="127"/>
        <v>18.52</v>
      </c>
      <c r="AA205" s="256">
        <f t="shared" si="128"/>
        <v>26.4</v>
      </c>
      <c r="AB205" s="256">
        <f t="shared" si="129"/>
        <v>244.14</v>
      </c>
      <c r="AC205" s="189">
        <f t="shared" si="137"/>
        <v>1002.23</v>
      </c>
      <c r="AD205" s="259">
        <f t="shared" si="138"/>
        <v>6242.0692583333348</v>
      </c>
    </row>
    <row r="206" spans="1:30" s="160" customFormat="1">
      <c r="A206" s="250">
        <v>201</v>
      </c>
      <c r="B206" s="251" t="s">
        <v>426</v>
      </c>
      <c r="C206" s="252">
        <v>1</v>
      </c>
      <c r="D206" s="253">
        <v>2912.55</v>
      </c>
      <c r="E206" s="254">
        <f t="shared" si="133"/>
        <v>2912.55</v>
      </c>
      <c r="F206" s="255">
        <f t="shared" si="139"/>
        <v>1023.4377083333336</v>
      </c>
      <c r="G206" s="256">
        <f t="shared" si="140"/>
        <v>37.215916666666672</v>
      </c>
      <c r="H206" s="256">
        <f t="shared" si="141"/>
        <v>297.72733333333338</v>
      </c>
      <c r="I206" s="256">
        <f t="shared" si="146"/>
        <v>119.09093333333335</v>
      </c>
      <c r="J206" s="256">
        <f t="shared" si="147"/>
        <v>242.71250000000001</v>
      </c>
      <c r="K206" s="256">
        <f t="shared" si="142"/>
        <v>242.71250000000001</v>
      </c>
      <c r="L206" s="256">
        <f t="shared" si="143"/>
        <v>80.904166666666669</v>
      </c>
      <c r="M206" s="256">
        <f t="shared" si="144"/>
        <v>242.71250000000001</v>
      </c>
      <c r="N206" s="255">
        <v>0</v>
      </c>
      <c r="O206" s="256">
        <v>0</v>
      </c>
      <c r="P206" s="256">
        <f t="shared" si="148"/>
        <v>33.979750000000003</v>
      </c>
      <c r="Q206" s="256">
        <f t="shared" si="149"/>
        <v>6.7959500000000004</v>
      </c>
      <c r="R206" s="256">
        <v>0</v>
      </c>
      <c r="S206" s="257">
        <v>0</v>
      </c>
      <c r="T206" s="256">
        <v>0</v>
      </c>
      <c r="U206" s="258">
        <f t="shared" si="135"/>
        <v>2327.2892583333341</v>
      </c>
      <c r="V206" s="256">
        <f t="shared" si="150"/>
        <v>111.67</v>
      </c>
      <c r="W206" s="256">
        <f t="shared" si="124"/>
        <v>560.1</v>
      </c>
      <c r="X206" s="256">
        <f t="shared" si="125"/>
        <v>30.69</v>
      </c>
      <c r="Y206" s="256">
        <f t="shared" si="126"/>
        <v>10.71</v>
      </c>
      <c r="Z206" s="256">
        <f t="shared" si="127"/>
        <v>18.52</v>
      </c>
      <c r="AA206" s="256">
        <f t="shared" si="128"/>
        <v>26.4</v>
      </c>
      <c r="AB206" s="256">
        <f t="shared" si="129"/>
        <v>244.14</v>
      </c>
      <c r="AC206" s="189">
        <f t="shared" si="137"/>
        <v>1002.23</v>
      </c>
      <c r="AD206" s="259">
        <f t="shared" si="138"/>
        <v>6242.0692583333348</v>
      </c>
    </row>
    <row r="207" spans="1:30" s="160" customFormat="1">
      <c r="A207" s="250">
        <v>202</v>
      </c>
      <c r="B207" s="251" t="s">
        <v>427</v>
      </c>
      <c r="C207" s="252">
        <v>1</v>
      </c>
      <c r="D207" s="253">
        <v>2912.55</v>
      </c>
      <c r="E207" s="254">
        <f t="shared" si="133"/>
        <v>2912.55</v>
      </c>
      <c r="F207" s="255">
        <f t="shared" si="139"/>
        <v>1023.4377083333336</v>
      </c>
      <c r="G207" s="256">
        <f t="shared" si="140"/>
        <v>37.215916666666672</v>
      </c>
      <c r="H207" s="256">
        <f t="shared" si="141"/>
        <v>297.72733333333338</v>
      </c>
      <c r="I207" s="256">
        <f t="shared" si="146"/>
        <v>119.09093333333335</v>
      </c>
      <c r="J207" s="256">
        <f t="shared" si="147"/>
        <v>242.71250000000001</v>
      </c>
      <c r="K207" s="256">
        <f t="shared" si="142"/>
        <v>242.71250000000001</v>
      </c>
      <c r="L207" s="256">
        <f t="shared" si="143"/>
        <v>80.904166666666669</v>
      </c>
      <c r="M207" s="256">
        <f t="shared" si="144"/>
        <v>242.71250000000001</v>
      </c>
      <c r="N207" s="255">
        <v>0</v>
      </c>
      <c r="O207" s="256">
        <v>0</v>
      </c>
      <c r="P207" s="256">
        <f t="shared" si="148"/>
        <v>33.979750000000003</v>
      </c>
      <c r="Q207" s="256">
        <f t="shared" si="149"/>
        <v>6.7959500000000004</v>
      </c>
      <c r="R207" s="256">
        <v>0</v>
      </c>
      <c r="S207" s="257">
        <v>0</v>
      </c>
      <c r="T207" s="256">
        <v>0</v>
      </c>
      <c r="U207" s="258">
        <f t="shared" si="135"/>
        <v>2327.2892583333341</v>
      </c>
      <c r="V207" s="256">
        <f t="shared" si="150"/>
        <v>111.67</v>
      </c>
      <c r="W207" s="256">
        <f t="shared" si="124"/>
        <v>560.1</v>
      </c>
      <c r="X207" s="256">
        <f t="shared" si="125"/>
        <v>30.69</v>
      </c>
      <c r="Y207" s="256">
        <f t="shared" si="126"/>
        <v>10.71</v>
      </c>
      <c r="Z207" s="256">
        <f t="shared" si="127"/>
        <v>18.52</v>
      </c>
      <c r="AA207" s="256">
        <f t="shared" si="128"/>
        <v>26.4</v>
      </c>
      <c r="AB207" s="256">
        <f t="shared" si="129"/>
        <v>244.14</v>
      </c>
      <c r="AC207" s="189">
        <f t="shared" si="137"/>
        <v>1002.23</v>
      </c>
      <c r="AD207" s="259">
        <f t="shared" si="138"/>
        <v>6242.0692583333348</v>
      </c>
    </row>
    <row r="208" spans="1:30" s="160" customFormat="1">
      <c r="A208" s="250">
        <v>203</v>
      </c>
      <c r="B208" s="251" t="s">
        <v>428</v>
      </c>
      <c r="C208" s="252">
        <v>1</v>
      </c>
      <c r="D208" s="253">
        <v>1960.37</v>
      </c>
      <c r="E208" s="254">
        <f t="shared" si="133"/>
        <v>1960.37</v>
      </c>
      <c r="F208" s="255">
        <f t="shared" si="139"/>
        <v>688.85223611111121</v>
      </c>
      <c r="G208" s="256">
        <f t="shared" si="140"/>
        <v>25.049172222222225</v>
      </c>
      <c r="H208" s="256">
        <f t="shared" si="141"/>
        <v>200.3933777777778</v>
      </c>
      <c r="I208" s="256">
        <f t="shared" si="146"/>
        <v>80.157351111111126</v>
      </c>
      <c r="J208" s="256">
        <f t="shared" si="147"/>
        <v>163.36416666666665</v>
      </c>
      <c r="K208" s="256">
        <f t="shared" si="142"/>
        <v>163.36416666666665</v>
      </c>
      <c r="L208" s="256">
        <f t="shared" si="143"/>
        <v>54.454722222222216</v>
      </c>
      <c r="M208" s="256">
        <f t="shared" si="144"/>
        <v>163.36416666666665</v>
      </c>
      <c r="N208" s="255">
        <v>0</v>
      </c>
      <c r="O208" s="256">
        <v>0</v>
      </c>
      <c r="P208" s="256">
        <f t="shared" si="148"/>
        <v>22.870983333333335</v>
      </c>
      <c r="Q208" s="256">
        <f t="shared" si="149"/>
        <v>4.5741966666666674</v>
      </c>
      <c r="R208" s="256">
        <v>0</v>
      </c>
      <c r="S208" s="257">
        <v>0</v>
      </c>
      <c r="T208" s="256">
        <v>0</v>
      </c>
      <c r="U208" s="258">
        <f t="shared" si="135"/>
        <v>1566.4445394444447</v>
      </c>
      <c r="V208" s="256">
        <f t="shared" si="150"/>
        <v>111.67</v>
      </c>
      <c r="W208" s="256">
        <f t="shared" si="124"/>
        <v>560.1</v>
      </c>
      <c r="X208" s="256">
        <f t="shared" si="125"/>
        <v>30.69</v>
      </c>
      <c r="Y208" s="256">
        <f t="shared" si="126"/>
        <v>10.71</v>
      </c>
      <c r="Z208" s="256">
        <f t="shared" si="127"/>
        <v>18.52</v>
      </c>
      <c r="AA208" s="256">
        <f t="shared" si="128"/>
        <v>26.4</v>
      </c>
      <c r="AB208" s="256">
        <f t="shared" si="129"/>
        <v>244.14</v>
      </c>
      <c r="AC208" s="189">
        <f t="shared" si="137"/>
        <v>1002.23</v>
      </c>
      <c r="AD208" s="259">
        <f t="shared" si="138"/>
        <v>4529.044539444445</v>
      </c>
    </row>
    <row r="209" spans="1:30" s="160" customFormat="1">
      <c r="A209" s="250">
        <v>204</v>
      </c>
      <c r="B209" s="251" t="s">
        <v>429</v>
      </c>
      <c r="C209" s="252">
        <v>1</v>
      </c>
      <c r="D209" s="253">
        <v>1839.38</v>
      </c>
      <c r="E209" s="254">
        <f t="shared" si="133"/>
        <v>1839.38</v>
      </c>
      <c r="F209" s="255">
        <f t="shared" si="139"/>
        <v>646.33769444444454</v>
      </c>
      <c r="G209" s="256">
        <f t="shared" si="140"/>
        <v>23.503188888888889</v>
      </c>
      <c r="H209" s="256">
        <f t="shared" si="141"/>
        <v>188.02551111111111</v>
      </c>
      <c r="I209" s="256">
        <f t="shared" si="146"/>
        <v>75.210204444444443</v>
      </c>
      <c r="J209" s="256">
        <f t="shared" si="147"/>
        <v>153.28166666666667</v>
      </c>
      <c r="K209" s="256">
        <f t="shared" si="142"/>
        <v>153.28166666666667</v>
      </c>
      <c r="L209" s="256">
        <f t="shared" si="143"/>
        <v>51.093888888888891</v>
      </c>
      <c r="M209" s="256">
        <f t="shared" si="144"/>
        <v>153.28166666666667</v>
      </c>
      <c r="N209" s="255">
        <v>0</v>
      </c>
      <c r="O209" s="256">
        <v>0</v>
      </c>
      <c r="P209" s="256">
        <f t="shared" si="148"/>
        <v>21.459433333333333</v>
      </c>
      <c r="Q209" s="256">
        <f t="shared" si="149"/>
        <v>4.2918866666666666</v>
      </c>
      <c r="R209" s="256">
        <v>0</v>
      </c>
      <c r="S209" s="257">
        <v>0</v>
      </c>
      <c r="T209" s="256">
        <v>0</v>
      </c>
      <c r="U209" s="258">
        <f t="shared" si="135"/>
        <v>1469.766807777778</v>
      </c>
      <c r="V209" s="256">
        <f t="shared" si="150"/>
        <v>111.67</v>
      </c>
      <c r="W209" s="256">
        <f t="shared" si="124"/>
        <v>560.1</v>
      </c>
      <c r="X209" s="256">
        <f t="shared" si="125"/>
        <v>30.69</v>
      </c>
      <c r="Y209" s="256">
        <f t="shared" si="126"/>
        <v>10.71</v>
      </c>
      <c r="Z209" s="256">
        <f t="shared" si="127"/>
        <v>18.52</v>
      </c>
      <c r="AA209" s="256">
        <f t="shared" si="128"/>
        <v>26.4</v>
      </c>
      <c r="AB209" s="256">
        <f t="shared" si="129"/>
        <v>244.14</v>
      </c>
      <c r="AC209" s="189">
        <f t="shared" si="137"/>
        <v>1002.23</v>
      </c>
      <c r="AD209" s="259">
        <f t="shared" si="138"/>
        <v>4311.3768077777786</v>
      </c>
    </row>
    <row r="210" spans="1:30" s="160" customFormat="1">
      <c r="A210" s="250">
        <v>205</v>
      </c>
      <c r="B210" s="251" t="s">
        <v>430</v>
      </c>
      <c r="C210" s="252">
        <v>1</v>
      </c>
      <c r="D210" s="253">
        <v>1551.48</v>
      </c>
      <c r="E210" s="254">
        <f t="shared" si="133"/>
        <v>1551.48</v>
      </c>
      <c r="F210" s="255">
        <f t="shared" si="139"/>
        <v>545.1728333333333</v>
      </c>
      <c r="G210" s="256">
        <f t="shared" si="140"/>
        <v>19.824466666666666</v>
      </c>
      <c r="H210" s="256">
        <f t="shared" si="141"/>
        <v>158.59573333333333</v>
      </c>
      <c r="I210" s="256">
        <f t="shared" si="146"/>
        <v>63.438293333333334</v>
      </c>
      <c r="J210" s="256">
        <f t="shared" si="147"/>
        <v>129.29</v>
      </c>
      <c r="K210" s="256">
        <f t="shared" si="142"/>
        <v>129.29</v>
      </c>
      <c r="L210" s="256">
        <f t="shared" si="143"/>
        <v>43.096666666666664</v>
      </c>
      <c r="M210" s="256">
        <f t="shared" si="144"/>
        <v>129.29</v>
      </c>
      <c r="N210" s="255">
        <v>0</v>
      </c>
      <c r="O210" s="256">
        <v>0</v>
      </c>
      <c r="P210" s="256">
        <f t="shared" si="148"/>
        <v>18.1006</v>
      </c>
      <c r="Q210" s="256">
        <f t="shared" si="149"/>
        <v>3.62012</v>
      </c>
      <c r="R210" s="256">
        <v>0</v>
      </c>
      <c r="S210" s="257">
        <v>0</v>
      </c>
      <c r="T210" s="256">
        <v>0</v>
      </c>
      <c r="U210" s="258">
        <f t="shared" si="135"/>
        <v>1239.7187133333332</v>
      </c>
      <c r="V210" s="256">
        <f t="shared" si="150"/>
        <v>111.67</v>
      </c>
      <c r="W210" s="256">
        <f t="shared" si="124"/>
        <v>560.1</v>
      </c>
      <c r="X210" s="256">
        <f t="shared" si="125"/>
        <v>30.69</v>
      </c>
      <c r="Y210" s="256">
        <f t="shared" si="126"/>
        <v>10.71</v>
      </c>
      <c r="Z210" s="256">
        <f t="shared" si="127"/>
        <v>18.52</v>
      </c>
      <c r="AA210" s="256">
        <f t="shared" si="128"/>
        <v>26.4</v>
      </c>
      <c r="AB210" s="256">
        <f t="shared" si="129"/>
        <v>244.14</v>
      </c>
      <c r="AC210" s="189">
        <f t="shared" si="137"/>
        <v>1002.23</v>
      </c>
      <c r="AD210" s="259">
        <f t="shared" si="138"/>
        <v>3793.4287133333332</v>
      </c>
    </row>
    <row r="211" spans="1:30" s="160" customFormat="1">
      <c r="A211" s="250">
        <v>206</v>
      </c>
      <c r="B211" s="251" t="s">
        <v>431</v>
      </c>
      <c r="C211" s="252">
        <v>1</v>
      </c>
      <c r="D211" s="253">
        <v>1626.98</v>
      </c>
      <c r="E211" s="254">
        <f t="shared" si="133"/>
        <v>1626.98</v>
      </c>
      <c r="F211" s="255">
        <f t="shared" si="139"/>
        <v>571.70269444444455</v>
      </c>
      <c r="G211" s="256">
        <f t="shared" si="140"/>
        <v>20.789188888888891</v>
      </c>
      <c r="H211" s="256">
        <f t="shared" si="141"/>
        <v>166.31351111111113</v>
      </c>
      <c r="I211" s="256">
        <f t="shared" si="146"/>
        <v>66.525404444444447</v>
      </c>
      <c r="J211" s="256">
        <f t="shared" si="147"/>
        <v>135.58166666666668</v>
      </c>
      <c r="K211" s="256">
        <f t="shared" si="142"/>
        <v>135.58166666666668</v>
      </c>
      <c r="L211" s="256">
        <f t="shared" si="143"/>
        <v>45.193888888888893</v>
      </c>
      <c r="M211" s="256">
        <f t="shared" si="144"/>
        <v>135.58166666666668</v>
      </c>
      <c r="N211" s="255">
        <v>0</v>
      </c>
      <c r="O211" s="256">
        <v>0</v>
      </c>
      <c r="P211" s="256">
        <f t="shared" si="148"/>
        <v>18.981433333333335</v>
      </c>
      <c r="Q211" s="256">
        <f t="shared" si="149"/>
        <v>3.796286666666667</v>
      </c>
      <c r="R211" s="256">
        <v>0</v>
      </c>
      <c r="S211" s="257">
        <v>0</v>
      </c>
      <c r="T211" s="256">
        <v>0</v>
      </c>
      <c r="U211" s="258">
        <f t="shared" si="135"/>
        <v>1300.0474077777781</v>
      </c>
      <c r="V211" s="256">
        <f t="shared" si="150"/>
        <v>111.67</v>
      </c>
      <c r="W211" s="256">
        <f t="shared" si="124"/>
        <v>560.1</v>
      </c>
      <c r="X211" s="256">
        <f t="shared" si="125"/>
        <v>30.69</v>
      </c>
      <c r="Y211" s="256">
        <f t="shared" si="126"/>
        <v>10.71</v>
      </c>
      <c r="Z211" s="256">
        <f t="shared" si="127"/>
        <v>18.52</v>
      </c>
      <c r="AA211" s="256">
        <f t="shared" si="128"/>
        <v>26.4</v>
      </c>
      <c r="AB211" s="256">
        <f t="shared" si="129"/>
        <v>244.14</v>
      </c>
      <c r="AC211" s="189">
        <f t="shared" si="137"/>
        <v>1002.23</v>
      </c>
      <c r="AD211" s="259">
        <f t="shared" si="138"/>
        <v>3929.2574077777781</v>
      </c>
    </row>
    <row r="212" spans="1:30" s="160" customFormat="1">
      <c r="A212" s="250">
        <v>207</v>
      </c>
      <c r="B212" s="251" t="s">
        <v>435</v>
      </c>
      <c r="C212" s="252">
        <v>2</v>
      </c>
      <c r="D212" s="253">
        <v>2128.4</v>
      </c>
      <c r="E212" s="254">
        <f t="shared" si="133"/>
        <v>4256.8</v>
      </c>
      <c r="F212" s="255">
        <f t="shared" si="139"/>
        <v>1727.3148444444446</v>
      </c>
      <c r="G212" s="256">
        <f t="shared" si="140"/>
        <v>62.81144888888889</v>
      </c>
      <c r="H212" s="256">
        <f t="shared" si="141"/>
        <v>502.49159111111112</v>
      </c>
      <c r="I212" s="256">
        <f t="shared" si="146"/>
        <v>200.99663644444445</v>
      </c>
      <c r="J212" s="256">
        <f t="shared" si="147"/>
        <v>527.3702222222222</v>
      </c>
      <c r="K212" s="256">
        <f t="shared" si="142"/>
        <v>527.3702222222222</v>
      </c>
      <c r="L212" s="256">
        <f t="shared" si="143"/>
        <v>153.7177777777778</v>
      </c>
      <c r="M212" s="256">
        <f t="shared" si="144"/>
        <v>390.20666666666671</v>
      </c>
      <c r="N212" s="255">
        <v>0</v>
      </c>
      <c r="O212" s="256">
        <v>0</v>
      </c>
      <c r="P212" s="256">
        <f>(R212+E212)/210*1.75*1.2</f>
        <v>55.338400000000007</v>
      </c>
      <c r="Q212" s="256">
        <f>P212/6</f>
        <v>9.2230666666666679</v>
      </c>
      <c r="R212" s="256">
        <f>E212*30%</f>
        <v>1277.04</v>
      </c>
      <c r="S212" s="257">
        <f>(D212*10%)*C212</f>
        <v>425.68000000000006</v>
      </c>
      <c r="T212" s="256">
        <f>(E212+R212+N212+O212)/30*2</f>
        <v>368.92266666666666</v>
      </c>
      <c r="U212" s="258">
        <f t="shared" si="135"/>
        <v>6228.4835431111114</v>
      </c>
      <c r="V212" s="256">
        <f>C212*76.14</f>
        <v>152.28</v>
      </c>
      <c r="W212" s="256">
        <f t="shared" si="124"/>
        <v>1120.2</v>
      </c>
      <c r="X212" s="256">
        <f t="shared" si="125"/>
        <v>61.38</v>
      </c>
      <c r="Y212" s="256">
        <f t="shared" si="126"/>
        <v>21.42</v>
      </c>
      <c r="Z212" s="256">
        <f t="shared" si="127"/>
        <v>37.04</v>
      </c>
      <c r="AA212" s="256">
        <f t="shared" si="128"/>
        <v>52.8</v>
      </c>
      <c r="AB212" s="256">
        <f t="shared" si="129"/>
        <v>488.28</v>
      </c>
      <c r="AC212" s="189">
        <f t="shared" si="137"/>
        <v>1933.4</v>
      </c>
      <c r="AD212" s="259">
        <f t="shared" si="138"/>
        <v>12418.683543111112</v>
      </c>
    </row>
    <row r="213" spans="1:30" s="160" customFormat="1">
      <c r="A213" s="250">
        <v>208</v>
      </c>
      <c r="B213" s="251" t="s">
        <v>432</v>
      </c>
      <c r="C213" s="252">
        <v>12</v>
      </c>
      <c r="D213" s="253">
        <v>2128.4</v>
      </c>
      <c r="E213" s="254">
        <f t="shared" si="133"/>
        <v>25540.800000000003</v>
      </c>
      <c r="F213" s="255">
        <f t="shared" si="139"/>
        <v>9485.9240666666683</v>
      </c>
      <c r="G213" s="256">
        <f t="shared" si="140"/>
        <v>344.94269333333335</v>
      </c>
      <c r="H213" s="256">
        <f t="shared" si="141"/>
        <v>2759.5415466666668</v>
      </c>
      <c r="I213" s="256">
        <f t="shared" si="146"/>
        <v>1103.8166186666667</v>
      </c>
      <c r="J213" s="256">
        <f t="shared" si="147"/>
        <v>2951.3813333333333</v>
      </c>
      <c r="K213" s="256">
        <f t="shared" si="142"/>
        <v>2951.3813333333333</v>
      </c>
      <c r="L213" s="256">
        <f t="shared" si="143"/>
        <v>922.30666666666673</v>
      </c>
      <c r="M213" s="256">
        <f t="shared" si="144"/>
        <v>2128.4</v>
      </c>
      <c r="N213" s="255">
        <v>0</v>
      </c>
      <c r="O213" s="256">
        <v>0</v>
      </c>
      <c r="P213" s="256">
        <f>(R213+E213)/210*1.75*1.2</f>
        <v>332.03039999999999</v>
      </c>
      <c r="Q213" s="256">
        <f>P213/6</f>
        <v>55.3384</v>
      </c>
      <c r="R213" s="256">
        <f>E213*30%</f>
        <v>7662.2400000000007</v>
      </c>
      <c r="S213" s="257"/>
      <c r="T213" s="256">
        <f t="shared" ref="T213:T215" si="151">(E213+R213+N213+O213)/30*2</f>
        <v>2213.5360000000001</v>
      </c>
      <c r="U213" s="258">
        <f t="shared" si="135"/>
        <v>32910.839058666679</v>
      </c>
      <c r="V213" s="256">
        <f t="shared" ref="V213:V215" si="152">C213*76.14</f>
        <v>913.68000000000006</v>
      </c>
      <c r="W213" s="256">
        <f t="shared" si="124"/>
        <v>6721.2000000000007</v>
      </c>
      <c r="X213" s="256">
        <f t="shared" si="125"/>
        <v>368.28000000000003</v>
      </c>
      <c r="Y213" s="256">
        <f t="shared" si="126"/>
        <v>128.52000000000001</v>
      </c>
      <c r="Z213" s="256">
        <f t="shared" si="127"/>
        <v>222.24</v>
      </c>
      <c r="AA213" s="256">
        <f t="shared" si="128"/>
        <v>316.79999999999995</v>
      </c>
      <c r="AB213" s="256">
        <f t="shared" si="129"/>
        <v>2929.68</v>
      </c>
      <c r="AC213" s="189">
        <f t="shared" si="137"/>
        <v>11600.400000000001</v>
      </c>
      <c r="AD213" s="259">
        <f t="shared" si="138"/>
        <v>70052.039058666676</v>
      </c>
    </row>
    <row r="214" spans="1:30" s="160" customFormat="1">
      <c r="A214" s="250">
        <v>209</v>
      </c>
      <c r="B214" s="251" t="s">
        <v>433</v>
      </c>
      <c r="C214" s="252">
        <v>2</v>
      </c>
      <c r="D214" s="253">
        <v>2128.4</v>
      </c>
      <c r="E214" s="254">
        <f t="shared" si="133"/>
        <v>4256.8</v>
      </c>
      <c r="F214" s="255">
        <f t="shared" si="139"/>
        <v>1775.411429135803</v>
      </c>
      <c r="G214" s="256">
        <f t="shared" si="140"/>
        <v>64.560415604938285</v>
      </c>
      <c r="H214" s="256">
        <f t="shared" si="141"/>
        <v>516.48332483950628</v>
      </c>
      <c r="I214" s="256">
        <f t="shared" si="146"/>
        <v>206.59332993580253</v>
      </c>
      <c r="J214" s="256">
        <f t="shared" si="147"/>
        <v>614.81855802469147</v>
      </c>
      <c r="K214" s="256">
        <f t="shared" si="142"/>
        <v>614.81855802469147</v>
      </c>
      <c r="L214" s="256">
        <f t="shared" si="143"/>
        <v>153.7177777777778</v>
      </c>
      <c r="M214" s="256">
        <f t="shared" si="144"/>
        <v>390.20666666666671</v>
      </c>
      <c r="N214" s="255">
        <f>(R214+E214)/210*20%*160</f>
        <v>843.25180952380958</v>
      </c>
      <c r="O214" s="256">
        <f>N214/6</f>
        <v>140.54196825396826</v>
      </c>
      <c r="P214" s="256">
        <f>(R214+E214)/210*1.75*1.2</f>
        <v>55.338400000000007</v>
      </c>
      <c r="Q214" s="256">
        <f>P214/6</f>
        <v>9.2230666666666679</v>
      </c>
      <c r="R214" s="256">
        <f>E214*30%</f>
        <v>1277.04</v>
      </c>
      <c r="S214" s="257">
        <f t="shared" ref="S214" si="153">(D214*10%)*C214</f>
        <v>425.68000000000006</v>
      </c>
      <c r="T214" s="256">
        <f t="shared" si="151"/>
        <v>434.50891851851856</v>
      </c>
      <c r="U214" s="258">
        <f t="shared" si="135"/>
        <v>7522.1942229728402</v>
      </c>
      <c r="V214" s="256">
        <f t="shared" si="152"/>
        <v>152.28</v>
      </c>
      <c r="W214" s="256">
        <f t="shared" si="124"/>
        <v>1120.2</v>
      </c>
      <c r="X214" s="256">
        <f t="shared" si="125"/>
        <v>61.38</v>
      </c>
      <c r="Y214" s="256">
        <f t="shared" si="126"/>
        <v>21.42</v>
      </c>
      <c r="Z214" s="256">
        <f t="shared" si="127"/>
        <v>37.04</v>
      </c>
      <c r="AA214" s="256">
        <f t="shared" si="128"/>
        <v>52.8</v>
      </c>
      <c r="AB214" s="256">
        <f t="shared" si="129"/>
        <v>488.28</v>
      </c>
      <c r="AC214" s="189">
        <f t="shared" si="137"/>
        <v>1933.4</v>
      </c>
      <c r="AD214" s="259">
        <f t="shared" si="138"/>
        <v>13712.39422297284</v>
      </c>
    </row>
    <row r="215" spans="1:30" s="160" customFormat="1">
      <c r="A215" s="250">
        <v>210</v>
      </c>
      <c r="B215" s="251" t="s">
        <v>434</v>
      </c>
      <c r="C215" s="252">
        <v>6</v>
      </c>
      <c r="D215" s="253">
        <v>2128.4</v>
      </c>
      <c r="E215" s="254">
        <f t="shared" si="133"/>
        <v>12770.400000000001</v>
      </c>
      <c r="F215" s="255">
        <f t="shared" si="139"/>
        <v>4887.2517874074083</v>
      </c>
      <c r="G215" s="256">
        <f t="shared" si="140"/>
        <v>177.71824681481485</v>
      </c>
      <c r="H215" s="256">
        <f t="shared" si="141"/>
        <v>1421.7459745185188</v>
      </c>
      <c r="I215" s="256">
        <f t="shared" si="146"/>
        <v>568.69838980740758</v>
      </c>
      <c r="J215" s="256">
        <f t="shared" si="147"/>
        <v>1738.0356740740742</v>
      </c>
      <c r="K215" s="256">
        <f t="shared" si="142"/>
        <v>1738.0356740740742</v>
      </c>
      <c r="L215" s="256">
        <f t="shared" si="143"/>
        <v>461.15333333333336</v>
      </c>
      <c r="M215" s="256">
        <f t="shared" si="144"/>
        <v>1064.2</v>
      </c>
      <c r="N215" s="255">
        <f>(R215+E215)/210*20%*160</f>
        <v>2529.7554285714286</v>
      </c>
      <c r="O215" s="256">
        <f>N215/6</f>
        <v>421.62590476190479</v>
      </c>
      <c r="P215" s="256">
        <f>(R215+E215)/210*1.75*1.2</f>
        <v>166.01519999999999</v>
      </c>
      <c r="Q215" s="256">
        <f>P215/6</f>
        <v>27.6692</v>
      </c>
      <c r="R215" s="256">
        <f>E215*30%</f>
        <v>3831.1200000000003</v>
      </c>
      <c r="S215" s="257">
        <v>0</v>
      </c>
      <c r="T215" s="256">
        <f t="shared" si="151"/>
        <v>1303.5267555555556</v>
      </c>
      <c r="U215" s="258">
        <f t="shared" si="135"/>
        <v>20336.551568918519</v>
      </c>
      <c r="V215" s="256">
        <f t="shared" si="152"/>
        <v>456.84000000000003</v>
      </c>
      <c r="W215" s="256">
        <f t="shared" si="124"/>
        <v>3360.6000000000004</v>
      </c>
      <c r="X215" s="256">
        <f t="shared" si="125"/>
        <v>184.14000000000001</v>
      </c>
      <c r="Y215" s="256">
        <f t="shared" si="126"/>
        <v>64.260000000000005</v>
      </c>
      <c r="Z215" s="256">
        <f t="shared" si="127"/>
        <v>111.12</v>
      </c>
      <c r="AA215" s="256">
        <f t="shared" si="128"/>
        <v>158.39999999999998</v>
      </c>
      <c r="AB215" s="256">
        <f t="shared" si="129"/>
        <v>1464.84</v>
      </c>
      <c r="AC215" s="189">
        <f t="shared" si="137"/>
        <v>5800.2000000000007</v>
      </c>
      <c r="AD215" s="259">
        <f t="shared" si="138"/>
        <v>38907.151568918518</v>
      </c>
    </row>
    <row r="216" spans="1:30" s="160" customFormat="1">
      <c r="A216" s="250">
        <v>211</v>
      </c>
      <c r="B216" s="251" t="s">
        <v>460</v>
      </c>
      <c r="C216" s="252">
        <v>1</v>
      </c>
      <c r="D216" s="253">
        <v>6879.6</v>
      </c>
      <c r="E216" s="254">
        <f t="shared" si="133"/>
        <v>6879.6</v>
      </c>
      <c r="F216" s="255">
        <f t="shared" si="139"/>
        <v>2417.4150000000004</v>
      </c>
      <c r="G216" s="256">
        <f t="shared" si="140"/>
        <v>87.906000000000006</v>
      </c>
      <c r="H216" s="256">
        <f t="shared" si="141"/>
        <v>703.24800000000005</v>
      </c>
      <c r="I216" s="256">
        <f t="shared" si="146"/>
        <v>281.29920000000004</v>
      </c>
      <c r="J216" s="256">
        <f t="shared" si="147"/>
        <v>573.30000000000007</v>
      </c>
      <c r="K216" s="256">
        <f t="shared" si="142"/>
        <v>573.30000000000007</v>
      </c>
      <c r="L216" s="256">
        <f t="shared" si="143"/>
        <v>191.10000000000002</v>
      </c>
      <c r="M216" s="256">
        <f t="shared" si="144"/>
        <v>573.30000000000007</v>
      </c>
      <c r="N216" s="255">
        <v>0</v>
      </c>
      <c r="O216" s="256">
        <v>0</v>
      </c>
      <c r="P216" s="256">
        <v>0</v>
      </c>
      <c r="Q216" s="256">
        <v>0</v>
      </c>
      <c r="R216" s="256">
        <v>0</v>
      </c>
      <c r="S216" s="257">
        <v>0</v>
      </c>
      <c r="T216" s="256">
        <v>0</v>
      </c>
      <c r="U216" s="258">
        <f t="shared" si="135"/>
        <v>5400.8682000000008</v>
      </c>
      <c r="V216" s="256">
        <v>0</v>
      </c>
      <c r="W216" s="256">
        <v>529.20000000000005</v>
      </c>
      <c r="X216" s="256">
        <f t="shared" ref="X216:X276" si="154">C216*29</f>
        <v>29</v>
      </c>
      <c r="Y216" s="256">
        <f t="shared" ref="Y216:Y263" si="155">C216*10.12</f>
        <v>10.119999999999999</v>
      </c>
      <c r="Z216" s="256">
        <f t="shared" ref="Z216:Z262" si="156">C216*17.5</f>
        <v>17.5</v>
      </c>
      <c r="AA216" s="256">
        <f t="shared" ref="AA216:AA263" si="157">C216*24.95</f>
        <v>24.95</v>
      </c>
      <c r="AB216" s="256">
        <f t="shared" ref="AB216:AB262" si="158">C216*(211.68+19)</f>
        <v>230.68</v>
      </c>
      <c r="AC216" s="189">
        <f t="shared" si="137"/>
        <v>841.45</v>
      </c>
      <c r="AD216" s="259">
        <f t="shared" si="138"/>
        <v>13121.918200000002</v>
      </c>
    </row>
    <row r="217" spans="1:30" s="160" customFormat="1">
      <c r="A217" s="250">
        <v>212</v>
      </c>
      <c r="B217" s="251" t="s">
        <v>422</v>
      </c>
      <c r="C217" s="252">
        <v>1</v>
      </c>
      <c r="D217" s="253">
        <v>3993.98</v>
      </c>
      <c r="E217" s="254">
        <f t="shared" si="133"/>
        <v>3993.98</v>
      </c>
      <c r="F217" s="255">
        <f t="shared" si="139"/>
        <v>1467.5102902777778</v>
      </c>
      <c r="G217" s="256">
        <f t="shared" si="140"/>
        <v>53.364010555555552</v>
      </c>
      <c r="H217" s="256">
        <f t="shared" si="141"/>
        <v>426.91208444444442</v>
      </c>
      <c r="I217" s="256">
        <f t="shared" si="146"/>
        <v>170.76483377777777</v>
      </c>
      <c r="J217" s="256">
        <f t="shared" si="147"/>
        <v>432.68116666666668</v>
      </c>
      <c r="K217" s="256">
        <f t="shared" si="142"/>
        <v>432.68116666666668</v>
      </c>
      <c r="L217" s="256">
        <f t="shared" si="143"/>
        <v>144.22705555555555</v>
      </c>
      <c r="M217" s="256">
        <f t="shared" si="144"/>
        <v>332.83166666666665</v>
      </c>
      <c r="N217" s="255">
        <v>0</v>
      </c>
      <c r="O217" s="256">
        <v>0</v>
      </c>
      <c r="P217" s="256">
        <v>0</v>
      </c>
      <c r="Q217" s="256">
        <v>0</v>
      </c>
      <c r="R217" s="256">
        <f>E217*30%</f>
        <v>1198.194</v>
      </c>
      <c r="S217" s="257">
        <v>0</v>
      </c>
      <c r="T217" s="256">
        <v>0</v>
      </c>
      <c r="U217" s="258">
        <f t="shared" si="135"/>
        <v>4659.1662746111106</v>
      </c>
      <c r="V217" s="256">
        <v>0</v>
      </c>
      <c r="W217" s="256">
        <v>529.20000000000005</v>
      </c>
      <c r="X217" s="256">
        <f t="shared" si="154"/>
        <v>29</v>
      </c>
      <c r="Y217" s="256">
        <f t="shared" si="155"/>
        <v>10.119999999999999</v>
      </c>
      <c r="Z217" s="256">
        <f t="shared" si="156"/>
        <v>17.5</v>
      </c>
      <c r="AA217" s="256">
        <f t="shared" si="157"/>
        <v>24.95</v>
      </c>
      <c r="AB217" s="256">
        <f t="shared" si="158"/>
        <v>230.68</v>
      </c>
      <c r="AC217" s="189">
        <f t="shared" si="137"/>
        <v>841.45</v>
      </c>
      <c r="AD217" s="259">
        <f t="shared" si="138"/>
        <v>9494.5962746111109</v>
      </c>
    </row>
    <row r="218" spans="1:30" s="160" customFormat="1">
      <c r="A218" s="250">
        <v>213</v>
      </c>
      <c r="B218" s="251" t="s">
        <v>423</v>
      </c>
      <c r="C218" s="252">
        <v>1</v>
      </c>
      <c r="D218" s="253">
        <v>2751.84</v>
      </c>
      <c r="E218" s="254">
        <f t="shared" si="133"/>
        <v>2751.84</v>
      </c>
      <c r="F218" s="255">
        <f t="shared" si="139"/>
        <v>966.96600000000024</v>
      </c>
      <c r="G218" s="256">
        <f t="shared" si="140"/>
        <v>35.162400000000005</v>
      </c>
      <c r="H218" s="256">
        <f t="shared" si="141"/>
        <v>281.29920000000004</v>
      </c>
      <c r="I218" s="256">
        <f t="shared" si="146"/>
        <v>112.51968000000002</v>
      </c>
      <c r="J218" s="256">
        <f t="shared" si="147"/>
        <v>229.32000000000002</v>
      </c>
      <c r="K218" s="256">
        <f t="shared" si="142"/>
        <v>229.32000000000002</v>
      </c>
      <c r="L218" s="256">
        <f t="shared" si="143"/>
        <v>76.440000000000012</v>
      </c>
      <c r="M218" s="256">
        <f t="shared" si="144"/>
        <v>229.32000000000002</v>
      </c>
      <c r="N218" s="255">
        <v>0</v>
      </c>
      <c r="O218" s="256">
        <v>0</v>
      </c>
      <c r="P218" s="256">
        <f>E218/150*1.75</f>
        <v>32.104800000000004</v>
      </c>
      <c r="Q218" s="256">
        <f>P218/25*5</f>
        <v>6.4209600000000009</v>
      </c>
      <c r="R218" s="256">
        <v>0</v>
      </c>
      <c r="S218" s="257">
        <v>0</v>
      </c>
      <c r="T218" s="256">
        <v>0</v>
      </c>
      <c r="U218" s="258">
        <f t="shared" si="135"/>
        <v>2198.8730400000004</v>
      </c>
      <c r="V218" s="256">
        <f>C218*111.67</f>
        <v>111.67</v>
      </c>
      <c r="W218" s="256">
        <v>529.20000000000005</v>
      </c>
      <c r="X218" s="256">
        <f t="shared" si="154"/>
        <v>29</v>
      </c>
      <c r="Y218" s="256">
        <f t="shared" si="155"/>
        <v>10.119999999999999</v>
      </c>
      <c r="Z218" s="256">
        <f t="shared" si="156"/>
        <v>17.5</v>
      </c>
      <c r="AA218" s="256">
        <f t="shared" si="157"/>
        <v>24.95</v>
      </c>
      <c r="AB218" s="256">
        <f t="shared" si="158"/>
        <v>230.68</v>
      </c>
      <c r="AC218" s="189">
        <f t="shared" si="137"/>
        <v>953.12000000000012</v>
      </c>
      <c r="AD218" s="259">
        <f t="shared" si="138"/>
        <v>5903.8330400000004</v>
      </c>
    </row>
    <row r="219" spans="1:30" s="160" customFormat="1">
      <c r="A219" s="250">
        <v>214</v>
      </c>
      <c r="B219" s="251" t="s">
        <v>424</v>
      </c>
      <c r="C219" s="252">
        <v>1</v>
      </c>
      <c r="D219" s="253">
        <v>2751.84</v>
      </c>
      <c r="E219" s="254">
        <f t="shared" si="133"/>
        <v>2751.84</v>
      </c>
      <c r="F219" s="255">
        <f t="shared" si="139"/>
        <v>966.96600000000024</v>
      </c>
      <c r="G219" s="256">
        <f t="shared" si="140"/>
        <v>35.162400000000005</v>
      </c>
      <c r="H219" s="256">
        <f t="shared" si="141"/>
        <v>281.29920000000004</v>
      </c>
      <c r="I219" s="256">
        <f t="shared" si="146"/>
        <v>112.51968000000002</v>
      </c>
      <c r="J219" s="256">
        <f t="shared" si="147"/>
        <v>229.32000000000002</v>
      </c>
      <c r="K219" s="256">
        <f t="shared" si="142"/>
        <v>229.32000000000002</v>
      </c>
      <c r="L219" s="256">
        <f t="shared" si="143"/>
        <v>76.440000000000012</v>
      </c>
      <c r="M219" s="256">
        <f t="shared" si="144"/>
        <v>229.32000000000002</v>
      </c>
      <c r="N219" s="255">
        <v>0</v>
      </c>
      <c r="O219" s="256">
        <v>0</v>
      </c>
      <c r="P219" s="256">
        <f t="shared" ref="P219:P226" si="159">E219/150*1.75</f>
        <v>32.104800000000004</v>
      </c>
      <c r="Q219" s="256">
        <f t="shared" ref="Q219:Q226" si="160">P219/25*5</f>
        <v>6.4209600000000009</v>
      </c>
      <c r="R219" s="256">
        <v>0</v>
      </c>
      <c r="S219" s="257">
        <v>0</v>
      </c>
      <c r="T219" s="256">
        <v>0</v>
      </c>
      <c r="U219" s="258">
        <f t="shared" si="135"/>
        <v>2198.8730400000004</v>
      </c>
      <c r="V219" s="256">
        <f t="shared" ref="V219:V226" si="161">C219*111.67</f>
        <v>111.67</v>
      </c>
      <c r="W219" s="256">
        <v>529.20000000000005</v>
      </c>
      <c r="X219" s="256">
        <f t="shared" si="154"/>
        <v>29</v>
      </c>
      <c r="Y219" s="256">
        <f t="shared" si="155"/>
        <v>10.119999999999999</v>
      </c>
      <c r="Z219" s="256">
        <f t="shared" si="156"/>
        <v>17.5</v>
      </c>
      <c r="AA219" s="256">
        <f t="shared" si="157"/>
        <v>24.95</v>
      </c>
      <c r="AB219" s="256">
        <f t="shared" si="158"/>
        <v>230.68</v>
      </c>
      <c r="AC219" s="189">
        <f t="shared" si="137"/>
        <v>953.12000000000012</v>
      </c>
      <c r="AD219" s="259">
        <f t="shared" si="138"/>
        <v>5903.8330400000004</v>
      </c>
    </row>
    <row r="220" spans="1:30" s="160" customFormat="1">
      <c r="A220" s="250">
        <v>215</v>
      </c>
      <c r="B220" s="251" t="s">
        <v>425</v>
      </c>
      <c r="C220" s="252">
        <v>1</v>
      </c>
      <c r="D220" s="253">
        <v>2751.84</v>
      </c>
      <c r="E220" s="254">
        <f t="shared" si="133"/>
        <v>2751.84</v>
      </c>
      <c r="F220" s="255">
        <f t="shared" si="139"/>
        <v>966.96600000000024</v>
      </c>
      <c r="G220" s="256">
        <f t="shared" si="140"/>
        <v>35.162400000000005</v>
      </c>
      <c r="H220" s="256">
        <f t="shared" si="141"/>
        <v>281.29920000000004</v>
      </c>
      <c r="I220" s="256">
        <f t="shared" si="146"/>
        <v>112.51968000000002</v>
      </c>
      <c r="J220" s="256">
        <f t="shared" si="147"/>
        <v>229.32000000000002</v>
      </c>
      <c r="K220" s="256">
        <f t="shared" si="142"/>
        <v>229.32000000000002</v>
      </c>
      <c r="L220" s="256">
        <f t="shared" si="143"/>
        <v>76.440000000000012</v>
      </c>
      <c r="M220" s="256">
        <f t="shared" si="144"/>
        <v>229.32000000000002</v>
      </c>
      <c r="N220" s="255">
        <v>0</v>
      </c>
      <c r="O220" s="256">
        <v>0</v>
      </c>
      <c r="P220" s="256">
        <f t="shared" si="159"/>
        <v>32.104800000000004</v>
      </c>
      <c r="Q220" s="256">
        <f t="shared" si="160"/>
        <v>6.4209600000000009</v>
      </c>
      <c r="R220" s="256">
        <v>0</v>
      </c>
      <c r="S220" s="257">
        <v>0</v>
      </c>
      <c r="T220" s="256">
        <v>0</v>
      </c>
      <c r="U220" s="258">
        <f t="shared" si="135"/>
        <v>2198.8730400000004</v>
      </c>
      <c r="V220" s="256">
        <f t="shared" si="161"/>
        <v>111.67</v>
      </c>
      <c r="W220" s="256">
        <v>529.20000000000005</v>
      </c>
      <c r="X220" s="256">
        <f t="shared" si="154"/>
        <v>29</v>
      </c>
      <c r="Y220" s="256">
        <f t="shared" si="155"/>
        <v>10.119999999999999</v>
      </c>
      <c r="Z220" s="256">
        <f t="shared" si="156"/>
        <v>17.5</v>
      </c>
      <c r="AA220" s="256">
        <f t="shared" si="157"/>
        <v>24.95</v>
      </c>
      <c r="AB220" s="256">
        <f t="shared" si="158"/>
        <v>230.68</v>
      </c>
      <c r="AC220" s="189">
        <f t="shared" si="137"/>
        <v>953.12000000000012</v>
      </c>
      <c r="AD220" s="259">
        <f t="shared" si="138"/>
        <v>5903.8330400000004</v>
      </c>
    </row>
    <row r="221" spans="1:30" s="160" customFormat="1">
      <c r="A221" s="250">
        <v>216</v>
      </c>
      <c r="B221" s="251" t="s">
        <v>426</v>
      </c>
      <c r="C221" s="252">
        <v>1</v>
      </c>
      <c r="D221" s="253">
        <v>2751.84</v>
      </c>
      <c r="E221" s="254">
        <f t="shared" si="133"/>
        <v>2751.84</v>
      </c>
      <c r="F221" s="255">
        <f t="shared" si="139"/>
        <v>966.96600000000024</v>
      </c>
      <c r="G221" s="256">
        <f t="shared" si="140"/>
        <v>35.162400000000005</v>
      </c>
      <c r="H221" s="256">
        <f t="shared" si="141"/>
        <v>281.29920000000004</v>
      </c>
      <c r="I221" s="256">
        <f t="shared" si="146"/>
        <v>112.51968000000002</v>
      </c>
      <c r="J221" s="256">
        <f t="shared" si="147"/>
        <v>229.32000000000002</v>
      </c>
      <c r="K221" s="256">
        <f t="shared" si="142"/>
        <v>229.32000000000002</v>
      </c>
      <c r="L221" s="256">
        <f t="shared" si="143"/>
        <v>76.440000000000012</v>
      </c>
      <c r="M221" s="256">
        <f t="shared" si="144"/>
        <v>229.32000000000002</v>
      </c>
      <c r="N221" s="255">
        <v>0</v>
      </c>
      <c r="O221" s="256">
        <v>0</v>
      </c>
      <c r="P221" s="256">
        <f t="shared" si="159"/>
        <v>32.104800000000004</v>
      </c>
      <c r="Q221" s="256">
        <f t="shared" si="160"/>
        <v>6.4209600000000009</v>
      </c>
      <c r="R221" s="256">
        <v>0</v>
      </c>
      <c r="S221" s="257">
        <v>0</v>
      </c>
      <c r="T221" s="256">
        <v>0</v>
      </c>
      <c r="U221" s="258">
        <f t="shared" si="135"/>
        <v>2198.8730400000004</v>
      </c>
      <c r="V221" s="256">
        <f t="shared" si="161"/>
        <v>111.67</v>
      </c>
      <c r="W221" s="256">
        <v>529.20000000000005</v>
      </c>
      <c r="X221" s="256">
        <f t="shared" si="154"/>
        <v>29</v>
      </c>
      <c r="Y221" s="256">
        <f t="shared" si="155"/>
        <v>10.119999999999999</v>
      </c>
      <c r="Z221" s="256">
        <f t="shared" si="156"/>
        <v>17.5</v>
      </c>
      <c r="AA221" s="256">
        <f t="shared" si="157"/>
        <v>24.95</v>
      </c>
      <c r="AB221" s="256">
        <f t="shared" si="158"/>
        <v>230.68</v>
      </c>
      <c r="AC221" s="189">
        <f t="shared" si="137"/>
        <v>953.12000000000012</v>
      </c>
      <c r="AD221" s="259">
        <f t="shared" si="138"/>
        <v>5903.8330400000004</v>
      </c>
    </row>
    <row r="222" spans="1:30" s="160" customFormat="1">
      <c r="A222" s="250">
        <v>217</v>
      </c>
      <c r="B222" s="251" t="s">
        <v>427</v>
      </c>
      <c r="C222" s="252">
        <v>1</v>
      </c>
      <c r="D222" s="253">
        <v>2751.84</v>
      </c>
      <c r="E222" s="254">
        <f t="shared" si="133"/>
        <v>2751.84</v>
      </c>
      <c r="F222" s="255">
        <f t="shared" si="139"/>
        <v>966.96600000000024</v>
      </c>
      <c r="G222" s="256">
        <f t="shared" si="140"/>
        <v>35.162400000000005</v>
      </c>
      <c r="H222" s="256">
        <f t="shared" si="141"/>
        <v>281.29920000000004</v>
      </c>
      <c r="I222" s="256">
        <f t="shared" si="146"/>
        <v>112.51968000000002</v>
      </c>
      <c r="J222" s="256">
        <f t="shared" si="147"/>
        <v>229.32000000000002</v>
      </c>
      <c r="K222" s="256">
        <f t="shared" si="142"/>
        <v>229.32000000000002</v>
      </c>
      <c r="L222" s="256">
        <f t="shared" si="143"/>
        <v>76.440000000000012</v>
      </c>
      <c r="M222" s="256">
        <f t="shared" si="144"/>
        <v>229.32000000000002</v>
      </c>
      <c r="N222" s="255">
        <v>0</v>
      </c>
      <c r="O222" s="256">
        <v>0</v>
      </c>
      <c r="P222" s="256">
        <f t="shared" si="159"/>
        <v>32.104800000000004</v>
      </c>
      <c r="Q222" s="256">
        <f t="shared" si="160"/>
        <v>6.4209600000000009</v>
      </c>
      <c r="R222" s="256">
        <v>0</v>
      </c>
      <c r="S222" s="257">
        <v>0</v>
      </c>
      <c r="T222" s="256">
        <v>0</v>
      </c>
      <c r="U222" s="258">
        <f t="shared" si="135"/>
        <v>2198.8730400000004</v>
      </c>
      <c r="V222" s="256">
        <f t="shared" si="161"/>
        <v>111.67</v>
      </c>
      <c r="W222" s="256">
        <v>529.20000000000005</v>
      </c>
      <c r="X222" s="256">
        <f t="shared" si="154"/>
        <v>29</v>
      </c>
      <c r="Y222" s="256">
        <f t="shared" si="155"/>
        <v>10.119999999999999</v>
      </c>
      <c r="Z222" s="256">
        <f t="shared" si="156"/>
        <v>17.5</v>
      </c>
      <c r="AA222" s="256">
        <f t="shared" si="157"/>
        <v>24.95</v>
      </c>
      <c r="AB222" s="256">
        <f t="shared" si="158"/>
        <v>230.68</v>
      </c>
      <c r="AC222" s="189">
        <f t="shared" si="137"/>
        <v>953.12000000000012</v>
      </c>
      <c r="AD222" s="259">
        <f t="shared" si="138"/>
        <v>5903.8330400000004</v>
      </c>
    </row>
    <row r="223" spans="1:30" s="160" customFormat="1">
      <c r="A223" s="250">
        <v>218</v>
      </c>
      <c r="B223" s="251" t="s">
        <v>428</v>
      </c>
      <c r="C223" s="252">
        <v>1</v>
      </c>
      <c r="D223" s="253">
        <v>1852.2</v>
      </c>
      <c r="E223" s="254">
        <f t="shared" si="133"/>
        <v>1852.2</v>
      </c>
      <c r="F223" s="255">
        <f t="shared" si="139"/>
        <v>650.84249999999997</v>
      </c>
      <c r="G223" s="256">
        <f t="shared" si="140"/>
        <v>23.666999999999998</v>
      </c>
      <c r="H223" s="256">
        <f t="shared" si="141"/>
        <v>189.33599999999998</v>
      </c>
      <c r="I223" s="256">
        <f t="shared" si="146"/>
        <v>75.734399999999994</v>
      </c>
      <c r="J223" s="256">
        <f t="shared" si="147"/>
        <v>154.35</v>
      </c>
      <c r="K223" s="256">
        <f t="shared" si="142"/>
        <v>154.35</v>
      </c>
      <c r="L223" s="256">
        <f t="shared" si="143"/>
        <v>51.449999999999996</v>
      </c>
      <c r="M223" s="256">
        <f t="shared" si="144"/>
        <v>154.35</v>
      </c>
      <c r="N223" s="255">
        <v>0</v>
      </c>
      <c r="O223" s="256">
        <v>0</v>
      </c>
      <c r="P223" s="256">
        <f t="shared" si="159"/>
        <v>21.609000000000002</v>
      </c>
      <c r="Q223" s="256">
        <f t="shared" si="160"/>
        <v>4.3217999999999996</v>
      </c>
      <c r="R223" s="256">
        <v>0</v>
      </c>
      <c r="S223" s="257">
        <v>0</v>
      </c>
      <c r="T223" s="256">
        <v>0</v>
      </c>
      <c r="U223" s="258">
        <f t="shared" si="135"/>
        <v>1480.0106999999996</v>
      </c>
      <c r="V223" s="256">
        <f t="shared" si="161"/>
        <v>111.67</v>
      </c>
      <c r="W223" s="256">
        <v>529.20000000000005</v>
      </c>
      <c r="X223" s="256">
        <f t="shared" si="154"/>
        <v>29</v>
      </c>
      <c r="Y223" s="256">
        <f t="shared" si="155"/>
        <v>10.119999999999999</v>
      </c>
      <c r="Z223" s="256">
        <f t="shared" si="156"/>
        <v>17.5</v>
      </c>
      <c r="AA223" s="256">
        <f t="shared" si="157"/>
        <v>24.95</v>
      </c>
      <c r="AB223" s="256">
        <f t="shared" si="158"/>
        <v>230.68</v>
      </c>
      <c r="AC223" s="189">
        <f t="shared" si="137"/>
        <v>953.12000000000012</v>
      </c>
      <c r="AD223" s="259">
        <f t="shared" si="138"/>
        <v>4285.3306999999995</v>
      </c>
    </row>
    <row r="224" spans="1:30" s="160" customFormat="1">
      <c r="A224" s="250">
        <v>219</v>
      </c>
      <c r="B224" s="251" t="s">
        <v>429</v>
      </c>
      <c r="C224" s="252">
        <v>1</v>
      </c>
      <c r="D224" s="253">
        <v>1737.89</v>
      </c>
      <c r="E224" s="254">
        <f t="shared" si="133"/>
        <v>1737.89</v>
      </c>
      <c r="F224" s="255">
        <f t="shared" si="139"/>
        <v>610.6752361111113</v>
      </c>
      <c r="G224" s="256">
        <f t="shared" si="140"/>
        <v>22.206372222222225</v>
      </c>
      <c r="H224" s="256">
        <f t="shared" si="141"/>
        <v>177.6509777777778</v>
      </c>
      <c r="I224" s="256">
        <f t="shared" si="146"/>
        <v>71.060391111111116</v>
      </c>
      <c r="J224" s="256">
        <f t="shared" si="147"/>
        <v>144.82416666666668</v>
      </c>
      <c r="K224" s="256">
        <f t="shared" si="142"/>
        <v>144.82416666666668</v>
      </c>
      <c r="L224" s="256">
        <f t="shared" si="143"/>
        <v>48.274722222222231</v>
      </c>
      <c r="M224" s="256">
        <f t="shared" si="144"/>
        <v>144.82416666666668</v>
      </c>
      <c r="N224" s="255">
        <v>0</v>
      </c>
      <c r="O224" s="256">
        <v>0</v>
      </c>
      <c r="P224" s="256">
        <f t="shared" si="159"/>
        <v>20.275383333333334</v>
      </c>
      <c r="Q224" s="256">
        <f t="shared" si="160"/>
        <v>4.0550766666666664</v>
      </c>
      <c r="R224" s="256">
        <v>0</v>
      </c>
      <c r="S224" s="257">
        <v>0</v>
      </c>
      <c r="T224" s="256">
        <v>0</v>
      </c>
      <c r="U224" s="258">
        <f t="shared" si="135"/>
        <v>1388.6706594444449</v>
      </c>
      <c r="V224" s="256">
        <f t="shared" si="161"/>
        <v>111.67</v>
      </c>
      <c r="W224" s="256">
        <v>529.20000000000005</v>
      </c>
      <c r="X224" s="256">
        <f t="shared" si="154"/>
        <v>29</v>
      </c>
      <c r="Y224" s="256">
        <f t="shared" si="155"/>
        <v>10.119999999999999</v>
      </c>
      <c r="Z224" s="256">
        <f t="shared" si="156"/>
        <v>17.5</v>
      </c>
      <c r="AA224" s="256">
        <f t="shared" si="157"/>
        <v>24.95</v>
      </c>
      <c r="AB224" s="256">
        <f t="shared" si="158"/>
        <v>230.68</v>
      </c>
      <c r="AC224" s="189">
        <f t="shared" si="137"/>
        <v>953.12000000000012</v>
      </c>
      <c r="AD224" s="259">
        <f t="shared" si="138"/>
        <v>4079.6806594444452</v>
      </c>
    </row>
    <row r="225" spans="1:30" s="160" customFormat="1">
      <c r="A225" s="250">
        <v>220</v>
      </c>
      <c r="B225" s="251" t="s">
        <v>430</v>
      </c>
      <c r="C225" s="252">
        <v>1</v>
      </c>
      <c r="D225" s="253">
        <v>1465.88</v>
      </c>
      <c r="E225" s="254">
        <f t="shared" si="133"/>
        <v>1465.88</v>
      </c>
      <c r="F225" s="255">
        <f t="shared" si="139"/>
        <v>515.09394444444456</v>
      </c>
      <c r="G225" s="256">
        <f t="shared" si="140"/>
        <v>18.730688888888892</v>
      </c>
      <c r="H225" s="256">
        <f t="shared" si="141"/>
        <v>149.84551111111114</v>
      </c>
      <c r="I225" s="256">
        <f t="shared" si="146"/>
        <v>59.938204444444459</v>
      </c>
      <c r="J225" s="256">
        <f t="shared" si="147"/>
        <v>122.15666666666668</v>
      </c>
      <c r="K225" s="256">
        <f t="shared" si="142"/>
        <v>122.15666666666668</v>
      </c>
      <c r="L225" s="256">
        <f t="shared" si="143"/>
        <v>40.718888888888891</v>
      </c>
      <c r="M225" s="256">
        <f t="shared" si="144"/>
        <v>122.15666666666668</v>
      </c>
      <c r="N225" s="255">
        <v>0</v>
      </c>
      <c r="O225" s="256">
        <v>0</v>
      </c>
      <c r="P225" s="256">
        <f t="shared" si="159"/>
        <v>17.101933333333335</v>
      </c>
      <c r="Q225" s="256">
        <f t="shared" si="160"/>
        <v>3.4203866666666674</v>
      </c>
      <c r="R225" s="256">
        <v>0</v>
      </c>
      <c r="S225" s="257">
        <v>0</v>
      </c>
      <c r="T225" s="256">
        <v>0</v>
      </c>
      <c r="U225" s="258">
        <f t="shared" si="135"/>
        <v>1171.3195577777778</v>
      </c>
      <c r="V225" s="256">
        <f t="shared" si="161"/>
        <v>111.67</v>
      </c>
      <c r="W225" s="256">
        <v>529.20000000000005</v>
      </c>
      <c r="X225" s="256">
        <f t="shared" si="154"/>
        <v>29</v>
      </c>
      <c r="Y225" s="256">
        <f t="shared" si="155"/>
        <v>10.119999999999999</v>
      </c>
      <c r="Z225" s="256">
        <f t="shared" si="156"/>
        <v>17.5</v>
      </c>
      <c r="AA225" s="256">
        <f t="shared" si="157"/>
        <v>24.95</v>
      </c>
      <c r="AB225" s="256">
        <f t="shared" si="158"/>
        <v>230.68</v>
      </c>
      <c r="AC225" s="189">
        <f t="shared" si="137"/>
        <v>953.12000000000012</v>
      </c>
      <c r="AD225" s="259">
        <f t="shared" si="138"/>
        <v>3590.3195577777778</v>
      </c>
    </row>
    <row r="226" spans="1:30" s="160" customFormat="1">
      <c r="A226" s="250">
        <v>221</v>
      </c>
      <c r="B226" s="251" t="s">
        <v>431</v>
      </c>
      <c r="C226" s="252">
        <v>1</v>
      </c>
      <c r="D226" s="253">
        <v>1537.21</v>
      </c>
      <c r="E226" s="254">
        <f t="shared" si="133"/>
        <v>1537.21</v>
      </c>
      <c r="F226" s="255">
        <f t="shared" si="139"/>
        <v>540.15851388888905</v>
      </c>
      <c r="G226" s="256">
        <f t="shared" si="140"/>
        <v>19.64212777777778</v>
      </c>
      <c r="H226" s="256">
        <f t="shared" si="141"/>
        <v>157.13702222222224</v>
      </c>
      <c r="I226" s="256">
        <f t="shared" si="146"/>
        <v>62.854808888888897</v>
      </c>
      <c r="J226" s="256">
        <f t="shared" si="147"/>
        <v>128.10083333333333</v>
      </c>
      <c r="K226" s="256">
        <f t="shared" si="142"/>
        <v>128.10083333333333</v>
      </c>
      <c r="L226" s="256">
        <f t="shared" si="143"/>
        <v>42.700277777777778</v>
      </c>
      <c r="M226" s="256">
        <f t="shared" si="144"/>
        <v>128.10083333333333</v>
      </c>
      <c r="N226" s="255">
        <v>0</v>
      </c>
      <c r="O226" s="256">
        <v>0</v>
      </c>
      <c r="P226" s="256">
        <f t="shared" si="159"/>
        <v>17.934116666666668</v>
      </c>
      <c r="Q226" s="256">
        <f t="shared" si="160"/>
        <v>3.5868233333333337</v>
      </c>
      <c r="R226" s="256">
        <v>0</v>
      </c>
      <c r="S226" s="257">
        <v>0</v>
      </c>
      <c r="T226" s="256">
        <v>0</v>
      </c>
      <c r="U226" s="258">
        <f t="shared" si="135"/>
        <v>1228.3161905555557</v>
      </c>
      <c r="V226" s="256">
        <f t="shared" si="161"/>
        <v>111.67</v>
      </c>
      <c r="W226" s="256">
        <v>529.20000000000005</v>
      </c>
      <c r="X226" s="256">
        <f t="shared" si="154"/>
        <v>29</v>
      </c>
      <c r="Y226" s="256">
        <f t="shared" si="155"/>
        <v>10.119999999999999</v>
      </c>
      <c r="Z226" s="256">
        <f t="shared" si="156"/>
        <v>17.5</v>
      </c>
      <c r="AA226" s="256">
        <f t="shared" si="157"/>
        <v>24.95</v>
      </c>
      <c r="AB226" s="256">
        <f t="shared" si="158"/>
        <v>230.68</v>
      </c>
      <c r="AC226" s="189">
        <f t="shared" si="137"/>
        <v>953.12000000000012</v>
      </c>
      <c r="AD226" s="259">
        <f t="shared" si="138"/>
        <v>3718.6461905555561</v>
      </c>
    </row>
    <row r="227" spans="1:30" s="160" customFormat="1">
      <c r="A227" s="250">
        <v>222</v>
      </c>
      <c r="B227" s="251" t="s">
        <v>435</v>
      </c>
      <c r="C227" s="252">
        <v>2</v>
      </c>
      <c r="D227" s="253">
        <v>2010.96</v>
      </c>
      <c r="E227" s="254">
        <f t="shared" si="133"/>
        <v>4021.92</v>
      </c>
      <c r="F227" s="255">
        <f t="shared" si="139"/>
        <v>1632.0057600000002</v>
      </c>
      <c r="G227" s="256">
        <f t="shared" si="140"/>
        <v>59.345664000000006</v>
      </c>
      <c r="H227" s="256">
        <f t="shared" si="141"/>
        <v>474.76531200000005</v>
      </c>
      <c r="I227" s="256">
        <f t="shared" si="146"/>
        <v>189.90612480000004</v>
      </c>
      <c r="J227" s="256">
        <f t="shared" si="147"/>
        <v>498.27119999999996</v>
      </c>
      <c r="K227" s="256">
        <f t="shared" si="142"/>
        <v>498.27119999999996</v>
      </c>
      <c r="L227" s="256">
        <f t="shared" si="143"/>
        <v>145.23600000000002</v>
      </c>
      <c r="M227" s="256">
        <f t="shared" si="144"/>
        <v>368.67599999999999</v>
      </c>
      <c r="N227" s="255">
        <v>0</v>
      </c>
      <c r="O227" s="256">
        <v>0</v>
      </c>
      <c r="P227" s="256">
        <f>(R227+E227)/210*1.75*1.2</f>
        <v>52.284959999999998</v>
      </c>
      <c r="Q227" s="256">
        <f>P227/6</f>
        <v>8.7141599999999997</v>
      </c>
      <c r="R227" s="256">
        <f>E227*30%</f>
        <v>1206.576</v>
      </c>
      <c r="S227" s="257">
        <f>(D227*10%)*C227</f>
        <v>402.19200000000001</v>
      </c>
      <c r="T227" s="256">
        <f>(E227+R227+N227+O227)/30*2</f>
        <v>348.56639999999999</v>
      </c>
      <c r="U227" s="258">
        <f t="shared" si="135"/>
        <v>5884.8107808000004</v>
      </c>
      <c r="V227" s="256">
        <f>C227*76.14</f>
        <v>152.28</v>
      </c>
      <c r="W227" s="256">
        <f>C227*529.2</f>
        <v>1058.4000000000001</v>
      </c>
      <c r="X227" s="256">
        <f t="shared" si="154"/>
        <v>58</v>
      </c>
      <c r="Y227" s="256">
        <f t="shared" si="155"/>
        <v>20.239999999999998</v>
      </c>
      <c r="Z227" s="256">
        <f t="shared" si="156"/>
        <v>35</v>
      </c>
      <c r="AA227" s="256">
        <f t="shared" si="157"/>
        <v>49.9</v>
      </c>
      <c r="AB227" s="256">
        <f t="shared" si="158"/>
        <v>461.36</v>
      </c>
      <c r="AC227" s="189">
        <f t="shared" si="137"/>
        <v>1835.1800000000003</v>
      </c>
      <c r="AD227" s="259">
        <f t="shared" si="138"/>
        <v>11741.910780800001</v>
      </c>
    </row>
    <row r="228" spans="1:30" s="160" customFormat="1">
      <c r="A228" s="250">
        <v>223</v>
      </c>
      <c r="B228" s="251" t="s">
        <v>432</v>
      </c>
      <c r="C228" s="252">
        <v>12</v>
      </c>
      <c r="D228" s="253">
        <v>2010.96</v>
      </c>
      <c r="E228" s="254">
        <f t="shared" si="133"/>
        <v>24131.52</v>
      </c>
      <c r="F228" s="255">
        <f t="shared" si="139"/>
        <v>8962.5135600000012</v>
      </c>
      <c r="G228" s="256">
        <f t="shared" si="140"/>
        <v>325.90958400000005</v>
      </c>
      <c r="H228" s="256">
        <f t="shared" si="141"/>
        <v>2607.2766720000004</v>
      </c>
      <c r="I228" s="256">
        <f t="shared" si="146"/>
        <v>1042.9106688000002</v>
      </c>
      <c r="J228" s="256">
        <f t="shared" si="147"/>
        <v>2788.5311999999999</v>
      </c>
      <c r="K228" s="256">
        <f t="shared" si="142"/>
        <v>2788.5311999999999</v>
      </c>
      <c r="L228" s="256">
        <f t="shared" si="143"/>
        <v>871.41600000000005</v>
      </c>
      <c r="M228" s="256">
        <f t="shared" si="144"/>
        <v>2010.96</v>
      </c>
      <c r="N228" s="255">
        <v>0</v>
      </c>
      <c r="O228" s="256">
        <v>0</v>
      </c>
      <c r="P228" s="256">
        <f>(R228+E228)/210*1.75*1.2</f>
        <v>313.70976000000002</v>
      </c>
      <c r="Q228" s="256">
        <f>P228/6</f>
        <v>52.284960000000005</v>
      </c>
      <c r="R228" s="256">
        <f>E228*30%</f>
        <v>7239.4560000000001</v>
      </c>
      <c r="S228" s="257"/>
      <c r="T228" s="256">
        <f t="shared" ref="T228:T230" si="162">(E228+R228+N228+O228)/30*2</f>
        <v>2091.3984</v>
      </c>
      <c r="U228" s="258">
        <f t="shared" si="135"/>
        <v>31094.898004800001</v>
      </c>
      <c r="V228" s="256">
        <f t="shared" ref="V228:V230" si="163">C228*76.14</f>
        <v>913.68000000000006</v>
      </c>
      <c r="W228" s="256">
        <f>C228*529.2</f>
        <v>6350.4000000000005</v>
      </c>
      <c r="X228" s="256">
        <f t="shared" si="154"/>
        <v>348</v>
      </c>
      <c r="Y228" s="256">
        <f t="shared" si="155"/>
        <v>121.44</v>
      </c>
      <c r="Z228" s="256">
        <f t="shared" si="156"/>
        <v>210</v>
      </c>
      <c r="AA228" s="256">
        <f t="shared" si="157"/>
        <v>299.39999999999998</v>
      </c>
      <c r="AB228" s="256">
        <f t="shared" si="158"/>
        <v>2768.16</v>
      </c>
      <c r="AC228" s="189">
        <f t="shared" si="137"/>
        <v>11011.08</v>
      </c>
      <c r="AD228" s="259">
        <f t="shared" si="138"/>
        <v>66237.4980048</v>
      </c>
    </row>
    <row r="229" spans="1:30" s="160" customFormat="1">
      <c r="A229" s="250">
        <v>224</v>
      </c>
      <c r="B229" s="251" t="s">
        <v>433</v>
      </c>
      <c r="C229" s="252">
        <v>2</v>
      </c>
      <c r="D229" s="253">
        <v>2010.96</v>
      </c>
      <c r="E229" s="254">
        <f t="shared" si="133"/>
        <v>4021.92</v>
      </c>
      <c r="F229" s="255">
        <f t="shared" si="139"/>
        <v>1677.4484906666671</v>
      </c>
      <c r="G229" s="256">
        <f t="shared" si="140"/>
        <v>60.998126933333346</v>
      </c>
      <c r="H229" s="256">
        <f t="shared" si="141"/>
        <v>487.98501546666677</v>
      </c>
      <c r="I229" s="256">
        <f t="shared" si="146"/>
        <v>195.19400618666671</v>
      </c>
      <c r="J229" s="256">
        <f t="shared" si="147"/>
        <v>580.89434666666671</v>
      </c>
      <c r="K229" s="256">
        <f t="shared" si="142"/>
        <v>580.89434666666671</v>
      </c>
      <c r="L229" s="256">
        <f t="shared" si="143"/>
        <v>145.23600000000002</v>
      </c>
      <c r="M229" s="256">
        <f t="shared" si="144"/>
        <v>368.67599999999999</v>
      </c>
      <c r="N229" s="255">
        <f>(R229+E229)/210*20%*160</f>
        <v>796.72320000000013</v>
      </c>
      <c r="O229" s="256">
        <f>N229/6</f>
        <v>132.78720000000001</v>
      </c>
      <c r="P229" s="256">
        <f>(R229+E229)/210*1.75*1.2</f>
        <v>52.284959999999998</v>
      </c>
      <c r="Q229" s="256">
        <f>P229/6</f>
        <v>8.7141599999999997</v>
      </c>
      <c r="R229" s="256">
        <f>E229*30%</f>
        <v>1206.576</v>
      </c>
      <c r="S229" s="257">
        <f t="shared" ref="S229" si="164">(D229*10%)*C229</f>
        <v>402.19200000000001</v>
      </c>
      <c r="T229" s="256">
        <f t="shared" si="162"/>
        <v>410.53376000000003</v>
      </c>
      <c r="U229" s="258">
        <f t="shared" si="135"/>
        <v>7107.1376125866691</v>
      </c>
      <c r="V229" s="256">
        <f t="shared" si="163"/>
        <v>152.28</v>
      </c>
      <c r="W229" s="256">
        <f>C229*529.2</f>
        <v>1058.4000000000001</v>
      </c>
      <c r="X229" s="256">
        <f t="shared" si="154"/>
        <v>58</v>
      </c>
      <c r="Y229" s="256">
        <f t="shared" si="155"/>
        <v>20.239999999999998</v>
      </c>
      <c r="Z229" s="256">
        <f t="shared" si="156"/>
        <v>35</v>
      </c>
      <c r="AA229" s="256">
        <f t="shared" si="157"/>
        <v>49.9</v>
      </c>
      <c r="AB229" s="256">
        <f t="shared" si="158"/>
        <v>461.36</v>
      </c>
      <c r="AC229" s="189">
        <f t="shared" si="137"/>
        <v>1835.1800000000003</v>
      </c>
      <c r="AD229" s="259">
        <f t="shared" si="138"/>
        <v>12964.237612586669</v>
      </c>
    </row>
    <row r="230" spans="1:30" s="160" customFormat="1">
      <c r="A230" s="250">
        <v>225</v>
      </c>
      <c r="B230" s="251" t="s">
        <v>434</v>
      </c>
      <c r="C230" s="252">
        <v>6</v>
      </c>
      <c r="D230" s="253">
        <v>2010.96</v>
      </c>
      <c r="E230" s="254">
        <f t="shared" si="133"/>
        <v>12065.76</v>
      </c>
      <c r="F230" s="255">
        <f t="shared" si="139"/>
        <v>4617.5849719999997</v>
      </c>
      <c r="G230" s="256">
        <f t="shared" si="140"/>
        <v>167.91218079999999</v>
      </c>
      <c r="H230" s="256">
        <f t="shared" si="141"/>
        <v>1343.2974463999999</v>
      </c>
      <c r="I230" s="256">
        <f t="shared" si="146"/>
        <v>537.31897856000001</v>
      </c>
      <c r="J230" s="256">
        <f t="shared" si="147"/>
        <v>1642.1350399999999</v>
      </c>
      <c r="K230" s="256">
        <f t="shared" si="142"/>
        <v>1642.1350399999999</v>
      </c>
      <c r="L230" s="256">
        <f t="shared" si="143"/>
        <v>435.70800000000003</v>
      </c>
      <c r="M230" s="256">
        <f t="shared" si="144"/>
        <v>1005.48</v>
      </c>
      <c r="N230" s="255">
        <f>(R230+E230)/210*20%*160</f>
        <v>2390.1696000000002</v>
      </c>
      <c r="O230" s="256">
        <f>N230/6</f>
        <v>398.36160000000001</v>
      </c>
      <c r="P230" s="256">
        <f>(R230+E230)/210*1.75*1.2</f>
        <v>156.85488000000001</v>
      </c>
      <c r="Q230" s="256">
        <f>P230/6</f>
        <v>26.142480000000003</v>
      </c>
      <c r="R230" s="256">
        <f>E230*30%</f>
        <v>3619.7280000000001</v>
      </c>
      <c r="S230" s="257">
        <v>0</v>
      </c>
      <c r="T230" s="256">
        <f t="shared" si="162"/>
        <v>1231.6012800000001</v>
      </c>
      <c r="U230" s="258">
        <f t="shared" si="135"/>
        <v>19214.429497759997</v>
      </c>
      <c r="V230" s="256">
        <f t="shared" si="163"/>
        <v>456.84000000000003</v>
      </c>
      <c r="W230" s="256">
        <f>C230*529.2</f>
        <v>3175.2000000000003</v>
      </c>
      <c r="X230" s="256">
        <f t="shared" si="154"/>
        <v>174</v>
      </c>
      <c r="Y230" s="256">
        <f t="shared" si="155"/>
        <v>60.72</v>
      </c>
      <c r="Z230" s="256">
        <f t="shared" si="156"/>
        <v>105</v>
      </c>
      <c r="AA230" s="256">
        <f t="shared" si="157"/>
        <v>149.69999999999999</v>
      </c>
      <c r="AB230" s="256">
        <f t="shared" si="158"/>
        <v>1384.08</v>
      </c>
      <c r="AC230" s="189">
        <f t="shared" si="137"/>
        <v>5505.54</v>
      </c>
      <c r="AD230" s="259">
        <f t="shared" si="138"/>
        <v>36785.729497759996</v>
      </c>
    </row>
    <row r="231" spans="1:30" s="160" customFormat="1">
      <c r="A231" s="250">
        <v>226</v>
      </c>
      <c r="B231" s="251" t="s">
        <v>460</v>
      </c>
      <c r="C231" s="252">
        <v>1</v>
      </c>
      <c r="D231" s="253">
        <v>6879.6</v>
      </c>
      <c r="E231" s="254">
        <f t="shared" si="133"/>
        <v>6879.6</v>
      </c>
      <c r="F231" s="255">
        <f t="shared" si="139"/>
        <v>2417.4150000000004</v>
      </c>
      <c r="G231" s="256">
        <f t="shared" si="140"/>
        <v>87.906000000000006</v>
      </c>
      <c r="H231" s="256">
        <f t="shared" si="141"/>
        <v>703.24800000000005</v>
      </c>
      <c r="I231" s="256">
        <f t="shared" si="146"/>
        <v>281.29920000000004</v>
      </c>
      <c r="J231" s="256">
        <f t="shared" si="147"/>
        <v>573.30000000000007</v>
      </c>
      <c r="K231" s="256">
        <f t="shared" si="142"/>
        <v>573.30000000000007</v>
      </c>
      <c r="L231" s="256">
        <f t="shared" si="143"/>
        <v>191.10000000000002</v>
      </c>
      <c r="M231" s="256">
        <f t="shared" si="144"/>
        <v>573.30000000000007</v>
      </c>
      <c r="N231" s="255">
        <v>0</v>
      </c>
      <c r="O231" s="256">
        <v>0</v>
      </c>
      <c r="P231" s="256">
        <v>0</v>
      </c>
      <c r="Q231" s="256">
        <v>0</v>
      </c>
      <c r="R231" s="256">
        <v>0</v>
      </c>
      <c r="S231" s="257">
        <v>0</v>
      </c>
      <c r="T231" s="256">
        <v>0</v>
      </c>
      <c r="U231" s="258">
        <f t="shared" si="135"/>
        <v>5400.8682000000008</v>
      </c>
      <c r="V231" s="256">
        <v>0</v>
      </c>
      <c r="W231" s="256">
        <v>529.20000000000005</v>
      </c>
      <c r="X231" s="256">
        <f t="shared" si="154"/>
        <v>29</v>
      </c>
      <c r="Y231" s="256">
        <f t="shared" si="155"/>
        <v>10.119999999999999</v>
      </c>
      <c r="Z231" s="256">
        <f t="shared" si="156"/>
        <v>17.5</v>
      </c>
      <c r="AA231" s="256">
        <f t="shared" si="157"/>
        <v>24.95</v>
      </c>
      <c r="AB231" s="256">
        <f t="shared" si="158"/>
        <v>230.68</v>
      </c>
      <c r="AC231" s="189">
        <f t="shared" si="137"/>
        <v>841.45</v>
      </c>
      <c r="AD231" s="259">
        <f t="shared" si="138"/>
        <v>13121.918200000002</v>
      </c>
    </row>
    <row r="232" spans="1:30" s="160" customFormat="1">
      <c r="A232" s="250">
        <v>227</v>
      </c>
      <c r="B232" s="251" t="s">
        <v>422</v>
      </c>
      <c r="C232" s="252">
        <v>1</v>
      </c>
      <c r="D232" s="253">
        <v>3993.98</v>
      </c>
      <c r="E232" s="254">
        <f t="shared" si="133"/>
        <v>3993.98</v>
      </c>
      <c r="F232" s="255">
        <f t="shared" si="139"/>
        <v>1467.5102902777778</v>
      </c>
      <c r="G232" s="256">
        <f t="shared" si="140"/>
        <v>53.364010555555552</v>
      </c>
      <c r="H232" s="256">
        <f t="shared" si="141"/>
        <v>426.91208444444442</v>
      </c>
      <c r="I232" s="256">
        <f t="shared" si="146"/>
        <v>170.76483377777777</v>
      </c>
      <c r="J232" s="256">
        <f t="shared" si="147"/>
        <v>432.68116666666668</v>
      </c>
      <c r="K232" s="256">
        <f t="shared" si="142"/>
        <v>432.68116666666668</v>
      </c>
      <c r="L232" s="256">
        <f t="shared" si="143"/>
        <v>144.22705555555555</v>
      </c>
      <c r="M232" s="256">
        <f t="shared" si="144"/>
        <v>332.83166666666665</v>
      </c>
      <c r="N232" s="255">
        <v>0</v>
      </c>
      <c r="O232" s="256">
        <v>0</v>
      </c>
      <c r="P232" s="256">
        <v>0</v>
      </c>
      <c r="Q232" s="256">
        <v>0</v>
      </c>
      <c r="R232" s="256">
        <f>E232*30%</f>
        <v>1198.194</v>
      </c>
      <c r="S232" s="257">
        <v>0</v>
      </c>
      <c r="T232" s="256">
        <v>0</v>
      </c>
      <c r="U232" s="258">
        <f t="shared" si="135"/>
        <v>4659.1662746111106</v>
      </c>
      <c r="V232" s="256">
        <v>0</v>
      </c>
      <c r="W232" s="256">
        <v>529.20000000000005</v>
      </c>
      <c r="X232" s="256">
        <f t="shared" si="154"/>
        <v>29</v>
      </c>
      <c r="Y232" s="256">
        <f t="shared" si="155"/>
        <v>10.119999999999999</v>
      </c>
      <c r="Z232" s="256">
        <f t="shared" si="156"/>
        <v>17.5</v>
      </c>
      <c r="AA232" s="256">
        <f t="shared" si="157"/>
        <v>24.95</v>
      </c>
      <c r="AB232" s="256">
        <f t="shared" si="158"/>
        <v>230.68</v>
      </c>
      <c r="AC232" s="189">
        <f t="shared" si="137"/>
        <v>841.45</v>
      </c>
      <c r="AD232" s="259">
        <f t="shared" si="138"/>
        <v>9494.5962746111109</v>
      </c>
    </row>
    <row r="233" spans="1:30" s="160" customFormat="1">
      <c r="A233" s="250">
        <v>228</v>
      </c>
      <c r="B233" s="251" t="s">
        <v>423</v>
      </c>
      <c r="C233" s="252">
        <v>1</v>
      </c>
      <c r="D233" s="253">
        <v>2751.84</v>
      </c>
      <c r="E233" s="254">
        <f t="shared" si="133"/>
        <v>2751.84</v>
      </c>
      <c r="F233" s="255">
        <f t="shared" si="139"/>
        <v>966.96600000000024</v>
      </c>
      <c r="G233" s="256">
        <f t="shared" si="140"/>
        <v>35.162400000000005</v>
      </c>
      <c r="H233" s="256">
        <f t="shared" si="141"/>
        <v>281.29920000000004</v>
      </c>
      <c r="I233" s="256">
        <f t="shared" si="146"/>
        <v>112.51968000000002</v>
      </c>
      <c r="J233" s="256">
        <f t="shared" si="147"/>
        <v>229.32000000000002</v>
      </c>
      <c r="K233" s="256">
        <f t="shared" si="142"/>
        <v>229.32000000000002</v>
      </c>
      <c r="L233" s="256">
        <f t="shared" si="143"/>
        <v>76.440000000000012</v>
      </c>
      <c r="M233" s="256">
        <f t="shared" si="144"/>
        <v>229.32000000000002</v>
      </c>
      <c r="N233" s="255">
        <v>0</v>
      </c>
      <c r="O233" s="256">
        <v>0</v>
      </c>
      <c r="P233" s="256">
        <f>E233/150*1.75</f>
        <v>32.104800000000004</v>
      </c>
      <c r="Q233" s="256">
        <f>P233/25*5</f>
        <v>6.4209600000000009</v>
      </c>
      <c r="R233" s="256">
        <v>0</v>
      </c>
      <c r="S233" s="257">
        <v>0</v>
      </c>
      <c r="T233" s="256">
        <v>0</v>
      </c>
      <c r="U233" s="258">
        <f t="shared" si="135"/>
        <v>2198.8730400000004</v>
      </c>
      <c r="V233" s="256">
        <f>C233*111.67</f>
        <v>111.67</v>
      </c>
      <c r="W233" s="256">
        <v>529.20000000000005</v>
      </c>
      <c r="X233" s="256">
        <f t="shared" si="154"/>
        <v>29</v>
      </c>
      <c r="Y233" s="256">
        <f t="shared" si="155"/>
        <v>10.119999999999999</v>
      </c>
      <c r="Z233" s="256">
        <f t="shared" si="156"/>
        <v>17.5</v>
      </c>
      <c r="AA233" s="256">
        <f t="shared" si="157"/>
        <v>24.95</v>
      </c>
      <c r="AB233" s="256">
        <f t="shared" si="158"/>
        <v>230.68</v>
      </c>
      <c r="AC233" s="189">
        <f t="shared" si="137"/>
        <v>953.12000000000012</v>
      </c>
      <c r="AD233" s="259">
        <f t="shared" si="138"/>
        <v>5903.8330400000004</v>
      </c>
    </row>
    <row r="234" spans="1:30" s="160" customFormat="1">
      <c r="A234" s="250">
        <v>229</v>
      </c>
      <c r="B234" s="251" t="s">
        <v>424</v>
      </c>
      <c r="C234" s="252">
        <v>1</v>
      </c>
      <c r="D234" s="253">
        <v>2751.84</v>
      </c>
      <c r="E234" s="254">
        <f t="shared" si="133"/>
        <v>2751.84</v>
      </c>
      <c r="F234" s="255">
        <f t="shared" si="139"/>
        <v>966.96600000000024</v>
      </c>
      <c r="G234" s="256">
        <f t="shared" si="140"/>
        <v>35.162400000000005</v>
      </c>
      <c r="H234" s="256">
        <f t="shared" si="141"/>
        <v>281.29920000000004</v>
      </c>
      <c r="I234" s="256">
        <f t="shared" si="146"/>
        <v>112.51968000000002</v>
      </c>
      <c r="J234" s="256">
        <f t="shared" si="147"/>
        <v>229.32000000000002</v>
      </c>
      <c r="K234" s="256">
        <f t="shared" si="142"/>
        <v>229.32000000000002</v>
      </c>
      <c r="L234" s="256">
        <f t="shared" si="143"/>
        <v>76.440000000000012</v>
      </c>
      <c r="M234" s="256">
        <f t="shared" si="144"/>
        <v>229.32000000000002</v>
      </c>
      <c r="N234" s="255">
        <v>0</v>
      </c>
      <c r="O234" s="256">
        <v>0</v>
      </c>
      <c r="P234" s="256">
        <f t="shared" ref="P234:P241" si="165">E234/150*1.75</f>
        <v>32.104800000000004</v>
      </c>
      <c r="Q234" s="256">
        <f t="shared" ref="Q234:Q241" si="166">P234/25*5</f>
        <v>6.4209600000000009</v>
      </c>
      <c r="R234" s="256">
        <v>0</v>
      </c>
      <c r="S234" s="257">
        <v>0</v>
      </c>
      <c r="T234" s="256">
        <v>0</v>
      </c>
      <c r="U234" s="258">
        <f t="shared" si="135"/>
        <v>2198.8730400000004</v>
      </c>
      <c r="V234" s="256">
        <f t="shared" ref="V234:V241" si="167">C234*111.67</f>
        <v>111.67</v>
      </c>
      <c r="W234" s="256">
        <v>529.20000000000005</v>
      </c>
      <c r="X234" s="256">
        <f t="shared" si="154"/>
        <v>29</v>
      </c>
      <c r="Y234" s="256">
        <f t="shared" si="155"/>
        <v>10.119999999999999</v>
      </c>
      <c r="Z234" s="256">
        <f t="shared" si="156"/>
        <v>17.5</v>
      </c>
      <c r="AA234" s="256">
        <f t="shared" si="157"/>
        <v>24.95</v>
      </c>
      <c r="AB234" s="256">
        <f t="shared" si="158"/>
        <v>230.68</v>
      </c>
      <c r="AC234" s="189">
        <f t="shared" si="137"/>
        <v>953.12000000000012</v>
      </c>
      <c r="AD234" s="259">
        <f t="shared" si="138"/>
        <v>5903.8330400000004</v>
      </c>
    </row>
    <row r="235" spans="1:30" s="160" customFormat="1">
      <c r="A235" s="250">
        <v>230</v>
      </c>
      <c r="B235" s="251" t="s">
        <v>425</v>
      </c>
      <c r="C235" s="252">
        <v>1</v>
      </c>
      <c r="D235" s="253">
        <v>2751.84</v>
      </c>
      <c r="E235" s="254">
        <f t="shared" si="133"/>
        <v>2751.84</v>
      </c>
      <c r="F235" s="255">
        <f t="shared" si="139"/>
        <v>966.96600000000024</v>
      </c>
      <c r="G235" s="256">
        <f t="shared" si="140"/>
        <v>35.162400000000005</v>
      </c>
      <c r="H235" s="256">
        <f t="shared" si="141"/>
        <v>281.29920000000004</v>
      </c>
      <c r="I235" s="256">
        <f t="shared" si="146"/>
        <v>112.51968000000002</v>
      </c>
      <c r="J235" s="256">
        <f t="shared" si="147"/>
        <v>229.32000000000002</v>
      </c>
      <c r="K235" s="256">
        <f t="shared" si="142"/>
        <v>229.32000000000002</v>
      </c>
      <c r="L235" s="256">
        <f t="shared" si="143"/>
        <v>76.440000000000012</v>
      </c>
      <c r="M235" s="256">
        <f t="shared" si="144"/>
        <v>229.32000000000002</v>
      </c>
      <c r="N235" s="255">
        <v>0</v>
      </c>
      <c r="O235" s="256">
        <v>0</v>
      </c>
      <c r="P235" s="256">
        <f t="shared" si="165"/>
        <v>32.104800000000004</v>
      </c>
      <c r="Q235" s="256">
        <f t="shared" si="166"/>
        <v>6.4209600000000009</v>
      </c>
      <c r="R235" s="256">
        <v>0</v>
      </c>
      <c r="S235" s="257">
        <v>0</v>
      </c>
      <c r="T235" s="256">
        <v>0</v>
      </c>
      <c r="U235" s="258">
        <f t="shared" si="135"/>
        <v>2198.8730400000004</v>
      </c>
      <c r="V235" s="256">
        <f t="shared" si="167"/>
        <v>111.67</v>
      </c>
      <c r="W235" s="256">
        <v>529.20000000000005</v>
      </c>
      <c r="X235" s="256">
        <f t="shared" si="154"/>
        <v>29</v>
      </c>
      <c r="Y235" s="256">
        <f t="shared" si="155"/>
        <v>10.119999999999999</v>
      </c>
      <c r="Z235" s="256">
        <f t="shared" si="156"/>
        <v>17.5</v>
      </c>
      <c r="AA235" s="256">
        <f t="shared" si="157"/>
        <v>24.95</v>
      </c>
      <c r="AB235" s="256">
        <f t="shared" si="158"/>
        <v>230.68</v>
      </c>
      <c r="AC235" s="189">
        <f t="shared" si="137"/>
        <v>953.12000000000012</v>
      </c>
      <c r="AD235" s="259">
        <f t="shared" si="138"/>
        <v>5903.8330400000004</v>
      </c>
    </row>
    <row r="236" spans="1:30" s="160" customFormat="1">
      <c r="A236" s="250">
        <v>231</v>
      </c>
      <c r="B236" s="251" t="s">
        <v>426</v>
      </c>
      <c r="C236" s="252">
        <v>1</v>
      </c>
      <c r="D236" s="253">
        <v>2751.84</v>
      </c>
      <c r="E236" s="254">
        <f t="shared" si="133"/>
        <v>2751.84</v>
      </c>
      <c r="F236" s="255">
        <f t="shared" si="139"/>
        <v>966.96600000000024</v>
      </c>
      <c r="G236" s="256">
        <f t="shared" si="140"/>
        <v>35.162400000000005</v>
      </c>
      <c r="H236" s="256">
        <f t="shared" si="141"/>
        <v>281.29920000000004</v>
      </c>
      <c r="I236" s="256">
        <f t="shared" si="146"/>
        <v>112.51968000000002</v>
      </c>
      <c r="J236" s="256">
        <f t="shared" si="147"/>
        <v>229.32000000000002</v>
      </c>
      <c r="K236" s="256">
        <f t="shared" si="142"/>
        <v>229.32000000000002</v>
      </c>
      <c r="L236" s="256">
        <f t="shared" si="143"/>
        <v>76.440000000000012</v>
      </c>
      <c r="M236" s="256">
        <f t="shared" si="144"/>
        <v>229.32000000000002</v>
      </c>
      <c r="N236" s="255">
        <v>0</v>
      </c>
      <c r="O236" s="256">
        <v>0</v>
      </c>
      <c r="P236" s="256">
        <f t="shared" si="165"/>
        <v>32.104800000000004</v>
      </c>
      <c r="Q236" s="256">
        <f t="shared" si="166"/>
        <v>6.4209600000000009</v>
      </c>
      <c r="R236" s="256">
        <v>0</v>
      </c>
      <c r="S236" s="257">
        <v>0</v>
      </c>
      <c r="T236" s="256">
        <v>0</v>
      </c>
      <c r="U236" s="258">
        <f t="shared" si="135"/>
        <v>2198.8730400000004</v>
      </c>
      <c r="V236" s="256">
        <f t="shared" si="167"/>
        <v>111.67</v>
      </c>
      <c r="W236" s="256">
        <v>529.20000000000005</v>
      </c>
      <c r="X236" s="256">
        <f t="shared" si="154"/>
        <v>29</v>
      </c>
      <c r="Y236" s="256">
        <f t="shared" si="155"/>
        <v>10.119999999999999</v>
      </c>
      <c r="Z236" s="256">
        <f t="shared" si="156"/>
        <v>17.5</v>
      </c>
      <c r="AA236" s="256">
        <f t="shared" si="157"/>
        <v>24.95</v>
      </c>
      <c r="AB236" s="256">
        <f t="shared" si="158"/>
        <v>230.68</v>
      </c>
      <c r="AC236" s="189">
        <f t="shared" si="137"/>
        <v>953.12000000000012</v>
      </c>
      <c r="AD236" s="259">
        <f t="shared" si="138"/>
        <v>5903.8330400000004</v>
      </c>
    </row>
    <row r="237" spans="1:30" s="160" customFormat="1">
      <c r="A237" s="250">
        <v>232</v>
      </c>
      <c r="B237" s="251" t="s">
        <v>427</v>
      </c>
      <c r="C237" s="252">
        <v>1</v>
      </c>
      <c r="D237" s="253">
        <v>2751.84</v>
      </c>
      <c r="E237" s="254">
        <f t="shared" si="133"/>
        <v>2751.84</v>
      </c>
      <c r="F237" s="255">
        <f t="shared" si="139"/>
        <v>966.96600000000024</v>
      </c>
      <c r="G237" s="256">
        <f t="shared" si="140"/>
        <v>35.162400000000005</v>
      </c>
      <c r="H237" s="256">
        <f t="shared" si="141"/>
        <v>281.29920000000004</v>
      </c>
      <c r="I237" s="256">
        <f t="shared" si="146"/>
        <v>112.51968000000002</v>
      </c>
      <c r="J237" s="256">
        <f t="shared" si="147"/>
        <v>229.32000000000002</v>
      </c>
      <c r="K237" s="256">
        <f t="shared" si="142"/>
        <v>229.32000000000002</v>
      </c>
      <c r="L237" s="256">
        <f t="shared" si="143"/>
        <v>76.440000000000012</v>
      </c>
      <c r="M237" s="256">
        <f t="shared" si="144"/>
        <v>229.32000000000002</v>
      </c>
      <c r="N237" s="255">
        <v>0</v>
      </c>
      <c r="O237" s="256">
        <v>0</v>
      </c>
      <c r="P237" s="256">
        <f t="shared" si="165"/>
        <v>32.104800000000004</v>
      </c>
      <c r="Q237" s="256">
        <f t="shared" si="166"/>
        <v>6.4209600000000009</v>
      </c>
      <c r="R237" s="256">
        <v>0</v>
      </c>
      <c r="S237" s="257">
        <v>0</v>
      </c>
      <c r="T237" s="256">
        <v>0</v>
      </c>
      <c r="U237" s="258">
        <f t="shared" si="135"/>
        <v>2198.8730400000004</v>
      </c>
      <c r="V237" s="256">
        <f t="shared" si="167"/>
        <v>111.67</v>
      </c>
      <c r="W237" s="256">
        <v>529.20000000000005</v>
      </c>
      <c r="X237" s="256">
        <f t="shared" si="154"/>
        <v>29</v>
      </c>
      <c r="Y237" s="256">
        <f t="shared" si="155"/>
        <v>10.119999999999999</v>
      </c>
      <c r="Z237" s="256">
        <f t="shared" si="156"/>
        <v>17.5</v>
      </c>
      <c r="AA237" s="256">
        <f t="shared" si="157"/>
        <v>24.95</v>
      </c>
      <c r="AB237" s="256">
        <f t="shared" si="158"/>
        <v>230.68</v>
      </c>
      <c r="AC237" s="189">
        <f t="shared" si="137"/>
        <v>953.12000000000012</v>
      </c>
      <c r="AD237" s="259">
        <f t="shared" si="138"/>
        <v>5903.8330400000004</v>
      </c>
    </row>
    <row r="238" spans="1:30" s="160" customFormat="1">
      <c r="A238" s="250">
        <v>233</v>
      </c>
      <c r="B238" s="251" t="s">
        <v>428</v>
      </c>
      <c r="C238" s="252">
        <v>1</v>
      </c>
      <c r="D238" s="253">
        <v>1852.2</v>
      </c>
      <c r="E238" s="254">
        <f t="shared" si="133"/>
        <v>1852.2</v>
      </c>
      <c r="F238" s="255">
        <f t="shared" si="139"/>
        <v>650.84249999999997</v>
      </c>
      <c r="G238" s="256">
        <f t="shared" si="140"/>
        <v>23.666999999999998</v>
      </c>
      <c r="H238" s="256">
        <f t="shared" si="141"/>
        <v>189.33599999999998</v>
      </c>
      <c r="I238" s="256">
        <f t="shared" si="146"/>
        <v>75.734399999999994</v>
      </c>
      <c r="J238" s="256">
        <f t="shared" si="147"/>
        <v>154.35</v>
      </c>
      <c r="K238" s="256">
        <f t="shared" si="142"/>
        <v>154.35</v>
      </c>
      <c r="L238" s="256">
        <f t="shared" si="143"/>
        <v>51.449999999999996</v>
      </c>
      <c r="M238" s="256">
        <f t="shared" si="144"/>
        <v>154.35</v>
      </c>
      <c r="N238" s="255">
        <v>0</v>
      </c>
      <c r="O238" s="256">
        <v>0</v>
      </c>
      <c r="P238" s="256">
        <f t="shared" si="165"/>
        <v>21.609000000000002</v>
      </c>
      <c r="Q238" s="256">
        <f t="shared" si="166"/>
        <v>4.3217999999999996</v>
      </c>
      <c r="R238" s="256">
        <v>0</v>
      </c>
      <c r="S238" s="257">
        <v>0</v>
      </c>
      <c r="T238" s="256">
        <v>0</v>
      </c>
      <c r="U238" s="258">
        <f t="shared" si="135"/>
        <v>1480.0106999999996</v>
      </c>
      <c r="V238" s="256">
        <f t="shared" si="167"/>
        <v>111.67</v>
      </c>
      <c r="W238" s="256">
        <v>529.20000000000005</v>
      </c>
      <c r="X238" s="256">
        <f t="shared" si="154"/>
        <v>29</v>
      </c>
      <c r="Y238" s="256">
        <f t="shared" si="155"/>
        <v>10.119999999999999</v>
      </c>
      <c r="Z238" s="256">
        <f t="shared" si="156"/>
        <v>17.5</v>
      </c>
      <c r="AA238" s="256">
        <f t="shared" si="157"/>
        <v>24.95</v>
      </c>
      <c r="AB238" s="256">
        <f t="shared" si="158"/>
        <v>230.68</v>
      </c>
      <c r="AC238" s="189">
        <f t="shared" si="137"/>
        <v>953.12000000000012</v>
      </c>
      <c r="AD238" s="259">
        <f t="shared" si="138"/>
        <v>4285.3306999999995</v>
      </c>
    </row>
    <row r="239" spans="1:30" s="160" customFormat="1">
      <c r="A239" s="250">
        <v>234</v>
      </c>
      <c r="B239" s="251" t="s">
        <v>429</v>
      </c>
      <c r="C239" s="252">
        <v>1</v>
      </c>
      <c r="D239" s="253">
        <v>1737.89</v>
      </c>
      <c r="E239" s="254">
        <f t="shared" si="133"/>
        <v>1737.89</v>
      </c>
      <c r="F239" s="255">
        <f t="shared" si="139"/>
        <v>610.6752361111113</v>
      </c>
      <c r="G239" s="256">
        <f t="shared" si="140"/>
        <v>22.206372222222225</v>
      </c>
      <c r="H239" s="256">
        <f t="shared" si="141"/>
        <v>177.6509777777778</v>
      </c>
      <c r="I239" s="256">
        <f t="shared" si="146"/>
        <v>71.060391111111116</v>
      </c>
      <c r="J239" s="256">
        <f t="shared" si="147"/>
        <v>144.82416666666668</v>
      </c>
      <c r="K239" s="256">
        <f t="shared" si="142"/>
        <v>144.82416666666668</v>
      </c>
      <c r="L239" s="256">
        <f t="shared" si="143"/>
        <v>48.274722222222231</v>
      </c>
      <c r="M239" s="256">
        <f t="shared" si="144"/>
        <v>144.82416666666668</v>
      </c>
      <c r="N239" s="255">
        <v>0</v>
      </c>
      <c r="O239" s="256">
        <v>0</v>
      </c>
      <c r="P239" s="256">
        <f t="shared" si="165"/>
        <v>20.275383333333334</v>
      </c>
      <c r="Q239" s="256">
        <f t="shared" si="166"/>
        <v>4.0550766666666664</v>
      </c>
      <c r="R239" s="256">
        <v>0</v>
      </c>
      <c r="S239" s="257">
        <v>0</v>
      </c>
      <c r="T239" s="256">
        <v>0</v>
      </c>
      <c r="U239" s="258">
        <f t="shared" si="135"/>
        <v>1388.6706594444449</v>
      </c>
      <c r="V239" s="256">
        <f t="shared" si="167"/>
        <v>111.67</v>
      </c>
      <c r="W239" s="256">
        <v>529.20000000000005</v>
      </c>
      <c r="X239" s="256">
        <f t="shared" si="154"/>
        <v>29</v>
      </c>
      <c r="Y239" s="256">
        <f t="shared" si="155"/>
        <v>10.119999999999999</v>
      </c>
      <c r="Z239" s="256">
        <f t="shared" si="156"/>
        <v>17.5</v>
      </c>
      <c r="AA239" s="256">
        <f t="shared" si="157"/>
        <v>24.95</v>
      </c>
      <c r="AB239" s="256">
        <f t="shared" si="158"/>
        <v>230.68</v>
      </c>
      <c r="AC239" s="189">
        <f t="shared" si="137"/>
        <v>953.12000000000012</v>
      </c>
      <c r="AD239" s="259">
        <f t="shared" si="138"/>
        <v>4079.6806594444452</v>
      </c>
    </row>
    <row r="240" spans="1:30" s="160" customFormat="1">
      <c r="A240" s="250">
        <v>235</v>
      </c>
      <c r="B240" s="251" t="s">
        <v>430</v>
      </c>
      <c r="C240" s="252">
        <v>1</v>
      </c>
      <c r="D240" s="253">
        <v>1465.88</v>
      </c>
      <c r="E240" s="254">
        <f t="shared" si="133"/>
        <v>1465.88</v>
      </c>
      <c r="F240" s="255">
        <f t="shared" si="139"/>
        <v>515.09394444444456</v>
      </c>
      <c r="G240" s="256">
        <f t="shared" si="140"/>
        <v>18.730688888888892</v>
      </c>
      <c r="H240" s="256">
        <f t="shared" si="141"/>
        <v>149.84551111111114</v>
      </c>
      <c r="I240" s="256">
        <f t="shared" si="146"/>
        <v>59.938204444444459</v>
      </c>
      <c r="J240" s="256">
        <f t="shared" si="147"/>
        <v>122.15666666666668</v>
      </c>
      <c r="K240" s="256">
        <f t="shared" si="142"/>
        <v>122.15666666666668</v>
      </c>
      <c r="L240" s="256">
        <f t="shared" si="143"/>
        <v>40.718888888888891</v>
      </c>
      <c r="M240" s="256">
        <f t="shared" si="144"/>
        <v>122.15666666666668</v>
      </c>
      <c r="N240" s="255">
        <v>0</v>
      </c>
      <c r="O240" s="256">
        <v>0</v>
      </c>
      <c r="P240" s="256">
        <f t="shared" si="165"/>
        <v>17.101933333333335</v>
      </c>
      <c r="Q240" s="256">
        <f t="shared" si="166"/>
        <v>3.4203866666666674</v>
      </c>
      <c r="R240" s="256">
        <v>0</v>
      </c>
      <c r="S240" s="257">
        <v>0</v>
      </c>
      <c r="T240" s="256">
        <v>0</v>
      </c>
      <c r="U240" s="258">
        <f t="shared" si="135"/>
        <v>1171.3195577777778</v>
      </c>
      <c r="V240" s="256">
        <f t="shared" si="167"/>
        <v>111.67</v>
      </c>
      <c r="W240" s="256">
        <v>529.20000000000005</v>
      </c>
      <c r="X240" s="256">
        <f t="shared" si="154"/>
        <v>29</v>
      </c>
      <c r="Y240" s="256">
        <f t="shared" si="155"/>
        <v>10.119999999999999</v>
      </c>
      <c r="Z240" s="256">
        <f t="shared" si="156"/>
        <v>17.5</v>
      </c>
      <c r="AA240" s="256">
        <f t="shared" si="157"/>
        <v>24.95</v>
      </c>
      <c r="AB240" s="256">
        <f t="shared" si="158"/>
        <v>230.68</v>
      </c>
      <c r="AC240" s="189">
        <f t="shared" si="137"/>
        <v>953.12000000000012</v>
      </c>
      <c r="AD240" s="259">
        <f t="shared" si="138"/>
        <v>3590.3195577777778</v>
      </c>
    </row>
    <row r="241" spans="1:30" s="160" customFormat="1">
      <c r="A241" s="250">
        <v>236</v>
      </c>
      <c r="B241" s="251" t="s">
        <v>431</v>
      </c>
      <c r="C241" s="252">
        <v>1</v>
      </c>
      <c r="D241" s="253">
        <v>1537.21</v>
      </c>
      <c r="E241" s="254">
        <f t="shared" si="133"/>
        <v>1537.21</v>
      </c>
      <c r="F241" s="255">
        <f t="shared" si="139"/>
        <v>540.15851388888905</v>
      </c>
      <c r="G241" s="256">
        <f t="shared" si="140"/>
        <v>19.64212777777778</v>
      </c>
      <c r="H241" s="256">
        <f t="shared" si="141"/>
        <v>157.13702222222224</v>
      </c>
      <c r="I241" s="256">
        <f t="shared" si="146"/>
        <v>62.854808888888897</v>
      </c>
      <c r="J241" s="256">
        <f t="shared" si="147"/>
        <v>128.10083333333333</v>
      </c>
      <c r="K241" s="256">
        <f t="shared" si="142"/>
        <v>128.10083333333333</v>
      </c>
      <c r="L241" s="256">
        <f t="shared" si="143"/>
        <v>42.700277777777778</v>
      </c>
      <c r="M241" s="256">
        <f t="shared" si="144"/>
        <v>128.10083333333333</v>
      </c>
      <c r="N241" s="255">
        <v>0</v>
      </c>
      <c r="O241" s="256">
        <v>0</v>
      </c>
      <c r="P241" s="256">
        <f t="shared" si="165"/>
        <v>17.934116666666668</v>
      </c>
      <c r="Q241" s="256">
        <f t="shared" si="166"/>
        <v>3.5868233333333337</v>
      </c>
      <c r="R241" s="256">
        <v>0</v>
      </c>
      <c r="S241" s="257">
        <v>0</v>
      </c>
      <c r="T241" s="256">
        <v>0</v>
      </c>
      <c r="U241" s="258">
        <f t="shared" si="135"/>
        <v>1228.3161905555557</v>
      </c>
      <c r="V241" s="256">
        <f t="shared" si="167"/>
        <v>111.67</v>
      </c>
      <c r="W241" s="256">
        <v>529.20000000000005</v>
      </c>
      <c r="X241" s="256">
        <f t="shared" si="154"/>
        <v>29</v>
      </c>
      <c r="Y241" s="256">
        <f t="shared" si="155"/>
        <v>10.119999999999999</v>
      </c>
      <c r="Z241" s="256">
        <f t="shared" si="156"/>
        <v>17.5</v>
      </c>
      <c r="AA241" s="256">
        <f t="shared" si="157"/>
        <v>24.95</v>
      </c>
      <c r="AB241" s="256">
        <f t="shared" si="158"/>
        <v>230.68</v>
      </c>
      <c r="AC241" s="189">
        <f t="shared" si="137"/>
        <v>953.12000000000012</v>
      </c>
      <c r="AD241" s="259">
        <f t="shared" si="138"/>
        <v>3718.6461905555561</v>
      </c>
    </row>
    <row r="242" spans="1:30" s="160" customFormat="1">
      <c r="A242" s="250">
        <v>237</v>
      </c>
      <c r="B242" s="251" t="s">
        <v>435</v>
      </c>
      <c r="C242" s="252">
        <v>2</v>
      </c>
      <c r="D242" s="253">
        <v>2010.96</v>
      </c>
      <c r="E242" s="254">
        <f t="shared" si="133"/>
        <v>4021.92</v>
      </c>
      <c r="F242" s="255">
        <f t="shared" si="139"/>
        <v>1632.0057600000002</v>
      </c>
      <c r="G242" s="256">
        <f t="shared" si="140"/>
        <v>59.345664000000006</v>
      </c>
      <c r="H242" s="256">
        <f t="shared" si="141"/>
        <v>474.76531200000005</v>
      </c>
      <c r="I242" s="256">
        <f t="shared" si="146"/>
        <v>189.90612480000004</v>
      </c>
      <c r="J242" s="256">
        <f t="shared" si="147"/>
        <v>498.27119999999996</v>
      </c>
      <c r="K242" s="256">
        <f t="shared" si="142"/>
        <v>498.27119999999996</v>
      </c>
      <c r="L242" s="256">
        <f t="shared" si="143"/>
        <v>145.23600000000002</v>
      </c>
      <c r="M242" s="256">
        <f t="shared" si="144"/>
        <v>368.67599999999999</v>
      </c>
      <c r="N242" s="255">
        <v>0</v>
      </c>
      <c r="O242" s="256">
        <v>0</v>
      </c>
      <c r="P242" s="256">
        <f>(R242+E242)/210*1.75*1.2</f>
        <v>52.284959999999998</v>
      </c>
      <c r="Q242" s="256">
        <f>P242/6</f>
        <v>8.7141599999999997</v>
      </c>
      <c r="R242" s="256">
        <f>E242*30%</f>
        <v>1206.576</v>
      </c>
      <c r="S242" s="257">
        <f>(D242*10%)*C242</f>
        <v>402.19200000000001</v>
      </c>
      <c r="T242" s="256">
        <f>(E242+R242+N242+O242)/30*2</f>
        <v>348.56639999999999</v>
      </c>
      <c r="U242" s="258">
        <f t="shared" si="135"/>
        <v>5884.8107808000004</v>
      </c>
      <c r="V242" s="256">
        <f>C242*76.14</f>
        <v>152.28</v>
      </c>
      <c r="W242" s="256">
        <f>C242*529.2</f>
        <v>1058.4000000000001</v>
      </c>
      <c r="X242" s="256">
        <f t="shared" si="154"/>
        <v>58</v>
      </c>
      <c r="Y242" s="256">
        <f t="shared" si="155"/>
        <v>20.239999999999998</v>
      </c>
      <c r="Z242" s="256">
        <f t="shared" si="156"/>
        <v>35</v>
      </c>
      <c r="AA242" s="256">
        <f t="shared" si="157"/>
        <v>49.9</v>
      </c>
      <c r="AB242" s="256">
        <f t="shared" si="158"/>
        <v>461.36</v>
      </c>
      <c r="AC242" s="189">
        <f t="shared" si="137"/>
        <v>1835.1800000000003</v>
      </c>
      <c r="AD242" s="259">
        <f t="shared" si="138"/>
        <v>11741.910780800001</v>
      </c>
    </row>
    <row r="243" spans="1:30" s="160" customFormat="1">
      <c r="A243" s="250">
        <v>238</v>
      </c>
      <c r="B243" s="251" t="s">
        <v>432</v>
      </c>
      <c r="C243" s="252">
        <v>12</v>
      </c>
      <c r="D243" s="253">
        <v>2010.96</v>
      </c>
      <c r="E243" s="254">
        <f t="shared" si="133"/>
        <v>24131.52</v>
      </c>
      <c r="F243" s="255">
        <f t="shared" si="139"/>
        <v>8962.5135600000012</v>
      </c>
      <c r="G243" s="256">
        <f t="shared" si="140"/>
        <v>325.90958400000005</v>
      </c>
      <c r="H243" s="256">
        <f t="shared" si="141"/>
        <v>2607.2766720000004</v>
      </c>
      <c r="I243" s="256">
        <f t="shared" si="146"/>
        <v>1042.9106688000002</v>
      </c>
      <c r="J243" s="256">
        <f t="shared" si="147"/>
        <v>2788.5311999999999</v>
      </c>
      <c r="K243" s="256">
        <f t="shared" si="142"/>
        <v>2788.5311999999999</v>
      </c>
      <c r="L243" s="256">
        <f t="shared" si="143"/>
        <v>871.41600000000005</v>
      </c>
      <c r="M243" s="256">
        <f t="shared" si="144"/>
        <v>2010.96</v>
      </c>
      <c r="N243" s="255">
        <v>0</v>
      </c>
      <c r="O243" s="256">
        <v>0</v>
      </c>
      <c r="P243" s="256">
        <f>(R243+E243)/210*1.75*1.2</f>
        <v>313.70976000000002</v>
      </c>
      <c r="Q243" s="256">
        <f>P243/6</f>
        <v>52.284960000000005</v>
      </c>
      <c r="R243" s="256">
        <f>E243*30%</f>
        <v>7239.4560000000001</v>
      </c>
      <c r="S243" s="257"/>
      <c r="T243" s="256">
        <f t="shared" ref="T243:T245" si="168">(E243+R243+N243+O243)/30*2</f>
        <v>2091.3984</v>
      </c>
      <c r="U243" s="258">
        <f t="shared" si="135"/>
        <v>31094.898004800001</v>
      </c>
      <c r="V243" s="256">
        <f t="shared" ref="V243:V245" si="169">C243*76.14</f>
        <v>913.68000000000006</v>
      </c>
      <c r="W243" s="256">
        <f>C243*529.2</f>
        <v>6350.4000000000005</v>
      </c>
      <c r="X243" s="256">
        <f t="shared" si="154"/>
        <v>348</v>
      </c>
      <c r="Y243" s="256">
        <f t="shared" si="155"/>
        <v>121.44</v>
      </c>
      <c r="Z243" s="256">
        <f t="shared" si="156"/>
        <v>210</v>
      </c>
      <c r="AA243" s="256">
        <f t="shared" si="157"/>
        <v>299.39999999999998</v>
      </c>
      <c r="AB243" s="256">
        <f t="shared" si="158"/>
        <v>2768.16</v>
      </c>
      <c r="AC243" s="189">
        <f t="shared" si="137"/>
        <v>11011.08</v>
      </c>
      <c r="AD243" s="259">
        <f t="shared" si="138"/>
        <v>66237.4980048</v>
      </c>
    </row>
    <row r="244" spans="1:30" s="160" customFormat="1">
      <c r="A244" s="250">
        <v>239</v>
      </c>
      <c r="B244" s="251" t="s">
        <v>433</v>
      </c>
      <c r="C244" s="252">
        <v>2</v>
      </c>
      <c r="D244" s="253">
        <v>2010.96</v>
      </c>
      <c r="E244" s="254">
        <f t="shared" si="133"/>
        <v>4021.92</v>
      </c>
      <c r="F244" s="255">
        <f t="shared" si="139"/>
        <v>1677.4484906666671</v>
      </c>
      <c r="G244" s="256">
        <f t="shared" si="140"/>
        <v>60.998126933333346</v>
      </c>
      <c r="H244" s="256">
        <f t="shared" si="141"/>
        <v>487.98501546666677</v>
      </c>
      <c r="I244" s="256">
        <f t="shared" si="146"/>
        <v>195.19400618666671</v>
      </c>
      <c r="J244" s="256">
        <f t="shared" si="147"/>
        <v>580.89434666666671</v>
      </c>
      <c r="K244" s="256">
        <f t="shared" si="142"/>
        <v>580.89434666666671</v>
      </c>
      <c r="L244" s="256">
        <f t="shared" si="143"/>
        <v>145.23600000000002</v>
      </c>
      <c r="M244" s="256">
        <f t="shared" si="144"/>
        <v>368.67599999999999</v>
      </c>
      <c r="N244" s="255">
        <f>(R244+E244)/210*20%*160</f>
        <v>796.72320000000013</v>
      </c>
      <c r="O244" s="256">
        <f>N244/6</f>
        <v>132.78720000000001</v>
      </c>
      <c r="P244" s="256">
        <f>(R244+E244)/210*1.75*1.2</f>
        <v>52.284959999999998</v>
      </c>
      <c r="Q244" s="256">
        <f>P244/6</f>
        <v>8.7141599999999997</v>
      </c>
      <c r="R244" s="256">
        <f>E244*30%</f>
        <v>1206.576</v>
      </c>
      <c r="S244" s="257">
        <f t="shared" ref="S244" si="170">(D244*10%)*C244</f>
        <v>402.19200000000001</v>
      </c>
      <c r="T244" s="256">
        <f t="shared" si="168"/>
        <v>410.53376000000003</v>
      </c>
      <c r="U244" s="258">
        <f t="shared" si="135"/>
        <v>7107.1376125866691</v>
      </c>
      <c r="V244" s="256">
        <f t="shared" si="169"/>
        <v>152.28</v>
      </c>
      <c r="W244" s="256">
        <f>C244*529.2</f>
        <v>1058.4000000000001</v>
      </c>
      <c r="X244" s="256">
        <f t="shared" si="154"/>
        <v>58</v>
      </c>
      <c r="Y244" s="256">
        <f t="shared" si="155"/>
        <v>20.239999999999998</v>
      </c>
      <c r="Z244" s="256">
        <f t="shared" si="156"/>
        <v>35</v>
      </c>
      <c r="AA244" s="256">
        <f t="shared" si="157"/>
        <v>49.9</v>
      </c>
      <c r="AB244" s="256">
        <f t="shared" si="158"/>
        <v>461.36</v>
      </c>
      <c r="AC244" s="189">
        <f t="shared" si="137"/>
        <v>1835.1800000000003</v>
      </c>
      <c r="AD244" s="259">
        <f t="shared" si="138"/>
        <v>12964.237612586669</v>
      </c>
    </row>
    <row r="245" spans="1:30" s="160" customFormat="1">
      <c r="A245" s="250">
        <v>240</v>
      </c>
      <c r="B245" s="251" t="s">
        <v>434</v>
      </c>
      <c r="C245" s="252">
        <v>6</v>
      </c>
      <c r="D245" s="253">
        <v>2010.96</v>
      </c>
      <c r="E245" s="254">
        <f t="shared" si="133"/>
        <v>12065.76</v>
      </c>
      <c r="F245" s="255">
        <f t="shared" si="139"/>
        <v>4617.5849719999997</v>
      </c>
      <c r="G245" s="256">
        <f t="shared" si="140"/>
        <v>167.91218079999999</v>
      </c>
      <c r="H245" s="256">
        <f t="shared" si="141"/>
        <v>1343.2974463999999</v>
      </c>
      <c r="I245" s="256">
        <f t="shared" si="146"/>
        <v>537.31897856000001</v>
      </c>
      <c r="J245" s="256">
        <f t="shared" si="147"/>
        <v>1642.1350399999999</v>
      </c>
      <c r="K245" s="256">
        <f t="shared" si="142"/>
        <v>1642.1350399999999</v>
      </c>
      <c r="L245" s="256">
        <f t="shared" si="143"/>
        <v>435.70800000000003</v>
      </c>
      <c r="M245" s="256">
        <f t="shared" si="144"/>
        <v>1005.48</v>
      </c>
      <c r="N245" s="255">
        <f>(R245+E245)/210*20%*160</f>
        <v>2390.1696000000002</v>
      </c>
      <c r="O245" s="256">
        <f>N245/6</f>
        <v>398.36160000000001</v>
      </c>
      <c r="P245" s="256">
        <f>(R245+E245)/210*1.75*1.2</f>
        <v>156.85488000000001</v>
      </c>
      <c r="Q245" s="256">
        <f>P245/6</f>
        <v>26.142480000000003</v>
      </c>
      <c r="R245" s="256">
        <f>E245*30%</f>
        <v>3619.7280000000001</v>
      </c>
      <c r="S245" s="257">
        <v>0</v>
      </c>
      <c r="T245" s="256">
        <f t="shared" si="168"/>
        <v>1231.6012800000001</v>
      </c>
      <c r="U245" s="258">
        <f t="shared" si="135"/>
        <v>19214.429497759997</v>
      </c>
      <c r="V245" s="256">
        <f t="shared" si="169"/>
        <v>456.84000000000003</v>
      </c>
      <c r="W245" s="256">
        <f>C245*529.2</f>
        <v>3175.2000000000003</v>
      </c>
      <c r="X245" s="256">
        <f t="shared" si="154"/>
        <v>174</v>
      </c>
      <c r="Y245" s="256">
        <f t="shared" si="155"/>
        <v>60.72</v>
      </c>
      <c r="Z245" s="256">
        <f t="shared" si="156"/>
        <v>105</v>
      </c>
      <c r="AA245" s="256">
        <f t="shared" si="157"/>
        <v>149.69999999999999</v>
      </c>
      <c r="AB245" s="256">
        <f t="shared" si="158"/>
        <v>1384.08</v>
      </c>
      <c r="AC245" s="189">
        <f t="shared" si="137"/>
        <v>5505.54</v>
      </c>
      <c r="AD245" s="259">
        <f t="shared" si="138"/>
        <v>36785.729497759996</v>
      </c>
    </row>
    <row r="246" spans="1:30" s="160" customFormat="1">
      <c r="A246" s="250">
        <v>241</v>
      </c>
      <c r="B246" s="251" t="s">
        <v>460</v>
      </c>
      <c r="C246" s="252">
        <v>1</v>
      </c>
      <c r="D246" s="253">
        <v>6879.6</v>
      </c>
      <c r="E246" s="254">
        <f t="shared" si="133"/>
        <v>6879.6</v>
      </c>
      <c r="F246" s="255">
        <f t="shared" si="139"/>
        <v>2417.4150000000004</v>
      </c>
      <c r="G246" s="256">
        <f t="shared" si="140"/>
        <v>87.906000000000006</v>
      </c>
      <c r="H246" s="256">
        <f t="shared" si="141"/>
        <v>703.24800000000005</v>
      </c>
      <c r="I246" s="256">
        <f t="shared" si="146"/>
        <v>281.29920000000004</v>
      </c>
      <c r="J246" s="256">
        <f t="shared" si="147"/>
        <v>573.30000000000007</v>
      </c>
      <c r="K246" s="256">
        <f t="shared" si="142"/>
        <v>573.30000000000007</v>
      </c>
      <c r="L246" s="256">
        <f t="shared" si="143"/>
        <v>191.10000000000002</v>
      </c>
      <c r="M246" s="256">
        <f t="shared" si="144"/>
        <v>573.30000000000007</v>
      </c>
      <c r="N246" s="255">
        <v>0</v>
      </c>
      <c r="O246" s="256">
        <v>0</v>
      </c>
      <c r="P246" s="256">
        <v>0</v>
      </c>
      <c r="Q246" s="256">
        <v>0</v>
      </c>
      <c r="R246" s="256">
        <v>0</v>
      </c>
      <c r="S246" s="257">
        <v>0</v>
      </c>
      <c r="T246" s="256">
        <v>0</v>
      </c>
      <c r="U246" s="258">
        <f t="shared" si="135"/>
        <v>5400.8682000000008</v>
      </c>
      <c r="V246" s="256">
        <v>0</v>
      </c>
      <c r="W246" s="256">
        <v>529.20000000000005</v>
      </c>
      <c r="X246" s="256">
        <f t="shared" si="154"/>
        <v>29</v>
      </c>
      <c r="Y246" s="256">
        <f t="shared" si="155"/>
        <v>10.119999999999999</v>
      </c>
      <c r="Z246" s="256">
        <f t="shared" si="156"/>
        <v>17.5</v>
      </c>
      <c r="AA246" s="256">
        <f t="shared" si="157"/>
        <v>24.95</v>
      </c>
      <c r="AB246" s="256">
        <f t="shared" si="158"/>
        <v>230.68</v>
      </c>
      <c r="AC246" s="189">
        <f t="shared" si="137"/>
        <v>841.45</v>
      </c>
      <c r="AD246" s="259">
        <f t="shared" si="138"/>
        <v>13121.918200000002</v>
      </c>
    </row>
    <row r="247" spans="1:30" s="160" customFormat="1">
      <c r="A247" s="250">
        <v>242</v>
      </c>
      <c r="B247" s="251" t="s">
        <v>422</v>
      </c>
      <c r="C247" s="252">
        <v>1</v>
      </c>
      <c r="D247" s="253">
        <v>3993.98</v>
      </c>
      <c r="E247" s="254">
        <f t="shared" si="133"/>
        <v>3993.98</v>
      </c>
      <c r="F247" s="255">
        <f t="shared" si="139"/>
        <v>1467.5102902777778</v>
      </c>
      <c r="G247" s="256">
        <f t="shared" si="140"/>
        <v>53.364010555555552</v>
      </c>
      <c r="H247" s="256">
        <f t="shared" si="141"/>
        <v>426.91208444444442</v>
      </c>
      <c r="I247" s="256">
        <f t="shared" si="146"/>
        <v>170.76483377777777</v>
      </c>
      <c r="J247" s="256">
        <f t="shared" si="147"/>
        <v>432.68116666666668</v>
      </c>
      <c r="K247" s="256">
        <f t="shared" si="142"/>
        <v>432.68116666666668</v>
      </c>
      <c r="L247" s="256">
        <f t="shared" si="143"/>
        <v>144.22705555555555</v>
      </c>
      <c r="M247" s="256">
        <f t="shared" si="144"/>
        <v>332.83166666666665</v>
      </c>
      <c r="N247" s="255">
        <v>0</v>
      </c>
      <c r="O247" s="256">
        <v>0</v>
      </c>
      <c r="P247" s="256">
        <v>0</v>
      </c>
      <c r="Q247" s="256">
        <v>0</v>
      </c>
      <c r="R247" s="256">
        <f>E247*30%</f>
        <v>1198.194</v>
      </c>
      <c r="S247" s="257">
        <v>0</v>
      </c>
      <c r="T247" s="256">
        <v>0</v>
      </c>
      <c r="U247" s="258">
        <f t="shared" si="135"/>
        <v>4659.1662746111106</v>
      </c>
      <c r="V247" s="256">
        <v>0</v>
      </c>
      <c r="W247" s="256">
        <v>529.20000000000005</v>
      </c>
      <c r="X247" s="256">
        <f t="shared" si="154"/>
        <v>29</v>
      </c>
      <c r="Y247" s="256">
        <f t="shared" si="155"/>
        <v>10.119999999999999</v>
      </c>
      <c r="Z247" s="256">
        <f t="shared" si="156"/>
        <v>17.5</v>
      </c>
      <c r="AA247" s="256">
        <f t="shared" si="157"/>
        <v>24.95</v>
      </c>
      <c r="AB247" s="256">
        <f t="shared" si="158"/>
        <v>230.68</v>
      </c>
      <c r="AC247" s="189">
        <f t="shared" si="137"/>
        <v>841.45</v>
      </c>
      <c r="AD247" s="259">
        <f t="shared" si="138"/>
        <v>9494.5962746111109</v>
      </c>
    </row>
    <row r="248" spans="1:30" s="160" customFormat="1">
      <c r="A248" s="250">
        <v>243</v>
      </c>
      <c r="B248" s="251" t="s">
        <v>423</v>
      </c>
      <c r="C248" s="252">
        <v>1</v>
      </c>
      <c r="D248" s="253">
        <v>2751.84</v>
      </c>
      <c r="E248" s="254">
        <f t="shared" si="133"/>
        <v>2751.84</v>
      </c>
      <c r="F248" s="255">
        <f t="shared" si="139"/>
        <v>966.96600000000024</v>
      </c>
      <c r="G248" s="256">
        <f t="shared" si="140"/>
        <v>35.162400000000005</v>
      </c>
      <c r="H248" s="256">
        <f t="shared" si="141"/>
        <v>281.29920000000004</v>
      </c>
      <c r="I248" s="256">
        <f t="shared" si="146"/>
        <v>112.51968000000002</v>
      </c>
      <c r="J248" s="256">
        <f t="shared" si="147"/>
        <v>229.32000000000002</v>
      </c>
      <c r="K248" s="256">
        <f t="shared" si="142"/>
        <v>229.32000000000002</v>
      </c>
      <c r="L248" s="256">
        <f t="shared" si="143"/>
        <v>76.440000000000012</v>
      </c>
      <c r="M248" s="256">
        <f t="shared" si="144"/>
        <v>229.32000000000002</v>
      </c>
      <c r="N248" s="255">
        <v>0</v>
      </c>
      <c r="O248" s="256">
        <v>0</v>
      </c>
      <c r="P248" s="256">
        <f>E248/150*1.75</f>
        <v>32.104800000000004</v>
      </c>
      <c r="Q248" s="256">
        <f>P248/25*5</f>
        <v>6.4209600000000009</v>
      </c>
      <c r="R248" s="256">
        <v>0</v>
      </c>
      <c r="S248" s="257">
        <v>0</v>
      </c>
      <c r="T248" s="256">
        <v>0</v>
      </c>
      <c r="U248" s="258">
        <f t="shared" si="135"/>
        <v>2198.8730400000004</v>
      </c>
      <c r="V248" s="256">
        <f>C248*111.67</f>
        <v>111.67</v>
      </c>
      <c r="W248" s="256">
        <v>529.20000000000005</v>
      </c>
      <c r="X248" s="256">
        <f t="shared" si="154"/>
        <v>29</v>
      </c>
      <c r="Y248" s="256">
        <f t="shared" si="155"/>
        <v>10.119999999999999</v>
      </c>
      <c r="Z248" s="256">
        <f t="shared" si="156"/>
        <v>17.5</v>
      </c>
      <c r="AA248" s="256">
        <f t="shared" si="157"/>
        <v>24.95</v>
      </c>
      <c r="AB248" s="256">
        <f t="shared" si="158"/>
        <v>230.68</v>
      </c>
      <c r="AC248" s="189">
        <f t="shared" si="137"/>
        <v>953.12000000000012</v>
      </c>
      <c r="AD248" s="259">
        <f t="shared" si="138"/>
        <v>5903.8330400000004</v>
      </c>
    </row>
    <row r="249" spans="1:30" s="160" customFormat="1">
      <c r="A249" s="250">
        <v>244</v>
      </c>
      <c r="B249" s="251" t="s">
        <v>424</v>
      </c>
      <c r="C249" s="252">
        <v>1</v>
      </c>
      <c r="D249" s="253">
        <v>2751.84</v>
      </c>
      <c r="E249" s="254">
        <f t="shared" si="133"/>
        <v>2751.84</v>
      </c>
      <c r="F249" s="255">
        <f t="shared" si="139"/>
        <v>966.96600000000024</v>
      </c>
      <c r="G249" s="256">
        <f t="shared" si="140"/>
        <v>35.162400000000005</v>
      </c>
      <c r="H249" s="256">
        <f t="shared" si="141"/>
        <v>281.29920000000004</v>
      </c>
      <c r="I249" s="256">
        <f t="shared" si="146"/>
        <v>112.51968000000002</v>
      </c>
      <c r="J249" s="256">
        <f t="shared" si="147"/>
        <v>229.32000000000002</v>
      </c>
      <c r="K249" s="256">
        <f t="shared" si="142"/>
        <v>229.32000000000002</v>
      </c>
      <c r="L249" s="256">
        <f t="shared" si="143"/>
        <v>76.440000000000012</v>
      </c>
      <c r="M249" s="256">
        <f t="shared" si="144"/>
        <v>229.32000000000002</v>
      </c>
      <c r="N249" s="255">
        <v>0</v>
      </c>
      <c r="O249" s="256">
        <v>0</v>
      </c>
      <c r="P249" s="256">
        <f t="shared" ref="P249:P256" si="171">E249/150*1.75</f>
        <v>32.104800000000004</v>
      </c>
      <c r="Q249" s="256">
        <f t="shared" ref="Q249:Q256" si="172">P249/25*5</f>
        <v>6.4209600000000009</v>
      </c>
      <c r="R249" s="256">
        <v>0</v>
      </c>
      <c r="S249" s="257">
        <v>0</v>
      </c>
      <c r="T249" s="256">
        <v>0</v>
      </c>
      <c r="U249" s="258">
        <f t="shared" si="135"/>
        <v>2198.8730400000004</v>
      </c>
      <c r="V249" s="256">
        <f t="shared" ref="V249:V256" si="173">C249*111.67</f>
        <v>111.67</v>
      </c>
      <c r="W249" s="256">
        <v>529.20000000000005</v>
      </c>
      <c r="X249" s="256">
        <f t="shared" si="154"/>
        <v>29</v>
      </c>
      <c r="Y249" s="256">
        <f t="shared" si="155"/>
        <v>10.119999999999999</v>
      </c>
      <c r="Z249" s="256">
        <f t="shared" si="156"/>
        <v>17.5</v>
      </c>
      <c r="AA249" s="256">
        <f t="shared" si="157"/>
        <v>24.95</v>
      </c>
      <c r="AB249" s="256">
        <f t="shared" si="158"/>
        <v>230.68</v>
      </c>
      <c r="AC249" s="189">
        <f t="shared" si="137"/>
        <v>953.12000000000012</v>
      </c>
      <c r="AD249" s="259">
        <f t="shared" si="138"/>
        <v>5903.8330400000004</v>
      </c>
    </row>
    <row r="250" spans="1:30" s="160" customFormat="1">
      <c r="A250" s="250">
        <v>245</v>
      </c>
      <c r="B250" s="251" t="s">
        <v>425</v>
      </c>
      <c r="C250" s="252">
        <v>1</v>
      </c>
      <c r="D250" s="253">
        <v>2751.84</v>
      </c>
      <c r="E250" s="254">
        <f t="shared" si="133"/>
        <v>2751.84</v>
      </c>
      <c r="F250" s="255">
        <f t="shared" si="139"/>
        <v>966.96600000000024</v>
      </c>
      <c r="G250" s="256">
        <f t="shared" si="140"/>
        <v>35.162400000000005</v>
      </c>
      <c r="H250" s="256">
        <f t="shared" si="141"/>
        <v>281.29920000000004</v>
      </c>
      <c r="I250" s="256">
        <f t="shared" si="146"/>
        <v>112.51968000000002</v>
      </c>
      <c r="J250" s="256">
        <f t="shared" si="147"/>
        <v>229.32000000000002</v>
      </c>
      <c r="K250" s="256">
        <f t="shared" si="142"/>
        <v>229.32000000000002</v>
      </c>
      <c r="L250" s="256">
        <f t="shared" si="143"/>
        <v>76.440000000000012</v>
      </c>
      <c r="M250" s="256">
        <f t="shared" si="144"/>
        <v>229.32000000000002</v>
      </c>
      <c r="N250" s="255">
        <v>0</v>
      </c>
      <c r="O250" s="256">
        <v>0</v>
      </c>
      <c r="P250" s="256">
        <f t="shared" si="171"/>
        <v>32.104800000000004</v>
      </c>
      <c r="Q250" s="256">
        <f t="shared" si="172"/>
        <v>6.4209600000000009</v>
      </c>
      <c r="R250" s="256">
        <v>0</v>
      </c>
      <c r="S250" s="257">
        <v>0</v>
      </c>
      <c r="T250" s="256">
        <v>0</v>
      </c>
      <c r="U250" s="258">
        <f t="shared" si="135"/>
        <v>2198.8730400000004</v>
      </c>
      <c r="V250" s="256">
        <f t="shared" si="173"/>
        <v>111.67</v>
      </c>
      <c r="W250" s="256">
        <v>529.20000000000005</v>
      </c>
      <c r="X250" s="256">
        <f t="shared" si="154"/>
        <v>29</v>
      </c>
      <c r="Y250" s="256">
        <f t="shared" si="155"/>
        <v>10.119999999999999</v>
      </c>
      <c r="Z250" s="256">
        <f t="shared" si="156"/>
        <v>17.5</v>
      </c>
      <c r="AA250" s="256">
        <f t="shared" si="157"/>
        <v>24.95</v>
      </c>
      <c r="AB250" s="256">
        <f t="shared" si="158"/>
        <v>230.68</v>
      </c>
      <c r="AC250" s="189">
        <f t="shared" si="137"/>
        <v>953.12000000000012</v>
      </c>
      <c r="AD250" s="259">
        <f t="shared" si="138"/>
        <v>5903.8330400000004</v>
      </c>
    </row>
    <row r="251" spans="1:30" s="160" customFormat="1">
      <c r="A251" s="250">
        <v>246</v>
      </c>
      <c r="B251" s="251" t="s">
        <v>426</v>
      </c>
      <c r="C251" s="252">
        <v>1</v>
      </c>
      <c r="D251" s="253">
        <v>2751.84</v>
      </c>
      <c r="E251" s="254">
        <f t="shared" si="133"/>
        <v>2751.84</v>
      </c>
      <c r="F251" s="255">
        <f t="shared" si="139"/>
        <v>966.96600000000024</v>
      </c>
      <c r="G251" s="256">
        <f t="shared" si="140"/>
        <v>35.162400000000005</v>
      </c>
      <c r="H251" s="256">
        <f t="shared" si="141"/>
        <v>281.29920000000004</v>
      </c>
      <c r="I251" s="256">
        <f t="shared" si="146"/>
        <v>112.51968000000002</v>
      </c>
      <c r="J251" s="256">
        <f t="shared" si="147"/>
        <v>229.32000000000002</v>
      </c>
      <c r="K251" s="256">
        <f t="shared" si="142"/>
        <v>229.32000000000002</v>
      </c>
      <c r="L251" s="256">
        <f t="shared" si="143"/>
        <v>76.440000000000012</v>
      </c>
      <c r="M251" s="256">
        <f t="shared" si="144"/>
        <v>229.32000000000002</v>
      </c>
      <c r="N251" s="255">
        <v>0</v>
      </c>
      <c r="O251" s="256">
        <v>0</v>
      </c>
      <c r="P251" s="256">
        <f t="shared" si="171"/>
        <v>32.104800000000004</v>
      </c>
      <c r="Q251" s="256">
        <f t="shared" si="172"/>
        <v>6.4209600000000009</v>
      </c>
      <c r="R251" s="256">
        <v>0</v>
      </c>
      <c r="S251" s="257">
        <v>0</v>
      </c>
      <c r="T251" s="256">
        <v>0</v>
      </c>
      <c r="U251" s="258">
        <f t="shared" si="135"/>
        <v>2198.8730400000004</v>
      </c>
      <c r="V251" s="256">
        <f t="shared" si="173"/>
        <v>111.67</v>
      </c>
      <c r="W251" s="256">
        <v>529.20000000000005</v>
      </c>
      <c r="X251" s="256">
        <f t="shared" si="154"/>
        <v>29</v>
      </c>
      <c r="Y251" s="256">
        <f t="shared" si="155"/>
        <v>10.119999999999999</v>
      </c>
      <c r="Z251" s="256">
        <f t="shared" si="156"/>
        <v>17.5</v>
      </c>
      <c r="AA251" s="256">
        <f t="shared" si="157"/>
        <v>24.95</v>
      </c>
      <c r="AB251" s="256">
        <f t="shared" si="158"/>
        <v>230.68</v>
      </c>
      <c r="AC251" s="189">
        <f t="shared" si="137"/>
        <v>953.12000000000012</v>
      </c>
      <c r="AD251" s="259">
        <f t="shared" si="138"/>
        <v>5903.8330400000004</v>
      </c>
    </row>
    <row r="252" spans="1:30" s="160" customFormat="1">
      <c r="A252" s="250">
        <v>247</v>
      </c>
      <c r="B252" s="251" t="s">
        <v>427</v>
      </c>
      <c r="C252" s="252">
        <v>1</v>
      </c>
      <c r="D252" s="253">
        <v>2751.84</v>
      </c>
      <c r="E252" s="254">
        <f t="shared" si="133"/>
        <v>2751.84</v>
      </c>
      <c r="F252" s="255">
        <f t="shared" si="139"/>
        <v>966.96600000000024</v>
      </c>
      <c r="G252" s="256">
        <f t="shared" si="140"/>
        <v>35.162400000000005</v>
      </c>
      <c r="H252" s="256">
        <f t="shared" si="141"/>
        <v>281.29920000000004</v>
      </c>
      <c r="I252" s="256">
        <f t="shared" si="146"/>
        <v>112.51968000000002</v>
      </c>
      <c r="J252" s="256">
        <f t="shared" si="147"/>
        <v>229.32000000000002</v>
      </c>
      <c r="K252" s="256">
        <f t="shared" si="142"/>
        <v>229.32000000000002</v>
      </c>
      <c r="L252" s="256">
        <f t="shared" si="143"/>
        <v>76.440000000000012</v>
      </c>
      <c r="M252" s="256">
        <f t="shared" si="144"/>
        <v>229.32000000000002</v>
      </c>
      <c r="N252" s="255">
        <v>0</v>
      </c>
      <c r="O252" s="256">
        <v>0</v>
      </c>
      <c r="P252" s="256">
        <f t="shared" si="171"/>
        <v>32.104800000000004</v>
      </c>
      <c r="Q252" s="256">
        <f t="shared" si="172"/>
        <v>6.4209600000000009</v>
      </c>
      <c r="R252" s="256">
        <v>0</v>
      </c>
      <c r="S252" s="257">
        <v>0</v>
      </c>
      <c r="T252" s="256">
        <v>0</v>
      </c>
      <c r="U252" s="258">
        <f t="shared" si="135"/>
        <v>2198.8730400000004</v>
      </c>
      <c r="V252" s="256">
        <f t="shared" si="173"/>
        <v>111.67</v>
      </c>
      <c r="W252" s="256">
        <v>529.20000000000005</v>
      </c>
      <c r="X252" s="256">
        <f t="shared" si="154"/>
        <v>29</v>
      </c>
      <c r="Y252" s="256">
        <f t="shared" si="155"/>
        <v>10.119999999999999</v>
      </c>
      <c r="Z252" s="256">
        <f t="shared" si="156"/>
        <v>17.5</v>
      </c>
      <c r="AA252" s="256">
        <f t="shared" si="157"/>
        <v>24.95</v>
      </c>
      <c r="AB252" s="256">
        <f t="shared" si="158"/>
        <v>230.68</v>
      </c>
      <c r="AC252" s="189">
        <f t="shared" si="137"/>
        <v>953.12000000000012</v>
      </c>
      <c r="AD252" s="259">
        <f t="shared" si="138"/>
        <v>5903.8330400000004</v>
      </c>
    </row>
    <row r="253" spans="1:30" s="160" customFormat="1">
      <c r="A253" s="250">
        <v>248</v>
      </c>
      <c r="B253" s="251" t="s">
        <v>428</v>
      </c>
      <c r="C253" s="252">
        <v>1</v>
      </c>
      <c r="D253" s="253">
        <v>1852.2</v>
      </c>
      <c r="E253" s="254">
        <f t="shared" si="133"/>
        <v>1852.2</v>
      </c>
      <c r="F253" s="255">
        <f t="shared" si="139"/>
        <v>650.84249999999997</v>
      </c>
      <c r="G253" s="256">
        <f t="shared" si="140"/>
        <v>23.666999999999998</v>
      </c>
      <c r="H253" s="256">
        <f t="shared" si="141"/>
        <v>189.33599999999998</v>
      </c>
      <c r="I253" s="256">
        <f t="shared" si="146"/>
        <v>75.734399999999994</v>
      </c>
      <c r="J253" s="256">
        <f t="shared" si="147"/>
        <v>154.35</v>
      </c>
      <c r="K253" s="256">
        <f t="shared" si="142"/>
        <v>154.35</v>
      </c>
      <c r="L253" s="256">
        <f t="shared" si="143"/>
        <v>51.449999999999996</v>
      </c>
      <c r="M253" s="256">
        <f t="shared" si="144"/>
        <v>154.35</v>
      </c>
      <c r="N253" s="255">
        <v>0</v>
      </c>
      <c r="O253" s="256">
        <v>0</v>
      </c>
      <c r="P253" s="256">
        <f t="shared" si="171"/>
        <v>21.609000000000002</v>
      </c>
      <c r="Q253" s="256">
        <f t="shared" si="172"/>
        <v>4.3217999999999996</v>
      </c>
      <c r="R253" s="256">
        <v>0</v>
      </c>
      <c r="S253" s="257">
        <v>0</v>
      </c>
      <c r="T253" s="256">
        <v>0</v>
      </c>
      <c r="U253" s="258">
        <f t="shared" si="135"/>
        <v>1480.0106999999996</v>
      </c>
      <c r="V253" s="256">
        <f t="shared" si="173"/>
        <v>111.67</v>
      </c>
      <c r="W253" s="256">
        <v>529.20000000000005</v>
      </c>
      <c r="X253" s="256">
        <f t="shared" si="154"/>
        <v>29</v>
      </c>
      <c r="Y253" s="256">
        <f t="shared" si="155"/>
        <v>10.119999999999999</v>
      </c>
      <c r="Z253" s="256">
        <f t="shared" si="156"/>
        <v>17.5</v>
      </c>
      <c r="AA253" s="256">
        <f t="shared" si="157"/>
        <v>24.95</v>
      </c>
      <c r="AB253" s="256">
        <f t="shared" si="158"/>
        <v>230.68</v>
      </c>
      <c r="AC253" s="189">
        <f t="shared" si="137"/>
        <v>953.12000000000012</v>
      </c>
      <c r="AD253" s="259">
        <f t="shared" si="138"/>
        <v>4285.3306999999995</v>
      </c>
    </row>
    <row r="254" spans="1:30" s="160" customFormat="1">
      <c r="A254" s="250">
        <v>249</v>
      </c>
      <c r="B254" s="251" t="s">
        <v>429</v>
      </c>
      <c r="C254" s="252">
        <v>1</v>
      </c>
      <c r="D254" s="253">
        <v>1737.89</v>
      </c>
      <c r="E254" s="254">
        <f t="shared" si="133"/>
        <v>1737.89</v>
      </c>
      <c r="F254" s="255">
        <f t="shared" si="139"/>
        <v>610.6752361111113</v>
      </c>
      <c r="G254" s="256">
        <f t="shared" si="140"/>
        <v>22.206372222222225</v>
      </c>
      <c r="H254" s="256">
        <f t="shared" si="141"/>
        <v>177.6509777777778</v>
      </c>
      <c r="I254" s="256">
        <f t="shared" si="146"/>
        <v>71.060391111111116</v>
      </c>
      <c r="J254" s="256">
        <f t="shared" si="147"/>
        <v>144.82416666666668</v>
      </c>
      <c r="K254" s="256">
        <f t="shared" si="142"/>
        <v>144.82416666666668</v>
      </c>
      <c r="L254" s="256">
        <f t="shared" si="143"/>
        <v>48.274722222222231</v>
      </c>
      <c r="M254" s="256">
        <f t="shared" si="144"/>
        <v>144.82416666666668</v>
      </c>
      <c r="N254" s="255">
        <v>0</v>
      </c>
      <c r="O254" s="256">
        <v>0</v>
      </c>
      <c r="P254" s="256">
        <f t="shared" si="171"/>
        <v>20.275383333333334</v>
      </c>
      <c r="Q254" s="256">
        <f t="shared" si="172"/>
        <v>4.0550766666666664</v>
      </c>
      <c r="R254" s="256">
        <v>0</v>
      </c>
      <c r="S254" s="257">
        <v>0</v>
      </c>
      <c r="T254" s="256">
        <v>0</v>
      </c>
      <c r="U254" s="258">
        <f t="shared" si="135"/>
        <v>1388.6706594444449</v>
      </c>
      <c r="V254" s="256">
        <f t="shared" si="173"/>
        <v>111.67</v>
      </c>
      <c r="W254" s="256">
        <v>529.20000000000005</v>
      </c>
      <c r="X254" s="256">
        <f t="shared" si="154"/>
        <v>29</v>
      </c>
      <c r="Y254" s="256">
        <f t="shared" si="155"/>
        <v>10.119999999999999</v>
      </c>
      <c r="Z254" s="256">
        <f t="shared" si="156"/>
        <v>17.5</v>
      </c>
      <c r="AA254" s="256">
        <f t="shared" si="157"/>
        <v>24.95</v>
      </c>
      <c r="AB254" s="256">
        <f t="shared" si="158"/>
        <v>230.68</v>
      </c>
      <c r="AC254" s="189">
        <f t="shared" si="137"/>
        <v>953.12000000000012</v>
      </c>
      <c r="AD254" s="259">
        <f t="shared" si="138"/>
        <v>4079.6806594444452</v>
      </c>
    </row>
    <row r="255" spans="1:30" s="160" customFormat="1">
      <c r="A255" s="250">
        <v>250</v>
      </c>
      <c r="B255" s="251" t="s">
        <v>430</v>
      </c>
      <c r="C255" s="252">
        <v>1</v>
      </c>
      <c r="D255" s="253">
        <v>1465.88</v>
      </c>
      <c r="E255" s="254">
        <f t="shared" si="133"/>
        <v>1465.88</v>
      </c>
      <c r="F255" s="255">
        <f t="shared" si="139"/>
        <v>515.09394444444456</v>
      </c>
      <c r="G255" s="256">
        <f t="shared" si="140"/>
        <v>18.730688888888892</v>
      </c>
      <c r="H255" s="256">
        <f t="shared" si="141"/>
        <v>149.84551111111114</v>
      </c>
      <c r="I255" s="256">
        <f t="shared" si="146"/>
        <v>59.938204444444459</v>
      </c>
      <c r="J255" s="256">
        <f t="shared" si="147"/>
        <v>122.15666666666668</v>
      </c>
      <c r="K255" s="256">
        <f t="shared" si="142"/>
        <v>122.15666666666668</v>
      </c>
      <c r="L255" s="256">
        <f t="shared" si="143"/>
        <v>40.718888888888891</v>
      </c>
      <c r="M255" s="256">
        <f t="shared" si="144"/>
        <v>122.15666666666668</v>
      </c>
      <c r="N255" s="255">
        <v>0</v>
      </c>
      <c r="O255" s="256">
        <v>0</v>
      </c>
      <c r="P255" s="256">
        <f t="shared" si="171"/>
        <v>17.101933333333335</v>
      </c>
      <c r="Q255" s="256">
        <f t="shared" si="172"/>
        <v>3.4203866666666674</v>
      </c>
      <c r="R255" s="256">
        <v>0</v>
      </c>
      <c r="S255" s="257">
        <v>0</v>
      </c>
      <c r="T255" s="256">
        <v>0</v>
      </c>
      <c r="U255" s="258">
        <f t="shared" si="135"/>
        <v>1171.3195577777778</v>
      </c>
      <c r="V255" s="256">
        <f t="shared" si="173"/>
        <v>111.67</v>
      </c>
      <c r="W255" s="256">
        <v>529.20000000000005</v>
      </c>
      <c r="X255" s="256">
        <f t="shared" si="154"/>
        <v>29</v>
      </c>
      <c r="Y255" s="256">
        <f t="shared" si="155"/>
        <v>10.119999999999999</v>
      </c>
      <c r="Z255" s="256">
        <f t="shared" si="156"/>
        <v>17.5</v>
      </c>
      <c r="AA255" s="256">
        <f t="shared" si="157"/>
        <v>24.95</v>
      </c>
      <c r="AB255" s="256">
        <f t="shared" si="158"/>
        <v>230.68</v>
      </c>
      <c r="AC255" s="189">
        <f t="shared" si="137"/>
        <v>953.12000000000012</v>
      </c>
      <c r="AD255" s="259">
        <f t="shared" si="138"/>
        <v>3590.3195577777778</v>
      </c>
    </row>
    <row r="256" spans="1:30" s="160" customFormat="1">
      <c r="A256" s="250">
        <v>251</v>
      </c>
      <c r="B256" s="251" t="s">
        <v>431</v>
      </c>
      <c r="C256" s="252">
        <v>1</v>
      </c>
      <c r="D256" s="253">
        <v>1537.21</v>
      </c>
      <c r="E256" s="254">
        <f t="shared" si="133"/>
        <v>1537.21</v>
      </c>
      <c r="F256" s="255">
        <f t="shared" si="139"/>
        <v>540.15851388888905</v>
      </c>
      <c r="G256" s="256">
        <f t="shared" si="140"/>
        <v>19.64212777777778</v>
      </c>
      <c r="H256" s="256">
        <f t="shared" si="141"/>
        <v>157.13702222222224</v>
      </c>
      <c r="I256" s="256">
        <f t="shared" si="146"/>
        <v>62.854808888888897</v>
      </c>
      <c r="J256" s="256">
        <f t="shared" si="147"/>
        <v>128.10083333333333</v>
      </c>
      <c r="K256" s="256">
        <f t="shared" si="142"/>
        <v>128.10083333333333</v>
      </c>
      <c r="L256" s="256">
        <f t="shared" si="143"/>
        <v>42.700277777777778</v>
      </c>
      <c r="M256" s="256">
        <f t="shared" si="144"/>
        <v>128.10083333333333</v>
      </c>
      <c r="N256" s="255">
        <v>0</v>
      </c>
      <c r="O256" s="256">
        <v>0</v>
      </c>
      <c r="P256" s="256">
        <f t="shared" si="171"/>
        <v>17.934116666666668</v>
      </c>
      <c r="Q256" s="256">
        <f t="shared" si="172"/>
        <v>3.5868233333333337</v>
      </c>
      <c r="R256" s="256">
        <v>0</v>
      </c>
      <c r="S256" s="257">
        <v>0</v>
      </c>
      <c r="T256" s="256">
        <v>0</v>
      </c>
      <c r="U256" s="258">
        <f t="shared" si="135"/>
        <v>1228.3161905555557</v>
      </c>
      <c r="V256" s="256">
        <f t="shared" si="173"/>
        <v>111.67</v>
      </c>
      <c r="W256" s="256">
        <v>529.20000000000005</v>
      </c>
      <c r="X256" s="256">
        <f t="shared" si="154"/>
        <v>29</v>
      </c>
      <c r="Y256" s="256">
        <f t="shared" si="155"/>
        <v>10.119999999999999</v>
      </c>
      <c r="Z256" s="256">
        <f t="shared" si="156"/>
        <v>17.5</v>
      </c>
      <c r="AA256" s="256">
        <f t="shared" si="157"/>
        <v>24.95</v>
      </c>
      <c r="AB256" s="256">
        <f t="shared" si="158"/>
        <v>230.68</v>
      </c>
      <c r="AC256" s="189">
        <f t="shared" si="137"/>
        <v>953.12000000000012</v>
      </c>
      <c r="AD256" s="259">
        <f t="shared" si="138"/>
        <v>3718.6461905555561</v>
      </c>
    </row>
    <row r="257" spans="1:30" s="160" customFormat="1">
      <c r="A257" s="250">
        <v>252</v>
      </c>
      <c r="B257" s="251" t="s">
        <v>435</v>
      </c>
      <c r="C257" s="252">
        <v>2</v>
      </c>
      <c r="D257" s="253">
        <v>2010.96</v>
      </c>
      <c r="E257" s="254">
        <f t="shared" si="133"/>
        <v>4021.92</v>
      </c>
      <c r="F257" s="255">
        <f t="shared" si="139"/>
        <v>1632.0057600000002</v>
      </c>
      <c r="G257" s="256">
        <f t="shared" si="140"/>
        <v>59.345664000000006</v>
      </c>
      <c r="H257" s="256">
        <f t="shared" si="141"/>
        <v>474.76531200000005</v>
      </c>
      <c r="I257" s="256">
        <f t="shared" si="146"/>
        <v>189.90612480000004</v>
      </c>
      <c r="J257" s="256">
        <f t="shared" si="147"/>
        <v>498.27119999999996</v>
      </c>
      <c r="K257" s="256">
        <f t="shared" si="142"/>
        <v>498.27119999999996</v>
      </c>
      <c r="L257" s="256">
        <f t="shared" si="143"/>
        <v>145.23600000000002</v>
      </c>
      <c r="M257" s="256">
        <f t="shared" si="144"/>
        <v>368.67599999999999</v>
      </c>
      <c r="N257" s="255">
        <v>0</v>
      </c>
      <c r="O257" s="256">
        <v>0</v>
      </c>
      <c r="P257" s="256">
        <f>(R257+E257)/210*1.75*1.2</f>
        <v>52.284959999999998</v>
      </c>
      <c r="Q257" s="256">
        <f>P257/6</f>
        <v>8.7141599999999997</v>
      </c>
      <c r="R257" s="256">
        <f>E257*30%</f>
        <v>1206.576</v>
      </c>
      <c r="S257" s="257">
        <f>(D257*10%)*C257</f>
        <v>402.19200000000001</v>
      </c>
      <c r="T257" s="256">
        <f>(E257+R257+N257+O257)/30*2</f>
        <v>348.56639999999999</v>
      </c>
      <c r="U257" s="258">
        <f t="shared" si="135"/>
        <v>5884.8107808000004</v>
      </c>
      <c r="V257" s="256">
        <f>C257*76.14</f>
        <v>152.28</v>
      </c>
      <c r="W257" s="256">
        <f>C257*529.2</f>
        <v>1058.4000000000001</v>
      </c>
      <c r="X257" s="256">
        <f t="shared" si="154"/>
        <v>58</v>
      </c>
      <c r="Y257" s="256">
        <f t="shared" si="155"/>
        <v>20.239999999999998</v>
      </c>
      <c r="Z257" s="256">
        <f t="shared" si="156"/>
        <v>35</v>
      </c>
      <c r="AA257" s="256">
        <f t="shared" si="157"/>
        <v>49.9</v>
      </c>
      <c r="AB257" s="256">
        <f t="shared" si="158"/>
        <v>461.36</v>
      </c>
      <c r="AC257" s="189">
        <f t="shared" si="137"/>
        <v>1835.1800000000003</v>
      </c>
      <c r="AD257" s="259">
        <f t="shared" si="138"/>
        <v>11741.910780800001</v>
      </c>
    </row>
    <row r="258" spans="1:30" s="160" customFormat="1">
      <c r="A258" s="250">
        <v>253</v>
      </c>
      <c r="B258" s="251" t="s">
        <v>432</v>
      </c>
      <c r="C258" s="252">
        <v>12</v>
      </c>
      <c r="D258" s="253">
        <v>2010.96</v>
      </c>
      <c r="E258" s="254">
        <f t="shared" si="133"/>
        <v>24131.52</v>
      </c>
      <c r="F258" s="255">
        <f t="shared" si="139"/>
        <v>8962.5135600000012</v>
      </c>
      <c r="G258" s="256">
        <f t="shared" si="140"/>
        <v>325.90958400000005</v>
      </c>
      <c r="H258" s="256">
        <f t="shared" si="141"/>
        <v>2607.2766720000004</v>
      </c>
      <c r="I258" s="256">
        <f t="shared" si="146"/>
        <v>1042.9106688000002</v>
      </c>
      <c r="J258" s="256">
        <f t="shared" si="147"/>
        <v>2788.5311999999999</v>
      </c>
      <c r="K258" s="256">
        <f t="shared" si="142"/>
        <v>2788.5311999999999</v>
      </c>
      <c r="L258" s="256">
        <f t="shared" si="143"/>
        <v>871.41600000000005</v>
      </c>
      <c r="M258" s="256">
        <f t="shared" si="144"/>
        <v>2010.96</v>
      </c>
      <c r="N258" s="255">
        <v>0</v>
      </c>
      <c r="O258" s="256">
        <v>0</v>
      </c>
      <c r="P258" s="256">
        <f>(R258+E258)/210*1.75*1.2</f>
        <v>313.70976000000002</v>
      </c>
      <c r="Q258" s="256">
        <f>P258/6</f>
        <v>52.284960000000005</v>
      </c>
      <c r="R258" s="256">
        <f>E258*30%</f>
        <v>7239.4560000000001</v>
      </c>
      <c r="S258" s="257"/>
      <c r="T258" s="256">
        <f t="shared" ref="T258:T260" si="174">(E258+R258+N258+O258)/30*2</f>
        <v>2091.3984</v>
      </c>
      <c r="U258" s="258">
        <f t="shared" si="135"/>
        <v>31094.898004800001</v>
      </c>
      <c r="V258" s="256">
        <f t="shared" ref="V258:V260" si="175">C258*76.14</f>
        <v>913.68000000000006</v>
      </c>
      <c r="W258" s="256">
        <f>C258*529.2</f>
        <v>6350.4000000000005</v>
      </c>
      <c r="X258" s="256">
        <f t="shared" si="154"/>
        <v>348</v>
      </c>
      <c r="Y258" s="256">
        <f t="shared" si="155"/>
        <v>121.44</v>
      </c>
      <c r="Z258" s="256">
        <f t="shared" si="156"/>
        <v>210</v>
      </c>
      <c r="AA258" s="256">
        <f t="shared" si="157"/>
        <v>299.39999999999998</v>
      </c>
      <c r="AB258" s="256">
        <f t="shared" si="158"/>
        <v>2768.16</v>
      </c>
      <c r="AC258" s="189">
        <f t="shared" si="137"/>
        <v>11011.08</v>
      </c>
      <c r="AD258" s="259">
        <f t="shared" si="138"/>
        <v>66237.4980048</v>
      </c>
    </row>
    <row r="259" spans="1:30" s="160" customFormat="1">
      <c r="A259" s="250">
        <v>254</v>
      </c>
      <c r="B259" s="251" t="s">
        <v>433</v>
      </c>
      <c r="C259" s="252">
        <v>2</v>
      </c>
      <c r="D259" s="253">
        <v>2010.96</v>
      </c>
      <c r="E259" s="254">
        <f t="shared" si="133"/>
        <v>4021.92</v>
      </c>
      <c r="F259" s="255">
        <f t="shared" si="139"/>
        <v>1677.4484906666671</v>
      </c>
      <c r="G259" s="256">
        <f t="shared" si="140"/>
        <v>60.998126933333346</v>
      </c>
      <c r="H259" s="256">
        <f t="shared" si="141"/>
        <v>487.98501546666677</v>
      </c>
      <c r="I259" s="256">
        <f t="shared" si="146"/>
        <v>195.19400618666671</v>
      </c>
      <c r="J259" s="256">
        <f t="shared" si="147"/>
        <v>580.89434666666671</v>
      </c>
      <c r="K259" s="256">
        <f t="shared" si="142"/>
        <v>580.89434666666671</v>
      </c>
      <c r="L259" s="256">
        <f t="shared" si="143"/>
        <v>145.23600000000002</v>
      </c>
      <c r="M259" s="256">
        <f t="shared" si="144"/>
        <v>368.67599999999999</v>
      </c>
      <c r="N259" s="255">
        <f>(R259+E259)/210*20%*160</f>
        <v>796.72320000000013</v>
      </c>
      <c r="O259" s="256">
        <f>N259/6</f>
        <v>132.78720000000001</v>
      </c>
      <c r="P259" s="256">
        <f>(R259+E259)/210*1.75*1.2</f>
        <v>52.284959999999998</v>
      </c>
      <c r="Q259" s="256">
        <f>P259/6</f>
        <v>8.7141599999999997</v>
      </c>
      <c r="R259" s="256">
        <f>E259*30%</f>
        <v>1206.576</v>
      </c>
      <c r="S259" s="257">
        <f t="shared" ref="S259" si="176">(D259*10%)*C259</f>
        <v>402.19200000000001</v>
      </c>
      <c r="T259" s="256">
        <f t="shared" si="174"/>
        <v>410.53376000000003</v>
      </c>
      <c r="U259" s="258">
        <f t="shared" si="135"/>
        <v>7107.1376125866691</v>
      </c>
      <c r="V259" s="256">
        <f t="shared" si="175"/>
        <v>152.28</v>
      </c>
      <c r="W259" s="256">
        <f>C259*529.2</f>
        <v>1058.4000000000001</v>
      </c>
      <c r="X259" s="256">
        <f t="shared" si="154"/>
        <v>58</v>
      </c>
      <c r="Y259" s="256">
        <f t="shared" si="155"/>
        <v>20.239999999999998</v>
      </c>
      <c r="Z259" s="256">
        <f t="shared" si="156"/>
        <v>35</v>
      </c>
      <c r="AA259" s="256">
        <f t="shared" si="157"/>
        <v>49.9</v>
      </c>
      <c r="AB259" s="256">
        <f t="shared" si="158"/>
        <v>461.36</v>
      </c>
      <c r="AC259" s="189">
        <f t="shared" si="137"/>
        <v>1835.1800000000003</v>
      </c>
      <c r="AD259" s="259">
        <f t="shared" si="138"/>
        <v>12964.237612586669</v>
      </c>
    </row>
    <row r="260" spans="1:30" s="160" customFormat="1">
      <c r="A260" s="250">
        <v>255</v>
      </c>
      <c r="B260" s="251" t="s">
        <v>434</v>
      </c>
      <c r="C260" s="252">
        <v>6</v>
      </c>
      <c r="D260" s="253">
        <v>2010.96</v>
      </c>
      <c r="E260" s="254">
        <f t="shared" si="133"/>
        <v>12065.76</v>
      </c>
      <c r="F260" s="255">
        <f t="shared" si="139"/>
        <v>4617.5849719999997</v>
      </c>
      <c r="G260" s="256">
        <f t="shared" si="140"/>
        <v>167.91218079999999</v>
      </c>
      <c r="H260" s="256">
        <f t="shared" si="141"/>
        <v>1343.2974463999999</v>
      </c>
      <c r="I260" s="256">
        <f t="shared" si="146"/>
        <v>537.31897856000001</v>
      </c>
      <c r="J260" s="256">
        <f t="shared" si="147"/>
        <v>1642.1350399999999</v>
      </c>
      <c r="K260" s="256">
        <f t="shared" si="142"/>
        <v>1642.1350399999999</v>
      </c>
      <c r="L260" s="256">
        <f t="shared" si="143"/>
        <v>435.70800000000003</v>
      </c>
      <c r="M260" s="256">
        <f t="shared" si="144"/>
        <v>1005.48</v>
      </c>
      <c r="N260" s="255">
        <f>(R260+E260)/210*20%*160</f>
        <v>2390.1696000000002</v>
      </c>
      <c r="O260" s="256">
        <f>N260/6</f>
        <v>398.36160000000001</v>
      </c>
      <c r="P260" s="256">
        <f>(R260+E260)/210*1.75*1.2</f>
        <v>156.85488000000001</v>
      </c>
      <c r="Q260" s="256">
        <f>P260/6</f>
        <v>26.142480000000003</v>
      </c>
      <c r="R260" s="256">
        <f>E260*30%</f>
        <v>3619.7280000000001</v>
      </c>
      <c r="S260" s="257">
        <v>0</v>
      </c>
      <c r="T260" s="256">
        <f t="shared" si="174"/>
        <v>1231.6012800000001</v>
      </c>
      <c r="U260" s="258">
        <f t="shared" si="135"/>
        <v>19214.429497759997</v>
      </c>
      <c r="V260" s="256">
        <f t="shared" si="175"/>
        <v>456.84000000000003</v>
      </c>
      <c r="W260" s="256">
        <f>C260*529.2</f>
        <v>3175.2000000000003</v>
      </c>
      <c r="X260" s="256">
        <f t="shared" si="154"/>
        <v>174</v>
      </c>
      <c r="Y260" s="256">
        <f t="shared" si="155"/>
        <v>60.72</v>
      </c>
      <c r="Z260" s="256">
        <f t="shared" si="156"/>
        <v>105</v>
      </c>
      <c r="AA260" s="256">
        <f t="shared" si="157"/>
        <v>149.69999999999999</v>
      </c>
      <c r="AB260" s="256">
        <f t="shared" si="158"/>
        <v>1384.08</v>
      </c>
      <c r="AC260" s="189">
        <f t="shared" si="137"/>
        <v>5505.54</v>
      </c>
      <c r="AD260" s="259">
        <f t="shared" si="138"/>
        <v>36785.729497759996</v>
      </c>
    </row>
    <row r="261" spans="1:30" s="160" customFormat="1">
      <c r="A261" s="250">
        <v>256</v>
      </c>
      <c r="B261" s="251" t="s">
        <v>460</v>
      </c>
      <c r="C261" s="252">
        <v>1</v>
      </c>
      <c r="D261" s="253">
        <v>6879.6</v>
      </c>
      <c r="E261" s="254">
        <f t="shared" si="133"/>
        <v>6879.6</v>
      </c>
      <c r="F261" s="255">
        <f t="shared" si="139"/>
        <v>2417.4150000000004</v>
      </c>
      <c r="G261" s="256">
        <f t="shared" si="140"/>
        <v>87.906000000000006</v>
      </c>
      <c r="H261" s="256">
        <f t="shared" si="141"/>
        <v>703.24800000000005</v>
      </c>
      <c r="I261" s="256">
        <f t="shared" si="146"/>
        <v>281.29920000000004</v>
      </c>
      <c r="J261" s="256">
        <f t="shared" si="147"/>
        <v>573.30000000000007</v>
      </c>
      <c r="K261" s="256">
        <f t="shared" si="142"/>
        <v>573.30000000000007</v>
      </c>
      <c r="L261" s="256">
        <f t="shared" si="143"/>
        <v>191.10000000000002</v>
      </c>
      <c r="M261" s="256">
        <f t="shared" si="144"/>
        <v>573.30000000000007</v>
      </c>
      <c r="N261" s="255">
        <v>0</v>
      </c>
      <c r="O261" s="256">
        <v>0</v>
      </c>
      <c r="P261" s="256">
        <v>0</v>
      </c>
      <c r="Q261" s="256">
        <v>0</v>
      </c>
      <c r="R261" s="256">
        <v>0</v>
      </c>
      <c r="S261" s="257">
        <v>0</v>
      </c>
      <c r="T261" s="256">
        <v>0</v>
      </c>
      <c r="U261" s="258">
        <f t="shared" si="135"/>
        <v>5400.8682000000008</v>
      </c>
      <c r="V261" s="256">
        <v>0</v>
      </c>
      <c r="W261" s="256">
        <v>529.20000000000005</v>
      </c>
      <c r="X261" s="256">
        <f t="shared" si="154"/>
        <v>29</v>
      </c>
      <c r="Y261" s="256">
        <f t="shared" si="155"/>
        <v>10.119999999999999</v>
      </c>
      <c r="Z261" s="256">
        <f t="shared" si="156"/>
        <v>17.5</v>
      </c>
      <c r="AA261" s="256">
        <f t="shared" si="157"/>
        <v>24.95</v>
      </c>
      <c r="AB261" s="256">
        <f t="shared" si="158"/>
        <v>230.68</v>
      </c>
      <c r="AC261" s="189">
        <f t="shared" si="137"/>
        <v>841.45</v>
      </c>
      <c r="AD261" s="259">
        <f t="shared" si="138"/>
        <v>13121.918200000002</v>
      </c>
    </row>
    <row r="262" spans="1:30" s="160" customFormat="1">
      <c r="A262" s="250">
        <v>257</v>
      </c>
      <c r="B262" s="251" t="s">
        <v>422</v>
      </c>
      <c r="C262" s="252">
        <v>1</v>
      </c>
      <c r="D262" s="253">
        <v>3993.98</v>
      </c>
      <c r="E262" s="254">
        <f t="shared" ref="E262:E325" si="177">C262*D262</f>
        <v>3993.98</v>
      </c>
      <c r="F262" s="255">
        <f t="shared" si="139"/>
        <v>1467.5102902777778</v>
      </c>
      <c r="G262" s="256">
        <f t="shared" si="140"/>
        <v>53.364010555555552</v>
      </c>
      <c r="H262" s="256">
        <f t="shared" si="141"/>
        <v>426.91208444444442</v>
      </c>
      <c r="I262" s="256">
        <f t="shared" si="146"/>
        <v>170.76483377777777</v>
      </c>
      <c r="J262" s="256">
        <f t="shared" si="147"/>
        <v>432.68116666666668</v>
      </c>
      <c r="K262" s="256">
        <f t="shared" si="142"/>
        <v>432.68116666666668</v>
      </c>
      <c r="L262" s="256">
        <f t="shared" si="143"/>
        <v>144.22705555555555</v>
      </c>
      <c r="M262" s="256">
        <f t="shared" si="144"/>
        <v>332.83166666666665</v>
      </c>
      <c r="N262" s="255">
        <v>0</v>
      </c>
      <c r="O262" s="256">
        <v>0</v>
      </c>
      <c r="P262" s="256">
        <v>0</v>
      </c>
      <c r="Q262" s="256">
        <v>0</v>
      </c>
      <c r="R262" s="256">
        <f>E262*30%</f>
        <v>1198.194</v>
      </c>
      <c r="S262" s="257">
        <v>0</v>
      </c>
      <c r="T262" s="256">
        <v>0</v>
      </c>
      <c r="U262" s="258">
        <f t="shared" ref="U262:U325" si="178">SUM(F262:T262)</f>
        <v>4659.1662746111106</v>
      </c>
      <c r="V262" s="256">
        <v>0</v>
      </c>
      <c r="W262" s="256">
        <v>529.20000000000005</v>
      </c>
      <c r="X262" s="256">
        <f t="shared" si="154"/>
        <v>29</v>
      </c>
      <c r="Y262" s="256">
        <f t="shared" si="155"/>
        <v>10.119999999999999</v>
      </c>
      <c r="Z262" s="256">
        <f t="shared" si="156"/>
        <v>17.5</v>
      </c>
      <c r="AA262" s="256">
        <f t="shared" si="157"/>
        <v>24.95</v>
      </c>
      <c r="AB262" s="256">
        <f t="shared" si="158"/>
        <v>230.68</v>
      </c>
      <c r="AC262" s="189">
        <f t="shared" ref="AC262:AC325" si="179">SUM(V262:AB262)</f>
        <v>841.45</v>
      </c>
      <c r="AD262" s="259">
        <f t="shared" ref="AD262:AD325" si="180">E262+U262+AC262</f>
        <v>9494.5962746111109</v>
      </c>
    </row>
    <row r="263" spans="1:30" s="160" customFormat="1">
      <c r="A263" s="250">
        <v>258</v>
      </c>
      <c r="B263" s="251" t="s">
        <v>423</v>
      </c>
      <c r="C263" s="252">
        <v>1</v>
      </c>
      <c r="D263" s="253">
        <v>2751.84</v>
      </c>
      <c r="E263" s="254">
        <f t="shared" si="177"/>
        <v>2751.84</v>
      </c>
      <c r="F263" s="255">
        <f t="shared" ref="F263:F323" si="181">(E263+J263+L263+K263+M263+S263)*27.5%</f>
        <v>966.96600000000024</v>
      </c>
      <c r="G263" s="256">
        <f t="shared" ref="G263:G293" si="182">(E263+J263+L263+K263+M263+S263)*1%</f>
        <v>35.162400000000005</v>
      </c>
      <c r="H263" s="256">
        <f t="shared" ref="H263:H293" si="183">(E263+J263+L263+K263+M263+S263)*8%</f>
        <v>281.29920000000004</v>
      </c>
      <c r="I263" s="256">
        <f t="shared" si="146"/>
        <v>112.51968000000002</v>
      </c>
      <c r="J263" s="256">
        <f t="shared" si="147"/>
        <v>229.32000000000002</v>
      </c>
      <c r="K263" s="256">
        <f t="shared" ref="K263:K323" si="184">(E263+N263+O263+R263+S263+T263)/12</f>
        <v>229.32000000000002</v>
      </c>
      <c r="L263" s="256">
        <f t="shared" ref="L263:L323" si="185">(E263+R263)/3/12</f>
        <v>76.440000000000012</v>
      </c>
      <c r="M263" s="256">
        <f t="shared" ref="M263:M293" si="186">(E263+S263)/12</f>
        <v>229.32000000000002</v>
      </c>
      <c r="N263" s="255">
        <v>0</v>
      </c>
      <c r="O263" s="256">
        <v>0</v>
      </c>
      <c r="P263" s="256">
        <f>E263/150*1.75</f>
        <v>32.104800000000004</v>
      </c>
      <c r="Q263" s="256">
        <f>P263/25*5</f>
        <v>6.4209600000000009</v>
      </c>
      <c r="R263" s="256">
        <v>0</v>
      </c>
      <c r="S263" s="257">
        <v>0</v>
      </c>
      <c r="T263" s="256">
        <v>0</v>
      </c>
      <c r="U263" s="258">
        <f t="shared" si="178"/>
        <v>2198.8730400000004</v>
      </c>
      <c r="V263" s="256">
        <f>C263*117.88</f>
        <v>117.88</v>
      </c>
      <c r="W263" s="256">
        <v>529.20000000000005</v>
      </c>
      <c r="X263" s="256">
        <f t="shared" si="154"/>
        <v>29</v>
      </c>
      <c r="Y263" s="256">
        <f t="shared" si="155"/>
        <v>10.119999999999999</v>
      </c>
      <c r="Z263" s="256">
        <f t="shared" ref="Z263:Z326" si="187">C263*17.5</f>
        <v>17.5</v>
      </c>
      <c r="AA263" s="256">
        <f t="shared" si="157"/>
        <v>24.95</v>
      </c>
      <c r="AB263" s="256">
        <f t="shared" ref="AB263:AB326" si="188">C263*(211.68+19)</f>
        <v>230.68</v>
      </c>
      <c r="AC263" s="189">
        <f t="shared" si="179"/>
        <v>959.33000000000015</v>
      </c>
      <c r="AD263" s="259">
        <f t="shared" si="180"/>
        <v>5910.0430400000005</v>
      </c>
    </row>
    <row r="264" spans="1:30" s="160" customFormat="1">
      <c r="A264" s="250">
        <v>259</v>
      </c>
      <c r="B264" s="251" t="s">
        <v>424</v>
      </c>
      <c r="C264" s="252">
        <v>1</v>
      </c>
      <c r="D264" s="253">
        <v>2751.84</v>
      </c>
      <c r="E264" s="254">
        <f t="shared" si="177"/>
        <v>2751.84</v>
      </c>
      <c r="F264" s="255">
        <f t="shared" si="181"/>
        <v>966.96600000000024</v>
      </c>
      <c r="G264" s="256">
        <f t="shared" si="182"/>
        <v>35.162400000000005</v>
      </c>
      <c r="H264" s="256">
        <f t="shared" si="183"/>
        <v>281.29920000000004</v>
      </c>
      <c r="I264" s="256">
        <f t="shared" ref="I264:I323" si="189">H264*40%</f>
        <v>112.51968000000002</v>
      </c>
      <c r="J264" s="256">
        <f t="shared" ref="J264:J323" si="190">(E264+N264+O264+R264+S264+T264)/12</f>
        <v>229.32000000000002</v>
      </c>
      <c r="K264" s="256">
        <f t="shared" si="184"/>
        <v>229.32000000000002</v>
      </c>
      <c r="L264" s="256">
        <f t="shared" si="185"/>
        <v>76.440000000000012</v>
      </c>
      <c r="M264" s="256">
        <f t="shared" si="186"/>
        <v>229.32000000000002</v>
      </c>
      <c r="N264" s="255">
        <v>0</v>
      </c>
      <c r="O264" s="256">
        <v>0</v>
      </c>
      <c r="P264" s="256">
        <f t="shared" ref="P264:P271" si="191">E264/150*1.75</f>
        <v>32.104800000000004</v>
      </c>
      <c r="Q264" s="256">
        <f t="shared" ref="Q264:Q271" si="192">P264/25*5</f>
        <v>6.4209600000000009</v>
      </c>
      <c r="R264" s="256">
        <v>0</v>
      </c>
      <c r="S264" s="257">
        <v>0</v>
      </c>
      <c r="T264" s="256">
        <v>0</v>
      </c>
      <c r="U264" s="258">
        <f t="shared" si="178"/>
        <v>2198.8730400000004</v>
      </c>
      <c r="V264" s="256">
        <f t="shared" ref="V264:V271" si="193">C264*117.88</f>
        <v>117.88</v>
      </c>
      <c r="W264" s="256">
        <v>529.20000000000005</v>
      </c>
      <c r="X264" s="256">
        <f t="shared" si="154"/>
        <v>29</v>
      </c>
      <c r="Y264" s="256">
        <f t="shared" ref="Y264:Y327" si="194">C264*10.12</f>
        <v>10.119999999999999</v>
      </c>
      <c r="Z264" s="256">
        <f t="shared" si="187"/>
        <v>17.5</v>
      </c>
      <c r="AA264" s="256">
        <f t="shared" ref="AA264:AA325" si="195">C264*24.95</f>
        <v>24.95</v>
      </c>
      <c r="AB264" s="256">
        <f t="shared" si="188"/>
        <v>230.68</v>
      </c>
      <c r="AC264" s="189">
        <f t="shared" si="179"/>
        <v>959.33000000000015</v>
      </c>
      <c r="AD264" s="259">
        <f t="shared" si="180"/>
        <v>5910.0430400000005</v>
      </c>
    </row>
    <row r="265" spans="1:30" s="160" customFormat="1">
      <c r="A265" s="250">
        <v>260</v>
      </c>
      <c r="B265" s="251" t="s">
        <v>425</v>
      </c>
      <c r="C265" s="252">
        <v>1</v>
      </c>
      <c r="D265" s="253">
        <v>2751.84</v>
      </c>
      <c r="E265" s="254">
        <f t="shared" si="177"/>
        <v>2751.84</v>
      </c>
      <c r="F265" s="255">
        <f t="shared" si="181"/>
        <v>966.96600000000024</v>
      </c>
      <c r="G265" s="256">
        <f t="shared" si="182"/>
        <v>35.162400000000005</v>
      </c>
      <c r="H265" s="256">
        <f t="shared" si="183"/>
        <v>281.29920000000004</v>
      </c>
      <c r="I265" s="256">
        <f t="shared" si="189"/>
        <v>112.51968000000002</v>
      </c>
      <c r="J265" s="256">
        <f t="shared" si="190"/>
        <v>229.32000000000002</v>
      </c>
      <c r="K265" s="256">
        <f t="shared" si="184"/>
        <v>229.32000000000002</v>
      </c>
      <c r="L265" s="256">
        <f t="shared" si="185"/>
        <v>76.440000000000012</v>
      </c>
      <c r="M265" s="256">
        <f t="shared" si="186"/>
        <v>229.32000000000002</v>
      </c>
      <c r="N265" s="255">
        <v>0</v>
      </c>
      <c r="O265" s="256">
        <v>0</v>
      </c>
      <c r="P265" s="256">
        <f t="shared" si="191"/>
        <v>32.104800000000004</v>
      </c>
      <c r="Q265" s="256">
        <f t="shared" si="192"/>
        <v>6.4209600000000009</v>
      </c>
      <c r="R265" s="256">
        <v>0</v>
      </c>
      <c r="S265" s="257">
        <v>0</v>
      </c>
      <c r="T265" s="256">
        <v>0</v>
      </c>
      <c r="U265" s="258">
        <f t="shared" si="178"/>
        <v>2198.8730400000004</v>
      </c>
      <c r="V265" s="256">
        <f t="shared" si="193"/>
        <v>117.88</v>
      </c>
      <c r="W265" s="256">
        <v>529.20000000000005</v>
      </c>
      <c r="X265" s="256">
        <f t="shared" si="154"/>
        <v>29</v>
      </c>
      <c r="Y265" s="256">
        <f t="shared" si="194"/>
        <v>10.119999999999999</v>
      </c>
      <c r="Z265" s="256">
        <f t="shared" si="187"/>
        <v>17.5</v>
      </c>
      <c r="AA265" s="256">
        <f t="shared" si="195"/>
        <v>24.95</v>
      </c>
      <c r="AB265" s="256">
        <f t="shared" si="188"/>
        <v>230.68</v>
      </c>
      <c r="AC265" s="189">
        <f t="shared" si="179"/>
        <v>959.33000000000015</v>
      </c>
      <c r="AD265" s="259">
        <f t="shared" si="180"/>
        <v>5910.0430400000005</v>
      </c>
    </row>
    <row r="266" spans="1:30" s="160" customFormat="1">
      <c r="A266" s="250">
        <v>261</v>
      </c>
      <c r="B266" s="251" t="s">
        <v>426</v>
      </c>
      <c r="C266" s="252">
        <v>1</v>
      </c>
      <c r="D266" s="253">
        <v>2751.84</v>
      </c>
      <c r="E266" s="254">
        <f t="shared" si="177"/>
        <v>2751.84</v>
      </c>
      <c r="F266" s="255">
        <f t="shared" si="181"/>
        <v>966.96600000000024</v>
      </c>
      <c r="G266" s="256">
        <f t="shared" si="182"/>
        <v>35.162400000000005</v>
      </c>
      <c r="H266" s="256">
        <f t="shared" si="183"/>
        <v>281.29920000000004</v>
      </c>
      <c r="I266" s="256">
        <f t="shared" si="189"/>
        <v>112.51968000000002</v>
      </c>
      <c r="J266" s="256">
        <f t="shared" si="190"/>
        <v>229.32000000000002</v>
      </c>
      <c r="K266" s="256">
        <f t="shared" si="184"/>
        <v>229.32000000000002</v>
      </c>
      <c r="L266" s="256">
        <f t="shared" si="185"/>
        <v>76.440000000000012</v>
      </c>
      <c r="M266" s="256">
        <f t="shared" si="186"/>
        <v>229.32000000000002</v>
      </c>
      <c r="N266" s="255">
        <v>0</v>
      </c>
      <c r="O266" s="256">
        <v>0</v>
      </c>
      <c r="P266" s="256">
        <f t="shared" si="191"/>
        <v>32.104800000000004</v>
      </c>
      <c r="Q266" s="256">
        <f t="shared" si="192"/>
        <v>6.4209600000000009</v>
      </c>
      <c r="R266" s="256">
        <v>0</v>
      </c>
      <c r="S266" s="257">
        <v>0</v>
      </c>
      <c r="T266" s="256">
        <v>0</v>
      </c>
      <c r="U266" s="258">
        <f t="shared" si="178"/>
        <v>2198.8730400000004</v>
      </c>
      <c r="V266" s="256">
        <f t="shared" si="193"/>
        <v>117.88</v>
      </c>
      <c r="W266" s="256">
        <v>529.20000000000005</v>
      </c>
      <c r="X266" s="256">
        <f t="shared" si="154"/>
        <v>29</v>
      </c>
      <c r="Y266" s="256">
        <f t="shared" si="194"/>
        <v>10.119999999999999</v>
      </c>
      <c r="Z266" s="256">
        <f t="shared" si="187"/>
        <v>17.5</v>
      </c>
      <c r="AA266" s="256">
        <f t="shared" si="195"/>
        <v>24.95</v>
      </c>
      <c r="AB266" s="256">
        <f t="shared" si="188"/>
        <v>230.68</v>
      </c>
      <c r="AC266" s="189">
        <f t="shared" si="179"/>
        <v>959.33000000000015</v>
      </c>
      <c r="AD266" s="259">
        <f t="shared" si="180"/>
        <v>5910.0430400000005</v>
      </c>
    </row>
    <row r="267" spans="1:30" s="160" customFormat="1">
      <c r="A267" s="250">
        <v>262</v>
      </c>
      <c r="B267" s="251" t="s">
        <v>427</v>
      </c>
      <c r="C267" s="252">
        <v>1</v>
      </c>
      <c r="D267" s="253">
        <v>2751.84</v>
      </c>
      <c r="E267" s="254">
        <f t="shared" si="177"/>
        <v>2751.84</v>
      </c>
      <c r="F267" s="255">
        <f t="shared" si="181"/>
        <v>966.96600000000024</v>
      </c>
      <c r="G267" s="256">
        <f t="shared" si="182"/>
        <v>35.162400000000005</v>
      </c>
      <c r="H267" s="256">
        <f t="shared" si="183"/>
        <v>281.29920000000004</v>
      </c>
      <c r="I267" s="256">
        <f t="shared" si="189"/>
        <v>112.51968000000002</v>
      </c>
      <c r="J267" s="256">
        <f t="shared" si="190"/>
        <v>229.32000000000002</v>
      </c>
      <c r="K267" s="256">
        <f t="shared" si="184"/>
        <v>229.32000000000002</v>
      </c>
      <c r="L267" s="256">
        <f t="shared" si="185"/>
        <v>76.440000000000012</v>
      </c>
      <c r="M267" s="256">
        <f t="shared" si="186"/>
        <v>229.32000000000002</v>
      </c>
      <c r="N267" s="255">
        <v>0</v>
      </c>
      <c r="O267" s="256">
        <v>0</v>
      </c>
      <c r="P267" s="256">
        <f t="shared" si="191"/>
        <v>32.104800000000004</v>
      </c>
      <c r="Q267" s="256">
        <f t="shared" si="192"/>
        <v>6.4209600000000009</v>
      </c>
      <c r="R267" s="256">
        <v>0</v>
      </c>
      <c r="S267" s="257">
        <v>0</v>
      </c>
      <c r="T267" s="256">
        <v>0</v>
      </c>
      <c r="U267" s="258">
        <f t="shared" si="178"/>
        <v>2198.8730400000004</v>
      </c>
      <c r="V267" s="256">
        <f t="shared" si="193"/>
        <v>117.88</v>
      </c>
      <c r="W267" s="256">
        <v>529.20000000000005</v>
      </c>
      <c r="X267" s="256">
        <f t="shared" si="154"/>
        <v>29</v>
      </c>
      <c r="Y267" s="256">
        <f t="shared" si="194"/>
        <v>10.119999999999999</v>
      </c>
      <c r="Z267" s="256">
        <f t="shared" si="187"/>
        <v>17.5</v>
      </c>
      <c r="AA267" s="256">
        <f t="shared" si="195"/>
        <v>24.95</v>
      </c>
      <c r="AB267" s="256">
        <f t="shared" si="188"/>
        <v>230.68</v>
      </c>
      <c r="AC267" s="189">
        <f t="shared" si="179"/>
        <v>959.33000000000015</v>
      </c>
      <c r="AD267" s="259">
        <f t="shared" si="180"/>
        <v>5910.0430400000005</v>
      </c>
    </row>
    <row r="268" spans="1:30" s="160" customFormat="1">
      <c r="A268" s="250">
        <v>263</v>
      </c>
      <c r="B268" s="251" t="s">
        <v>428</v>
      </c>
      <c r="C268" s="252">
        <v>1</v>
      </c>
      <c r="D268" s="253">
        <v>1852.2</v>
      </c>
      <c r="E268" s="254">
        <f t="shared" si="177"/>
        <v>1852.2</v>
      </c>
      <c r="F268" s="255">
        <f t="shared" si="181"/>
        <v>650.84249999999997</v>
      </c>
      <c r="G268" s="256">
        <f t="shared" si="182"/>
        <v>23.666999999999998</v>
      </c>
      <c r="H268" s="256">
        <f t="shared" si="183"/>
        <v>189.33599999999998</v>
      </c>
      <c r="I268" s="256">
        <f t="shared" si="189"/>
        <v>75.734399999999994</v>
      </c>
      <c r="J268" s="256">
        <f t="shared" si="190"/>
        <v>154.35</v>
      </c>
      <c r="K268" s="256">
        <f t="shared" si="184"/>
        <v>154.35</v>
      </c>
      <c r="L268" s="256">
        <f t="shared" si="185"/>
        <v>51.449999999999996</v>
      </c>
      <c r="M268" s="256">
        <f t="shared" si="186"/>
        <v>154.35</v>
      </c>
      <c r="N268" s="255">
        <v>0</v>
      </c>
      <c r="O268" s="256">
        <v>0</v>
      </c>
      <c r="P268" s="256">
        <f t="shared" si="191"/>
        <v>21.609000000000002</v>
      </c>
      <c r="Q268" s="256">
        <f t="shared" si="192"/>
        <v>4.3217999999999996</v>
      </c>
      <c r="R268" s="256">
        <v>0</v>
      </c>
      <c r="S268" s="257">
        <v>0</v>
      </c>
      <c r="T268" s="256">
        <v>0</v>
      </c>
      <c r="U268" s="258">
        <f t="shared" si="178"/>
        <v>1480.0106999999996</v>
      </c>
      <c r="V268" s="256">
        <f t="shared" si="193"/>
        <v>117.88</v>
      </c>
      <c r="W268" s="256">
        <v>529.20000000000005</v>
      </c>
      <c r="X268" s="256">
        <f t="shared" si="154"/>
        <v>29</v>
      </c>
      <c r="Y268" s="256">
        <f t="shared" si="194"/>
        <v>10.119999999999999</v>
      </c>
      <c r="Z268" s="256">
        <f t="shared" si="187"/>
        <v>17.5</v>
      </c>
      <c r="AA268" s="256">
        <f t="shared" si="195"/>
        <v>24.95</v>
      </c>
      <c r="AB268" s="256">
        <f t="shared" si="188"/>
        <v>230.68</v>
      </c>
      <c r="AC268" s="189">
        <f t="shared" si="179"/>
        <v>959.33000000000015</v>
      </c>
      <c r="AD268" s="259">
        <f t="shared" si="180"/>
        <v>4291.5406999999996</v>
      </c>
    </row>
    <row r="269" spans="1:30" s="160" customFormat="1">
      <c r="A269" s="250">
        <v>264</v>
      </c>
      <c r="B269" s="251" t="s">
        <v>429</v>
      </c>
      <c r="C269" s="252">
        <v>1</v>
      </c>
      <c r="D269" s="253">
        <v>1737.89</v>
      </c>
      <c r="E269" s="254">
        <f t="shared" si="177"/>
        <v>1737.89</v>
      </c>
      <c r="F269" s="255">
        <f t="shared" si="181"/>
        <v>610.6752361111113</v>
      </c>
      <c r="G269" s="256">
        <f t="shared" si="182"/>
        <v>22.206372222222225</v>
      </c>
      <c r="H269" s="256">
        <f t="shared" si="183"/>
        <v>177.6509777777778</v>
      </c>
      <c r="I269" s="256">
        <f t="shared" si="189"/>
        <v>71.060391111111116</v>
      </c>
      <c r="J269" s="256">
        <f t="shared" si="190"/>
        <v>144.82416666666668</v>
      </c>
      <c r="K269" s="256">
        <f t="shared" si="184"/>
        <v>144.82416666666668</v>
      </c>
      <c r="L269" s="256">
        <f t="shared" si="185"/>
        <v>48.274722222222231</v>
      </c>
      <c r="M269" s="256">
        <f t="shared" si="186"/>
        <v>144.82416666666668</v>
      </c>
      <c r="N269" s="255">
        <v>0</v>
      </c>
      <c r="O269" s="256">
        <v>0</v>
      </c>
      <c r="P269" s="256">
        <f t="shared" si="191"/>
        <v>20.275383333333334</v>
      </c>
      <c r="Q269" s="256">
        <f t="shared" si="192"/>
        <v>4.0550766666666664</v>
      </c>
      <c r="R269" s="256">
        <v>0</v>
      </c>
      <c r="S269" s="257">
        <v>0</v>
      </c>
      <c r="T269" s="256">
        <v>0</v>
      </c>
      <c r="U269" s="258">
        <f t="shared" si="178"/>
        <v>1388.6706594444449</v>
      </c>
      <c r="V269" s="256">
        <f t="shared" si="193"/>
        <v>117.88</v>
      </c>
      <c r="W269" s="256">
        <v>529.20000000000005</v>
      </c>
      <c r="X269" s="256">
        <f t="shared" si="154"/>
        <v>29</v>
      </c>
      <c r="Y269" s="256">
        <f t="shared" si="194"/>
        <v>10.119999999999999</v>
      </c>
      <c r="Z269" s="256">
        <f t="shared" si="187"/>
        <v>17.5</v>
      </c>
      <c r="AA269" s="256">
        <f t="shared" si="195"/>
        <v>24.95</v>
      </c>
      <c r="AB269" s="256">
        <f t="shared" si="188"/>
        <v>230.68</v>
      </c>
      <c r="AC269" s="189">
        <f t="shared" si="179"/>
        <v>959.33000000000015</v>
      </c>
      <c r="AD269" s="259">
        <f t="shared" si="180"/>
        <v>4085.8906594444452</v>
      </c>
    </row>
    <row r="270" spans="1:30" s="160" customFormat="1">
      <c r="A270" s="250">
        <v>265</v>
      </c>
      <c r="B270" s="251" t="s">
        <v>430</v>
      </c>
      <c r="C270" s="252">
        <v>1</v>
      </c>
      <c r="D270" s="253">
        <v>1465.88</v>
      </c>
      <c r="E270" s="254">
        <f t="shared" si="177"/>
        <v>1465.88</v>
      </c>
      <c r="F270" s="255">
        <f t="shared" si="181"/>
        <v>515.09394444444456</v>
      </c>
      <c r="G270" s="256">
        <f t="shared" si="182"/>
        <v>18.730688888888892</v>
      </c>
      <c r="H270" s="256">
        <f t="shared" si="183"/>
        <v>149.84551111111114</v>
      </c>
      <c r="I270" s="256">
        <f t="shared" si="189"/>
        <v>59.938204444444459</v>
      </c>
      <c r="J270" s="256">
        <f t="shared" si="190"/>
        <v>122.15666666666668</v>
      </c>
      <c r="K270" s="256">
        <f t="shared" si="184"/>
        <v>122.15666666666668</v>
      </c>
      <c r="L270" s="256">
        <f t="shared" si="185"/>
        <v>40.718888888888891</v>
      </c>
      <c r="M270" s="256">
        <f t="shared" si="186"/>
        <v>122.15666666666668</v>
      </c>
      <c r="N270" s="255">
        <v>0</v>
      </c>
      <c r="O270" s="256">
        <v>0</v>
      </c>
      <c r="P270" s="256">
        <f t="shared" si="191"/>
        <v>17.101933333333335</v>
      </c>
      <c r="Q270" s="256">
        <f t="shared" si="192"/>
        <v>3.4203866666666674</v>
      </c>
      <c r="R270" s="256">
        <v>0</v>
      </c>
      <c r="S270" s="257">
        <v>0</v>
      </c>
      <c r="T270" s="256">
        <v>0</v>
      </c>
      <c r="U270" s="258">
        <f t="shared" si="178"/>
        <v>1171.3195577777778</v>
      </c>
      <c r="V270" s="256">
        <f t="shared" si="193"/>
        <v>117.88</v>
      </c>
      <c r="W270" s="256">
        <v>529.20000000000005</v>
      </c>
      <c r="X270" s="256">
        <f t="shared" si="154"/>
        <v>29</v>
      </c>
      <c r="Y270" s="256">
        <f t="shared" si="194"/>
        <v>10.119999999999999</v>
      </c>
      <c r="Z270" s="256">
        <f t="shared" si="187"/>
        <v>17.5</v>
      </c>
      <c r="AA270" s="256">
        <f t="shared" si="195"/>
        <v>24.95</v>
      </c>
      <c r="AB270" s="256">
        <f t="shared" si="188"/>
        <v>230.68</v>
      </c>
      <c r="AC270" s="189">
        <f t="shared" si="179"/>
        <v>959.33000000000015</v>
      </c>
      <c r="AD270" s="259">
        <f t="shared" si="180"/>
        <v>3596.5295577777779</v>
      </c>
    </row>
    <row r="271" spans="1:30" s="160" customFormat="1">
      <c r="A271" s="250">
        <v>266</v>
      </c>
      <c r="B271" s="251" t="s">
        <v>431</v>
      </c>
      <c r="C271" s="252">
        <v>1</v>
      </c>
      <c r="D271" s="253">
        <v>1537.21</v>
      </c>
      <c r="E271" s="254">
        <f t="shared" si="177"/>
        <v>1537.21</v>
      </c>
      <c r="F271" s="255">
        <f t="shared" si="181"/>
        <v>540.15851388888905</v>
      </c>
      <c r="G271" s="256">
        <f t="shared" si="182"/>
        <v>19.64212777777778</v>
      </c>
      <c r="H271" s="256">
        <f t="shared" si="183"/>
        <v>157.13702222222224</v>
      </c>
      <c r="I271" s="256">
        <f t="shared" si="189"/>
        <v>62.854808888888897</v>
      </c>
      <c r="J271" s="256">
        <f t="shared" si="190"/>
        <v>128.10083333333333</v>
      </c>
      <c r="K271" s="256">
        <f t="shared" si="184"/>
        <v>128.10083333333333</v>
      </c>
      <c r="L271" s="256">
        <f t="shared" si="185"/>
        <v>42.700277777777778</v>
      </c>
      <c r="M271" s="256">
        <f t="shared" si="186"/>
        <v>128.10083333333333</v>
      </c>
      <c r="N271" s="255">
        <v>0</v>
      </c>
      <c r="O271" s="256">
        <v>0</v>
      </c>
      <c r="P271" s="256">
        <f t="shared" si="191"/>
        <v>17.934116666666668</v>
      </c>
      <c r="Q271" s="256">
        <f t="shared" si="192"/>
        <v>3.5868233333333337</v>
      </c>
      <c r="R271" s="256">
        <v>0</v>
      </c>
      <c r="S271" s="257">
        <v>0</v>
      </c>
      <c r="T271" s="256">
        <v>0</v>
      </c>
      <c r="U271" s="258">
        <f t="shared" si="178"/>
        <v>1228.3161905555557</v>
      </c>
      <c r="V271" s="256">
        <f t="shared" si="193"/>
        <v>117.88</v>
      </c>
      <c r="W271" s="256">
        <v>529.20000000000005</v>
      </c>
      <c r="X271" s="256">
        <f t="shared" si="154"/>
        <v>29</v>
      </c>
      <c r="Y271" s="256">
        <f t="shared" si="194"/>
        <v>10.119999999999999</v>
      </c>
      <c r="Z271" s="256">
        <f t="shared" si="187"/>
        <v>17.5</v>
      </c>
      <c r="AA271" s="256">
        <f t="shared" si="195"/>
        <v>24.95</v>
      </c>
      <c r="AB271" s="256">
        <f t="shared" si="188"/>
        <v>230.68</v>
      </c>
      <c r="AC271" s="189">
        <f t="shared" si="179"/>
        <v>959.33000000000015</v>
      </c>
      <c r="AD271" s="259">
        <f t="shared" si="180"/>
        <v>3724.8561905555562</v>
      </c>
    </row>
    <row r="272" spans="1:30" s="160" customFormat="1">
      <c r="A272" s="250">
        <v>267</v>
      </c>
      <c r="B272" s="251" t="s">
        <v>435</v>
      </c>
      <c r="C272" s="252">
        <v>2</v>
      </c>
      <c r="D272" s="253">
        <v>2010.96</v>
      </c>
      <c r="E272" s="254">
        <f t="shared" si="177"/>
        <v>4021.92</v>
      </c>
      <c r="F272" s="255">
        <f t="shared" si="181"/>
        <v>1632.0057600000002</v>
      </c>
      <c r="G272" s="256">
        <f t="shared" si="182"/>
        <v>59.345664000000006</v>
      </c>
      <c r="H272" s="256">
        <f t="shared" si="183"/>
        <v>474.76531200000005</v>
      </c>
      <c r="I272" s="256">
        <f t="shared" si="189"/>
        <v>189.90612480000004</v>
      </c>
      <c r="J272" s="256">
        <f t="shared" si="190"/>
        <v>498.27119999999996</v>
      </c>
      <c r="K272" s="256">
        <f t="shared" si="184"/>
        <v>498.27119999999996</v>
      </c>
      <c r="L272" s="256">
        <f t="shared" si="185"/>
        <v>145.23600000000002</v>
      </c>
      <c r="M272" s="256">
        <f t="shared" si="186"/>
        <v>368.67599999999999</v>
      </c>
      <c r="N272" s="255">
        <v>0</v>
      </c>
      <c r="O272" s="256">
        <v>0</v>
      </c>
      <c r="P272" s="256">
        <f>(R272+E272)/210*1.75*1.2</f>
        <v>52.284959999999998</v>
      </c>
      <c r="Q272" s="256">
        <f>P272/6</f>
        <v>8.7141599999999997</v>
      </c>
      <c r="R272" s="256">
        <f>E272*30%</f>
        <v>1206.576</v>
      </c>
      <c r="S272" s="257">
        <f>(D272*10%)*C272</f>
        <v>402.19200000000001</v>
      </c>
      <c r="T272" s="256">
        <f>(E272+R272+N272+O272)/30*2</f>
        <v>348.56639999999999</v>
      </c>
      <c r="U272" s="258">
        <f t="shared" si="178"/>
        <v>5884.8107808000004</v>
      </c>
      <c r="V272" s="256">
        <f>C272*80.37</f>
        <v>160.74</v>
      </c>
      <c r="W272" s="256">
        <f>C272*529.2</f>
        <v>1058.4000000000001</v>
      </c>
      <c r="X272" s="256">
        <f t="shared" si="154"/>
        <v>58</v>
      </c>
      <c r="Y272" s="256">
        <f t="shared" si="194"/>
        <v>20.239999999999998</v>
      </c>
      <c r="Z272" s="256">
        <f t="shared" si="187"/>
        <v>35</v>
      </c>
      <c r="AA272" s="256">
        <f t="shared" si="195"/>
        <v>49.9</v>
      </c>
      <c r="AB272" s="256">
        <f t="shared" si="188"/>
        <v>461.36</v>
      </c>
      <c r="AC272" s="189">
        <f t="shared" si="179"/>
        <v>1843.6400000000003</v>
      </c>
      <c r="AD272" s="259">
        <f t="shared" si="180"/>
        <v>11750.3707808</v>
      </c>
    </row>
    <row r="273" spans="1:30" s="160" customFormat="1">
      <c r="A273" s="250">
        <v>268</v>
      </c>
      <c r="B273" s="251" t="s">
        <v>432</v>
      </c>
      <c r="C273" s="252">
        <v>12</v>
      </c>
      <c r="D273" s="253">
        <v>2010.96</v>
      </c>
      <c r="E273" s="254">
        <f t="shared" si="177"/>
        <v>24131.52</v>
      </c>
      <c r="F273" s="255">
        <f t="shared" si="181"/>
        <v>8962.5135600000012</v>
      </c>
      <c r="G273" s="256">
        <f t="shared" si="182"/>
        <v>325.90958400000005</v>
      </c>
      <c r="H273" s="256">
        <f t="shared" si="183"/>
        <v>2607.2766720000004</v>
      </c>
      <c r="I273" s="256">
        <f t="shared" si="189"/>
        <v>1042.9106688000002</v>
      </c>
      <c r="J273" s="256">
        <f t="shared" si="190"/>
        <v>2788.5311999999999</v>
      </c>
      <c r="K273" s="256">
        <f t="shared" si="184"/>
        <v>2788.5311999999999</v>
      </c>
      <c r="L273" s="256">
        <f t="shared" si="185"/>
        <v>871.41600000000005</v>
      </c>
      <c r="M273" s="256">
        <f t="shared" si="186"/>
        <v>2010.96</v>
      </c>
      <c r="N273" s="255">
        <v>0</v>
      </c>
      <c r="O273" s="256">
        <v>0</v>
      </c>
      <c r="P273" s="256">
        <f>(R273+E273)/210*1.75*1.2</f>
        <v>313.70976000000002</v>
      </c>
      <c r="Q273" s="256">
        <f>P273/6</f>
        <v>52.284960000000005</v>
      </c>
      <c r="R273" s="256">
        <f>E273*30%</f>
        <v>7239.4560000000001</v>
      </c>
      <c r="S273" s="257"/>
      <c r="T273" s="256">
        <f t="shared" ref="T273:T275" si="196">(E273+R273+N273+O273)/30*2</f>
        <v>2091.3984</v>
      </c>
      <c r="U273" s="258">
        <f t="shared" si="178"/>
        <v>31094.898004800001</v>
      </c>
      <c r="V273" s="256">
        <f t="shared" ref="V273:V275" si="197">C273*80.37</f>
        <v>964.44</v>
      </c>
      <c r="W273" s="256">
        <f>C273*529.2</f>
        <v>6350.4000000000005</v>
      </c>
      <c r="X273" s="256">
        <f t="shared" si="154"/>
        <v>348</v>
      </c>
      <c r="Y273" s="256">
        <f t="shared" si="194"/>
        <v>121.44</v>
      </c>
      <c r="Z273" s="256">
        <f t="shared" si="187"/>
        <v>210</v>
      </c>
      <c r="AA273" s="256">
        <f t="shared" si="195"/>
        <v>299.39999999999998</v>
      </c>
      <c r="AB273" s="256">
        <f t="shared" si="188"/>
        <v>2768.16</v>
      </c>
      <c r="AC273" s="189">
        <f t="shared" si="179"/>
        <v>11061.84</v>
      </c>
      <c r="AD273" s="259">
        <f t="shared" si="180"/>
        <v>66288.258004799995</v>
      </c>
    </row>
    <row r="274" spans="1:30" s="160" customFormat="1">
      <c r="A274" s="250">
        <v>269</v>
      </c>
      <c r="B274" s="251" t="s">
        <v>433</v>
      </c>
      <c r="C274" s="252">
        <v>2</v>
      </c>
      <c r="D274" s="253">
        <v>2010.96</v>
      </c>
      <c r="E274" s="254">
        <f t="shared" si="177"/>
        <v>4021.92</v>
      </c>
      <c r="F274" s="255">
        <f t="shared" si="181"/>
        <v>1677.4484906666671</v>
      </c>
      <c r="G274" s="256">
        <f t="shared" si="182"/>
        <v>60.998126933333346</v>
      </c>
      <c r="H274" s="256">
        <f t="shared" si="183"/>
        <v>487.98501546666677</v>
      </c>
      <c r="I274" s="256">
        <f t="shared" si="189"/>
        <v>195.19400618666671</v>
      </c>
      <c r="J274" s="256">
        <f t="shared" si="190"/>
        <v>580.89434666666671</v>
      </c>
      <c r="K274" s="256">
        <f t="shared" si="184"/>
        <v>580.89434666666671</v>
      </c>
      <c r="L274" s="256">
        <f t="shared" si="185"/>
        <v>145.23600000000002</v>
      </c>
      <c r="M274" s="256">
        <f t="shared" si="186"/>
        <v>368.67599999999999</v>
      </c>
      <c r="N274" s="255">
        <f>(R274+E274)/210*20%*160</f>
        <v>796.72320000000013</v>
      </c>
      <c r="O274" s="256">
        <f>N274/6</f>
        <v>132.78720000000001</v>
      </c>
      <c r="P274" s="256">
        <f>(R274+E274)/210*1.75*1.2</f>
        <v>52.284959999999998</v>
      </c>
      <c r="Q274" s="256">
        <f>P274/6</f>
        <v>8.7141599999999997</v>
      </c>
      <c r="R274" s="256">
        <f>E274*30%</f>
        <v>1206.576</v>
      </c>
      <c r="S274" s="257">
        <f t="shared" ref="S274" si="198">(D274*10%)*C274</f>
        <v>402.19200000000001</v>
      </c>
      <c r="T274" s="256">
        <f t="shared" si="196"/>
        <v>410.53376000000003</v>
      </c>
      <c r="U274" s="258">
        <f t="shared" si="178"/>
        <v>7107.1376125866691</v>
      </c>
      <c r="V274" s="256">
        <f t="shared" si="197"/>
        <v>160.74</v>
      </c>
      <c r="W274" s="256">
        <f>C274*529.2</f>
        <v>1058.4000000000001</v>
      </c>
      <c r="X274" s="256">
        <f t="shared" si="154"/>
        <v>58</v>
      </c>
      <c r="Y274" s="256">
        <f t="shared" si="194"/>
        <v>20.239999999999998</v>
      </c>
      <c r="Z274" s="256">
        <f t="shared" si="187"/>
        <v>35</v>
      </c>
      <c r="AA274" s="256">
        <f t="shared" si="195"/>
        <v>49.9</v>
      </c>
      <c r="AB274" s="256">
        <f t="shared" si="188"/>
        <v>461.36</v>
      </c>
      <c r="AC274" s="189">
        <f t="shared" si="179"/>
        <v>1843.6400000000003</v>
      </c>
      <c r="AD274" s="259">
        <f t="shared" si="180"/>
        <v>12972.697612586668</v>
      </c>
    </row>
    <row r="275" spans="1:30" s="160" customFormat="1">
      <c r="A275" s="250">
        <v>270</v>
      </c>
      <c r="B275" s="251" t="s">
        <v>434</v>
      </c>
      <c r="C275" s="252">
        <v>6</v>
      </c>
      <c r="D275" s="253">
        <v>2010.96</v>
      </c>
      <c r="E275" s="254">
        <f t="shared" si="177"/>
        <v>12065.76</v>
      </c>
      <c r="F275" s="255">
        <f t="shared" si="181"/>
        <v>4617.5849719999997</v>
      </c>
      <c r="G275" s="256">
        <f t="shared" si="182"/>
        <v>167.91218079999999</v>
      </c>
      <c r="H275" s="256">
        <f t="shared" si="183"/>
        <v>1343.2974463999999</v>
      </c>
      <c r="I275" s="256">
        <f t="shared" si="189"/>
        <v>537.31897856000001</v>
      </c>
      <c r="J275" s="256">
        <f t="shared" si="190"/>
        <v>1642.1350399999999</v>
      </c>
      <c r="K275" s="256">
        <f t="shared" si="184"/>
        <v>1642.1350399999999</v>
      </c>
      <c r="L275" s="256">
        <f t="shared" si="185"/>
        <v>435.70800000000003</v>
      </c>
      <c r="M275" s="256">
        <f t="shared" si="186"/>
        <v>1005.48</v>
      </c>
      <c r="N275" s="255">
        <f>(R275+E275)/210*20%*160</f>
        <v>2390.1696000000002</v>
      </c>
      <c r="O275" s="256">
        <f>N275/6</f>
        <v>398.36160000000001</v>
      </c>
      <c r="P275" s="256">
        <f>(R275+E275)/210*1.75*1.2</f>
        <v>156.85488000000001</v>
      </c>
      <c r="Q275" s="256">
        <f>P275/6</f>
        <v>26.142480000000003</v>
      </c>
      <c r="R275" s="256">
        <f>E275*30%</f>
        <v>3619.7280000000001</v>
      </c>
      <c r="S275" s="257">
        <v>0</v>
      </c>
      <c r="T275" s="256">
        <f t="shared" si="196"/>
        <v>1231.6012800000001</v>
      </c>
      <c r="U275" s="258">
        <f t="shared" si="178"/>
        <v>19214.429497759997</v>
      </c>
      <c r="V275" s="256">
        <f t="shared" si="197"/>
        <v>482.22</v>
      </c>
      <c r="W275" s="256">
        <f>C275*529.2</f>
        <v>3175.2000000000003</v>
      </c>
      <c r="X275" s="256">
        <f t="shared" si="154"/>
        <v>174</v>
      </c>
      <c r="Y275" s="256">
        <f t="shared" si="194"/>
        <v>60.72</v>
      </c>
      <c r="Z275" s="256">
        <f t="shared" si="187"/>
        <v>105</v>
      </c>
      <c r="AA275" s="256">
        <f t="shared" si="195"/>
        <v>149.69999999999999</v>
      </c>
      <c r="AB275" s="256">
        <f t="shared" si="188"/>
        <v>1384.08</v>
      </c>
      <c r="AC275" s="189">
        <f t="shared" si="179"/>
        <v>5530.92</v>
      </c>
      <c r="AD275" s="259">
        <f t="shared" si="180"/>
        <v>36811.109497759993</v>
      </c>
    </row>
    <row r="276" spans="1:30" s="160" customFormat="1">
      <c r="A276" s="250">
        <v>271</v>
      </c>
      <c r="B276" s="251" t="s">
        <v>460</v>
      </c>
      <c r="C276" s="252">
        <v>1</v>
      </c>
      <c r="D276" s="253">
        <v>6879.6</v>
      </c>
      <c r="E276" s="254">
        <f t="shared" si="177"/>
        <v>6879.6</v>
      </c>
      <c r="F276" s="255">
        <f t="shared" si="181"/>
        <v>2417.4150000000004</v>
      </c>
      <c r="G276" s="256">
        <f t="shared" si="182"/>
        <v>87.906000000000006</v>
      </c>
      <c r="H276" s="256">
        <f t="shared" si="183"/>
        <v>703.24800000000005</v>
      </c>
      <c r="I276" s="256">
        <f t="shared" si="189"/>
        <v>281.29920000000004</v>
      </c>
      <c r="J276" s="256">
        <f t="shared" si="190"/>
        <v>573.30000000000007</v>
      </c>
      <c r="K276" s="256">
        <f t="shared" si="184"/>
        <v>573.30000000000007</v>
      </c>
      <c r="L276" s="256">
        <f t="shared" si="185"/>
        <v>191.10000000000002</v>
      </c>
      <c r="M276" s="256">
        <f t="shared" si="186"/>
        <v>573.30000000000007</v>
      </c>
      <c r="N276" s="255">
        <v>0</v>
      </c>
      <c r="O276" s="256">
        <v>0</v>
      </c>
      <c r="P276" s="256">
        <v>0</v>
      </c>
      <c r="Q276" s="256">
        <v>0</v>
      </c>
      <c r="R276" s="256">
        <v>0</v>
      </c>
      <c r="S276" s="257">
        <v>0</v>
      </c>
      <c r="T276" s="256">
        <v>0</v>
      </c>
      <c r="U276" s="258">
        <f t="shared" si="178"/>
        <v>5400.8682000000008</v>
      </c>
      <c r="V276" s="256">
        <v>0</v>
      </c>
      <c r="W276" s="256">
        <v>529.20000000000005</v>
      </c>
      <c r="X276" s="256">
        <f t="shared" si="154"/>
        <v>29</v>
      </c>
      <c r="Y276" s="256">
        <f t="shared" si="194"/>
        <v>10.119999999999999</v>
      </c>
      <c r="Z276" s="256">
        <f t="shared" si="187"/>
        <v>17.5</v>
      </c>
      <c r="AA276" s="256">
        <f t="shared" si="195"/>
        <v>24.95</v>
      </c>
      <c r="AB276" s="256">
        <f t="shared" si="188"/>
        <v>230.68</v>
      </c>
      <c r="AC276" s="189">
        <f t="shared" si="179"/>
        <v>841.45</v>
      </c>
      <c r="AD276" s="259">
        <f t="shared" si="180"/>
        <v>13121.918200000002</v>
      </c>
    </row>
    <row r="277" spans="1:30" s="160" customFormat="1">
      <c r="A277" s="250">
        <v>272</v>
      </c>
      <c r="B277" s="251" t="s">
        <v>422</v>
      </c>
      <c r="C277" s="252">
        <v>1</v>
      </c>
      <c r="D277" s="253">
        <v>3993.98</v>
      </c>
      <c r="E277" s="254">
        <f t="shared" si="177"/>
        <v>3993.98</v>
      </c>
      <c r="F277" s="255">
        <f t="shared" si="181"/>
        <v>1467.5102902777778</v>
      </c>
      <c r="G277" s="256">
        <f t="shared" si="182"/>
        <v>53.364010555555552</v>
      </c>
      <c r="H277" s="256">
        <f t="shared" si="183"/>
        <v>426.91208444444442</v>
      </c>
      <c r="I277" s="256">
        <f t="shared" si="189"/>
        <v>170.76483377777777</v>
      </c>
      <c r="J277" s="256">
        <f t="shared" si="190"/>
        <v>432.68116666666668</v>
      </c>
      <c r="K277" s="256">
        <f t="shared" si="184"/>
        <v>432.68116666666668</v>
      </c>
      <c r="L277" s="256">
        <f t="shared" si="185"/>
        <v>144.22705555555555</v>
      </c>
      <c r="M277" s="256">
        <f t="shared" si="186"/>
        <v>332.83166666666665</v>
      </c>
      <c r="N277" s="255">
        <v>0</v>
      </c>
      <c r="O277" s="256">
        <v>0</v>
      </c>
      <c r="P277" s="256">
        <v>0</v>
      </c>
      <c r="Q277" s="256">
        <v>0</v>
      </c>
      <c r="R277" s="256">
        <f>E277*30%</f>
        <v>1198.194</v>
      </c>
      <c r="S277" s="257">
        <v>0</v>
      </c>
      <c r="T277" s="256">
        <v>0</v>
      </c>
      <c r="U277" s="258">
        <f t="shared" si="178"/>
        <v>4659.1662746111106</v>
      </c>
      <c r="V277" s="256">
        <v>0</v>
      </c>
      <c r="W277" s="256">
        <v>529.20000000000005</v>
      </c>
      <c r="X277" s="256">
        <f t="shared" ref="X277:X330" si="199">C277*29</f>
        <v>29</v>
      </c>
      <c r="Y277" s="256">
        <f t="shared" si="194"/>
        <v>10.119999999999999</v>
      </c>
      <c r="Z277" s="256">
        <f t="shared" si="187"/>
        <v>17.5</v>
      </c>
      <c r="AA277" s="256">
        <f t="shared" si="195"/>
        <v>24.95</v>
      </c>
      <c r="AB277" s="256">
        <f t="shared" si="188"/>
        <v>230.68</v>
      </c>
      <c r="AC277" s="189">
        <f t="shared" si="179"/>
        <v>841.45</v>
      </c>
      <c r="AD277" s="259">
        <f t="shared" si="180"/>
        <v>9494.5962746111109</v>
      </c>
    </row>
    <row r="278" spans="1:30" s="160" customFormat="1">
      <c r="A278" s="250">
        <v>273</v>
      </c>
      <c r="B278" s="251" t="s">
        <v>423</v>
      </c>
      <c r="C278" s="252">
        <v>1</v>
      </c>
      <c r="D278" s="253">
        <v>2751.84</v>
      </c>
      <c r="E278" s="254">
        <f t="shared" si="177"/>
        <v>2751.84</v>
      </c>
      <c r="F278" s="255">
        <f t="shared" si="181"/>
        <v>966.96600000000024</v>
      </c>
      <c r="G278" s="256">
        <f t="shared" si="182"/>
        <v>35.162400000000005</v>
      </c>
      <c r="H278" s="256">
        <f t="shared" si="183"/>
        <v>281.29920000000004</v>
      </c>
      <c r="I278" s="256">
        <f t="shared" si="189"/>
        <v>112.51968000000002</v>
      </c>
      <c r="J278" s="256">
        <f t="shared" si="190"/>
        <v>229.32000000000002</v>
      </c>
      <c r="K278" s="256">
        <f t="shared" si="184"/>
        <v>229.32000000000002</v>
      </c>
      <c r="L278" s="256">
        <f t="shared" si="185"/>
        <v>76.440000000000012</v>
      </c>
      <c r="M278" s="256">
        <f t="shared" si="186"/>
        <v>229.32000000000002</v>
      </c>
      <c r="N278" s="255">
        <v>0</v>
      </c>
      <c r="O278" s="256">
        <v>0</v>
      </c>
      <c r="P278" s="256">
        <f>E278/150*1.75</f>
        <v>32.104800000000004</v>
      </c>
      <c r="Q278" s="256">
        <f>P278/25*5</f>
        <v>6.4209600000000009</v>
      </c>
      <c r="R278" s="256">
        <v>0</v>
      </c>
      <c r="S278" s="257">
        <v>0</v>
      </c>
      <c r="T278" s="256">
        <v>0</v>
      </c>
      <c r="U278" s="258">
        <f t="shared" si="178"/>
        <v>2198.8730400000004</v>
      </c>
      <c r="V278" s="256">
        <f>C278*99.26</f>
        <v>99.26</v>
      </c>
      <c r="W278" s="256">
        <v>529.20000000000005</v>
      </c>
      <c r="X278" s="256">
        <f t="shared" si="199"/>
        <v>29</v>
      </c>
      <c r="Y278" s="256">
        <f t="shared" si="194"/>
        <v>10.119999999999999</v>
      </c>
      <c r="Z278" s="256">
        <f t="shared" si="187"/>
        <v>17.5</v>
      </c>
      <c r="AA278" s="256">
        <f t="shared" si="195"/>
        <v>24.95</v>
      </c>
      <c r="AB278" s="256">
        <f t="shared" si="188"/>
        <v>230.68</v>
      </c>
      <c r="AC278" s="189">
        <f t="shared" si="179"/>
        <v>940.71</v>
      </c>
      <c r="AD278" s="259">
        <f t="shared" si="180"/>
        <v>5891.4230400000006</v>
      </c>
    </row>
    <row r="279" spans="1:30" s="160" customFormat="1">
      <c r="A279" s="250">
        <v>274</v>
      </c>
      <c r="B279" s="251" t="s">
        <v>424</v>
      </c>
      <c r="C279" s="252">
        <v>1</v>
      </c>
      <c r="D279" s="253">
        <v>2751.84</v>
      </c>
      <c r="E279" s="254">
        <f t="shared" si="177"/>
        <v>2751.84</v>
      </c>
      <c r="F279" s="255">
        <f t="shared" si="181"/>
        <v>966.96600000000024</v>
      </c>
      <c r="G279" s="256">
        <f t="shared" si="182"/>
        <v>35.162400000000005</v>
      </c>
      <c r="H279" s="256">
        <f t="shared" si="183"/>
        <v>281.29920000000004</v>
      </c>
      <c r="I279" s="256">
        <f t="shared" si="189"/>
        <v>112.51968000000002</v>
      </c>
      <c r="J279" s="256">
        <f t="shared" si="190"/>
        <v>229.32000000000002</v>
      </c>
      <c r="K279" s="256">
        <f t="shared" si="184"/>
        <v>229.32000000000002</v>
      </c>
      <c r="L279" s="256">
        <f t="shared" si="185"/>
        <v>76.440000000000012</v>
      </c>
      <c r="M279" s="256">
        <f t="shared" si="186"/>
        <v>229.32000000000002</v>
      </c>
      <c r="N279" s="255">
        <v>0</v>
      </c>
      <c r="O279" s="256">
        <v>0</v>
      </c>
      <c r="P279" s="256">
        <f t="shared" ref="P279:P286" si="200">E279/150*1.75</f>
        <v>32.104800000000004</v>
      </c>
      <c r="Q279" s="256">
        <f t="shared" ref="Q279:Q286" si="201">P279/25*5</f>
        <v>6.4209600000000009</v>
      </c>
      <c r="R279" s="256">
        <v>0</v>
      </c>
      <c r="S279" s="257">
        <v>0</v>
      </c>
      <c r="T279" s="256">
        <v>0</v>
      </c>
      <c r="U279" s="258">
        <f t="shared" si="178"/>
        <v>2198.8730400000004</v>
      </c>
      <c r="V279" s="256">
        <f t="shared" ref="V279:V286" si="202">C279*99.26</f>
        <v>99.26</v>
      </c>
      <c r="W279" s="256">
        <v>529.20000000000005</v>
      </c>
      <c r="X279" s="256">
        <f t="shared" si="199"/>
        <v>29</v>
      </c>
      <c r="Y279" s="256">
        <f t="shared" si="194"/>
        <v>10.119999999999999</v>
      </c>
      <c r="Z279" s="256">
        <f t="shared" si="187"/>
        <v>17.5</v>
      </c>
      <c r="AA279" s="256">
        <f t="shared" si="195"/>
        <v>24.95</v>
      </c>
      <c r="AB279" s="256">
        <f t="shared" si="188"/>
        <v>230.68</v>
      </c>
      <c r="AC279" s="189">
        <f t="shared" si="179"/>
        <v>940.71</v>
      </c>
      <c r="AD279" s="259">
        <f t="shared" si="180"/>
        <v>5891.4230400000006</v>
      </c>
    </row>
    <row r="280" spans="1:30" s="160" customFormat="1">
      <c r="A280" s="250">
        <v>275</v>
      </c>
      <c r="B280" s="251" t="s">
        <v>425</v>
      </c>
      <c r="C280" s="252">
        <v>1</v>
      </c>
      <c r="D280" s="253">
        <v>2751.84</v>
      </c>
      <c r="E280" s="254">
        <f t="shared" si="177"/>
        <v>2751.84</v>
      </c>
      <c r="F280" s="255">
        <f t="shared" si="181"/>
        <v>966.96600000000024</v>
      </c>
      <c r="G280" s="256">
        <f t="shared" si="182"/>
        <v>35.162400000000005</v>
      </c>
      <c r="H280" s="256">
        <f t="shared" si="183"/>
        <v>281.29920000000004</v>
      </c>
      <c r="I280" s="256">
        <f t="shared" si="189"/>
        <v>112.51968000000002</v>
      </c>
      <c r="J280" s="256">
        <f t="shared" si="190"/>
        <v>229.32000000000002</v>
      </c>
      <c r="K280" s="256">
        <f t="shared" si="184"/>
        <v>229.32000000000002</v>
      </c>
      <c r="L280" s="256">
        <f t="shared" si="185"/>
        <v>76.440000000000012</v>
      </c>
      <c r="M280" s="256">
        <f t="shared" si="186"/>
        <v>229.32000000000002</v>
      </c>
      <c r="N280" s="255">
        <v>0</v>
      </c>
      <c r="O280" s="256">
        <v>0</v>
      </c>
      <c r="P280" s="256">
        <f t="shared" si="200"/>
        <v>32.104800000000004</v>
      </c>
      <c r="Q280" s="256">
        <f t="shared" si="201"/>
        <v>6.4209600000000009</v>
      </c>
      <c r="R280" s="256">
        <v>0</v>
      </c>
      <c r="S280" s="257">
        <v>0</v>
      </c>
      <c r="T280" s="256">
        <v>0</v>
      </c>
      <c r="U280" s="258">
        <f t="shared" si="178"/>
        <v>2198.8730400000004</v>
      </c>
      <c r="V280" s="256">
        <f t="shared" si="202"/>
        <v>99.26</v>
      </c>
      <c r="W280" s="256">
        <v>529.20000000000005</v>
      </c>
      <c r="X280" s="256">
        <f t="shared" si="199"/>
        <v>29</v>
      </c>
      <c r="Y280" s="256">
        <f t="shared" si="194"/>
        <v>10.119999999999999</v>
      </c>
      <c r="Z280" s="256">
        <f t="shared" si="187"/>
        <v>17.5</v>
      </c>
      <c r="AA280" s="256">
        <f t="shared" si="195"/>
        <v>24.95</v>
      </c>
      <c r="AB280" s="256">
        <f t="shared" si="188"/>
        <v>230.68</v>
      </c>
      <c r="AC280" s="189">
        <f t="shared" si="179"/>
        <v>940.71</v>
      </c>
      <c r="AD280" s="259">
        <f t="shared" si="180"/>
        <v>5891.4230400000006</v>
      </c>
    </row>
    <row r="281" spans="1:30" s="160" customFormat="1">
      <c r="A281" s="250">
        <v>276</v>
      </c>
      <c r="B281" s="251" t="s">
        <v>426</v>
      </c>
      <c r="C281" s="252">
        <v>1</v>
      </c>
      <c r="D281" s="253">
        <v>2751.84</v>
      </c>
      <c r="E281" s="254">
        <f t="shared" si="177"/>
        <v>2751.84</v>
      </c>
      <c r="F281" s="255">
        <f t="shared" si="181"/>
        <v>966.96600000000024</v>
      </c>
      <c r="G281" s="256">
        <f t="shared" si="182"/>
        <v>35.162400000000005</v>
      </c>
      <c r="H281" s="256">
        <f t="shared" si="183"/>
        <v>281.29920000000004</v>
      </c>
      <c r="I281" s="256">
        <f t="shared" si="189"/>
        <v>112.51968000000002</v>
      </c>
      <c r="J281" s="256">
        <f t="shared" si="190"/>
        <v>229.32000000000002</v>
      </c>
      <c r="K281" s="256">
        <f t="shared" si="184"/>
        <v>229.32000000000002</v>
      </c>
      <c r="L281" s="256">
        <f t="shared" si="185"/>
        <v>76.440000000000012</v>
      </c>
      <c r="M281" s="256">
        <f t="shared" si="186"/>
        <v>229.32000000000002</v>
      </c>
      <c r="N281" s="255">
        <v>0</v>
      </c>
      <c r="O281" s="256">
        <v>0</v>
      </c>
      <c r="P281" s="256">
        <f t="shared" si="200"/>
        <v>32.104800000000004</v>
      </c>
      <c r="Q281" s="256">
        <f t="shared" si="201"/>
        <v>6.4209600000000009</v>
      </c>
      <c r="R281" s="256">
        <v>0</v>
      </c>
      <c r="S281" s="257">
        <v>0</v>
      </c>
      <c r="T281" s="256">
        <v>0</v>
      </c>
      <c r="U281" s="258">
        <f t="shared" si="178"/>
        <v>2198.8730400000004</v>
      </c>
      <c r="V281" s="256">
        <f t="shared" si="202"/>
        <v>99.26</v>
      </c>
      <c r="W281" s="256">
        <v>529.20000000000005</v>
      </c>
      <c r="X281" s="256">
        <f t="shared" si="199"/>
        <v>29</v>
      </c>
      <c r="Y281" s="256">
        <f t="shared" si="194"/>
        <v>10.119999999999999</v>
      </c>
      <c r="Z281" s="256">
        <f t="shared" si="187"/>
        <v>17.5</v>
      </c>
      <c r="AA281" s="256">
        <f t="shared" si="195"/>
        <v>24.95</v>
      </c>
      <c r="AB281" s="256">
        <f t="shared" si="188"/>
        <v>230.68</v>
      </c>
      <c r="AC281" s="189">
        <f t="shared" si="179"/>
        <v>940.71</v>
      </c>
      <c r="AD281" s="259">
        <f t="shared" si="180"/>
        <v>5891.4230400000006</v>
      </c>
    </row>
    <row r="282" spans="1:30" s="160" customFormat="1">
      <c r="A282" s="250">
        <v>277</v>
      </c>
      <c r="B282" s="251" t="s">
        <v>427</v>
      </c>
      <c r="C282" s="252">
        <v>1</v>
      </c>
      <c r="D282" s="253">
        <v>2751.84</v>
      </c>
      <c r="E282" s="254">
        <f t="shared" si="177"/>
        <v>2751.84</v>
      </c>
      <c r="F282" s="255">
        <f t="shared" si="181"/>
        <v>966.96600000000024</v>
      </c>
      <c r="G282" s="256">
        <f t="shared" si="182"/>
        <v>35.162400000000005</v>
      </c>
      <c r="H282" s="256">
        <f t="shared" si="183"/>
        <v>281.29920000000004</v>
      </c>
      <c r="I282" s="256">
        <f t="shared" si="189"/>
        <v>112.51968000000002</v>
      </c>
      <c r="J282" s="256">
        <f t="shared" si="190"/>
        <v>229.32000000000002</v>
      </c>
      <c r="K282" s="256">
        <f t="shared" si="184"/>
        <v>229.32000000000002</v>
      </c>
      <c r="L282" s="256">
        <f t="shared" si="185"/>
        <v>76.440000000000012</v>
      </c>
      <c r="M282" s="256">
        <f t="shared" si="186"/>
        <v>229.32000000000002</v>
      </c>
      <c r="N282" s="255">
        <v>0</v>
      </c>
      <c r="O282" s="256">
        <v>0</v>
      </c>
      <c r="P282" s="256">
        <f t="shared" si="200"/>
        <v>32.104800000000004</v>
      </c>
      <c r="Q282" s="256">
        <f t="shared" si="201"/>
        <v>6.4209600000000009</v>
      </c>
      <c r="R282" s="256">
        <v>0</v>
      </c>
      <c r="S282" s="257">
        <v>0</v>
      </c>
      <c r="T282" s="256">
        <v>0</v>
      </c>
      <c r="U282" s="258">
        <f t="shared" si="178"/>
        <v>2198.8730400000004</v>
      </c>
      <c r="V282" s="256">
        <f t="shared" si="202"/>
        <v>99.26</v>
      </c>
      <c r="W282" s="256">
        <v>529.20000000000005</v>
      </c>
      <c r="X282" s="256">
        <f t="shared" si="199"/>
        <v>29</v>
      </c>
      <c r="Y282" s="256">
        <f t="shared" si="194"/>
        <v>10.119999999999999</v>
      </c>
      <c r="Z282" s="256">
        <f t="shared" si="187"/>
        <v>17.5</v>
      </c>
      <c r="AA282" s="256">
        <f t="shared" si="195"/>
        <v>24.95</v>
      </c>
      <c r="AB282" s="256">
        <f t="shared" si="188"/>
        <v>230.68</v>
      </c>
      <c r="AC282" s="189">
        <f t="shared" si="179"/>
        <v>940.71</v>
      </c>
      <c r="AD282" s="259">
        <f t="shared" si="180"/>
        <v>5891.4230400000006</v>
      </c>
    </row>
    <row r="283" spans="1:30" s="160" customFormat="1">
      <c r="A283" s="250">
        <v>278</v>
      </c>
      <c r="B283" s="251" t="s">
        <v>428</v>
      </c>
      <c r="C283" s="252">
        <v>1</v>
      </c>
      <c r="D283" s="253">
        <v>1852.2</v>
      </c>
      <c r="E283" s="254">
        <f t="shared" si="177"/>
        <v>1852.2</v>
      </c>
      <c r="F283" s="255">
        <f t="shared" si="181"/>
        <v>650.84249999999997</v>
      </c>
      <c r="G283" s="256">
        <f t="shared" si="182"/>
        <v>23.666999999999998</v>
      </c>
      <c r="H283" s="256">
        <f t="shared" si="183"/>
        <v>189.33599999999998</v>
      </c>
      <c r="I283" s="256">
        <f t="shared" si="189"/>
        <v>75.734399999999994</v>
      </c>
      <c r="J283" s="256">
        <f t="shared" si="190"/>
        <v>154.35</v>
      </c>
      <c r="K283" s="256">
        <f t="shared" si="184"/>
        <v>154.35</v>
      </c>
      <c r="L283" s="256">
        <f t="shared" si="185"/>
        <v>51.449999999999996</v>
      </c>
      <c r="M283" s="256">
        <f t="shared" si="186"/>
        <v>154.35</v>
      </c>
      <c r="N283" s="255">
        <v>0</v>
      </c>
      <c r="O283" s="256">
        <v>0</v>
      </c>
      <c r="P283" s="256">
        <f t="shared" si="200"/>
        <v>21.609000000000002</v>
      </c>
      <c r="Q283" s="256">
        <f t="shared" si="201"/>
        <v>4.3217999999999996</v>
      </c>
      <c r="R283" s="256">
        <v>0</v>
      </c>
      <c r="S283" s="257">
        <v>0</v>
      </c>
      <c r="T283" s="256">
        <v>0</v>
      </c>
      <c r="U283" s="258">
        <f t="shared" si="178"/>
        <v>1480.0106999999996</v>
      </c>
      <c r="V283" s="256">
        <f t="shared" si="202"/>
        <v>99.26</v>
      </c>
      <c r="W283" s="256">
        <v>529.20000000000005</v>
      </c>
      <c r="X283" s="256">
        <f t="shared" si="199"/>
        <v>29</v>
      </c>
      <c r="Y283" s="256">
        <f t="shared" si="194"/>
        <v>10.119999999999999</v>
      </c>
      <c r="Z283" s="256">
        <f t="shared" si="187"/>
        <v>17.5</v>
      </c>
      <c r="AA283" s="256">
        <f t="shared" si="195"/>
        <v>24.95</v>
      </c>
      <c r="AB283" s="256">
        <f t="shared" si="188"/>
        <v>230.68</v>
      </c>
      <c r="AC283" s="189">
        <f t="shared" si="179"/>
        <v>940.71</v>
      </c>
      <c r="AD283" s="259">
        <f t="shared" si="180"/>
        <v>4272.9206999999997</v>
      </c>
    </row>
    <row r="284" spans="1:30" s="160" customFormat="1">
      <c r="A284" s="250">
        <v>279</v>
      </c>
      <c r="B284" s="251" t="s">
        <v>429</v>
      </c>
      <c r="C284" s="252">
        <v>1</v>
      </c>
      <c r="D284" s="253">
        <v>1737.89</v>
      </c>
      <c r="E284" s="254">
        <f t="shared" si="177"/>
        <v>1737.89</v>
      </c>
      <c r="F284" s="255">
        <f t="shared" si="181"/>
        <v>610.6752361111113</v>
      </c>
      <c r="G284" s="256">
        <f t="shared" si="182"/>
        <v>22.206372222222225</v>
      </c>
      <c r="H284" s="256">
        <f t="shared" si="183"/>
        <v>177.6509777777778</v>
      </c>
      <c r="I284" s="256">
        <f t="shared" si="189"/>
        <v>71.060391111111116</v>
      </c>
      <c r="J284" s="256">
        <f t="shared" si="190"/>
        <v>144.82416666666668</v>
      </c>
      <c r="K284" s="256">
        <f t="shared" si="184"/>
        <v>144.82416666666668</v>
      </c>
      <c r="L284" s="256">
        <f t="shared" si="185"/>
        <v>48.274722222222231</v>
      </c>
      <c r="M284" s="256">
        <f t="shared" si="186"/>
        <v>144.82416666666668</v>
      </c>
      <c r="N284" s="255">
        <v>0</v>
      </c>
      <c r="O284" s="256">
        <v>0</v>
      </c>
      <c r="P284" s="256">
        <f t="shared" si="200"/>
        <v>20.275383333333334</v>
      </c>
      <c r="Q284" s="256">
        <f t="shared" si="201"/>
        <v>4.0550766666666664</v>
      </c>
      <c r="R284" s="256">
        <v>0</v>
      </c>
      <c r="S284" s="257">
        <v>0</v>
      </c>
      <c r="T284" s="256">
        <v>0</v>
      </c>
      <c r="U284" s="258">
        <f t="shared" si="178"/>
        <v>1388.6706594444449</v>
      </c>
      <c r="V284" s="256">
        <f t="shared" si="202"/>
        <v>99.26</v>
      </c>
      <c r="W284" s="256">
        <v>529.20000000000005</v>
      </c>
      <c r="X284" s="256">
        <f t="shared" si="199"/>
        <v>29</v>
      </c>
      <c r="Y284" s="256">
        <f t="shared" si="194"/>
        <v>10.119999999999999</v>
      </c>
      <c r="Z284" s="256">
        <f t="shared" si="187"/>
        <v>17.5</v>
      </c>
      <c r="AA284" s="256">
        <f t="shared" si="195"/>
        <v>24.95</v>
      </c>
      <c r="AB284" s="256">
        <f t="shared" si="188"/>
        <v>230.68</v>
      </c>
      <c r="AC284" s="189">
        <f t="shared" si="179"/>
        <v>940.71</v>
      </c>
      <c r="AD284" s="259">
        <f t="shared" si="180"/>
        <v>4067.2706594444453</v>
      </c>
    </row>
    <row r="285" spans="1:30" s="160" customFormat="1">
      <c r="A285" s="250">
        <v>280</v>
      </c>
      <c r="B285" s="251" t="s">
        <v>430</v>
      </c>
      <c r="C285" s="252">
        <v>1</v>
      </c>
      <c r="D285" s="253">
        <v>1465.88</v>
      </c>
      <c r="E285" s="254">
        <f t="shared" si="177"/>
        <v>1465.88</v>
      </c>
      <c r="F285" s="255">
        <f t="shared" si="181"/>
        <v>515.09394444444456</v>
      </c>
      <c r="G285" s="256">
        <f t="shared" si="182"/>
        <v>18.730688888888892</v>
      </c>
      <c r="H285" s="256">
        <f t="shared" si="183"/>
        <v>149.84551111111114</v>
      </c>
      <c r="I285" s="256">
        <f t="shared" si="189"/>
        <v>59.938204444444459</v>
      </c>
      <c r="J285" s="256">
        <f t="shared" si="190"/>
        <v>122.15666666666668</v>
      </c>
      <c r="K285" s="256">
        <f t="shared" si="184"/>
        <v>122.15666666666668</v>
      </c>
      <c r="L285" s="256">
        <f t="shared" si="185"/>
        <v>40.718888888888891</v>
      </c>
      <c r="M285" s="256">
        <f t="shared" si="186"/>
        <v>122.15666666666668</v>
      </c>
      <c r="N285" s="255">
        <v>0</v>
      </c>
      <c r="O285" s="256">
        <v>0</v>
      </c>
      <c r="P285" s="256">
        <f t="shared" si="200"/>
        <v>17.101933333333335</v>
      </c>
      <c r="Q285" s="256">
        <f t="shared" si="201"/>
        <v>3.4203866666666674</v>
      </c>
      <c r="R285" s="256">
        <v>0</v>
      </c>
      <c r="S285" s="257">
        <v>0</v>
      </c>
      <c r="T285" s="256">
        <v>0</v>
      </c>
      <c r="U285" s="258">
        <f t="shared" si="178"/>
        <v>1171.3195577777778</v>
      </c>
      <c r="V285" s="256">
        <f t="shared" si="202"/>
        <v>99.26</v>
      </c>
      <c r="W285" s="256">
        <v>529.20000000000005</v>
      </c>
      <c r="X285" s="256">
        <f t="shared" si="199"/>
        <v>29</v>
      </c>
      <c r="Y285" s="256">
        <f t="shared" si="194"/>
        <v>10.119999999999999</v>
      </c>
      <c r="Z285" s="256">
        <f t="shared" si="187"/>
        <v>17.5</v>
      </c>
      <c r="AA285" s="256">
        <f t="shared" si="195"/>
        <v>24.95</v>
      </c>
      <c r="AB285" s="256">
        <f t="shared" si="188"/>
        <v>230.68</v>
      </c>
      <c r="AC285" s="189">
        <f t="shared" si="179"/>
        <v>940.71</v>
      </c>
      <c r="AD285" s="259">
        <f t="shared" si="180"/>
        <v>3577.909557777778</v>
      </c>
    </row>
    <row r="286" spans="1:30" s="160" customFormat="1">
      <c r="A286" s="250">
        <v>281</v>
      </c>
      <c r="B286" s="251" t="s">
        <v>431</v>
      </c>
      <c r="C286" s="252">
        <v>1</v>
      </c>
      <c r="D286" s="253">
        <v>1537.21</v>
      </c>
      <c r="E286" s="254">
        <f t="shared" si="177"/>
        <v>1537.21</v>
      </c>
      <c r="F286" s="255">
        <f t="shared" si="181"/>
        <v>540.15851388888905</v>
      </c>
      <c r="G286" s="256">
        <f t="shared" si="182"/>
        <v>19.64212777777778</v>
      </c>
      <c r="H286" s="256">
        <f t="shared" si="183"/>
        <v>157.13702222222224</v>
      </c>
      <c r="I286" s="256">
        <f t="shared" si="189"/>
        <v>62.854808888888897</v>
      </c>
      <c r="J286" s="256">
        <f t="shared" si="190"/>
        <v>128.10083333333333</v>
      </c>
      <c r="K286" s="256">
        <f t="shared" si="184"/>
        <v>128.10083333333333</v>
      </c>
      <c r="L286" s="256">
        <f t="shared" si="185"/>
        <v>42.700277777777778</v>
      </c>
      <c r="M286" s="256">
        <f t="shared" si="186"/>
        <v>128.10083333333333</v>
      </c>
      <c r="N286" s="255">
        <v>0</v>
      </c>
      <c r="O286" s="256">
        <v>0</v>
      </c>
      <c r="P286" s="256">
        <f t="shared" si="200"/>
        <v>17.934116666666668</v>
      </c>
      <c r="Q286" s="256">
        <f t="shared" si="201"/>
        <v>3.5868233333333337</v>
      </c>
      <c r="R286" s="256">
        <v>0</v>
      </c>
      <c r="S286" s="257">
        <v>0</v>
      </c>
      <c r="T286" s="256">
        <v>0</v>
      </c>
      <c r="U286" s="258">
        <f t="shared" si="178"/>
        <v>1228.3161905555557</v>
      </c>
      <c r="V286" s="256">
        <f t="shared" si="202"/>
        <v>99.26</v>
      </c>
      <c r="W286" s="256">
        <v>529.20000000000005</v>
      </c>
      <c r="X286" s="256">
        <f t="shared" si="199"/>
        <v>29</v>
      </c>
      <c r="Y286" s="256">
        <f t="shared" si="194"/>
        <v>10.119999999999999</v>
      </c>
      <c r="Z286" s="256">
        <f t="shared" si="187"/>
        <v>17.5</v>
      </c>
      <c r="AA286" s="256">
        <f t="shared" si="195"/>
        <v>24.95</v>
      </c>
      <c r="AB286" s="256">
        <f t="shared" si="188"/>
        <v>230.68</v>
      </c>
      <c r="AC286" s="189">
        <f t="shared" si="179"/>
        <v>940.71</v>
      </c>
      <c r="AD286" s="259">
        <f t="shared" si="180"/>
        <v>3706.2361905555558</v>
      </c>
    </row>
    <row r="287" spans="1:30" s="160" customFormat="1">
      <c r="A287" s="250">
        <v>282</v>
      </c>
      <c r="B287" s="251" t="s">
        <v>435</v>
      </c>
      <c r="C287" s="252">
        <v>2</v>
      </c>
      <c r="D287" s="253">
        <v>2010.96</v>
      </c>
      <c r="E287" s="254">
        <f t="shared" si="177"/>
        <v>4021.92</v>
      </c>
      <c r="F287" s="255">
        <f t="shared" si="181"/>
        <v>1632.0057600000002</v>
      </c>
      <c r="G287" s="256">
        <f t="shared" si="182"/>
        <v>59.345664000000006</v>
      </c>
      <c r="H287" s="256">
        <f t="shared" si="183"/>
        <v>474.76531200000005</v>
      </c>
      <c r="I287" s="256">
        <f t="shared" si="189"/>
        <v>189.90612480000004</v>
      </c>
      <c r="J287" s="256">
        <f t="shared" si="190"/>
        <v>498.27119999999996</v>
      </c>
      <c r="K287" s="256">
        <f t="shared" si="184"/>
        <v>498.27119999999996</v>
      </c>
      <c r="L287" s="256">
        <f t="shared" si="185"/>
        <v>145.23600000000002</v>
      </c>
      <c r="M287" s="256">
        <f t="shared" si="186"/>
        <v>368.67599999999999</v>
      </c>
      <c r="N287" s="255">
        <v>0</v>
      </c>
      <c r="O287" s="256">
        <v>0</v>
      </c>
      <c r="P287" s="256">
        <f>(R287+E287)/210*1.75*1.2</f>
        <v>52.284959999999998</v>
      </c>
      <c r="Q287" s="256">
        <f>P287/6</f>
        <v>8.7141599999999997</v>
      </c>
      <c r="R287" s="256">
        <f>E287*30%</f>
        <v>1206.576</v>
      </c>
      <c r="S287" s="257">
        <f>(D287*10%)*C287</f>
        <v>402.19200000000001</v>
      </c>
      <c r="T287" s="256">
        <f>(E287+R287+N287+O287)/30*2</f>
        <v>348.56639999999999</v>
      </c>
      <c r="U287" s="258">
        <f t="shared" si="178"/>
        <v>5884.8107808000004</v>
      </c>
      <c r="V287" s="256">
        <f>C287*67.68</f>
        <v>135.36000000000001</v>
      </c>
      <c r="W287" s="256">
        <f t="shared" ref="W287:W293" si="203">C287*529.2</f>
        <v>1058.4000000000001</v>
      </c>
      <c r="X287" s="256">
        <f t="shared" si="199"/>
        <v>58</v>
      </c>
      <c r="Y287" s="256">
        <f t="shared" si="194"/>
        <v>20.239999999999998</v>
      </c>
      <c r="Z287" s="256">
        <f t="shared" si="187"/>
        <v>35</v>
      </c>
      <c r="AA287" s="256">
        <f t="shared" si="195"/>
        <v>49.9</v>
      </c>
      <c r="AB287" s="256">
        <f t="shared" si="188"/>
        <v>461.36</v>
      </c>
      <c r="AC287" s="189">
        <f t="shared" si="179"/>
        <v>1818.2600000000002</v>
      </c>
      <c r="AD287" s="259">
        <f t="shared" si="180"/>
        <v>11724.990780800001</v>
      </c>
    </row>
    <row r="288" spans="1:30" s="160" customFormat="1">
      <c r="A288" s="250">
        <v>283</v>
      </c>
      <c r="B288" s="251" t="s">
        <v>432</v>
      </c>
      <c r="C288" s="252">
        <v>12</v>
      </c>
      <c r="D288" s="253">
        <v>2010.96</v>
      </c>
      <c r="E288" s="254">
        <f t="shared" si="177"/>
        <v>24131.52</v>
      </c>
      <c r="F288" s="255">
        <f t="shared" si="181"/>
        <v>8962.5135600000012</v>
      </c>
      <c r="G288" s="256">
        <f t="shared" si="182"/>
        <v>325.90958400000005</v>
      </c>
      <c r="H288" s="256">
        <f t="shared" si="183"/>
        <v>2607.2766720000004</v>
      </c>
      <c r="I288" s="256">
        <f t="shared" si="189"/>
        <v>1042.9106688000002</v>
      </c>
      <c r="J288" s="256">
        <f t="shared" si="190"/>
        <v>2788.5311999999999</v>
      </c>
      <c r="K288" s="256">
        <f t="shared" si="184"/>
        <v>2788.5311999999999</v>
      </c>
      <c r="L288" s="256">
        <f t="shared" si="185"/>
        <v>871.41600000000005</v>
      </c>
      <c r="M288" s="256">
        <f t="shared" si="186"/>
        <v>2010.96</v>
      </c>
      <c r="N288" s="255">
        <v>0</v>
      </c>
      <c r="O288" s="256">
        <v>0</v>
      </c>
      <c r="P288" s="256">
        <f>(R288+E288)/210*1.75*1.2</f>
        <v>313.70976000000002</v>
      </c>
      <c r="Q288" s="256">
        <f>P288/6</f>
        <v>52.284960000000005</v>
      </c>
      <c r="R288" s="256">
        <f>E288*30%</f>
        <v>7239.4560000000001</v>
      </c>
      <c r="S288" s="257"/>
      <c r="T288" s="256">
        <f t="shared" ref="T288:T290" si="204">(E288+R288+N288+O288)/30*2</f>
        <v>2091.3984</v>
      </c>
      <c r="U288" s="258">
        <f t="shared" si="178"/>
        <v>31094.898004800001</v>
      </c>
      <c r="V288" s="256">
        <f t="shared" ref="V288:V290" si="205">C288*67.68</f>
        <v>812.16000000000008</v>
      </c>
      <c r="W288" s="256">
        <f t="shared" si="203"/>
        <v>6350.4000000000005</v>
      </c>
      <c r="X288" s="256">
        <f t="shared" si="199"/>
        <v>348</v>
      </c>
      <c r="Y288" s="256">
        <f t="shared" si="194"/>
        <v>121.44</v>
      </c>
      <c r="Z288" s="256">
        <f t="shared" si="187"/>
        <v>210</v>
      </c>
      <c r="AA288" s="256">
        <f t="shared" si="195"/>
        <v>299.39999999999998</v>
      </c>
      <c r="AB288" s="256">
        <f t="shared" si="188"/>
        <v>2768.16</v>
      </c>
      <c r="AC288" s="189">
        <f t="shared" si="179"/>
        <v>10909.56</v>
      </c>
      <c r="AD288" s="259">
        <f t="shared" si="180"/>
        <v>66135.978004799996</v>
      </c>
    </row>
    <row r="289" spans="1:30" s="160" customFormat="1">
      <c r="A289" s="250">
        <v>284</v>
      </c>
      <c r="B289" s="251" t="s">
        <v>433</v>
      </c>
      <c r="C289" s="252">
        <v>2</v>
      </c>
      <c r="D289" s="253">
        <v>2010.96</v>
      </c>
      <c r="E289" s="254">
        <f t="shared" si="177"/>
        <v>4021.92</v>
      </c>
      <c r="F289" s="255">
        <f t="shared" si="181"/>
        <v>1677.4484906666671</v>
      </c>
      <c r="G289" s="256">
        <f t="shared" si="182"/>
        <v>60.998126933333346</v>
      </c>
      <c r="H289" s="256">
        <f t="shared" si="183"/>
        <v>487.98501546666677</v>
      </c>
      <c r="I289" s="256">
        <f t="shared" si="189"/>
        <v>195.19400618666671</v>
      </c>
      <c r="J289" s="256">
        <f t="shared" si="190"/>
        <v>580.89434666666671</v>
      </c>
      <c r="K289" s="256">
        <f t="shared" si="184"/>
        <v>580.89434666666671</v>
      </c>
      <c r="L289" s="256">
        <f t="shared" si="185"/>
        <v>145.23600000000002</v>
      </c>
      <c r="M289" s="256">
        <f t="shared" si="186"/>
        <v>368.67599999999999</v>
      </c>
      <c r="N289" s="255">
        <f>(R289+E289)/210*20%*160</f>
        <v>796.72320000000013</v>
      </c>
      <c r="O289" s="256">
        <f>N289/6</f>
        <v>132.78720000000001</v>
      </c>
      <c r="P289" s="256">
        <f>(R289+E289)/210*1.75*1.2</f>
        <v>52.284959999999998</v>
      </c>
      <c r="Q289" s="256">
        <f>P289/6</f>
        <v>8.7141599999999997</v>
      </c>
      <c r="R289" s="256">
        <f>E289*30%</f>
        <v>1206.576</v>
      </c>
      <c r="S289" s="257">
        <f t="shared" ref="S289" si="206">(D289*10%)*C289</f>
        <v>402.19200000000001</v>
      </c>
      <c r="T289" s="256">
        <f t="shared" si="204"/>
        <v>410.53376000000003</v>
      </c>
      <c r="U289" s="258">
        <f t="shared" si="178"/>
        <v>7107.1376125866691</v>
      </c>
      <c r="V289" s="256">
        <f t="shared" si="205"/>
        <v>135.36000000000001</v>
      </c>
      <c r="W289" s="256">
        <f t="shared" si="203"/>
        <v>1058.4000000000001</v>
      </c>
      <c r="X289" s="256">
        <f t="shared" si="199"/>
        <v>58</v>
      </c>
      <c r="Y289" s="256">
        <f t="shared" si="194"/>
        <v>20.239999999999998</v>
      </c>
      <c r="Z289" s="256">
        <f t="shared" si="187"/>
        <v>35</v>
      </c>
      <c r="AA289" s="256">
        <f t="shared" si="195"/>
        <v>49.9</v>
      </c>
      <c r="AB289" s="256">
        <f t="shared" si="188"/>
        <v>461.36</v>
      </c>
      <c r="AC289" s="189">
        <f t="shared" si="179"/>
        <v>1818.2600000000002</v>
      </c>
      <c r="AD289" s="259">
        <f t="shared" si="180"/>
        <v>12947.317612586668</v>
      </c>
    </row>
    <row r="290" spans="1:30" s="160" customFormat="1">
      <c r="A290" s="250">
        <v>285</v>
      </c>
      <c r="B290" s="251" t="s">
        <v>434</v>
      </c>
      <c r="C290" s="252">
        <v>6</v>
      </c>
      <c r="D290" s="253">
        <v>2010.96</v>
      </c>
      <c r="E290" s="254">
        <f t="shared" si="177"/>
        <v>12065.76</v>
      </c>
      <c r="F290" s="255">
        <f t="shared" si="181"/>
        <v>4617.5849719999997</v>
      </c>
      <c r="G290" s="256">
        <f t="shared" si="182"/>
        <v>167.91218079999999</v>
      </c>
      <c r="H290" s="256">
        <f t="shared" si="183"/>
        <v>1343.2974463999999</v>
      </c>
      <c r="I290" s="256">
        <f t="shared" si="189"/>
        <v>537.31897856000001</v>
      </c>
      <c r="J290" s="256">
        <f t="shared" si="190"/>
        <v>1642.1350399999999</v>
      </c>
      <c r="K290" s="256">
        <f t="shared" si="184"/>
        <v>1642.1350399999999</v>
      </c>
      <c r="L290" s="256">
        <f t="shared" si="185"/>
        <v>435.70800000000003</v>
      </c>
      <c r="M290" s="256">
        <f t="shared" si="186"/>
        <v>1005.48</v>
      </c>
      <c r="N290" s="255">
        <f>(R290+E290)/210*20%*160</f>
        <v>2390.1696000000002</v>
      </c>
      <c r="O290" s="256">
        <f>N290/6</f>
        <v>398.36160000000001</v>
      </c>
      <c r="P290" s="256">
        <f>(R290+E290)/210*1.75*1.2</f>
        <v>156.85488000000001</v>
      </c>
      <c r="Q290" s="256">
        <f>P290/6</f>
        <v>26.142480000000003</v>
      </c>
      <c r="R290" s="256">
        <f>E290*30%</f>
        <v>3619.7280000000001</v>
      </c>
      <c r="S290" s="257">
        <v>0</v>
      </c>
      <c r="T290" s="256">
        <f t="shared" si="204"/>
        <v>1231.6012800000001</v>
      </c>
      <c r="U290" s="258">
        <f t="shared" si="178"/>
        <v>19214.429497759997</v>
      </c>
      <c r="V290" s="256">
        <f t="shared" si="205"/>
        <v>406.08000000000004</v>
      </c>
      <c r="W290" s="256">
        <f t="shared" si="203"/>
        <v>3175.2000000000003</v>
      </c>
      <c r="X290" s="256">
        <f t="shared" si="199"/>
        <v>174</v>
      </c>
      <c r="Y290" s="256">
        <f t="shared" si="194"/>
        <v>60.72</v>
      </c>
      <c r="Z290" s="256">
        <f t="shared" si="187"/>
        <v>105</v>
      </c>
      <c r="AA290" s="256">
        <f t="shared" si="195"/>
        <v>149.69999999999999</v>
      </c>
      <c r="AB290" s="256">
        <f t="shared" si="188"/>
        <v>1384.08</v>
      </c>
      <c r="AC290" s="189">
        <f t="shared" si="179"/>
        <v>5454.78</v>
      </c>
      <c r="AD290" s="259">
        <f t="shared" si="180"/>
        <v>36734.969497759994</v>
      </c>
    </row>
    <row r="291" spans="1:30" s="160" customFormat="1">
      <c r="A291" s="250">
        <v>286</v>
      </c>
      <c r="B291" s="251" t="s">
        <v>676</v>
      </c>
      <c r="C291" s="252">
        <v>1</v>
      </c>
      <c r="D291" s="253">
        <v>7620.48</v>
      </c>
      <c r="E291" s="254">
        <f t="shared" si="177"/>
        <v>7620.48</v>
      </c>
      <c r="F291" s="255">
        <f t="shared" si="181"/>
        <v>3041.4395000000004</v>
      </c>
      <c r="G291" s="256">
        <f t="shared" si="182"/>
        <v>110.59780000000001</v>
      </c>
      <c r="H291" s="256">
        <f t="shared" si="183"/>
        <v>884.78240000000005</v>
      </c>
      <c r="I291" s="256">
        <f t="shared" si="189"/>
        <v>353.91296000000006</v>
      </c>
      <c r="J291" s="256">
        <f t="shared" si="190"/>
        <v>723.20666666666659</v>
      </c>
      <c r="K291" s="256">
        <f t="shared" si="184"/>
        <v>723.20666666666659</v>
      </c>
      <c r="L291" s="256">
        <f t="shared" si="185"/>
        <v>211.67999999999998</v>
      </c>
      <c r="M291" s="256">
        <f t="shared" si="186"/>
        <v>723.20666666666659</v>
      </c>
      <c r="N291" s="255">
        <v>0</v>
      </c>
      <c r="O291" s="256">
        <v>0</v>
      </c>
      <c r="P291" s="256">
        <v>0</v>
      </c>
      <c r="Q291" s="256">
        <v>0</v>
      </c>
      <c r="R291" s="256">
        <v>0</v>
      </c>
      <c r="S291" s="257">
        <v>1058</v>
      </c>
      <c r="T291" s="256">
        <v>0</v>
      </c>
      <c r="U291" s="258">
        <f t="shared" si="178"/>
        <v>7830.0326600000017</v>
      </c>
      <c r="V291" s="256">
        <v>0</v>
      </c>
      <c r="W291" s="256">
        <f t="shared" si="203"/>
        <v>529.20000000000005</v>
      </c>
      <c r="X291" s="256">
        <f t="shared" si="199"/>
        <v>29</v>
      </c>
      <c r="Y291" s="256">
        <f t="shared" si="194"/>
        <v>10.119999999999999</v>
      </c>
      <c r="Z291" s="256">
        <f t="shared" si="187"/>
        <v>17.5</v>
      </c>
      <c r="AA291" s="256">
        <f t="shared" si="195"/>
        <v>24.95</v>
      </c>
      <c r="AB291" s="256">
        <f t="shared" si="188"/>
        <v>230.68</v>
      </c>
      <c r="AC291" s="189">
        <f t="shared" si="179"/>
        <v>841.45</v>
      </c>
      <c r="AD291" s="259">
        <f t="shared" si="180"/>
        <v>16291.962660000001</v>
      </c>
    </row>
    <row r="292" spans="1:30" s="160" customFormat="1">
      <c r="A292" s="250">
        <v>287</v>
      </c>
      <c r="B292" s="251" t="s">
        <v>675</v>
      </c>
      <c r="C292" s="252">
        <v>2</v>
      </c>
      <c r="D292" s="253">
        <v>6667.92</v>
      </c>
      <c r="E292" s="254">
        <f t="shared" si="177"/>
        <v>13335.84</v>
      </c>
      <c r="F292" s="255">
        <f t="shared" si="181"/>
        <v>5049.7535000000007</v>
      </c>
      <c r="G292" s="256">
        <f t="shared" si="182"/>
        <v>183.62740000000002</v>
      </c>
      <c r="H292" s="256">
        <f t="shared" si="183"/>
        <v>1469.0192000000002</v>
      </c>
      <c r="I292" s="256">
        <f t="shared" si="189"/>
        <v>587.60768000000007</v>
      </c>
      <c r="J292" s="256">
        <f t="shared" si="190"/>
        <v>1199.4866666666667</v>
      </c>
      <c r="K292" s="256">
        <f t="shared" si="184"/>
        <v>1199.4866666666667</v>
      </c>
      <c r="L292" s="256">
        <f t="shared" si="185"/>
        <v>370.44</v>
      </c>
      <c r="M292" s="256">
        <f t="shared" si="186"/>
        <v>1199.4866666666667</v>
      </c>
      <c r="N292" s="255">
        <v>0</v>
      </c>
      <c r="O292" s="256">
        <v>0</v>
      </c>
      <c r="P292" s="256">
        <v>0</v>
      </c>
      <c r="Q292" s="256">
        <v>0</v>
      </c>
      <c r="R292" s="256">
        <v>0</v>
      </c>
      <c r="S292" s="257">
        <v>1058</v>
      </c>
      <c r="T292" s="256">
        <v>0</v>
      </c>
      <c r="U292" s="258">
        <f t="shared" si="178"/>
        <v>12316.907780000001</v>
      </c>
      <c r="V292" s="256">
        <v>0</v>
      </c>
      <c r="W292" s="256">
        <f t="shared" si="203"/>
        <v>1058.4000000000001</v>
      </c>
      <c r="X292" s="256">
        <f t="shared" si="199"/>
        <v>58</v>
      </c>
      <c r="Y292" s="256">
        <f t="shared" si="194"/>
        <v>20.239999999999998</v>
      </c>
      <c r="Z292" s="256">
        <f t="shared" si="187"/>
        <v>35</v>
      </c>
      <c r="AA292" s="256">
        <f t="shared" si="195"/>
        <v>49.9</v>
      </c>
      <c r="AB292" s="256">
        <f t="shared" si="188"/>
        <v>461.36</v>
      </c>
      <c r="AC292" s="189">
        <f t="shared" si="179"/>
        <v>1682.9</v>
      </c>
      <c r="AD292" s="259">
        <f t="shared" si="180"/>
        <v>27335.647780000003</v>
      </c>
    </row>
    <row r="293" spans="1:30" s="160" customFormat="1">
      <c r="A293" s="250">
        <v>288</v>
      </c>
      <c r="B293" s="251" t="s">
        <v>491</v>
      </c>
      <c r="C293" s="252">
        <v>5</v>
      </c>
      <c r="D293" s="253">
        <v>2963.52</v>
      </c>
      <c r="E293" s="254">
        <f t="shared" si="177"/>
        <v>14817.6</v>
      </c>
      <c r="F293" s="255">
        <f t="shared" si="181"/>
        <v>5206.74</v>
      </c>
      <c r="G293" s="256">
        <f t="shared" si="182"/>
        <v>189.33599999999998</v>
      </c>
      <c r="H293" s="256">
        <f t="shared" si="183"/>
        <v>1514.6879999999999</v>
      </c>
      <c r="I293" s="256">
        <f t="shared" si="189"/>
        <v>605.87519999999995</v>
      </c>
      <c r="J293" s="256">
        <f t="shared" si="190"/>
        <v>1234.8</v>
      </c>
      <c r="K293" s="256">
        <f t="shared" si="184"/>
        <v>1234.8</v>
      </c>
      <c r="L293" s="256">
        <f t="shared" si="185"/>
        <v>411.59999999999997</v>
      </c>
      <c r="M293" s="256">
        <f t="shared" si="186"/>
        <v>1234.8</v>
      </c>
      <c r="N293" s="255">
        <v>0</v>
      </c>
      <c r="O293" s="256">
        <v>0</v>
      </c>
      <c r="P293" s="256">
        <v>0</v>
      </c>
      <c r="Q293" s="256">
        <v>0</v>
      </c>
      <c r="R293" s="256">
        <v>0</v>
      </c>
      <c r="S293" s="257">
        <v>0</v>
      </c>
      <c r="T293" s="256">
        <v>0</v>
      </c>
      <c r="U293" s="258">
        <f t="shared" si="178"/>
        <v>11632.639199999998</v>
      </c>
      <c r="V293" s="256">
        <f>C293*93.06</f>
        <v>465.3</v>
      </c>
      <c r="W293" s="256">
        <f t="shared" si="203"/>
        <v>2646</v>
      </c>
      <c r="X293" s="256">
        <f t="shared" si="199"/>
        <v>145</v>
      </c>
      <c r="Y293" s="256">
        <f t="shared" si="194"/>
        <v>50.599999999999994</v>
      </c>
      <c r="Z293" s="256">
        <f t="shared" si="187"/>
        <v>87.5</v>
      </c>
      <c r="AA293" s="256">
        <f t="shared" si="195"/>
        <v>124.75</v>
      </c>
      <c r="AB293" s="256">
        <f t="shared" si="188"/>
        <v>1153.4000000000001</v>
      </c>
      <c r="AC293" s="189">
        <f t="shared" si="179"/>
        <v>4672.55</v>
      </c>
      <c r="AD293" s="259">
        <f t="shared" si="180"/>
        <v>31122.789199999996</v>
      </c>
    </row>
    <row r="294" spans="1:30" s="160" customFormat="1">
      <c r="A294" s="250">
        <v>289</v>
      </c>
      <c r="B294" s="251" t="s">
        <v>460</v>
      </c>
      <c r="C294" s="252">
        <v>1</v>
      </c>
      <c r="D294" s="253">
        <v>6879.6</v>
      </c>
      <c r="E294" s="254">
        <f t="shared" si="177"/>
        <v>6879.6</v>
      </c>
      <c r="F294" s="255">
        <f t="shared" si="181"/>
        <v>2417.4150000000004</v>
      </c>
      <c r="G294" s="256">
        <f t="shared" ref="G294:G325" si="207">(E294+J294+L294+K294+M294)*1%</f>
        <v>87.906000000000006</v>
      </c>
      <c r="H294" s="256">
        <f t="shared" ref="H294:H325" si="208">(E294+J294+L294+K294+M294)*8%</f>
        <v>703.24800000000005</v>
      </c>
      <c r="I294" s="256">
        <f t="shared" si="189"/>
        <v>281.29920000000004</v>
      </c>
      <c r="J294" s="256">
        <f t="shared" si="190"/>
        <v>573.30000000000007</v>
      </c>
      <c r="K294" s="256">
        <f t="shared" si="184"/>
        <v>573.30000000000007</v>
      </c>
      <c r="L294" s="256">
        <f t="shared" si="185"/>
        <v>191.10000000000002</v>
      </c>
      <c r="M294" s="256">
        <f t="shared" ref="M294:M325" si="209">E294/12</f>
        <v>573.30000000000007</v>
      </c>
      <c r="N294" s="255">
        <v>0</v>
      </c>
      <c r="O294" s="256">
        <v>0</v>
      </c>
      <c r="P294" s="256">
        <v>0</v>
      </c>
      <c r="Q294" s="256">
        <v>0</v>
      </c>
      <c r="R294" s="256">
        <v>0</v>
      </c>
      <c r="S294" s="257">
        <v>0</v>
      </c>
      <c r="T294" s="256">
        <v>0</v>
      </c>
      <c r="U294" s="258">
        <f t="shared" si="178"/>
        <v>5400.8682000000008</v>
      </c>
      <c r="V294" s="256">
        <v>0</v>
      </c>
      <c r="W294" s="256">
        <v>529.20000000000005</v>
      </c>
      <c r="X294" s="256">
        <f t="shared" si="199"/>
        <v>29</v>
      </c>
      <c r="Y294" s="256">
        <f t="shared" si="194"/>
        <v>10.119999999999999</v>
      </c>
      <c r="Z294" s="256">
        <f t="shared" si="187"/>
        <v>17.5</v>
      </c>
      <c r="AA294" s="256">
        <f t="shared" si="195"/>
        <v>24.95</v>
      </c>
      <c r="AB294" s="256">
        <f t="shared" si="188"/>
        <v>230.68</v>
      </c>
      <c r="AC294" s="189">
        <f t="shared" si="179"/>
        <v>841.45</v>
      </c>
      <c r="AD294" s="259">
        <f t="shared" si="180"/>
        <v>13121.918200000002</v>
      </c>
    </row>
    <row r="295" spans="1:30" s="160" customFormat="1">
      <c r="A295" s="250">
        <v>290</v>
      </c>
      <c r="B295" s="251" t="s">
        <v>422</v>
      </c>
      <c r="C295" s="252">
        <v>1</v>
      </c>
      <c r="D295" s="253">
        <v>3993.98</v>
      </c>
      <c r="E295" s="254">
        <f t="shared" si="177"/>
        <v>3993.98</v>
      </c>
      <c r="F295" s="255">
        <f t="shared" si="181"/>
        <v>1467.5102902777778</v>
      </c>
      <c r="G295" s="256">
        <f t="shared" si="207"/>
        <v>53.364010555555552</v>
      </c>
      <c r="H295" s="256">
        <f t="shared" si="208"/>
        <v>426.91208444444442</v>
      </c>
      <c r="I295" s="256">
        <f t="shared" si="189"/>
        <v>170.76483377777777</v>
      </c>
      <c r="J295" s="256">
        <f t="shared" si="190"/>
        <v>432.68116666666668</v>
      </c>
      <c r="K295" s="256">
        <f t="shared" si="184"/>
        <v>432.68116666666668</v>
      </c>
      <c r="L295" s="256">
        <f t="shared" si="185"/>
        <v>144.22705555555555</v>
      </c>
      <c r="M295" s="256">
        <f t="shared" si="209"/>
        <v>332.83166666666665</v>
      </c>
      <c r="N295" s="255">
        <v>0</v>
      </c>
      <c r="O295" s="256">
        <v>0</v>
      </c>
      <c r="P295" s="256">
        <v>0</v>
      </c>
      <c r="Q295" s="256">
        <v>0</v>
      </c>
      <c r="R295" s="256">
        <f>E295*30%</f>
        <v>1198.194</v>
      </c>
      <c r="S295" s="257">
        <v>0</v>
      </c>
      <c r="T295" s="256">
        <v>0</v>
      </c>
      <c r="U295" s="258">
        <f t="shared" si="178"/>
        <v>4659.1662746111106</v>
      </c>
      <c r="V295" s="256">
        <v>0</v>
      </c>
      <c r="W295" s="256">
        <v>529.20000000000005</v>
      </c>
      <c r="X295" s="256">
        <f t="shared" si="199"/>
        <v>29</v>
      </c>
      <c r="Y295" s="256">
        <f t="shared" si="194"/>
        <v>10.119999999999999</v>
      </c>
      <c r="Z295" s="256">
        <f t="shared" si="187"/>
        <v>17.5</v>
      </c>
      <c r="AA295" s="256">
        <f t="shared" si="195"/>
        <v>24.95</v>
      </c>
      <c r="AB295" s="256">
        <f t="shared" si="188"/>
        <v>230.68</v>
      </c>
      <c r="AC295" s="189">
        <f t="shared" si="179"/>
        <v>841.45</v>
      </c>
      <c r="AD295" s="259">
        <f t="shared" si="180"/>
        <v>9494.5962746111109</v>
      </c>
    </row>
    <row r="296" spans="1:30" s="160" customFormat="1">
      <c r="A296" s="250">
        <v>291</v>
      </c>
      <c r="B296" s="251" t="s">
        <v>423</v>
      </c>
      <c r="C296" s="252">
        <v>1</v>
      </c>
      <c r="D296" s="253">
        <v>2751.84</v>
      </c>
      <c r="E296" s="254">
        <f t="shared" si="177"/>
        <v>2751.84</v>
      </c>
      <c r="F296" s="255">
        <f t="shared" si="181"/>
        <v>966.96600000000024</v>
      </c>
      <c r="G296" s="256">
        <f t="shared" si="207"/>
        <v>35.162400000000005</v>
      </c>
      <c r="H296" s="256">
        <f t="shared" si="208"/>
        <v>281.29920000000004</v>
      </c>
      <c r="I296" s="256">
        <f t="shared" si="189"/>
        <v>112.51968000000002</v>
      </c>
      <c r="J296" s="256">
        <f t="shared" si="190"/>
        <v>229.32000000000002</v>
      </c>
      <c r="K296" s="256">
        <f t="shared" si="184"/>
        <v>229.32000000000002</v>
      </c>
      <c r="L296" s="256">
        <f t="shared" si="185"/>
        <v>76.440000000000012</v>
      </c>
      <c r="M296" s="256">
        <f t="shared" si="209"/>
        <v>229.32000000000002</v>
      </c>
      <c r="N296" s="255">
        <v>0</v>
      </c>
      <c r="O296" s="256">
        <v>0</v>
      </c>
      <c r="P296" s="256">
        <f>E296/150*1.75</f>
        <v>32.104800000000004</v>
      </c>
      <c r="Q296" s="256">
        <f>P296/25*5</f>
        <v>6.4209600000000009</v>
      </c>
      <c r="R296" s="256">
        <v>0</v>
      </c>
      <c r="S296" s="257">
        <v>0</v>
      </c>
      <c r="T296" s="256">
        <v>0</v>
      </c>
      <c r="U296" s="258">
        <f t="shared" si="178"/>
        <v>2198.8730400000004</v>
      </c>
      <c r="V296" s="256">
        <f>C296*99.26</f>
        <v>99.26</v>
      </c>
      <c r="W296" s="256">
        <v>529.20000000000005</v>
      </c>
      <c r="X296" s="256">
        <f t="shared" si="199"/>
        <v>29</v>
      </c>
      <c r="Y296" s="256">
        <f t="shared" si="194"/>
        <v>10.119999999999999</v>
      </c>
      <c r="Z296" s="256">
        <f t="shared" si="187"/>
        <v>17.5</v>
      </c>
      <c r="AA296" s="256">
        <f t="shared" si="195"/>
        <v>24.95</v>
      </c>
      <c r="AB296" s="256">
        <f t="shared" si="188"/>
        <v>230.68</v>
      </c>
      <c r="AC296" s="189">
        <f t="shared" si="179"/>
        <v>940.71</v>
      </c>
      <c r="AD296" s="259">
        <f t="shared" si="180"/>
        <v>5891.4230400000006</v>
      </c>
    </row>
    <row r="297" spans="1:30" s="160" customFormat="1">
      <c r="A297" s="250">
        <v>292</v>
      </c>
      <c r="B297" s="251" t="s">
        <v>424</v>
      </c>
      <c r="C297" s="252">
        <v>1</v>
      </c>
      <c r="D297" s="253">
        <v>2751.84</v>
      </c>
      <c r="E297" s="254">
        <f t="shared" si="177"/>
        <v>2751.84</v>
      </c>
      <c r="F297" s="255">
        <f t="shared" si="181"/>
        <v>966.96600000000024</v>
      </c>
      <c r="G297" s="256">
        <f t="shared" si="207"/>
        <v>35.162400000000005</v>
      </c>
      <c r="H297" s="256">
        <f t="shared" si="208"/>
        <v>281.29920000000004</v>
      </c>
      <c r="I297" s="256">
        <f t="shared" si="189"/>
        <v>112.51968000000002</v>
      </c>
      <c r="J297" s="256">
        <f t="shared" si="190"/>
        <v>229.32000000000002</v>
      </c>
      <c r="K297" s="256">
        <f t="shared" si="184"/>
        <v>229.32000000000002</v>
      </c>
      <c r="L297" s="256">
        <f t="shared" si="185"/>
        <v>76.440000000000012</v>
      </c>
      <c r="M297" s="256">
        <f t="shared" si="209"/>
        <v>229.32000000000002</v>
      </c>
      <c r="N297" s="255">
        <v>0</v>
      </c>
      <c r="O297" s="256">
        <v>0</v>
      </c>
      <c r="P297" s="256">
        <f t="shared" ref="P297:P304" si="210">E297/150*1.75</f>
        <v>32.104800000000004</v>
      </c>
      <c r="Q297" s="256">
        <f t="shared" ref="Q297:Q304" si="211">P297/25*5</f>
        <v>6.4209600000000009</v>
      </c>
      <c r="R297" s="256">
        <v>0</v>
      </c>
      <c r="S297" s="257">
        <v>0</v>
      </c>
      <c r="T297" s="256">
        <v>0</v>
      </c>
      <c r="U297" s="258">
        <f t="shared" si="178"/>
        <v>2198.8730400000004</v>
      </c>
      <c r="V297" s="256">
        <f t="shared" ref="V297:V304" si="212">C297*99.26</f>
        <v>99.26</v>
      </c>
      <c r="W297" s="256">
        <v>529.20000000000005</v>
      </c>
      <c r="X297" s="256">
        <f t="shared" si="199"/>
        <v>29</v>
      </c>
      <c r="Y297" s="256">
        <f t="shared" si="194"/>
        <v>10.119999999999999</v>
      </c>
      <c r="Z297" s="256">
        <f t="shared" si="187"/>
        <v>17.5</v>
      </c>
      <c r="AA297" s="256">
        <f t="shared" si="195"/>
        <v>24.95</v>
      </c>
      <c r="AB297" s="256">
        <f t="shared" si="188"/>
        <v>230.68</v>
      </c>
      <c r="AC297" s="189">
        <f t="shared" si="179"/>
        <v>940.71</v>
      </c>
      <c r="AD297" s="259">
        <f t="shared" si="180"/>
        <v>5891.4230400000006</v>
      </c>
    </row>
    <row r="298" spans="1:30" s="160" customFormat="1">
      <c r="A298" s="250">
        <v>293</v>
      </c>
      <c r="B298" s="251" t="s">
        <v>425</v>
      </c>
      <c r="C298" s="252">
        <v>1</v>
      </c>
      <c r="D298" s="253">
        <v>2751.84</v>
      </c>
      <c r="E298" s="254">
        <f t="shared" si="177"/>
        <v>2751.84</v>
      </c>
      <c r="F298" s="255">
        <f t="shared" si="181"/>
        <v>966.96600000000024</v>
      </c>
      <c r="G298" s="256">
        <f t="shared" si="207"/>
        <v>35.162400000000005</v>
      </c>
      <c r="H298" s="256">
        <f t="shared" si="208"/>
        <v>281.29920000000004</v>
      </c>
      <c r="I298" s="256">
        <f t="shared" si="189"/>
        <v>112.51968000000002</v>
      </c>
      <c r="J298" s="256">
        <f t="shared" si="190"/>
        <v>229.32000000000002</v>
      </c>
      <c r="K298" s="256">
        <f t="shared" si="184"/>
        <v>229.32000000000002</v>
      </c>
      <c r="L298" s="256">
        <f t="shared" si="185"/>
        <v>76.440000000000012</v>
      </c>
      <c r="M298" s="256">
        <f t="shared" si="209"/>
        <v>229.32000000000002</v>
      </c>
      <c r="N298" s="255">
        <v>0</v>
      </c>
      <c r="O298" s="256">
        <v>0</v>
      </c>
      <c r="P298" s="256">
        <f t="shared" si="210"/>
        <v>32.104800000000004</v>
      </c>
      <c r="Q298" s="256">
        <f t="shared" si="211"/>
        <v>6.4209600000000009</v>
      </c>
      <c r="R298" s="256">
        <v>0</v>
      </c>
      <c r="S298" s="257">
        <v>0</v>
      </c>
      <c r="T298" s="256">
        <v>0</v>
      </c>
      <c r="U298" s="258">
        <f t="shared" si="178"/>
        <v>2198.8730400000004</v>
      </c>
      <c r="V298" s="256">
        <f t="shared" si="212"/>
        <v>99.26</v>
      </c>
      <c r="W298" s="256">
        <v>529.20000000000005</v>
      </c>
      <c r="X298" s="256">
        <f t="shared" si="199"/>
        <v>29</v>
      </c>
      <c r="Y298" s="256">
        <f t="shared" si="194"/>
        <v>10.119999999999999</v>
      </c>
      <c r="Z298" s="256">
        <f t="shared" si="187"/>
        <v>17.5</v>
      </c>
      <c r="AA298" s="256">
        <f t="shared" si="195"/>
        <v>24.95</v>
      </c>
      <c r="AB298" s="256">
        <f t="shared" si="188"/>
        <v>230.68</v>
      </c>
      <c r="AC298" s="189">
        <f t="shared" si="179"/>
        <v>940.71</v>
      </c>
      <c r="AD298" s="259">
        <f t="shared" si="180"/>
        <v>5891.4230400000006</v>
      </c>
    </row>
    <row r="299" spans="1:30" s="160" customFormat="1">
      <c r="A299" s="250">
        <v>294</v>
      </c>
      <c r="B299" s="251" t="s">
        <v>426</v>
      </c>
      <c r="C299" s="252">
        <v>1</v>
      </c>
      <c r="D299" s="253">
        <v>2751.84</v>
      </c>
      <c r="E299" s="254">
        <f t="shared" si="177"/>
        <v>2751.84</v>
      </c>
      <c r="F299" s="255">
        <f t="shared" si="181"/>
        <v>966.96600000000024</v>
      </c>
      <c r="G299" s="256">
        <f t="shared" si="207"/>
        <v>35.162400000000005</v>
      </c>
      <c r="H299" s="256">
        <f t="shared" si="208"/>
        <v>281.29920000000004</v>
      </c>
      <c r="I299" s="256">
        <f t="shared" si="189"/>
        <v>112.51968000000002</v>
      </c>
      <c r="J299" s="256">
        <f t="shared" si="190"/>
        <v>229.32000000000002</v>
      </c>
      <c r="K299" s="256">
        <f t="shared" si="184"/>
        <v>229.32000000000002</v>
      </c>
      <c r="L299" s="256">
        <f t="shared" si="185"/>
        <v>76.440000000000012</v>
      </c>
      <c r="M299" s="256">
        <f t="shared" si="209"/>
        <v>229.32000000000002</v>
      </c>
      <c r="N299" s="255">
        <v>0</v>
      </c>
      <c r="O299" s="256">
        <v>0</v>
      </c>
      <c r="P299" s="256">
        <f t="shared" si="210"/>
        <v>32.104800000000004</v>
      </c>
      <c r="Q299" s="256">
        <f t="shared" si="211"/>
        <v>6.4209600000000009</v>
      </c>
      <c r="R299" s="256">
        <v>0</v>
      </c>
      <c r="S299" s="257">
        <v>0</v>
      </c>
      <c r="T299" s="256">
        <v>0</v>
      </c>
      <c r="U299" s="258">
        <f t="shared" si="178"/>
        <v>2198.8730400000004</v>
      </c>
      <c r="V299" s="256">
        <f t="shared" si="212"/>
        <v>99.26</v>
      </c>
      <c r="W299" s="256">
        <v>529.20000000000005</v>
      </c>
      <c r="X299" s="256">
        <f t="shared" si="199"/>
        <v>29</v>
      </c>
      <c r="Y299" s="256">
        <f t="shared" si="194"/>
        <v>10.119999999999999</v>
      </c>
      <c r="Z299" s="256">
        <f t="shared" si="187"/>
        <v>17.5</v>
      </c>
      <c r="AA299" s="256">
        <f t="shared" si="195"/>
        <v>24.95</v>
      </c>
      <c r="AB299" s="256">
        <f t="shared" si="188"/>
        <v>230.68</v>
      </c>
      <c r="AC299" s="189">
        <f t="shared" si="179"/>
        <v>940.71</v>
      </c>
      <c r="AD299" s="259">
        <f t="shared" si="180"/>
        <v>5891.4230400000006</v>
      </c>
    </row>
    <row r="300" spans="1:30" s="160" customFormat="1">
      <c r="A300" s="250">
        <v>295</v>
      </c>
      <c r="B300" s="251" t="s">
        <v>427</v>
      </c>
      <c r="C300" s="252">
        <v>1</v>
      </c>
      <c r="D300" s="253">
        <v>2751.84</v>
      </c>
      <c r="E300" s="254">
        <f t="shared" si="177"/>
        <v>2751.84</v>
      </c>
      <c r="F300" s="255">
        <f t="shared" si="181"/>
        <v>966.96600000000024</v>
      </c>
      <c r="G300" s="256">
        <f t="shared" si="207"/>
        <v>35.162400000000005</v>
      </c>
      <c r="H300" s="256">
        <f t="shared" si="208"/>
        <v>281.29920000000004</v>
      </c>
      <c r="I300" s="256">
        <f t="shared" si="189"/>
        <v>112.51968000000002</v>
      </c>
      <c r="J300" s="256">
        <f t="shared" si="190"/>
        <v>229.32000000000002</v>
      </c>
      <c r="K300" s="256">
        <f t="shared" si="184"/>
        <v>229.32000000000002</v>
      </c>
      <c r="L300" s="256">
        <f t="shared" si="185"/>
        <v>76.440000000000012</v>
      </c>
      <c r="M300" s="256">
        <f t="shared" si="209"/>
        <v>229.32000000000002</v>
      </c>
      <c r="N300" s="255">
        <v>0</v>
      </c>
      <c r="O300" s="256">
        <v>0</v>
      </c>
      <c r="P300" s="256">
        <f t="shared" si="210"/>
        <v>32.104800000000004</v>
      </c>
      <c r="Q300" s="256">
        <f t="shared" si="211"/>
        <v>6.4209600000000009</v>
      </c>
      <c r="R300" s="256">
        <v>0</v>
      </c>
      <c r="S300" s="257">
        <v>0</v>
      </c>
      <c r="T300" s="256">
        <v>0</v>
      </c>
      <c r="U300" s="258">
        <f t="shared" si="178"/>
        <v>2198.8730400000004</v>
      </c>
      <c r="V300" s="256">
        <f t="shared" si="212"/>
        <v>99.26</v>
      </c>
      <c r="W300" s="256">
        <v>529.20000000000005</v>
      </c>
      <c r="X300" s="256">
        <f t="shared" si="199"/>
        <v>29</v>
      </c>
      <c r="Y300" s="256">
        <f t="shared" si="194"/>
        <v>10.119999999999999</v>
      </c>
      <c r="Z300" s="256">
        <f t="shared" si="187"/>
        <v>17.5</v>
      </c>
      <c r="AA300" s="256">
        <f t="shared" si="195"/>
        <v>24.95</v>
      </c>
      <c r="AB300" s="256">
        <f t="shared" si="188"/>
        <v>230.68</v>
      </c>
      <c r="AC300" s="189">
        <f t="shared" si="179"/>
        <v>940.71</v>
      </c>
      <c r="AD300" s="259">
        <f t="shared" si="180"/>
        <v>5891.4230400000006</v>
      </c>
    </row>
    <row r="301" spans="1:30" s="160" customFormat="1">
      <c r="A301" s="250">
        <v>296</v>
      </c>
      <c r="B301" s="251" t="s">
        <v>428</v>
      </c>
      <c r="C301" s="252">
        <v>1</v>
      </c>
      <c r="D301" s="253">
        <v>1852.2</v>
      </c>
      <c r="E301" s="254">
        <f t="shared" si="177"/>
        <v>1852.2</v>
      </c>
      <c r="F301" s="255">
        <f t="shared" si="181"/>
        <v>650.84249999999997</v>
      </c>
      <c r="G301" s="256">
        <f t="shared" si="207"/>
        <v>23.666999999999998</v>
      </c>
      <c r="H301" s="256">
        <f t="shared" si="208"/>
        <v>189.33599999999998</v>
      </c>
      <c r="I301" s="256">
        <f t="shared" si="189"/>
        <v>75.734399999999994</v>
      </c>
      <c r="J301" s="256">
        <f t="shared" si="190"/>
        <v>154.35</v>
      </c>
      <c r="K301" s="256">
        <f t="shared" si="184"/>
        <v>154.35</v>
      </c>
      <c r="L301" s="256">
        <f t="shared" si="185"/>
        <v>51.449999999999996</v>
      </c>
      <c r="M301" s="256">
        <f t="shared" si="209"/>
        <v>154.35</v>
      </c>
      <c r="N301" s="255">
        <v>0</v>
      </c>
      <c r="O301" s="256">
        <v>0</v>
      </c>
      <c r="P301" s="256">
        <f t="shared" si="210"/>
        <v>21.609000000000002</v>
      </c>
      <c r="Q301" s="256">
        <f t="shared" si="211"/>
        <v>4.3217999999999996</v>
      </c>
      <c r="R301" s="256">
        <v>0</v>
      </c>
      <c r="S301" s="257">
        <v>0</v>
      </c>
      <c r="T301" s="256">
        <v>0</v>
      </c>
      <c r="U301" s="258">
        <f t="shared" si="178"/>
        <v>1480.0106999999996</v>
      </c>
      <c r="V301" s="256">
        <f t="shared" si="212"/>
        <v>99.26</v>
      </c>
      <c r="W301" s="256">
        <v>529.20000000000005</v>
      </c>
      <c r="X301" s="256">
        <f t="shared" si="199"/>
        <v>29</v>
      </c>
      <c r="Y301" s="256">
        <f t="shared" si="194"/>
        <v>10.119999999999999</v>
      </c>
      <c r="Z301" s="256">
        <f t="shared" si="187"/>
        <v>17.5</v>
      </c>
      <c r="AA301" s="256">
        <f t="shared" si="195"/>
        <v>24.95</v>
      </c>
      <c r="AB301" s="256">
        <f t="shared" si="188"/>
        <v>230.68</v>
      </c>
      <c r="AC301" s="189">
        <f t="shared" si="179"/>
        <v>940.71</v>
      </c>
      <c r="AD301" s="259">
        <f t="shared" si="180"/>
        <v>4272.9206999999997</v>
      </c>
    </row>
    <row r="302" spans="1:30" s="160" customFormat="1">
      <c r="A302" s="250">
        <v>297</v>
      </c>
      <c r="B302" s="251" t="s">
        <v>429</v>
      </c>
      <c r="C302" s="252">
        <v>1</v>
      </c>
      <c r="D302" s="253">
        <v>1737.89</v>
      </c>
      <c r="E302" s="254">
        <f t="shared" si="177"/>
        <v>1737.89</v>
      </c>
      <c r="F302" s="255">
        <f t="shared" si="181"/>
        <v>610.6752361111113</v>
      </c>
      <c r="G302" s="256">
        <f t="shared" si="207"/>
        <v>22.206372222222225</v>
      </c>
      <c r="H302" s="256">
        <f t="shared" si="208"/>
        <v>177.6509777777778</v>
      </c>
      <c r="I302" s="256">
        <f t="shared" si="189"/>
        <v>71.060391111111116</v>
      </c>
      <c r="J302" s="256">
        <f t="shared" si="190"/>
        <v>144.82416666666668</v>
      </c>
      <c r="K302" s="256">
        <f t="shared" si="184"/>
        <v>144.82416666666668</v>
      </c>
      <c r="L302" s="256">
        <f t="shared" si="185"/>
        <v>48.274722222222231</v>
      </c>
      <c r="M302" s="256">
        <f t="shared" si="209"/>
        <v>144.82416666666668</v>
      </c>
      <c r="N302" s="255">
        <v>0</v>
      </c>
      <c r="O302" s="256">
        <v>0</v>
      </c>
      <c r="P302" s="256">
        <f t="shared" si="210"/>
        <v>20.275383333333334</v>
      </c>
      <c r="Q302" s="256">
        <f t="shared" si="211"/>
        <v>4.0550766666666664</v>
      </c>
      <c r="R302" s="256">
        <v>0</v>
      </c>
      <c r="S302" s="257">
        <v>0</v>
      </c>
      <c r="T302" s="256">
        <v>0</v>
      </c>
      <c r="U302" s="258">
        <f t="shared" si="178"/>
        <v>1388.6706594444449</v>
      </c>
      <c r="V302" s="256">
        <f t="shared" si="212"/>
        <v>99.26</v>
      </c>
      <c r="W302" s="256">
        <v>529.20000000000005</v>
      </c>
      <c r="X302" s="256">
        <f t="shared" si="199"/>
        <v>29</v>
      </c>
      <c r="Y302" s="256">
        <f t="shared" si="194"/>
        <v>10.119999999999999</v>
      </c>
      <c r="Z302" s="256">
        <f t="shared" si="187"/>
        <v>17.5</v>
      </c>
      <c r="AA302" s="256">
        <f t="shared" si="195"/>
        <v>24.95</v>
      </c>
      <c r="AB302" s="256">
        <f t="shared" si="188"/>
        <v>230.68</v>
      </c>
      <c r="AC302" s="189">
        <f t="shared" si="179"/>
        <v>940.71</v>
      </c>
      <c r="AD302" s="259">
        <f t="shared" si="180"/>
        <v>4067.2706594444453</v>
      </c>
    </row>
    <row r="303" spans="1:30" s="160" customFormat="1">
      <c r="A303" s="250">
        <v>298</v>
      </c>
      <c r="B303" s="251" t="s">
        <v>430</v>
      </c>
      <c r="C303" s="252">
        <v>1</v>
      </c>
      <c r="D303" s="253">
        <v>1465.88</v>
      </c>
      <c r="E303" s="254">
        <f t="shared" si="177"/>
        <v>1465.88</v>
      </c>
      <c r="F303" s="255">
        <f t="shared" si="181"/>
        <v>515.09394444444456</v>
      </c>
      <c r="G303" s="256">
        <f t="shared" si="207"/>
        <v>18.730688888888892</v>
      </c>
      <c r="H303" s="256">
        <f t="shared" si="208"/>
        <v>149.84551111111114</v>
      </c>
      <c r="I303" s="256">
        <f t="shared" si="189"/>
        <v>59.938204444444459</v>
      </c>
      <c r="J303" s="256">
        <f t="shared" si="190"/>
        <v>122.15666666666668</v>
      </c>
      <c r="K303" s="256">
        <f t="shared" si="184"/>
        <v>122.15666666666668</v>
      </c>
      <c r="L303" s="256">
        <f t="shared" si="185"/>
        <v>40.718888888888891</v>
      </c>
      <c r="M303" s="256">
        <f t="shared" si="209"/>
        <v>122.15666666666668</v>
      </c>
      <c r="N303" s="255">
        <v>0</v>
      </c>
      <c r="O303" s="256">
        <v>0</v>
      </c>
      <c r="P303" s="256">
        <f t="shared" si="210"/>
        <v>17.101933333333335</v>
      </c>
      <c r="Q303" s="256">
        <f t="shared" si="211"/>
        <v>3.4203866666666674</v>
      </c>
      <c r="R303" s="256">
        <v>0</v>
      </c>
      <c r="S303" s="257">
        <v>0</v>
      </c>
      <c r="T303" s="256">
        <v>0</v>
      </c>
      <c r="U303" s="258">
        <f t="shared" si="178"/>
        <v>1171.3195577777778</v>
      </c>
      <c r="V303" s="256">
        <f t="shared" si="212"/>
        <v>99.26</v>
      </c>
      <c r="W303" s="256">
        <v>529.20000000000005</v>
      </c>
      <c r="X303" s="256">
        <f t="shared" si="199"/>
        <v>29</v>
      </c>
      <c r="Y303" s="256">
        <f t="shared" si="194"/>
        <v>10.119999999999999</v>
      </c>
      <c r="Z303" s="256">
        <f t="shared" si="187"/>
        <v>17.5</v>
      </c>
      <c r="AA303" s="256">
        <f t="shared" si="195"/>
        <v>24.95</v>
      </c>
      <c r="AB303" s="256">
        <f t="shared" si="188"/>
        <v>230.68</v>
      </c>
      <c r="AC303" s="189">
        <f t="shared" si="179"/>
        <v>940.71</v>
      </c>
      <c r="AD303" s="259">
        <f t="shared" si="180"/>
        <v>3577.909557777778</v>
      </c>
    </row>
    <row r="304" spans="1:30" s="160" customFormat="1">
      <c r="A304" s="250">
        <v>299</v>
      </c>
      <c r="B304" s="251" t="s">
        <v>431</v>
      </c>
      <c r="C304" s="252">
        <v>1</v>
      </c>
      <c r="D304" s="253">
        <v>1537.21</v>
      </c>
      <c r="E304" s="254">
        <f t="shared" si="177"/>
        <v>1537.21</v>
      </c>
      <c r="F304" s="255">
        <f t="shared" si="181"/>
        <v>540.15851388888905</v>
      </c>
      <c r="G304" s="256">
        <f t="shared" si="207"/>
        <v>19.64212777777778</v>
      </c>
      <c r="H304" s="256">
        <f t="shared" si="208"/>
        <v>157.13702222222224</v>
      </c>
      <c r="I304" s="256">
        <f t="shared" si="189"/>
        <v>62.854808888888897</v>
      </c>
      <c r="J304" s="256">
        <f t="shared" si="190"/>
        <v>128.10083333333333</v>
      </c>
      <c r="K304" s="256">
        <f t="shared" si="184"/>
        <v>128.10083333333333</v>
      </c>
      <c r="L304" s="256">
        <f t="shared" si="185"/>
        <v>42.700277777777778</v>
      </c>
      <c r="M304" s="256">
        <f t="shared" si="209"/>
        <v>128.10083333333333</v>
      </c>
      <c r="N304" s="255">
        <v>0</v>
      </c>
      <c r="O304" s="256">
        <v>0</v>
      </c>
      <c r="P304" s="256">
        <f t="shared" si="210"/>
        <v>17.934116666666668</v>
      </c>
      <c r="Q304" s="256">
        <f t="shared" si="211"/>
        <v>3.5868233333333337</v>
      </c>
      <c r="R304" s="256">
        <v>0</v>
      </c>
      <c r="S304" s="257">
        <v>0</v>
      </c>
      <c r="T304" s="256">
        <v>0</v>
      </c>
      <c r="U304" s="258">
        <f t="shared" si="178"/>
        <v>1228.3161905555557</v>
      </c>
      <c r="V304" s="256">
        <f t="shared" si="212"/>
        <v>99.26</v>
      </c>
      <c r="W304" s="256">
        <v>529.20000000000005</v>
      </c>
      <c r="X304" s="256">
        <f t="shared" si="199"/>
        <v>29</v>
      </c>
      <c r="Y304" s="256">
        <f t="shared" si="194"/>
        <v>10.119999999999999</v>
      </c>
      <c r="Z304" s="256">
        <f t="shared" si="187"/>
        <v>17.5</v>
      </c>
      <c r="AA304" s="256">
        <f t="shared" si="195"/>
        <v>24.95</v>
      </c>
      <c r="AB304" s="256">
        <f t="shared" si="188"/>
        <v>230.68</v>
      </c>
      <c r="AC304" s="189">
        <f t="shared" si="179"/>
        <v>940.71</v>
      </c>
      <c r="AD304" s="259">
        <f t="shared" si="180"/>
        <v>3706.2361905555558</v>
      </c>
    </row>
    <row r="305" spans="1:30" s="160" customFormat="1">
      <c r="A305" s="250">
        <v>300</v>
      </c>
      <c r="B305" s="251" t="s">
        <v>435</v>
      </c>
      <c r="C305" s="252">
        <v>2</v>
      </c>
      <c r="D305" s="253">
        <v>2010.96</v>
      </c>
      <c r="E305" s="254">
        <f t="shared" si="177"/>
        <v>4021.92</v>
      </c>
      <c r="F305" s="255">
        <f t="shared" si="181"/>
        <v>1622.7888600000001</v>
      </c>
      <c r="G305" s="256">
        <f t="shared" si="207"/>
        <v>54.988584000000003</v>
      </c>
      <c r="H305" s="256">
        <f t="shared" si="208"/>
        <v>439.90867200000002</v>
      </c>
      <c r="I305" s="256">
        <f t="shared" si="189"/>
        <v>175.96346880000002</v>
      </c>
      <c r="J305" s="256">
        <f t="shared" si="190"/>
        <v>498.27119999999996</v>
      </c>
      <c r="K305" s="256">
        <f t="shared" si="184"/>
        <v>498.27119999999996</v>
      </c>
      <c r="L305" s="256">
        <f t="shared" si="185"/>
        <v>145.23600000000002</v>
      </c>
      <c r="M305" s="256">
        <f t="shared" si="209"/>
        <v>335.16</v>
      </c>
      <c r="N305" s="255">
        <v>0</v>
      </c>
      <c r="O305" s="256">
        <v>0</v>
      </c>
      <c r="P305" s="256">
        <f>(R305+E305)/210*1.75*1.2</f>
        <v>52.284959999999998</v>
      </c>
      <c r="Q305" s="256">
        <f>P305/6</f>
        <v>8.7141599999999997</v>
      </c>
      <c r="R305" s="256">
        <f>E305*30%</f>
        <v>1206.576</v>
      </c>
      <c r="S305" s="257">
        <f>(D305*10%)*C305</f>
        <v>402.19200000000001</v>
      </c>
      <c r="T305" s="256">
        <f>(E305+R305+N305+O305)/30*2</f>
        <v>348.56639999999999</v>
      </c>
      <c r="U305" s="258">
        <f t="shared" si="178"/>
        <v>5788.9215047999996</v>
      </c>
      <c r="V305" s="256">
        <f>C305*67.68</f>
        <v>135.36000000000001</v>
      </c>
      <c r="W305" s="256">
        <f>C305*529.2</f>
        <v>1058.4000000000001</v>
      </c>
      <c r="X305" s="256">
        <f t="shared" si="199"/>
        <v>58</v>
      </c>
      <c r="Y305" s="256">
        <f t="shared" si="194"/>
        <v>20.239999999999998</v>
      </c>
      <c r="Z305" s="256">
        <f t="shared" si="187"/>
        <v>35</v>
      </c>
      <c r="AA305" s="256">
        <f t="shared" si="195"/>
        <v>49.9</v>
      </c>
      <c r="AB305" s="256">
        <f t="shared" si="188"/>
        <v>461.36</v>
      </c>
      <c r="AC305" s="189">
        <f t="shared" si="179"/>
        <v>1818.2600000000002</v>
      </c>
      <c r="AD305" s="259">
        <f t="shared" si="180"/>
        <v>11629.101504799999</v>
      </c>
    </row>
    <row r="306" spans="1:30" s="160" customFormat="1">
      <c r="A306" s="250">
        <v>301</v>
      </c>
      <c r="B306" s="251" t="s">
        <v>432</v>
      </c>
      <c r="C306" s="252">
        <v>12</v>
      </c>
      <c r="D306" s="253">
        <v>2010.96</v>
      </c>
      <c r="E306" s="254">
        <f t="shared" si="177"/>
        <v>24131.52</v>
      </c>
      <c r="F306" s="255">
        <f t="shared" si="181"/>
        <v>8962.5135600000012</v>
      </c>
      <c r="G306" s="256">
        <f t="shared" si="207"/>
        <v>325.90958400000005</v>
      </c>
      <c r="H306" s="256">
        <f t="shared" si="208"/>
        <v>2607.2766720000004</v>
      </c>
      <c r="I306" s="256">
        <f t="shared" si="189"/>
        <v>1042.9106688000002</v>
      </c>
      <c r="J306" s="256">
        <f t="shared" si="190"/>
        <v>2788.5311999999999</v>
      </c>
      <c r="K306" s="256">
        <f t="shared" si="184"/>
        <v>2788.5311999999999</v>
      </c>
      <c r="L306" s="256">
        <f t="shared" si="185"/>
        <v>871.41600000000005</v>
      </c>
      <c r="M306" s="256">
        <f t="shared" si="209"/>
        <v>2010.96</v>
      </c>
      <c r="N306" s="255">
        <v>0</v>
      </c>
      <c r="O306" s="256">
        <v>0</v>
      </c>
      <c r="P306" s="256">
        <f>(R306+E306)/210*1.75*1.2</f>
        <v>313.70976000000002</v>
      </c>
      <c r="Q306" s="256">
        <f>P306/6</f>
        <v>52.284960000000005</v>
      </c>
      <c r="R306" s="256">
        <f>E306*30%</f>
        <v>7239.4560000000001</v>
      </c>
      <c r="S306" s="257"/>
      <c r="T306" s="256">
        <f t="shared" ref="T306:T308" si="213">(E306+R306+N306+O306)/30*2</f>
        <v>2091.3984</v>
      </c>
      <c r="U306" s="258">
        <f t="shared" si="178"/>
        <v>31094.898004800001</v>
      </c>
      <c r="V306" s="256">
        <f t="shared" ref="V306:V308" si="214">C306*67.68</f>
        <v>812.16000000000008</v>
      </c>
      <c r="W306" s="256">
        <f>C306*529.2</f>
        <v>6350.4000000000005</v>
      </c>
      <c r="X306" s="256">
        <f t="shared" si="199"/>
        <v>348</v>
      </c>
      <c r="Y306" s="256">
        <f t="shared" si="194"/>
        <v>121.44</v>
      </c>
      <c r="Z306" s="256">
        <f t="shared" si="187"/>
        <v>210</v>
      </c>
      <c r="AA306" s="256">
        <f t="shared" si="195"/>
        <v>299.39999999999998</v>
      </c>
      <c r="AB306" s="256">
        <f t="shared" si="188"/>
        <v>2768.16</v>
      </c>
      <c r="AC306" s="189">
        <f t="shared" si="179"/>
        <v>10909.56</v>
      </c>
      <c r="AD306" s="259">
        <f t="shared" si="180"/>
        <v>66135.978004799996</v>
      </c>
    </row>
    <row r="307" spans="1:30" s="160" customFormat="1">
      <c r="A307" s="250">
        <v>302</v>
      </c>
      <c r="B307" s="251" t="s">
        <v>433</v>
      </c>
      <c r="C307" s="252">
        <v>2</v>
      </c>
      <c r="D307" s="253">
        <v>2010.96</v>
      </c>
      <c r="E307" s="254">
        <f t="shared" si="177"/>
        <v>4021.92</v>
      </c>
      <c r="F307" s="255">
        <f t="shared" si="181"/>
        <v>1668.231590666667</v>
      </c>
      <c r="G307" s="256">
        <f t="shared" si="207"/>
        <v>56.641046933333335</v>
      </c>
      <c r="H307" s="256">
        <f t="shared" si="208"/>
        <v>453.12837546666668</v>
      </c>
      <c r="I307" s="256">
        <f t="shared" si="189"/>
        <v>181.25135018666668</v>
      </c>
      <c r="J307" s="256">
        <f t="shared" si="190"/>
        <v>580.89434666666671</v>
      </c>
      <c r="K307" s="256">
        <f t="shared" si="184"/>
        <v>580.89434666666671</v>
      </c>
      <c r="L307" s="256">
        <f t="shared" si="185"/>
        <v>145.23600000000002</v>
      </c>
      <c r="M307" s="256">
        <f t="shared" si="209"/>
        <v>335.16</v>
      </c>
      <c r="N307" s="255">
        <f>(R307+E307)/210*20%*160</f>
        <v>796.72320000000013</v>
      </c>
      <c r="O307" s="256">
        <f>N307/6</f>
        <v>132.78720000000001</v>
      </c>
      <c r="P307" s="256">
        <f>(R307+E307)/210*1.75*1.2</f>
        <v>52.284959999999998</v>
      </c>
      <c r="Q307" s="256">
        <f>P307/6</f>
        <v>8.7141599999999997</v>
      </c>
      <c r="R307" s="256">
        <f>E307*30%</f>
        <v>1206.576</v>
      </c>
      <c r="S307" s="257">
        <f t="shared" ref="S307" si="215">(D307*10%)*C307</f>
        <v>402.19200000000001</v>
      </c>
      <c r="T307" s="256">
        <f t="shared" si="213"/>
        <v>410.53376000000003</v>
      </c>
      <c r="U307" s="258">
        <f t="shared" si="178"/>
        <v>7011.2483365866674</v>
      </c>
      <c r="V307" s="256">
        <f t="shared" si="214"/>
        <v>135.36000000000001</v>
      </c>
      <c r="W307" s="256">
        <f>C307*529.2</f>
        <v>1058.4000000000001</v>
      </c>
      <c r="X307" s="256">
        <f t="shared" si="199"/>
        <v>58</v>
      </c>
      <c r="Y307" s="256">
        <f t="shared" si="194"/>
        <v>20.239999999999998</v>
      </c>
      <c r="Z307" s="256">
        <f t="shared" si="187"/>
        <v>35</v>
      </c>
      <c r="AA307" s="256">
        <f t="shared" si="195"/>
        <v>49.9</v>
      </c>
      <c r="AB307" s="256">
        <f t="shared" si="188"/>
        <v>461.36</v>
      </c>
      <c r="AC307" s="189">
        <f t="shared" si="179"/>
        <v>1818.2600000000002</v>
      </c>
      <c r="AD307" s="259">
        <f t="shared" si="180"/>
        <v>12851.428336586667</v>
      </c>
    </row>
    <row r="308" spans="1:30" s="160" customFormat="1">
      <c r="A308" s="250">
        <v>303</v>
      </c>
      <c r="B308" s="251" t="s">
        <v>434</v>
      </c>
      <c r="C308" s="252">
        <v>6</v>
      </c>
      <c r="D308" s="253">
        <v>2010.96</v>
      </c>
      <c r="E308" s="254">
        <f t="shared" si="177"/>
        <v>12065.76</v>
      </c>
      <c r="F308" s="255">
        <f t="shared" si="181"/>
        <v>4617.5849719999997</v>
      </c>
      <c r="G308" s="256">
        <f t="shared" si="207"/>
        <v>167.91218079999999</v>
      </c>
      <c r="H308" s="256">
        <f t="shared" si="208"/>
        <v>1343.2974463999999</v>
      </c>
      <c r="I308" s="256">
        <f t="shared" si="189"/>
        <v>537.31897856000001</v>
      </c>
      <c r="J308" s="256">
        <f t="shared" si="190"/>
        <v>1642.1350399999999</v>
      </c>
      <c r="K308" s="256">
        <f t="shared" si="184"/>
        <v>1642.1350399999999</v>
      </c>
      <c r="L308" s="256">
        <f t="shared" si="185"/>
        <v>435.70800000000003</v>
      </c>
      <c r="M308" s="256">
        <f t="shared" si="209"/>
        <v>1005.48</v>
      </c>
      <c r="N308" s="255">
        <f>(R308+E308)/210*20%*160</f>
        <v>2390.1696000000002</v>
      </c>
      <c r="O308" s="256">
        <f>N308/6</f>
        <v>398.36160000000001</v>
      </c>
      <c r="P308" s="256">
        <f>(R308+E308)/210*1.75*1.2</f>
        <v>156.85488000000001</v>
      </c>
      <c r="Q308" s="256">
        <f>P308/6</f>
        <v>26.142480000000003</v>
      </c>
      <c r="R308" s="256">
        <f>E308*30%</f>
        <v>3619.7280000000001</v>
      </c>
      <c r="S308" s="257">
        <v>0</v>
      </c>
      <c r="T308" s="256">
        <f t="shared" si="213"/>
        <v>1231.6012800000001</v>
      </c>
      <c r="U308" s="258">
        <f t="shared" si="178"/>
        <v>19214.429497759997</v>
      </c>
      <c r="V308" s="256">
        <f t="shared" si="214"/>
        <v>406.08000000000004</v>
      </c>
      <c r="W308" s="256">
        <f>C308*529.2</f>
        <v>3175.2000000000003</v>
      </c>
      <c r="X308" s="256">
        <f t="shared" si="199"/>
        <v>174</v>
      </c>
      <c r="Y308" s="256">
        <f t="shared" si="194"/>
        <v>60.72</v>
      </c>
      <c r="Z308" s="256">
        <f t="shared" si="187"/>
        <v>105</v>
      </c>
      <c r="AA308" s="256">
        <f t="shared" si="195"/>
        <v>149.69999999999999</v>
      </c>
      <c r="AB308" s="256">
        <f t="shared" si="188"/>
        <v>1384.08</v>
      </c>
      <c r="AC308" s="189">
        <f t="shared" si="179"/>
        <v>5454.78</v>
      </c>
      <c r="AD308" s="259">
        <f t="shared" si="180"/>
        <v>36734.969497759994</v>
      </c>
    </row>
    <row r="309" spans="1:30" s="160" customFormat="1">
      <c r="A309" s="250">
        <v>304</v>
      </c>
      <c r="B309" s="251" t="s">
        <v>460</v>
      </c>
      <c r="C309" s="252">
        <v>1</v>
      </c>
      <c r="D309" s="253">
        <v>6879.6</v>
      </c>
      <c r="E309" s="254">
        <f t="shared" si="177"/>
        <v>6879.6</v>
      </c>
      <c r="F309" s="255">
        <f t="shared" si="181"/>
        <v>2417.4150000000004</v>
      </c>
      <c r="G309" s="256">
        <f t="shared" si="207"/>
        <v>87.906000000000006</v>
      </c>
      <c r="H309" s="256">
        <f t="shared" si="208"/>
        <v>703.24800000000005</v>
      </c>
      <c r="I309" s="256">
        <f t="shared" si="189"/>
        <v>281.29920000000004</v>
      </c>
      <c r="J309" s="256">
        <f t="shared" si="190"/>
        <v>573.30000000000007</v>
      </c>
      <c r="K309" s="256">
        <f t="shared" si="184"/>
        <v>573.30000000000007</v>
      </c>
      <c r="L309" s="256">
        <f t="shared" si="185"/>
        <v>191.10000000000002</v>
      </c>
      <c r="M309" s="256">
        <f t="shared" si="209"/>
        <v>573.30000000000007</v>
      </c>
      <c r="N309" s="255">
        <v>0</v>
      </c>
      <c r="O309" s="256">
        <v>0</v>
      </c>
      <c r="P309" s="256">
        <v>0</v>
      </c>
      <c r="Q309" s="256">
        <v>0</v>
      </c>
      <c r="R309" s="256">
        <v>0</v>
      </c>
      <c r="S309" s="257">
        <v>0</v>
      </c>
      <c r="T309" s="256">
        <v>0</v>
      </c>
      <c r="U309" s="258">
        <f t="shared" si="178"/>
        <v>5400.8682000000008</v>
      </c>
      <c r="V309" s="256">
        <v>0</v>
      </c>
      <c r="W309" s="256">
        <v>529.20000000000005</v>
      </c>
      <c r="X309" s="256">
        <f t="shared" si="199"/>
        <v>29</v>
      </c>
      <c r="Y309" s="256">
        <f t="shared" si="194"/>
        <v>10.119999999999999</v>
      </c>
      <c r="Z309" s="256">
        <f t="shared" si="187"/>
        <v>17.5</v>
      </c>
      <c r="AA309" s="256">
        <f t="shared" si="195"/>
        <v>24.95</v>
      </c>
      <c r="AB309" s="256">
        <f t="shared" si="188"/>
        <v>230.68</v>
      </c>
      <c r="AC309" s="189">
        <f t="shared" si="179"/>
        <v>841.45</v>
      </c>
      <c r="AD309" s="259">
        <f t="shared" si="180"/>
        <v>13121.918200000002</v>
      </c>
    </row>
    <row r="310" spans="1:30" s="160" customFormat="1">
      <c r="A310" s="250">
        <v>305</v>
      </c>
      <c r="B310" s="251" t="s">
        <v>422</v>
      </c>
      <c r="C310" s="252">
        <v>1</v>
      </c>
      <c r="D310" s="253">
        <v>3993.98</v>
      </c>
      <c r="E310" s="254">
        <f t="shared" si="177"/>
        <v>3993.98</v>
      </c>
      <c r="F310" s="255">
        <f t="shared" si="181"/>
        <v>1467.5102902777778</v>
      </c>
      <c r="G310" s="256">
        <f t="shared" si="207"/>
        <v>53.364010555555552</v>
      </c>
      <c r="H310" s="256">
        <f t="shared" si="208"/>
        <v>426.91208444444442</v>
      </c>
      <c r="I310" s="256">
        <f t="shared" si="189"/>
        <v>170.76483377777777</v>
      </c>
      <c r="J310" s="256">
        <f t="shared" si="190"/>
        <v>432.68116666666668</v>
      </c>
      <c r="K310" s="256">
        <f t="shared" si="184"/>
        <v>432.68116666666668</v>
      </c>
      <c r="L310" s="256">
        <f t="shared" si="185"/>
        <v>144.22705555555555</v>
      </c>
      <c r="M310" s="256">
        <f t="shared" si="209"/>
        <v>332.83166666666665</v>
      </c>
      <c r="N310" s="255">
        <v>0</v>
      </c>
      <c r="O310" s="256">
        <v>0</v>
      </c>
      <c r="P310" s="256">
        <v>0</v>
      </c>
      <c r="Q310" s="256">
        <v>0</v>
      </c>
      <c r="R310" s="256">
        <f>E310*30%</f>
        <v>1198.194</v>
      </c>
      <c r="S310" s="257">
        <v>0</v>
      </c>
      <c r="T310" s="256">
        <v>0</v>
      </c>
      <c r="U310" s="258">
        <f t="shared" si="178"/>
        <v>4659.1662746111106</v>
      </c>
      <c r="V310" s="256">
        <v>0</v>
      </c>
      <c r="W310" s="256">
        <v>529.20000000000005</v>
      </c>
      <c r="X310" s="256">
        <f t="shared" si="199"/>
        <v>29</v>
      </c>
      <c r="Y310" s="256">
        <f t="shared" si="194"/>
        <v>10.119999999999999</v>
      </c>
      <c r="Z310" s="256">
        <f t="shared" si="187"/>
        <v>17.5</v>
      </c>
      <c r="AA310" s="256">
        <f t="shared" si="195"/>
        <v>24.95</v>
      </c>
      <c r="AB310" s="256">
        <f t="shared" si="188"/>
        <v>230.68</v>
      </c>
      <c r="AC310" s="189">
        <f t="shared" si="179"/>
        <v>841.45</v>
      </c>
      <c r="AD310" s="259">
        <f t="shared" si="180"/>
        <v>9494.5962746111109</v>
      </c>
    </row>
    <row r="311" spans="1:30" s="160" customFormat="1">
      <c r="A311" s="250">
        <v>306</v>
      </c>
      <c r="B311" s="251" t="s">
        <v>423</v>
      </c>
      <c r="C311" s="252">
        <v>1</v>
      </c>
      <c r="D311" s="253">
        <v>2751.84</v>
      </c>
      <c r="E311" s="254">
        <f t="shared" si="177"/>
        <v>2751.84</v>
      </c>
      <c r="F311" s="255">
        <f t="shared" si="181"/>
        <v>966.96600000000024</v>
      </c>
      <c r="G311" s="256">
        <f t="shared" si="207"/>
        <v>35.162400000000005</v>
      </c>
      <c r="H311" s="256">
        <f t="shared" si="208"/>
        <v>281.29920000000004</v>
      </c>
      <c r="I311" s="256">
        <f t="shared" si="189"/>
        <v>112.51968000000002</v>
      </c>
      <c r="J311" s="256">
        <f t="shared" si="190"/>
        <v>229.32000000000002</v>
      </c>
      <c r="K311" s="256">
        <f t="shared" si="184"/>
        <v>229.32000000000002</v>
      </c>
      <c r="L311" s="256">
        <f t="shared" si="185"/>
        <v>76.440000000000012</v>
      </c>
      <c r="M311" s="256">
        <f t="shared" si="209"/>
        <v>229.32000000000002</v>
      </c>
      <c r="N311" s="255">
        <v>0</v>
      </c>
      <c r="O311" s="256">
        <v>0</v>
      </c>
      <c r="P311" s="256">
        <f>E311/150*1.75</f>
        <v>32.104800000000004</v>
      </c>
      <c r="Q311" s="256">
        <f>P311/25*5</f>
        <v>6.4209600000000009</v>
      </c>
      <c r="R311" s="256">
        <v>0</v>
      </c>
      <c r="S311" s="257">
        <v>0</v>
      </c>
      <c r="T311" s="256">
        <v>0</v>
      </c>
      <c r="U311" s="258">
        <f t="shared" si="178"/>
        <v>2198.8730400000004</v>
      </c>
      <c r="V311" s="256">
        <f>C311*99.26</f>
        <v>99.26</v>
      </c>
      <c r="W311" s="256">
        <v>529.20000000000005</v>
      </c>
      <c r="X311" s="256">
        <f t="shared" si="199"/>
        <v>29</v>
      </c>
      <c r="Y311" s="256">
        <f t="shared" si="194"/>
        <v>10.119999999999999</v>
      </c>
      <c r="Z311" s="256">
        <f t="shared" si="187"/>
        <v>17.5</v>
      </c>
      <c r="AA311" s="256">
        <f t="shared" si="195"/>
        <v>24.95</v>
      </c>
      <c r="AB311" s="256">
        <f t="shared" si="188"/>
        <v>230.68</v>
      </c>
      <c r="AC311" s="189">
        <f t="shared" si="179"/>
        <v>940.71</v>
      </c>
      <c r="AD311" s="259">
        <f t="shared" si="180"/>
        <v>5891.4230400000006</v>
      </c>
    </row>
    <row r="312" spans="1:30" s="160" customFormat="1">
      <c r="A312" s="250">
        <v>307</v>
      </c>
      <c r="B312" s="251" t="s">
        <v>424</v>
      </c>
      <c r="C312" s="252">
        <v>1</v>
      </c>
      <c r="D312" s="253">
        <v>2751.84</v>
      </c>
      <c r="E312" s="254">
        <f t="shared" si="177"/>
        <v>2751.84</v>
      </c>
      <c r="F312" s="255">
        <f t="shared" si="181"/>
        <v>966.96600000000024</v>
      </c>
      <c r="G312" s="256">
        <f t="shared" si="207"/>
        <v>35.162400000000005</v>
      </c>
      <c r="H312" s="256">
        <f t="shared" si="208"/>
        <v>281.29920000000004</v>
      </c>
      <c r="I312" s="256">
        <f t="shared" si="189"/>
        <v>112.51968000000002</v>
      </c>
      <c r="J312" s="256">
        <f t="shared" si="190"/>
        <v>229.32000000000002</v>
      </c>
      <c r="K312" s="256">
        <f t="shared" si="184"/>
        <v>229.32000000000002</v>
      </c>
      <c r="L312" s="256">
        <f t="shared" si="185"/>
        <v>76.440000000000012</v>
      </c>
      <c r="M312" s="256">
        <f t="shared" si="209"/>
        <v>229.32000000000002</v>
      </c>
      <c r="N312" s="255">
        <v>0</v>
      </c>
      <c r="O312" s="256">
        <v>0</v>
      </c>
      <c r="P312" s="256">
        <f t="shared" ref="P312:P319" si="216">E312/150*1.75</f>
        <v>32.104800000000004</v>
      </c>
      <c r="Q312" s="256">
        <f t="shared" ref="Q312:Q319" si="217">P312/25*5</f>
        <v>6.4209600000000009</v>
      </c>
      <c r="R312" s="256">
        <v>0</v>
      </c>
      <c r="S312" s="257">
        <v>0</v>
      </c>
      <c r="T312" s="256">
        <v>0</v>
      </c>
      <c r="U312" s="258">
        <f t="shared" si="178"/>
        <v>2198.8730400000004</v>
      </c>
      <c r="V312" s="256">
        <f t="shared" ref="V312:V319" si="218">C312*99.26</f>
        <v>99.26</v>
      </c>
      <c r="W312" s="256">
        <v>529.20000000000005</v>
      </c>
      <c r="X312" s="256">
        <f t="shared" si="199"/>
        <v>29</v>
      </c>
      <c r="Y312" s="256">
        <f t="shared" si="194"/>
        <v>10.119999999999999</v>
      </c>
      <c r="Z312" s="256">
        <f t="shared" si="187"/>
        <v>17.5</v>
      </c>
      <c r="AA312" s="256">
        <f t="shared" si="195"/>
        <v>24.95</v>
      </c>
      <c r="AB312" s="256">
        <f t="shared" si="188"/>
        <v>230.68</v>
      </c>
      <c r="AC312" s="189">
        <f t="shared" si="179"/>
        <v>940.71</v>
      </c>
      <c r="AD312" s="259">
        <f t="shared" si="180"/>
        <v>5891.4230400000006</v>
      </c>
    </row>
    <row r="313" spans="1:30" s="160" customFormat="1">
      <c r="A313" s="250">
        <v>308</v>
      </c>
      <c r="B313" s="251" t="s">
        <v>425</v>
      </c>
      <c r="C313" s="252">
        <v>1</v>
      </c>
      <c r="D313" s="253">
        <v>2751.84</v>
      </c>
      <c r="E313" s="254">
        <f t="shared" si="177"/>
        <v>2751.84</v>
      </c>
      <c r="F313" s="255">
        <f t="shared" si="181"/>
        <v>966.96600000000024</v>
      </c>
      <c r="G313" s="256">
        <f t="shared" si="207"/>
        <v>35.162400000000005</v>
      </c>
      <c r="H313" s="256">
        <f t="shared" si="208"/>
        <v>281.29920000000004</v>
      </c>
      <c r="I313" s="256">
        <f t="shared" si="189"/>
        <v>112.51968000000002</v>
      </c>
      <c r="J313" s="256">
        <f t="shared" si="190"/>
        <v>229.32000000000002</v>
      </c>
      <c r="K313" s="256">
        <f t="shared" si="184"/>
        <v>229.32000000000002</v>
      </c>
      <c r="L313" s="256">
        <f t="shared" si="185"/>
        <v>76.440000000000012</v>
      </c>
      <c r="M313" s="256">
        <f t="shared" si="209"/>
        <v>229.32000000000002</v>
      </c>
      <c r="N313" s="255">
        <v>0</v>
      </c>
      <c r="O313" s="256">
        <v>0</v>
      </c>
      <c r="P313" s="256">
        <f t="shared" si="216"/>
        <v>32.104800000000004</v>
      </c>
      <c r="Q313" s="256">
        <f t="shared" si="217"/>
        <v>6.4209600000000009</v>
      </c>
      <c r="R313" s="256">
        <v>0</v>
      </c>
      <c r="S313" s="257">
        <v>0</v>
      </c>
      <c r="T313" s="256">
        <v>0</v>
      </c>
      <c r="U313" s="258">
        <f t="shared" si="178"/>
        <v>2198.8730400000004</v>
      </c>
      <c r="V313" s="256">
        <f t="shared" si="218"/>
        <v>99.26</v>
      </c>
      <c r="W313" s="256">
        <v>529.20000000000005</v>
      </c>
      <c r="X313" s="256">
        <f t="shared" si="199"/>
        <v>29</v>
      </c>
      <c r="Y313" s="256">
        <f t="shared" si="194"/>
        <v>10.119999999999999</v>
      </c>
      <c r="Z313" s="256">
        <f t="shared" si="187"/>
        <v>17.5</v>
      </c>
      <c r="AA313" s="256">
        <f t="shared" si="195"/>
        <v>24.95</v>
      </c>
      <c r="AB313" s="256">
        <f t="shared" si="188"/>
        <v>230.68</v>
      </c>
      <c r="AC313" s="189">
        <f t="shared" si="179"/>
        <v>940.71</v>
      </c>
      <c r="AD313" s="259">
        <f t="shared" si="180"/>
        <v>5891.4230400000006</v>
      </c>
    </row>
    <row r="314" spans="1:30" s="160" customFormat="1">
      <c r="A314" s="250">
        <v>309</v>
      </c>
      <c r="B314" s="251" t="s">
        <v>426</v>
      </c>
      <c r="C314" s="252">
        <v>1</v>
      </c>
      <c r="D314" s="253">
        <v>2751.84</v>
      </c>
      <c r="E314" s="254">
        <f t="shared" si="177"/>
        <v>2751.84</v>
      </c>
      <c r="F314" s="255">
        <f t="shared" si="181"/>
        <v>966.96600000000024</v>
      </c>
      <c r="G314" s="256">
        <f t="shared" si="207"/>
        <v>35.162400000000005</v>
      </c>
      <c r="H314" s="256">
        <f t="shared" si="208"/>
        <v>281.29920000000004</v>
      </c>
      <c r="I314" s="256">
        <f t="shared" si="189"/>
        <v>112.51968000000002</v>
      </c>
      <c r="J314" s="256">
        <f t="shared" si="190"/>
        <v>229.32000000000002</v>
      </c>
      <c r="K314" s="256">
        <f t="shared" si="184"/>
        <v>229.32000000000002</v>
      </c>
      <c r="L314" s="256">
        <f t="shared" si="185"/>
        <v>76.440000000000012</v>
      </c>
      <c r="M314" s="256">
        <f t="shared" si="209"/>
        <v>229.32000000000002</v>
      </c>
      <c r="N314" s="255">
        <v>0</v>
      </c>
      <c r="O314" s="256">
        <v>0</v>
      </c>
      <c r="P314" s="256">
        <f t="shared" si="216"/>
        <v>32.104800000000004</v>
      </c>
      <c r="Q314" s="256">
        <f t="shared" si="217"/>
        <v>6.4209600000000009</v>
      </c>
      <c r="R314" s="256">
        <v>0</v>
      </c>
      <c r="S314" s="257">
        <v>0</v>
      </c>
      <c r="T314" s="256">
        <v>0</v>
      </c>
      <c r="U314" s="258">
        <f t="shared" si="178"/>
        <v>2198.8730400000004</v>
      </c>
      <c r="V314" s="256">
        <f t="shared" si="218"/>
        <v>99.26</v>
      </c>
      <c r="W314" s="256">
        <v>529.20000000000005</v>
      </c>
      <c r="X314" s="256">
        <f t="shared" si="199"/>
        <v>29</v>
      </c>
      <c r="Y314" s="256">
        <f t="shared" si="194"/>
        <v>10.119999999999999</v>
      </c>
      <c r="Z314" s="256">
        <f t="shared" si="187"/>
        <v>17.5</v>
      </c>
      <c r="AA314" s="256">
        <f t="shared" si="195"/>
        <v>24.95</v>
      </c>
      <c r="AB314" s="256">
        <f t="shared" si="188"/>
        <v>230.68</v>
      </c>
      <c r="AC314" s="189">
        <f t="shared" si="179"/>
        <v>940.71</v>
      </c>
      <c r="AD314" s="259">
        <f t="shared" si="180"/>
        <v>5891.4230400000006</v>
      </c>
    </row>
    <row r="315" spans="1:30" s="160" customFormat="1">
      <c r="A315" s="250">
        <v>310</v>
      </c>
      <c r="B315" s="251" t="s">
        <v>427</v>
      </c>
      <c r="C315" s="252">
        <v>1</v>
      </c>
      <c r="D315" s="253">
        <v>2751.84</v>
      </c>
      <c r="E315" s="254">
        <f t="shared" si="177"/>
        <v>2751.84</v>
      </c>
      <c r="F315" s="255">
        <f t="shared" si="181"/>
        <v>966.96600000000024</v>
      </c>
      <c r="G315" s="256">
        <f t="shared" si="207"/>
        <v>35.162400000000005</v>
      </c>
      <c r="H315" s="256">
        <f t="shared" si="208"/>
        <v>281.29920000000004</v>
      </c>
      <c r="I315" s="256">
        <f t="shared" si="189"/>
        <v>112.51968000000002</v>
      </c>
      <c r="J315" s="256">
        <f t="shared" si="190"/>
        <v>229.32000000000002</v>
      </c>
      <c r="K315" s="256">
        <f t="shared" si="184"/>
        <v>229.32000000000002</v>
      </c>
      <c r="L315" s="256">
        <f t="shared" si="185"/>
        <v>76.440000000000012</v>
      </c>
      <c r="M315" s="256">
        <f t="shared" si="209"/>
        <v>229.32000000000002</v>
      </c>
      <c r="N315" s="255">
        <v>0</v>
      </c>
      <c r="O315" s="256">
        <v>0</v>
      </c>
      <c r="P315" s="256">
        <f t="shared" si="216"/>
        <v>32.104800000000004</v>
      </c>
      <c r="Q315" s="256">
        <f t="shared" si="217"/>
        <v>6.4209600000000009</v>
      </c>
      <c r="R315" s="256">
        <v>0</v>
      </c>
      <c r="S315" s="257">
        <v>0</v>
      </c>
      <c r="T315" s="256">
        <v>0</v>
      </c>
      <c r="U315" s="258">
        <f t="shared" si="178"/>
        <v>2198.8730400000004</v>
      </c>
      <c r="V315" s="256">
        <f t="shared" si="218"/>
        <v>99.26</v>
      </c>
      <c r="W315" s="256">
        <v>529.20000000000005</v>
      </c>
      <c r="X315" s="256">
        <f t="shared" si="199"/>
        <v>29</v>
      </c>
      <c r="Y315" s="256">
        <f t="shared" si="194"/>
        <v>10.119999999999999</v>
      </c>
      <c r="Z315" s="256">
        <f t="shared" si="187"/>
        <v>17.5</v>
      </c>
      <c r="AA315" s="256">
        <f t="shared" si="195"/>
        <v>24.95</v>
      </c>
      <c r="AB315" s="256">
        <f t="shared" si="188"/>
        <v>230.68</v>
      </c>
      <c r="AC315" s="189">
        <f t="shared" si="179"/>
        <v>940.71</v>
      </c>
      <c r="AD315" s="259">
        <f t="shared" si="180"/>
        <v>5891.4230400000006</v>
      </c>
    </row>
    <row r="316" spans="1:30" s="160" customFormat="1">
      <c r="A316" s="250">
        <v>311</v>
      </c>
      <c r="B316" s="251" t="s">
        <v>428</v>
      </c>
      <c r="C316" s="252">
        <v>1</v>
      </c>
      <c r="D316" s="253">
        <v>1852.2</v>
      </c>
      <c r="E316" s="254">
        <f t="shared" si="177"/>
        <v>1852.2</v>
      </c>
      <c r="F316" s="255">
        <f t="shared" si="181"/>
        <v>650.84249999999997</v>
      </c>
      <c r="G316" s="256">
        <f t="shared" si="207"/>
        <v>23.666999999999998</v>
      </c>
      <c r="H316" s="256">
        <f t="shared" si="208"/>
        <v>189.33599999999998</v>
      </c>
      <c r="I316" s="256">
        <f t="shared" si="189"/>
        <v>75.734399999999994</v>
      </c>
      <c r="J316" s="256">
        <f t="shared" si="190"/>
        <v>154.35</v>
      </c>
      <c r="K316" s="256">
        <f t="shared" si="184"/>
        <v>154.35</v>
      </c>
      <c r="L316" s="256">
        <f t="shared" si="185"/>
        <v>51.449999999999996</v>
      </c>
      <c r="M316" s="256">
        <f t="shared" si="209"/>
        <v>154.35</v>
      </c>
      <c r="N316" s="255">
        <v>0</v>
      </c>
      <c r="O316" s="256">
        <v>0</v>
      </c>
      <c r="P316" s="256">
        <f t="shared" si="216"/>
        <v>21.609000000000002</v>
      </c>
      <c r="Q316" s="256">
        <f t="shared" si="217"/>
        <v>4.3217999999999996</v>
      </c>
      <c r="R316" s="256">
        <v>0</v>
      </c>
      <c r="S316" s="257">
        <v>0</v>
      </c>
      <c r="T316" s="256">
        <v>0</v>
      </c>
      <c r="U316" s="258">
        <f t="shared" si="178"/>
        <v>1480.0106999999996</v>
      </c>
      <c r="V316" s="256">
        <f t="shared" si="218"/>
        <v>99.26</v>
      </c>
      <c r="W316" s="256">
        <v>529.20000000000005</v>
      </c>
      <c r="X316" s="256">
        <f t="shared" si="199"/>
        <v>29</v>
      </c>
      <c r="Y316" s="256">
        <f t="shared" si="194"/>
        <v>10.119999999999999</v>
      </c>
      <c r="Z316" s="256">
        <f t="shared" si="187"/>
        <v>17.5</v>
      </c>
      <c r="AA316" s="256">
        <f t="shared" si="195"/>
        <v>24.95</v>
      </c>
      <c r="AB316" s="256">
        <f t="shared" si="188"/>
        <v>230.68</v>
      </c>
      <c r="AC316" s="189">
        <f t="shared" si="179"/>
        <v>940.71</v>
      </c>
      <c r="AD316" s="259">
        <f t="shared" si="180"/>
        <v>4272.9206999999997</v>
      </c>
    </row>
    <row r="317" spans="1:30" s="160" customFormat="1">
      <c r="A317" s="250">
        <v>312</v>
      </c>
      <c r="B317" s="251" t="s">
        <v>429</v>
      </c>
      <c r="C317" s="252">
        <v>1</v>
      </c>
      <c r="D317" s="253">
        <v>1737.89</v>
      </c>
      <c r="E317" s="254">
        <f t="shared" si="177"/>
        <v>1737.89</v>
      </c>
      <c r="F317" s="255">
        <f t="shared" si="181"/>
        <v>610.6752361111113</v>
      </c>
      <c r="G317" s="256">
        <f t="shared" si="207"/>
        <v>22.206372222222225</v>
      </c>
      <c r="H317" s="256">
        <f t="shared" si="208"/>
        <v>177.6509777777778</v>
      </c>
      <c r="I317" s="256">
        <f t="shared" si="189"/>
        <v>71.060391111111116</v>
      </c>
      <c r="J317" s="256">
        <f t="shared" si="190"/>
        <v>144.82416666666668</v>
      </c>
      <c r="K317" s="256">
        <f t="shared" si="184"/>
        <v>144.82416666666668</v>
      </c>
      <c r="L317" s="256">
        <f t="shared" si="185"/>
        <v>48.274722222222231</v>
      </c>
      <c r="M317" s="256">
        <f t="shared" si="209"/>
        <v>144.82416666666668</v>
      </c>
      <c r="N317" s="255">
        <v>0</v>
      </c>
      <c r="O317" s="256">
        <v>0</v>
      </c>
      <c r="P317" s="256">
        <f t="shared" si="216"/>
        <v>20.275383333333334</v>
      </c>
      <c r="Q317" s="256">
        <f t="shared" si="217"/>
        <v>4.0550766666666664</v>
      </c>
      <c r="R317" s="256">
        <v>0</v>
      </c>
      <c r="S317" s="257">
        <v>0</v>
      </c>
      <c r="T317" s="256">
        <v>0</v>
      </c>
      <c r="U317" s="258">
        <f t="shared" si="178"/>
        <v>1388.6706594444449</v>
      </c>
      <c r="V317" s="256">
        <f t="shared" si="218"/>
        <v>99.26</v>
      </c>
      <c r="W317" s="256">
        <v>529.20000000000005</v>
      </c>
      <c r="X317" s="256">
        <f t="shared" si="199"/>
        <v>29</v>
      </c>
      <c r="Y317" s="256">
        <f t="shared" si="194"/>
        <v>10.119999999999999</v>
      </c>
      <c r="Z317" s="256">
        <f t="shared" si="187"/>
        <v>17.5</v>
      </c>
      <c r="AA317" s="256">
        <f t="shared" si="195"/>
        <v>24.95</v>
      </c>
      <c r="AB317" s="256">
        <f t="shared" si="188"/>
        <v>230.68</v>
      </c>
      <c r="AC317" s="189">
        <f t="shared" si="179"/>
        <v>940.71</v>
      </c>
      <c r="AD317" s="259">
        <f t="shared" si="180"/>
        <v>4067.2706594444453</v>
      </c>
    </row>
    <row r="318" spans="1:30" s="160" customFormat="1">
      <c r="A318" s="250">
        <v>313</v>
      </c>
      <c r="B318" s="251" t="s">
        <v>430</v>
      </c>
      <c r="C318" s="252">
        <v>1</v>
      </c>
      <c r="D318" s="253">
        <v>1465.88</v>
      </c>
      <c r="E318" s="254">
        <f t="shared" si="177"/>
        <v>1465.88</v>
      </c>
      <c r="F318" s="255">
        <f t="shared" si="181"/>
        <v>515.09394444444456</v>
      </c>
      <c r="G318" s="256">
        <f t="shared" si="207"/>
        <v>18.730688888888892</v>
      </c>
      <c r="H318" s="256">
        <f t="shared" si="208"/>
        <v>149.84551111111114</v>
      </c>
      <c r="I318" s="256">
        <f t="shared" si="189"/>
        <v>59.938204444444459</v>
      </c>
      <c r="J318" s="256">
        <f t="shared" si="190"/>
        <v>122.15666666666668</v>
      </c>
      <c r="K318" s="256">
        <f t="shared" si="184"/>
        <v>122.15666666666668</v>
      </c>
      <c r="L318" s="256">
        <f t="shared" si="185"/>
        <v>40.718888888888891</v>
      </c>
      <c r="M318" s="256">
        <f t="shared" si="209"/>
        <v>122.15666666666668</v>
      </c>
      <c r="N318" s="255">
        <v>0</v>
      </c>
      <c r="O318" s="256">
        <v>0</v>
      </c>
      <c r="P318" s="256">
        <f t="shared" si="216"/>
        <v>17.101933333333335</v>
      </c>
      <c r="Q318" s="256">
        <f t="shared" si="217"/>
        <v>3.4203866666666674</v>
      </c>
      <c r="R318" s="256">
        <v>0</v>
      </c>
      <c r="S318" s="257">
        <v>0</v>
      </c>
      <c r="T318" s="256">
        <v>0</v>
      </c>
      <c r="U318" s="258">
        <f t="shared" si="178"/>
        <v>1171.3195577777778</v>
      </c>
      <c r="V318" s="256">
        <f t="shared" si="218"/>
        <v>99.26</v>
      </c>
      <c r="W318" s="256">
        <v>529.20000000000005</v>
      </c>
      <c r="X318" s="256">
        <f t="shared" si="199"/>
        <v>29</v>
      </c>
      <c r="Y318" s="256">
        <f t="shared" si="194"/>
        <v>10.119999999999999</v>
      </c>
      <c r="Z318" s="256">
        <f t="shared" si="187"/>
        <v>17.5</v>
      </c>
      <c r="AA318" s="256">
        <f t="shared" si="195"/>
        <v>24.95</v>
      </c>
      <c r="AB318" s="256">
        <f t="shared" si="188"/>
        <v>230.68</v>
      </c>
      <c r="AC318" s="189">
        <f t="shared" si="179"/>
        <v>940.71</v>
      </c>
      <c r="AD318" s="259">
        <f t="shared" si="180"/>
        <v>3577.909557777778</v>
      </c>
    </row>
    <row r="319" spans="1:30" s="160" customFormat="1">
      <c r="A319" s="250">
        <v>314</v>
      </c>
      <c r="B319" s="251" t="s">
        <v>431</v>
      </c>
      <c r="C319" s="252">
        <v>1</v>
      </c>
      <c r="D319" s="253">
        <v>1537.21</v>
      </c>
      <c r="E319" s="254">
        <f t="shared" si="177"/>
        <v>1537.21</v>
      </c>
      <c r="F319" s="255">
        <f t="shared" si="181"/>
        <v>540.15851388888905</v>
      </c>
      <c r="G319" s="256">
        <f t="shared" si="207"/>
        <v>19.64212777777778</v>
      </c>
      <c r="H319" s="256">
        <f t="shared" si="208"/>
        <v>157.13702222222224</v>
      </c>
      <c r="I319" s="256">
        <f t="shared" si="189"/>
        <v>62.854808888888897</v>
      </c>
      <c r="J319" s="256">
        <f t="shared" si="190"/>
        <v>128.10083333333333</v>
      </c>
      <c r="K319" s="256">
        <f t="shared" si="184"/>
        <v>128.10083333333333</v>
      </c>
      <c r="L319" s="256">
        <f t="shared" si="185"/>
        <v>42.700277777777778</v>
      </c>
      <c r="M319" s="256">
        <f t="shared" si="209"/>
        <v>128.10083333333333</v>
      </c>
      <c r="N319" s="255">
        <v>0</v>
      </c>
      <c r="O319" s="256">
        <v>0</v>
      </c>
      <c r="P319" s="256">
        <f t="shared" si="216"/>
        <v>17.934116666666668</v>
      </c>
      <c r="Q319" s="256">
        <f t="shared" si="217"/>
        <v>3.5868233333333337</v>
      </c>
      <c r="R319" s="256">
        <v>0</v>
      </c>
      <c r="S319" s="257">
        <v>0</v>
      </c>
      <c r="T319" s="256">
        <v>0</v>
      </c>
      <c r="U319" s="258">
        <f t="shared" si="178"/>
        <v>1228.3161905555557</v>
      </c>
      <c r="V319" s="256">
        <f t="shared" si="218"/>
        <v>99.26</v>
      </c>
      <c r="W319" s="256">
        <v>529.20000000000005</v>
      </c>
      <c r="X319" s="256">
        <f t="shared" si="199"/>
        <v>29</v>
      </c>
      <c r="Y319" s="256">
        <f t="shared" si="194"/>
        <v>10.119999999999999</v>
      </c>
      <c r="Z319" s="256">
        <f t="shared" si="187"/>
        <v>17.5</v>
      </c>
      <c r="AA319" s="256">
        <f t="shared" si="195"/>
        <v>24.95</v>
      </c>
      <c r="AB319" s="256">
        <f t="shared" si="188"/>
        <v>230.68</v>
      </c>
      <c r="AC319" s="189">
        <f t="shared" si="179"/>
        <v>940.71</v>
      </c>
      <c r="AD319" s="259">
        <f t="shared" si="180"/>
        <v>3706.2361905555558</v>
      </c>
    </row>
    <row r="320" spans="1:30" s="160" customFormat="1">
      <c r="A320" s="250">
        <v>315</v>
      </c>
      <c r="B320" s="251" t="s">
        <v>435</v>
      </c>
      <c r="C320" s="252">
        <v>2</v>
      </c>
      <c r="D320" s="253">
        <v>2010.96</v>
      </c>
      <c r="E320" s="254">
        <f t="shared" si="177"/>
        <v>4021.92</v>
      </c>
      <c r="F320" s="255">
        <f t="shared" si="181"/>
        <v>1622.7888600000001</v>
      </c>
      <c r="G320" s="256">
        <f t="shared" si="207"/>
        <v>54.988584000000003</v>
      </c>
      <c r="H320" s="256">
        <f t="shared" si="208"/>
        <v>439.90867200000002</v>
      </c>
      <c r="I320" s="256">
        <f t="shared" si="189"/>
        <v>175.96346880000002</v>
      </c>
      <c r="J320" s="256">
        <f t="shared" si="190"/>
        <v>498.27119999999996</v>
      </c>
      <c r="K320" s="256">
        <f t="shared" si="184"/>
        <v>498.27119999999996</v>
      </c>
      <c r="L320" s="256">
        <f t="shared" si="185"/>
        <v>145.23600000000002</v>
      </c>
      <c r="M320" s="256">
        <f t="shared" si="209"/>
        <v>335.16</v>
      </c>
      <c r="N320" s="255">
        <v>0</v>
      </c>
      <c r="O320" s="256">
        <v>0</v>
      </c>
      <c r="P320" s="256">
        <f>(R320+E320)/210*1.75*1.2</f>
        <v>52.284959999999998</v>
      </c>
      <c r="Q320" s="256">
        <f>P320/6</f>
        <v>8.7141599999999997</v>
      </c>
      <c r="R320" s="256">
        <f>E320*30%</f>
        <v>1206.576</v>
      </c>
      <c r="S320" s="257">
        <f>(D320*10%)*C320</f>
        <v>402.19200000000001</v>
      </c>
      <c r="T320" s="256">
        <f>(E320+R320+N320+O320)/30*2</f>
        <v>348.56639999999999</v>
      </c>
      <c r="U320" s="258">
        <f t="shared" si="178"/>
        <v>5788.9215047999996</v>
      </c>
      <c r="V320" s="256">
        <f>C320*67.68</f>
        <v>135.36000000000001</v>
      </c>
      <c r="W320" s="256">
        <f>C320*529.2</f>
        <v>1058.4000000000001</v>
      </c>
      <c r="X320" s="256">
        <f t="shared" si="199"/>
        <v>58</v>
      </c>
      <c r="Y320" s="256">
        <f t="shared" si="194"/>
        <v>20.239999999999998</v>
      </c>
      <c r="Z320" s="256">
        <f t="shared" si="187"/>
        <v>35</v>
      </c>
      <c r="AA320" s="256">
        <f t="shared" si="195"/>
        <v>49.9</v>
      </c>
      <c r="AB320" s="256">
        <f t="shared" si="188"/>
        <v>461.36</v>
      </c>
      <c r="AC320" s="189">
        <f t="shared" si="179"/>
        <v>1818.2600000000002</v>
      </c>
      <c r="AD320" s="259">
        <f t="shared" si="180"/>
        <v>11629.101504799999</v>
      </c>
    </row>
    <row r="321" spans="1:30" s="160" customFormat="1">
      <c r="A321" s="250">
        <v>316</v>
      </c>
      <c r="B321" s="251" t="s">
        <v>432</v>
      </c>
      <c r="C321" s="252">
        <v>12</v>
      </c>
      <c r="D321" s="253">
        <v>2010.96</v>
      </c>
      <c r="E321" s="254">
        <f t="shared" si="177"/>
        <v>24131.52</v>
      </c>
      <c r="F321" s="255">
        <f t="shared" si="181"/>
        <v>8962.5135600000012</v>
      </c>
      <c r="G321" s="256">
        <f t="shared" si="207"/>
        <v>325.90958400000005</v>
      </c>
      <c r="H321" s="256">
        <f t="shared" si="208"/>
        <v>2607.2766720000004</v>
      </c>
      <c r="I321" s="256">
        <f t="shared" si="189"/>
        <v>1042.9106688000002</v>
      </c>
      <c r="J321" s="256">
        <f t="shared" si="190"/>
        <v>2788.5311999999999</v>
      </c>
      <c r="K321" s="256">
        <f t="shared" si="184"/>
        <v>2788.5311999999999</v>
      </c>
      <c r="L321" s="256">
        <f t="shared" si="185"/>
        <v>871.41600000000005</v>
      </c>
      <c r="M321" s="256">
        <f t="shared" si="209"/>
        <v>2010.96</v>
      </c>
      <c r="N321" s="255">
        <v>0</v>
      </c>
      <c r="O321" s="256">
        <v>0</v>
      </c>
      <c r="P321" s="256">
        <f>(R321+E321)/210*1.75*1.2</f>
        <v>313.70976000000002</v>
      </c>
      <c r="Q321" s="256">
        <f>P321/6</f>
        <v>52.284960000000005</v>
      </c>
      <c r="R321" s="256">
        <f>E321*30%</f>
        <v>7239.4560000000001</v>
      </c>
      <c r="S321" s="257"/>
      <c r="T321" s="256">
        <f t="shared" ref="T321:T323" si="219">(E321+R321+N321+O321)/30*2</f>
        <v>2091.3984</v>
      </c>
      <c r="U321" s="258">
        <f t="shared" si="178"/>
        <v>31094.898004800001</v>
      </c>
      <c r="V321" s="256">
        <f t="shared" ref="V321:V325" si="220">C321*67.68</f>
        <v>812.16000000000008</v>
      </c>
      <c r="W321" s="256">
        <f>C321*529.2</f>
        <v>6350.4000000000005</v>
      </c>
      <c r="X321" s="256">
        <f t="shared" si="199"/>
        <v>348</v>
      </c>
      <c r="Y321" s="256">
        <f t="shared" si="194"/>
        <v>121.44</v>
      </c>
      <c r="Z321" s="256">
        <f t="shared" si="187"/>
        <v>210</v>
      </c>
      <c r="AA321" s="256">
        <f t="shared" si="195"/>
        <v>299.39999999999998</v>
      </c>
      <c r="AB321" s="256">
        <f t="shared" si="188"/>
        <v>2768.16</v>
      </c>
      <c r="AC321" s="189">
        <f t="shared" si="179"/>
        <v>10909.56</v>
      </c>
      <c r="AD321" s="259">
        <f t="shared" si="180"/>
        <v>66135.978004799996</v>
      </c>
    </row>
    <row r="322" spans="1:30" s="160" customFormat="1">
      <c r="A322" s="250">
        <v>317</v>
      </c>
      <c r="B322" s="251" t="s">
        <v>433</v>
      </c>
      <c r="C322" s="252">
        <v>2</v>
      </c>
      <c r="D322" s="253">
        <v>2010.96</v>
      </c>
      <c r="E322" s="254">
        <f t="shared" si="177"/>
        <v>4021.92</v>
      </c>
      <c r="F322" s="255">
        <f t="shared" si="181"/>
        <v>1668.231590666667</v>
      </c>
      <c r="G322" s="256">
        <f t="shared" si="207"/>
        <v>56.641046933333335</v>
      </c>
      <c r="H322" s="256">
        <f t="shared" si="208"/>
        <v>453.12837546666668</v>
      </c>
      <c r="I322" s="256">
        <f t="shared" si="189"/>
        <v>181.25135018666668</v>
      </c>
      <c r="J322" s="256">
        <f t="shared" si="190"/>
        <v>580.89434666666671</v>
      </c>
      <c r="K322" s="256">
        <f t="shared" si="184"/>
        <v>580.89434666666671</v>
      </c>
      <c r="L322" s="256">
        <f t="shared" si="185"/>
        <v>145.23600000000002</v>
      </c>
      <c r="M322" s="256">
        <f t="shared" si="209"/>
        <v>335.16</v>
      </c>
      <c r="N322" s="255">
        <f>(R322+E322)/210*20%*160</f>
        <v>796.72320000000013</v>
      </c>
      <c r="O322" s="256">
        <f>N322/6</f>
        <v>132.78720000000001</v>
      </c>
      <c r="P322" s="256">
        <f>(R322+E322)/210*1.75*1.2</f>
        <v>52.284959999999998</v>
      </c>
      <c r="Q322" s="256">
        <f>P322/6</f>
        <v>8.7141599999999997</v>
      </c>
      <c r="R322" s="256">
        <f>E322*30%</f>
        <v>1206.576</v>
      </c>
      <c r="S322" s="257">
        <f t="shared" ref="S322" si="221">(D322*10%)*C322</f>
        <v>402.19200000000001</v>
      </c>
      <c r="T322" s="256">
        <f t="shared" si="219"/>
        <v>410.53376000000003</v>
      </c>
      <c r="U322" s="258">
        <f t="shared" si="178"/>
        <v>7011.2483365866674</v>
      </c>
      <c r="V322" s="256">
        <f t="shared" si="220"/>
        <v>135.36000000000001</v>
      </c>
      <c r="W322" s="256">
        <f>C322*529.2</f>
        <v>1058.4000000000001</v>
      </c>
      <c r="X322" s="256">
        <f t="shared" si="199"/>
        <v>58</v>
      </c>
      <c r="Y322" s="256">
        <f t="shared" si="194"/>
        <v>20.239999999999998</v>
      </c>
      <c r="Z322" s="256">
        <f t="shared" si="187"/>
        <v>35</v>
      </c>
      <c r="AA322" s="256">
        <f t="shared" si="195"/>
        <v>49.9</v>
      </c>
      <c r="AB322" s="256">
        <f t="shared" si="188"/>
        <v>461.36</v>
      </c>
      <c r="AC322" s="189">
        <f t="shared" si="179"/>
        <v>1818.2600000000002</v>
      </c>
      <c r="AD322" s="259">
        <f t="shared" si="180"/>
        <v>12851.428336586667</v>
      </c>
    </row>
    <row r="323" spans="1:30" s="160" customFormat="1">
      <c r="A323" s="250">
        <v>318</v>
      </c>
      <c r="B323" s="251" t="s">
        <v>434</v>
      </c>
      <c r="C323" s="252">
        <v>6</v>
      </c>
      <c r="D323" s="253">
        <v>2010.96</v>
      </c>
      <c r="E323" s="254">
        <f t="shared" si="177"/>
        <v>12065.76</v>
      </c>
      <c r="F323" s="255">
        <f t="shared" si="181"/>
        <v>4617.5849719999997</v>
      </c>
      <c r="G323" s="256">
        <f t="shared" si="207"/>
        <v>167.91218079999999</v>
      </c>
      <c r="H323" s="256">
        <f t="shared" si="208"/>
        <v>1343.2974463999999</v>
      </c>
      <c r="I323" s="256">
        <f t="shared" si="189"/>
        <v>537.31897856000001</v>
      </c>
      <c r="J323" s="256">
        <f t="shared" si="190"/>
        <v>1642.1350399999999</v>
      </c>
      <c r="K323" s="256">
        <f t="shared" si="184"/>
        <v>1642.1350399999999</v>
      </c>
      <c r="L323" s="256">
        <f t="shared" si="185"/>
        <v>435.70800000000003</v>
      </c>
      <c r="M323" s="256">
        <f t="shared" si="209"/>
        <v>1005.48</v>
      </c>
      <c r="N323" s="255">
        <f>(R323+E323)/210*20%*160</f>
        <v>2390.1696000000002</v>
      </c>
      <c r="O323" s="256">
        <f>N323/6</f>
        <v>398.36160000000001</v>
      </c>
      <c r="P323" s="256">
        <f t="shared" ref="P323:P329" si="222">(R323+E323)/210*1.75*1.2</f>
        <v>156.85488000000001</v>
      </c>
      <c r="Q323" s="256">
        <f t="shared" ref="Q323:Q329" si="223">P323/6</f>
        <v>26.142480000000003</v>
      </c>
      <c r="R323" s="256">
        <f>E323*30%</f>
        <v>3619.7280000000001</v>
      </c>
      <c r="S323" s="257">
        <v>0</v>
      </c>
      <c r="T323" s="256">
        <f t="shared" si="219"/>
        <v>1231.6012800000001</v>
      </c>
      <c r="U323" s="258">
        <f t="shared" si="178"/>
        <v>19214.429497759997</v>
      </c>
      <c r="V323" s="256">
        <f t="shared" si="220"/>
        <v>406.08000000000004</v>
      </c>
      <c r="W323" s="256">
        <f>C323*529.2</f>
        <v>3175.2000000000003</v>
      </c>
      <c r="X323" s="256">
        <f t="shared" si="199"/>
        <v>174</v>
      </c>
      <c r="Y323" s="256">
        <f t="shared" si="194"/>
        <v>60.72</v>
      </c>
      <c r="Z323" s="256">
        <f t="shared" si="187"/>
        <v>105</v>
      </c>
      <c r="AA323" s="256">
        <f t="shared" si="195"/>
        <v>149.69999999999999</v>
      </c>
      <c r="AB323" s="256">
        <f t="shared" si="188"/>
        <v>1384.08</v>
      </c>
      <c r="AC323" s="189">
        <f t="shared" si="179"/>
        <v>5454.78</v>
      </c>
      <c r="AD323" s="259">
        <f t="shared" si="180"/>
        <v>36734.969497759994</v>
      </c>
    </row>
    <row r="324" spans="1:30" s="160" customFormat="1">
      <c r="A324" s="250">
        <v>319</v>
      </c>
      <c r="B324" s="251" t="s">
        <v>491</v>
      </c>
      <c r="C324" s="252">
        <v>1</v>
      </c>
      <c r="D324" s="253">
        <v>2963.52</v>
      </c>
      <c r="E324" s="254">
        <f t="shared" si="177"/>
        <v>2963.52</v>
      </c>
      <c r="F324" s="255">
        <f t="shared" ref="F324:F325" si="224">(E324+J324+L324+K324+M324)*26.5%</f>
        <v>1003.4808000000002</v>
      </c>
      <c r="G324" s="256">
        <f t="shared" si="207"/>
        <v>37.867200000000004</v>
      </c>
      <c r="H324" s="256">
        <f t="shared" si="208"/>
        <v>302.93760000000003</v>
      </c>
      <c r="I324" s="256">
        <f t="shared" ref="I324:I325" si="225">H324/2</f>
        <v>151.46880000000002</v>
      </c>
      <c r="J324" s="256">
        <f t="shared" ref="J324:J325" si="226">E324/12</f>
        <v>246.96</v>
      </c>
      <c r="K324" s="256">
        <f t="shared" ref="K324:K325" si="227">E324/12</f>
        <v>246.96</v>
      </c>
      <c r="L324" s="256">
        <f t="shared" ref="L324:L325" si="228">K324/3</f>
        <v>82.320000000000007</v>
      </c>
      <c r="M324" s="256">
        <f t="shared" si="209"/>
        <v>246.96</v>
      </c>
      <c r="N324" s="255">
        <v>0</v>
      </c>
      <c r="O324" s="256">
        <v>0</v>
      </c>
      <c r="P324" s="256">
        <f t="shared" si="222"/>
        <v>29.635200000000001</v>
      </c>
      <c r="Q324" s="256">
        <f t="shared" si="223"/>
        <v>4.9392000000000005</v>
      </c>
      <c r="R324" s="256">
        <v>0</v>
      </c>
      <c r="S324" s="257">
        <v>0</v>
      </c>
      <c r="T324" s="256">
        <v>0</v>
      </c>
      <c r="U324" s="258">
        <f t="shared" si="178"/>
        <v>2353.5288000000005</v>
      </c>
      <c r="V324" s="256">
        <f t="shared" si="220"/>
        <v>67.680000000000007</v>
      </c>
      <c r="W324" s="256">
        <f t="shared" ref="W324:W330" si="229">C324*529.2</f>
        <v>529.20000000000005</v>
      </c>
      <c r="X324" s="256">
        <f t="shared" si="199"/>
        <v>29</v>
      </c>
      <c r="Y324" s="256">
        <f t="shared" si="194"/>
        <v>10.119999999999999</v>
      </c>
      <c r="Z324" s="256">
        <f t="shared" si="187"/>
        <v>17.5</v>
      </c>
      <c r="AA324" s="256">
        <f t="shared" si="195"/>
        <v>24.95</v>
      </c>
      <c r="AB324" s="256">
        <f t="shared" si="188"/>
        <v>230.68</v>
      </c>
      <c r="AC324" s="189">
        <f t="shared" si="179"/>
        <v>909.13000000000011</v>
      </c>
      <c r="AD324" s="259">
        <f t="shared" si="180"/>
        <v>6226.1788000000006</v>
      </c>
    </row>
    <row r="325" spans="1:30" s="160" customFormat="1">
      <c r="A325" s="250">
        <v>320</v>
      </c>
      <c r="B325" s="251" t="s">
        <v>720</v>
      </c>
      <c r="C325" s="252">
        <v>1</v>
      </c>
      <c r="D325" s="253">
        <v>4500</v>
      </c>
      <c r="E325" s="254">
        <f t="shared" si="177"/>
        <v>4500</v>
      </c>
      <c r="F325" s="255">
        <f t="shared" si="224"/>
        <v>1523.75</v>
      </c>
      <c r="G325" s="256">
        <f t="shared" si="207"/>
        <v>57.5</v>
      </c>
      <c r="H325" s="256">
        <f t="shared" si="208"/>
        <v>460</v>
      </c>
      <c r="I325" s="256">
        <f t="shared" si="225"/>
        <v>230</v>
      </c>
      <c r="J325" s="256">
        <f t="shared" si="226"/>
        <v>375</v>
      </c>
      <c r="K325" s="256">
        <f t="shared" si="227"/>
        <v>375</v>
      </c>
      <c r="L325" s="256">
        <f t="shared" si="228"/>
        <v>125</v>
      </c>
      <c r="M325" s="256">
        <f t="shared" si="209"/>
        <v>375</v>
      </c>
      <c r="N325" s="255">
        <v>0</v>
      </c>
      <c r="O325" s="256">
        <v>0</v>
      </c>
      <c r="P325" s="256">
        <f t="shared" si="222"/>
        <v>45</v>
      </c>
      <c r="Q325" s="256">
        <f t="shared" si="223"/>
        <v>7.5</v>
      </c>
      <c r="R325" s="256">
        <v>0</v>
      </c>
      <c r="S325" s="257">
        <v>0</v>
      </c>
      <c r="T325" s="256">
        <v>0</v>
      </c>
      <c r="U325" s="258">
        <f t="shared" si="178"/>
        <v>3573.75</v>
      </c>
      <c r="V325" s="256">
        <f t="shared" si="220"/>
        <v>67.680000000000007</v>
      </c>
      <c r="W325" s="256">
        <f t="shared" si="229"/>
        <v>529.20000000000005</v>
      </c>
      <c r="X325" s="256">
        <f t="shared" si="199"/>
        <v>29</v>
      </c>
      <c r="Y325" s="256">
        <f t="shared" si="194"/>
        <v>10.119999999999999</v>
      </c>
      <c r="Z325" s="256">
        <f t="shared" si="187"/>
        <v>17.5</v>
      </c>
      <c r="AA325" s="256">
        <f t="shared" si="195"/>
        <v>24.95</v>
      </c>
      <c r="AB325" s="256">
        <f t="shared" si="188"/>
        <v>230.68</v>
      </c>
      <c r="AC325" s="189">
        <f t="shared" si="179"/>
        <v>909.13000000000011</v>
      </c>
      <c r="AD325" s="259">
        <f t="shared" si="180"/>
        <v>8982.880000000001</v>
      </c>
    </row>
    <row r="326" spans="1:30" s="160" customFormat="1">
      <c r="A326" s="250">
        <v>321</v>
      </c>
      <c r="B326" s="251" t="s">
        <v>721</v>
      </c>
      <c r="C326" s="252">
        <v>1</v>
      </c>
      <c r="D326" s="253">
        <v>4500</v>
      </c>
      <c r="E326" s="254">
        <f t="shared" ref="E326:E389" si="230">C326*D326</f>
        <v>4500</v>
      </c>
      <c r="F326" s="255">
        <f t="shared" ref="F326:F389" si="231">(E326+J326+L326+K326+M326)*26.5%</f>
        <v>1523.75</v>
      </c>
      <c r="G326" s="256">
        <f t="shared" ref="G326:G389" si="232">(E326+J326+L326+K326+M326)*1%</f>
        <v>57.5</v>
      </c>
      <c r="H326" s="256">
        <f t="shared" ref="H326:H389" si="233">(E326+J326+L326+K326+M326)*8%</f>
        <v>460</v>
      </c>
      <c r="I326" s="256">
        <f t="shared" ref="I326:I389" si="234">H326/2</f>
        <v>230</v>
      </c>
      <c r="J326" s="256">
        <f t="shared" ref="J326:J389" si="235">E326/12</f>
        <v>375</v>
      </c>
      <c r="K326" s="256">
        <f t="shared" ref="K326:K389" si="236">E326/12</f>
        <v>375</v>
      </c>
      <c r="L326" s="256">
        <f t="shared" ref="L326:L389" si="237">K326/3</f>
        <v>125</v>
      </c>
      <c r="M326" s="256">
        <f t="shared" ref="M326:M389" si="238">E326/12</f>
        <v>375</v>
      </c>
      <c r="N326" s="255">
        <v>0</v>
      </c>
      <c r="O326" s="256">
        <v>0</v>
      </c>
      <c r="P326" s="256">
        <f t="shared" si="222"/>
        <v>45</v>
      </c>
      <c r="Q326" s="256">
        <f t="shared" si="223"/>
        <v>7.5</v>
      </c>
      <c r="R326" s="256">
        <v>0</v>
      </c>
      <c r="S326" s="257">
        <v>0</v>
      </c>
      <c r="T326" s="256">
        <v>0</v>
      </c>
      <c r="U326" s="258">
        <f t="shared" ref="U326:U389" si="239">SUM(F326:T326)</f>
        <v>3573.75</v>
      </c>
      <c r="V326" s="256">
        <v>0</v>
      </c>
      <c r="W326" s="256">
        <f t="shared" si="229"/>
        <v>529.20000000000005</v>
      </c>
      <c r="X326" s="256">
        <f t="shared" si="199"/>
        <v>29</v>
      </c>
      <c r="Y326" s="256">
        <f t="shared" si="194"/>
        <v>10.119999999999999</v>
      </c>
      <c r="Z326" s="256">
        <f t="shared" si="187"/>
        <v>17.5</v>
      </c>
      <c r="AA326" s="256">
        <f t="shared" ref="AA326" si="240">C326*23.65</f>
        <v>23.65</v>
      </c>
      <c r="AB326" s="256">
        <f t="shared" si="188"/>
        <v>230.68</v>
      </c>
      <c r="AC326" s="189">
        <f t="shared" ref="AC326:AC389" si="241">SUM(V326:AB326)</f>
        <v>840.15000000000009</v>
      </c>
      <c r="AD326" s="259">
        <f t="shared" ref="AD326:AD389" si="242">E326+U326+AC326</f>
        <v>8913.9</v>
      </c>
    </row>
    <row r="327" spans="1:30" s="160" customFormat="1">
      <c r="A327" s="250">
        <v>322</v>
      </c>
      <c r="B327" s="251" t="s">
        <v>722</v>
      </c>
      <c r="C327" s="252">
        <v>1</v>
      </c>
      <c r="D327" s="253">
        <v>3704.4</v>
      </c>
      <c r="E327" s="254">
        <f t="shared" si="230"/>
        <v>3704.4</v>
      </c>
      <c r="F327" s="255">
        <f t="shared" si="231"/>
        <v>1254.3509999999999</v>
      </c>
      <c r="G327" s="256">
        <f t="shared" si="232"/>
        <v>47.333999999999996</v>
      </c>
      <c r="H327" s="256">
        <f t="shared" si="233"/>
        <v>378.67199999999997</v>
      </c>
      <c r="I327" s="256">
        <f t="shared" si="234"/>
        <v>189.33599999999998</v>
      </c>
      <c r="J327" s="256">
        <f t="shared" si="235"/>
        <v>308.7</v>
      </c>
      <c r="K327" s="256">
        <f t="shared" si="236"/>
        <v>308.7</v>
      </c>
      <c r="L327" s="256">
        <f t="shared" si="237"/>
        <v>102.89999999999999</v>
      </c>
      <c r="M327" s="256">
        <f t="shared" si="238"/>
        <v>308.7</v>
      </c>
      <c r="N327" s="255">
        <v>0</v>
      </c>
      <c r="O327" s="256">
        <v>0</v>
      </c>
      <c r="P327" s="256">
        <f t="shared" si="222"/>
        <v>37.043999999999997</v>
      </c>
      <c r="Q327" s="256">
        <f t="shared" si="223"/>
        <v>6.1739999999999995</v>
      </c>
      <c r="R327" s="256">
        <v>0</v>
      </c>
      <c r="S327" s="257">
        <v>952.6</v>
      </c>
      <c r="T327" s="256">
        <v>0</v>
      </c>
      <c r="U327" s="258">
        <f t="shared" si="239"/>
        <v>3894.5109999999995</v>
      </c>
      <c r="V327" s="256">
        <v>0</v>
      </c>
      <c r="W327" s="256">
        <f t="shared" si="229"/>
        <v>529.20000000000005</v>
      </c>
      <c r="X327" s="256">
        <f t="shared" si="199"/>
        <v>29</v>
      </c>
      <c r="Y327" s="256">
        <f t="shared" si="194"/>
        <v>10.119999999999999</v>
      </c>
      <c r="Z327" s="256">
        <f t="shared" ref="Z327:Z390" si="243">C327*17.5</f>
        <v>17.5</v>
      </c>
      <c r="AA327" s="256">
        <f t="shared" ref="AA327:AA390" si="244">C327*23.65</f>
        <v>23.65</v>
      </c>
      <c r="AB327" s="256">
        <f t="shared" ref="AB327:AB330" si="245">C327*(211.68+19)</f>
        <v>230.68</v>
      </c>
      <c r="AC327" s="189">
        <f t="shared" si="241"/>
        <v>840.15000000000009</v>
      </c>
      <c r="AD327" s="259">
        <f t="shared" si="242"/>
        <v>8439.0609999999997</v>
      </c>
    </row>
    <row r="328" spans="1:30" s="160" customFormat="1">
      <c r="A328" s="250">
        <v>323</v>
      </c>
      <c r="B328" s="251" t="s">
        <v>675</v>
      </c>
      <c r="C328" s="252">
        <v>1</v>
      </c>
      <c r="D328" s="253">
        <v>7408.81</v>
      </c>
      <c r="E328" s="254">
        <f t="shared" si="230"/>
        <v>7408.81</v>
      </c>
      <c r="F328" s="255">
        <f t="shared" si="231"/>
        <v>2508.7053861111112</v>
      </c>
      <c r="G328" s="256">
        <f t="shared" si="232"/>
        <v>94.668127777777769</v>
      </c>
      <c r="H328" s="256">
        <f t="shared" si="233"/>
        <v>757.34502222222216</v>
      </c>
      <c r="I328" s="256">
        <f t="shared" si="234"/>
        <v>378.67251111111108</v>
      </c>
      <c r="J328" s="256">
        <f t="shared" si="235"/>
        <v>617.40083333333337</v>
      </c>
      <c r="K328" s="256">
        <f t="shared" si="236"/>
        <v>617.40083333333337</v>
      </c>
      <c r="L328" s="256">
        <f t="shared" si="237"/>
        <v>205.80027777777778</v>
      </c>
      <c r="M328" s="256">
        <f t="shared" si="238"/>
        <v>617.40083333333337</v>
      </c>
      <c r="N328" s="255">
        <v>0</v>
      </c>
      <c r="O328" s="256">
        <v>0</v>
      </c>
      <c r="P328" s="256">
        <f t="shared" si="222"/>
        <v>74.088099999999997</v>
      </c>
      <c r="Q328" s="256">
        <f t="shared" si="223"/>
        <v>12.348016666666666</v>
      </c>
      <c r="R328" s="256">
        <v>0</v>
      </c>
      <c r="S328" s="257">
        <v>1058</v>
      </c>
      <c r="T328" s="256">
        <v>0</v>
      </c>
      <c r="U328" s="258">
        <f t="shared" si="239"/>
        <v>6941.8299416666659</v>
      </c>
      <c r="V328" s="256">
        <v>0</v>
      </c>
      <c r="W328" s="256">
        <f t="shared" si="229"/>
        <v>529.20000000000005</v>
      </c>
      <c r="X328" s="256">
        <f t="shared" si="199"/>
        <v>29</v>
      </c>
      <c r="Y328" s="256">
        <f t="shared" ref="Y328:Y330" si="246">C328*10.12</f>
        <v>10.119999999999999</v>
      </c>
      <c r="Z328" s="256">
        <f t="shared" si="243"/>
        <v>17.5</v>
      </c>
      <c r="AA328" s="256">
        <f t="shared" si="244"/>
        <v>23.65</v>
      </c>
      <c r="AB328" s="256">
        <f t="shared" si="245"/>
        <v>230.68</v>
      </c>
      <c r="AC328" s="189">
        <f t="shared" si="241"/>
        <v>840.15000000000009</v>
      </c>
      <c r="AD328" s="259">
        <f t="shared" si="242"/>
        <v>15190.789941666666</v>
      </c>
    </row>
    <row r="329" spans="1:30" s="160" customFormat="1" hidden="1">
      <c r="A329" s="250">
        <v>324</v>
      </c>
      <c r="B329" s="251"/>
      <c r="C329" s="252"/>
      <c r="D329" s="253"/>
      <c r="E329" s="254">
        <f t="shared" si="230"/>
        <v>0</v>
      </c>
      <c r="F329" s="255">
        <f t="shared" si="231"/>
        <v>0</v>
      </c>
      <c r="G329" s="256">
        <f t="shared" si="232"/>
        <v>0</v>
      </c>
      <c r="H329" s="256">
        <f t="shared" si="233"/>
        <v>0</v>
      </c>
      <c r="I329" s="256">
        <f t="shared" si="234"/>
        <v>0</v>
      </c>
      <c r="J329" s="256">
        <f t="shared" si="235"/>
        <v>0</v>
      </c>
      <c r="K329" s="256">
        <f t="shared" si="236"/>
        <v>0</v>
      </c>
      <c r="L329" s="256">
        <f t="shared" si="237"/>
        <v>0</v>
      </c>
      <c r="M329" s="256">
        <f t="shared" si="238"/>
        <v>0</v>
      </c>
      <c r="N329" s="255">
        <v>0</v>
      </c>
      <c r="O329" s="256">
        <v>0</v>
      </c>
      <c r="P329" s="256">
        <f t="shared" si="222"/>
        <v>0</v>
      </c>
      <c r="Q329" s="256">
        <f t="shared" si="223"/>
        <v>0</v>
      </c>
      <c r="R329" s="256">
        <v>0</v>
      </c>
      <c r="S329" s="257">
        <v>0</v>
      </c>
      <c r="T329" s="256">
        <v>0</v>
      </c>
      <c r="U329" s="258">
        <f t="shared" si="239"/>
        <v>0</v>
      </c>
      <c r="V329" s="256">
        <v>0</v>
      </c>
      <c r="W329" s="256">
        <f t="shared" si="229"/>
        <v>0</v>
      </c>
      <c r="X329" s="256">
        <f t="shared" si="199"/>
        <v>0</v>
      </c>
      <c r="Y329" s="256">
        <f t="shared" si="246"/>
        <v>0</v>
      </c>
      <c r="Z329" s="256">
        <f t="shared" si="243"/>
        <v>0</v>
      </c>
      <c r="AA329" s="256">
        <f t="shared" si="244"/>
        <v>0</v>
      </c>
      <c r="AB329" s="256">
        <f t="shared" si="245"/>
        <v>0</v>
      </c>
      <c r="AC329" s="189">
        <f t="shared" si="241"/>
        <v>0</v>
      </c>
      <c r="AD329" s="259">
        <f t="shared" si="242"/>
        <v>0</v>
      </c>
    </row>
    <row r="330" spans="1:30" s="160" customFormat="1" hidden="1">
      <c r="A330" s="250">
        <v>325</v>
      </c>
      <c r="B330" s="251"/>
      <c r="C330" s="252"/>
      <c r="D330" s="253"/>
      <c r="E330" s="254">
        <f t="shared" si="230"/>
        <v>0</v>
      </c>
      <c r="F330" s="255">
        <f t="shared" si="231"/>
        <v>0</v>
      </c>
      <c r="G330" s="256">
        <f t="shared" si="232"/>
        <v>0</v>
      </c>
      <c r="H330" s="256">
        <f t="shared" si="233"/>
        <v>0</v>
      </c>
      <c r="I330" s="256">
        <f t="shared" si="234"/>
        <v>0</v>
      </c>
      <c r="J330" s="256">
        <f t="shared" si="235"/>
        <v>0</v>
      </c>
      <c r="K330" s="256">
        <f t="shared" si="236"/>
        <v>0</v>
      </c>
      <c r="L330" s="256">
        <f t="shared" si="237"/>
        <v>0</v>
      </c>
      <c r="M330" s="256">
        <f t="shared" si="238"/>
        <v>0</v>
      </c>
      <c r="N330" s="255">
        <v>0</v>
      </c>
      <c r="O330" s="256">
        <v>0</v>
      </c>
      <c r="P330" s="256">
        <v>0</v>
      </c>
      <c r="Q330" s="256">
        <v>0</v>
      </c>
      <c r="R330" s="256">
        <v>0</v>
      </c>
      <c r="S330" s="257"/>
      <c r="T330" s="256">
        <v>0</v>
      </c>
      <c r="U330" s="258">
        <f t="shared" si="239"/>
        <v>0</v>
      </c>
      <c r="V330" s="256">
        <v>0</v>
      </c>
      <c r="W330" s="256">
        <f t="shared" si="229"/>
        <v>0</v>
      </c>
      <c r="X330" s="256">
        <f t="shared" si="199"/>
        <v>0</v>
      </c>
      <c r="Y330" s="256">
        <f t="shared" si="246"/>
        <v>0</v>
      </c>
      <c r="Z330" s="256">
        <f t="shared" si="243"/>
        <v>0</v>
      </c>
      <c r="AA330" s="256">
        <f t="shared" si="244"/>
        <v>0</v>
      </c>
      <c r="AB330" s="256">
        <f t="shared" si="245"/>
        <v>0</v>
      </c>
      <c r="AC330" s="189">
        <f t="shared" si="241"/>
        <v>0</v>
      </c>
      <c r="AD330" s="259">
        <f t="shared" si="242"/>
        <v>0</v>
      </c>
    </row>
    <row r="331" spans="1:30" s="160" customFormat="1" hidden="1">
      <c r="A331" s="250">
        <v>326</v>
      </c>
      <c r="B331" s="251"/>
      <c r="C331" s="252"/>
      <c r="D331" s="253"/>
      <c r="E331" s="254">
        <f t="shared" si="230"/>
        <v>0</v>
      </c>
      <c r="F331" s="255">
        <f t="shared" si="231"/>
        <v>0</v>
      </c>
      <c r="G331" s="256">
        <f t="shared" si="232"/>
        <v>0</v>
      </c>
      <c r="H331" s="256">
        <f t="shared" si="233"/>
        <v>0</v>
      </c>
      <c r="I331" s="256">
        <f t="shared" si="234"/>
        <v>0</v>
      </c>
      <c r="J331" s="256">
        <f t="shared" si="235"/>
        <v>0</v>
      </c>
      <c r="K331" s="256">
        <f t="shared" si="236"/>
        <v>0</v>
      </c>
      <c r="L331" s="256">
        <f t="shared" si="237"/>
        <v>0</v>
      </c>
      <c r="M331" s="256">
        <f t="shared" si="238"/>
        <v>0</v>
      </c>
      <c r="N331" s="255">
        <v>0</v>
      </c>
      <c r="O331" s="256">
        <v>0</v>
      </c>
      <c r="P331" s="256">
        <v>0</v>
      </c>
      <c r="Q331" s="256">
        <v>0</v>
      </c>
      <c r="R331" s="256">
        <v>0</v>
      </c>
      <c r="S331" s="257">
        <v>0</v>
      </c>
      <c r="T331" s="256">
        <v>0</v>
      </c>
      <c r="U331" s="258">
        <f t="shared" si="239"/>
        <v>0</v>
      </c>
      <c r="V331" s="256">
        <v>0</v>
      </c>
      <c r="W331" s="256">
        <f t="shared" ref="W331:W390" si="247">C331*500</f>
        <v>0</v>
      </c>
      <c r="X331" s="256">
        <f t="shared" ref="X331:X390" si="248">C331*53.31</f>
        <v>0</v>
      </c>
      <c r="Y331" s="256">
        <v>0</v>
      </c>
      <c r="Z331" s="256">
        <f t="shared" si="243"/>
        <v>0</v>
      </c>
      <c r="AA331" s="256">
        <f t="shared" si="244"/>
        <v>0</v>
      </c>
      <c r="AB331" s="256">
        <v>0</v>
      </c>
      <c r="AC331" s="189">
        <f t="shared" si="241"/>
        <v>0</v>
      </c>
      <c r="AD331" s="259">
        <f t="shared" si="242"/>
        <v>0</v>
      </c>
    </row>
    <row r="332" spans="1:30" s="160" customFormat="1" hidden="1">
      <c r="A332" s="250">
        <v>327</v>
      </c>
      <c r="B332" s="251"/>
      <c r="C332" s="252"/>
      <c r="D332" s="253"/>
      <c r="E332" s="254">
        <f t="shared" si="230"/>
        <v>0</v>
      </c>
      <c r="F332" s="255">
        <f t="shared" si="231"/>
        <v>0</v>
      </c>
      <c r="G332" s="256">
        <f t="shared" si="232"/>
        <v>0</v>
      </c>
      <c r="H332" s="256">
        <f t="shared" si="233"/>
        <v>0</v>
      </c>
      <c r="I332" s="256">
        <f t="shared" si="234"/>
        <v>0</v>
      </c>
      <c r="J332" s="256">
        <f t="shared" si="235"/>
        <v>0</v>
      </c>
      <c r="K332" s="256">
        <f t="shared" si="236"/>
        <v>0</v>
      </c>
      <c r="L332" s="256">
        <f t="shared" si="237"/>
        <v>0</v>
      </c>
      <c r="M332" s="256">
        <f t="shared" si="238"/>
        <v>0</v>
      </c>
      <c r="N332" s="255">
        <v>0</v>
      </c>
      <c r="O332" s="256">
        <v>0</v>
      </c>
      <c r="P332" s="256">
        <v>0</v>
      </c>
      <c r="Q332" s="256">
        <v>0</v>
      </c>
      <c r="R332" s="256">
        <v>0</v>
      </c>
      <c r="S332" s="257">
        <v>0</v>
      </c>
      <c r="T332" s="256">
        <v>0</v>
      </c>
      <c r="U332" s="258">
        <f t="shared" si="239"/>
        <v>0</v>
      </c>
      <c r="V332" s="256">
        <v>0</v>
      </c>
      <c r="W332" s="256">
        <f t="shared" si="247"/>
        <v>0</v>
      </c>
      <c r="X332" s="256">
        <f t="shared" si="248"/>
        <v>0</v>
      </c>
      <c r="Y332" s="256">
        <v>0</v>
      </c>
      <c r="Z332" s="256">
        <f t="shared" si="243"/>
        <v>0</v>
      </c>
      <c r="AA332" s="256">
        <f t="shared" si="244"/>
        <v>0</v>
      </c>
      <c r="AB332" s="256">
        <v>0</v>
      </c>
      <c r="AC332" s="189">
        <f t="shared" si="241"/>
        <v>0</v>
      </c>
      <c r="AD332" s="259">
        <f t="shared" si="242"/>
        <v>0</v>
      </c>
    </row>
    <row r="333" spans="1:30" s="160" customFormat="1" hidden="1">
      <c r="A333" s="250">
        <v>328</v>
      </c>
      <c r="B333" s="251"/>
      <c r="C333" s="252"/>
      <c r="D333" s="253"/>
      <c r="E333" s="254">
        <f t="shared" si="230"/>
        <v>0</v>
      </c>
      <c r="F333" s="255">
        <f t="shared" si="231"/>
        <v>0</v>
      </c>
      <c r="G333" s="256">
        <f t="shared" si="232"/>
        <v>0</v>
      </c>
      <c r="H333" s="256">
        <f t="shared" si="233"/>
        <v>0</v>
      </c>
      <c r="I333" s="256">
        <f t="shared" si="234"/>
        <v>0</v>
      </c>
      <c r="J333" s="256">
        <f t="shared" si="235"/>
        <v>0</v>
      </c>
      <c r="K333" s="256">
        <f t="shared" si="236"/>
        <v>0</v>
      </c>
      <c r="L333" s="256">
        <f t="shared" si="237"/>
        <v>0</v>
      </c>
      <c r="M333" s="256">
        <f t="shared" si="238"/>
        <v>0</v>
      </c>
      <c r="N333" s="255">
        <v>0</v>
      </c>
      <c r="O333" s="256">
        <v>0</v>
      </c>
      <c r="P333" s="256">
        <v>0</v>
      </c>
      <c r="Q333" s="256">
        <v>0</v>
      </c>
      <c r="R333" s="256">
        <v>0</v>
      </c>
      <c r="S333" s="257">
        <v>0</v>
      </c>
      <c r="T333" s="256">
        <v>0</v>
      </c>
      <c r="U333" s="258">
        <f t="shared" si="239"/>
        <v>0</v>
      </c>
      <c r="V333" s="256">
        <v>0</v>
      </c>
      <c r="W333" s="256">
        <f t="shared" si="247"/>
        <v>0</v>
      </c>
      <c r="X333" s="256">
        <f t="shared" si="248"/>
        <v>0</v>
      </c>
      <c r="Y333" s="256">
        <v>0</v>
      </c>
      <c r="Z333" s="256">
        <f t="shared" si="243"/>
        <v>0</v>
      </c>
      <c r="AA333" s="256">
        <f t="shared" si="244"/>
        <v>0</v>
      </c>
      <c r="AB333" s="256">
        <v>0</v>
      </c>
      <c r="AC333" s="189">
        <f t="shared" si="241"/>
        <v>0</v>
      </c>
      <c r="AD333" s="259">
        <f t="shared" si="242"/>
        <v>0</v>
      </c>
    </row>
    <row r="334" spans="1:30" s="160" customFormat="1" hidden="1">
      <c r="A334" s="250">
        <v>329</v>
      </c>
      <c r="B334" s="251"/>
      <c r="C334" s="252"/>
      <c r="D334" s="253"/>
      <c r="E334" s="254">
        <f t="shared" si="230"/>
        <v>0</v>
      </c>
      <c r="F334" s="255">
        <f t="shared" si="231"/>
        <v>0</v>
      </c>
      <c r="G334" s="256">
        <f t="shared" si="232"/>
        <v>0</v>
      </c>
      <c r="H334" s="256">
        <f t="shared" si="233"/>
        <v>0</v>
      </c>
      <c r="I334" s="256">
        <f t="shared" si="234"/>
        <v>0</v>
      </c>
      <c r="J334" s="256">
        <f t="shared" si="235"/>
        <v>0</v>
      </c>
      <c r="K334" s="256">
        <f t="shared" si="236"/>
        <v>0</v>
      </c>
      <c r="L334" s="256">
        <f t="shared" si="237"/>
        <v>0</v>
      </c>
      <c r="M334" s="256">
        <f t="shared" si="238"/>
        <v>0</v>
      </c>
      <c r="N334" s="255">
        <v>0</v>
      </c>
      <c r="O334" s="256">
        <v>0</v>
      </c>
      <c r="P334" s="256">
        <v>0</v>
      </c>
      <c r="Q334" s="256">
        <v>0</v>
      </c>
      <c r="R334" s="256">
        <v>0</v>
      </c>
      <c r="S334" s="257">
        <v>0</v>
      </c>
      <c r="T334" s="256">
        <v>0</v>
      </c>
      <c r="U334" s="258">
        <f t="shared" si="239"/>
        <v>0</v>
      </c>
      <c r="V334" s="256">
        <v>0</v>
      </c>
      <c r="W334" s="256">
        <f t="shared" si="247"/>
        <v>0</v>
      </c>
      <c r="X334" s="256">
        <f t="shared" si="248"/>
        <v>0</v>
      </c>
      <c r="Y334" s="256">
        <v>0</v>
      </c>
      <c r="Z334" s="256">
        <f t="shared" si="243"/>
        <v>0</v>
      </c>
      <c r="AA334" s="256">
        <f t="shared" si="244"/>
        <v>0</v>
      </c>
      <c r="AB334" s="256">
        <v>0</v>
      </c>
      <c r="AC334" s="189">
        <f t="shared" si="241"/>
        <v>0</v>
      </c>
      <c r="AD334" s="259">
        <f t="shared" si="242"/>
        <v>0</v>
      </c>
    </row>
    <row r="335" spans="1:30" s="160" customFormat="1" hidden="1">
      <c r="A335" s="250">
        <v>330</v>
      </c>
      <c r="B335" s="251"/>
      <c r="C335" s="252"/>
      <c r="D335" s="253"/>
      <c r="E335" s="254">
        <f t="shared" si="230"/>
        <v>0</v>
      </c>
      <c r="F335" s="255">
        <f t="shared" si="231"/>
        <v>0</v>
      </c>
      <c r="G335" s="256">
        <f t="shared" si="232"/>
        <v>0</v>
      </c>
      <c r="H335" s="256">
        <f t="shared" si="233"/>
        <v>0</v>
      </c>
      <c r="I335" s="256">
        <f t="shared" si="234"/>
        <v>0</v>
      </c>
      <c r="J335" s="256">
        <f t="shared" si="235"/>
        <v>0</v>
      </c>
      <c r="K335" s="256">
        <f t="shared" si="236"/>
        <v>0</v>
      </c>
      <c r="L335" s="256">
        <f t="shared" si="237"/>
        <v>0</v>
      </c>
      <c r="M335" s="256">
        <f t="shared" si="238"/>
        <v>0</v>
      </c>
      <c r="N335" s="255">
        <v>0</v>
      </c>
      <c r="O335" s="256">
        <v>0</v>
      </c>
      <c r="P335" s="256">
        <v>0</v>
      </c>
      <c r="Q335" s="256">
        <v>0</v>
      </c>
      <c r="R335" s="256">
        <v>0</v>
      </c>
      <c r="S335" s="257">
        <v>0</v>
      </c>
      <c r="T335" s="256">
        <v>0</v>
      </c>
      <c r="U335" s="258">
        <f t="shared" si="239"/>
        <v>0</v>
      </c>
      <c r="V335" s="256">
        <v>0</v>
      </c>
      <c r="W335" s="256">
        <f t="shared" si="247"/>
        <v>0</v>
      </c>
      <c r="X335" s="256">
        <f t="shared" si="248"/>
        <v>0</v>
      </c>
      <c r="Y335" s="256">
        <v>0</v>
      </c>
      <c r="Z335" s="256">
        <f t="shared" si="243"/>
        <v>0</v>
      </c>
      <c r="AA335" s="256">
        <f t="shared" si="244"/>
        <v>0</v>
      </c>
      <c r="AB335" s="256">
        <v>0</v>
      </c>
      <c r="AC335" s="189">
        <f t="shared" si="241"/>
        <v>0</v>
      </c>
      <c r="AD335" s="259">
        <f t="shared" si="242"/>
        <v>0</v>
      </c>
    </row>
    <row r="336" spans="1:30" s="160" customFormat="1" hidden="1">
      <c r="A336" s="250">
        <v>331</v>
      </c>
      <c r="B336" s="251"/>
      <c r="C336" s="252"/>
      <c r="D336" s="253"/>
      <c r="E336" s="254">
        <f t="shared" si="230"/>
        <v>0</v>
      </c>
      <c r="F336" s="255">
        <f t="shared" si="231"/>
        <v>0</v>
      </c>
      <c r="G336" s="256">
        <f t="shared" si="232"/>
        <v>0</v>
      </c>
      <c r="H336" s="256">
        <f t="shared" si="233"/>
        <v>0</v>
      </c>
      <c r="I336" s="256">
        <f t="shared" si="234"/>
        <v>0</v>
      </c>
      <c r="J336" s="256">
        <f t="shared" si="235"/>
        <v>0</v>
      </c>
      <c r="K336" s="256">
        <f t="shared" si="236"/>
        <v>0</v>
      </c>
      <c r="L336" s="256">
        <f t="shared" si="237"/>
        <v>0</v>
      </c>
      <c r="M336" s="256">
        <f t="shared" si="238"/>
        <v>0</v>
      </c>
      <c r="N336" s="255">
        <v>0</v>
      </c>
      <c r="O336" s="256">
        <v>0</v>
      </c>
      <c r="P336" s="256">
        <v>0</v>
      </c>
      <c r="Q336" s="256">
        <v>0</v>
      </c>
      <c r="R336" s="256">
        <v>0</v>
      </c>
      <c r="S336" s="257">
        <v>0</v>
      </c>
      <c r="T336" s="256">
        <v>0</v>
      </c>
      <c r="U336" s="258">
        <f t="shared" si="239"/>
        <v>0</v>
      </c>
      <c r="V336" s="256">
        <v>0</v>
      </c>
      <c r="W336" s="256">
        <f t="shared" si="247"/>
        <v>0</v>
      </c>
      <c r="X336" s="256">
        <f t="shared" si="248"/>
        <v>0</v>
      </c>
      <c r="Y336" s="256">
        <v>0</v>
      </c>
      <c r="Z336" s="256">
        <f t="shared" si="243"/>
        <v>0</v>
      </c>
      <c r="AA336" s="256">
        <f t="shared" si="244"/>
        <v>0</v>
      </c>
      <c r="AB336" s="256">
        <v>0</v>
      </c>
      <c r="AC336" s="189">
        <f t="shared" si="241"/>
        <v>0</v>
      </c>
      <c r="AD336" s="259">
        <f t="shared" si="242"/>
        <v>0</v>
      </c>
    </row>
    <row r="337" spans="1:30" s="160" customFormat="1" hidden="1">
      <c r="A337" s="250">
        <v>332</v>
      </c>
      <c r="B337" s="251"/>
      <c r="C337" s="252"/>
      <c r="D337" s="253"/>
      <c r="E337" s="254">
        <f t="shared" si="230"/>
        <v>0</v>
      </c>
      <c r="F337" s="255">
        <f t="shared" si="231"/>
        <v>0</v>
      </c>
      <c r="G337" s="256">
        <f t="shared" si="232"/>
        <v>0</v>
      </c>
      <c r="H337" s="256">
        <f t="shared" si="233"/>
        <v>0</v>
      </c>
      <c r="I337" s="256">
        <f t="shared" si="234"/>
        <v>0</v>
      </c>
      <c r="J337" s="256">
        <f t="shared" si="235"/>
        <v>0</v>
      </c>
      <c r="K337" s="256">
        <f t="shared" si="236"/>
        <v>0</v>
      </c>
      <c r="L337" s="256">
        <f t="shared" si="237"/>
        <v>0</v>
      </c>
      <c r="M337" s="256">
        <f t="shared" si="238"/>
        <v>0</v>
      </c>
      <c r="N337" s="255">
        <v>0</v>
      </c>
      <c r="O337" s="256">
        <v>0</v>
      </c>
      <c r="P337" s="256">
        <v>0</v>
      </c>
      <c r="Q337" s="256">
        <v>0</v>
      </c>
      <c r="R337" s="256">
        <v>0</v>
      </c>
      <c r="S337" s="257">
        <v>0</v>
      </c>
      <c r="T337" s="256">
        <v>0</v>
      </c>
      <c r="U337" s="258">
        <f t="shared" si="239"/>
        <v>0</v>
      </c>
      <c r="V337" s="256">
        <v>0</v>
      </c>
      <c r="W337" s="256">
        <f t="shared" si="247"/>
        <v>0</v>
      </c>
      <c r="X337" s="256">
        <f t="shared" si="248"/>
        <v>0</v>
      </c>
      <c r="Y337" s="256">
        <v>0</v>
      </c>
      <c r="Z337" s="256">
        <f t="shared" si="243"/>
        <v>0</v>
      </c>
      <c r="AA337" s="256">
        <f t="shared" si="244"/>
        <v>0</v>
      </c>
      <c r="AB337" s="256">
        <v>0</v>
      </c>
      <c r="AC337" s="189">
        <f t="shared" si="241"/>
        <v>0</v>
      </c>
      <c r="AD337" s="259">
        <f t="shared" si="242"/>
        <v>0</v>
      </c>
    </row>
    <row r="338" spans="1:30" s="160" customFormat="1" hidden="1">
      <c r="A338" s="250">
        <v>333</v>
      </c>
      <c r="B338" s="251"/>
      <c r="C338" s="252"/>
      <c r="D338" s="253"/>
      <c r="E338" s="254">
        <f t="shared" si="230"/>
        <v>0</v>
      </c>
      <c r="F338" s="255">
        <f t="shared" si="231"/>
        <v>0</v>
      </c>
      <c r="G338" s="256">
        <f t="shared" si="232"/>
        <v>0</v>
      </c>
      <c r="H338" s="256">
        <f t="shared" si="233"/>
        <v>0</v>
      </c>
      <c r="I338" s="256">
        <f t="shared" si="234"/>
        <v>0</v>
      </c>
      <c r="J338" s="256">
        <f t="shared" si="235"/>
        <v>0</v>
      </c>
      <c r="K338" s="256">
        <f t="shared" si="236"/>
        <v>0</v>
      </c>
      <c r="L338" s="256">
        <f t="shared" si="237"/>
        <v>0</v>
      </c>
      <c r="M338" s="256">
        <f t="shared" si="238"/>
        <v>0</v>
      </c>
      <c r="N338" s="255">
        <v>0</v>
      </c>
      <c r="O338" s="256">
        <v>0</v>
      </c>
      <c r="P338" s="256">
        <v>0</v>
      </c>
      <c r="Q338" s="256">
        <v>0</v>
      </c>
      <c r="R338" s="256">
        <v>0</v>
      </c>
      <c r="S338" s="257">
        <v>0</v>
      </c>
      <c r="T338" s="256">
        <v>0</v>
      </c>
      <c r="U338" s="258">
        <f t="shared" si="239"/>
        <v>0</v>
      </c>
      <c r="V338" s="256">
        <v>0</v>
      </c>
      <c r="W338" s="256">
        <f t="shared" si="247"/>
        <v>0</v>
      </c>
      <c r="X338" s="256">
        <f t="shared" si="248"/>
        <v>0</v>
      </c>
      <c r="Y338" s="256">
        <v>0</v>
      </c>
      <c r="Z338" s="256">
        <f t="shared" si="243"/>
        <v>0</v>
      </c>
      <c r="AA338" s="256">
        <f t="shared" si="244"/>
        <v>0</v>
      </c>
      <c r="AB338" s="256">
        <v>0</v>
      </c>
      <c r="AC338" s="189">
        <f t="shared" si="241"/>
        <v>0</v>
      </c>
      <c r="AD338" s="259">
        <f t="shared" si="242"/>
        <v>0</v>
      </c>
    </row>
    <row r="339" spans="1:30" s="160" customFormat="1" hidden="1">
      <c r="A339" s="250">
        <v>334</v>
      </c>
      <c r="B339" s="251"/>
      <c r="C339" s="252"/>
      <c r="D339" s="253"/>
      <c r="E339" s="254">
        <f t="shared" si="230"/>
        <v>0</v>
      </c>
      <c r="F339" s="255">
        <f t="shared" si="231"/>
        <v>0</v>
      </c>
      <c r="G339" s="256">
        <f t="shared" si="232"/>
        <v>0</v>
      </c>
      <c r="H339" s="256">
        <f t="shared" si="233"/>
        <v>0</v>
      </c>
      <c r="I339" s="256">
        <f t="shared" si="234"/>
        <v>0</v>
      </c>
      <c r="J339" s="256">
        <f t="shared" si="235"/>
        <v>0</v>
      </c>
      <c r="K339" s="256">
        <f t="shared" si="236"/>
        <v>0</v>
      </c>
      <c r="L339" s="256">
        <f t="shared" si="237"/>
        <v>0</v>
      </c>
      <c r="M339" s="256">
        <f t="shared" si="238"/>
        <v>0</v>
      </c>
      <c r="N339" s="255">
        <v>0</v>
      </c>
      <c r="O339" s="256">
        <v>0</v>
      </c>
      <c r="P339" s="256">
        <v>0</v>
      </c>
      <c r="Q339" s="256">
        <v>0</v>
      </c>
      <c r="R339" s="256">
        <v>0</v>
      </c>
      <c r="S339" s="257">
        <v>0</v>
      </c>
      <c r="T339" s="256">
        <v>0</v>
      </c>
      <c r="U339" s="258">
        <f t="shared" si="239"/>
        <v>0</v>
      </c>
      <c r="V339" s="256">
        <v>0</v>
      </c>
      <c r="W339" s="256">
        <f t="shared" si="247"/>
        <v>0</v>
      </c>
      <c r="X339" s="256">
        <f t="shared" si="248"/>
        <v>0</v>
      </c>
      <c r="Y339" s="256">
        <v>0</v>
      </c>
      <c r="Z339" s="256">
        <f t="shared" si="243"/>
        <v>0</v>
      </c>
      <c r="AA339" s="256">
        <f t="shared" si="244"/>
        <v>0</v>
      </c>
      <c r="AB339" s="256">
        <v>0</v>
      </c>
      <c r="AC339" s="189">
        <f t="shared" si="241"/>
        <v>0</v>
      </c>
      <c r="AD339" s="259">
        <f t="shared" si="242"/>
        <v>0</v>
      </c>
    </row>
    <row r="340" spans="1:30" s="160" customFormat="1" hidden="1">
      <c r="A340" s="250">
        <v>335</v>
      </c>
      <c r="B340" s="251"/>
      <c r="C340" s="252"/>
      <c r="D340" s="253"/>
      <c r="E340" s="254">
        <f t="shared" si="230"/>
        <v>0</v>
      </c>
      <c r="F340" s="255">
        <f t="shared" si="231"/>
        <v>0</v>
      </c>
      <c r="G340" s="256">
        <f t="shared" si="232"/>
        <v>0</v>
      </c>
      <c r="H340" s="256">
        <f t="shared" si="233"/>
        <v>0</v>
      </c>
      <c r="I340" s="256">
        <f t="shared" si="234"/>
        <v>0</v>
      </c>
      <c r="J340" s="256">
        <f t="shared" si="235"/>
        <v>0</v>
      </c>
      <c r="K340" s="256">
        <f t="shared" si="236"/>
        <v>0</v>
      </c>
      <c r="L340" s="256">
        <f t="shared" si="237"/>
        <v>0</v>
      </c>
      <c r="M340" s="256">
        <f t="shared" si="238"/>
        <v>0</v>
      </c>
      <c r="N340" s="255">
        <v>0</v>
      </c>
      <c r="O340" s="256">
        <v>0</v>
      </c>
      <c r="P340" s="256">
        <v>0</v>
      </c>
      <c r="Q340" s="256">
        <v>0</v>
      </c>
      <c r="R340" s="256">
        <v>0</v>
      </c>
      <c r="S340" s="257">
        <v>0</v>
      </c>
      <c r="T340" s="256">
        <v>0</v>
      </c>
      <c r="U340" s="258">
        <f t="shared" si="239"/>
        <v>0</v>
      </c>
      <c r="V340" s="256">
        <v>0</v>
      </c>
      <c r="W340" s="256">
        <f t="shared" si="247"/>
        <v>0</v>
      </c>
      <c r="X340" s="256">
        <f t="shared" si="248"/>
        <v>0</v>
      </c>
      <c r="Y340" s="256">
        <v>0</v>
      </c>
      <c r="Z340" s="256">
        <f t="shared" si="243"/>
        <v>0</v>
      </c>
      <c r="AA340" s="256">
        <f t="shared" si="244"/>
        <v>0</v>
      </c>
      <c r="AB340" s="256">
        <v>0</v>
      </c>
      <c r="AC340" s="189">
        <f t="shared" si="241"/>
        <v>0</v>
      </c>
      <c r="AD340" s="259">
        <f t="shared" si="242"/>
        <v>0</v>
      </c>
    </row>
    <row r="341" spans="1:30" s="160" customFormat="1" hidden="1">
      <c r="A341" s="250">
        <v>336</v>
      </c>
      <c r="B341" s="251"/>
      <c r="C341" s="252"/>
      <c r="D341" s="253"/>
      <c r="E341" s="254">
        <f t="shared" si="230"/>
        <v>0</v>
      </c>
      <c r="F341" s="255">
        <f t="shared" si="231"/>
        <v>0</v>
      </c>
      <c r="G341" s="256">
        <f t="shared" si="232"/>
        <v>0</v>
      </c>
      <c r="H341" s="256">
        <f t="shared" si="233"/>
        <v>0</v>
      </c>
      <c r="I341" s="256">
        <f t="shared" si="234"/>
        <v>0</v>
      </c>
      <c r="J341" s="256">
        <f t="shared" si="235"/>
        <v>0</v>
      </c>
      <c r="K341" s="256">
        <f t="shared" si="236"/>
        <v>0</v>
      </c>
      <c r="L341" s="256">
        <f t="shared" si="237"/>
        <v>0</v>
      </c>
      <c r="M341" s="256">
        <f t="shared" si="238"/>
        <v>0</v>
      </c>
      <c r="N341" s="255">
        <v>0</v>
      </c>
      <c r="O341" s="256">
        <v>0</v>
      </c>
      <c r="P341" s="256">
        <v>0</v>
      </c>
      <c r="Q341" s="256">
        <v>0</v>
      </c>
      <c r="R341" s="256">
        <v>0</v>
      </c>
      <c r="S341" s="257">
        <v>0</v>
      </c>
      <c r="T341" s="256">
        <v>0</v>
      </c>
      <c r="U341" s="258">
        <f t="shared" si="239"/>
        <v>0</v>
      </c>
      <c r="V341" s="256">
        <v>0</v>
      </c>
      <c r="W341" s="256">
        <f t="shared" si="247"/>
        <v>0</v>
      </c>
      <c r="X341" s="256">
        <f t="shared" si="248"/>
        <v>0</v>
      </c>
      <c r="Y341" s="256">
        <v>0</v>
      </c>
      <c r="Z341" s="256">
        <f t="shared" si="243"/>
        <v>0</v>
      </c>
      <c r="AA341" s="256">
        <f t="shared" si="244"/>
        <v>0</v>
      </c>
      <c r="AB341" s="256">
        <v>0</v>
      </c>
      <c r="AC341" s="189">
        <f t="shared" si="241"/>
        <v>0</v>
      </c>
      <c r="AD341" s="259">
        <f t="shared" si="242"/>
        <v>0</v>
      </c>
    </row>
    <row r="342" spans="1:30" s="160" customFormat="1" hidden="1">
      <c r="A342" s="250">
        <v>337</v>
      </c>
      <c r="B342" s="251"/>
      <c r="C342" s="252"/>
      <c r="D342" s="253"/>
      <c r="E342" s="254">
        <f t="shared" si="230"/>
        <v>0</v>
      </c>
      <c r="F342" s="255">
        <f t="shared" si="231"/>
        <v>0</v>
      </c>
      <c r="G342" s="256">
        <f t="shared" si="232"/>
        <v>0</v>
      </c>
      <c r="H342" s="256">
        <f t="shared" si="233"/>
        <v>0</v>
      </c>
      <c r="I342" s="256">
        <f t="shared" si="234"/>
        <v>0</v>
      </c>
      <c r="J342" s="256">
        <f t="shared" si="235"/>
        <v>0</v>
      </c>
      <c r="K342" s="256">
        <f t="shared" si="236"/>
        <v>0</v>
      </c>
      <c r="L342" s="256">
        <f t="shared" si="237"/>
        <v>0</v>
      </c>
      <c r="M342" s="256">
        <f t="shared" si="238"/>
        <v>0</v>
      </c>
      <c r="N342" s="255">
        <v>0</v>
      </c>
      <c r="O342" s="256">
        <v>0</v>
      </c>
      <c r="P342" s="256">
        <v>0</v>
      </c>
      <c r="Q342" s="256">
        <v>0</v>
      </c>
      <c r="R342" s="256">
        <v>0</v>
      </c>
      <c r="S342" s="257">
        <v>0</v>
      </c>
      <c r="T342" s="256">
        <v>0</v>
      </c>
      <c r="U342" s="258">
        <f t="shared" si="239"/>
        <v>0</v>
      </c>
      <c r="V342" s="256">
        <v>0</v>
      </c>
      <c r="W342" s="256">
        <f t="shared" si="247"/>
        <v>0</v>
      </c>
      <c r="X342" s="256">
        <f t="shared" si="248"/>
        <v>0</v>
      </c>
      <c r="Y342" s="256">
        <v>0</v>
      </c>
      <c r="Z342" s="256">
        <f t="shared" si="243"/>
        <v>0</v>
      </c>
      <c r="AA342" s="256">
        <f t="shared" si="244"/>
        <v>0</v>
      </c>
      <c r="AB342" s="256">
        <v>0</v>
      </c>
      <c r="AC342" s="189">
        <f t="shared" si="241"/>
        <v>0</v>
      </c>
      <c r="AD342" s="259">
        <f t="shared" si="242"/>
        <v>0</v>
      </c>
    </row>
    <row r="343" spans="1:30" s="160" customFormat="1" hidden="1">
      <c r="A343" s="250">
        <v>338</v>
      </c>
      <c r="B343" s="251"/>
      <c r="C343" s="252"/>
      <c r="D343" s="253"/>
      <c r="E343" s="254">
        <f t="shared" si="230"/>
        <v>0</v>
      </c>
      <c r="F343" s="255">
        <f t="shared" si="231"/>
        <v>0</v>
      </c>
      <c r="G343" s="256">
        <f t="shared" si="232"/>
        <v>0</v>
      </c>
      <c r="H343" s="256">
        <f t="shared" si="233"/>
        <v>0</v>
      </c>
      <c r="I343" s="256">
        <f t="shared" si="234"/>
        <v>0</v>
      </c>
      <c r="J343" s="256">
        <f t="shared" si="235"/>
        <v>0</v>
      </c>
      <c r="K343" s="256">
        <f t="shared" si="236"/>
        <v>0</v>
      </c>
      <c r="L343" s="256">
        <f t="shared" si="237"/>
        <v>0</v>
      </c>
      <c r="M343" s="256">
        <f t="shared" si="238"/>
        <v>0</v>
      </c>
      <c r="N343" s="255">
        <v>0</v>
      </c>
      <c r="O343" s="256">
        <v>0</v>
      </c>
      <c r="P343" s="256">
        <v>0</v>
      </c>
      <c r="Q343" s="256">
        <v>0</v>
      </c>
      <c r="R343" s="256">
        <v>0</v>
      </c>
      <c r="S343" s="257">
        <v>0</v>
      </c>
      <c r="T343" s="256">
        <v>0</v>
      </c>
      <c r="U343" s="258">
        <f t="shared" si="239"/>
        <v>0</v>
      </c>
      <c r="V343" s="256">
        <v>0</v>
      </c>
      <c r="W343" s="256">
        <f t="shared" si="247"/>
        <v>0</v>
      </c>
      <c r="X343" s="256">
        <f t="shared" si="248"/>
        <v>0</v>
      </c>
      <c r="Y343" s="256">
        <v>0</v>
      </c>
      <c r="Z343" s="256">
        <f t="shared" si="243"/>
        <v>0</v>
      </c>
      <c r="AA343" s="256">
        <f t="shared" si="244"/>
        <v>0</v>
      </c>
      <c r="AB343" s="256">
        <v>0</v>
      </c>
      <c r="AC343" s="189">
        <f t="shared" si="241"/>
        <v>0</v>
      </c>
      <c r="AD343" s="259">
        <f t="shared" si="242"/>
        <v>0</v>
      </c>
    </row>
    <row r="344" spans="1:30" s="160" customFormat="1" hidden="1">
      <c r="A344" s="250">
        <v>339</v>
      </c>
      <c r="B344" s="251"/>
      <c r="C344" s="252"/>
      <c r="D344" s="253"/>
      <c r="E344" s="254">
        <f t="shared" si="230"/>
        <v>0</v>
      </c>
      <c r="F344" s="255">
        <f t="shared" si="231"/>
        <v>0</v>
      </c>
      <c r="G344" s="256">
        <f t="shared" si="232"/>
        <v>0</v>
      </c>
      <c r="H344" s="256">
        <f t="shared" si="233"/>
        <v>0</v>
      </c>
      <c r="I344" s="256">
        <f t="shared" si="234"/>
        <v>0</v>
      </c>
      <c r="J344" s="256">
        <f t="shared" si="235"/>
        <v>0</v>
      </c>
      <c r="K344" s="256">
        <f t="shared" si="236"/>
        <v>0</v>
      </c>
      <c r="L344" s="256">
        <f t="shared" si="237"/>
        <v>0</v>
      </c>
      <c r="M344" s="256">
        <f t="shared" si="238"/>
        <v>0</v>
      </c>
      <c r="N344" s="255">
        <v>0</v>
      </c>
      <c r="O344" s="256">
        <v>0</v>
      </c>
      <c r="P344" s="256">
        <v>0</v>
      </c>
      <c r="Q344" s="256">
        <v>0</v>
      </c>
      <c r="R344" s="256">
        <v>0</v>
      </c>
      <c r="S344" s="257">
        <v>0</v>
      </c>
      <c r="T344" s="256">
        <v>0</v>
      </c>
      <c r="U344" s="258">
        <f t="shared" si="239"/>
        <v>0</v>
      </c>
      <c r="V344" s="256">
        <v>0</v>
      </c>
      <c r="W344" s="256">
        <f t="shared" si="247"/>
        <v>0</v>
      </c>
      <c r="X344" s="256">
        <f t="shared" si="248"/>
        <v>0</v>
      </c>
      <c r="Y344" s="256">
        <v>0</v>
      </c>
      <c r="Z344" s="256">
        <f t="shared" si="243"/>
        <v>0</v>
      </c>
      <c r="AA344" s="256">
        <f t="shared" si="244"/>
        <v>0</v>
      </c>
      <c r="AB344" s="256">
        <v>0</v>
      </c>
      <c r="AC344" s="189">
        <f t="shared" si="241"/>
        <v>0</v>
      </c>
      <c r="AD344" s="259">
        <f t="shared" si="242"/>
        <v>0</v>
      </c>
    </row>
    <row r="345" spans="1:30" s="160" customFormat="1" hidden="1">
      <c r="A345" s="250">
        <v>340</v>
      </c>
      <c r="B345" s="251"/>
      <c r="C345" s="252"/>
      <c r="D345" s="253"/>
      <c r="E345" s="254">
        <f t="shared" si="230"/>
        <v>0</v>
      </c>
      <c r="F345" s="255">
        <f t="shared" si="231"/>
        <v>0</v>
      </c>
      <c r="G345" s="256">
        <f t="shared" si="232"/>
        <v>0</v>
      </c>
      <c r="H345" s="256">
        <f t="shared" si="233"/>
        <v>0</v>
      </c>
      <c r="I345" s="256">
        <f t="shared" si="234"/>
        <v>0</v>
      </c>
      <c r="J345" s="256">
        <f t="shared" si="235"/>
        <v>0</v>
      </c>
      <c r="K345" s="256">
        <f t="shared" si="236"/>
        <v>0</v>
      </c>
      <c r="L345" s="256">
        <f t="shared" si="237"/>
        <v>0</v>
      </c>
      <c r="M345" s="256">
        <f t="shared" si="238"/>
        <v>0</v>
      </c>
      <c r="N345" s="255">
        <v>0</v>
      </c>
      <c r="O345" s="256">
        <v>0</v>
      </c>
      <c r="P345" s="256">
        <v>0</v>
      </c>
      <c r="Q345" s="256">
        <v>0</v>
      </c>
      <c r="R345" s="256">
        <v>0</v>
      </c>
      <c r="S345" s="257">
        <v>0</v>
      </c>
      <c r="T345" s="256">
        <v>0</v>
      </c>
      <c r="U345" s="258">
        <f t="shared" si="239"/>
        <v>0</v>
      </c>
      <c r="V345" s="256">
        <v>0</v>
      </c>
      <c r="W345" s="256">
        <f t="shared" si="247"/>
        <v>0</v>
      </c>
      <c r="X345" s="256">
        <f t="shared" si="248"/>
        <v>0</v>
      </c>
      <c r="Y345" s="256">
        <v>0</v>
      </c>
      <c r="Z345" s="256">
        <f t="shared" si="243"/>
        <v>0</v>
      </c>
      <c r="AA345" s="256">
        <f t="shared" si="244"/>
        <v>0</v>
      </c>
      <c r="AB345" s="256">
        <v>0</v>
      </c>
      <c r="AC345" s="189">
        <f t="shared" si="241"/>
        <v>0</v>
      </c>
      <c r="AD345" s="259">
        <f t="shared" si="242"/>
        <v>0</v>
      </c>
    </row>
    <row r="346" spans="1:30" s="160" customFormat="1" hidden="1">
      <c r="A346" s="250">
        <v>341</v>
      </c>
      <c r="B346" s="251"/>
      <c r="C346" s="252"/>
      <c r="D346" s="253"/>
      <c r="E346" s="254">
        <f t="shared" si="230"/>
        <v>0</v>
      </c>
      <c r="F346" s="255">
        <f t="shared" si="231"/>
        <v>0</v>
      </c>
      <c r="G346" s="256">
        <f t="shared" si="232"/>
        <v>0</v>
      </c>
      <c r="H346" s="256">
        <f t="shared" si="233"/>
        <v>0</v>
      </c>
      <c r="I346" s="256">
        <f t="shared" si="234"/>
        <v>0</v>
      </c>
      <c r="J346" s="256">
        <f t="shared" si="235"/>
        <v>0</v>
      </c>
      <c r="K346" s="256">
        <f t="shared" si="236"/>
        <v>0</v>
      </c>
      <c r="L346" s="256">
        <f t="shared" si="237"/>
        <v>0</v>
      </c>
      <c r="M346" s="256">
        <f t="shared" si="238"/>
        <v>0</v>
      </c>
      <c r="N346" s="255">
        <v>0</v>
      </c>
      <c r="O346" s="256">
        <v>0</v>
      </c>
      <c r="P346" s="256">
        <v>0</v>
      </c>
      <c r="Q346" s="256">
        <v>0</v>
      </c>
      <c r="R346" s="256">
        <v>0</v>
      </c>
      <c r="S346" s="257">
        <v>0</v>
      </c>
      <c r="T346" s="256">
        <v>0</v>
      </c>
      <c r="U346" s="258">
        <f t="shared" si="239"/>
        <v>0</v>
      </c>
      <c r="V346" s="256">
        <v>0</v>
      </c>
      <c r="W346" s="256">
        <f t="shared" si="247"/>
        <v>0</v>
      </c>
      <c r="X346" s="256">
        <f t="shared" si="248"/>
        <v>0</v>
      </c>
      <c r="Y346" s="256">
        <v>0</v>
      </c>
      <c r="Z346" s="256">
        <f t="shared" si="243"/>
        <v>0</v>
      </c>
      <c r="AA346" s="256">
        <f t="shared" si="244"/>
        <v>0</v>
      </c>
      <c r="AB346" s="256">
        <v>0</v>
      </c>
      <c r="AC346" s="189">
        <f t="shared" si="241"/>
        <v>0</v>
      </c>
      <c r="AD346" s="259">
        <f t="shared" si="242"/>
        <v>0</v>
      </c>
    </row>
    <row r="347" spans="1:30" s="160" customFormat="1" hidden="1">
      <c r="A347" s="250">
        <v>342</v>
      </c>
      <c r="B347" s="251"/>
      <c r="C347" s="252"/>
      <c r="D347" s="253"/>
      <c r="E347" s="254">
        <f t="shared" si="230"/>
        <v>0</v>
      </c>
      <c r="F347" s="255">
        <f t="shared" si="231"/>
        <v>0</v>
      </c>
      <c r="G347" s="256">
        <f t="shared" si="232"/>
        <v>0</v>
      </c>
      <c r="H347" s="256">
        <f t="shared" si="233"/>
        <v>0</v>
      </c>
      <c r="I347" s="256">
        <f t="shared" si="234"/>
        <v>0</v>
      </c>
      <c r="J347" s="256">
        <f t="shared" si="235"/>
        <v>0</v>
      </c>
      <c r="K347" s="256">
        <f t="shared" si="236"/>
        <v>0</v>
      </c>
      <c r="L347" s="256">
        <f t="shared" si="237"/>
        <v>0</v>
      </c>
      <c r="M347" s="256">
        <f t="shared" si="238"/>
        <v>0</v>
      </c>
      <c r="N347" s="255">
        <v>0</v>
      </c>
      <c r="O347" s="256">
        <v>0</v>
      </c>
      <c r="P347" s="256">
        <v>0</v>
      </c>
      <c r="Q347" s="256">
        <v>0</v>
      </c>
      <c r="R347" s="256">
        <v>0</v>
      </c>
      <c r="S347" s="257">
        <v>0</v>
      </c>
      <c r="T347" s="256">
        <v>0</v>
      </c>
      <c r="U347" s="258">
        <f t="shared" si="239"/>
        <v>0</v>
      </c>
      <c r="V347" s="256">
        <v>0</v>
      </c>
      <c r="W347" s="256">
        <f t="shared" si="247"/>
        <v>0</v>
      </c>
      <c r="X347" s="256">
        <f t="shared" si="248"/>
        <v>0</v>
      </c>
      <c r="Y347" s="256">
        <v>0</v>
      </c>
      <c r="Z347" s="256">
        <f t="shared" si="243"/>
        <v>0</v>
      </c>
      <c r="AA347" s="256">
        <f t="shared" si="244"/>
        <v>0</v>
      </c>
      <c r="AB347" s="256">
        <v>0</v>
      </c>
      <c r="AC347" s="189">
        <f t="shared" si="241"/>
        <v>0</v>
      </c>
      <c r="AD347" s="259">
        <f t="shared" si="242"/>
        <v>0</v>
      </c>
    </row>
    <row r="348" spans="1:30" s="160" customFormat="1" hidden="1">
      <c r="A348" s="250">
        <v>343</v>
      </c>
      <c r="B348" s="251"/>
      <c r="C348" s="252"/>
      <c r="D348" s="253"/>
      <c r="E348" s="254">
        <f t="shared" si="230"/>
        <v>0</v>
      </c>
      <c r="F348" s="255">
        <f t="shared" si="231"/>
        <v>0</v>
      </c>
      <c r="G348" s="256">
        <f t="shared" si="232"/>
        <v>0</v>
      </c>
      <c r="H348" s="256">
        <f t="shared" si="233"/>
        <v>0</v>
      </c>
      <c r="I348" s="256">
        <f t="shared" si="234"/>
        <v>0</v>
      </c>
      <c r="J348" s="256">
        <f t="shared" si="235"/>
        <v>0</v>
      </c>
      <c r="K348" s="256">
        <f t="shared" si="236"/>
        <v>0</v>
      </c>
      <c r="L348" s="256">
        <f t="shared" si="237"/>
        <v>0</v>
      </c>
      <c r="M348" s="256">
        <f t="shared" si="238"/>
        <v>0</v>
      </c>
      <c r="N348" s="255">
        <v>0</v>
      </c>
      <c r="O348" s="256">
        <v>0</v>
      </c>
      <c r="P348" s="256">
        <v>0</v>
      </c>
      <c r="Q348" s="256">
        <v>0</v>
      </c>
      <c r="R348" s="256">
        <v>0</v>
      </c>
      <c r="S348" s="257">
        <v>0</v>
      </c>
      <c r="T348" s="256">
        <v>0</v>
      </c>
      <c r="U348" s="258">
        <f t="shared" si="239"/>
        <v>0</v>
      </c>
      <c r="V348" s="256">
        <v>0</v>
      </c>
      <c r="W348" s="256">
        <f t="shared" si="247"/>
        <v>0</v>
      </c>
      <c r="X348" s="256">
        <f t="shared" si="248"/>
        <v>0</v>
      </c>
      <c r="Y348" s="256">
        <v>0</v>
      </c>
      <c r="Z348" s="256">
        <f t="shared" si="243"/>
        <v>0</v>
      </c>
      <c r="AA348" s="256">
        <f t="shared" si="244"/>
        <v>0</v>
      </c>
      <c r="AB348" s="256">
        <v>0</v>
      </c>
      <c r="AC348" s="189">
        <f t="shared" si="241"/>
        <v>0</v>
      </c>
      <c r="AD348" s="259">
        <f t="shared" si="242"/>
        <v>0</v>
      </c>
    </row>
    <row r="349" spans="1:30" s="160" customFormat="1" hidden="1">
      <c r="A349" s="250">
        <v>344</v>
      </c>
      <c r="B349" s="251"/>
      <c r="C349" s="252"/>
      <c r="D349" s="253"/>
      <c r="E349" s="254">
        <f t="shared" si="230"/>
        <v>0</v>
      </c>
      <c r="F349" s="255">
        <f t="shared" si="231"/>
        <v>0</v>
      </c>
      <c r="G349" s="256">
        <f t="shared" si="232"/>
        <v>0</v>
      </c>
      <c r="H349" s="256">
        <f t="shared" si="233"/>
        <v>0</v>
      </c>
      <c r="I349" s="256">
        <f t="shared" si="234"/>
        <v>0</v>
      </c>
      <c r="J349" s="256">
        <f t="shared" si="235"/>
        <v>0</v>
      </c>
      <c r="K349" s="256">
        <f t="shared" si="236"/>
        <v>0</v>
      </c>
      <c r="L349" s="256">
        <f t="shared" si="237"/>
        <v>0</v>
      </c>
      <c r="M349" s="256">
        <f t="shared" si="238"/>
        <v>0</v>
      </c>
      <c r="N349" s="255">
        <v>0</v>
      </c>
      <c r="O349" s="256">
        <v>0</v>
      </c>
      <c r="P349" s="256">
        <v>0</v>
      </c>
      <c r="Q349" s="256">
        <v>0</v>
      </c>
      <c r="R349" s="256">
        <v>0</v>
      </c>
      <c r="S349" s="257">
        <v>0</v>
      </c>
      <c r="T349" s="256">
        <v>0</v>
      </c>
      <c r="U349" s="258">
        <f t="shared" si="239"/>
        <v>0</v>
      </c>
      <c r="V349" s="256">
        <v>0</v>
      </c>
      <c r="W349" s="256">
        <f t="shared" si="247"/>
        <v>0</v>
      </c>
      <c r="X349" s="256">
        <f t="shared" si="248"/>
        <v>0</v>
      </c>
      <c r="Y349" s="256">
        <v>0</v>
      </c>
      <c r="Z349" s="256">
        <f t="shared" si="243"/>
        <v>0</v>
      </c>
      <c r="AA349" s="256">
        <f t="shared" si="244"/>
        <v>0</v>
      </c>
      <c r="AB349" s="256">
        <v>0</v>
      </c>
      <c r="AC349" s="189">
        <f t="shared" si="241"/>
        <v>0</v>
      </c>
      <c r="AD349" s="259">
        <f t="shared" si="242"/>
        <v>0</v>
      </c>
    </row>
    <row r="350" spans="1:30" s="160" customFormat="1" hidden="1">
      <c r="A350" s="250">
        <v>345</v>
      </c>
      <c r="B350" s="251"/>
      <c r="C350" s="252"/>
      <c r="D350" s="253"/>
      <c r="E350" s="254">
        <f t="shared" si="230"/>
        <v>0</v>
      </c>
      <c r="F350" s="255">
        <f t="shared" si="231"/>
        <v>0</v>
      </c>
      <c r="G350" s="256">
        <f t="shared" si="232"/>
        <v>0</v>
      </c>
      <c r="H350" s="256">
        <f t="shared" si="233"/>
        <v>0</v>
      </c>
      <c r="I350" s="256">
        <f t="shared" si="234"/>
        <v>0</v>
      </c>
      <c r="J350" s="256">
        <f t="shared" si="235"/>
        <v>0</v>
      </c>
      <c r="K350" s="256">
        <f t="shared" si="236"/>
        <v>0</v>
      </c>
      <c r="L350" s="256">
        <f t="shared" si="237"/>
        <v>0</v>
      </c>
      <c r="M350" s="256">
        <f t="shared" si="238"/>
        <v>0</v>
      </c>
      <c r="N350" s="255">
        <v>0</v>
      </c>
      <c r="O350" s="256">
        <v>0</v>
      </c>
      <c r="P350" s="256">
        <v>0</v>
      </c>
      <c r="Q350" s="256">
        <v>0</v>
      </c>
      <c r="R350" s="256">
        <v>0</v>
      </c>
      <c r="S350" s="257">
        <v>0</v>
      </c>
      <c r="T350" s="256">
        <v>0</v>
      </c>
      <c r="U350" s="258">
        <f t="shared" si="239"/>
        <v>0</v>
      </c>
      <c r="V350" s="256">
        <v>0</v>
      </c>
      <c r="W350" s="256">
        <f t="shared" si="247"/>
        <v>0</v>
      </c>
      <c r="X350" s="256">
        <f t="shared" si="248"/>
        <v>0</v>
      </c>
      <c r="Y350" s="256">
        <v>0</v>
      </c>
      <c r="Z350" s="256">
        <f t="shared" si="243"/>
        <v>0</v>
      </c>
      <c r="AA350" s="256">
        <f t="shared" si="244"/>
        <v>0</v>
      </c>
      <c r="AB350" s="256">
        <v>0</v>
      </c>
      <c r="AC350" s="189">
        <f t="shared" si="241"/>
        <v>0</v>
      </c>
      <c r="AD350" s="259">
        <f t="shared" si="242"/>
        <v>0</v>
      </c>
    </row>
    <row r="351" spans="1:30" s="160" customFormat="1" hidden="1">
      <c r="A351" s="250">
        <v>346</v>
      </c>
      <c r="B351" s="251"/>
      <c r="C351" s="252"/>
      <c r="D351" s="253"/>
      <c r="E351" s="254">
        <f t="shared" si="230"/>
        <v>0</v>
      </c>
      <c r="F351" s="255">
        <f t="shared" si="231"/>
        <v>0</v>
      </c>
      <c r="G351" s="256">
        <f t="shared" si="232"/>
        <v>0</v>
      </c>
      <c r="H351" s="256">
        <f t="shared" si="233"/>
        <v>0</v>
      </c>
      <c r="I351" s="256">
        <f t="shared" si="234"/>
        <v>0</v>
      </c>
      <c r="J351" s="256">
        <f t="shared" si="235"/>
        <v>0</v>
      </c>
      <c r="K351" s="256">
        <f t="shared" si="236"/>
        <v>0</v>
      </c>
      <c r="L351" s="256">
        <f t="shared" si="237"/>
        <v>0</v>
      </c>
      <c r="M351" s="256">
        <f t="shared" si="238"/>
        <v>0</v>
      </c>
      <c r="N351" s="255">
        <v>0</v>
      </c>
      <c r="O351" s="256">
        <v>0</v>
      </c>
      <c r="P351" s="256">
        <v>0</v>
      </c>
      <c r="Q351" s="256">
        <v>0</v>
      </c>
      <c r="R351" s="256">
        <v>0</v>
      </c>
      <c r="S351" s="257">
        <v>0</v>
      </c>
      <c r="T351" s="256">
        <v>0</v>
      </c>
      <c r="U351" s="258">
        <f t="shared" si="239"/>
        <v>0</v>
      </c>
      <c r="V351" s="256">
        <v>0</v>
      </c>
      <c r="W351" s="256">
        <f t="shared" si="247"/>
        <v>0</v>
      </c>
      <c r="X351" s="256">
        <f t="shared" si="248"/>
        <v>0</v>
      </c>
      <c r="Y351" s="256">
        <v>0</v>
      </c>
      <c r="Z351" s="256">
        <f t="shared" si="243"/>
        <v>0</v>
      </c>
      <c r="AA351" s="256">
        <f t="shared" si="244"/>
        <v>0</v>
      </c>
      <c r="AB351" s="256">
        <v>0</v>
      </c>
      <c r="AC351" s="189">
        <f t="shared" si="241"/>
        <v>0</v>
      </c>
      <c r="AD351" s="259">
        <f t="shared" si="242"/>
        <v>0</v>
      </c>
    </row>
    <row r="352" spans="1:30" s="160" customFormat="1" hidden="1">
      <c r="A352" s="250">
        <v>347</v>
      </c>
      <c r="B352" s="251"/>
      <c r="C352" s="252"/>
      <c r="D352" s="253"/>
      <c r="E352" s="254">
        <f t="shared" si="230"/>
        <v>0</v>
      </c>
      <c r="F352" s="255">
        <f t="shared" si="231"/>
        <v>0</v>
      </c>
      <c r="G352" s="256">
        <f t="shared" si="232"/>
        <v>0</v>
      </c>
      <c r="H352" s="256">
        <f t="shared" si="233"/>
        <v>0</v>
      </c>
      <c r="I352" s="256">
        <f t="shared" si="234"/>
        <v>0</v>
      </c>
      <c r="J352" s="256">
        <f t="shared" si="235"/>
        <v>0</v>
      </c>
      <c r="K352" s="256">
        <f t="shared" si="236"/>
        <v>0</v>
      </c>
      <c r="L352" s="256">
        <f t="shared" si="237"/>
        <v>0</v>
      </c>
      <c r="M352" s="256">
        <f t="shared" si="238"/>
        <v>0</v>
      </c>
      <c r="N352" s="255">
        <v>0</v>
      </c>
      <c r="O352" s="256">
        <v>0</v>
      </c>
      <c r="P352" s="256">
        <v>0</v>
      </c>
      <c r="Q352" s="256">
        <v>0</v>
      </c>
      <c r="R352" s="256">
        <v>0</v>
      </c>
      <c r="S352" s="257">
        <v>0</v>
      </c>
      <c r="T352" s="256">
        <v>0</v>
      </c>
      <c r="U352" s="258">
        <f t="shared" si="239"/>
        <v>0</v>
      </c>
      <c r="V352" s="256">
        <v>0</v>
      </c>
      <c r="W352" s="256">
        <f t="shared" si="247"/>
        <v>0</v>
      </c>
      <c r="X352" s="256">
        <f t="shared" si="248"/>
        <v>0</v>
      </c>
      <c r="Y352" s="256">
        <v>0</v>
      </c>
      <c r="Z352" s="256">
        <f t="shared" si="243"/>
        <v>0</v>
      </c>
      <c r="AA352" s="256">
        <f t="shared" si="244"/>
        <v>0</v>
      </c>
      <c r="AB352" s="256">
        <v>0</v>
      </c>
      <c r="AC352" s="189">
        <f t="shared" si="241"/>
        <v>0</v>
      </c>
      <c r="AD352" s="259">
        <f t="shared" si="242"/>
        <v>0</v>
      </c>
    </row>
    <row r="353" spans="1:30" s="160" customFormat="1" hidden="1">
      <c r="A353" s="250">
        <v>348</v>
      </c>
      <c r="B353" s="251"/>
      <c r="C353" s="252"/>
      <c r="D353" s="253"/>
      <c r="E353" s="254">
        <f t="shared" si="230"/>
        <v>0</v>
      </c>
      <c r="F353" s="255">
        <f t="shared" si="231"/>
        <v>0</v>
      </c>
      <c r="G353" s="256">
        <f t="shared" si="232"/>
        <v>0</v>
      </c>
      <c r="H353" s="256">
        <f t="shared" si="233"/>
        <v>0</v>
      </c>
      <c r="I353" s="256">
        <f t="shared" si="234"/>
        <v>0</v>
      </c>
      <c r="J353" s="256">
        <f t="shared" si="235"/>
        <v>0</v>
      </c>
      <c r="K353" s="256">
        <f t="shared" si="236"/>
        <v>0</v>
      </c>
      <c r="L353" s="256">
        <f t="shared" si="237"/>
        <v>0</v>
      </c>
      <c r="M353" s="256">
        <f t="shared" si="238"/>
        <v>0</v>
      </c>
      <c r="N353" s="255">
        <v>0</v>
      </c>
      <c r="O353" s="256">
        <v>0</v>
      </c>
      <c r="P353" s="256">
        <v>0</v>
      </c>
      <c r="Q353" s="256">
        <v>0</v>
      </c>
      <c r="R353" s="256">
        <v>0</v>
      </c>
      <c r="S353" s="257">
        <v>0</v>
      </c>
      <c r="T353" s="256">
        <v>0</v>
      </c>
      <c r="U353" s="258">
        <f t="shared" si="239"/>
        <v>0</v>
      </c>
      <c r="V353" s="256">
        <v>0</v>
      </c>
      <c r="W353" s="256">
        <f t="shared" si="247"/>
        <v>0</v>
      </c>
      <c r="X353" s="256">
        <f t="shared" si="248"/>
        <v>0</v>
      </c>
      <c r="Y353" s="256">
        <v>0</v>
      </c>
      <c r="Z353" s="256">
        <f t="shared" si="243"/>
        <v>0</v>
      </c>
      <c r="AA353" s="256">
        <f t="shared" si="244"/>
        <v>0</v>
      </c>
      <c r="AB353" s="256">
        <v>0</v>
      </c>
      <c r="AC353" s="189">
        <f t="shared" si="241"/>
        <v>0</v>
      </c>
      <c r="AD353" s="259">
        <f t="shared" si="242"/>
        <v>0</v>
      </c>
    </row>
    <row r="354" spans="1:30" s="160" customFormat="1" hidden="1">
      <c r="A354" s="250">
        <v>349</v>
      </c>
      <c r="B354" s="251"/>
      <c r="C354" s="252"/>
      <c r="D354" s="253"/>
      <c r="E354" s="254">
        <f t="shared" si="230"/>
        <v>0</v>
      </c>
      <c r="F354" s="255">
        <f t="shared" si="231"/>
        <v>0</v>
      </c>
      <c r="G354" s="256">
        <f t="shared" si="232"/>
        <v>0</v>
      </c>
      <c r="H354" s="256">
        <f t="shared" si="233"/>
        <v>0</v>
      </c>
      <c r="I354" s="256">
        <f t="shared" si="234"/>
        <v>0</v>
      </c>
      <c r="J354" s="256">
        <f t="shared" si="235"/>
        <v>0</v>
      </c>
      <c r="K354" s="256">
        <f t="shared" si="236"/>
        <v>0</v>
      </c>
      <c r="L354" s="256">
        <f t="shared" si="237"/>
        <v>0</v>
      </c>
      <c r="M354" s="256">
        <f t="shared" si="238"/>
        <v>0</v>
      </c>
      <c r="N354" s="255">
        <v>0</v>
      </c>
      <c r="O354" s="256">
        <v>0</v>
      </c>
      <c r="P354" s="256">
        <v>0</v>
      </c>
      <c r="Q354" s="256">
        <v>0</v>
      </c>
      <c r="R354" s="256">
        <v>0</v>
      </c>
      <c r="S354" s="257">
        <v>0</v>
      </c>
      <c r="T354" s="256">
        <v>0</v>
      </c>
      <c r="U354" s="258">
        <f t="shared" si="239"/>
        <v>0</v>
      </c>
      <c r="V354" s="256">
        <v>0</v>
      </c>
      <c r="W354" s="256">
        <f t="shared" si="247"/>
        <v>0</v>
      </c>
      <c r="X354" s="256">
        <f t="shared" si="248"/>
        <v>0</v>
      </c>
      <c r="Y354" s="256">
        <v>0</v>
      </c>
      <c r="Z354" s="256">
        <f t="shared" si="243"/>
        <v>0</v>
      </c>
      <c r="AA354" s="256">
        <f t="shared" si="244"/>
        <v>0</v>
      </c>
      <c r="AB354" s="256">
        <v>0</v>
      </c>
      <c r="AC354" s="189">
        <f t="shared" si="241"/>
        <v>0</v>
      </c>
      <c r="AD354" s="259">
        <f t="shared" si="242"/>
        <v>0</v>
      </c>
    </row>
    <row r="355" spans="1:30" s="160" customFormat="1" hidden="1">
      <c r="A355" s="250">
        <v>350</v>
      </c>
      <c r="B355" s="251"/>
      <c r="C355" s="252"/>
      <c r="D355" s="253"/>
      <c r="E355" s="254">
        <f t="shared" si="230"/>
        <v>0</v>
      </c>
      <c r="F355" s="255">
        <f t="shared" si="231"/>
        <v>0</v>
      </c>
      <c r="G355" s="256">
        <f t="shared" si="232"/>
        <v>0</v>
      </c>
      <c r="H355" s="256">
        <f t="shared" si="233"/>
        <v>0</v>
      </c>
      <c r="I355" s="256">
        <f t="shared" si="234"/>
        <v>0</v>
      </c>
      <c r="J355" s="256">
        <f t="shared" si="235"/>
        <v>0</v>
      </c>
      <c r="K355" s="256">
        <f t="shared" si="236"/>
        <v>0</v>
      </c>
      <c r="L355" s="256">
        <f t="shared" si="237"/>
        <v>0</v>
      </c>
      <c r="M355" s="256">
        <f t="shared" si="238"/>
        <v>0</v>
      </c>
      <c r="N355" s="255">
        <v>0</v>
      </c>
      <c r="O355" s="256">
        <v>0</v>
      </c>
      <c r="P355" s="256">
        <v>0</v>
      </c>
      <c r="Q355" s="256">
        <v>0</v>
      </c>
      <c r="R355" s="256">
        <v>0</v>
      </c>
      <c r="S355" s="257">
        <v>0</v>
      </c>
      <c r="T355" s="256">
        <v>0</v>
      </c>
      <c r="U355" s="258">
        <f t="shared" si="239"/>
        <v>0</v>
      </c>
      <c r="V355" s="256">
        <v>0</v>
      </c>
      <c r="W355" s="256">
        <f t="shared" si="247"/>
        <v>0</v>
      </c>
      <c r="X355" s="256">
        <f t="shared" si="248"/>
        <v>0</v>
      </c>
      <c r="Y355" s="256">
        <v>0</v>
      </c>
      <c r="Z355" s="256">
        <f t="shared" si="243"/>
        <v>0</v>
      </c>
      <c r="AA355" s="256">
        <f t="shared" si="244"/>
        <v>0</v>
      </c>
      <c r="AB355" s="256">
        <v>0</v>
      </c>
      <c r="AC355" s="189">
        <f t="shared" si="241"/>
        <v>0</v>
      </c>
      <c r="AD355" s="259">
        <f t="shared" si="242"/>
        <v>0</v>
      </c>
    </row>
    <row r="356" spans="1:30" s="160" customFormat="1" hidden="1">
      <c r="A356" s="250">
        <v>351</v>
      </c>
      <c r="B356" s="251"/>
      <c r="C356" s="252"/>
      <c r="D356" s="253"/>
      <c r="E356" s="254">
        <f t="shared" si="230"/>
        <v>0</v>
      </c>
      <c r="F356" s="255">
        <f t="shared" si="231"/>
        <v>0</v>
      </c>
      <c r="G356" s="256">
        <f t="shared" si="232"/>
        <v>0</v>
      </c>
      <c r="H356" s="256">
        <f t="shared" si="233"/>
        <v>0</v>
      </c>
      <c r="I356" s="256">
        <f t="shared" si="234"/>
        <v>0</v>
      </c>
      <c r="J356" s="256">
        <f t="shared" si="235"/>
        <v>0</v>
      </c>
      <c r="K356" s="256">
        <f t="shared" si="236"/>
        <v>0</v>
      </c>
      <c r="L356" s="256">
        <f t="shared" si="237"/>
        <v>0</v>
      </c>
      <c r="M356" s="256">
        <f t="shared" si="238"/>
        <v>0</v>
      </c>
      <c r="N356" s="255">
        <v>0</v>
      </c>
      <c r="O356" s="256">
        <v>0</v>
      </c>
      <c r="P356" s="256">
        <v>0</v>
      </c>
      <c r="Q356" s="256">
        <v>0</v>
      </c>
      <c r="R356" s="256">
        <v>0</v>
      </c>
      <c r="S356" s="257">
        <v>0</v>
      </c>
      <c r="T356" s="256">
        <v>0</v>
      </c>
      <c r="U356" s="258">
        <f t="shared" si="239"/>
        <v>0</v>
      </c>
      <c r="V356" s="256">
        <v>0</v>
      </c>
      <c r="W356" s="256">
        <f t="shared" si="247"/>
        <v>0</v>
      </c>
      <c r="X356" s="256">
        <f t="shared" si="248"/>
        <v>0</v>
      </c>
      <c r="Y356" s="256">
        <v>0</v>
      </c>
      <c r="Z356" s="256">
        <f t="shared" si="243"/>
        <v>0</v>
      </c>
      <c r="AA356" s="256">
        <f t="shared" si="244"/>
        <v>0</v>
      </c>
      <c r="AB356" s="256">
        <v>0</v>
      </c>
      <c r="AC356" s="189">
        <f t="shared" si="241"/>
        <v>0</v>
      </c>
      <c r="AD356" s="259">
        <f t="shared" si="242"/>
        <v>0</v>
      </c>
    </row>
    <row r="357" spans="1:30" s="160" customFormat="1" hidden="1">
      <c r="A357" s="250">
        <v>352</v>
      </c>
      <c r="B357" s="251"/>
      <c r="C357" s="252"/>
      <c r="D357" s="253"/>
      <c r="E357" s="254">
        <f t="shared" si="230"/>
        <v>0</v>
      </c>
      <c r="F357" s="255">
        <f t="shared" si="231"/>
        <v>0</v>
      </c>
      <c r="G357" s="256">
        <f t="shared" si="232"/>
        <v>0</v>
      </c>
      <c r="H357" s="256">
        <f t="shared" si="233"/>
        <v>0</v>
      </c>
      <c r="I357" s="256">
        <f t="shared" si="234"/>
        <v>0</v>
      </c>
      <c r="J357" s="256">
        <f t="shared" si="235"/>
        <v>0</v>
      </c>
      <c r="K357" s="256">
        <f t="shared" si="236"/>
        <v>0</v>
      </c>
      <c r="L357" s="256">
        <f t="shared" si="237"/>
        <v>0</v>
      </c>
      <c r="M357" s="256">
        <f t="shared" si="238"/>
        <v>0</v>
      </c>
      <c r="N357" s="255">
        <v>0</v>
      </c>
      <c r="O357" s="256">
        <v>0</v>
      </c>
      <c r="P357" s="256">
        <v>0</v>
      </c>
      <c r="Q357" s="256">
        <v>0</v>
      </c>
      <c r="R357" s="256">
        <v>0</v>
      </c>
      <c r="S357" s="257">
        <v>0</v>
      </c>
      <c r="T357" s="256">
        <v>0</v>
      </c>
      <c r="U357" s="258">
        <f t="shared" si="239"/>
        <v>0</v>
      </c>
      <c r="V357" s="256">
        <v>0</v>
      </c>
      <c r="W357" s="256">
        <f t="shared" si="247"/>
        <v>0</v>
      </c>
      <c r="X357" s="256">
        <f t="shared" si="248"/>
        <v>0</v>
      </c>
      <c r="Y357" s="256">
        <v>0</v>
      </c>
      <c r="Z357" s="256">
        <f t="shared" si="243"/>
        <v>0</v>
      </c>
      <c r="AA357" s="256">
        <f t="shared" si="244"/>
        <v>0</v>
      </c>
      <c r="AB357" s="256">
        <v>0</v>
      </c>
      <c r="AC357" s="189">
        <f t="shared" si="241"/>
        <v>0</v>
      </c>
      <c r="AD357" s="259">
        <f t="shared" si="242"/>
        <v>0</v>
      </c>
    </row>
    <row r="358" spans="1:30" s="160" customFormat="1" hidden="1">
      <c r="A358" s="250">
        <v>353</v>
      </c>
      <c r="B358" s="251"/>
      <c r="C358" s="252"/>
      <c r="D358" s="253"/>
      <c r="E358" s="254">
        <f t="shared" si="230"/>
        <v>0</v>
      </c>
      <c r="F358" s="255">
        <f t="shared" si="231"/>
        <v>0</v>
      </c>
      <c r="G358" s="256">
        <f t="shared" si="232"/>
        <v>0</v>
      </c>
      <c r="H358" s="256">
        <f t="shared" si="233"/>
        <v>0</v>
      </c>
      <c r="I358" s="256">
        <f t="shared" si="234"/>
        <v>0</v>
      </c>
      <c r="J358" s="256">
        <f t="shared" si="235"/>
        <v>0</v>
      </c>
      <c r="K358" s="256">
        <f t="shared" si="236"/>
        <v>0</v>
      </c>
      <c r="L358" s="256">
        <f t="shared" si="237"/>
        <v>0</v>
      </c>
      <c r="M358" s="256">
        <f t="shared" si="238"/>
        <v>0</v>
      </c>
      <c r="N358" s="255">
        <v>0</v>
      </c>
      <c r="O358" s="256">
        <v>0</v>
      </c>
      <c r="P358" s="256">
        <v>0</v>
      </c>
      <c r="Q358" s="256">
        <v>0</v>
      </c>
      <c r="R358" s="256">
        <v>0</v>
      </c>
      <c r="S358" s="257">
        <v>0</v>
      </c>
      <c r="T358" s="256">
        <v>0</v>
      </c>
      <c r="U358" s="258">
        <f t="shared" si="239"/>
        <v>0</v>
      </c>
      <c r="V358" s="256">
        <v>0</v>
      </c>
      <c r="W358" s="256">
        <f t="shared" si="247"/>
        <v>0</v>
      </c>
      <c r="X358" s="256">
        <f t="shared" si="248"/>
        <v>0</v>
      </c>
      <c r="Y358" s="256">
        <v>0</v>
      </c>
      <c r="Z358" s="256">
        <f t="shared" si="243"/>
        <v>0</v>
      </c>
      <c r="AA358" s="256">
        <f t="shared" si="244"/>
        <v>0</v>
      </c>
      <c r="AB358" s="256">
        <v>0</v>
      </c>
      <c r="AC358" s="189">
        <f t="shared" si="241"/>
        <v>0</v>
      </c>
      <c r="AD358" s="259">
        <f t="shared" si="242"/>
        <v>0</v>
      </c>
    </row>
    <row r="359" spans="1:30" s="160" customFormat="1" hidden="1">
      <c r="A359" s="250">
        <v>354</v>
      </c>
      <c r="B359" s="251"/>
      <c r="C359" s="252"/>
      <c r="D359" s="253"/>
      <c r="E359" s="254">
        <f t="shared" si="230"/>
        <v>0</v>
      </c>
      <c r="F359" s="255">
        <f t="shared" si="231"/>
        <v>0</v>
      </c>
      <c r="G359" s="256">
        <f t="shared" si="232"/>
        <v>0</v>
      </c>
      <c r="H359" s="256">
        <f t="shared" si="233"/>
        <v>0</v>
      </c>
      <c r="I359" s="256">
        <f t="shared" si="234"/>
        <v>0</v>
      </c>
      <c r="J359" s="256">
        <f t="shared" si="235"/>
        <v>0</v>
      </c>
      <c r="K359" s="256">
        <f t="shared" si="236"/>
        <v>0</v>
      </c>
      <c r="L359" s="256">
        <f t="shared" si="237"/>
        <v>0</v>
      </c>
      <c r="M359" s="256">
        <f t="shared" si="238"/>
        <v>0</v>
      </c>
      <c r="N359" s="255">
        <v>0</v>
      </c>
      <c r="O359" s="256">
        <v>0</v>
      </c>
      <c r="P359" s="256">
        <v>0</v>
      </c>
      <c r="Q359" s="256">
        <v>0</v>
      </c>
      <c r="R359" s="256">
        <v>0</v>
      </c>
      <c r="S359" s="257">
        <v>0</v>
      </c>
      <c r="T359" s="256">
        <v>0</v>
      </c>
      <c r="U359" s="258">
        <f t="shared" si="239"/>
        <v>0</v>
      </c>
      <c r="V359" s="256">
        <v>0</v>
      </c>
      <c r="W359" s="256">
        <f t="shared" si="247"/>
        <v>0</v>
      </c>
      <c r="X359" s="256">
        <f t="shared" si="248"/>
        <v>0</v>
      </c>
      <c r="Y359" s="256">
        <v>0</v>
      </c>
      <c r="Z359" s="256">
        <f t="shared" si="243"/>
        <v>0</v>
      </c>
      <c r="AA359" s="256">
        <f t="shared" si="244"/>
        <v>0</v>
      </c>
      <c r="AB359" s="256">
        <v>0</v>
      </c>
      <c r="AC359" s="189">
        <f t="shared" si="241"/>
        <v>0</v>
      </c>
      <c r="AD359" s="259">
        <f t="shared" si="242"/>
        <v>0</v>
      </c>
    </row>
    <row r="360" spans="1:30" s="160" customFormat="1" hidden="1">
      <c r="A360" s="250">
        <v>355</v>
      </c>
      <c r="B360" s="251"/>
      <c r="C360" s="252"/>
      <c r="D360" s="253"/>
      <c r="E360" s="254">
        <f t="shared" si="230"/>
        <v>0</v>
      </c>
      <c r="F360" s="255">
        <f t="shared" si="231"/>
        <v>0</v>
      </c>
      <c r="G360" s="256">
        <f t="shared" si="232"/>
        <v>0</v>
      </c>
      <c r="H360" s="256">
        <f t="shared" si="233"/>
        <v>0</v>
      </c>
      <c r="I360" s="256">
        <f t="shared" si="234"/>
        <v>0</v>
      </c>
      <c r="J360" s="256">
        <f t="shared" si="235"/>
        <v>0</v>
      </c>
      <c r="K360" s="256">
        <f t="shared" si="236"/>
        <v>0</v>
      </c>
      <c r="L360" s="256">
        <f t="shared" si="237"/>
        <v>0</v>
      </c>
      <c r="M360" s="256">
        <f t="shared" si="238"/>
        <v>0</v>
      </c>
      <c r="N360" s="255">
        <v>0</v>
      </c>
      <c r="O360" s="256">
        <v>0</v>
      </c>
      <c r="P360" s="256">
        <v>0</v>
      </c>
      <c r="Q360" s="256">
        <v>0</v>
      </c>
      <c r="R360" s="256">
        <v>0</v>
      </c>
      <c r="S360" s="257">
        <v>0</v>
      </c>
      <c r="T360" s="256">
        <v>0</v>
      </c>
      <c r="U360" s="258">
        <f t="shared" si="239"/>
        <v>0</v>
      </c>
      <c r="V360" s="256">
        <v>0</v>
      </c>
      <c r="W360" s="256">
        <f t="shared" si="247"/>
        <v>0</v>
      </c>
      <c r="X360" s="256">
        <f t="shared" si="248"/>
        <v>0</v>
      </c>
      <c r="Y360" s="256">
        <v>0</v>
      </c>
      <c r="Z360" s="256">
        <f t="shared" si="243"/>
        <v>0</v>
      </c>
      <c r="AA360" s="256">
        <f t="shared" si="244"/>
        <v>0</v>
      </c>
      <c r="AB360" s="256">
        <v>0</v>
      </c>
      <c r="AC360" s="189">
        <f t="shared" si="241"/>
        <v>0</v>
      </c>
      <c r="AD360" s="259">
        <f t="shared" si="242"/>
        <v>0</v>
      </c>
    </row>
    <row r="361" spans="1:30" s="160" customFormat="1" hidden="1">
      <c r="A361" s="250">
        <v>356</v>
      </c>
      <c r="B361" s="251"/>
      <c r="C361" s="252"/>
      <c r="D361" s="253"/>
      <c r="E361" s="254">
        <f t="shared" si="230"/>
        <v>0</v>
      </c>
      <c r="F361" s="255">
        <f t="shared" si="231"/>
        <v>0</v>
      </c>
      <c r="G361" s="256">
        <f t="shared" si="232"/>
        <v>0</v>
      </c>
      <c r="H361" s="256">
        <f t="shared" si="233"/>
        <v>0</v>
      </c>
      <c r="I361" s="256">
        <f t="shared" si="234"/>
        <v>0</v>
      </c>
      <c r="J361" s="256">
        <f t="shared" si="235"/>
        <v>0</v>
      </c>
      <c r="K361" s="256">
        <f t="shared" si="236"/>
        <v>0</v>
      </c>
      <c r="L361" s="256">
        <f t="shared" si="237"/>
        <v>0</v>
      </c>
      <c r="M361" s="256">
        <f t="shared" si="238"/>
        <v>0</v>
      </c>
      <c r="N361" s="255">
        <v>0</v>
      </c>
      <c r="O361" s="256">
        <v>0</v>
      </c>
      <c r="P361" s="256">
        <v>0</v>
      </c>
      <c r="Q361" s="256">
        <v>0</v>
      </c>
      <c r="R361" s="256">
        <v>0</v>
      </c>
      <c r="S361" s="257">
        <v>0</v>
      </c>
      <c r="T361" s="256">
        <v>0</v>
      </c>
      <c r="U361" s="258">
        <f t="shared" si="239"/>
        <v>0</v>
      </c>
      <c r="V361" s="256">
        <v>0</v>
      </c>
      <c r="W361" s="256">
        <f t="shared" si="247"/>
        <v>0</v>
      </c>
      <c r="X361" s="256">
        <f t="shared" si="248"/>
        <v>0</v>
      </c>
      <c r="Y361" s="256">
        <v>0</v>
      </c>
      <c r="Z361" s="256">
        <f t="shared" si="243"/>
        <v>0</v>
      </c>
      <c r="AA361" s="256">
        <f t="shared" si="244"/>
        <v>0</v>
      </c>
      <c r="AB361" s="256">
        <v>0</v>
      </c>
      <c r="AC361" s="189">
        <f t="shared" si="241"/>
        <v>0</v>
      </c>
      <c r="AD361" s="259">
        <f t="shared" si="242"/>
        <v>0</v>
      </c>
    </row>
    <row r="362" spans="1:30" s="160" customFormat="1" hidden="1">
      <c r="A362" s="250">
        <v>357</v>
      </c>
      <c r="B362" s="251"/>
      <c r="C362" s="252"/>
      <c r="D362" s="253"/>
      <c r="E362" s="254">
        <f t="shared" si="230"/>
        <v>0</v>
      </c>
      <c r="F362" s="255">
        <f t="shared" si="231"/>
        <v>0</v>
      </c>
      <c r="G362" s="256">
        <f t="shared" si="232"/>
        <v>0</v>
      </c>
      <c r="H362" s="256">
        <f t="shared" si="233"/>
        <v>0</v>
      </c>
      <c r="I362" s="256">
        <f t="shared" si="234"/>
        <v>0</v>
      </c>
      <c r="J362" s="256">
        <f t="shared" si="235"/>
        <v>0</v>
      </c>
      <c r="K362" s="256">
        <f t="shared" si="236"/>
        <v>0</v>
      </c>
      <c r="L362" s="256">
        <f t="shared" si="237"/>
        <v>0</v>
      </c>
      <c r="M362" s="256">
        <f t="shared" si="238"/>
        <v>0</v>
      </c>
      <c r="N362" s="255">
        <v>0</v>
      </c>
      <c r="O362" s="256">
        <v>0</v>
      </c>
      <c r="P362" s="256">
        <v>0</v>
      </c>
      <c r="Q362" s="256">
        <v>0</v>
      </c>
      <c r="R362" s="256">
        <v>0</v>
      </c>
      <c r="S362" s="257">
        <v>0</v>
      </c>
      <c r="T362" s="256">
        <v>0</v>
      </c>
      <c r="U362" s="258">
        <f t="shared" si="239"/>
        <v>0</v>
      </c>
      <c r="V362" s="256">
        <v>0</v>
      </c>
      <c r="W362" s="256">
        <f t="shared" si="247"/>
        <v>0</v>
      </c>
      <c r="X362" s="256">
        <f t="shared" si="248"/>
        <v>0</v>
      </c>
      <c r="Y362" s="256">
        <v>0</v>
      </c>
      <c r="Z362" s="256">
        <f t="shared" si="243"/>
        <v>0</v>
      </c>
      <c r="AA362" s="256">
        <f t="shared" si="244"/>
        <v>0</v>
      </c>
      <c r="AB362" s="256">
        <v>0</v>
      </c>
      <c r="AC362" s="189">
        <f t="shared" si="241"/>
        <v>0</v>
      </c>
      <c r="AD362" s="259">
        <f t="shared" si="242"/>
        <v>0</v>
      </c>
    </row>
    <row r="363" spans="1:30" s="160" customFormat="1" hidden="1">
      <c r="A363" s="250">
        <v>358</v>
      </c>
      <c r="B363" s="251"/>
      <c r="C363" s="252"/>
      <c r="D363" s="253"/>
      <c r="E363" s="254">
        <f t="shared" si="230"/>
        <v>0</v>
      </c>
      <c r="F363" s="255">
        <f t="shared" si="231"/>
        <v>0</v>
      </c>
      <c r="G363" s="256">
        <f t="shared" si="232"/>
        <v>0</v>
      </c>
      <c r="H363" s="256">
        <f t="shared" si="233"/>
        <v>0</v>
      </c>
      <c r="I363" s="256">
        <f t="shared" si="234"/>
        <v>0</v>
      </c>
      <c r="J363" s="256">
        <f t="shared" si="235"/>
        <v>0</v>
      </c>
      <c r="K363" s="256">
        <f t="shared" si="236"/>
        <v>0</v>
      </c>
      <c r="L363" s="256">
        <f t="shared" si="237"/>
        <v>0</v>
      </c>
      <c r="M363" s="256">
        <f t="shared" si="238"/>
        <v>0</v>
      </c>
      <c r="N363" s="255">
        <v>0</v>
      </c>
      <c r="O363" s="256">
        <v>0</v>
      </c>
      <c r="P363" s="256">
        <v>0</v>
      </c>
      <c r="Q363" s="256">
        <v>0</v>
      </c>
      <c r="R363" s="256">
        <v>0</v>
      </c>
      <c r="S363" s="257">
        <v>0</v>
      </c>
      <c r="T363" s="256">
        <v>0</v>
      </c>
      <c r="U363" s="258">
        <f t="shared" si="239"/>
        <v>0</v>
      </c>
      <c r="V363" s="256">
        <v>0</v>
      </c>
      <c r="W363" s="256">
        <f t="shared" si="247"/>
        <v>0</v>
      </c>
      <c r="X363" s="256">
        <f t="shared" si="248"/>
        <v>0</v>
      </c>
      <c r="Y363" s="256">
        <v>0</v>
      </c>
      <c r="Z363" s="256">
        <f t="shared" si="243"/>
        <v>0</v>
      </c>
      <c r="AA363" s="256">
        <f t="shared" si="244"/>
        <v>0</v>
      </c>
      <c r="AB363" s="256">
        <v>0</v>
      </c>
      <c r="AC363" s="189">
        <f t="shared" si="241"/>
        <v>0</v>
      </c>
      <c r="AD363" s="259">
        <f t="shared" si="242"/>
        <v>0</v>
      </c>
    </row>
    <row r="364" spans="1:30" s="160" customFormat="1" hidden="1">
      <c r="A364" s="250">
        <v>359</v>
      </c>
      <c r="B364" s="251"/>
      <c r="C364" s="252"/>
      <c r="D364" s="253"/>
      <c r="E364" s="254">
        <f t="shared" si="230"/>
        <v>0</v>
      </c>
      <c r="F364" s="255">
        <f t="shared" si="231"/>
        <v>0</v>
      </c>
      <c r="G364" s="256">
        <f t="shared" si="232"/>
        <v>0</v>
      </c>
      <c r="H364" s="256">
        <f t="shared" si="233"/>
        <v>0</v>
      </c>
      <c r="I364" s="256">
        <f t="shared" si="234"/>
        <v>0</v>
      </c>
      <c r="J364" s="256">
        <f t="shared" si="235"/>
        <v>0</v>
      </c>
      <c r="K364" s="256">
        <f t="shared" si="236"/>
        <v>0</v>
      </c>
      <c r="L364" s="256">
        <f t="shared" si="237"/>
        <v>0</v>
      </c>
      <c r="M364" s="256">
        <f t="shared" si="238"/>
        <v>0</v>
      </c>
      <c r="N364" s="255">
        <v>0</v>
      </c>
      <c r="O364" s="256">
        <v>0</v>
      </c>
      <c r="P364" s="256">
        <v>0</v>
      </c>
      <c r="Q364" s="256">
        <v>0</v>
      </c>
      <c r="R364" s="256">
        <v>0</v>
      </c>
      <c r="S364" s="257">
        <v>0</v>
      </c>
      <c r="T364" s="256">
        <v>0</v>
      </c>
      <c r="U364" s="258">
        <f t="shared" si="239"/>
        <v>0</v>
      </c>
      <c r="V364" s="256">
        <v>0</v>
      </c>
      <c r="W364" s="256">
        <f t="shared" si="247"/>
        <v>0</v>
      </c>
      <c r="X364" s="256">
        <f t="shared" si="248"/>
        <v>0</v>
      </c>
      <c r="Y364" s="256">
        <v>0</v>
      </c>
      <c r="Z364" s="256">
        <f t="shared" si="243"/>
        <v>0</v>
      </c>
      <c r="AA364" s="256">
        <f t="shared" si="244"/>
        <v>0</v>
      </c>
      <c r="AB364" s="256">
        <v>0</v>
      </c>
      <c r="AC364" s="189">
        <f t="shared" si="241"/>
        <v>0</v>
      </c>
      <c r="AD364" s="259">
        <f t="shared" si="242"/>
        <v>0</v>
      </c>
    </row>
    <row r="365" spans="1:30" s="160" customFormat="1" hidden="1">
      <c r="A365" s="250">
        <v>360</v>
      </c>
      <c r="B365" s="251"/>
      <c r="C365" s="252"/>
      <c r="D365" s="253"/>
      <c r="E365" s="254">
        <f t="shared" si="230"/>
        <v>0</v>
      </c>
      <c r="F365" s="255">
        <f t="shared" si="231"/>
        <v>0</v>
      </c>
      <c r="G365" s="256">
        <f t="shared" si="232"/>
        <v>0</v>
      </c>
      <c r="H365" s="256">
        <f t="shared" si="233"/>
        <v>0</v>
      </c>
      <c r="I365" s="256">
        <f t="shared" si="234"/>
        <v>0</v>
      </c>
      <c r="J365" s="256">
        <f t="shared" si="235"/>
        <v>0</v>
      </c>
      <c r="K365" s="256">
        <f t="shared" si="236"/>
        <v>0</v>
      </c>
      <c r="L365" s="256">
        <f t="shared" si="237"/>
        <v>0</v>
      </c>
      <c r="M365" s="256">
        <f t="shared" si="238"/>
        <v>0</v>
      </c>
      <c r="N365" s="255">
        <v>0</v>
      </c>
      <c r="O365" s="256">
        <v>0</v>
      </c>
      <c r="P365" s="256">
        <v>0</v>
      </c>
      <c r="Q365" s="256">
        <v>0</v>
      </c>
      <c r="R365" s="256">
        <v>0</v>
      </c>
      <c r="S365" s="257">
        <v>0</v>
      </c>
      <c r="T365" s="256">
        <v>0</v>
      </c>
      <c r="U365" s="258">
        <f t="shared" si="239"/>
        <v>0</v>
      </c>
      <c r="V365" s="256">
        <v>0</v>
      </c>
      <c r="W365" s="256">
        <f t="shared" si="247"/>
        <v>0</v>
      </c>
      <c r="X365" s="256">
        <f t="shared" si="248"/>
        <v>0</v>
      </c>
      <c r="Y365" s="256">
        <v>0</v>
      </c>
      <c r="Z365" s="256">
        <f t="shared" si="243"/>
        <v>0</v>
      </c>
      <c r="AA365" s="256">
        <f t="shared" si="244"/>
        <v>0</v>
      </c>
      <c r="AB365" s="256">
        <v>0</v>
      </c>
      <c r="AC365" s="189">
        <f t="shared" si="241"/>
        <v>0</v>
      </c>
      <c r="AD365" s="259">
        <f t="shared" si="242"/>
        <v>0</v>
      </c>
    </row>
    <row r="366" spans="1:30" s="160" customFormat="1" hidden="1">
      <c r="A366" s="250">
        <v>361</v>
      </c>
      <c r="B366" s="251"/>
      <c r="C366" s="252"/>
      <c r="D366" s="253"/>
      <c r="E366" s="254">
        <f t="shared" si="230"/>
        <v>0</v>
      </c>
      <c r="F366" s="255">
        <f t="shared" si="231"/>
        <v>0</v>
      </c>
      <c r="G366" s="256">
        <f t="shared" si="232"/>
        <v>0</v>
      </c>
      <c r="H366" s="256">
        <f t="shared" si="233"/>
        <v>0</v>
      </c>
      <c r="I366" s="256">
        <f t="shared" si="234"/>
        <v>0</v>
      </c>
      <c r="J366" s="256">
        <f t="shared" si="235"/>
        <v>0</v>
      </c>
      <c r="K366" s="256">
        <f t="shared" si="236"/>
        <v>0</v>
      </c>
      <c r="L366" s="256">
        <f t="shared" si="237"/>
        <v>0</v>
      </c>
      <c r="M366" s="256">
        <f t="shared" si="238"/>
        <v>0</v>
      </c>
      <c r="N366" s="255">
        <v>0</v>
      </c>
      <c r="O366" s="256">
        <v>0</v>
      </c>
      <c r="P366" s="256">
        <v>0</v>
      </c>
      <c r="Q366" s="256">
        <v>0</v>
      </c>
      <c r="R366" s="256">
        <v>0</v>
      </c>
      <c r="S366" s="257">
        <v>0</v>
      </c>
      <c r="T366" s="256">
        <v>0</v>
      </c>
      <c r="U366" s="258">
        <f t="shared" si="239"/>
        <v>0</v>
      </c>
      <c r="V366" s="256">
        <v>0</v>
      </c>
      <c r="W366" s="256">
        <f t="shared" si="247"/>
        <v>0</v>
      </c>
      <c r="X366" s="256">
        <f t="shared" si="248"/>
        <v>0</v>
      </c>
      <c r="Y366" s="256">
        <v>0</v>
      </c>
      <c r="Z366" s="256">
        <f t="shared" si="243"/>
        <v>0</v>
      </c>
      <c r="AA366" s="256">
        <f t="shared" si="244"/>
        <v>0</v>
      </c>
      <c r="AB366" s="256">
        <v>0</v>
      </c>
      <c r="AC366" s="189">
        <f t="shared" si="241"/>
        <v>0</v>
      </c>
      <c r="AD366" s="259">
        <f t="shared" si="242"/>
        <v>0</v>
      </c>
    </row>
    <row r="367" spans="1:30" s="160" customFormat="1" hidden="1">
      <c r="A367" s="250">
        <v>362</v>
      </c>
      <c r="B367" s="251"/>
      <c r="C367" s="252"/>
      <c r="D367" s="253"/>
      <c r="E367" s="254">
        <f t="shared" si="230"/>
        <v>0</v>
      </c>
      <c r="F367" s="255">
        <f t="shared" si="231"/>
        <v>0</v>
      </c>
      <c r="G367" s="256">
        <f t="shared" si="232"/>
        <v>0</v>
      </c>
      <c r="H367" s="256">
        <f t="shared" si="233"/>
        <v>0</v>
      </c>
      <c r="I367" s="256">
        <f t="shared" si="234"/>
        <v>0</v>
      </c>
      <c r="J367" s="256">
        <f t="shared" si="235"/>
        <v>0</v>
      </c>
      <c r="K367" s="256">
        <f t="shared" si="236"/>
        <v>0</v>
      </c>
      <c r="L367" s="256">
        <f t="shared" si="237"/>
        <v>0</v>
      </c>
      <c r="M367" s="256">
        <f t="shared" si="238"/>
        <v>0</v>
      </c>
      <c r="N367" s="255">
        <v>0</v>
      </c>
      <c r="O367" s="256">
        <v>0</v>
      </c>
      <c r="P367" s="256">
        <v>0</v>
      </c>
      <c r="Q367" s="256">
        <v>0</v>
      </c>
      <c r="R367" s="256">
        <v>0</v>
      </c>
      <c r="S367" s="257">
        <v>0</v>
      </c>
      <c r="T367" s="256">
        <v>0</v>
      </c>
      <c r="U367" s="258">
        <f t="shared" si="239"/>
        <v>0</v>
      </c>
      <c r="V367" s="256">
        <v>0</v>
      </c>
      <c r="W367" s="256">
        <f t="shared" si="247"/>
        <v>0</v>
      </c>
      <c r="X367" s="256">
        <f t="shared" si="248"/>
        <v>0</v>
      </c>
      <c r="Y367" s="256">
        <v>0</v>
      </c>
      <c r="Z367" s="256">
        <f t="shared" si="243"/>
        <v>0</v>
      </c>
      <c r="AA367" s="256">
        <f t="shared" si="244"/>
        <v>0</v>
      </c>
      <c r="AB367" s="256">
        <v>0</v>
      </c>
      <c r="AC367" s="189">
        <f t="shared" si="241"/>
        <v>0</v>
      </c>
      <c r="AD367" s="259">
        <f t="shared" si="242"/>
        <v>0</v>
      </c>
    </row>
    <row r="368" spans="1:30" s="160" customFormat="1" hidden="1">
      <c r="A368" s="250">
        <v>363</v>
      </c>
      <c r="B368" s="251"/>
      <c r="C368" s="252"/>
      <c r="D368" s="253"/>
      <c r="E368" s="254">
        <f t="shared" si="230"/>
        <v>0</v>
      </c>
      <c r="F368" s="255">
        <f t="shared" si="231"/>
        <v>0</v>
      </c>
      <c r="G368" s="256">
        <f t="shared" si="232"/>
        <v>0</v>
      </c>
      <c r="H368" s="256">
        <f t="shared" si="233"/>
        <v>0</v>
      </c>
      <c r="I368" s="256">
        <f t="shared" si="234"/>
        <v>0</v>
      </c>
      <c r="J368" s="256">
        <f t="shared" si="235"/>
        <v>0</v>
      </c>
      <c r="K368" s="256">
        <f t="shared" si="236"/>
        <v>0</v>
      </c>
      <c r="L368" s="256">
        <f t="shared" si="237"/>
        <v>0</v>
      </c>
      <c r="M368" s="256">
        <f t="shared" si="238"/>
        <v>0</v>
      </c>
      <c r="N368" s="255">
        <v>0</v>
      </c>
      <c r="O368" s="256">
        <v>0</v>
      </c>
      <c r="P368" s="256">
        <v>0</v>
      </c>
      <c r="Q368" s="256">
        <v>0</v>
      </c>
      <c r="R368" s="256">
        <v>0</v>
      </c>
      <c r="S368" s="257">
        <v>0</v>
      </c>
      <c r="T368" s="256">
        <v>0</v>
      </c>
      <c r="U368" s="258">
        <f t="shared" si="239"/>
        <v>0</v>
      </c>
      <c r="V368" s="256">
        <v>0</v>
      </c>
      <c r="W368" s="256">
        <f t="shared" si="247"/>
        <v>0</v>
      </c>
      <c r="X368" s="256">
        <f t="shared" si="248"/>
        <v>0</v>
      </c>
      <c r="Y368" s="256">
        <v>0</v>
      </c>
      <c r="Z368" s="256">
        <f t="shared" si="243"/>
        <v>0</v>
      </c>
      <c r="AA368" s="256">
        <f t="shared" si="244"/>
        <v>0</v>
      </c>
      <c r="AB368" s="256">
        <v>0</v>
      </c>
      <c r="AC368" s="189">
        <f t="shared" si="241"/>
        <v>0</v>
      </c>
      <c r="AD368" s="259">
        <f t="shared" si="242"/>
        <v>0</v>
      </c>
    </row>
    <row r="369" spans="1:30" s="160" customFormat="1" hidden="1">
      <c r="A369" s="250">
        <v>364</v>
      </c>
      <c r="B369" s="251"/>
      <c r="C369" s="252"/>
      <c r="D369" s="253"/>
      <c r="E369" s="254">
        <f t="shared" si="230"/>
        <v>0</v>
      </c>
      <c r="F369" s="255">
        <f t="shared" si="231"/>
        <v>0</v>
      </c>
      <c r="G369" s="256">
        <f t="shared" si="232"/>
        <v>0</v>
      </c>
      <c r="H369" s="256">
        <f t="shared" si="233"/>
        <v>0</v>
      </c>
      <c r="I369" s="256">
        <f t="shared" si="234"/>
        <v>0</v>
      </c>
      <c r="J369" s="256">
        <f t="shared" si="235"/>
        <v>0</v>
      </c>
      <c r="K369" s="256">
        <f t="shared" si="236"/>
        <v>0</v>
      </c>
      <c r="L369" s="256">
        <f t="shared" si="237"/>
        <v>0</v>
      </c>
      <c r="M369" s="256">
        <f t="shared" si="238"/>
        <v>0</v>
      </c>
      <c r="N369" s="255">
        <v>0</v>
      </c>
      <c r="O369" s="256">
        <v>0</v>
      </c>
      <c r="P369" s="256">
        <v>0</v>
      </c>
      <c r="Q369" s="256">
        <v>0</v>
      </c>
      <c r="R369" s="256">
        <v>0</v>
      </c>
      <c r="S369" s="257">
        <v>0</v>
      </c>
      <c r="T369" s="256">
        <v>0</v>
      </c>
      <c r="U369" s="258">
        <f t="shared" si="239"/>
        <v>0</v>
      </c>
      <c r="V369" s="256">
        <v>0</v>
      </c>
      <c r="W369" s="256">
        <f t="shared" si="247"/>
        <v>0</v>
      </c>
      <c r="X369" s="256">
        <f t="shared" si="248"/>
        <v>0</v>
      </c>
      <c r="Y369" s="256">
        <v>0</v>
      </c>
      <c r="Z369" s="256">
        <f t="shared" si="243"/>
        <v>0</v>
      </c>
      <c r="AA369" s="256">
        <f t="shared" si="244"/>
        <v>0</v>
      </c>
      <c r="AB369" s="256">
        <v>0</v>
      </c>
      <c r="AC369" s="189">
        <f t="shared" si="241"/>
        <v>0</v>
      </c>
      <c r="AD369" s="259">
        <f t="shared" si="242"/>
        <v>0</v>
      </c>
    </row>
    <row r="370" spans="1:30" s="160" customFormat="1" hidden="1">
      <c r="A370" s="250">
        <v>365</v>
      </c>
      <c r="B370" s="251"/>
      <c r="C370" s="252"/>
      <c r="D370" s="253"/>
      <c r="E370" s="254">
        <f t="shared" si="230"/>
        <v>0</v>
      </c>
      <c r="F370" s="255">
        <f t="shared" si="231"/>
        <v>0</v>
      </c>
      <c r="G370" s="256">
        <f t="shared" si="232"/>
        <v>0</v>
      </c>
      <c r="H370" s="256">
        <f t="shared" si="233"/>
        <v>0</v>
      </c>
      <c r="I370" s="256">
        <f t="shared" si="234"/>
        <v>0</v>
      </c>
      <c r="J370" s="256">
        <f t="shared" si="235"/>
        <v>0</v>
      </c>
      <c r="K370" s="256">
        <f t="shared" si="236"/>
        <v>0</v>
      </c>
      <c r="L370" s="256">
        <f t="shared" si="237"/>
        <v>0</v>
      </c>
      <c r="M370" s="256">
        <f t="shared" si="238"/>
        <v>0</v>
      </c>
      <c r="N370" s="255">
        <v>0</v>
      </c>
      <c r="O370" s="256">
        <v>0</v>
      </c>
      <c r="P370" s="256">
        <v>0</v>
      </c>
      <c r="Q370" s="256">
        <v>0</v>
      </c>
      <c r="R370" s="256">
        <v>0</v>
      </c>
      <c r="S370" s="257">
        <v>0</v>
      </c>
      <c r="T370" s="256">
        <v>0</v>
      </c>
      <c r="U370" s="258">
        <f t="shared" si="239"/>
        <v>0</v>
      </c>
      <c r="V370" s="256">
        <v>0</v>
      </c>
      <c r="W370" s="256">
        <f t="shared" si="247"/>
        <v>0</v>
      </c>
      <c r="X370" s="256">
        <f t="shared" si="248"/>
        <v>0</v>
      </c>
      <c r="Y370" s="256">
        <v>0</v>
      </c>
      <c r="Z370" s="256">
        <f t="shared" si="243"/>
        <v>0</v>
      </c>
      <c r="AA370" s="256">
        <f t="shared" si="244"/>
        <v>0</v>
      </c>
      <c r="AB370" s="256">
        <v>0</v>
      </c>
      <c r="AC370" s="189">
        <f t="shared" si="241"/>
        <v>0</v>
      </c>
      <c r="AD370" s="259">
        <f t="shared" si="242"/>
        <v>0</v>
      </c>
    </row>
    <row r="371" spans="1:30" s="160" customFormat="1" hidden="1">
      <c r="A371" s="250">
        <v>366</v>
      </c>
      <c r="B371" s="251"/>
      <c r="C371" s="252"/>
      <c r="D371" s="253"/>
      <c r="E371" s="254">
        <f t="shared" si="230"/>
        <v>0</v>
      </c>
      <c r="F371" s="255">
        <f t="shared" si="231"/>
        <v>0</v>
      </c>
      <c r="G371" s="256">
        <f t="shared" si="232"/>
        <v>0</v>
      </c>
      <c r="H371" s="256">
        <f t="shared" si="233"/>
        <v>0</v>
      </c>
      <c r="I371" s="256">
        <f t="shared" si="234"/>
        <v>0</v>
      </c>
      <c r="J371" s="256">
        <f t="shared" si="235"/>
        <v>0</v>
      </c>
      <c r="K371" s="256">
        <f t="shared" si="236"/>
        <v>0</v>
      </c>
      <c r="L371" s="256">
        <f t="shared" si="237"/>
        <v>0</v>
      </c>
      <c r="M371" s="256">
        <f t="shared" si="238"/>
        <v>0</v>
      </c>
      <c r="N371" s="255">
        <v>0</v>
      </c>
      <c r="O371" s="256">
        <v>0</v>
      </c>
      <c r="P371" s="256">
        <v>0</v>
      </c>
      <c r="Q371" s="256">
        <v>0</v>
      </c>
      <c r="R371" s="256">
        <v>0</v>
      </c>
      <c r="S371" s="257">
        <v>0</v>
      </c>
      <c r="T371" s="256">
        <v>0</v>
      </c>
      <c r="U371" s="258">
        <f t="shared" si="239"/>
        <v>0</v>
      </c>
      <c r="V371" s="256">
        <v>0</v>
      </c>
      <c r="W371" s="256">
        <f t="shared" si="247"/>
        <v>0</v>
      </c>
      <c r="X371" s="256">
        <f t="shared" si="248"/>
        <v>0</v>
      </c>
      <c r="Y371" s="256">
        <v>0</v>
      </c>
      <c r="Z371" s="256">
        <f t="shared" si="243"/>
        <v>0</v>
      </c>
      <c r="AA371" s="256">
        <f t="shared" si="244"/>
        <v>0</v>
      </c>
      <c r="AB371" s="256">
        <v>0</v>
      </c>
      <c r="AC371" s="189">
        <f t="shared" si="241"/>
        <v>0</v>
      </c>
      <c r="AD371" s="259">
        <f t="shared" si="242"/>
        <v>0</v>
      </c>
    </row>
    <row r="372" spans="1:30" s="160" customFormat="1" hidden="1">
      <c r="A372" s="250">
        <v>367</v>
      </c>
      <c r="B372" s="251"/>
      <c r="C372" s="252"/>
      <c r="D372" s="253"/>
      <c r="E372" s="254">
        <f t="shared" si="230"/>
        <v>0</v>
      </c>
      <c r="F372" s="255">
        <f t="shared" si="231"/>
        <v>0</v>
      </c>
      <c r="G372" s="256">
        <f t="shared" si="232"/>
        <v>0</v>
      </c>
      <c r="H372" s="256">
        <f t="shared" si="233"/>
        <v>0</v>
      </c>
      <c r="I372" s="256">
        <f t="shared" si="234"/>
        <v>0</v>
      </c>
      <c r="J372" s="256">
        <f t="shared" si="235"/>
        <v>0</v>
      </c>
      <c r="K372" s="256">
        <f t="shared" si="236"/>
        <v>0</v>
      </c>
      <c r="L372" s="256">
        <f t="shared" si="237"/>
        <v>0</v>
      </c>
      <c r="M372" s="256">
        <f t="shared" si="238"/>
        <v>0</v>
      </c>
      <c r="N372" s="255">
        <v>0</v>
      </c>
      <c r="O372" s="256">
        <v>0</v>
      </c>
      <c r="P372" s="256">
        <v>0</v>
      </c>
      <c r="Q372" s="256">
        <v>0</v>
      </c>
      <c r="R372" s="256">
        <v>0</v>
      </c>
      <c r="S372" s="257">
        <v>0</v>
      </c>
      <c r="T372" s="256">
        <v>0</v>
      </c>
      <c r="U372" s="258">
        <f t="shared" si="239"/>
        <v>0</v>
      </c>
      <c r="V372" s="256">
        <v>0</v>
      </c>
      <c r="W372" s="256">
        <f t="shared" si="247"/>
        <v>0</v>
      </c>
      <c r="X372" s="256">
        <f t="shared" si="248"/>
        <v>0</v>
      </c>
      <c r="Y372" s="256">
        <v>0</v>
      </c>
      <c r="Z372" s="256">
        <f t="shared" si="243"/>
        <v>0</v>
      </c>
      <c r="AA372" s="256">
        <f t="shared" si="244"/>
        <v>0</v>
      </c>
      <c r="AB372" s="256">
        <v>0</v>
      </c>
      <c r="AC372" s="189">
        <f t="shared" si="241"/>
        <v>0</v>
      </c>
      <c r="AD372" s="259">
        <f t="shared" si="242"/>
        <v>0</v>
      </c>
    </row>
    <row r="373" spans="1:30" s="160" customFormat="1" hidden="1">
      <c r="A373" s="250">
        <v>368</v>
      </c>
      <c r="B373" s="251"/>
      <c r="C373" s="252"/>
      <c r="D373" s="253"/>
      <c r="E373" s="254">
        <f t="shared" si="230"/>
        <v>0</v>
      </c>
      <c r="F373" s="255">
        <f t="shared" si="231"/>
        <v>0</v>
      </c>
      <c r="G373" s="256">
        <f t="shared" si="232"/>
        <v>0</v>
      </c>
      <c r="H373" s="256">
        <f t="shared" si="233"/>
        <v>0</v>
      </c>
      <c r="I373" s="256">
        <f t="shared" si="234"/>
        <v>0</v>
      </c>
      <c r="J373" s="256">
        <f t="shared" si="235"/>
        <v>0</v>
      </c>
      <c r="K373" s="256">
        <f t="shared" si="236"/>
        <v>0</v>
      </c>
      <c r="L373" s="256">
        <f t="shared" si="237"/>
        <v>0</v>
      </c>
      <c r="M373" s="256">
        <f t="shared" si="238"/>
        <v>0</v>
      </c>
      <c r="N373" s="255">
        <v>0</v>
      </c>
      <c r="O373" s="256">
        <v>0</v>
      </c>
      <c r="P373" s="256">
        <v>0</v>
      </c>
      <c r="Q373" s="256">
        <v>0</v>
      </c>
      <c r="R373" s="256">
        <v>0</v>
      </c>
      <c r="S373" s="257">
        <v>0</v>
      </c>
      <c r="T373" s="256">
        <v>0</v>
      </c>
      <c r="U373" s="258">
        <f t="shared" si="239"/>
        <v>0</v>
      </c>
      <c r="V373" s="256">
        <v>0</v>
      </c>
      <c r="W373" s="256">
        <f t="shared" si="247"/>
        <v>0</v>
      </c>
      <c r="X373" s="256">
        <f t="shared" si="248"/>
        <v>0</v>
      </c>
      <c r="Y373" s="256">
        <v>0</v>
      </c>
      <c r="Z373" s="256">
        <f t="shared" si="243"/>
        <v>0</v>
      </c>
      <c r="AA373" s="256">
        <f t="shared" si="244"/>
        <v>0</v>
      </c>
      <c r="AB373" s="256">
        <v>0</v>
      </c>
      <c r="AC373" s="189">
        <f t="shared" si="241"/>
        <v>0</v>
      </c>
      <c r="AD373" s="259">
        <f t="shared" si="242"/>
        <v>0</v>
      </c>
    </row>
    <row r="374" spans="1:30" s="160" customFormat="1" hidden="1">
      <c r="A374" s="250">
        <v>369</v>
      </c>
      <c r="B374" s="251"/>
      <c r="C374" s="252"/>
      <c r="D374" s="253"/>
      <c r="E374" s="254">
        <f t="shared" si="230"/>
        <v>0</v>
      </c>
      <c r="F374" s="255">
        <f t="shared" si="231"/>
        <v>0</v>
      </c>
      <c r="G374" s="256">
        <f t="shared" si="232"/>
        <v>0</v>
      </c>
      <c r="H374" s="256">
        <f t="shared" si="233"/>
        <v>0</v>
      </c>
      <c r="I374" s="256">
        <f t="shared" si="234"/>
        <v>0</v>
      </c>
      <c r="J374" s="256">
        <f t="shared" si="235"/>
        <v>0</v>
      </c>
      <c r="K374" s="256">
        <f t="shared" si="236"/>
        <v>0</v>
      </c>
      <c r="L374" s="256">
        <f t="shared" si="237"/>
        <v>0</v>
      </c>
      <c r="M374" s="256">
        <f t="shared" si="238"/>
        <v>0</v>
      </c>
      <c r="N374" s="255">
        <v>0</v>
      </c>
      <c r="O374" s="256">
        <v>0</v>
      </c>
      <c r="P374" s="256">
        <v>0</v>
      </c>
      <c r="Q374" s="256">
        <v>0</v>
      </c>
      <c r="R374" s="256">
        <v>0</v>
      </c>
      <c r="S374" s="257">
        <v>0</v>
      </c>
      <c r="T374" s="256">
        <v>0</v>
      </c>
      <c r="U374" s="258">
        <f t="shared" si="239"/>
        <v>0</v>
      </c>
      <c r="V374" s="256">
        <v>0</v>
      </c>
      <c r="W374" s="256">
        <f t="shared" si="247"/>
        <v>0</v>
      </c>
      <c r="X374" s="256">
        <f t="shared" si="248"/>
        <v>0</v>
      </c>
      <c r="Y374" s="256">
        <v>0</v>
      </c>
      <c r="Z374" s="256">
        <f t="shared" si="243"/>
        <v>0</v>
      </c>
      <c r="AA374" s="256">
        <f t="shared" si="244"/>
        <v>0</v>
      </c>
      <c r="AB374" s="256">
        <v>0</v>
      </c>
      <c r="AC374" s="189">
        <f t="shared" si="241"/>
        <v>0</v>
      </c>
      <c r="AD374" s="259">
        <f t="shared" si="242"/>
        <v>0</v>
      </c>
    </row>
    <row r="375" spans="1:30" s="160" customFormat="1" hidden="1">
      <c r="A375" s="250">
        <v>370</v>
      </c>
      <c r="B375" s="251"/>
      <c r="C375" s="252"/>
      <c r="D375" s="253"/>
      <c r="E375" s="254">
        <f t="shared" si="230"/>
        <v>0</v>
      </c>
      <c r="F375" s="255">
        <f t="shared" si="231"/>
        <v>0</v>
      </c>
      <c r="G375" s="256">
        <f t="shared" si="232"/>
        <v>0</v>
      </c>
      <c r="H375" s="256">
        <f t="shared" si="233"/>
        <v>0</v>
      </c>
      <c r="I375" s="256">
        <f t="shared" si="234"/>
        <v>0</v>
      </c>
      <c r="J375" s="256">
        <f t="shared" si="235"/>
        <v>0</v>
      </c>
      <c r="K375" s="256">
        <f t="shared" si="236"/>
        <v>0</v>
      </c>
      <c r="L375" s="256">
        <f t="shared" si="237"/>
        <v>0</v>
      </c>
      <c r="M375" s="256">
        <f t="shared" si="238"/>
        <v>0</v>
      </c>
      <c r="N375" s="255">
        <v>0</v>
      </c>
      <c r="O375" s="256">
        <v>0</v>
      </c>
      <c r="P375" s="256">
        <v>0</v>
      </c>
      <c r="Q375" s="256">
        <v>0</v>
      </c>
      <c r="R375" s="256">
        <v>0</v>
      </c>
      <c r="S375" s="257">
        <v>0</v>
      </c>
      <c r="T375" s="256">
        <v>0</v>
      </c>
      <c r="U375" s="258">
        <f t="shared" si="239"/>
        <v>0</v>
      </c>
      <c r="V375" s="256">
        <v>0</v>
      </c>
      <c r="W375" s="256">
        <f t="shared" si="247"/>
        <v>0</v>
      </c>
      <c r="X375" s="256">
        <f t="shared" si="248"/>
        <v>0</v>
      </c>
      <c r="Y375" s="256">
        <v>0</v>
      </c>
      <c r="Z375" s="256">
        <f t="shared" si="243"/>
        <v>0</v>
      </c>
      <c r="AA375" s="256">
        <f t="shared" si="244"/>
        <v>0</v>
      </c>
      <c r="AB375" s="256">
        <v>0</v>
      </c>
      <c r="AC375" s="189">
        <f t="shared" si="241"/>
        <v>0</v>
      </c>
      <c r="AD375" s="259">
        <f t="shared" si="242"/>
        <v>0</v>
      </c>
    </row>
    <row r="376" spans="1:30" s="160" customFormat="1" hidden="1">
      <c r="A376" s="250">
        <v>371</v>
      </c>
      <c r="B376" s="251"/>
      <c r="C376" s="252"/>
      <c r="D376" s="253"/>
      <c r="E376" s="254">
        <f t="shared" si="230"/>
        <v>0</v>
      </c>
      <c r="F376" s="255">
        <f t="shared" si="231"/>
        <v>0</v>
      </c>
      <c r="G376" s="256">
        <f t="shared" si="232"/>
        <v>0</v>
      </c>
      <c r="H376" s="256">
        <f t="shared" si="233"/>
        <v>0</v>
      </c>
      <c r="I376" s="256">
        <f t="shared" si="234"/>
        <v>0</v>
      </c>
      <c r="J376" s="256">
        <f t="shared" si="235"/>
        <v>0</v>
      </c>
      <c r="K376" s="256">
        <f t="shared" si="236"/>
        <v>0</v>
      </c>
      <c r="L376" s="256">
        <f t="shared" si="237"/>
        <v>0</v>
      </c>
      <c r="M376" s="256">
        <f t="shared" si="238"/>
        <v>0</v>
      </c>
      <c r="N376" s="255">
        <v>0</v>
      </c>
      <c r="O376" s="256">
        <v>0</v>
      </c>
      <c r="P376" s="256">
        <v>0</v>
      </c>
      <c r="Q376" s="256">
        <v>0</v>
      </c>
      <c r="R376" s="256">
        <v>0</v>
      </c>
      <c r="S376" s="257">
        <v>0</v>
      </c>
      <c r="T376" s="256">
        <v>0</v>
      </c>
      <c r="U376" s="258">
        <f t="shared" si="239"/>
        <v>0</v>
      </c>
      <c r="V376" s="256">
        <v>0</v>
      </c>
      <c r="W376" s="256">
        <f t="shared" si="247"/>
        <v>0</v>
      </c>
      <c r="X376" s="256">
        <f t="shared" si="248"/>
        <v>0</v>
      </c>
      <c r="Y376" s="256">
        <v>0</v>
      </c>
      <c r="Z376" s="256">
        <f t="shared" si="243"/>
        <v>0</v>
      </c>
      <c r="AA376" s="256">
        <f t="shared" si="244"/>
        <v>0</v>
      </c>
      <c r="AB376" s="256">
        <v>0</v>
      </c>
      <c r="AC376" s="189">
        <f t="shared" si="241"/>
        <v>0</v>
      </c>
      <c r="AD376" s="259">
        <f t="shared" si="242"/>
        <v>0</v>
      </c>
    </row>
    <row r="377" spans="1:30" s="160" customFormat="1" hidden="1">
      <c r="A377" s="250">
        <v>372</v>
      </c>
      <c r="B377" s="251"/>
      <c r="C377" s="252"/>
      <c r="D377" s="253"/>
      <c r="E377" s="254">
        <f t="shared" si="230"/>
        <v>0</v>
      </c>
      <c r="F377" s="255">
        <f t="shared" si="231"/>
        <v>0</v>
      </c>
      <c r="G377" s="256">
        <f t="shared" si="232"/>
        <v>0</v>
      </c>
      <c r="H377" s="256">
        <f t="shared" si="233"/>
        <v>0</v>
      </c>
      <c r="I377" s="256">
        <f t="shared" si="234"/>
        <v>0</v>
      </c>
      <c r="J377" s="256">
        <f t="shared" si="235"/>
        <v>0</v>
      </c>
      <c r="K377" s="256">
        <f t="shared" si="236"/>
        <v>0</v>
      </c>
      <c r="L377" s="256">
        <f t="shared" si="237"/>
        <v>0</v>
      </c>
      <c r="M377" s="256">
        <f t="shared" si="238"/>
        <v>0</v>
      </c>
      <c r="N377" s="255">
        <v>0</v>
      </c>
      <c r="O377" s="256">
        <v>0</v>
      </c>
      <c r="P377" s="256">
        <v>0</v>
      </c>
      <c r="Q377" s="256">
        <v>0</v>
      </c>
      <c r="R377" s="256">
        <v>0</v>
      </c>
      <c r="S377" s="257">
        <v>0</v>
      </c>
      <c r="T377" s="256">
        <v>0</v>
      </c>
      <c r="U377" s="258">
        <f t="shared" si="239"/>
        <v>0</v>
      </c>
      <c r="V377" s="256">
        <v>0</v>
      </c>
      <c r="W377" s="256">
        <f t="shared" si="247"/>
        <v>0</v>
      </c>
      <c r="X377" s="256">
        <f t="shared" si="248"/>
        <v>0</v>
      </c>
      <c r="Y377" s="256">
        <v>0</v>
      </c>
      <c r="Z377" s="256">
        <f t="shared" si="243"/>
        <v>0</v>
      </c>
      <c r="AA377" s="256">
        <f t="shared" si="244"/>
        <v>0</v>
      </c>
      <c r="AB377" s="256">
        <v>0</v>
      </c>
      <c r="AC377" s="189">
        <f t="shared" si="241"/>
        <v>0</v>
      </c>
      <c r="AD377" s="259">
        <f t="shared" si="242"/>
        <v>0</v>
      </c>
    </row>
    <row r="378" spans="1:30" s="160" customFormat="1" hidden="1">
      <c r="A378" s="250">
        <v>373</v>
      </c>
      <c r="B378" s="251"/>
      <c r="C378" s="252"/>
      <c r="D378" s="253"/>
      <c r="E378" s="254">
        <f t="shared" si="230"/>
        <v>0</v>
      </c>
      <c r="F378" s="255">
        <f t="shared" si="231"/>
        <v>0</v>
      </c>
      <c r="G378" s="256">
        <f t="shared" si="232"/>
        <v>0</v>
      </c>
      <c r="H378" s="256">
        <f t="shared" si="233"/>
        <v>0</v>
      </c>
      <c r="I378" s="256">
        <f t="shared" si="234"/>
        <v>0</v>
      </c>
      <c r="J378" s="256">
        <f t="shared" si="235"/>
        <v>0</v>
      </c>
      <c r="K378" s="256">
        <f t="shared" si="236"/>
        <v>0</v>
      </c>
      <c r="L378" s="256">
        <f t="shared" si="237"/>
        <v>0</v>
      </c>
      <c r="M378" s="256">
        <f t="shared" si="238"/>
        <v>0</v>
      </c>
      <c r="N378" s="255">
        <v>0</v>
      </c>
      <c r="O378" s="256">
        <v>0</v>
      </c>
      <c r="P378" s="256">
        <v>0</v>
      </c>
      <c r="Q378" s="256">
        <v>0</v>
      </c>
      <c r="R378" s="256">
        <v>0</v>
      </c>
      <c r="S378" s="257">
        <v>0</v>
      </c>
      <c r="T378" s="256">
        <v>0</v>
      </c>
      <c r="U378" s="258">
        <f t="shared" si="239"/>
        <v>0</v>
      </c>
      <c r="V378" s="256">
        <v>0</v>
      </c>
      <c r="W378" s="256">
        <f t="shared" si="247"/>
        <v>0</v>
      </c>
      <c r="X378" s="256">
        <f t="shared" si="248"/>
        <v>0</v>
      </c>
      <c r="Y378" s="256">
        <v>0</v>
      </c>
      <c r="Z378" s="256">
        <f t="shared" si="243"/>
        <v>0</v>
      </c>
      <c r="AA378" s="256">
        <f t="shared" si="244"/>
        <v>0</v>
      </c>
      <c r="AB378" s="256">
        <v>0</v>
      </c>
      <c r="AC378" s="189">
        <f t="shared" si="241"/>
        <v>0</v>
      </c>
      <c r="AD378" s="259">
        <f t="shared" si="242"/>
        <v>0</v>
      </c>
    </row>
    <row r="379" spans="1:30" s="160" customFormat="1" hidden="1">
      <c r="A379" s="250">
        <v>374</v>
      </c>
      <c r="B379" s="251"/>
      <c r="C379" s="252"/>
      <c r="D379" s="253"/>
      <c r="E379" s="254">
        <f t="shared" si="230"/>
        <v>0</v>
      </c>
      <c r="F379" s="255">
        <f t="shared" si="231"/>
        <v>0</v>
      </c>
      <c r="G379" s="256">
        <f t="shared" si="232"/>
        <v>0</v>
      </c>
      <c r="H379" s="256">
        <f t="shared" si="233"/>
        <v>0</v>
      </c>
      <c r="I379" s="256">
        <f t="shared" si="234"/>
        <v>0</v>
      </c>
      <c r="J379" s="256">
        <f t="shared" si="235"/>
        <v>0</v>
      </c>
      <c r="K379" s="256">
        <f t="shared" si="236"/>
        <v>0</v>
      </c>
      <c r="L379" s="256">
        <f t="shared" si="237"/>
        <v>0</v>
      </c>
      <c r="M379" s="256">
        <f t="shared" si="238"/>
        <v>0</v>
      </c>
      <c r="N379" s="255">
        <v>0</v>
      </c>
      <c r="O379" s="256">
        <v>0</v>
      </c>
      <c r="P379" s="256">
        <v>0</v>
      </c>
      <c r="Q379" s="256">
        <v>0</v>
      </c>
      <c r="R379" s="256">
        <v>0</v>
      </c>
      <c r="S379" s="257">
        <v>0</v>
      </c>
      <c r="T379" s="256">
        <v>0</v>
      </c>
      <c r="U379" s="258">
        <f t="shared" si="239"/>
        <v>0</v>
      </c>
      <c r="V379" s="256">
        <v>0</v>
      </c>
      <c r="W379" s="256">
        <f t="shared" si="247"/>
        <v>0</v>
      </c>
      <c r="X379" s="256">
        <f t="shared" si="248"/>
        <v>0</v>
      </c>
      <c r="Y379" s="256">
        <v>0</v>
      </c>
      <c r="Z379" s="256">
        <f t="shared" si="243"/>
        <v>0</v>
      </c>
      <c r="AA379" s="256">
        <f t="shared" si="244"/>
        <v>0</v>
      </c>
      <c r="AB379" s="256">
        <v>0</v>
      </c>
      <c r="AC379" s="189">
        <f t="shared" si="241"/>
        <v>0</v>
      </c>
      <c r="AD379" s="259">
        <f t="shared" si="242"/>
        <v>0</v>
      </c>
    </row>
    <row r="380" spans="1:30" s="160" customFormat="1" hidden="1">
      <c r="A380" s="250">
        <v>375</v>
      </c>
      <c r="B380" s="251"/>
      <c r="C380" s="252"/>
      <c r="D380" s="253"/>
      <c r="E380" s="254">
        <f t="shared" si="230"/>
        <v>0</v>
      </c>
      <c r="F380" s="255">
        <f t="shared" si="231"/>
        <v>0</v>
      </c>
      <c r="G380" s="256">
        <f t="shared" si="232"/>
        <v>0</v>
      </c>
      <c r="H380" s="256">
        <f t="shared" si="233"/>
        <v>0</v>
      </c>
      <c r="I380" s="256">
        <f t="shared" si="234"/>
        <v>0</v>
      </c>
      <c r="J380" s="256">
        <f t="shared" si="235"/>
        <v>0</v>
      </c>
      <c r="K380" s="256">
        <f t="shared" si="236"/>
        <v>0</v>
      </c>
      <c r="L380" s="256">
        <f t="shared" si="237"/>
        <v>0</v>
      </c>
      <c r="M380" s="256">
        <f t="shared" si="238"/>
        <v>0</v>
      </c>
      <c r="N380" s="255">
        <v>0</v>
      </c>
      <c r="O380" s="256">
        <v>0</v>
      </c>
      <c r="P380" s="256">
        <v>0</v>
      </c>
      <c r="Q380" s="256">
        <v>0</v>
      </c>
      <c r="R380" s="256">
        <v>0</v>
      </c>
      <c r="S380" s="257">
        <v>0</v>
      </c>
      <c r="T380" s="256">
        <v>0</v>
      </c>
      <c r="U380" s="258">
        <f t="shared" si="239"/>
        <v>0</v>
      </c>
      <c r="V380" s="256">
        <v>0</v>
      </c>
      <c r="W380" s="256">
        <f t="shared" si="247"/>
        <v>0</v>
      </c>
      <c r="X380" s="256">
        <f t="shared" si="248"/>
        <v>0</v>
      </c>
      <c r="Y380" s="256">
        <v>0</v>
      </c>
      <c r="Z380" s="256">
        <f t="shared" si="243"/>
        <v>0</v>
      </c>
      <c r="AA380" s="256">
        <f t="shared" si="244"/>
        <v>0</v>
      </c>
      <c r="AB380" s="256">
        <v>0</v>
      </c>
      <c r="AC380" s="189">
        <f t="shared" si="241"/>
        <v>0</v>
      </c>
      <c r="AD380" s="259">
        <f t="shared" si="242"/>
        <v>0</v>
      </c>
    </row>
    <row r="381" spans="1:30" s="160" customFormat="1" hidden="1">
      <c r="A381" s="250">
        <v>376</v>
      </c>
      <c r="B381" s="251"/>
      <c r="C381" s="252"/>
      <c r="D381" s="253"/>
      <c r="E381" s="254">
        <f t="shared" si="230"/>
        <v>0</v>
      </c>
      <c r="F381" s="255">
        <f t="shared" si="231"/>
        <v>0</v>
      </c>
      <c r="G381" s="256">
        <f t="shared" si="232"/>
        <v>0</v>
      </c>
      <c r="H381" s="256">
        <f t="shared" si="233"/>
        <v>0</v>
      </c>
      <c r="I381" s="256">
        <f t="shared" si="234"/>
        <v>0</v>
      </c>
      <c r="J381" s="256">
        <f t="shared" si="235"/>
        <v>0</v>
      </c>
      <c r="K381" s="256">
        <f t="shared" si="236"/>
        <v>0</v>
      </c>
      <c r="L381" s="256">
        <f t="shared" si="237"/>
        <v>0</v>
      </c>
      <c r="M381" s="256">
        <f t="shared" si="238"/>
        <v>0</v>
      </c>
      <c r="N381" s="255">
        <v>0</v>
      </c>
      <c r="O381" s="256">
        <v>0</v>
      </c>
      <c r="P381" s="256">
        <v>0</v>
      </c>
      <c r="Q381" s="256">
        <v>0</v>
      </c>
      <c r="R381" s="256">
        <v>0</v>
      </c>
      <c r="S381" s="257">
        <v>0</v>
      </c>
      <c r="T381" s="256">
        <v>0</v>
      </c>
      <c r="U381" s="258">
        <f t="shared" si="239"/>
        <v>0</v>
      </c>
      <c r="V381" s="256">
        <v>0</v>
      </c>
      <c r="W381" s="256">
        <f t="shared" si="247"/>
        <v>0</v>
      </c>
      <c r="X381" s="256">
        <f t="shared" si="248"/>
        <v>0</v>
      </c>
      <c r="Y381" s="256">
        <v>0</v>
      </c>
      <c r="Z381" s="256">
        <f t="shared" si="243"/>
        <v>0</v>
      </c>
      <c r="AA381" s="256">
        <f t="shared" si="244"/>
        <v>0</v>
      </c>
      <c r="AB381" s="256">
        <v>0</v>
      </c>
      <c r="AC381" s="189">
        <f t="shared" si="241"/>
        <v>0</v>
      </c>
      <c r="AD381" s="259">
        <f t="shared" si="242"/>
        <v>0</v>
      </c>
    </row>
    <row r="382" spans="1:30" s="160" customFormat="1" hidden="1">
      <c r="A382" s="250">
        <v>377</v>
      </c>
      <c r="B382" s="251"/>
      <c r="C382" s="252"/>
      <c r="D382" s="253"/>
      <c r="E382" s="254">
        <f t="shared" si="230"/>
        <v>0</v>
      </c>
      <c r="F382" s="255">
        <f t="shared" si="231"/>
        <v>0</v>
      </c>
      <c r="G382" s="256">
        <f t="shared" si="232"/>
        <v>0</v>
      </c>
      <c r="H382" s="256">
        <f t="shared" si="233"/>
        <v>0</v>
      </c>
      <c r="I382" s="256">
        <f t="shared" si="234"/>
        <v>0</v>
      </c>
      <c r="J382" s="256">
        <f t="shared" si="235"/>
        <v>0</v>
      </c>
      <c r="K382" s="256">
        <f t="shared" si="236"/>
        <v>0</v>
      </c>
      <c r="L382" s="256">
        <f t="shared" si="237"/>
        <v>0</v>
      </c>
      <c r="M382" s="256">
        <f t="shared" si="238"/>
        <v>0</v>
      </c>
      <c r="N382" s="255">
        <v>0</v>
      </c>
      <c r="O382" s="256">
        <v>0</v>
      </c>
      <c r="P382" s="256">
        <v>0</v>
      </c>
      <c r="Q382" s="256">
        <v>0</v>
      </c>
      <c r="R382" s="256">
        <v>0</v>
      </c>
      <c r="S382" s="257">
        <v>0</v>
      </c>
      <c r="T382" s="256">
        <v>0</v>
      </c>
      <c r="U382" s="258">
        <f t="shared" si="239"/>
        <v>0</v>
      </c>
      <c r="V382" s="256">
        <v>0</v>
      </c>
      <c r="W382" s="256">
        <f t="shared" si="247"/>
        <v>0</v>
      </c>
      <c r="X382" s="256">
        <f t="shared" si="248"/>
        <v>0</v>
      </c>
      <c r="Y382" s="256">
        <v>0</v>
      </c>
      <c r="Z382" s="256">
        <f t="shared" si="243"/>
        <v>0</v>
      </c>
      <c r="AA382" s="256">
        <f t="shared" si="244"/>
        <v>0</v>
      </c>
      <c r="AB382" s="256">
        <v>0</v>
      </c>
      <c r="AC382" s="189">
        <f t="shared" si="241"/>
        <v>0</v>
      </c>
      <c r="AD382" s="259">
        <f t="shared" si="242"/>
        <v>0</v>
      </c>
    </row>
    <row r="383" spans="1:30" s="160" customFormat="1" hidden="1">
      <c r="A383" s="250">
        <v>378</v>
      </c>
      <c r="B383" s="251"/>
      <c r="C383" s="252"/>
      <c r="D383" s="253"/>
      <c r="E383" s="254">
        <f t="shared" si="230"/>
        <v>0</v>
      </c>
      <c r="F383" s="255">
        <f t="shared" si="231"/>
        <v>0</v>
      </c>
      <c r="G383" s="256">
        <f t="shared" si="232"/>
        <v>0</v>
      </c>
      <c r="H383" s="256">
        <f t="shared" si="233"/>
        <v>0</v>
      </c>
      <c r="I383" s="256">
        <f t="shared" si="234"/>
        <v>0</v>
      </c>
      <c r="J383" s="256">
        <f t="shared" si="235"/>
        <v>0</v>
      </c>
      <c r="K383" s="256">
        <f t="shared" si="236"/>
        <v>0</v>
      </c>
      <c r="L383" s="256">
        <f t="shared" si="237"/>
        <v>0</v>
      </c>
      <c r="M383" s="256">
        <f t="shared" si="238"/>
        <v>0</v>
      </c>
      <c r="N383" s="255">
        <v>0</v>
      </c>
      <c r="O383" s="256">
        <v>0</v>
      </c>
      <c r="P383" s="256">
        <v>0</v>
      </c>
      <c r="Q383" s="256">
        <v>0</v>
      </c>
      <c r="R383" s="256">
        <v>0</v>
      </c>
      <c r="S383" s="257">
        <v>0</v>
      </c>
      <c r="T383" s="256">
        <v>0</v>
      </c>
      <c r="U383" s="258">
        <f t="shared" si="239"/>
        <v>0</v>
      </c>
      <c r="V383" s="256">
        <v>0</v>
      </c>
      <c r="W383" s="256">
        <f t="shared" si="247"/>
        <v>0</v>
      </c>
      <c r="X383" s="256">
        <f t="shared" si="248"/>
        <v>0</v>
      </c>
      <c r="Y383" s="256">
        <v>0</v>
      </c>
      <c r="Z383" s="256">
        <f t="shared" si="243"/>
        <v>0</v>
      </c>
      <c r="AA383" s="256">
        <f t="shared" si="244"/>
        <v>0</v>
      </c>
      <c r="AB383" s="256">
        <v>0</v>
      </c>
      <c r="AC383" s="189">
        <f t="shared" si="241"/>
        <v>0</v>
      </c>
      <c r="AD383" s="259">
        <f t="shared" si="242"/>
        <v>0</v>
      </c>
    </row>
    <row r="384" spans="1:30" s="160" customFormat="1" hidden="1">
      <c r="A384" s="250">
        <v>379</v>
      </c>
      <c r="B384" s="251"/>
      <c r="C384" s="252"/>
      <c r="D384" s="253"/>
      <c r="E384" s="254">
        <f t="shared" si="230"/>
        <v>0</v>
      </c>
      <c r="F384" s="255">
        <f t="shared" si="231"/>
        <v>0</v>
      </c>
      <c r="G384" s="256">
        <f t="shared" si="232"/>
        <v>0</v>
      </c>
      <c r="H384" s="256">
        <f t="shared" si="233"/>
        <v>0</v>
      </c>
      <c r="I384" s="256">
        <f t="shared" si="234"/>
        <v>0</v>
      </c>
      <c r="J384" s="256">
        <f t="shared" si="235"/>
        <v>0</v>
      </c>
      <c r="K384" s="256">
        <f t="shared" si="236"/>
        <v>0</v>
      </c>
      <c r="L384" s="256">
        <f t="shared" si="237"/>
        <v>0</v>
      </c>
      <c r="M384" s="256">
        <f t="shared" si="238"/>
        <v>0</v>
      </c>
      <c r="N384" s="255">
        <v>0</v>
      </c>
      <c r="O384" s="256">
        <v>0</v>
      </c>
      <c r="P384" s="256">
        <v>0</v>
      </c>
      <c r="Q384" s="256">
        <v>0</v>
      </c>
      <c r="R384" s="256">
        <v>0</v>
      </c>
      <c r="S384" s="257">
        <v>0</v>
      </c>
      <c r="T384" s="256">
        <v>0</v>
      </c>
      <c r="U384" s="258">
        <f t="shared" si="239"/>
        <v>0</v>
      </c>
      <c r="V384" s="256">
        <v>0</v>
      </c>
      <c r="W384" s="256">
        <f t="shared" si="247"/>
        <v>0</v>
      </c>
      <c r="X384" s="256">
        <f t="shared" si="248"/>
        <v>0</v>
      </c>
      <c r="Y384" s="256">
        <v>0</v>
      </c>
      <c r="Z384" s="256">
        <f t="shared" si="243"/>
        <v>0</v>
      </c>
      <c r="AA384" s="256">
        <f t="shared" si="244"/>
        <v>0</v>
      </c>
      <c r="AB384" s="256">
        <v>0</v>
      </c>
      <c r="AC384" s="189">
        <f t="shared" si="241"/>
        <v>0</v>
      </c>
      <c r="AD384" s="259">
        <f t="shared" si="242"/>
        <v>0</v>
      </c>
    </row>
    <row r="385" spans="1:30" s="160" customFormat="1" hidden="1">
      <c r="A385" s="250">
        <v>380</v>
      </c>
      <c r="B385" s="251"/>
      <c r="C385" s="252"/>
      <c r="D385" s="253"/>
      <c r="E385" s="254">
        <f t="shared" si="230"/>
        <v>0</v>
      </c>
      <c r="F385" s="255">
        <f t="shared" si="231"/>
        <v>0</v>
      </c>
      <c r="G385" s="256">
        <f t="shared" si="232"/>
        <v>0</v>
      </c>
      <c r="H385" s="256">
        <f t="shared" si="233"/>
        <v>0</v>
      </c>
      <c r="I385" s="256">
        <f t="shared" si="234"/>
        <v>0</v>
      </c>
      <c r="J385" s="256">
        <f t="shared" si="235"/>
        <v>0</v>
      </c>
      <c r="K385" s="256">
        <f t="shared" si="236"/>
        <v>0</v>
      </c>
      <c r="L385" s="256">
        <f t="shared" si="237"/>
        <v>0</v>
      </c>
      <c r="M385" s="256">
        <f t="shared" si="238"/>
        <v>0</v>
      </c>
      <c r="N385" s="255">
        <v>0</v>
      </c>
      <c r="O385" s="256">
        <v>0</v>
      </c>
      <c r="P385" s="256">
        <v>0</v>
      </c>
      <c r="Q385" s="256">
        <v>0</v>
      </c>
      <c r="R385" s="256">
        <v>0</v>
      </c>
      <c r="S385" s="257">
        <v>0</v>
      </c>
      <c r="T385" s="256">
        <v>0</v>
      </c>
      <c r="U385" s="258">
        <f t="shared" si="239"/>
        <v>0</v>
      </c>
      <c r="V385" s="256">
        <v>0</v>
      </c>
      <c r="W385" s="256">
        <f t="shared" si="247"/>
        <v>0</v>
      </c>
      <c r="X385" s="256">
        <f t="shared" si="248"/>
        <v>0</v>
      </c>
      <c r="Y385" s="256">
        <v>0</v>
      </c>
      <c r="Z385" s="256">
        <f t="shared" si="243"/>
        <v>0</v>
      </c>
      <c r="AA385" s="256">
        <f t="shared" si="244"/>
        <v>0</v>
      </c>
      <c r="AB385" s="256">
        <v>0</v>
      </c>
      <c r="AC385" s="189">
        <f t="shared" si="241"/>
        <v>0</v>
      </c>
      <c r="AD385" s="259">
        <f t="shared" si="242"/>
        <v>0</v>
      </c>
    </row>
    <row r="386" spans="1:30" s="160" customFormat="1" hidden="1">
      <c r="A386" s="250">
        <v>381</v>
      </c>
      <c r="B386" s="251"/>
      <c r="C386" s="252"/>
      <c r="D386" s="253"/>
      <c r="E386" s="254">
        <f t="shared" si="230"/>
        <v>0</v>
      </c>
      <c r="F386" s="255">
        <f t="shared" si="231"/>
        <v>0</v>
      </c>
      <c r="G386" s="256">
        <f t="shared" si="232"/>
        <v>0</v>
      </c>
      <c r="H386" s="256">
        <f t="shared" si="233"/>
        <v>0</v>
      </c>
      <c r="I386" s="256">
        <f t="shared" si="234"/>
        <v>0</v>
      </c>
      <c r="J386" s="256">
        <f t="shared" si="235"/>
        <v>0</v>
      </c>
      <c r="K386" s="256">
        <f t="shared" si="236"/>
        <v>0</v>
      </c>
      <c r="L386" s="256">
        <f t="shared" si="237"/>
        <v>0</v>
      </c>
      <c r="M386" s="256">
        <f t="shared" si="238"/>
        <v>0</v>
      </c>
      <c r="N386" s="255">
        <v>0</v>
      </c>
      <c r="O386" s="256">
        <v>0</v>
      </c>
      <c r="P386" s="256">
        <v>0</v>
      </c>
      <c r="Q386" s="256">
        <v>0</v>
      </c>
      <c r="R386" s="256">
        <v>0</v>
      </c>
      <c r="S386" s="257">
        <v>0</v>
      </c>
      <c r="T386" s="256">
        <v>0</v>
      </c>
      <c r="U386" s="258">
        <f t="shared" si="239"/>
        <v>0</v>
      </c>
      <c r="V386" s="256">
        <v>0</v>
      </c>
      <c r="W386" s="256">
        <f t="shared" si="247"/>
        <v>0</v>
      </c>
      <c r="X386" s="256">
        <f t="shared" si="248"/>
        <v>0</v>
      </c>
      <c r="Y386" s="256">
        <v>0</v>
      </c>
      <c r="Z386" s="256">
        <f t="shared" si="243"/>
        <v>0</v>
      </c>
      <c r="AA386" s="256">
        <f t="shared" si="244"/>
        <v>0</v>
      </c>
      <c r="AB386" s="256">
        <v>0</v>
      </c>
      <c r="AC386" s="189">
        <f t="shared" si="241"/>
        <v>0</v>
      </c>
      <c r="AD386" s="259">
        <f t="shared" si="242"/>
        <v>0</v>
      </c>
    </row>
    <row r="387" spans="1:30" s="160" customFormat="1" hidden="1">
      <c r="A387" s="250">
        <v>382</v>
      </c>
      <c r="B387" s="251"/>
      <c r="C387" s="252"/>
      <c r="D387" s="253"/>
      <c r="E387" s="254">
        <f t="shared" si="230"/>
        <v>0</v>
      </c>
      <c r="F387" s="255">
        <f t="shared" si="231"/>
        <v>0</v>
      </c>
      <c r="G387" s="256">
        <f t="shared" si="232"/>
        <v>0</v>
      </c>
      <c r="H387" s="256">
        <f t="shared" si="233"/>
        <v>0</v>
      </c>
      <c r="I387" s="256">
        <f t="shared" si="234"/>
        <v>0</v>
      </c>
      <c r="J387" s="256">
        <f t="shared" si="235"/>
        <v>0</v>
      </c>
      <c r="K387" s="256">
        <f t="shared" si="236"/>
        <v>0</v>
      </c>
      <c r="L387" s="256">
        <f t="shared" si="237"/>
        <v>0</v>
      </c>
      <c r="M387" s="256">
        <f t="shared" si="238"/>
        <v>0</v>
      </c>
      <c r="N387" s="255">
        <v>0</v>
      </c>
      <c r="O387" s="256">
        <v>0</v>
      </c>
      <c r="P387" s="256">
        <v>0</v>
      </c>
      <c r="Q387" s="256">
        <v>0</v>
      </c>
      <c r="R387" s="256">
        <v>0</v>
      </c>
      <c r="S387" s="257">
        <v>0</v>
      </c>
      <c r="T387" s="256">
        <v>0</v>
      </c>
      <c r="U387" s="258">
        <f t="shared" si="239"/>
        <v>0</v>
      </c>
      <c r="V387" s="256">
        <v>0</v>
      </c>
      <c r="W387" s="256">
        <f t="shared" si="247"/>
        <v>0</v>
      </c>
      <c r="X387" s="256">
        <f t="shared" si="248"/>
        <v>0</v>
      </c>
      <c r="Y387" s="256">
        <v>0</v>
      </c>
      <c r="Z387" s="256">
        <f t="shared" si="243"/>
        <v>0</v>
      </c>
      <c r="AA387" s="256">
        <f t="shared" si="244"/>
        <v>0</v>
      </c>
      <c r="AB387" s="256">
        <v>0</v>
      </c>
      <c r="AC387" s="189">
        <f t="shared" si="241"/>
        <v>0</v>
      </c>
      <c r="AD387" s="259">
        <f t="shared" si="242"/>
        <v>0</v>
      </c>
    </row>
    <row r="388" spans="1:30" s="160" customFormat="1" hidden="1">
      <c r="A388" s="250">
        <v>383</v>
      </c>
      <c r="B388" s="251"/>
      <c r="C388" s="252"/>
      <c r="D388" s="253"/>
      <c r="E388" s="254">
        <f t="shared" si="230"/>
        <v>0</v>
      </c>
      <c r="F388" s="255">
        <f t="shared" si="231"/>
        <v>0</v>
      </c>
      <c r="G388" s="256">
        <f t="shared" si="232"/>
        <v>0</v>
      </c>
      <c r="H388" s="256">
        <f t="shared" si="233"/>
        <v>0</v>
      </c>
      <c r="I388" s="256">
        <f t="shared" si="234"/>
        <v>0</v>
      </c>
      <c r="J388" s="256">
        <f t="shared" si="235"/>
        <v>0</v>
      </c>
      <c r="K388" s="256">
        <f t="shared" si="236"/>
        <v>0</v>
      </c>
      <c r="L388" s="256">
        <f t="shared" si="237"/>
        <v>0</v>
      </c>
      <c r="M388" s="256">
        <f t="shared" si="238"/>
        <v>0</v>
      </c>
      <c r="N388" s="255">
        <v>0</v>
      </c>
      <c r="O388" s="256">
        <v>0</v>
      </c>
      <c r="P388" s="256">
        <v>0</v>
      </c>
      <c r="Q388" s="256">
        <v>0</v>
      </c>
      <c r="R388" s="256">
        <v>0</v>
      </c>
      <c r="S388" s="257">
        <v>0</v>
      </c>
      <c r="T388" s="256">
        <v>0</v>
      </c>
      <c r="U388" s="258">
        <f t="shared" si="239"/>
        <v>0</v>
      </c>
      <c r="V388" s="256">
        <v>0</v>
      </c>
      <c r="W388" s="256">
        <f t="shared" si="247"/>
        <v>0</v>
      </c>
      <c r="X388" s="256">
        <f t="shared" si="248"/>
        <v>0</v>
      </c>
      <c r="Y388" s="256">
        <v>0</v>
      </c>
      <c r="Z388" s="256">
        <f t="shared" si="243"/>
        <v>0</v>
      </c>
      <c r="AA388" s="256">
        <f t="shared" si="244"/>
        <v>0</v>
      </c>
      <c r="AB388" s="256">
        <v>0</v>
      </c>
      <c r="AC388" s="189">
        <f t="shared" si="241"/>
        <v>0</v>
      </c>
      <c r="AD388" s="259">
        <f t="shared" si="242"/>
        <v>0</v>
      </c>
    </row>
    <row r="389" spans="1:30" s="160" customFormat="1" hidden="1">
      <c r="A389" s="250">
        <v>384</v>
      </c>
      <c r="B389" s="251"/>
      <c r="C389" s="252"/>
      <c r="D389" s="253"/>
      <c r="E389" s="254">
        <f t="shared" si="230"/>
        <v>0</v>
      </c>
      <c r="F389" s="255">
        <f t="shared" si="231"/>
        <v>0</v>
      </c>
      <c r="G389" s="256">
        <f t="shared" si="232"/>
        <v>0</v>
      </c>
      <c r="H389" s="256">
        <f t="shared" si="233"/>
        <v>0</v>
      </c>
      <c r="I389" s="256">
        <f t="shared" si="234"/>
        <v>0</v>
      </c>
      <c r="J389" s="256">
        <f t="shared" si="235"/>
        <v>0</v>
      </c>
      <c r="K389" s="256">
        <f t="shared" si="236"/>
        <v>0</v>
      </c>
      <c r="L389" s="256">
        <f t="shared" si="237"/>
        <v>0</v>
      </c>
      <c r="M389" s="256">
        <f t="shared" si="238"/>
        <v>0</v>
      </c>
      <c r="N389" s="255">
        <v>0</v>
      </c>
      <c r="O389" s="256">
        <v>0</v>
      </c>
      <c r="P389" s="256">
        <v>0</v>
      </c>
      <c r="Q389" s="256">
        <v>0</v>
      </c>
      <c r="R389" s="256">
        <v>0</v>
      </c>
      <c r="S389" s="257">
        <v>0</v>
      </c>
      <c r="T389" s="256">
        <v>0</v>
      </c>
      <c r="U389" s="258">
        <f t="shared" si="239"/>
        <v>0</v>
      </c>
      <c r="V389" s="256">
        <v>0</v>
      </c>
      <c r="W389" s="256">
        <f t="shared" si="247"/>
        <v>0</v>
      </c>
      <c r="X389" s="256">
        <f t="shared" si="248"/>
        <v>0</v>
      </c>
      <c r="Y389" s="256">
        <v>0</v>
      </c>
      <c r="Z389" s="256">
        <f t="shared" si="243"/>
        <v>0</v>
      </c>
      <c r="AA389" s="256">
        <f t="shared" si="244"/>
        <v>0</v>
      </c>
      <c r="AB389" s="256">
        <v>0</v>
      </c>
      <c r="AC389" s="189">
        <f t="shared" si="241"/>
        <v>0</v>
      </c>
      <c r="AD389" s="259">
        <f t="shared" si="242"/>
        <v>0</v>
      </c>
    </row>
    <row r="390" spans="1:30" s="160" customFormat="1" hidden="1">
      <c r="A390" s="250">
        <v>385</v>
      </c>
      <c r="B390" s="251"/>
      <c r="C390" s="252"/>
      <c r="D390" s="253"/>
      <c r="E390" s="254">
        <f t="shared" ref="E390:E453" si="249">C390*D390</f>
        <v>0</v>
      </c>
      <c r="F390" s="255">
        <f t="shared" ref="F390:F453" si="250">(E390+J390+L390+K390+M390)*26.5%</f>
        <v>0</v>
      </c>
      <c r="G390" s="256">
        <f t="shared" ref="G390:G453" si="251">(E390+J390+L390+K390+M390)*1%</f>
        <v>0</v>
      </c>
      <c r="H390" s="256">
        <f t="shared" ref="H390:H453" si="252">(E390+J390+L390+K390+M390)*8%</f>
        <v>0</v>
      </c>
      <c r="I390" s="256">
        <f t="shared" ref="I390:I453" si="253">H390/2</f>
        <v>0</v>
      </c>
      <c r="J390" s="256">
        <f t="shared" ref="J390:J453" si="254">E390/12</f>
        <v>0</v>
      </c>
      <c r="K390" s="256">
        <f t="shared" ref="K390:K453" si="255">E390/12</f>
        <v>0</v>
      </c>
      <c r="L390" s="256">
        <f t="shared" ref="L390:L453" si="256">K390/3</f>
        <v>0</v>
      </c>
      <c r="M390" s="256">
        <f t="shared" ref="M390:M453" si="257">E390/12</f>
        <v>0</v>
      </c>
      <c r="N390" s="255">
        <v>0</v>
      </c>
      <c r="O390" s="256">
        <v>0</v>
      </c>
      <c r="P390" s="256">
        <v>0</v>
      </c>
      <c r="Q390" s="256">
        <v>0</v>
      </c>
      <c r="R390" s="256">
        <v>0</v>
      </c>
      <c r="S390" s="257">
        <v>0</v>
      </c>
      <c r="T390" s="256">
        <v>0</v>
      </c>
      <c r="U390" s="258">
        <f t="shared" ref="U390:U453" si="258">SUM(F390:T390)</f>
        <v>0</v>
      </c>
      <c r="V390" s="256">
        <v>0</v>
      </c>
      <c r="W390" s="256">
        <f t="shared" si="247"/>
        <v>0</v>
      </c>
      <c r="X390" s="256">
        <f t="shared" si="248"/>
        <v>0</v>
      </c>
      <c r="Y390" s="256">
        <v>0</v>
      </c>
      <c r="Z390" s="256">
        <f t="shared" si="243"/>
        <v>0</v>
      </c>
      <c r="AA390" s="256">
        <f t="shared" si="244"/>
        <v>0</v>
      </c>
      <c r="AB390" s="256">
        <v>0</v>
      </c>
      <c r="AC390" s="189">
        <f t="shared" ref="AC390:AC453" si="259">SUM(V390:AB390)</f>
        <v>0</v>
      </c>
      <c r="AD390" s="259">
        <f t="shared" ref="AD390:AD453" si="260">E390+U390+AC390</f>
        <v>0</v>
      </c>
    </row>
    <row r="391" spans="1:30" s="160" customFormat="1" hidden="1">
      <c r="A391" s="250">
        <v>386</v>
      </c>
      <c r="B391" s="251"/>
      <c r="C391" s="252"/>
      <c r="D391" s="253"/>
      <c r="E391" s="254">
        <f t="shared" si="249"/>
        <v>0</v>
      </c>
      <c r="F391" s="255">
        <f t="shared" si="250"/>
        <v>0</v>
      </c>
      <c r="G391" s="256">
        <f t="shared" si="251"/>
        <v>0</v>
      </c>
      <c r="H391" s="256">
        <f t="shared" si="252"/>
        <v>0</v>
      </c>
      <c r="I391" s="256">
        <f t="shared" si="253"/>
        <v>0</v>
      </c>
      <c r="J391" s="256">
        <f t="shared" si="254"/>
        <v>0</v>
      </c>
      <c r="K391" s="256">
        <f t="shared" si="255"/>
        <v>0</v>
      </c>
      <c r="L391" s="256">
        <f t="shared" si="256"/>
        <v>0</v>
      </c>
      <c r="M391" s="256">
        <f t="shared" si="257"/>
        <v>0</v>
      </c>
      <c r="N391" s="255">
        <v>0</v>
      </c>
      <c r="O391" s="256">
        <v>0</v>
      </c>
      <c r="P391" s="256">
        <v>0</v>
      </c>
      <c r="Q391" s="256">
        <v>0</v>
      </c>
      <c r="R391" s="256">
        <v>0</v>
      </c>
      <c r="S391" s="257">
        <v>0</v>
      </c>
      <c r="T391" s="256">
        <v>0</v>
      </c>
      <c r="U391" s="258">
        <f t="shared" si="258"/>
        <v>0</v>
      </c>
      <c r="V391" s="256">
        <v>0</v>
      </c>
      <c r="W391" s="256">
        <f t="shared" ref="W391:W454" si="261">C391*500</f>
        <v>0</v>
      </c>
      <c r="X391" s="256">
        <f t="shared" ref="X391:X454" si="262">C391*53.31</f>
        <v>0</v>
      </c>
      <c r="Y391" s="256">
        <v>0</v>
      </c>
      <c r="Z391" s="256">
        <f t="shared" ref="Z391:Z454" si="263">C391*17.5</f>
        <v>0</v>
      </c>
      <c r="AA391" s="256">
        <f t="shared" ref="AA391:AA454" si="264">C391*23.65</f>
        <v>0</v>
      </c>
      <c r="AB391" s="256">
        <v>0</v>
      </c>
      <c r="AC391" s="189">
        <f t="shared" si="259"/>
        <v>0</v>
      </c>
      <c r="AD391" s="259">
        <f t="shared" si="260"/>
        <v>0</v>
      </c>
    </row>
    <row r="392" spans="1:30" s="160" customFormat="1" hidden="1">
      <c r="A392" s="250">
        <v>387</v>
      </c>
      <c r="B392" s="251"/>
      <c r="C392" s="252"/>
      <c r="D392" s="253"/>
      <c r="E392" s="254">
        <f t="shared" si="249"/>
        <v>0</v>
      </c>
      <c r="F392" s="255">
        <f t="shared" si="250"/>
        <v>0</v>
      </c>
      <c r="G392" s="256">
        <f t="shared" si="251"/>
        <v>0</v>
      </c>
      <c r="H392" s="256">
        <f t="shared" si="252"/>
        <v>0</v>
      </c>
      <c r="I392" s="256">
        <f t="shared" si="253"/>
        <v>0</v>
      </c>
      <c r="J392" s="256">
        <f t="shared" si="254"/>
        <v>0</v>
      </c>
      <c r="K392" s="256">
        <f t="shared" si="255"/>
        <v>0</v>
      </c>
      <c r="L392" s="256">
        <f t="shared" si="256"/>
        <v>0</v>
      </c>
      <c r="M392" s="256">
        <f t="shared" si="257"/>
        <v>0</v>
      </c>
      <c r="N392" s="255">
        <v>0</v>
      </c>
      <c r="O392" s="256">
        <v>0</v>
      </c>
      <c r="P392" s="256">
        <v>0</v>
      </c>
      <c r="Q392" s="256">
        <v>0</v>
      </c>
      <c r="R392" s="256">
        <v>0</v>
      </c>
      <c r="S392" s="257">
        <v>0</v>
      </c>
      <c r="T392" s="256">
        <v>0</v>
      </c>
      <c r="U392" s="258">
        <f t="shared" si="258"/>
        <v>0</v>
      </c>
      <c r="V392" s="256">
        <v>0</v>
      </c>
      <c r="W392" s="256">
        <f t="shared" si="261"/>
        <v>0</v>
      </c>
      <c r="X392" s="256">
        <f t="shared" si="262"/>
        <v>0</v>
      </c>
      <c r="Y392" s="256">
        <v>0</v>
      </c>
      <c r="Z392" s="256">
        <f t="shared" si="263"/>
        <v>0</v>
      </c>
      <c r="AA392" s="256">
        <f t="shared" si="264"/>
        <v>0</v>
      </c>
      <c r="AB392" s="256">
        <v>0</v>
      </c>
      <c r="AC392" s="189">
        <f t="shared" si="259"/>
        <v>0</v>
      </c>
      <c r="AD392" s="259">
        <f t="shared" si="260"/>
        <v>0</v>
      </c>
    </row>
    <row r="393" spans="1:30" s="160" customFormat="1" hidden="1">
      <c r="A393" s="250">
        <v>388</v>
      </c>
      <c r="B393" s="251"/>
      <c r="C393" s="252"/>
      <c r="D393" s="253"/>
      <c r="E393" s="254">
        <f t="shared" si="249"/>
        <v>0</v>
      </c>
      <c r="F393" s="255">
        <f t="shared" si="250"/>
        <v>0</v>
      </c>
      <c r="G393" s="256">
        <f t="shared" si="251"/>
        <v>0</v>
      </c>
      <c r="H393" s="256">
        <f t="shared" si="252"/>
        <v>0</v>
      </c>
      <c r="I393" s="256">
        <f t="shared" si="253"/>
        <v>0</v>
      </c>
      <c r="J393" s="256">
        <f t="shared" si="254"/>
        <v>0</v>
      </c>
      <c r="K393" s="256">
        <f t="shared" si="255"/>
        <v>0</v>
      </c>
      <c r="L393" s="256">
        <f t="shared" si="256"/>
        <v>0</v>
      </c>
      <c r="M393" s="256">
        <f t="shared" si="257"/>
        <v>0</v>
      </c>
      <c r="N393" s="255">
        <v>0</v>
      </c>
      <c r="O393" s="256">
        <v>0</v>
      </c>
      <c r="P393" s="256">
        <v>0</v>
      </c>
      <c r="Q393" s="256">
        <v>0</v>
      </c>
      <c r="R393" s="256">
        <v>0</v>
      </c>
      <c r="S393" s="257">
        <v>0</v>
      </c>
      <c r="T393" s="256">
        <v>0</v>
      </c>
      <c r="U393" s="258">
        <f t="shared" si="258"/>
        <v>0</v>
      </c>
      <c r="V393" s="256">
        <v>0</v>
      </c>
      <c r="W393" s="256">
        <f t="shared" si="261"/>
        <v>0</v>
      </c>
      <c r="X393" s="256">
        <f t="shared" si="262"/>
        <v>0</v>
      </c>
      <c r="Y393" s="256">
        <v>0</v>
      </c>
      <c r="Z393" s="256">
        <f t="shared" si="263"/>
        <v>0</v>
      </c>
      <c r="AA393" s="256">
        <f t="shared" si="264"/>
        <v>0</v>
      </c>
      <c r="AB393" s="256">
        <v>0</v>
      </c>
      <c r="AC393" s="189">
        <f t="shared" si="259"/>
        <v>0</v>
      </c>
      <c r="AD393" s="259">
        <f t="shared" si="260"/>
        <v>0</v>
      </c>
    </row>
    <row r="394" spans="1:30" s="160" customFormat="1" hidden="1">
      <c r="A394" s="250">
        <v>389</v>
      </c>
      <c r="B394" s="251"/>
      <c r="C394" s="252"/>
      <c r="D394" s="253"/>
      <c r="E394" s="254">
        <f t="shared" si="249"/>
        <v>0</v>
      </c>
      <c r="F394" s="255">
        <f t="shared" si="250"/>
        <v>0</v>
      </c>
      <c r="G394" s="256">
        <f t="shared" si="251"/>
        <v>0</v>
      </c>
      <c r="H394" s="256">
        <f t="shared" si="252"/>
        <v>0</v>
      </c>
      <c r="I394" s="256">
        <f t="shared" si="253"/>
        <v>0</v>
      </c>
      <c r="J394" s="256">
        <f t="shared" si="254"/>
        <v>0</v>
      </c>
      <c r="K394" s="256">
        <f t="shared" si="255"/>
        <v>0</v>
      </c>
      <c r="L394" s="256">
        <f t="shared" si="256"/>
        <v>0</v>
      </c>
      <c r="M394" s="256">
        <f t="shared" si="257"/>
        <v>0</v>
      </c>
      <c r="N394" s="255">
        <v>0</v>
      </c>
      <c r="O394" s="256">
        <v>0</v>
      </c>
      <c r="P394" s="256">
        <v>0</v>
      </c>
      <c r="Q394" s="256">
        <v>0</v>
      </c>
      <c r="R394" s="256">
        <v>0</v>
      </c>
      <c r="S394" s="257">
        <v>0</v>
      </c>
      <c r="T394" s="256">
        <v>0</v>
      </c>
      <c r="U394" s="258">
        <f t="shared" si="258"/>
        <v>0</v>
      </c>
      <c r="V394" s="256">
        <v>0</v>
      </c>
      <c r="W394" s="256">
        <f t="shared" si="261"/>
        <v>0</v>
      </c>
      <c r="X394" s="256">
        <f t="shared" si="262"/>
        <v>0</v>
      </c>
      <c r="Y394" s="256">
        <v>0</v>
      </c>
      <c r="Z394" s="256">
        <f t="shared" si="263"/>
        <v>0</v>
      </c>
      <c r="AA394" s="256">
        <f t="shared" si="264"/>
        <v>0</v>
      </c>
      <c r="AB394" s="256">
        <v>0</v>
      </c>
      <c r="AC394" s="189">
        <f t="shared" si="259"/>
        <v>0</v>
      </c>
      <c r="AD394" s="259">
        <f t="shared" si="260"/>
        <v>0</v>
      </c>
    </row>
    <row r="395" spans="1:30" s="160" customFormat="1" hidden="1">
      <c r="A395" s="250">
        <v>390</v>
      </c>
      <c r="B395" s="251"/>
      <c r="C395" s="252"/>
      <c r="D395" s="253"/>
      <c r="E395" s="254">
        <f t="shared" si="249"/>
        <v>0</v>
      </c>
      <c r="F395" s="255">
        <f t="shared" si="250"/>
        <v>0</v>
      </c>
      <c r="G395" s="256">
        <f t="shared" si="251"/>
        <v>0</v>
      </c>
      <c r="H395" s="256">
        <f t="shared" si="252"/>
        <v>0</v>
      </c>
      <c r="I395" s="256">
        <f t="shared" si="253"/>
        <v>0</v>
      </c>
      <c r="J395" s="256">
        <f t="shared" si="254"/>
        <v>0</v>
      </c>
      <c r="K395" s="256">
        <f t="shared" si="255"/>
        <v>0</v>
      </c>
      <c r="L395" s="256">
        <f t="shared" si="256"/>
        <v>0</v>
      </c>
      <c r="M395" s="256">
        <f t="shared" si="257"/>
        <v>0</v>
      </c>
      <c r="N395" s="255">
        <v>0</v>
      </c>
      <c r="O395" s="256">
        <v>0</v>
      </c>
      <c r="P395" s="256">
        <v>0</v>
      </c>
      <c r="Q395" s="256">
        <v>0</v>
      </c>
      <c r="R395" s="256">
        <v>0</v>
      </c>
      <c r="S395" s="257">
        <v>0</v>
      </c>
      <c r="T395" s="256">
        <v>0</v>
      </c>
      <c r="U395" s="258">
        <f t="shared" si="258"/>
        <v>0</v>
      </c>
      <c r="V395" s="256">
        <v>0</v>
      </c>
      <c r="W395" s="256">
        <f t="shared" si="261"/>
        <v>0</v>
      </c>
      <c r="X395" s="256">
        <f t="shared" si="262"/>
        <v>0</v>
      </c>
      <c r="Y395" s="256">
        <v>0</v>
      </c>
      <c r="Z395" s="256">
        <f t="shared" si="263"/>
        <v>0</v>
      </c>
      <c r="AA395" s="256">
        <f t="shared" si="264"/>
        <v>0</v>
      </c>
      <c r="AB395" s="256">
        <v>0</v>
      </c>
      <c r="AC395" s="189">
        <f t="shared" si="259"/>
        <v>0</v>
      </c>
      <c r="AD395" s="259">
        <f t="shared" si="260"/>
        <v>0</v>
      </c>
    </row>
    <row r="396" spans="1:30" s="160" customFormat="1" hidden="1">
      <c r="A396" s="250">
        <v>391</v>
      </c>
      <c r="B396" s="251"/>
      <c r="C396" s="252"/>
      <c r="D396" s="253"/>
      <c r="E396" s="254">
        <f t="shared" si="249"/>
        <v>0</v>
      </c>
      <c r="F396" s="255">
        <f t="shared" si="250"/>
        <v>0</v>
      </c>
      <c r="G396" s="256">
        <f t="shared" si="251"/>
        <v>0</v>
      </c>
      <c r="H396" s="256">
        <f t="shared" si="252"/>
        <v>0</v>
      </c>
      <c r="I396" s="256">
        <f t="shared" si="253"/>
        <v>0</v>
      </c>
      <c r="J396" s="256">
        <f t="shared" si="254"/>
        <v>0</v>
      </c>
      <c r="K396" s="256">
        <f t="shared" si="255"/>
        <v>0</v>
      </c>
      <c r="L396" s="256">
        <f t="shared" si="256"/>
        <v>0</v>
      </c>
      <c r="M396" s="256">
        <f t="shared" si="257"/>
        <v>0</v>
      </c>
      <c r="N396" s="255">
        <v>0</v>
      </c>
      <c r="O396" s="256">
        <v>0</v>
      </c>
      <c r="P396" s="256">
        <v>0</v>
      </c>
      <c r="Q396" s="256">
        <v>0</v>
      </c>
      <c r="R396" s="256">
        <v>0</v>
      </c>
      <c r="S396" s="257">
        <v>0</v>
      </c>
      <c r="T396" s="256">
        <v>0</v>
      </c>
      <c r="U396" s="258">
        <f t="shared" si="258"/>
        <v>0</v>
      </c>
      <c r="V396" s="256">
        <v>0</v>
      </c>
      <c r="W396" s="256">
        <f t="shared" si="261"/>
        <v>0</v>
      </c>
      <c r="X396" s="256">
        <f t="shared" si="262"/>
        <v>0</v>
      </c>
      <c r="Y396" s="256">
        <v>0</v>
      </c>
      <c r="Z396" s="256">
        <f t="shared" si="263"/>
        <v>0</v>
      </c>
      <c r="AA396" s="256">
        <f t="shared" si="264"/>
        <v>0</v>
      </c>
      <c r="AB396" s="256">
        <v>0</v>
      </c>
      <c r="AC396" s="189">
        <f t="shared" si="259"/>
        <v>0</v>
      </c>
      <c r="AD396" s="259">
        <f t="shared" si="260"/>
        <v>0</v>
      </c>
    </row>
    <row r="397" spans="1:30" s="160" customFormat="1" hidden="1">
      <c r="A397" s="250">
        <v>392</v>
      </c>
      <c r="B397" s="251"/>
      <c r="C397" s="252"/>
      <c r="D397" s="253"/>
      <c r="E397" s="254">
        <f t="shared" si="249"/>
        <v>0</v>
      </c>
      <c r="F397" s="255">
        <f t="shared" si="250"/>
        <v>0</v>
      </c>
      <c r="G397" s="256">
        <f t="shared" si="251"/>
        <v>0</v>
      </c>
      <c r="H397" s="256">
        <f t="shared" si="252"/>
        <v>0</v>
      </c>
      <c r="I397" s="256">
        <f t="shared" si="253"/>
        <v>0</v>
      </c>
      <c r="J397" s="256">
        <f t="shared" si="254"/>
        <v>0</v>
      </c>
      <c r="K397" s="256">
        <f t="shared" si="255"/>
        <v>0</v>
      </c>
      <c r="L397" s="256">
        <f t="shared" si="256"/>
        <v>0</v>
      </c>
      <c r="M397" s="256">
        <f t="shared" si="257"/>
        <v>0</v>
      </c>
      <c r="N397" s="255">
        <v>0</v>
      </c>
      <c r="O397" s="256">
        <v>0</v>
      </c>
      <c r="P397" s="256">
        <v>0</v>
      </c>
      <c r="Q397" s="256">
        <v>0</v>
      </c>
      <c r="R397" s="256">
        <v>0</v>
      </c>
      <c r="S397" s="257">
        <v>0</v>
      </c>
      <c r="T397" s="256">
        <v>0</v>
      </c>
      <c r="U397" s="258">
        <f t="shared" si="258"/>
        <v>0</v>
      </c>
      <c r="V397" s="256">
        <v>0</v>
      </c>
      <c r="W397" s="256">
        <f t="shared" si="261"/>
        <v>0</v>
      </c>
      <c r="X397" s="256">
        <f t="shared" si="262"/>
        <v>0</v>
      </c>
      <c r="Y397" s="256">
        <v>0</v>
      </c>
      <c r="Z397" s="256">
        <f t="shared" si="263"/>
        <v>0</v>
      </c>
      <c r="AA397" s="256">
        <f t="shared" si="264"/>
        <v>0</v>
      </c>
      <c r="AB397" s="256">
        <v>0</v>
      </c>
      <c r="AC397" s="189">
        <f t="shared" si="259"/>
        <v>0</v>
      </c>
      <c r="AD397" s="259">
        <f t="shared" si="260"/>
        <v>0</v>
      </c>
    </row>
    <row r="398" spans="1:30" s="160" customFormat="1" hidden="1">
      <c r="A398" s="250">
        <v>393</v>
      </c>
      <c r="B398" s="251"/>
      <c r="C398" s="252"/>
      <c r="D398" s="253"/>
      <c r="E398" s="254">
        <f t="shared" si="249"/>
        <v>0</v>
      </c>
      <c r="F398" s="255">
        <f t="shared" si="250"/>
        <v>0</v>
      </c>
      <c r="G398" s="256">
        <f t="shared" si="251"/>
        <v>0</v>
      </c>
      <c r="H398" s="256">
        <f t="shared" si="252"/>
        <v>0</v>
      </c>
      <c r="I398" s="256">
        <f t="shared" si="253"/>
        <v>0</v>
      </c>
      <c r="J398" s="256">
        <f t="shared" si="254"/>
        <v>0</v>
      </c>
      <c r="K398" s="256">
        <f t="shared" si="255"/>
        <v>0</v>
      </c>
      <c r="L398" s="256">
        <f t="shared" si="256"/>
        <v>0</v>
      </c>
      <c r="M398" s="256">
        <f t="shared" si="257"/>
        <v>0</v>
      </c>
      <c r="N398" s="255">
        <v>0</v>
      </c>
      <c r="O398" s="256">
        <v>0</v>
      </c>
      <c r="P398" s="256">
        <v>0</v>
      </c>
      <c r="Q398" s="256">
        <v>0</v>
      </c>
      <c r="R398" s="256">
        <v>0</v>
      </c>
      <c r="S398" s="257">
        <v>0</v>
      </c>
      <c r="T398" s="256">
        <v>0</v>
      </c>
      <c r="U398" s="258">
        <f t="shared" si="258"/>
        <v>0</v>
      </c>
      <c r="V398" s="256">
        <v>0</v>
      </c>
      <c r="W398" s="256">
        <f t="shared" si="261"/>
        <v>0</v>
      </c>
      <c r="X398" s="256">
        <f t="shared" si="262"/>
        <v>0</v>
      </c>
      <c r="Y398" s="256">
        <v>0</v>
      </c>
      <c r="Z398" s="256">
        <f t="shared" si="263"/>
        <v>0</v>
      </c>
      <c r="AA398" s="256">
        <f t="shared" si="264"/>
        <v>0</v>
      </c>
      <c r="AB398" s="256">
        <v>0</v>
      </c>
      <c r="AC398" s="189">
        <f t="shared" si="259"/>
        <v>0</v>
      </c>
      <c r="AD398" s="259">
        <f t="shared" si="260"/>
        <v>0</v>
      </c>
    </row>
    <row r="399" spans="1:30" s="160" customFormat="1" hidden="1">
      <c r="A399" s="250">
        <v>394</v>
      </c>
      <c r="B399" s="251"/>
      <c r="C399" s="252"/>
      <c r="D399" s="253"/>
      <c r="E399" s="254">
        <f t="shared" si="249"/>
        <v>0</v>
      </c>
      <c r="F399" s="255">
        <f t="shared" si="250"/>
        <v>0</v>
      </c>
      <c r="G399" s="256">
        <f t="shared" si="251"/>
        <v>0</v>
      </c>
      <c r="H399" s="256">
        <f t="shared" si="252"/>
        <v>0</v>
      </c>
      <c r="I399" s="256">
        <f t="shared" si="253"/>
        <v>0</v>
      </c>
      <c r="J399" s="256">
        <f t="shared" si="254"/>
        <v>0</v>
      </c>
      <c r="K399" s="256">
        <f t="shared" si="255"/>
        <v>0</v>
      </c>
      <c r="L399" s="256">
        <f t="shared" si="256"/>
        <v>0</v>
      </c>
      <c r="M399" s="256">
        <f t="shared" si="257"/>
        <v>0</v>
      </c>
      <c r="N399" s="255">
        <v>0</v>
      </c>
      <c r="O399" s="256">
        <v>0</v>
      </c>
      <c r="P399" s="256">
        <v>0</v>
      </c>
      <c r="Q399" s="256">
        <v>0</v>
      </c>
      <c r="R399" s="256">
        <v>0</v>
      </c>
      <c r="S399" s="257">
        <v>0</v>
      </c>
      <c r="T399" s="256">
        <v>0</v>
      </c>
      <c r="U399" s="258">
        <f t="shared" si="258"/>
        <v>0</v>
      </c>
      <c r="V399" s="256">
        <v>0</v>
      </c>
      <c r="W399" s="256">
        <f t="shared" si="261"/>
        <v>0</v>
      </c>
      <c r="X399" s="256">
        <f t="shared" si="262"/>
        <v>0</v>
      </c>
      <c r="Y399" s="256">
        <v>0</v>
      </c>
      <c r="Z399" s="256">
        <f t="shared" si="263"/>
        <v>0</v>
      </c>
      <c r="AA399" s="256">
        <f t="shared" si="264"/>
        <v>0</v>
      </c>
      <c r="AB399" s="256">
        <v>0</v>
      </c>
      <c r="AC399" s="189">
        <f t="shared" si="259"/>
        <v>0</v>
      </c>
      <c r="AD399" s="259">
        <f t="shared" si="260"/>
        <v>0</v>
      </c>
    </row>
    <row r="400" spans="1:30" s="160" customFormat="1" hidden="1">
      <c r="A400" s="250">
        <v>395</v>
      </c>
      <c r="B400" s="251"/>
      <c r="C400" s="252"/>
      <c r="D400" s="253"/>
      <c r="E400" s="254">
        <f t="shared" si="249"/>
        <v>0</v>
      </c>
      <c r="F400" s="255">
        <f t="shared" si="250"/>
        <v>0</v>
      </c>
      <c r="G400" s="256">
        <f t="shared" si="251"/>
        <v>0</v>
      </c>
      <c r="H400" s="256">
        <f t="shared" si="252"/>
        <v>0</v>
      </c>
      <c r="I400" s="256">
        <f t="shared" si="253"/>
        <v>0</v>
      </c>
      <c r="J400" s="256">
        <f t="shared" si="254"/>
        <v>0</v>
      </c>
      <c r="K400" s="256">
        <f t="shared" si="255"/>
        <v>0</v>
      </c>
      <c r="L400" s="256">
        <f t="shared" si="256"/>
        <v>0</v>
      </c>
      <c r="M400" s="256">
        <f t="shared" si="257"/>
        <v>0</v>
      </c>
      <c r="N400" s="255">
        <v>0</v>
      </c>
      <c r="O400" s="256">
        <v>0</v>
      </c>
      <c r="P400" s="256">
        <v>0</v>
      </c>
      <c r="Q400" s="256">
        <v>0</v>
      </c>
      <c r="R400" s="256">
        <v>0</v>
      </c>
      <c r="S400" s="257">
        <v>0</v>
      </c>
      <c r="T400" s="256">
        <v>0</v>
      </c>
      <c r="U400" s="258">
        <f t="shared" si="258"/>
        <v>0</v>
      </c>
      <c r="V400" s="256">
        <v>0</v>
      </c>
      <c r="W400" s="256">
        <f t="shared" si="261"/>
        <v>0</v>
      </c>
      <c r="X400" s="256">
        <f t="shared" si="262"/>
        <v>0</v>
      </c>
      <c r="Y400" s="256">
        <v>0</v>
      </c>
      <c r="Z400" s="256">
        <f t="shared" si="263"/>
        <v>0</v>
      </c>
      <c r="AA400" s="256">
        <f t="shared" si="264"/>
        <v>0</v>
      </c>
      <c r="AB400" s="256">
        <v>0</v>
      </c>
      <c r="AC400" s="189">
        <f t="shared" si="259"/>
        <v>0</v>
      </c>
      <c r="AD400" s="259">
        <f t="shared" si="260"/>
        <v>0</v>
      </c>
    </row>
    <row r="401" spans="1:30" s="160" customFormat="1" hidden="1">
      <c r="A401" s="250">
        <v>396</v>
      </c>
      <c r="B401" s="251"/>
      <c r="C401" s="252"/>
      <c r="D401" s="253"/>
      <c r="E401" s="254">
        <f t="shared" si="249"/>
        <v>0</v>
      </c>
      <c r="F401" s="255">
        <f t="shared" si="250"/>
        <v>0</v>
      </c>
      <c r="G401" s="256">
        <f t="shared" si="251"/>
        <v>0</v>
      </c>
      <c r="H401" s="256">
        <f t="shared" si="252"/>
        <v>0</v>
      </c>
      <c r="I401" s="256">
        <f t="shared" si="253"/>
        <v>0</v>
      </c>
      <c r="J401" s="256">
        <f t="shared" si="254"/>
        <v>0</v>
      </c>
      <c r="K401" s="256">
        <f t="shared" si="255"/>
        <v>0</v>
      </c>
      <c r="L401" s="256">
        <f t="shared" si="256"/>
        <v>0</v>
      </c>
      <c r="M401" s="256">
        <f t="shared" si="257"/>
        <v>0</v>
      </c>
      <c r="N401" s="255">
        <v>0</v>
      </c>
      <c r="O401" s="256">
        <v>0</v>
      </c>
      <c r="P401" s="256">
        <v>0</v>
      </c>
      <c r="Q401" s="256">
        <v>0</v>
      </c>
      <c r="R401" s="256">
        <v>0</v>
      </c>
      <c r="S401" s="257">
        <v>0</v>
      </c>
      <c r="T401" s="256">
        <v>0</v>
      </c>
      <c r="U401" s="258">
        <f t="shared" si="258"/>
        <v>0</v>
      </c>
      <c r="V401" s="256">
        <v>0</v>
      </c>
      <c r="W401" s="256">
        <f t="shared" si="261"/>
        <v>0</v>
      </c>
      <c r="X401" s="256">
        <f t="shared" si="262"/>
        <v>0</v>
      </c>
      <c r="Y401" s="256">
        <v>0</v>
      </c>
      <c r="Z401" s="256">
        <f t="shared" si="263"/>
        <v>0</v>
      </c>
      <c r="AA401" s="256">
        <f t="shared" si="264"/>
        <v>0</v>
      </c>
      <c r="AB401" s="256">
        <v>0</v>
      </c>
      <c r="AC401" s="189">
        <f t="shared" si="259"/>
        <v>0</v>
      </c>
      <c r="AD401" s="259">
        <f t="shared" si="260"/>
        <v>0</v>
      </c>
    </row>
    <row r="402" spans="1:30" s="160" customFormat="1" hidden="1">
      <c r="A402" s="250">
        <v>397</v>
      </c>
      <c r="B402" s="251"/>
      <c r="C402" s="252"/>
      <c r="D402" s="253"/>
      <c r="E402" s="254">
        <f t="shared" si="249"/>
        <v>0</v>
      </c>
      <c r="F402" s="255">
        <f t="shared" si="250"/>
        <v>0</v>
      </c>
      <c r="G402" s="256">
        <f t="shared" si="251"/>
        <v>0</v>
      </c>
      <c r="H402" s="256">
        <f t="shared" si="252"/>
        <v>0</v>
      </c>
      <c r="I402" s="256">
        <f t="shared" si="253"/>
        <v>0</v>
      </c>
      <c r="J402" s="256">
        <f t="shared" si="254"/>
        <v>0</v>
      </c>
      <c r="K402" s="256">
        <f t="shared" si="255"/>
        <v>0</v>
      </c>
      <c r="L402" s="256">
        <f t="shared" si="256"/>
        <v>0</v>
      </c>
      <c r="M402" s="256">
        <f t="shared" si="257"/>
        <v>0</v>
      </c>
      <c r="N402" s="255">
        <v>0</v>
      </c>
      <c r="O402" s="256">
        <v>0</v>
      </c>
      <c r="P402" s="256">
        <v>0</v>
      </c>
      <c r="Q402" s="256">
        <v>0</v>
      </c>
      <c r="R402" s="256">
        <v>0</v>
      </c>
      <c r="S402" s="257">
        <v>0</v>
      </c>
      <c r="T402" s="256">
        <v>0</v>
      </c>
      <c r="U402" s="258">
        <f t="shared" si="258"/>
        <v>0</v>
      </c>
      <c r="V402" s="256">
        <v>0</v>
      </c>
      <c r="W402" s="256">
        <f t="shared" si="261"/>
        <v>0</v>
      </c>
      <c r="X402" s="256">
        <f t="shared" si="262"/>
        <v>0</v>
      </c>
      <c r="Y402" s="256">
        <v>0</v>
      </c>
      <c r="Z402" s="256">
        <f t="shared" si="263"/>
        <v>0</v>
      </c>
      <c r="AA402" s="256">
        <f t="shared" si="264"/>
        <v>0</v>
      </c>
      <c r="AB402" s="256">
        <v>0</v>
      </c>
      <c r="AC402" s="189">
        <f t="shared" si="259"/>
        <v>0</v>
      </c>
      <c r="AD402" s="259">
        <f t="shared" si="260"/>
        <v>0</v>
      </c>
    </row>
    <row r="403" spans="1:30" s="160" customFormat="1" hidden="1">
      <c r="A403" s="250">
        <v>398</v>
      </c>
      <c r="B403" s="251"/>
      <c r="C403" s="252"/>
      <c r="D403" s="253"/>
      <c r="E403" s="254">
        <f t="shared" si="249"/>
        <v>0</v>
      </c>
      <c r="F403" s="255">
        <f t="shared" si="250"/>
        <v>0</v>
      </c>
      <c r="G403" s="256">
        <f t="shared" si="251"/>
        <v>0</v>
      </c>
      <c r="H403" s="256">
        <f t="shared" si="252"/>
        <v>0</v>
      </c>
      <c r="I403" s="256">
        <f t="shared" si="253"/>
        <v>0</v>
      </c>
      <c r="J403" s="256">
        <f t="shared" si="254"/>
        <v>0</v>
      </c>
      <c r="K403" s="256">
        <f t="shared" si="255"/>
        <v>0</v>
      </c>
      <c r="L403" s="256">
        <f t="shared" si="256"/>
        <v>0</v>
      </c>
      <c r="M403" s="256">
        <f t="shared" si="257"/>
        <v>0</v>
      </c>
      <c r="N403" s="255">
        <v>0</v>
      </c>
      <c r="O403" s="256">
        <v>0</v>
      </c>
      <c r="P403" s="256">
        <v>0</v>
      </c>
      <c r="Q403" s="256">
        <v>0</v>
      </c>
      <c r="R403" s="256">
        <v>0</v>
      </c>
      <c r="S403" s="257">
        <v>0</v>
      </c>
      <c r="T403" s="256">
        <v>0</v>
      </c>
      <c r="U403" s="258">
        <f t="shared" si="258"/>
        <v>0</v>
      </c>
      <c r="V403" s="256">
        <v>0</v>
      </c>
      <c r="W403" s="256">
        <f t="shared" si="261"/>
        <v>0</v>
      </c>
      <c r="X403" s="256">
        <f t="shared" si="262"/>
        <v>0</v>
      </c>
      <c r="Y403" s="256">
        <v>0</v>
      </c>
      <c r="Z403" s="256">
        <f t="shared" si="263"/>
        <v>0</v>
      </c>
      <c r="AA403" s="256">
        <f t="shared" si="264"/>
        <v>0</v>
      </c>
      <c r="AB403" s="256">
        <v>0</v>
      </c>
      <c r="AC403" s="189">
        <f t="shared" si="259"/>
        <v>0</v>
      </c>
      <c r="AD403" s="259">
        <f t="shared" si="260"/>
        <v>0</v>
      </c>
    </row>
    <row r="404" spans="1:30" s="160" customFormat="1" hidden="1">
      <c r="A404" s="250">
        <v>399</v>
      </c>
      <c r="B404" s="251"/>
      <c r="C404" s="252"/>
      <c r="D404" s="253"/>
      <c r="E404" s="254">
        <f t="shared" si="249"/>
        <v>0</v>
      </c>
      <c r="F404" s="255">
        <f t="shared" si="250"/>
        <v>0</v>
      </c>
      <c r="G404" s="256">
        <f t="shared" si="251"/>
        <v>0</v>
      </c>
      <c r="H404" s="256">
        <f t="shared" si="252"/>
        <v>0</v>
      </c>
      <c r="I404" s="256">
        <f t="shared" si="253"/>
        <v>0</v>
      </c>
      <c r="J404" s="256">
        <f t="shared" si="254"/>
        <v>0</v>
      </c>
      <c r="K404" s="256">
        <f t="shared" si="255"/>
        <v>0</v>
      </c>
      <c r="L404" s="256">
        <f t="shared" si="256"/>
        <v>0</v>
      </c>
      <c r="M404" s="256">
        <f t="shared" si="257"/>
        <v>0</v>
      </c>
      <c r="N404" s="255">
        <v>0</v>
      </c>
      <c r="O404" s="256">
        <v>0</v>
      </c>
      <c r="P404" s="256">
        <v>0</v>
      </c>
      <c r="Q404" s="256">
        <v>0</v>
      </c>
      <c r="R404" s="256">
        <v>0</v>
      </c>
      <c r="S404" s="257">
        <v>0</v>
      </c>
      <c r="T404" s="256">
        <v>0</v>
      </c>
      <c r="U404" s="258">
        <f t="shared" si="258"/>
        <v>0</v>
      </c>
      <c r="V404" s="256">
        <v>0</v>
      </c>
      <c r="W404" s="256">
        <f t="shared" si="261"/>
        <v>0</v>
      </c>
      <c r="X404" s="256">
        <f t="shared" si="262"/>
        <v>0</v>
      </c>
      <c r="Y404" s="256">
        <v>0</v>
      </c>
      <c r="Z404" s="256">
        <f t="shared" si="263"/>
        <v>0</v>
      </c>
      <c r="AA404" s="256">
        <f t="shared" si="264"/>
        <v>0</v>
      </c>
      <c r="AB404" s="256">
        <v>0</v>
      </c>
      <c r="AC404" s="189">
        <f t="shared" si="259"/>
        <v>0</v>
      </c>
      <c r="AD404" s="259">
        <f t="shared" si="260"/>
        <v>0</v>
      </c>
    </row>
    <row r="405" spans="1:30" s="160" customFormat="1" hidden="1">
      <c r="A405" s="250">
        <v>400</v>
      </c>
      <c r="B405" s="251"/>
      <c r="C405" s="252"/>
      <c r="D405" s="253"/>
      <c r="E405" s="254">
        <f t="shared" si="249"/>
        <v>0</v>
      </c>
      <c r="F405" s="255">
        <f t="shared" si="250"/>
        <v>0</v>
      </c>
      <c r="G405" s="256">
        <f t="shared" si="251"/>
        <v>0</v>
      </c>
      <c r="H405" s="256">
        <f t="shared" si="252"/>
        <v>0</v>
      </c>
      <c r="I405" s="256">
        <f t="shared" si="253"/>
        <v>0</v>
      </c>
      <c r="J405" s="256">
        <f t="shared" si="254"/>
        <v>0</v>
      </c>
      <c r="K405" s="256">
        <f t="shared" si="255"/>
        <v>0</v>
      </c>
      <c r="L405" s="256">
        <f t="shared" si="256"/>
        <v>0</v>
      </c>
      <c r="M405" s="256">
        <f t="shared" si="257"/>
        <v>0</v>
      </c>
      <c r="N405" s="255">
        <v>0</v>
      </c>
      <c r="O405" s="256">
        <v>0</v>
      </c>
      <c r="P405" s="256">
        <v>0</v>
      </c>
      <c r="Q405" s="256">
        <v>0</v>
      </c>
      <c r="R405" s="256">
        <v>0</v>
      </c>
      <c r="S405" s="257">
        <v>0</v>
      </c>
      <c r="T405" s="256">
        <v>0</v>
      </c>
      <c r="U405" s="258">
        <f t="shared" si="258"/>
        <v>0</v>
      </c>
      <c r="V405" s="256">
        <v>0</v>
      </c>
      <c r="W405" s="256">
        <f t="shared" si="261"/>
        <v>0</v>
      </c>
      <c r="X405" s="256">
        <f t="shared" si="262"/>
        <v>0</v>
      </c>
      <c r="Y405" s="256">
        <v>0</v>
      </c>
      <c r="Z405" s="256">
        <f t="shared" si="263"/>
        <v>0</v>
      </c>
      <c r="AA405" s="256">
        <f t="shared" si="264"/>
        <v>0</v>
      </c>
      <c r="AB405" s="256">
        <v>0</v>
      </c>
      <c r="AC405" s="189">
        <f t="shared" si="259"/>
        <v>0</v>
      </c>
      <c r="AD405" s="259">
        <f t="shared" si="260"/>
        <v>0</v>
      </c>
    </row>
    <row r="406" spans="1:30" s="160" customFormat="1" hidden="1">
      <c r="A406" s="250">
        <v>401</v>
      </c>
      <c r="B406" s="251"/>
      <c r="C406" s="252"/>
      <c r="D406" s="253"/>
      <c r="E406" s="254">
        <f t="shared" si="249"/>
        <v>0</v>
      </c>
      <c r="F406" s="255">
        <f t="shared" si="250"/>
        <v>0</v>
      </c>
      <c r="G406" s="256">
        <f t="shared" si="251"/>
        <v>0</v>
      </c>
      <c r="H406" s="256">
        <f t="shared" si="252"/>
        <v>0</v>
      </c>
      <c r="I406" s="256">
        <f t="shared" si="253"/>
        <v>0</v>
      </c>
      <c r="J406" s="256">
        <f t="shared" si="254"/>
        <v>0</v>
      </c>
      <c r="K406" s="256">
        <f t="shared" si="255"/>
        <v>0</v>
      </c>
      <c r="L406" s="256">
        <f t="shared" si="256"/>
        <v>0</v>
      </c>
      <c r="M406" s="256">
        <f t="shared" si="257"/>
        <v>0</v>
      </c>
      <c r="N406" s="255">
        <v>0</v>
      </c>
      <c r="O406" s="256">
        <v>0</v>
      </c>
      <c r="P406" s="256">
        <v>0</v>
      </c>
      <c r="Q406" s="256">
        <v>0</v>
      </c>
      <c r="R406" s="256">
        <v>0</v>
      </c>
      <c r="S406" s="257">
        <v>0</v>
      </c>
      <c r="T406" s="256">
        <v>0</v>
      </c>
      <c r="U406" s="258">
        <f t="shared" si="258"/>
        <v>0</v>
      </c>
      <c r="V406" s="256">
        <v>0</v>
      </c>
      <c r="W406" s="256">
        <f t="shared" si="261"/>
        <v>0</v>
      </c>
      <c r="X406" s="256">
        <f t="shared" si="262"/>
        <v>0</v>
      </c>
      <c r="Y406" s="256">
        <v>0</v>
      </c>
      <c r="Z406" s="256">
        <f t="shared" si="263"/>
        <v>0</v>
      </c>
      <c r="AA406" s="256">
        <f t="shared" si="264"/>
        <v>0</v>
      </c>
      <c r="AB406" s="256">
        <v>0</v>
      </c>
      <c r="AC406" s="189">
        <f t="shared" si="259"/>
        <v>0</v>
      </c>
      <c r="AD406" s="259">
        <f t="shared" si="260"/>
        <v>0</v>
      </c>
    </row>
    <row r="407" spans="1:30" s="160" customFormat="1" hidden="1">
      <c r="A407" s="250">
        <v>402</v>
      </c>
      <c r="B407" s="251"/>
      <c r="C407" s="252"/>
      <c r="D407" s="253"/>
      <c r="E407" s="254">
        <f t="shared" si="249"/>
        <v>0</v>
      </c>
      <c r="F407" s="255">
        <f t="shared" si="250"/>
        <v>0</v>
      </c>
      <c r="G407" s="256">
        <f t="shared" si="251"/>
        <v>0</v>
      </c>
      <c r="H407" s="256">
        <f t="shared" si="252"/>
        <v>0</v>
      </c>
      <c r="I407" s="256">
        <f t="shared" si="253"/>
        <v>0</v>
      </c>
      <c r="J407" s="256">
        <f t="shared" si="254"/>
        <v>0</v>
      </c>
      <c r="K407" s="256">
        <f t="shared" si="255"/>
        <v>0</v>
      </c>
      <c r="L407" s="256">
        <f t="shared" si="256"/>
        <v>0</v>
      </c>
      <c r="M407" s="256">
        <f t="shared" si="257"/>
        <v>0</v>
      </c>
      <c r="N407" s="255">
        <v>0</v>
      </c>
      <c r="O407" s="256">
        <v>0</v>
      </c>
      <c r="P407" s="256">
        <v>0</v>
      </c>
      <c r="Q407" s="256">
        <v>0</v>
      </c>
      <c r="R407" s="256">
        <v>0</v>
      </c>
      <c r="S407" s="257">
        <v>0</v>
      </c>
      <c r="T407" s="256">
        <v>0</v>
      </c>
      <c r="U407" s="258">
        <f t="shared" si="258"/>
        <v>0</v>
      </c>
      <c r="V407" s="256">
        <v>0</v>
      </c>
      <c r="W407" s="256">
        <f t="shared" si="261"/>
        <v>0</v>
      </c>
      <c r="X407" s="256">
        <f t="shared" si="262"/>
        <v>0</v>
      </c>
      <c r="Y407" s="256">
        <v>0</v>
      </c>
      <c r="Z407" s="256">
        <f t="shared" si="263"/>
        <v>0</v>
      </c>
      <c r="AA407" s="256">
        <f t="shared" si="264"/>
        <v>0</v>
      </c>
      <c r="AB407" s="256">
        <v>0</v>
      </c>
      <c r="AC407" s="189">
        <f t="shared" si="259"/>
        <v>0</v>
      </c>
      <c r="AD407" s="259">
        <f t="shared" si="260"/>
        <v>0</v>
      </c>
    </row>
    <row r="408" spans="1:30" s="160" customFormat="1" hidden="1">
      <c r="A408" s="250">
        <v>403</v>
      </c>
      <c r="B408" s="251"/>
      <c r="C408" s="252"/>
      <c r="D408" s="253"/>
      <c r="E408" s="254">
        <f t="shared" si="249"/>
        <v>0</v>
      </c>
      <c r="F408" s="255">
        <f t="shared" si="250"/>
        <v>0</v>
      </c>
      <c r="G408" s="256">
        <f t="shared" si="251"/>
        <v>0</v>
      </c>
      <c r="H408" s="256">
        <f t="shared" si="252"/>
        <v>0</v>
      </c>
      <c r="I408" s="256">
        <f t="shared" si="253"/>
        <v>0</v>
      </c>
      <c r="J408" s="256">
        <f t="shared" si="254"/>
        <v>0</v>
      </c>
      <c r="K408" s="256">
        <f t="shared" si="255"/>
        <v>0</v>
      </c>
      <c r="L408" s="256">
        <f t="shared" si="256"/>
        <v>0</v>
      </c>
      <c r="M408" s="256">
        <f t="shared" si="257"/>
        <v>0</v>
      </c>
      <c r="N408" s="255">
        <v>0</v>
      </c>
      <c r="O408" s="256">
        <v>0</v>
      </c>
      <c r="P408" s="256">
        <v>0</v>
      </c>
      <c r="Q408" s="256">
        <v>0</v>
      </c>
      <c r="R408" s="256">
        <v>0</v>
      </c>
      <c r="S408" s="257">
        <v>0</v>
      </c>
      <c r="T408" s="256">
        <v>0</v>
      </c>
      <c r="U408" s="258">
        <f t="shared" si="258"/>
        <v>0</v>
      </c>
      <c r="V408" s="256">
        <v>0</v>
      </c>
      <c r="W408" s="256">
        <f t="shared" si="261"/>
        <v>0</v>
      </c>
      <c r="X408" s="256">
        <f t="shared" si="262"/>
        <v>0</v>
      </c>
      <c r="Y408" s="256">
        <v>0</v>
      </c>
      <c r="Z408" s="256">
        <f t="shared" si="263"/>
        <v>0</v>
      </c>
      <c r="AA408" s="256">
        <f t="shared" si="264"/>
        <v>0</v>
      </c>
      <c r="AB408" s="256">
        <v>0</v>
      </c>
      <c r="AC408" s="189">
        <f t="shared" si="259"/>
        <v>0</v>
      </c>
      <c r="AD408" s="259">
        <f t="shared" si="260"/>
        <v>0</v>
      </c>
    </row>
    <row r="409" spans="1:30" s="160" customFormat="1" hidden="1">
      <c r="A409" s="250">
        <v>404</v>
      </c>
      <c r="B409" s="251"/>
      <c r="C409" s="252"/>
      <c r="D409" s="253"/>
      <c r="E409" s="254">
        <f t="shared" si="249"/>
        <v>0</v>
      </c>
      <c r="F409" s="255">
        <f t="shared" si="250"/>
        <v>0</v>
      </c>
      <c r="G409" s="256">
        <f t="shared" si="251"/>
        <v>0</v>
      </c>
      <c r="H409" s="256">
        <f t="shared" si="252"/>
        <v>0</v>
      </c>
      <c r="I409" s="256">
        <f t="shared" si="253"/>
        <v>0</v>
      </c>
      <c r="J409" s="256">
        <f t="shared" si="254"/>
        <v>0</v>
      </c>
      <c r="K409" s="256">
        <f t="shared" si="255"/>
        <v>0</v>
      </c>
      <c r="L409" s="256">
        <f t="shared" si="256"/>
        <v>0</v>
      </c>
      <c r="M409" s="256">
        <f t="shared" si="257"/>
        <v>0</v>
      </c>
      <c r="N409" s="255">
        <v>0</v>
      </c>
      <c r="O409" s="256">
        <v>0</v>
      </c>
      <c r="P409" s="256">
        <v>0</v>
      </c>
      <c r="Q409" s="256">
        <v>0</v>
      </c>
      <c r="R409" s="256">
        <v>0</v>
      </c>
      <c r="S409" s="257">
        <v>0</v>
      </c>
      <c r="T409" s="256">
        <v>0</v>
      </c>
      <c r="U409" s="258">
        <f t="shared" si="258"/>
        <v>0</v>
      </c>
      <c r="V409" s="256">
        <v>0</v>
      </c>
      <c r="W409" s="256">
        <f t="shared" si="261"/>
        <v>0</v>
      </c>
      <c r="X409" s="256">
        <f t="shared" si="262"/>
        <v>0</v>
      </c>
      <c r="Y409" s="256">
        <v>0</v>
      </c>
      <c r="Z409" s="256">
        <f t="shared" si="263"/>
        <v>0</v>
      </c>
      <c r="AA409" s="256">
        <f t="shared" si="264"/>
        <v>0</v>
      </c>
      <c r="AB409" s="256">
        <v>0</v>
      </c>
      <c r="AC409" s="189">
        <f t="shared" si="259"/>
        <v>0</v>
      </c>
      <c r="AD409" s="259">
        <f t="shared" si="260"/>
        <v>0</v>
      </c>
    </row>
    <row r="410" spans="1:30" s="160" customFormat="1" hidden="1">
      <c r="A410" s="250">
        <v>405</v>
      </c>
      <c r="B410" s="251"/>
      <c r="C410" s="252"/>
      <c r="D410" s="253"/>
      <c r="E410" s="254">
        <f t="shared" si="249"/>
        <v>0</v>
      </c>
      <c r="F410" s="255">
        <f t="shared" si="250"/>
        <v>0</v>
      </c>
      <c r="G410" s="256">
        <f t="shared" si="251"/>
        <v>0</v>
      </c>
      <c r="H410" s="256">
        <f t="shared" si="252"/>
        <v>0</v>
      </c>
      <c r="I410" s="256">
        <f t="shared" si="253"/>
        <v>0</v>
      </c>
      <c r="J410" s="256">
        <f t="shared" si="254"/>
        <v>0</v>
      </c>
      <c r="K410" s="256">
        <f t="shared" si="255"/>
        <v>0</v>
      </c>
      <c r="L410" s="256">
        <f t="shared" si="256"/>
        <v>0</v>
      </c>
      <c r="M410" s="256">
        <f t="shared" si="257"/>
        <v>0</v>
      </c>
      <c r="N410" s="255">
        <v>0</v>
      </c>
      <c r="O410" s="256">
        <v>0</v>
      </c>
      <c r="P410" s="256">
        <v>0</v>
      </c>
      <c r="Q410" s="256">
        <v>0</v>
      </c>
      <c r="R410" s="256">
        <v>0</v>
      </c>
      <c r="S410" s="257">
        <v>0</v>
      </c>
      <c r="T410" s="256">
        <v>0</v>
      </c>
      <c r="U410" s="258">
        <f t="shared" si="258"/>
        <v>0</v>
      </c>
      <c r="V410" s="256">
        <v>0</v>
      </c>
      <c r="W410" s="256">
        <f t="shared" si="261"/>
        <v>0</v>
      </c>
      <c r="X410" s="256">
        <f t="shared" si="262"/>
        <v>0</v>
      </c>
      <c r="Y410" s="256">
        <v>0</v>
      </c>
      <c r="Z410" s="256">
        <f t="shared" si="263"/>
        <v>0</v>
      </c>
      <c r="AA410" s="256">
        <f t="shared" si="264"/>
        <v>0</v>
      </c>
      <c r="AB410" s="256">
        <v>0</v>
      </c>
      <c r="AC410" s="189">
        <f t="shared" si="259"/>
        <v>0</v>
      </c>
      <c r="AD410" s="259">
        <f t="shared" si="260"/>
        <v>0</v>
      </c>
    </row>
    <row r="411" spans="1:30" s="160" customFormat="1" hidden="1">
      <c r="A411" s="250">
        <v>406</v>
      </c>
      <c r="B411" s="251"/>
      <c r="C411" s="252"/>
      <c r="D411" s="253"/>
      <c r="E411" s="254">
        <f t="shared" si="249"/>
        <v>0</v>
      </c>
      <c r="F411" s="255">
        <f t="shared" si="250"/>
        <v>0</v>
      </c>
      <c r="G411" s="256">
        <f t="shared" si="251"/>
        <v>0</v>
      </c>
      <c r="H411" s="256">
        <f t="shared" si="252"/>
        <v>0</v>
      </c>
      <c r="I411" s="256">
        <f t="shared" si="253"/>
        <v>0</v>
      </c>
      <c r="J411" s="256">
        <f t="shared" si="254"/>
        <v>0</v>
      </c>
      <c r="K411" s="256">
        <f t="shared" si="255"/>
        <v>0</v>
      </c>
      <c r="L411" s="256">
        <f t="shared" si="256"/>
        <v>0</v>
      </c>
      <c r="M411" s="256">
        <f t="shared" si="257"/>
        <v>0</v>
      </c>
      <c r="N411" s="255">
        <v>0</v>
      </c>
      <c r="O411" s="256">
        <v>0</v>
      </c>
      <c r="P411" s="256">
        <v>0</v>
      </c>
      <c r="Q411" s="256">
        <v>0</v>
      </c>
      <c r="R411" s="256">
        <v>0</v>
      </c>
      <c r="S411" s="257">
        <v>0</v>
      </c>
      <c r="T411" s="256">
        <v>0</v>
      </c>
      <c r="U411" s="258">
        <f t="shared" si="258"/>
        <v>0</v>
      </c>
      <c r="V411" s="256">
        <v>0</v>
      </c>
      <c r="W411" s="256">
        <f t="shared" si="261"/>
        <v>0</v>
      </c>
      <c r="X411" s="256">
        <f t="shared" si="262"/>
        <v>0</v>
      </c>
      <c r="Y411" s="256">
        <v>0</v>
      </c>
      <c r="Z411" s="256">
        <f t="shared" si="263"/>
        <v>0</v>
      </c>
      <c r="AA411" s="256">
        <f t="shared" si="264"/>
        <v>0</v>
      </c>
      <c r="AB411" s="256">
        <v>0</v>
      </c>
      <c r="AC411" s="189">
        <f t="shared" si="259"/>
        <v>0</v>
      </c>
      <c r="AD411" s="259">
        <f t="shared" si="260"/>
        <v>0</v>
      </c>
    </row>
    <row r="412" spans="1:30" s="160" customFormat="1" hidden="1">
      <c r="A412" s="250">
        <v>407</v>
      </c>
      <c r="B412" s="251"/>
      <c r="C412" s="252"/>
      <c r="D412" s="253"/>
      <c r="E412" s="254">
        <f t="shared" si="249"/>
        <v>0</v>
      </c>
      <c r="F412" s="255">
        <f t="shared" si="250"/>
        <v>0</v>
      </c>
      <c r="G412" s="256">
        <f t="shared" si="251"/>
        <v>0</v>
      </c>
      <c r="H412" s="256">
        <f t="shared" si="252"/>
        <v>0</v>
      </c>
      <c r="I412" s="256">
        <f t="shared" si="253"/>
        <v>0</v>
      </c>
      <c r="J412" s="256">
        <f t="shared" si="254"/>
        <v>0</v>
      </c>
      <c r="K412" s="256">
        <f t="shared" si="255"/>
        <v>0</v>
      </c>
      <c r="L412" s="256">
        <f t="shared" si="256"/>
        <v>0</v>
      </c>
      <c r="M412" s="256">
        <f t="shared" si="257"/>
        <v>0</v>
      </c>
      <c r="N412" s="255">
        <v>0</v>
      </c>
      <c r="O412" s="256">
        <v>0</v>
      </c>
      <c r="P412" s="256">
        <v>0</v>
      </c>
      <c r="Q412" s="256">
        <v>0</v>
      </c>
      <c r="R412" s="256">
        <v>0</v>
      </c>
      <c r="S412" s="257">
        <v>0</v>
      </c>
      <c r="T412" s="256">
        <v>0</v>
      </c>
      <c r="U412" s="258">
        <f t="shared" si="258"/>
        <v>0</v>
      </c>
      <c r="V412" s="256">
        <v>0</v>
      </c>
      <c r="W412" s="256">
        <f t="shared" si="261"/>
        <v>0</v>
      </c>
      <c r="X412" s="256">
        <f t="shared" si="262"/>
        <v>0</v>
      </c>
      <c r="Y412" s="256">
        <v>0</v>
      </c>
      <c r="Z412" s="256">
        <f t="shared" si="263"/>
        <v>0</v>
      </c>
      <c r="AA412" s="256">
        <f t="shared" si="264"/>
        <v>0</v>
      </c>
      <c r="AB412" s="256">
        <v>0</v>
      </c>
      <c r="AC412" s="189">
        <f t="shared" si="259"/>
        <v>0</v>
      </c>
      <c r="AD412" s="259">
        <f t="shared" si="260"/>
        <v>0</v>
      </c>
    </row>
    <row r="413" spans="1:30" s="160" customFormat="1" hidden="1">
      <c r="A413" s="250">
        <v>408</v>
      </c>
      <c r="B413" s="251"/>
      <c r="C413" s="252"/>
      <c r="D413" s="253"/>
      <c r="E413" s="254">
        <f t="shared" si="249"/>
        <v>0</v>
      </c>
      <c r="F413" s="255">
        <f t="shared" si="250"/>
        <v>0</v>
      </c>
      <c r="G413" s="256">
        <f t="shared" si="251"/>
        <v>0</v>
      </c>
      <c r="H413" s="256">
        <f t="shared" si="252"/>
        <v>0</v>
      </c>
      <c r="I413" s="256">
        <f t="shared" si="253"/>
        <v>0</v>
      </c>
      <c r="J413" s="256">
        <f t="shared" si="254"/>
        <v>0</v>
      </c>
      <c r="K413" s="256">
        <f t="shared" si="255"/>
        <v>0</v>
      </c>
      <c r="L413" s="256">
        <f t="shared" si="256"/>
        <v>0</v>
      </c>
      <c r="M413" s="256">
        <f t="shared" si="257"/>
        <v>0</v>
      </c>
      <c r="N413" s="255">
        <v>0</v>
      </c>
      <c r="O413" s="256">
        <v>0</v>
      </c>
      <c r="P413" s="256">
        <v>0</v>
      </c>
      <c r="Q413" s="256">
        <v>0</v>
      </c>
      <c r="R413" s="256">
        <v>0</v>
      </c>
      <c r="S413" s="257">
        <v>0</v>
      </c>
      <c r="T413" s="256">
        <v>0</v>
      </c>
      <c r="U413" s="258">
        <f t="shared" si="258"/>
        <v>0</v>
      </c>
      <c r="V413" s="256">
        <v>0</v>
      </c>
      <c r="W413" s="256">
        <f t="shared" si="261"/>
        <v>0</v>
      </c>
      <c r="X413" s="256">
        <f t="shared" si="262"/>
        <v>0</v>
      </c>
      <c r="Y413" s="256">
        <v>0</v>
      </c>
      <c r="Z413" s="256">
        <f t="shared" si="263"/>
        <v>0</v>
      </c>
      <c r="AA413" s="256">
        <f t="shared" si="264"/>
        <v>0</v>
      </c>
      <c r="AB413" s="256">
        <v>0</v>
      </c>
      <c r="AC413" s="189">
        <f t="shared" si="259"/>
        <v>0</v>
      </c>
      <c r="AD413" s="259">
        <f t="shared" si="260"/>
        <v>0</v>
      </c>
    </row>
    <row r="414" spans="1:30" s="160" customFormat="1" hidden="1">
      <c r="A414" s="250">
        <v>409</v>
      </c>
      <c r="B414" s="251"/>
      <c r="C414" s="252"/>
      <c r="D414" s="253"/>
      <c r="E414" s="254">
        <f t="shared" si="249"/>
        <v>0</v>
      </c>
      <c r="F414" s="255">
        <f t="shared" si="250"/>
        <v>0</v>
      </c>
      <c r="G414" s="256">
        <f t="shared" si="251"/>
        <v>0</v>
      </c>
      <c r="H414" s="256">
        <f t="shared" si="252"/>
        <v>0</v>
      </c>
      <c r="I414" s="256">
        <f t="shared" si="253"/>
        <v>0</v>
      </c>
      <c r="J414" s="256">
        <f t="shared" si="254"/>
        <v>0</v>
      </c>
      <c r="K414" s="256">
        <f t="shared" si="255"/>
        <v>0</v>
      </c>
      <c r="L414" s="256">
        <f t="shared" si="256"/>
        <v>0</v>
      </c>
      <c r="M414" s="256">
        <f t="shared" si="257"/>
        <v>0</v>
      </c>
      <c r="N414" s="255">
        <v>0</v>
      </c>
      <c r="O414" s="256">
        <v>0</v>
      </c>
      <c r="P414" s="256">
        <v>0</v>
      </c>
      <c r="Q414" s="256">
        <v>0</v>
      </c>
      <c r="R414" s="256">
        <v>0</v>
      </c>
      <c r="S414" s="257">
        <v>0</v>
      </c>
      <c r="T414" s="256">
        <v>0</v>
      </c>
      <c r="U414" s="258">
        <f t="shared" si="258"/>
        <v>0</v>
      </c>
      <c r="V414" s="256">
        <v>0</v>
      </c>
      <c r="W414" s="256">
        <f t="shared" si="261"/>
        <v>0</v>
      </c>
      <c r="X414" s="256">
        <f t="shared" si="262"/>
        <v>0</v>
      </c>
      <c r="Y414" s="256">
        <v>0</v>
      </c>
      <c r="Z414" s="256">
        <f t="shared" si="263"/>
        <v>0</v>
      </c>
      <c r="AA414" s="256">
        <f t="shared" si="264"/>
        <v>0</v>
      </c>
      <c r="AB414" s="256">
        <v>0</v>
      </c>
      <c r="AC414" s="189">
        <f t="shared" si="259"/>
        <v>0</v>
      </c>
      <c r="AD414" s="259">
        <f t="shared" si="260"/>
        <v>0</v>
      </c>
    </row>
    <row r="415" spans="1:30" s="160" customFormat="1" hidden="1">
      <c r="A415" s="250">
        <v>410</v>
      </c>
      <c r="B415" s="251"/>
      <c r="C415" s="252"/>
      <c r="D415" s="253"/>
      <c r="E415" s="254">
        <f t="shared" si="249"/>
        <v>0</v>
      </c>
      <c r="F415" s="255">
        <f t="shared" si="250"/>
        <v>0</v>
      </c>
      <c r="G415" s="256">
        <f t="shared" si="251"/>
        <v>0</v>
      </c>
      <c r="H415" s="256">
        <f t="shared" si="252"/>
        <v>0</v>
      </c>
      <c r="I415" s="256">
        <f t="shared" si="253"/>
        <v>0</v>
      </c>
      <c r="J415" s="256">
        <f t="shared" si="254"/>
        <v>0</v>
      </c>
      <c r="K415" s="256">
        <f t="shared" si="255"/>
        <v>0</v>
      </c>
      <c r="L415" s="256">
        <f t="shared" si="256"/>
        <v>0</v>
      </c>
      <c r="M415" s="256">
        <f t="shared" si="257"/>
        <v>0</v>
      </c>
      <c r="N415" s="255">
        <v>0</v>
      </c>
      <c r="O415" s="256">
        <v>0</v>
      </c>
      <c r="P415" s="256">
        <v>0</v>
      </c>
      <c r="Q415" s="256">
        <v>0</v>
      </c>
      <c r="R415" s="256">
        <v>0</v>
      </c>
      <c r="S415" s="257">
        <v>0</v>
      </c>
      <c r="T415" s="256">
        <v>0</v>
      </c>
      <c r="U415" s="258">
        <f t="shared" si="258"/>
        <v>0</v>
      </c>
      <c r="V415" s="256">
        <v>0</v>
      </c>
      <c r="W415" s="256">
        <f t="shared" si="261"/>
        <v>0</v>
      </c>
      <c r="X415" s="256">
        <f t="shared" si="262"/>
        <v>0</v>
      </c>
      <c r="Y415" s="256">
        <v>0</v>
      </c>
      <c r="Z415" s="256">
        <f t="shared" si="263"/>
        <v>0</v>
      </c>
      <c r="AA415" s="256">
        <f t="shared" si="264"/>
        <v>0</v>
      </c>
      <c r="AB415" s="256">
        <v>0</v>
      </c>
      <c r="AC415" s="189">
        <f t="shared" si="259"/>
        <v>0</v>
      </c>
      <c r="AD415" s="259">
        <f t="shared" si="260"/>
        <v>0</v>
      </c>
    </row>
    <row r="416" spans="1:30" s="160" customFormat="1" hidden="1">
      <c r="A416" s="250">
        <v>411</v>
      </c>
      <c r="B416" s="251"/>
      <c r="C416" s="252"/>
      <c r="D416" s="253"/>
      <c r="E416" s="254">
        <f t="shared" si="249"/>
        <v>0</v>
      </c>
      <c r="F416" s="255">
        <f t="shared" si="250"/>
        <v>0</v>
      </c>
      <c r="G416" s="256">
        <f t="shared" si="251"/>
        <v>0</v>
      </c>
      <c r="H416" s="256">
        <f t="shared" si="252"/>
        <v>0</v>
      </c>
      <c r="I416" s="256">
        <f t="shared" si="253"/>
        <v>0</v>
      </c>
      <c r="J416" s="256">
        <f t="shared" si="254"/>
        <v>0</v>
      </c>
      <c r="K416" s="256">
        <f t="shared" si="255"/>
        <v>0</v>
      </c>
      <c r="L416" s="256">
        <f t="shared" si="256"/>
        <v>0</v>
      </c>
      <c r="M416" s="256">
        <f t="shared" si="257"/>
        <v>0</v>
      </c>
      <c r="N416" s="255">
        <v>0</v>
      </c>
      <c r="O416" s="256">
        <v>0</v>
      </c>
      <c r="P416" s="256">
        <v>0</v>
      </c>
      <c r="Q416" s="256">
        <v>0</v>
      </c>
      <c r="R416" s="256">
        <v>0</v>
      </c>
      <c r="S416" s="257">
        <v>0</v>
      </c>
      <c r="T416" s="256">
        <v>0</v>
      </c>
      <c r="U416" s="258">
        <f t="shared" si="258"/>
        <v>0</v>
      </c>
      <c r="V416" s="256">
        <v>0</v>
      </c>
      <c r="W416" s="256">
        <f t="shared" si="261"/>
        <v>0</v>
      </c>
      <c r="X416" s="256">
        <f t="shared" si="262"/>
        <v>0</v>
      </c>
      <c r="Y416" s="256">
        <v>0</v>
      </c>
      <c r="Z416" s="256">
        <f t="shared" si="263"/>
        <v>0</v>
      </c>
      <c r="AA416" s="256">
        <f t="shared" si="264"/>
        <v>0</v>
      </c>
      <c r="AB416" s="256">
        <v>0</v>
      </c>
      <c r="AC416" s="189">
        <f t="shared" si="259"/>
        <v>0</v>
      </c>
      <c r="AD416" s="259">
        <f t="shared" si="260"/>
        <v>0</v>
      </c>
    </row>
    <row r="417" spans="1:30" s="160" customFormat="1" hidden="1">
      <c r="A417" s="250">
        <v>412</v>
      </c>
      <c r="B417" s="251"/>
      <c r="C417" s="252"/>
      <c r="D417" s="253"/>
      <c r="E417" s="254">
        <f t="shared" si="249"/>
        <v>0</v>
      </c>
      <c r="F417" s="255">
        <f t="shared" si="250"/>
        <v>0</v>
      </c>
      <c r="G417" s="256">
        <f t="shared" si="251"/>
        <v>0</v>
      </c>
      <c r="H417" s="256">
        <f t="shared" si="252"/>
        <v>0</v>
      </c>
      <c r="I417" s="256">
        <f t="shared" si="253"/>
        <v>0</v>
      </c>
      <c r="J417" s="256">
        <f t="shared" si="254"/>
        <v>0</v>
      </c>
      <c r="K417" s="256">
        <f t="shared" si="255"/>
        <v>0</v>
      </c>
      <c r="L417" s="256">
        <f t="shared" si="256"/>
        <v>0</v>
      </c>
      <c r="M417" s="256">
        <f t="shared" si="257"/>
        <v>0</v>
      </c>
      <c r="N417" s="255">
        <v>0</v>
      </c>
      <c r="O417" s="256">
        <v>0</v>
      </c>
      <c r="P417" s="256">
        <v>0</v>
      </c>
      <c r="Q417" s="256">
        <v>0</v>
      </c>
      <c r="R417" s="256">
        <v>0</v>
      </c>
      <c r="S417" s="257">
        <v>0</v>
      </c>
      <c r="T417" s="256">
        <v>0</v>
      </c>
      <c r="U417" s="258">
        <f t="shared" si="258"/>
        <v>0</v>
      </c>
      <c r="V417" s="256">
        <v>0</v>
      </c>
      <c r="W417" s="256">
        <f t="shared" si="261"/>
        <v>0</v>
      </c>
      <c r="X417" s="256">
        <f t="shared" si="262"/>
        <v>0</v>
      </c>
      <c r="Y417" s="256">
        <v>0</v>
      </c>
      <c r="Z417" s="256">
        <f t="shared" si="263"/>
        <v>0</v>
      </c>
      <c r="AA417" s="256">
        <f t="shared" si="264"/>
        <v>0</v>
      </c>
      <c r="AB417" s="256">
        <v>0</v>
      </c>
      <c r="AC417" s="189">
        <f t="shared" si="259"/>
        <v>0</v>
      </c>
      <c r="AD417" s="259">
        <f t="shared" si="260"/>
        <v>0</v>
      </c>
    </row>
    <row r="418" spans="1:30" s="160" customFormat="1" hidden="1">
      <c r="A418" s="250">
        <v>413</v>
      </c>
      <c r="B418" s="251"/>
      <c r="C418" s="252"/>
      <c r="D418" s="253"/>
      <c r="E418" s="254">
        <f t="shared" si="249"/>
        <v>0</v>
      </c>
      <c r="F418" s="255">
        <f t="shared" si="250"/>
        <v>0</v>
      </c>
      <c r="G418" s="256">
        <f t="shared" si="251"/>
        <v>0</v>
      </c>
      <c r="H418" s="256">
        <f t="shared" si="252"/>
        <v>0</v>
      </c>
      <c r="I418" s="256">
        <f t="shared" si="253"/>
        <v>0</v>
      </c>
      <c r="J418" s="256">
        <f t="shared" si="254"/>
        <v>0</v>
      </c>
      <c r="K418" s="256">
        <f t="shared" si="255"/>
        <v>0</v>
      </c>
      <c r="L418" s="256">
        <f t="shared" si="256"/>
        <v>0</v>
      </c>
      <c r="M418" s="256">
        <f t="shared" si="257"/>
        <v>0</v>
      </c>
      <c r="N418" s="255">
        <v>0</v>
      </c>
      <c r="O418" s="256">
        <v>0</v>
      </c>
      <c r="P418" s="256">
        <v>0</v>
      </c>
      <c r="Q418" s="256">
        <v>0</v>
      </c>
      <c r="R418" s="256">
        <v>0</v>
      </c>
      <c r="S418" s="257">
        <v>0</v>
      </c>
      <c r="T418" s="256">
        <v>0</v>
      </c>
      <c r="U418" s="258">
        <f t="shared" si="258"/>
        <v>0</v>
      </c>
      <c r="V418" s="256">
        <v>0</v>
      </c>
      <c r="W418" s="256">
        <f t="shared" si="261"/>
        <v>0</v>
      </c>
      <c r="X418" s="256">
        <f t="shared" si="262"/>
        <v>0</v>
      </c>
      <c r="Y418" s="256">
        <v>0</v>
      </c>
      <c r="Z418" s="256">
        <f t="shared" si="263"/>
        <v>0</v>
      </c>
      <c r="AA418" s="256">
        <f t="shared" si="264"/>
        <v>0</v>
      </c>
      <c r="AB418" s="256">
        <v>0</v>
      </c>
      <c r="AC418" s="189">
        <f t="shared" si="259"/>
        <v>0</v>
      </c>
      <c r="AD418" s="259">
        <f t="shared" si="260"/>
        <v>0</v>
      </c>
    </row>
    <row r="419" spans="1:30" s="160" customFormat="1" hidden="1">
      <c r="A419" s="250">
        <v>414</v>
      </c>
      <c r="B419" s="251"/>
      <c r="C419" s="252"/>
      <c r="D419" s="253"/>
      <c r="E419" s="254">
        <f t="shared" si="249"/>
        <v>0</v>
      </c>
      <c r="F419" s="255">
        <f t="shared" si="250"/>
        <v>0</v>
      </c>
      <c r="G419" s="256">
        <f t="shared" si="251"/>
        <v>0</v>
      </c>
      <c r="H419" s="256">
        <f t="shared" si="252"/>
        <v>0</v>
      </c>
      <c r="I419" s="256">
        <f t="shared" si="253"/>
        <v>0</v>
      </c>
      <c r="J419" s="256">
        <f t="shared" si="254"/>
        <v>0</v>
      </c>
      <c r="K419" s="256">
        <f t="shared" si="255"/>
        <v>0</v>
      </c>
      <c r="L419" s="256">
        <f t="shared" si="256"/>
        <v>0</v>
      </c>
      <c r="M419" s="256">
        <f t="shared" si="257"/>
        <v>0</v>
      </c>
      <c r="N419" s="255">
        <v>0</v>
      </c>
      <c r="O419" s="256">
        <v>0</v>
      </c>
      <c r="P419" s="256">
        <v>0</v>
      </c>
      <c r="Q419" s="256">
        <v>0</v>
      </c>
      <c r="R419" s="256">
        <v>0</v>
      </c>
      <c r="S419" s="257">
        <v>0</v>
      </c>
      <c r="T419" s="256">
        <v>0</v>
      </c>
      <c r="U419" s="258">
        <f t="shared" si="258"/>
        <v>0</v>
      </c>
      <c r="V419" s="256">
        <v>0</v>
      </c>
      <c r="W419" s="256">
        <f t="shared" si="261"/>
        <v>0</v>
      </c>
      <c r="X419" s="256">
        <f t="shared" si="262"/>
        <v>0</v>
      </c>
      <c r="Y419" s="256">
        <v>0</v>
      </c>
      <c r="Z419" s="256">
        <f t="shared" si="263"/>
        <v>0</v>
      </c>
      <c r="AA419" s="256">
        <f t="shared" si="264"/>
        <v>0</v>
      </c>
      <c r="AB419" s="256">
        <v>0</v>
      </c>
      <c r="AC419" s="189">
        <f t="shared" si="259"/>
        <v>0</v>
      </c>
      <c r="AD419" s="259">
        <f t="shared" si="260"/>
        <v>0</v>
      </c>
    </row>
    <row r="420" spans="1:30" s="160" customFormat="1" hidden="1">
      <c r="A420" s="250">
        <v>415</v>
      </c>
      <c r="B420" s="251"/>
      <c r="C420" s="252"/>
      <c r="D420" s="253"/>
      <c r="E420" s="254">
        <f t="shared" si="249"/>
        <v>0</v>
      </c>
      <c r="F420" s="255">
        <f t="shared" si="250"/>
        <v>0</v>
      </c>
      <c r="G420" s="256">
        <f t="shared" si="251"/>
        <v>0</v>
      </c>
      <c r="H420" s="256">
        <f t="shared" si="252"/>
        <v>0</v>
      </c>
      <c r="I420" s="256">
        <f t="shared" si="253"/>
        <v>0</v>
      </c>
      <c r="J420" s="256">
        <f t="shared" si="254"/>
        <v>0</v>
      </c>
      <c r="K420" s="256">
        <f t="shared" si="255"/>
        <v>0</v>
      </c>
      <c r="L420" s="256">
        <f t="shared" si="256"/>
        <v>0</v>
      </c>
      <c r="M420" s="256">
        <f t="shared" si="257"/>
        <v>0</v>
      </c>
      <c r="N420" s="255">
        <v>0</v>
      </c>
      <c r="O420" s="256">
        <v>0</v>
      </c>
      <c r="P420" s="256">
        <v>0</v>
      </c>
      <c r="Q420" s="256">
        <v>0</v>
      </c>
      <c r="R420" s="256">
        <v>0</v>
      </c>
      <c r="S420" s="257">
        <v>0</v>
      </c>
      <c r="T420" s="256">
        <v>0</v>
      </c>
      <c r="U420" s="258">
        <f t="shared" si="258"/>
        <v>0</v>
      </c>
      <c r="V420" s="256">
        <v>0</v>
      </c>
      <c r="W420" s="256">
        <f t="shared" si="261"/>
        <v>0</v>
      </c>
      <c r="X420" s="256">
        <f t="shared" si="262"/>
        <v>0</v>
      </c>
      <c r="Y420" s="256">
        <v>0</v>
      </c>
      <c r="Z420" s="256">
        <f t="shared" si="263"/>
        <v>0</v>
      </c>
      <c r="AA420" s="256">
        <f t="shared" si="264"/>
        <v>0</v>
      </c>
      <c r="AB420" s="256">
        <v>0</v>
      </c>
      <c r="AC420" s="189">
        <f t="shared" si="259"/>
        <v>0</v>
      </c>
      <c r="AD420" s="259">
        <f t="shared" si="260"/>
        <v>0</v>
      </c>
    </row>
    <row r="421" spans="1:30" s="160" customFormat="1" hidden="1">
      <c r="A421" s="250">
        <v>416</v>
      </c>
      <c r="B421" s="251"/>
      <c r="C421" s="252"/>
      <c r="D421" s="253"/>
      <c r="E421" s="254">
        <f t="shared" si="249"/>
        <v>0</v>
      </c>
      <c r="F421" s="255">
        <f t="shared" si="250"/>
        <v>0</v>
      </c>
      <c r="G421" s="256">
        <f t="shared" si="251"/>
        <v>0</v>
      </c>
      <c r="H421" s="256">
        <f t="shared" si="252"/>
        <v>0</v>
      </c>
      <c r="I421" s="256">
        <f t="shared" si="253"/>
        <v>0</v>
      </c>
      <c r="J421" s="256">
        <f t="shared" si="254"/>
        <v>0</v>
      </c>
      <c r="K421" s="256">
        <f t="shared" si="255"/>
        <v>0</v>
      </c>
      <c r="L421" s="256">
        <f t="shared" si="256"/>
        <v>0</v>
      </c>
      <c r="M421" s="256">
        <f t="shared" si="257"/>
        <v>0</v>
      </c>
      <c r="N421" s="255">
        <v>0</v>
      </c>
      <c r="O421" s="256">
        <v>0</v>
      </c>
      <c r="P421" s="256">
        <v>0</v>
      </c>
      <c r="Q421" s="256">
        <v>0</v>
      </c>
      <c r="R421" s="256">
        <v>0</v>
      </c>
      <c r="S421" s="257">
        <v>0</v>
      </c>
      <c r="T421" s="256">
        <v>0</v>
      </c>
      <c r="U421" s="258">
        <f t="shared" si="258"/>
        <v>0</v>
      </c>
      <c r="V421" s="256">
        <v>0</v>
      </c>
      <c r="W421" s="256">
        <f t="shared" si="261"/>
        <v>0</v>
      </c>
      <c r="X421" s="256">
        <f t="shared" si="262"/>
        <v>0</v>
      </c>
      <c r="Y421" s="256">
        <v>0</v>
      </c>
      <c r="Z421" s="256">
        <f t="shared" si="263"/>
        <v>0</v>
      </c>
      <c r="AA421" s="256">
        <f t="shared" si="264"/>
        <v>0</v>
      </c>
      <c r="AB421" s="256">
        <v>0</v>
      </c>
      <c r="AC421" s="189">
        <f t="shared" si="259"/>
        <v>0</v>
      </c>
      <c r="AD421" s="259">
        <f t="shared" si="260"/>
        <v>0</v>
      </c>
    </row>
    <row r="422" spans="1:30" s="160" customFormat="1" hidden="1">
      <c r="A422" s="250">
        <v>417</v>
      </c>
      <c r="B422" s="251"/>
      <c r="C422" s="252"/>
      <c r="D422" s="253"/>
      <c r="E422" s="254">
        <f t="shared" si="249"/>
        <v>0</v>
      </c>
      <c r="F422" s="255">
        <f t="shared" si="250"/>
        <v>0</v>
      </c>
      <c r="G422" s="256">
        <f t="shared" si="251"/>
        <v>0</v>
      </c>
      <c r="H422" s="256">
        <f t="shared" si="252"/>
        <v>0</v>
      </c>
      <c r="I422" s="256">
        <f t="shared" si="253"/>
        <v>0</v>
      </c>
      <c r="J422" s="256">
        <f t="shared" si="254"/>
        <v>0</v>
      </c>
      <c r="K422" s="256">
        <f t="shared" si="255"/>
        <v>0</v>
      </c>
      <c r="L422" s="256">
        <f t="shared" si="256"/>
        <v>0</v>
      </c>
      <c r="M422" s="256">
        <f t="shared" si="257"/>
        <v>0</v>
      </c>
      <c r="N422" s="255">
        <v>0</v>
      </c>
      <c r="O422" s="256">
        <v>0</v>
      </c>
      <c r="P422" s="256">
        <v>0</v>
      </c>
      <c r="Q422" s="256">
        <v>0</v>
      </c>
      <c r="R422" s="256">
        <v>0</v>
      </c>
      <c r="S422" s="257">
        <v>0</v>
      </c>
      <c r="T422" s="256">
        <v>0</v>
      </c>
      <c r="U422" s="258">
        <f t="shared" si="258"/>
        <v>0</v>
      </c>
      <c r="V422" s="256">
        <v>0</v>
      </c>
      <c r="W422" s="256">
        <f t="shared" si="261"/>
        <v>0</v>
      </c>
      <c r="X422" s="256">
        <f t="shared" si="262"/>
        <v>0</v>
      </c>
      <c r="Y422" s="256">
        <v>0</v>
      </c>
      <c r="Z422" s="256">
        <f t="shared" si="263"/>
        <v>0</v>
      </c>
      <c r="AA422" s="256">
        <f t="shared" si="264"/>
        <v>0</v>
      </c>
      <c r="AB422" s="256">
        <v>0</v>
      </c>
      <c r="AC422" s="189">
        <f t="shared" si="259"/>
        <v>0</v>
      </c>
      <c r="AD422" s="259">
        <f t="shared" si="260"/>
        <v>0</v>
      </c>
    </row>
    <row r="423" spans="1:30" s="160" customFormat="1" hidden="1">
      <c r="A423" s="250">
        <v>418</v>
      </c>
      <c r="B423" s="251"/>
      <c r="C423" s="252"/>
      <c r="D423" s="253"/>
      <c r="E423" s="254">
        <f t="shared" si="249"/>
        <v>0</v>
      </c>
      <c r="F423" s="255">
        <f t="shared" si="250"/>
        <v>0</v>
      </c>
      <c r="G423" s="256">
        <f t="shared" si="251"/>
        <v>0</v>
      </c>
      <c r="H423" s="256">
        <f t="shared" si="252"/>
        <v>0</v>
      </c>
      <c r="I423" s="256">
        <f t="shared" si="253"/>
        <v>0</v>
      </c>
      <c r="J423" s="256">
        <f t="shared" si="254"/>
        <v>0</v>
      </c>
      <c r="K423" s="256">
        <f t="shared" si="255"/>
        <v>0</v>
      </c>
      <c r="L423" s="256">
        <f t="shared" si="256"/>
        <v>0</v>
      </c>
      <c r="M423" s="256">
        <f t="shared" si="257"/>
        <v>0</v>
      </c>
      <c r="N423" s="255">
        <v>0</v>
      </c>
      <c r="O423" s="256">
        <v>0</v>
      </c>
      <c r="P423" s="256">
        <v>0</v>
      </c>
      <c r="Q423" s="256">
        <v>0</v>
      </c>
      <c r="R423" s="256">
        <v>0</v>
      </c>
      <c r="S423" s="257">
        <v>0</v>
      </c>
      <c r="T423" s="256">
        <v>0</v>
      </c>
      <c r="U423" s="258">
        <f t="shared" si="258"/>
        <v>0</v>
      </c>
      <c r="V423" s="256">
        <v>0</v>
      </c>
      <c r="W423" s="256">
        <f t="shared" si="261"/>
        <v>0</v>
      </c>
      <c r="X423" s="256">
        <f t="shared" si="262"/>
        <v>0</v>
      </c>
      <c r="Y423" s="256">
        <v>0</v>
      </c>
      <c r="Z423" s="256">
        <f t="shared" si="263"/>
        <v>0</v>
      </c>
      <c r="AA423" s="256">
        <f t="shared" si="264"/>
        <v>0</v>
      </c>
      <c r="AB423" s="256">
        <v>0</v>
      </c>
      <c r="AC423" s="189">
        <f t="shared" si="259"/>
        <v>0</v>
      </c>
      <c r="AD423" s="259">
        <f t="shared" si="260"/>
        <v>0</v>
      </c>
    </row>
    <row r="424" spans="1:30" s="160" customFormat="1" hidden="1">
      <c r="A424" s="250">
        <v>419</v>
      </c>
      <c r="B424" s="251"/>
      <c r="C424" s="252"/>
      <c r="D424" s="253"/>
      <c r="E424" s="254">
        <f t="shared" si="249"/>
        <v>0</v>
      </c>
      <c r="F424" s="255">
        <f t="shared" si="250"/>
        <v>0</v>
      </c>
      <c r="G424" s="256">
        <f t="shared" si="251"/>
        <v>0</v>
      </c>
      <c r="H424" s="256">
        <f t="shared" si="252"/>
        <v>0</v>
      </c>
      <c r="I424" s="256">
        <f t="shared" si="253"/>
        <v>0</v>
      </c>
      <c r="J424" s="256">
        <f t="shared" si="254"/>
        <v>0</v>
      </c>
      <c r="K424" s="256">
        <f t="shared" si="255"/>
        <v>0</v>
      </c>
      <c r="L424" s="256">
        <f t="shared" si="256"/>
        <v>0</v>
      </c>
      <c r="M424" s="256">
        <f t="shared" si="257"/>
        <v>0</v>
      </c>
      <c r="N424" s="255">
        <v>0</v>
      </c>
      <c r="O424" s="256">
        <v>0</v>
      </c>
      <c r="P424" s="256">
        <v>0</v>
      </c>
      <c r="Q424" s="256">
        <v>0</v>
      </c>
      <c r="R424" s="256">
        <v>0</v>
      </c>
      <c r="S424" s="257">
        <v>0</v>
      </c>
      <c r="T424" s="256">
        <v>0</v>
      </c>
      <c r="U424" s="258">
        <f t="shared" si="258"/>
        <v>0</v>
      </c>
      <c r="V424" s="256">
        <v>0</v>
      </c>
      <c r="W424" s="256">
        <f t="shared" si="261"/>
        <v>0</v>
      </c>
      <c r="X424" s="256">
        <f t="shared" si="262"/>
        <v>0</v>
      </c>
      <c r="Y424" s="256">
        <v>0</v>
      </c>
      <c r="Z424" s="256">
        <f t="shared" si="263"/>
        <v>0</v>
      </c>
      <c r="AA424" s="256">
        <f t="shared" si="264"/>
        <v>0</v>
      </c>
      <c r="AB424" s="256">
        <v>0</v>
      </c>
      <c r="AC424" s="189">
        <f t="shared" si="259"/>
        <v>0</v>
      </c>
      <c r="AD424" s="259">
        <f t="shared" si="260"/>
        <v>0</v>
      </c>
    </row>
    <row r="425" spans="1:30" s="160" customFormat="1" hidden="1">
      <c r="A425" s="250">
        <v>420</v>
      </c>
      <c r="B425" s="251"/>
      <c r="C425" s="252"/>
      <c r="D425" s="253"/>
      <c r="E425" s="254">
        <f t="shared" si="249"/>
        <v>0</v>
      </c>
      <c r="F425" s="255">
        <f t="shared" si="250"/>
        <v>0</v>
      </c>
      <c r="G425" s="256">
        <f t="shared" si="251"/>
        <v>0</v>
      </c>
      <c r="H425" s="256">
        <f t="shared" si="252"/>
        <v>0</v>
      </c>
      <c r="I425" s="256">
        <f t="shared" si="253"/>
        <v>0</v>
      </c>
      <c r="J425" s="256">
        <f t="shared" si="254"/>
        <v>0</v>
      </c>
      <c r="K425" s="256">
        <f t="shared" si="255"/>
        <v>0</v>
      </c>
      <c r="L425" s="256">
        <f t="shared" si="256"/>
        <v>0</v>
      </c>
      <c r="M425" s="256">
        <f t="shared" si="257"/>
        <v>0</v>
      </c>
      <c r="N425" s="255">
        <v>0</v>
      </c>
      <c r="O425" s="256">
        <v>0</v>
      </c>
      <c r="P425" s="256">
        <v>0</v>
      </c>
      <c r="Q425" s="256">
        <v>0</v>
      </c>
      <c r="R425" s="256">
        <v>0</v>
      </c>
      <c r="S425" s="257">
        <v>0</v>
      </c>
      <c r="T425" s="256">
        <v>0</v>
      </c>
      <c r="U425" s="258">
        <f t="shared" si="258"/>
        <v>0</v>
      </c>
      <c r="V425" s="256">
        <v>0</v>
      </c>
      <c r="W425" s="256">
        <f t="shared" si="261"/>
        <v>0</v>
      </c>
      <c r="X425" s="256">
        <f t="shared" si="262"/>
        <v>0</v>
      </c>
      <c r="Y425" s="256">
        <v>0</v>
      </c>
      <c r="Z425" s="256">
        <f t="shared" si="263"/>
        <v>0</v>
      </c>
      <c r="AA425" s="256">
        <f t="shared" si="264"/>
        <v>0</v>
      </c>
      <c r="AB425" s="256">
        <v>0</v>
      </c>
      <c r="AC425" s="189">
        <f t="shared" si="259"/>
        <v>0</v>
      </c>
      <c r="AD425" s="259">
        <f t="shared" si="260"/>
        <v>0</v>
      </c>
    </row>
    <row r="426" spans="1:30" s="160" customFormat="1" hidden="1">
      <c r="A426" s="250">
        <v>421</v>
      </c>
      <c r="B426" s="251"/>
      <c r="C426" s="252"/>
      <c r="D426" s="253"/>
      <c r="E426" s="254">
        <f t="shared" si="249"/>
        <v>0</v>
      </c>
      <c r="F426" s="255">
        <f t="shared" si="250"/>
        <v>0</v>
      </c>
      <c r="G426" s="256">
        <f t="shared" si="251"/>
        <v>0</v>
      </c>
      <c r="H426" s="256">
        <f t="shared" si="252"/>
        <v>0</v>
      </c>
      <c r="I426" s="256">
        <f t="shared" si="253"/>
        <v>0</v>
      </c>
      <c r="J426" s="256">
        <f t="shared" si="254"/>
        <v>0</v>
      </c>
      <c r="K426" s="256">
        <f t="shared" si="255"/>
        <v>0</v>
      </c>
      <c r="L426" s="256">
        <f t="shared" si="256"/>
        <v>0</v>
      </c>
      <c r="M426" s="256">
        <f t="shared" si="257"/>
        <v>0</v>
      </c>
      <c r="N426" s="255">
        <v>0</v>
      </c>
      <c r="O426" s="256">
        <v>0</v>
      </c>
      <c r="P426" s="256">
        <v>0</v>
      </c>
      <c r="Q426" s="256">
        <v>0</v>
      </c>
      <c r="R426" s="256">
        <v>0</v>
      </c>
      <c r="S426" s="257">
        <v>0</v>
      </c>
      <c r="T426" s="256">
        <v>0</v>
      </c>
      <c r="U426" s="258">
        <f t="shared" si="258"/>
        <v>0</v>
      </c>
      <c r="V426" s="256">
        <v>0</v>
      </c>
      <c r="W426" s="256">
        <f t="shared" si="261"/>
        <v>0</v>
      </c>
      <c r="X426" s="256">
        <f t="shared" si="262"/>
        <v>0</v>
      </c>
      <c r="Y426" s="256">
        <v>0</v>
      </c>
      <c r="Z426" s="256">
        <f t="shared" si="263"/>
        <v>0</v>
      </c>
      <c r="AA426" s="256">
        <f t="shared" si="264"/>
        <v>0</v>
      </c>
      <c r="AB426" s="256">
        <v>0</v>
      </c>
      <c r="AC426" s="189">
        <f t="shared" si="259"/>
        <v>0</v>
      </c>
      <c r="AD426" s="259">
        <f t="shared" si="260"/>
        <v>0</v>
      </c>
    </row>
    <row r="427" spans="1:30" s="160" customFormat="1" hidden="1">
      <c r="A427" s="250">
        <v>422</v>
      </c>
      <c r="B427" s="251"/>
      <c r="C427" s="252"/>
      <c r="D427" s="253"/>
      <c r="E427" s="254">
        <f t="shared" si="249"/>
        <v>0</v>
      </c>
      <c r="F427" s="255">
        <f t="shared" si="250"/>
        <v>0</v>
      </c>
      <c r="G427" s="256">
        <f t="shared" si="251"/>
        <v>0</v>
      </c>
      <c r="H427" s="256">
        <f t="shared" si="252"/>
        <v>0</v>
      </c>
      <c r="I427" s="256">
        <f t="shared" si="253"/>
        <v>0</v>
      </c>
      <c r="J427" s="256">
        <f t="shared" si="254"/>
        <v>0</v>
      </c>
      <c r="K427" s="256">
        <f t="shared" si="255"/>
        <v>0</v>
      </c>
      <c r="L427" s="256">
        <f t="shared" si="256"/>
        <v>0</v>
      </c>
      <c r="M427" s="256">
        <f t="shared" si="257"/>
        <v>0</v>
      </c>
      <c r="N427" s="255">
        <v>0</v>
      </c>
      <c r="O427" s="256">
        <v>0</v>
      </c>
      <c r="P427" s="256">
        <v>0</v>
      </c>
      <c r="Q427" s="256">
        <v>0</v>
      </c>
      <c r="R427" s="256">
        <v>0</v>
      </c>
      <c r="S427" s="257">
        <v>0</v>
      </c>
      <c r="T427" s="256">
        <v>0</v>
      </c>
      <c r="U427" s="258">
        <f t="shared" si="258"/>
        <v>0</v>
      </c>
      <c r="V427" s="256">
        <v>0</v>
      </c>
      <c r="W427" s="256">
        <f t="shared" si="261"/>
        <v>0</v>
      </c>
      <c r="X427" s="256">
        <f t="shared" si="262"/>
        <v>0</v>
      </c>
      <c r="Y427" s="256">
        <v>0</v>
      </c>
      <c r="Z427" s="256">
        <f t="shared" si="263"/>
        <v>0</v>
      </c>
      <c r="AA427" s="256">
        <f t="shared" si="264"/>
        <v>0</v>
      </c>
      <c r="AB427" s="256">
        <v>0</v>
      </c>
      <c r="AC427" s="189">
        <f t="shared" si="259"/>
        <v>0</v>
      </c>
      <c r="AD427" s="259">
        <f t="shared" si="260"/>
        <v>0</v>
      </c>
    </row>
    <row r="428" spans="1:30" s="160" customFormat="1" hidden="1">
      <c r="A428" s="250">
        <v>423</v>
      </c>
      <c r="B428" s="251"/>
      <c r="C428" s="252"/>
      <c r="D428" s="253"/>
      <c r="E428" s="254">
        <f t="shared" si="249"/>
        <v>0</v>
      </c>
      <c r="F428" s="255">
        <f t="shared" si="250"/>
        <v>0</v>
      </c>
      <c r="G428" s="256">
        <f t="shared" si="251"/>
        <v>0</v>
      </c>
      <c r="H428" s="256">
        <f t="shared" si="252"/>
        <v>0</v>
      </c>
      <c r="I428" s="256">
        <f t="shared" si="253"/>
        <v>0</v>
      </c>
      <c r="J428" s="256">
        <f t="shared" si="254"/>
        <v>0</v>
      </c>
      <c r="K428" s="256">
        <f t="shared" si="255"/>
        <v>0</v>
      </c>
      <c r="L428" s="256">
        <f t="shared" si="256"/>
        <v>0</v>
      </c>
      <c r="M428" s="256">
        <f t="shared" si="257"/>
        <v>0</v>
      </c>
      <c r="N428" s="255">
        <v>0</v>
      </c>
      <c r="O428" s="256">
        <v>0</v>
      </c>
      <c r="P428" s="256">
        <v>0</v>
      </c>
      <c r="Q428" s="256">
        <v>0</v>
      </c>
      <c r="R428" s="256">
        <v>0</v>
      </c>
      <c r="S428" s="257">
        <v>0</v>
      </c>
      <c r="T428" s="256">
        <v>0</v>
      </c>
      <c r="U428" s="258">
        <f t="shared" si="258"/>
        <v>0</v>
      </c>
      <c r="V428" s="256">
        <v>0</v>
      </c>
      <c r="W428" s="256">
        <f t="shared" si="261"/>
        <v>0</v>
      </c>
      <c r="X428" s="256">
        <f t="shared" si="262"/>
        <v>0</v>
      </c>
      <c r="Y428" s="256">
        <v>0</v>
      </c>
      <c r="Z428" s="256">
        <f t="shared" si="263"/>
        <v>0</v>
      </c>
      <c r="AA428" s="256">
        <f t="shared" si="264"/>
        <v>0</v>
      </c>
      <c r="AB428" s="256">
        <v>0</v>
      </c>
      <c r="AC428" s="189">
        <f t="shared" si="259"/>
        <v>0</v>
      </c>
      <c r="AD428" s="259">
        <f t="shared" si="260"/>
        <v>0</v>
      </c>
    </row>
    <row r="429" spans="1:30" s="160" customFormat="1" hidden="1">
      <c r="A429" s="250">
        <v>424</v>
      </c>
      <c r="B429" s="251"/>
      <c r="C429" s="252"/>
      <c r="D429" s="253"/>
      <c r="E429" s="254">
        <f t="shared" si="249"/>
        <v>0</v>
      </c>
      <c r="F429" s="255">
        <f t="shared" si="250"/>
        <v>0</v>
      </c>
      <c r="G429" s="256">
        <f t="shared" si="251"/>
        <v>0</v>
      </c>
      <c r="H429" s="256">
        <f t="shared" si="252"/>
        <v>0</v>
      </c>
      <c r="I429" s="256">
        <f t="shared" si="253"/>
        <v>0</v>
      </c>
      <c r="J429" s="256">
        <f t="shared" si="254"/>
        <v>0</v>
      </c>
      <c r="K429" s="256">
        <f t="shared" si="255"/>
        <v>0</v>
      </c>
      <c r="L429" s="256">
        <f t="shared" si="256"/>
        <v>0</v>
      </c>
      <c r="M429" s="256">
        <f t="shared" si="257"/>
        <v>0</v>
      </c>
      <c r="N429" s="255">
        <v>0</v>
      </c>
      <c r="O429" s="256">
        <v>0</v>
      </c>
      <c r="P429" s="256">
        <v>0</v>
      </c>
      <c r="Q429" s="256">
        <v>0</v>
      </c>
      <c r="R429" s="256">
        <v>0</v>
      </c>
      <c r="S429" s="257">
        <v>0</v>
      </c>
      <c r="T429" s="256">
        <v>0</v>
      </c>
      <c r="U429" s="258">
        <f t="shared" si="258"/>
        <v>0</v>
      </c>
      <c r="V429" s="256">
        <v>0</v>
      </c>
      <c r="W429" s="256">
        <f t="shared" si="261"/>
        <v>0</v>
      </c>
      <c r="X429" s="256">
        <f t="shared" si="262"/>
        <v>0</v>
      </c>
      <c r="Y429" s="256">
        <v>0</v>
      </c>
      <c r="Z429" s="256">
        <f t="shared" si="263"/>
        <v>0</v>
      </c>
      <c r="AA429" s="256">
        <f t="shared" si="264"/>
        <v>0</v>
      </c>
      <c r="AB429" s="256">
        <v>0</v>
      </c>
      <c r="AC429" s="189">
        <f t="shared" si="259"/>
        <v>0</v>
      </c>
      <c r="AD429" s="259">
        <f t="shared" si="260"/>
        <v>0</v>
      </c>
    </row>
    <row r="430" spans="1:30" s="160" customFormat="1" hidden="1">
      <c r="A430" s="250">
        <v>425</v>
      </c>
      <c r="B430" s="251"/>
      <c r="C430" s="252"/>
      <c r="D430" s="253"/>
      <c r="E430" s="254">
        <f t="shared" si="249"/>
        <v>0</v>
      </c>
      <c r="F430" s="255">
        <f t="shared" si="250"/>
        <v>0</v>
      </c>
      <c r="G430" s="256">
        <f t="shared" si="251"/>
        <v>0</v>
      </c>
      <c r="H430" s="256">
        <f t="shared" si="252"/>
        <v>0</v>
      </c>
      <c r="I430" s="256">
        <f t="shared" si="253"/>
        <v>0</v>
      </c>
      <c r="J430" s="256">
        <f t="shared" si="254"/>
        <v>0</v>
      </c>
      <c r="K430" s="256">
        <f t="shared" si="255"/>
        <v>0</v>
      </c>
      <c r="L430" s="256">
        <f t="shared" si="256"/>
        <v>0</v>
      </c>
      <c r="M430" s="256">
        <f t="shared" si="257"/>
        <v>0</v>
      </c>
      <c r="N430" s="255">
        <v>0</v>
      </c>
      <c r="O430" s="256">
        <v>0</v>
      </c>
      <c r="P430" s="256">
        <v>0</v>
      </c>
      <c r="Q430" s="256">
        <v>0</v>
      </c>
      <c r="R430" s="256">
        <v>0</v>
      </c>
      <c r="S430" s="257">
        <v>0</v>
      </c>
      <c r="T430" s="256">
        <v>0</v>
      </c>
      <c r="U430" s="258">
        <f t="shared" si="258"/>
        <v>0</v>
      </c>
      <c r="V430" s="256">
        <v>0</v>
      </c>
      <c r="W430" s="256">
        <f t="shared" si="261"/>
        <v>0</v>
      </c>
      <c r="X430" s="256">
        <f t="shared" si="262"/>
        <v>0</v>
      </c>
      <c r="Y430" s="256">
        <v>0</v>
      </c>
      <c r="Z430" s="256">
        <f t="shared" si="263"/>
        <v>0</v>
      </c>
      <c r="AA430" s="256">
        <f t="shared" si="264"/>
        <v>0</v>
      </c>
      <c r="AB430" s="256">
        <v>0</v>
      </c>
      <c r="AC430" s="189">
        <f t="shared" si="259"/>
        <v>0</v>
      </c>
      <c r="AD430" s="259">
        <f t="shared" si="260"/>
        <v>0</v>
      </c>
    </row>
    <row r="431" spans="1:30" s="160" customFormat="1" hidden="1">
      <c r="A431" s="250">
        <v>426</v>
      </c>
      <c r="B431" s="251"/>
      <c r="C431" s="252"/>
      <c r="D431" s="253"/>
      <c r="E431" s="254">
        <f t="shared" si="249"/>
        <v>0</v>
      </c>
      <c r="F431" s="255">
        <f t="shared" si="250"/>
        <v>0</v>
      </c>
      <c r="G431" s="256">
        <f t="shared" si="251"/>
        <v>0</v>
      </c>
      <c r="H431" s="256">
        <f t="shared" si="252"/>
        <v>0</v>
      </c>
      <c r="I431" s="256">
        <f t="shared" si="253"/>
        <v>0</v>
      </c>
      <c r="J431" s="256">
        <f t="shared" si="254"/>
        <v>0</v>
      </c>
      <c r="K431" s="256">
        <f t="shared" si="255"/>
        <v>0</v>
      </c>
      <c r="L431" s="256">
        <f t="shared" si="256"/>
        <v>0</v>
      </c>
      <c r="M431" s="256">
        <f t="shared" si="257"/>
        <v>0</v>
      </c>
      <c r="N431" s="255">
        <v>0</v>
      </c>
      <c r="O431" s="256">
        <v>0</v>
      </c>
      <c r="P431" s="256">
        <v>0</v>
      </c>
      <c r="Q431" s="256">
        <v>0</v>
      </c>
      <c r="R431" s="256">
        <v>0</v>
      </c>
      <c r="S431" s="257">
        <v>0</v>
      </c>
      <c r="T431" s="256">
        <v>0</v>
      </c>
      <c r="U431" s="258">
        <f t="shared" si="258"/>
        <v>0</v>
      </c>
      <c r="V431" s="256">
        <v>0</v>
      </c>
      <c r="W431" s="256">
        <f t="shared" si="261"/>
        <v>0</v>
      </c>
      <c r="X431" s="256">
        <f t="shared" si="262"/>
        <v>0</v>
      </c>
      <c r="Y431" s="256">
        <v>0</v>
      </c>
      <c r="Z431" s="256">
        <f t="shared" si="263"/>
        <v>0</v>
      </c>
      <c r="AA431" s="256">
        <f t="shared" si="264"/>
        <v>0</v>
      </c>
      <c r="AB431" s="256">
        <v>0</v>
      </c>
      <c r="AC431" s="189">
        <f t="shared" si="259"/>
        <v>0</v>
      </c>
      <c r="AD431" s="259">
        <f t="shared" si="260"/>
        <v>0</v>
      </c>
    </row>
    <row r="432" spans="1:30" s="160" customFormat="1" hidden="1">
      <c r="A432" s="250">
        <v>427</v>
      </c>
      <c r="B432" s="251"/>
      <c r="C432" s="252"/>
      <c r="D432" s="253"/>
      <c r="E432" s="254">
        <f t="shared" si="249"/>
        <v>0</v>
      </c>
      <c r="F432" s="255">
        <f t="shared" si="250"/>
        <v>0</v>
      </c>
      <c r="G432" s="256">
        <f t="shared" si="251"/>
        <v>0</v>
      </c>
      <c r="H432" s="256">
        <f t="shared" si="252"/>
        <v>0</v>
      </c>
      <c r="I432" s="256">
        <f t="shared" si="253"/>
        <v>0</v>
      </c>
      <c r="J432" s="256">
        <f t="shared" si="254"/>
        <v>0</v>
      </c>
      <c r="K432" s="256">
        <f t="shared" si="255"/>
        <v>0</v>
      </c>
      <c r="L432" s="256">
        <f t="shared" si="256"/>
        <v>0</v>
      </c>
      <c r="M432" s="256">
        <f t="shared" si="257"/>
        <v>0</v>
      </c>
      <c r="N432" s="255">
        <v>0</v>
      </c>
      <c r="O432" s="256">
        <v>0</v>
      </c>
      <c r="P432" s="256">
        <v>0</v>
      </c>
      <c r="Q432" s="256">
        <v>0</v>
      </c>
      <c r="R432" s="256">
        <v>0</v>
      </c>
      <c r="S432" s="257">
        <v>0</v>
      </c>
      <c r="T432" s="256">
        <v>0</v>
      </c>
      <c r="U432" s="258">
        <f t="shared" si="258"/>
        <v>0</v>
      </c>
      <c r="V432" s="256">
        <v>0</v>
      </c>
      <c r="W432" s="256">
        <f t="shared" si="261"/>
        <v>0</v>
      </c>
      <c r="X432" s="256">
        <f t="shared" si="262"/>
        <v>0</v>
      </c>
      <c r="Y432" s="256">
        <v>0</v>
      </c>
      <c r="Z432" s="256">
        <f t="shared" si="263"/>
        <v>0</v>
      </c>
      <c r="AA432" s="256">
        <f t="shared" si="264"/>
        <v>0</v>
      </c>
      <c r="AB432" s="256">
        <v>0</v>
      </c>
      <c r="AC432" s="189">
        <f t="shared" si="259"/>
        <v>0</v>
      </c>
      <c r="AD432" s="259">
        <f t="shared" si="260"/>
        <v>0</v>
      </c>
    </row>
    <row r="433" spans="1:30" s="160" customFormat="1" hidden="1">
      <c r="A433" s="250">
        <v>428</v>
      </c>
      <c r="B433" s="251"/>
      <c r="C433" s="252"/>
      <c r="D433" s="253"/>
      <c r="E433" s="254">
        <f t="shared" si="249"/>
        <v>0</v>
      </c>
      <c r="F433" s="255">
        <f t="shared" si="250"/>
        <v>0</v>
      </c>
      <c r="G433" s="256">
        <f t="shared" si="251"/>
        <v>0</v>
      </c>
      <c r="H433" s="256">
        <f t="shared" si="252"/>
        <v>0</v>
      </c>
      <c r="I433" s="256">
        <f t="shared" si="253"/>
        <v>0</v>
      </c>
      <c r="J433" s="256">
        <f t="shared" si="254"/>
        <v>0</v>
      </c>
      <c r="K433" s="256">
        <f t="shared" si="255"/>
        <v>0</v>
      </c>
      <c r="L433" s="256">
        <f t="shared" si="256"/>
        <v>0</v>
      </c>
      <c r="M433" s="256">
        <f t="shared" si="257"/>
        <v>0</v>
      </c>
      <c r="N433" s="255">
        <v>0</v>
      </c>
      <c r="O433" s="256">
        <v>0</v>
      </c>
      <c r="P433" s="256">
        <v>0</v>
      </c>
      <c r="Q433" s="256">
        <v>0</v>
      </c>
      <c r="R433" s="256">
        <v>0</v>
      </c>
      <c r="S433" s="257">
        <v>0</v>
      </c>
      <c r="T433" s="256">
        <v>0</v>
      </c>
      <c r="U433" s="258">
        <f t="shared" si="258"/>
        <v>0</v>
      </c>
      <c r="V433" s="256">
        <v>0</v>
      </c>
      <c r="W433" s="256">
        <f t="shared" si="261"/>
        <v>0</v>
      </c>
      <c r="X433" s="256">
        <f t="shared" si="262"/>
        <v>0</v>
      </c>
      <c r="Y433" s="256">
        <v>0</v>
      </c>
      <c r="Z433" s="256">
        <f t="shared" si="263"/>
        <v>0</v>
      </c>
      <c r="AA433" s="256">
        <f t="shared" si="264"/>
        <v>0</v>
      </c>
      <c r="AB433" s="256">
        <v>0</v>
      </c>
      <c r="AC433" s="189">
        <f t="shared" si="259"/>
        <v>0</v>
      </c>
      <c r="AD433" s="259">
        <f t="shared" si="260"/>
        <v>0</v>
      </c>
    </row>
    <row r="434" spans="1:30" s="160" customFormat="1" hidden="1">
      <c r="A434" s="250">
        <v>429</v>
      </c>
      <c r="B434" s="251"/>
      <c r="C434" s="252"/>
      <c r="D434" s="253"/>
      <c r="E434" s="254">
        <f t="shared" si="249"/>
        <v>0</v>
      </c>
      <c r="F434" s="255">
        <f t="shared" si="250"/>
        <v>0</v>
      </c>
      <c r="G434" s="256">
        <f t="shared" si="251"/>
        <v>0</v>
      </c>
      <c r="H434" s="256">
        <f t="shared" si="252"/>
        <v>0</v>
      </c>
      <c r="I434" s="256">
        <f t="shared" si="253"/>
        <v>0</v>
      </c>
      <c r="J434" s="256">
        <f t="shared" si="254"/>
        <v>0</v>
      </c>
      <c r="K434" s="256">
        <f t="shared" si="255"/>
        <v>0</v>
      </c>
      <c r="L434" s="256">
        <f t="shared" si="256"/>
        <v>0</v>
      </c>
      <c r="M434" s="256">
        <f t="shared" si="257"/>
        <v>0</v>
      </c>
      <c r="N434" s="255">
        <v>0</v>
      </c>
      <c r="O434" s="256">
        <v>0</v>
      </c>
      <c r="P434" s="256">
        <v>0</v>
      </c>
      <c r="Q434" s="256">
        <v>0</v>
      </c>
      <c r="R434" s="256">
        <v>0</v>
      </c>
      <c r="S434" s="257">
        <v>0</v>
      </c>
      <c r="T434" s="256">
        <v>0</v>
      </c>
      <c r="U434" s="258">
        <f t="shared" si="258"/>
        <v>0</v>
      </c>
      <c r="V434" s="256">
        <v>0</v>
      </c>
      <c r="W434" s="256">
        <f t="shared" si="261"/>
        <v>0</v>
      </c>
      <c r="X434" s="256">
        <f t="shared" si="262"/>
        <v>0</v>
      </c>
      <c r="Y434" s="256">
        <v>0</v>
      </c>
      <c r="Z434" s="256">
        <f t="shared" si="263"/>
        <v>0</v>
      </c>
      <c r="AA434" s="256">
        <f t="shared" si="264"/>
        <v>0</v>
      </c>
      <c r="AB434" s="256">
        <v>0</v>
      </c>
      <c r="AC434" s="189">
        <f t="shared" si="259"/>
        <v>0</v>
      </c>
      <c r="AD434" s="259">
        <f t="shared" si="260"/>
        <v>0</v>
      </c>
    </row>
    <row r="435" spans="1:30" s="160" customFormat="1" hidden="1">
      <c r="A435" s="250">
        <v>430</v>
      </c>
      <c r="B435" s="251"/>
      <c r="C435" s="252"/>
      <c r="D435" s="253"/>
      <c r="E435" s="254">
        <f t="shared" si="249"/>
        <v>0</v>
      </c>
      <c r="F435" s="255">
        <f t="shared" si="250"/>
        <v>0</v>
      </c>
      <c r="G435" s="256">
        <f t="shared" si="251"/>
        <v>0</v>
      </c>
      <c r="H435" s="256">
        <f t="shared" si="252"/>
        <v>0</v>
      </c>
      <c r="I435" s="256">
        <f t="shared" si="253"/>
        <v>0</v>
      </c>
      <c r="J435" s="256">
        <f t="shared" si="254"/>
        <v>0</v>
      </c>
      <c r="K435" s="256">
        <f t="shared" si="255"/>
        <v>0</v>
      </c>
      <c r="L435" s="256">
        <f t="shared" si="256"/>
        <v>0</v>
      </c>
      <c r="M435" s="256">
        <f t="shared" si="257"/>
        <v>0</v>
      </c>
      <c r="N435" s="255">
        <v>0</v>
      </c>
      <c r="O435" s="256">
        <v>0</v>
      </c>
      <c r="P435" s="256">
        <v>0</v>
      </c>
      <c r="Q435" s="256">
        <v>0</v>
      </c>
      <c r="R435" s="256">
        <v>0</v>
      </c>
      <c r="S435" s="257">
        <v>0</v>
      </c>
      <c r="T435" s="256">
        <v>0</v>
      </c>
      <c r="U435" s="258">
        <f t="shared" si="258"/>
        <v>0</v>
      </c>
      <c r="V435" s="256">
        <v>0</v>
      </c>
      <c r="W435" s="256">
        <f t="shared" si="261"/>
        <v>0</v>
      </c>
      <c r="X435" s="256">
        <f t="shared" si="262"/>
        <v>0</v>
      </c>
      <c r="Y435" s="256">
        <v>0</v>
      </c>
      <c r="Z435" s="256">
        <f t="shared" si="263"/>
        <v>0</v>
      </c>
      <c r="AA435" s="256">
        <f t="shared" si="264"/>
        <v>0</v>
      </c>
      <c r="AB435" s="256">
        <v>0</v>
      </c>
      <c r="AC435" s="189">
        <f t="shared" si="259"/>
        <v>0</v>
      </c>
      <c r="AD435" s="259">
        <f t="shared" si="260"/>
        <v>0</v>
      </c>
    </row>
    <row r="436" spans="1:30" s="160" customFormat="1" hidden="1">
      <c r="A436" s="250">
        <v>431</v>
      </c>
      <c r="B436" s="251"/>
      <c r="C436" s="252"/>
      <c r="D436" s="253"/>
      <c r="E436" s="254">
        <f t="shared" si="249"/>
        <v>0</v>
      </c>
      <c r="F436" s="255">
        <f t="shared" si="250"/>
        <v>0</v>
      </c>
      <c r="G436" s="256">
        <f t="shared" si="251"/>
        <v>0</v>
      </c>
      <c r="H436" s="256">
        <f t="shared" si="252"/>
        <v>0</v>
      </c>
      <c r="I436" s="256">
        <f t="shared" si="253"/>
        <v>0</v>
      </c>
      <c r="J436" s="256">
        <f t="shared" si="254"/>
        <v>0</v>
      </c>
      <c r="K436" s="256">
        <f t="shared" si="255"/>
        <v>0</v>
      </c>
      <c r="L436" s="256">
        <f t="shared" si="256"/>
        <v>0</v>
      </c>
      <c r="M436" s="256">
        <f t="shared" si="257"/>
        <v>0</v>
      </c>
      <c r="N436" s="255">
        <v>0</v>
      </c>
      <c r="O436" s="256">
        <v>0</v>
      </c>
      <c r="P436" s="256">
        <v>0</v>
      </c>
      <c r="Q436" s="256">
        <v>0</v>
      </c>
      <c r="R436" s="256">
        <v>0</v>
      </c>
      <c r="S436" s="257">
        <v>0</v>
      </c>
      <c r="T436" s="256">
        <v>0</v>
      </c>
      <c r="U436" s="258">
        <f t="shared" si="258"/>
        <v>0</v>
      </c>
      <c r="V436" s="256">
        <v>0</v>
      </c>
      <c r="W436" s="256">
        <f t="shared" si="261"/>
        <v>0</v>
      </c>
      <c r="X436" s="256">
        <f t="shared" si="262"/>
        <v>0</v>
      </c>
      <c r="Y436" s="256">
        <v>0</v>
      </c>
      <c r="Z436" s="256">
        <f t="shared" si="263"/>
        <v>0</v>
      </c>
      <c r="AA436" s="256">
        <f t="shared" si="264"/>
        <v>0</v>
      </c>
      <c r="AB436" s="256">
        <v>0</v>
      </c>
      <c r="AC436" s="189">
        <f t="shared" si="259"/>
        <v>0</v>
      </c>
      <c r="AD436" s="259">
        <f t="shared" si="260"/>
        <v>0</v>
      </c>
    </row>
    <row r="437" spans="1:30" s="160" customFormat="1" hidden="1">
      <c r="A437" s="250">
        <v>432</v>
      </c>
      <c r="B437" s="251"/>
      <c r="C437" s="252"/>
      <c r="D437" s="253"/>
      <c r="E437" s="254">
        <f t="shared" si="249"/>
        <v>0</v>
      </c>
      <c r="F437" s="255">
        <f t="shared" si="250"/>
        <v>0</v>
      </c>
      <c r="G437" s="256">
        <f t="shared" si="251"/>
        <v>0</v>
      </c>
      <c r="H437" s="256">
        <f t="shared" si="252"/>
        <v>0</v>
      </c>
      <c r="I437" s="256">
        <f t="shared" si="253"/>
        <v>0</v>
      </c>
      <c r="J437" s="256">
        <f t="shared" si="254"/>
        <v>0</v>
      </c>
      <c r="K437" s="256">
        <f t="shared" si="255"/>
        <v>0</v>
      </c>
      <c r="L437" s="256">
        <f t="shared" si="256"/>
        <v>0</v>
      </c>
      <c r="M437" s="256">
        <f t="shared" si="257"/>
        <v>0</v>
      </c>
      <c r="N437" s="255">
        <v>0</v>
      </c>
      <c r="O437" s="256">
        <v>0</v>
      </c>
      <c r="P437" s="256">
        <v>0</v>
      </c>
      <c r="Q437" s="256">
        <v>0</v>
      </c>
      <c r="R437" s="256">
        <v>0</v>
      </c>
      <c r="S437" s="257">
        <v>0</v>
      </c>
      <c r="T437" s="256">
        <v>0</v>
      </c>
      <c r="U437" s="258">
        <f t="shared" si="258"/>
        <v>0</v>
      </c>
      <c r="V437" s="256">
        <v>0</v>
      </c>
      <c r="W437" s="256">
        <f t="shared" si="261"/>
        <v>0</v>
      </c>
      <c r="X437" s="256">
        <f t="shared" si="262"/>
        <v>0</v>
      </c>
      <c r="Y437" s="256">
        <v>0</v>
      </c>
      <c r="Z437" s="256">
        <f t="shared" si="263"/>
        <v>0</v>
      </c>
      <c r="AA437" s="256">
        <f t="shared" si="264"/>
        <v>0</v>
      </c>
      <c r="AB437" s="256">
        <v>0</v>
      </c>
      <c r="AC437" s="189">
        <f t="shared" si="259"/>
        <v>0</v>
      </c>
      <c r="AD437" s="259">
        <f t="shared" si="260"/>
        <v>0</v>
      </c>
    </row>
    <row r="438" spans="1:30" s="160" customFormat="1" hidden="1">
      <c r="A438" s="250">
        <v>433</v>
      </c>
      <c r="B438" s="251"/>
      <c r="C438" s="252"/>
      <c r="D438" s="253"/>
      <c r="E438" s="254">
        <f t="shared" si="249"/>
        <v>0</v>
      </c>
      <c r="F438" s="255">
        <f t="shared" si="250"/>
        <v>0</v>
      </c>
      <c r="G438" s="256">
        <f t="shared" si="251"/>
        <v>0</v>
      </c>
      <c r="H438" s="256">
        <f t="shared" si="252"/>
        <v>0</v>
      </c>
      <c r="I438" s="256">
        <f t="shared" si="253"/>
        <v>0</v>
      </c>
      <c r="J438" s="256">
        <f t="shared" si="254"/>
        <v>0</v>
      </c>
      <c r="K438" s="256">
        <f t="shared" si="255"/>
        <v>0</v>
      </c>
      <c r="L438" s="256">
        <f t="shared" si="256"/>
        <v>0</v>
      </c>
      <c r="M438" s="256">
        <f t="shared" si="257"/>
        <v>0</v>
      </c>
      <c r="N438" s="255">
        <v>0</v>
      </c>
      <c r="O438" s="256">
        <v>0</v>
      </c>
      <c r="P438" s="256">
        <v>0</v>
      </c>
      <c r="Q438" s="256">
        <v>0</v>
      </c>
      <c r="R438" s="256">
        <v>0</v>
      </c>
      <c r="S438" s="257">
        <v>0</v>
      </c>
      <c r="T438" s="256">
        <v>0</v>
      </c>
      <c r="U438" s="258">
        <f t="shared" si="258"/>
        <v>0</v>
      </c>
      <c r="V438" s="256">
        <v>0</v>
      </c>
      <c r="W438" s="256">
        <f t="shared" si="261"/>
        <v>0</v>
      </c>
      <c r="X438" s="256">
        <f t="shared" si="262"/>
        <v>0</v>
      </c>
      <c r="Y438" s="256">
        <v>0</v>
      </c>
      <c r="Z438" s="256">
        <f t="shared" si="263"/>
        <v>0</v>
      </c>
      <c r="AA438" s="256">
        <f t="shared" si="264"/>
        <v>0</v>
      </c>
      <c r="AB438" s="256">
        <v>0</v>
      </c>
      <c r="AC438" s="189">
        <f t="shared" si="259"/>
        <v>0</v>
      </c>
      <c r="AD438" s="259">
        <f t="shared" si="260"/>
        <v>0</v>
      </c>
    </row>
    <row r="439" spans="1:30" s="160" customFormat="1" hidden="1">
      <c r="A439" s="250">
        <v>434</v>
      </c>
      <c r="B439" s="251"/>
      <c r="C439" s="252"/>
      <c r="D439" s="253"/>
      <c r="E439" s="254">
        <f t="shared" si="249"/>
        <v>0</v>
      </c>
      <c r="F439" s="255">
        <f t="shared" si="250"/>
        <v>0</v>
      </c>
      <c r="G439" s="256">
        <f t="shared" si="251"/>
        <v>0</v>
      </c>
      <c r="H439" s="256">
        <f t="shared" si="252"/>
        <v>0</v>
      </c>
      <c r="I439" s="256">
        <f t="shared" si="253"/>
        <v>0</v>
      </c>
      <c r="J439" s="256">
        <f t="shared" si="254"/>
        <v>0</v>
      </c>
      <c r="K439" s="256">
        <f t="shared" si="255"/>
        <v>0</v>
      </c>
      <c r="L439" s="256">
        <f t="shared" si="256"/>
        <v>0</v>
      </c>
      <c r="M439" s="256">
        <f t="shared" si="257"/>
        <v>0</v>
      </c>
      <c r="N439" s="255">
        <v>0</v>
      </c>
      <c r="O439" s="256">
        <v>0</v>
      </c>
      <c r="P439" s="256">
        <v>0</v>
      </c>
      <c r="Q439" s="256">
        <v>0</v>
      </c>
      <c r="R439" s="256">
        <v>0</v>
      </c>
      <c r="S439" s="257">
        <v>0</v>
      </c>
      <c r="T439" s="256">
        <v>0</v>
      </c>
      <c r="U439" s="258">
        <f t="shared" si="258"/>
        <v>0</v>
      </c>
      <c r="V439" s="256">
        <v>0</v>
      </c>
      <c r="W439" s="256">
        <f t="shared" si="261"/>
        <v>0</v>
      </c>
      <c r="X439" s="256">
        <f t="shared" si="262"/>
        <v>0</v>
      </c>
      <c r="Y439" s="256">
        <v>0</v>
      </c>
      <c r="Z439" s="256">
        <f t="shared" si="263"/>
        <v>0</v>
      </c>
      <c r="AA439" s="256">
        <f t="shared" si="264"/>
        <v>0</v>
      </c>
      <c r="AB439" s="256">
        <v>0</v>
      </c>
      <c r="AC439" s="189">
        <f t="shared" si="259"/>
        <v>0</v>
      </c>
      <c r="AD439" s="259">
        <f t="shared" si="260"/>
        <v>0</v>
      </c>
    </row>
    <row r="440" spans="1:30" s="160" customFormat="1" hidden="1">
      <c r="A440" s="250">
        <v>435</v>
      </c>
      <c r="B440" s="251"/>
      <c r="C440" s="252"/>
      <c r="D440" s="253"/>
      <c r="E440" s="254">
        <f t="shared" si="249"/>
        <v>0</v>
      </c>
      <c r="F440" s="255">
        <f t="shared" si="250"/>
        <v>0</v>
      </c>
      <c r="G440" s="256">
        <f t="shared" si="251"/>
        <v>0</v>
      </c>
      <c r="H440" s="256">
        <f t="shared" si="252"/>
        <v>0</v>
      </c>
      <c r="I440" s="256">
        <f t="shared" si="253"/>
        <v>0</v>
      </c>
      <c r="J440" s="256">
        <f t="shared" si="254"/>
        <v>0</v>
      </c>
      <c r="K440" s="256">
        <f t="shared" si="255"/>
        <v>0</v>
      </c>
      <c r="L440" s="256">
        <f t="shared" si="256"/>
        <v>0</v>
      </c>
      <c r="M440" s="256">
        <f t="shared" si="257"/>
        <v>0</v>
      </c>
      <c r="N440" s="255">
        <v>0</v>
      </c>
      <c r="O440" s="256">
        <v>0</v>
      </c>
      <c r="P440" s="256">
        <v>0</v>
      </c>
      <c r="Q440" s="256">
        <v>0</v>
      </c>
      <c r="R440" s="256">
        <v>0</v>
      </c>
      <c r="S440" s="257">
        <v>0</v>
      </c>
      <c r="T440" s="256">
        <v>0</v>
      </c>
      <c r="U440" s="258">
        <f t="shared" si="258"/>
        <v>0</v>
      </c>
      <c r="V440" s="256">
        <v>0</v>
      </c>
      <c r="W440" s="256">
        <f t="shared" si="261"/>
        <v>0</v>
      </c>
      <c r="X440" s="256">
        <f t="shared" si="262"/>
        <v>0</v>
      </c>
      <c r="Y440" s="256">
        <v>0</v>
      </c>
      <c r="Z440" s="256">
        <f t="shared" si="263"/>
        <v>0</v>
      </c>
      <c r="AA440" s="256">
        <f t="shared" si="264"/>
        <v>0</v>
      </c>
      <c r="AB440" s="256">
        <v>0</v>
      </c>
      <c r="AC440" s="189">
        <f t="shared" si="259"/>
        <v>0</v>
      </c>
      <c r="AD440" s="259">
        <f t="shared" si="260"/>
        <v>0</v>
      </c>
    </row>
    <row r="441" spans="1:30" s="160" customFormat="1" hidden="1">
      <c r="A441" s="250">
        <v>436</v>
      </c>
      <c r="B441" s="251"/>
      <c r="C441" s="252"/>
      <c r="D441" s="253"/>
      <c r="E441" s="254">
        <f t="shared" si="249"/>
        <v>0</v>
      </c>
      <c r="F441" s="255">
        <f t="shared" si="250"/>
        <v>0</v>
      </c>
      <c r="G441" s="256">
        <f t="shared" si="251"/>
        <v>0</v>
      </c>
      <c r="H441" s="256">
        <f t="shared" si="252"/>
        <v>0</v>
      </c>
      <c r="I441" s="256">
        <f t="shared" si="253"/>
        <v>0</v>
      </c>
      <c r="J441" s="256">
        <f t="shared" si="254"/>
        <v>0</v>
      </c>
      <c r="K441" s="256">
        <f t="shared" si="255"/>
        <v>0</v>
      </c>
      <c r="L441" s="256">
        <f t="shared" si="256"/>
        <v>0</v>
      </c>
      <c r="M441" s="256">
        <f t="shared" si="257"/>
        <v>0</v>
      </c>
      <c r="N441" s="255">
        <v>0</v>
      </c>
      <c r="O441" s="256">
        <v>0</v>
      </c>
      <c r="P441" s="256">
        <v>0</v>
      </c>
      <c r="Q441" s="256">
        <v>0</v>
      </c>
      <c r="R441" s="256">
        <v>0</v>
      </c>
      <c r="S441" s="257">
        <v>0</v>
      </c>
      <c r="T441" s="256">
        <v>0</v>
      </c>
      <c r="U441" s="258">
        <f t="shared" si="258"/>
        <v>0</v>
      </c>
      <c r="V441" s="256">
        <v>0</v>
      </c>
      <c r="W441" s="256">
        <f t="shared" si="261"/>
        <v>0</v>
      </c>
      <c r="X441" s="256">
        <f t="shared" si="262"/>
        <v>0</v>
      </c>
      <c r="Y441" s="256">
        <v>0</v>
      </c>
      <c r="Z441" s="256">
        <f t="shared" si="263"/>
        <v>0</v>
      </c>
      <c r="AA441" s="256">
        <f t="shared" si="264"/>
        <v>0</v>
      </c>
      <c r="AB441" s="256">
        <v>0</v>
      </c>
      <c r="AC441" s="189">
        <f t="shared" si="259"/>
        <v>0</v>
      </c>
      <c r="AD441" s="259">
        <f t="shared" si="260"/>
        <v>0</v>
      </c>
    </row>
    <row r="442" spans="1:30" s="160" customFormat="1" hidden="1">
      <c r="A442" s="250">
        <v>437</v>
      </c>
      <c r="B442" s="251"/>
      <c r="C442" s="252"/>
      <c r="D442" s="253"/>
      <c r="E442" s="254">
        <f t="shared" si="249"/>
        <v>0</v>
      </c>
      <c r="F442" s="255">
        <f t="shared" si="250"/>
        <v>0</v>
      </c>
      <c r="G442" s="256">
        <f t="shared" si="251"/>
        <v>0</v>
      </c>
      <c r="H442" s="256">
        <f t="shared" si="252"/>
        <v>0</v>
      </c>
      <c r="I442" s="256">
        <f t="shared" si="253"/>
        <v>0</v>
      </c>
      <c r="J442" s="256">
        <f t="shared" si="254"/>
        <v>0</v>
      </c>
      <c r="K442" s="256">
        <f t="shared" si="255"/>
        <v>0</v>
      </c>
      <c r="L442" s="256">
        <f t="shared" si="256"/>
        <v>0</v>
      </c>
      <c r="M442" s="256">
        <f t="shared" si="257"/>
        <v>0</v>
      </c>
      <c r="N442" s="255">
        <v>0</v>
      </c>
      <c r="O442" s="256">
        <v>0</v>
      </c>
      <c r="P442" s="256">
        <v>0</v>
      </c>
      <c r="Q442" s="256">
        <v>0</v>
      </c>
      <c r="R442" s="256">
        <v>0</v>
      </c>
      <c r="S442" s="257">
        <v>0</v>
      </c>
      <c r="T442" s="256">
        <v>0</v>
      </c>
      <c r="U442" s="258">
        <f t="shared" si="258"/>
        <v>0</v>
      </c>
      <c r="V442" s="256">
        <v>0</v>
      </c>
      <c r="W442" s="256">
        <f t="shared" si="261"/>
        <v>0</v>
      </c>
      <c r="X442" s="256">
        <f t="shared" si="262"/>
        <v>0</v>
      </c>
      <c r="Y442" s="256">
        <v>0</v>
      </c>
      <c r="Z442" s="256">
        <f t="shared" si="263"/>
        <v>0</v>
      </c>
      <c r="AA442" s="256">
        <f t="shared" si="264"/>
        <v>0</v>
      </c>
      <c r="AB442" s="256">
        <v>0</v>
      </c>
      <c r="AC442" s="189">
        <f t="shared" si="259"/>
        <v>0</v>
      </c>
      <c r="AD442" s="259">
        <f t="shared" si="260"/>
        <v>0</v>
      </c>
    </row>
    <row r="443" spans="1:30" s="160" customFormat="1" hidden="1">
      <c r="A443" s="250">
        <v>438</v>
      </c>
      <c r="B443" s="251"/>
      <c r="C443" s="252"/>
      <c r="D443" s="253"/>
      <c r="E443" s="254">
        <f t="shared" si="249"/>
        <v>0</v>
      </c>
      <c r="F443" s="255">
        <f t="shared" si="250"/>
        <v>0</v>
      </c>
      <c r="G443" s="256">
        <f t="shared" si="251"/>
        <v>0</v>
      </c>
      <c r="H443" s="256">
        <f t="shared" si="252"/>
        <v>0</v>
      </c>
      <c r="I443" s="256">
        <f t="shared" si="253"/>
        <v>0</v>
      </c>
      <c r="J443" s="256">
        <f t="shared" si="254"/>
        <v>0</v>
      </c>
      <c r="K443" s="256">
        <f t="shared" si="255"/>
        <v>0</v>
      </c>
      <c r="L443" s="256">
        <f t="shared" si="256"/>
        <v>0</v>
      </c>
      <c r="M443" s="256">
        <f t="shared" si="257"/>
        <v>0</v>
      </c>
      <c r="N443" s="255">
        <v>0</v>
      </c>
      <c r="O443" s="256">
        <v>0</v>
      </c>
      <c r="P443" s="256">
        <v>0</v>
      </c>
      <c r="Q443" s="256">
        <v>0</v>
      </c>
      <c r="R443" s="256">
        <v>0</v>
      </c>
      <c r="S443" s="257">
        <v>0</v>
      </c>
      <c r="T443" s="256">
        <v>0</v>
      </c>
      <c r="U443" s="258">
        <f t="shared" si="258"/>
        <v>0</v>
      </c>
      <c r="V443" s="256">
        <v>0</v>
      </c>
      <c r="W443" s="256">
        <f t="shared" si="261"/>
        <v>0</v>
      </c>
      <c r="X443" s="256">
        <f t="shared" si="262"/>
        <v>0</v>
      </c>
      <c r="Y443" s="256">
        <v>0</v>
      </c>
      <c r="Z443" s="256">
        <f t="shared" si="263"/>
        <v>0</v>
      </c>
      <c r="AA443" s="256">
        <f t="shared" si="264"/>
        <v>0</v>
      </c>
      <c r="AB443" s="256">
        <v>0</v>
      </c>
      <c r="AC443" s="189">
        <f t="shared" si="259"/>
        <v>0</v>
      </c>
      <c r="AD443" s="259">
        <f t="shared" si="260"/>
        <v>0</v>
      </c>
    </row>
    <row r="444" spans="1:30" s="160" customFormat="1" hidden="1">
      <c r="A444" s="250">
        <v>439</v>
      </c>
      <c r="B444" s="251"/>
      <c r="C444" s="252"/>
      <c r="D444" s="253"/>
      <c r="E444" s="254">
        <f t="shared" si="249"/>
        <v>0</v>
      </c>
      <c r="F444" s="255">
        <f t="shared" si="250"/>
        <v>0</v>
      </c>
      <c r="G444" s="256">
        <f t="shared" si="251"/>
        <v>0</v>
      </c>
      <c r="H444" s="256">
        <f t="shared" si="252"/>
        <v>0</v>
      </c>
      <c r="I444" s="256">
        <f t="shared" si="253"/>
        <v>0</v>
      </c>
      <c r="J444" s="256">
        <f t="shared" si="254"/>
        <v>0</v>
      </c>
      <c r="K444" s="256">
        <f t="shared" si="255"/>
        <v>0</v>
      </c>
      <c r="L444" s="256">
        <f t="shared" si="256"/>
        <v>0</v>
      </c>
      <c r="M444" s="256">
        <f t="shared" si="257"/>
        <v>0</v>
      </c>
      <c r="N444" s="255">
        <v>0</v>
      </c>
      <c r="O444" s="256">
        <v>0</v>
      </c>
      <c r="P444" s="256">
        <v>0</v>
      </c>
      <c r="Q444" s="256">
        <v>0</v>
      </c>
      <c r="R444" s="256">
        <v>0</v>
      </c>
      <c r="S444" s="257">
        <v>0</v>
      </c>
      <c r="T444" s="256">
        <v>0</v>
      </c>
      <c r="U444" s="258">
        <f t="shared" si="258"/>
        <v>0</v>
      </c>
      <c r="V444" s="256">
        <v>0</v>
      </c>
      <c r="W444" s="256">
        <f t="shared" si="261"/>
        <v>0</v>
      </c>
      <c r="X444" s="256">
        <f t="shared" si="262"/>
        <v>0</v>
      </c>
      <c r="Y444" s="256">
        <v>0</v>
      </c>
      <c r="Z444" s="256">
        <f t="shared" si="263"/>
        <v>0</v>
      </c>
      <c r="AA444" s="256">
        <f t="shared" si="264"/>
        <v>0</v>
      </c>
      <c r="AB444" s="256">
        <v>0</v>
      </c>
      <c r="AC444" s="189">
        <f t="shared" si="259"/>
        <v>0</v>
      </c>
      <c r="AD444" s="259">
        <f t="shared" si="260"/>
        <v>0</v>
      </c>
    </row>
    <row r="445" spans="1:30" s="160" customFormat="1" hidden="1">
      <c r="A445" s="250">
        <v>440</v>
      </c>
      <c r="B445" s="251"/>
      <c r="C445" s="252"/>
      <c r="D445" s="253"/>
      <c r="E445" s="254">
        <f t="shared" si="249"/>
        <v>0</v>
      </c>
      <c r="F445" s="255">
        <f t="shared" si="250"/>
        <v>0</v>
      </c>
      <c r="G445" s="256">
        <f t="shared" si="251"/>
        <v>0</v>
      </c>
      <c r="H445" s="256">
        <f t="shared" si="252"/>
        <v>0</v>
      </c>
      <c r="I445" s="256">
        <f t="shared" si="253"/>
        <v>0</v>
      </c>
      <c r="J445" s="256">
        <f t="shared" si="254"/>
        <v>0</v>
      </c>
      <c r="K445" s="256">
        <f t="shared" si="255"/>
        <v>0</v>
      </c>
      <c r="L445" s="256">
        <f t="shared" si="256"/>
        <v>0</v>
      </c>
      <c r="M445" s="256">
        <f t="shared" si="257"/>
        <v>0</v>
      </c>
      <c r="N445" s="255">
        <v>0</v>
      </c>
      <c r="O445" s="256">
        <v>0</v>
      </c>
      <c r="P445" s="256">
        <v>0</v>
      </c>
      <c r="Q445" s="256">
        <v>0</v>
      </c>
      <c r="R445" s="256">
        <v>0</v>
      </c>
      <c r="S445" s="257">
        <v>0</v>
      </c>
      <c r="T445" s="256">
        <v>0</v>
      </c>
      <c r="U445" s="258">
        <f t="shared" si="258"/>
        <v>0</v>
      </c>
      <c r="V445" s="256">
        <v>0</v>
      </c>
      <c r="W445" s="256">
        <f t="shared" si="261"/>
        <v>0</v>
      </c>
      <c r="X445" s="256">
        <f t="shared" si="262"/>
        <v>0</v>
      </c>
      <c r="Y445" s="256">
        <v>0</v>
      </c>
      <c r="Z445" s="256">
        <f t="shared" si="263"/>
        <v>0</v>
      </c>
      <c r="AA445" s="256">
        <f t="shared" si="264"/>
        <v>0</v>
      </c>
      <c r="AB445" s="256">
        <v>0</v>
      </c>
      <c r="AC445" s="189">
        <f t="shared" si="259"/>
        <v>0</v>
      </c>
      <c r="AD445" s="259">
        <f t="shared" si="260"/>
        <v>0</v>
      </c>
    </row>
    <row r="446" spans="1:30" s="160" customFormat="1" hidden="1">
      <c r="A446" s="250">
        <v>441</v>
      </c>
      <c r="B446" s="251"/>
      <c r="C446" s="252"/>
      <c r="D446" s="253"/>
      <c r="E446" s="254">
        <f t="shared" si="249"/>
        <v>0</v>
      </c>
      <c r="F446" s="255">
        <f t="shared" si="250"/>
        <v>0</v>
      </c>
      <c r="G446" s="256">
        <f t="shared" si="251"/>
        <v>0</v>
      </c>
      <c r="H446" s="256">
        <f t="shared" si="252"/>
        <v>0</v>
      </c>
      <c r="I446" s="256">
        <f t="shared" si="253"/>
        <v>0</v>
      </c>
      <c r="J446" s="256">
        <f t="shared" si="254"/>
        <v>0</v>
      </c>
      <c r="K446" s="256">
        <f t="shared" si="255"/>
        <v>0</v>
      </c>
      <c r="L446" s="256">
        <f t="shared" si="256"/>
        <v>0</v>
      </c>
      <c r="M446" s="256">
        <f t="shared" si="257"/>
        <v>0</v>
      </c>
      <c r="N446" s="255">
        <v>0</v>
      </c>
      <c r="O446" s="256">
        <v>0</v>
      </c>
      <c r="P446" s="256">
        <v>0</v>
      </c>
      <c r="Q446" s="256">
        <v>0</v>
      </c>
      <c r="R446" s="256">
        <v>0</v>
      </c>
      <c r="S446" s="257">
        <v>0</v>
      </c>
      <c r="T446" s="256">
        <v>0</v>
      </c>
      <c r="U446" s="258">
        <f t="shared" si="258"/>
        <v>0</v>
      </c>
      <c r="V446" s="256">
        <v>0</v>
      </c>
      <c r="W446" s="256">
        <f t="shared" si="261"/>
        <v>0</v>
      </c>
      <c r="X446" s="256">
        <f t="shared" si="262"/>
        <v>0</v>
      </c>
      <c r="Y446" s="256">
        <v>0</v>
      </c>
      <c r="Z446" s="256">
        <f t="shared" si="263"/>
        <v>0</v>
      </c>
      <c r="AA446" s="256">
        <f t="shared" si="264"/>
        <v>0</v>
      </c>
      <c r="AB446" s="256">
        <v>0</v>
      </c>
      <c r="AC446" s="189">
        <f t="shared" si="259"/>
        <v>0</v>
      </c>
      <c r="AD446" s="259">
        <f t="shared" si="260"/>
        <v>0</v>
      </c>
    </row>
    <row r="447" spans="1:30" s="160" customFormat="1" hidden="1">
      <c r="A447" s="250">
        <v>442</v>
      </c>
      <c r="B447" s="251"/>
      <c r="C447" s="252"/>
      <c r="D447" s="253"/>
      <c r="E447" s="254">
        <f t="shared" si="249"/>
        <v>0</v>
      </c>
      <c r="F447" s="255">
        <f t="shared" si="250"/>
        <v>0</v>
      </c>
      <c r="G447" s="256">
        <f t="shared" si="251"/>
        <v>0</v>
      </c>
      <c r="H447" s="256">
        <f t="shared" si="252"/>
        <v>0</v>
      </c>
      <c r="I447" s="256">
        <f t="shared" si="253"/>
        <v>0</v>
      </c>
      <c r="J447" s="256">
        <f t="shared" si="254"/>
        <v>0</v>
      </c>
      <c r="K447" s="256">
        <f t="shared" si="255"/>
        <v>0</v>
      </c>
      <c r="L447" s="256">
        <f t="shared" si="256"/>
        <v>0</v>
      </c>
      <c r="M447" s="256">
        <f t="shared" si="257"/>
        <v>0</v>
      </c>
      <c r="N447" s="255">
        <v>0</v>
      </c>
      <c r="O447" s="256">
        <v>0</v>
      </c>
      <c r="P447" s="256">
        <v>0</v>
      </c>
      <c r="Q447" s="256">
        <v>0</v>
      </c>
      <c r="R447" s="256">
        <v>0</v>
      </c>
      <c r="S447" s="257">
        <v>0</v>
      </c>
      <c r="T447" s="256">
        <v>0</v>
      </c>
      <c r="U447" s="258">
        <f t="shared" si="258"/>
        <v>0</v>
      </c>
      <c r="V447" s="256">
        <v>0</v>
      </c>
      <c r="W447" s="256">
        <f t="shared" si="261"/>
        <v>0</v>
      </c>
      <c r="X447" s="256">
        <f t="shared" si="262"/>
        <v>0</v>
      </c>
      <c r="Y447" s="256">
        <v>0</v>
      </c>
      <c r="Z447" s="256">
        <f t="shared" si="263"/>
        <v>0</v>
      </c>
      <c r="AA447" s="256">
        <f t="shared" si="264"/>
        <v>0</v>
      </c>
      <c r="AB447" s="256">
        <v>0</v>
      </c>
      <c r="AC447" s="189">
        <f t="shared" si="259"/>
        <v>0</v>
      </c>
      <c r="AD447" s="259">
        <f t="shared" si="260"/>
        <v>0</v>
      </c>
    </row>
    <row r="448" spans="1:30" s="160" customFormat="1" hidden="1">
      <c r="A448" s="250">
        <v>443</v>
      </c>
      <c r="B448" s="251"/>
      <c r="C448" s="252"/>
      <c r="D448" s="253"/>
      <c r="E448" s="254">
        <f t="shared" si="249"/>
        <v>0</v>
      </c>
      <c r="F448" s="255">
        <f t="shared" si="250"/>
        <v>0</v>
      </c>
      <c r="G448" s="256">
        <f t="shared" si="251"/>
        <v>0</v>
      </c>
      <c r="H448" s="256">
        <f t="shared" si="252"/>
        <v>0</v>
      </c>
      <c r="I448" s="256">
        <f t="shared" si="253"/>
        <v>0</v>
      </c>
      <c r="J448" s="256">
        <f t="shared" si="254"/>
        <v>0</v>
      </c>
      <c r="K448" s="256">
        <f t="shared" si="255"/>
        <v>0</v>
      </c>
      <c r="L448" s="256">
        <f t="shared" si="256"/>
        <v>0</v>
      </c>
      <c r="M448" s="256">
        <f t="shared" si="257"/>
        <v>0</v>
      </c>
      <c r="N448" s="255">
        <v>0</v>
      </c>
      <c r="O448" s="256">
        <v>0</v>
      </c>
      <c r="P448" s="256">
        <v>0</v>
      </c>
      <c r="Q448" s="256">
        <v>0</v>
      </c>
      <c r="R448" s="256">
        <v>0</v>
      </c>
      <c r="S448" s="257">
        <v>0</v>
      </c>
      <c r="T448" s="256">
        <v>0</v>
      </c>
      <c r="U448" s="258">
        <f t="shared" si="258"/>
        <v>0</v>
      </c>
      <c r="V448" s="256">
        <v>0</v>
      </c>
      <c r="W448" s="256">
        <f t="shared" si="261"/>
        <v>0</v>
      </c>
      <c r="X448" s="256">
        <f t="shared" si="262"/>
        <v>0</v>
      </c>
      <c r="Y448" s="256">
        <v>0</v>
      </c>
      <c r="Z448" s="256">
        <f t="shared" si="263"/>
        <v>0</v>
      </c>
      <c r="AA448" s="256">
        <f t="shared" si="264"/>
        <v>0</v>
      </c>
      <c r="AB448" s="256">
        <v>0</v>
      </c>
      <c r="AC448" s="189">
        <f t="shared" si="259"/>
        <v>0</v>
      </c>
      <c r="AD448" s="259">
        <f t="shared" si="260"/>
        <v>0</v>
      </c>
    </row>
    <row r="449" spans="1:30" s="160" customFormat="1" hidden="1">
      <c r="A449" s="250">
        <v>444</v>
      </c>
      <c r="B449" s="251"/>
      <c r="C449" s="252"/>
      <c r="D449" s="253"/>
      <c r="E449" s="254">
        <f t="shared" si="249"/>
        <v>0</v>
      </c>
      <c r="F449" s="255">
        <f t="shared" si="250"/>
        <v>0</v>
      </c>
      <c r="G449" s="256">
        <f t="shared" si="251"/>
        <v>0</v>
      </c>
      <c r="H449" s="256">
        <f t="shared" si="252"/>
        <v>0</v>
      </c>
      <c r="I449" s="256">
        <f t="shared" si="253"/>
        <v>0</v>
      </c>
      <c r="J449" s="256">
        <f t="shared" si="254"/>
        <v>0</v>
      </c>
      <c r="K449" s="256">
        <f t="shared" si="255"/>
        <v>0</v>
      </c>
      <c r="L449" s="256">
        <f t="shared" si="256"/>
        <v>0</v>
      </c>
      <c r="M449" s="256">
        <f t="shared" si="257"/>
        <v>0</v>
      </c>
      <c r="N449" s="255">
        <v>0</v>
      </c>
      <c r="O449" s="256">
        <v>0</v>
      </c>
      <c r="P449" s="256">
        <v>0</v>
      </c>
      <c r="Q449" s="256">
        <v>0</v>
      </c>
      <c r="R449" s="256">
        <v>0</v>
      </c>
      <c r="S449" s="257">
        <v>0</v>
      </c>
      <c r="T449" s="256">
        <v>0</v>
      </c>
      <c r="U449" s="258">
        <f t="shared" si="258"/>
        <v>0</v>
      </c>
      <c r="V449" s="256">
        <v>0</v>
      </c>
      <c r="W449" s="256">
        <f t="shared" si="261"/>
        <v>0</v>
      </c>
      <c r="X449" s="256">
        <f t="shared" si="262"/>
        <v>0</v>
      </c>
      <c r="Y449" s="256">
        <v>0</v>
      </c>
      <c r="Z449" s="256">
        <f t="shared" si="263"/>
        <v>0</v>
      </c>
      <c r="AA449" s="256">
        <f t="shared" si="264"/>
        <v>0</v>
      </c>
      <c r="AB449" s="256">
        <v>0</v>
      </c>
      <c r="AC449" s="189">
        <f t="shared" si="259"/>
        <v>0</v>
      </c>
      <c r="AD449" s="259">
        <f t="shared" si="260"/>
        <v>0</v>
      </c>
    </row>
    <row r="450" spans="1:30" s="160" customFormat="1" hidden="1">
      <c r="A450" s="250">
        <v>445</v>
      </c>
      <c r="B450" s="251"/>
      <c r="C450" s="252"/>
      <c r="D450" s="253"/>
      <c r="E450" s="254">
        <f t="shared" si="249"/>
        <v>0</v>
      </c>
      <c r="F450" s="255">
        <f t="shared" si="250"/>
        <v>0</v>
      </c>
      <c r="G450" s="256">
        <f t="shared" si="251"/>
        <v>0</v>
      </c>
      <c r="H450" s="256">
        <f t="shared" si="252"/>
        <v>0</v>
      </c>
      <c r="I450" s="256">
        <f t="shared" si="253"/>
        <v>0</v>
      </c>
      <c r="J450" s="256">
        <f t="shared" si="254"/>
        <v>0</v>
      </c>
      <c r="K450" s="256">
        <f t="shared" si="255"/>
        <v>0</v>
      </c>
      <c r="L450" s="256">
        <f t="shared" si="256"/>
        <v>0</v>
      </c>
      <c r="M450" s="256">
        <f t="shared" si="257"/>
        <v>0</v>
      </c>
      <c r="N450" s="255">
        <v>0</v>
      </c>
      <c r="O450" s="256">
        <v>0</v>
      </c>
      <c r="P450" s="256">
        <v>0</v>
      </c>
      <c r="Q450" s="256">
        <v>0</v>
      </c>
      <c r="R450" s="256">
        <v>0</v>
      </c>
      <c r="S450" s="257">
        <v>0</v>
      </c>
      <c r="T450" s="256">
        <v>0</v>
      </c>
      <c r="U450" s="258">
        <f t="shared" si="258"/>
        <v>0</v>
      </c>
      <c r="V450" s="256">
        <v>0</v>
      </c>
      <c r="W450" s="256">
        <f t="shared" si="261"/>
        <v>0</v>
      </c>
      <c r="X450" s="256">
        <f t="shared" si="262"/>
        <v>0</v>
      </c>
      <c r="Y450" s="256">
        <v>0</v>
      </c>
      <c r="Z450" s="256">
        <f t="shared" si="263"/>
        <v>0</v>
      </c>
      <c r="AA450" s="256">
        <f t="shared" si="264"/>
        <v>0</v>
      </c>
      <c r="AB450" s="256">
        <v>0</v>
      </c>
      <c r="AC450" s="189">
        <f t="shared" si="259"/>
        <v>0</v>
      </c>
      <c r="AD450" s="259">
        <f t="shared" si="260"/>
        <v>0</v>
      </c>
    </row>
    <row r="451" spans="1:30" s="160" customFormat="1" hidden="1">
      <c r="A451" s="250">
        <v>446</v>
      </c>
      <c r="B451" s="251"/>
      <c r="C451" s="252"/>
      <c r="D451" s="253"/>
      <c r="E451" s="254">
        <f t="shared" si="249"/>
        <v>0</v>
      </c>
      <c r="F451" s="255">
        <f t="shared" si="250"/>
        <v>0</v>
      </c>
      <c r="G451" s="256">
        <f t="shared" si="251"/>
        <v>0</v>
      </c>
      <c r="H451" s="256">
        <f t="shared" si="252"/>
        <v>0</v>
      </c>
      <c r="I451" s="256">
        <f t="shared" si="253"/>
        <v>0</v>
      </c>
      <c r="J451" s="256">
        <f t="shared" si="254"/>
        <v>0</v>
      </c>
      <c r="K451" s="256">
        <f t="shared" si="255"/>
        <v>0</v>
      </c>
      <c r="L451" s="256">
        <f t="shared" si="256"/>
        <v>0</v>
      </c>
      <c r="M451" s="256">
        <f t="shared" si="257"/>
        <v>0</v>
      </c>
      <c r="N451" s="255">
        <v>0</v>
      </c>
      <c r="O451" s="256">
        <v>0</v>
      </c>
      <c r="P451" s="256">
        <v>0</v>
      </c>
      <c r="Q451" s="256">
        <v>0</v>
      </c>
      <c r="R451" s="256">
        <v>0</v>
      </c>
      <c r="S451" s="257">
        <v>0</v>
      </c>
      <c r="T451" s="256">
        <v>0</v>
      </c>
      <c r="U451" s="258">
        <f t="shared" si="258"/>
        <v>0</v>
      </c>
      <c r="V451" s="256">
        <v>0</v>
      </c>
      <c r="W451" s="256">
        <f t="shared" si="261"/>
        <v>0</v>
      </c>
      <c r="X451" s="256">
        <f t="shared" si="262"/>
        <v>0</v>
      </c>
      <c r="Y451" s="256">
        <v>0</v>
      </c>
      <c r="Z451" s="256">
        <f t="shared" si="263"/>
        <v>0</v>
      </c>
      <c r="AA451" s="256">
        <f t="shared" si="264"/>
        <v>0</v>
      </c>
      <c r="AB451" s="256">
        <v>0</v>
      </c>
      <c r="AC451" s="189">
        <f t="shared" si="259"/>
        <v>0</v>
      </c>
      <c r="AD451" s="259">
        <f t="shared" si="260"/>
        <v>0</v>
      </c>
    </row>
    <row r="452" spans="1:30" s="160" customFormat="1" hidden="1">
      <c r="A452" s="250">
        <v>447</v>
      </c>
      <c r="B452" s="251"/>
      <c r="C452" s="252"/>
      <c r="D452" s="253"/>
      <c r="E452" s="254">
        <f t="shared" si="249"/>
        <v>0</v>
      </c>
      <c r="F452" s="255">
        <f t="shared" si="250"/>
        <v>0</v>
      </c>
      <c r="G452" s="256">
        <f t="shared" si="251"/>
        <v>0</v>
      </c>
      <c r="H452" s="256">
        <f t="shared" si="252"/>
        <v>0</v>
      </c>
      <c r="I452" s="256">
        <f t="shared" si="253"/>
        <v>0</v>
      </c>
      <c r="J452" s="256">
        <f t="shared" si="254"/>
        <v>0</v>
      </c>
      <c r="K452" s="256">
        <f t="shared" si="255"/>
        <v>0</v>
      </c>
      <c r="L452" s="256">
        <f t="shared" si="256"/>
        <v>0</v>
      </c>
      <c r="M452" s="256">
        <f t="shared" si="257"/>
        <v>0</v>
      </c>
      <c r="N452" s="255">
        <v>0</v>
      </c>
      <c r="O452" s="256">
        <v>0</v>
      </c>
      <c r="P452" s="256">
        <v>0</v>
      </c>
      <c r="Q452" s="256">
        <v>0</v>
      </c>
      <c r="R452" s="256">
        <v>0</v>
      </c>
      <c r="S452" s="257">
        <v>0</v>
      </c>
      <c r="T452" s="256">
        <v>0</v>
      </c>
      <c r="U452" s="258">
        <f t="shared" si="258"/>
        <v>0</v>
      </c>
      <c r="V452" s="256">
        <v>0</v>
      </c>
      <c r="W452" s="256">
        <f t="shared" si="261"/>
        <v>0</v>
      </c>
      <c r="X452" s="256">
        <f t="shared" si="262"/>
        <v>0</v>
      </c>
      <c r="Y452" s="256">
        <v>0</v>
      </c>
      <c r="Z452" s="256">
        <f t="shared" si="263"/>
        <v>0</v>
      </c>
      <c r="AA452" s="256">
        <f t="shared" si="264"/>
        <v>0</v>
      </c>
      <c r="AB452" s="256">
        <v>0</v>
      </c>
      <c r="AC452" s="189">
        <f t="shared" si="259"/>
        <v>0</v>
      </c>
      <c r="AD452" s="259">
        <f t="shared" si="260"/>
        <v>0</v>
      </c>
    </row>
    <row r="453" spans="1:30" s="160" customFormat="1" hidden="1">
      <c r="A453" s="250">
        <v>448</v>
      </c>
      <c r="B453" s="251"/>
      <c r="C453" s="252"/>
      <c r="D453" s="253"/>
      <c r="E453" s="254">
        <f t="shared" si="249"/>
        <v>0</v>
      </c>
      <c r="F453" s="255">
        <f t="shared" si="250"/>
        <v>0</v>
      </c>
      <c r="G453" s="256">
        <f t="shared" si="251"/>
        <v>0</v>
      </c>
      <c r="H453" s="256">
        <f t="shared" si="252"/>
        <v>0</v>
      </c>
      <c r="I453" s="256">
        <f t="shared" si="253"/>
        <v>0</v>
      </c>
      <c r="J453" s="256">
        <f t="shared" si="254"/>
        <v>0</v>
      </c>
      <c r="K453" s="256">
        <f t="shared" si="255"/>
        <v>0</v>
      </c>
      <c r="L453" s="256">
        <f t="shared" si="256"/>
        <v>0</v>
      </c>
      <c r="M453" s="256">
        <f t="shared" si="257"/>
        <v>0</v>
      </c>
      <c r="N453" s="255">
        <v>0</v>
      </c>
      <c r="O453" s="256">
        <v>0</v>
      </c>
      <c r="P453" s="256">
        <v>0</v>
      </c>
      <c r="Q453" s="256">
        <v>0</v>
      </c>
      <c r="R453" s="256">
        <v>0</v>
      </c>
      <c r="S453" s="257">
        <v>0</v>
      </c>
      <c r="T453" s="256">
        <v>0</v>
      </c>
      <c r="U453" s="258">
        <f t="shared" si="258"/>
        <v>0</v>
      </c>
      <c r="V453" s="256">
        <v>0</v>
      </c>
      <c r="W453" s="256">
        <f t="shared" si="261"/>
        <v>0</v>
      </c>
      <c r="X453" s="256">
        <f t="shared" si="262"/>
        <v>0</v>
      </c>
      <c r="Y453" s="256">
        <v>0</v>
      </c>
      <c r="Z453" s="256">
        <f t="shared" si="263"/>
        <v>0</v>
      </c>
      <c r="AA453" s="256">
        <f t="shared" si="264"/>
        <v>0</v>
      </c>
      <c r="AB453" s="256">
        <v>0</v>
      </c>
      <c r="AC453" s="189">
        <f t="shared" si="259"/>
        <v>0</v>
      </c>
      <c r="AD453" s="259">
        <f t="shared" si="260"/>
        <v>0</v>
      </c>
    </row>
    <row r="454" spans="1:30" s="160" customFormat="1" hidden="1">
      <c r="A454" s="250">
        <v>449</v>
      </c>
      <c r="B454" s="251"/>
      <c r="C454" s="252"/>
      <c r="D454" s="253"/>
      <c r="E454" s="254">
        <f t="shared" ref="E454:E505" si="265">C454*D454</f>
        <v>0</v>
      </c>
      <c r="F454" s="255">
        <f t="shared" ref="F454:F505" si="266">(E454+J454+L454+K454+M454)*26.5%</f>
        <v>0</v>
      </c>
      <c r="G454" s="256">
        <f t="shared" ref="G454:G505" si="267">(E454+J454+L454+K454+M454)*1%</f>
        <v>0</v>
      </c>
      <c r="H454" s="256">
        <f t="shared" ref="H454:H505" si="268">(E454+J454+L454+K454+M454)*8%</f>
        <v>0</v>
      </c>
      <c r="I454" s="256">
        <f t="shared" ref="I454:I505" si="269">H454/2</f>
        <v>0</v>
      </c>
      <c r="J454" s="256">
        <f t="shared" ref="J454:J505" si="270">E454/12</f>
        <v>0</v>
      </c>
      <c r="K454" s="256">
        <f t="shared" ref="K454:K505" si="271">E454/12</f>
        <v>0</v>
      </c>
      <c r="L454" s="256">
        <f t="shared" ref="L454:L505" si="272">K454/3</f>
        <v>0</v>
      </c>
      <c r="M454" s="256">
        <f t="shared" ref="M454:M505" si="273">E454/12</f>
        <v>0</v>
      </c>
      <c r="N454" s="255">
        <v>0</v>
      </c>
      <c r="O454" s="256">
        <v>0</v>
      </c>
      <c r="P454" s="256">
        <v>0</v>
      </c>
      <c r="Q454" s="256">
        <v>0</v>
      </c>
      <c r="R454" s="256">
        <v>0</v>
      </c>
      <c r="S454" s="257">
        <v>0</v>
      </c>
      <c r="T454" s="256">
        <v>0</v>
      </c>
      <c r="U454" s="258">
        <f t="shared" ref="U454:U505" si="274">SUM(F454:T454)</f>
        <v>0</v>
      </c>
      <c r="V454" s="256">
        <v>0</v>
      </c>
      <c r="W454" s="256">
        <f t="shared" si="261"/>
        <v>0</v>
      </c>
      <c r="X454" s="256">
        <f t="shared" si="262"/>
        <v>0</v>
      </c>
      <c r="Y454" s="256">
        <v>0</v>
      </c>
      <c r="Z454" s="256">
        <f t="shared" si="263"/>
        <v>0</v>
      </c>
      <c r="AA454" s="256">
        <f t="shared" si="264"/>
        <v>0</v>
      </c>
      <c r="AB454" s="256">
        <v>0</v>
      </c>
      <c r="AC454" s="189">
        <f t="shared" ref="AC454:AC505" si="275">SUM(V454:AB454)</f>
        <v>0</v>
      </c>
      <c r="AD454" s="259">
        <f t="shared" ref="AD454:AD505" si="276">E454+U454+AC454</f>
        <v>0</v>
      </c>
    </row>
    <row r="455" spans="1:30" s="160" customFormat="1" hidden="1">
      <c r="A455" s="250">
        <v>450</v>
      </c>
      <c r="B455" s="251"/>
      <c r="C455" s="252"/>
      <c r="D455" s="253"/>
      <c r="E455" s="254">
        <f t="shared" si="265"/>
        <v>0</v>
      </c>
      <c r="F455" s="255">
        <f t="shared" si="266"/>
        <v>0</v>
      </c>
      <c r="G455" s="256">
        <f t="shared" si="267"/>
        <v>0</v>
      </c>
      <c r="H455" s="256">
        <f t="shared" si="268"/>
        <v>0</v>
      </c>
      <c r="I455" s="256">
        <f t="shared" si="269"/>
        <v>0</v>
      </c>
      <c r="J455" s="256">
        <f t="shared" si="270"/>
        <v>0</v>
      </c>
      <c r="K455" s="256">
        <f t="shared" si="271"/>
        <v>0</v>
      </c>
      <c r="L455" s="256">
        <f t="shared" si="272"/>
        <v>0</v>
      </c>
      <c r="M455" s="256">
        <f t="shared" si="273"/>
        <v>0</v>
      </c>
      <c r="N455" s="255">
        <v>0</v>
      </c>
      <c r="O455" s="256">
        <v>0</v>
      </c>
      <c r="P455" s="256">
        <v>0</v>
      </c>
      <c r="Q455" s="256">
        <v>0</v>
      </c>
      <c r="R455" s="256">
        <v>0</v>
      </c>
      <c r="S455" s="257">
        <v>0</v>
      </c>
      <c r="T455" s="256">
        <v>0</v>
      </c>
      <c r="U455" s="258">
        <f t="shared" si="274"/>
        <v>0</v>
      </c>
      <c r="V455" s="256">
        <v>0</v>
      </c>
      <c r="W455" s="256">
        <f t="shared" ref="W455:W505" si="277">C455*500</f>
        <v>0</v>
      </c>
      <c r="X455" s="256">
        <f t="shared" ref="X455:X505" si="278">C455*53.31</f>
        <v>0</v>
      </c>
      <c r="Y455" s="256">
        <v>0</v>
      </c>
      <c r="Z455" s="256">
        <f t="shared" ref="Z455:Z505" si="279">C455*17.5</f>
        <v>0</v>
      </c>
      <c r="AA455" s="256">
        <f t="shared" ref="AA455:AA505" si="280">C455*23.65</f>
        <v>0</v>
      </c>
      <c r="AB455" s="256">
        <v>0</v>
      </c>
      <c r="AC455" s="189">
        <f t="shared" si="275"/>
        <v>0</v>
      </c>
      <c r="AD455" s="259">
        <f t="shared" si="276"/>
        <v>0</v>
      </c>
    </row>
    <row r="456" spans="1:30" s="160" customFormat="1" hidden="1">
      <c r="A456" s="250">
        <v>451</v>
      </c>
      <c r="B456" s="251"/>
      <c r="C456" s="252"/>
      <c r="D456" s="253"/>
      <c r="E456" s="254">
        <f t="shared" si="265"/>
        <v>0</v>
      </c>
      <c r="F456" s="255">
        <f t="shared" si="266"/>
        <v>0</v>
      </c>
      <c r="G456" s="256">
        <f t="shared" si="267"/>
        <v>0</v>
      </c>
      <c r="H456" s="256">
        <f t="shared" si="268"/>
        <v>0</v>
      </c>
      <c r="I456" s="256">
        <f t="shared" si="269"/>
        <v>0</v>
      </c>
      <c r="J456" s="256">
        <f t="shared" si="270"/>
        <v>0</v>
      </c>
      <c r="K456" s="256">
        <f t="shared" si="271"/>
        <v>0</v>
      </c>
      <c r="L456" s="256">
        <f t="shared" si="272"/>
        <v>0</v>
      </c>
      <c r="M456" s="256">
        <f t="shared" si="273"/>
        <v>0</v>
      </c>
      <c r="N456" s="255">
        <v>0</v>
      </c>
      <c r="O456" s="256">
        <v>0</v>
      </c>
      <c r="P456" s="256">
        <v>0</v>
      </c>
      <c r="Q456" s="256">
        <v>0</v>
      </c>
      <c r="R456" s="256">
        <v>0</v>
      </c>
      <c r="S456" s="257">
        <v>0</v>
      </c>
      <c r="T456" s="256">
        <v>0</v>
      </c>
      <c r="U456" s="258">
        <f t="shared" si="274"/>
        <v>0</v>
      </c>
      <c r="V456" s="256">
        <v>0</v>
      </c>
      <c r="W456" s="256">
        <f t="shared" si="277"/>
        <v>0</v>
      </c>
      <c r="X456" s="256">
        <f t="shared" si="278"/>
        <v>0</v>
      </c>
      <c r="Y456" s="256">
        <v>0</v>
      </c>
      <c r="Z456" s="256">
        <f t="shared" si="279"/>
        <v>0</v>
      </c>
      <c r="AA456" s="256">
        <f t="shared" si="280"/>
        <v>0</v>
      </c>
      <c r="AB456" s="256">
        <v>0</v>
      </c>
      <c r="AC456" s="189">
        <f t="shared" si="275"/>
        <v>0</v>
      </c>
      <c r="AD456" s="259">
        <f t="shared" si="276"/>
        <v>0</v>
      </c>
    </row>
    <row r="457" spans="1:30" s="160" customFormat="1" hidden="1">
      <c r="A457" s="250">
        <v>452</v>
      </c>
      <c r="B457" s="251"/>
      <c r="C457" s="252"/>
      <c r="D457" s="253"/>
      <c r="E457" s="254">
        <f t="shared" si="265"/>
        <v>0</v>
      </c>
      <c r="F457" s="255">
        <f t="shared" si="266"/>
        <v>0</v>
      </c>
      <c r="G457" s="256">
        <f t="shared" si="267"/>
        <v>0</v>
      </c>
      <c r="H457" s="256">
        <f t="shared" si="268"/>
        <v>0</v>
      </c>
      <c r="I457" s="256">
        <f t="shared" si="269"/>
        <v>0</v>
      </c>
      <c r="J457" s="256">
        <f t="shared" si="270"/>
        <v>0</v>
      </c>
      <c r="K457" s="256">
        <f t="shared" si="271"/>
        <v>0</v>
      </c>
      <c r="L457" s="256">
        <f t="shared" si="272"/>
        <v>0</v>
      </c>
      <c r="M457" s="256">
        <f t="shared" si="273"/>
        <v>0</v>
      </c>
      <c r="N457" s="255">
        <v>0</v>
      </c>
      <c r="O457" s="256">
        <v>0</v>
      </c>
      <c r="P457" s="256">
        <v>0</v>
      </c>
      <c r="Q457" s="256">
        <v>0</v>
      </c>
      <c r="R457" s="256">
        <v>0</v>
      </c>
      <c r="S457" s="257">
        <v>0</v>
      </c>
      <c r="T457" s="256">
        <v>0</v>
      </c>
      <c r="U457" s="258">
        <f t="shared" si="274"/>
        <v>0</v>
      </c>
      <c r="V457" s="256">
        <v>0</v>
      </c>
      <c r="W457" s="256">
        <f t="shared" si="277"/>
        <v>0</v>
      </c>
      <c r="X457" s="256">
        <f t="shared" si="278"/>
        <v>0</v>
      </c>
      <c r="Y457" s="256">
        <v>0</v>
      </c>
      <c r="Z457" s="256">
        <f t="shared" si="279"/>
        <v>0</v>
      </c>
      <c r="AA457" s="256">
        <f t="shared" si="280"/>
        <v>0</v>
      </c>
      <c r="AB457" s="256">
        <v>0</v>
      </c>
      <c r="AC457" s="189">
        <f t="shared" si="275"/>
        <v>0</v>
      </c>
      <c r="AD457" s="259">
        <f t="shared" si="276"/>
        <v>0</v>
      </c>
    </row>
    <row r="458" spans="1:30" s="160" customFormat="1" hidden="1">
      <c r="A458" s="250">
        <v>453</v>
      </c>
      <c r="B458" s="251"/>
      <c r="C458" s="252"/>
      <c r="D458" s="253"/>
      <c r="E458" s="254">
        <f t="shared" si="265"/>
        <v>0</v>
      </c>
      <c r="F458" s="255">
        <f t="shared" si="266"/>
        <v>0</v>
      </c>
      <c r="G458" s="256">
        <f t="shared" si="267"/>
        <v>0</v>
      </c>
      <c r="H458" s="256">
        <f t="shared" si="268"/>
        <v>0</v>
      </c>
      <c r="I458" s="256">
        <f t="shared" si="269"/>
        <v>0</v>
      </c>
      <c r="J458" s="256">
        <f t="shared" si="270"/>
        <v>0</v>
      </c>
      <c r="K458" s="256">
        <f t="shared" si="271"/>
        <v>0</v>
      </c>
      <c r="L458" s="256">
        <f t="shared" si="272"/>
        <v>0</v>
      </c>
      <c r="M458" s="256">
        <f t="shared" si="273"/>
        <v>0</v>
      </c>
      <c r="N458" s="255">
        <v>0</v>
      </c>
      <c r="O458" s="256">
        <v>0</v>
      </c>
      <c r="P458" s="256">
        <v>0</v>
      </c>
      <c r="Q458" s="256">
        <v>0</v>
      </c>
      <c r="R458" s="256">
        <v>0</v>
      </c>
      <c r="S458" s="257">
        <v>0</v>
      </c>
      <c r="T458" s="256">
        <v>0</v>
      </c>
      <c r="U458" s="258">
        <f t="shared" si="274"/>
        <v>0</v>
      </c>
      <c r="V458" s="256">
        <v>0</v>
      </c>
      <c r="W458" s="256">
        <f t="shared" si="277"/>
        <v>0</v>
      </c>
      <c r="X458" s="256">
        <f t="shared" si="278"/>
        <v>0</v>
      </c>
      <c r="Y458" s="256">
        <v>0</v>
      </c>
      <c r="Z458" s="256">
        <f t="shared" si="279"/>
        <v>0</v>
      </c>
      <c r="AA458" s="256">
        <f t="shared" si="280"/>
        <v>0</v>
      </c>
      <c r="AB458" s="256">
        <v>0</v>
      </c>
      <c r="AC458" s="189">
        <f t="shared" si="275"/>
        <v>0</v>
      </c>
      <c r="AD458" s="259">
        <f t="shared" si="276"/>
        <v>0</v>
      </c>
    </row>
    <row r="459" spans="1:30" s="160" customFormat="1" hidden="1">
      <c r="A459" s="250">
        <v>454</v>
      </c>
      <c r="B459" s="251"/>
      <c r="C459" s="252"/>
      <c r="D459" s="253"/>
      <c r="E459" s="254">
        <f t="shared" si="265"/>
        <v>0</v>
      </c>
      <c r="F459" s="255">
        <f t="shared" si="266"/>
        <v>0</v>
      </c>
      <c r="G459" s="256">
        <f t="shared" si="267"/>
        <v>0</v>
      </c>
      <c r="H459" s="256">
        <f t="shared" si="268"/>
        <v>0</v>
      </c>
      <c r="I459" s="256">
        <f t="shared" si="269"/>
        <v>0</v>
      </c>
      <c r="J459" s="256">
        <f t="shared" si="270"/>
        <v>0</v>
      </c>
      <c r="K459" s="256">
        <f t="shared" si="271"/>
        <v>0</v>
      </c>
      <c r="L459" s="256">
        <f t="shared" si="272"/>
        <v>0</v>
      </c>
      <c r="M459" s="256">
        <f t="shared" si="273"/>
        <v>0</v>
      </c>
      <c r="N459" s="255">
        <v>0</v>
      </c>
      <c r="O459" s="256">
        <v>0</v>
      </c>
      <c r="P459" s="256">
        <v>0</v>
      </c>
      <c r="Q459" s="256">
        <v>0</v>
      </c>
      <c r="R459" s="256">
        <v>0</v>
      </c>
      <c r="S459" s="257">
        <v>0</v>
      </c>
      <c r="T459" s="256">
        <v>0</v>
      </c>
      <c r="U459" s="258">
        <f t="shared" si="274"/>
        <v>0</v>
      </c>
      <c r="V459" s="256">
        <v>0</v>
      </c>
      <c r="W459" s="256">
        <f t="shared" si="277"/>
        <v>0</v>
      </c>
      <c r="X459" s="256">
        <f t="shared" si="278"/>
        <v>0</v>
      </c>
      <c r="Y459" s="256">
        <v>0</v>
      </c>
      <c r="Z459" s="256">
        <f t="shared" si="279"/>
        <v>0</v>
      </c>
      <c r="AA459" s="256">
        <f t="shared" si="280"/>
        <v>0</v>
      </c>
      <c r="AB459" s="256">
        <v>0</v>
      </c>
      <c r="AC459" s="189">
        <f t="shared" si="275"/>
        <v>0</v>
      </c>
      <c r="AD459" s="259">
        <f t="shared" si="276"/>
        <v>0</v>
      </c>
    </row>
    <row r="460" spans="1:30" s="160" customFormat="1" hidden="1">
      <c r="A460" s="250">
        <v>455</v>
      </c>
      <c r="B460" s="251"/>
      <c r="C460" s="252"/>
      <c r="D460" s="253"/>
      <c r="E460" s="254">
        <f t="shared" si="265"/>
        <v>0</v>
      </c>
      <c r="F460" s="255">
        <f t="shared" si="266"/>
        <v>0</v>
      </c>
      <c r="G460" s="256">
        <f t="shared" si="267"/>
        <v>0</v>
      </c>
      <c r="H460" s="256">
        <f t="shared" si="268"/>
        <v>0</v>
      </c>
      <c r="I460" s="256">
        <f t="shared" si="269"/>
        <v>0</v>
      </c>
      <c r="J460" s="256">
        <f t="shared" si="270"/>
        <v>0</v>
      </c>
      <c r="K460" s="256">
        <f t="shared" si="271"/>
        <v>0</v>
      </c>
      <c r="L460" s="256">
        <f t="shared" si="272"/>
        <v>0</v>
      </c>
      <c r="M460" s="256">
        <f t="shared" si="273"/>
        <v>0</v>
      </c>
      <c r="N460" s="255">
        <v>0</v>
      </c>
      <c r="O460" s="256">
        <v>0</v>
      </c>
      <c r="P460" s="256">
        <v>0</v>
      </c>
      <c r="Q460" s="256">
        <v>0</v>
      </c>
      <c r="R460" s="256">
        <v>0</v>
      </c>
      <c r="S460" s="257">
        <v>0</v>
      </c>
      <c r="T460" s="256">
        <v>0</v>
      </c>
      <c r="U460" s="258">
        <f t="shared" si="274"/>
        <v>0</v>
      </c>
      <c r="V460" s="256">
        <v>0</v>
      </c>
      <c r="W460" s="256">
        <f t="shared" si="277"/>
        <v>0</v>
      </c>
      <c r="X460" s="256">
        <f t="shared" si="278"/>
        <v>0</v>
      </c>
      <c r="Y460" s="256">
        <v>0</v>
      </c>
      <c r="Z460" s="256">
        <f t="shared" si="279"/>
        <v>0</v>
      </c>
      <c r="AA460" s="256">
        <f t="shared" si="280"/>
        <v>0</v>
      </c>
      <c r="AB460" s="256">
        <v>0</v>
      </c>
      <c r="AC460" s="189">
        <f t="shared" si="275"/>
        <v>0</v>
      </c>
      <c r="AD460" s="259">
        <f t="shared" si="276"/>
        <v>0</v>
      </c>
    </row>
    <row r="461" spans="1:30" s="160" customFormat="1" hidden="1">
      <c r="A461" s="250">
        <v>456</v>
      </c>
      <c r="B461" s="251"/>
      <c r="C461" s="252"/>
      <c r="D461" s="253"/>
      <c r="E461" s="254">
        <f t="shared" si="265"/>
        <v>0</v>
      </c>
      <c r="F461" s="255">
        <f t="shared" si="266"/>
        <v>0</v>
      </c>
      <c r="G461" s="256">
        <f t="shared" si="267"/>
        <v>0</v>
      </c>
      <c r="H461" s="256">
        <f t="shared" si="268"/>
        <v>0</v>
      </c>
      <c r="I461" s="256">
        <f t="shared" si="269"/>
        <v>0</v>
      </c>
      <c r="J461" s="256">
        <f t="shared" si="270"/>
        <v>0</v>
      </c>
      <c r="K461" s="256">
        <f t="shared" si="271"/>
        <v>0</v>
      </c>
      <c r="L461" s="256">
        <f t="shared" si="272"/>
        <v>0</v>
      </c>
      <c r="M461" s="256">
        <f t="shared" si="273"/>
        <v>0</v>
      </c>
      <c r="N461" s="255">
        <v>0</v>
      </c>
      <c r="O461" s="256">
        <v>0</v>
      </c>
      <c r="P461" s="256">
        <v>0</v>
      </c>
      <c r="Q461" s="256">
        <v>0</v>
      </c>
      <c r="R461" s="256">
        <v>0</v>
      </c>
      <c r="S461" s="257">
        <v>0</v>
      </c>
      <c r="T461" s="256">
        <v>0</v>
      </c>
      <c r="U461" s="258">
        <f t="shared" si="274"/>
        <v>0</v>
      </c>
      <c r="V461" s="256">
        <v>0</v>
      </c>
      <c r="W461" s="256">
        <f t="shared" si="277"/>
        <v>0</v>
      </c>
      <c r="X461" s="256">
        <f t="shared" si="278"/>
        <v>0</v>
      </c>
      <c r="Y461" s="256">
        <v>0</v>
      </c>
      <c r="Z461" s="256">
        <f t="shared" si="279"/>
        <v>0</v>
      </c>
      <c r="AA461" s="256">
        <f t="shared" si="280"/>
        <v>0</v>
      </c>
      <c r="AB461" s="256">
        <v>0</v>
      </c>
      <c r="AC461" s="189">
        <f t="shared" si="275"/>
        <v>0</v>
      </c>
      <c r="AD461" s="259">
        <f t="shared" si="276"/>
        <v>0</v>
      </c>
    </row>
    <row r="462" spans="1:30" s="160" customFormat="1" hidden="1">
      <c r="A462" s="250">
        <v>457</v>
      </c>
      <c r="B462" s="251"/>
      <c r="C462" s="252"/>
      <c r="D462" s="253"/>
      <c r="E462" s="254">
        <f t="shared" si="265"/>
        <v>0</v>
      </c>
      <c r="F462" s="255">
        <f t="shared" si="266"/>
        <v>0</v>
      </c>
      <c r="G462" s="256">
        <f t="shared" si="267"/>
        <v>0</v>
      </c>
      <c r="H462" s="256">
        <f t="shared" si="268"/>
        <v>0</v>
      </c>
      <c r="I462" s="256">
        <f t="shared" si="269"/>
        <v>0</v>
      </c>
      <c r="J462" s="256">
        <f t="shared" si="270"/>
        <v>0</v>
      </c>
      <c r="K462" s="256">
        <f t="shared" si="271"/>
        <v>0</v>
      </c>
      <c r="L462" s="256">
        <f t="shared" si="272"/>
        <v>0</v>
      </c>
      <c r="M462" s="256">
        <f t="shared" si="273"/>
        <v>0</v>
      </c>
      <c r="N462" s="255">
        <v>0</v>
      </c>
      <c r="O462" s="256">
        <v>0</v>
      </c>
      <c r="P462" s="256">
        <v>0</v>
      </c>
      <c r="Q462" s="256">
        <v>0</v>
      </c>
      <c r="R462" s="256">
        <v>0</v>
      </c>
      <c r="S462" s="257">
        <v>0</v>
      </c>
      <c r="T462" s="256">
        <v>0</v>
      </c>
      <c r="U462" s="258">
        <f t="shared" si="274"/>
        <v>0</v>
      </c>
      <c r="V462" s="256">
        <v>0</v>
      </c>
      <c r="W462" s="256">
        <f t="shared" si="277"/>
        <v>0</v>
      </c>
      <c r="X462" s="256">
        <f t="shared" si="278"/>
        <v>0</v>
      </c>
      <c r="Y462" s="256">
        <v>0</v>
      </c>
      <c r="Z462" s="256">
        <f t="shared" si="279"/>
        <v>0</v>
      </c>
      <c r="AA462" s="256">
        <f t="shared" si="280"/>
        <v>0</v>
      </c>
      <c r="AB462" s="256">
        <v>0</v>
      </c>
      <c r="AC462" s="189">
        <f t="shared" si="275"/>
        <v>0</v>
      </c>
      <c r="AD462" s="259">
        <f t="shared" si="276"/>
        <v>0</v>
      </c>
    </row>
    <row r="463" spans="1:30" s="160" customFormat="1" hidden="1">
      <c r="A463" s="250">
        <v>458</v>
      </c>
      <c r="B463" s="251"/>
      <c r="C463" s="252"/>
      <c r="D463" s="253"/>
      <c r="E463" s="254">
        <f t="shared" si="265"/>
        <v>0</v>
      </c>
      <c r="F463" s="255">
        <f t="shared" si="266"/>
        <v>0</v>
      </c>
      <c r="G463" s="256">
        <f t="shared" si="267"/>
        <v>0</v>
      </c>
      <c r="H463" s="256">
        <f t="shared" si="268"/>
        <v>0</v>
      </c>
      <c r="I463" s="256">
        <f t="shared" si="269"/>
        <v>0</v>
      </c>
      <c r="J463" s="256">
        <f t="shared" si="270"/>
        <v>0</v>
      </c>
      <c r="K463" s="256">
        <f t="shared" si="271"/>
        <v>0</v>
      </c>
      <c r="L463" s="256">
        <f t="shared" si="272"/>
        <v>0</v>
      </c>
      <c r="M463" s="256">
        <f t="shared" si="273"/>
        <v>0</v>
      </c>
      <c r="N463" s="255">
        <v>0</v>
      </c>
      <c r="O463" s="256">
        <v>0</v>
      </c>
      <c r="P463" s="256">
        <v>0</v>
      </c>
      <c r="Q463" s="256">
        <v>0</v>
      </c>
      <c r="R463" s="256">
        <v>0</v>
      </c>
      <c r="S463" s="257">
        <v>0</v>
      </c>
      <c r="T463" s="256">
        <v>0</v>
      </c>
      <c r="U463" s="258">
        <f t="shared" si="274"/>
        <v>0</v>
      </c>
      <c r="V463" s="256">
        <v>0</v>
      </c>
      <c r="W463" s="256">
        <f t="shared" si="277"/>
        <v>0</v>
      </c>
      <c r="X463" s="256">
        <f t="shared" si="278"/>
        <v>0</v>
      </c>
      <c r="Y463" s="256">
        <v>0</v>
      </c>
      <c r="Z463" s="256">
        <f t="shared" si="279"/>
        <v>0</v>
      </c>
      <c r="AA463" s="256">
        <f t="shared" si="280"/>
        <v>0</v>
      </c>
      <c r="AB463" s="256">
        <v>0</v>
      </c>
      <c r="AC463" s="189">
        <f t="shared" si="275"/>
        <v>0</v>
      </c>
      <c r="AD463" s="259">
        <f t="shared" si="276"/>
        <v>0</v>
      </c>
    </row>
    <row r="464" spans="1:30" s="160" customFormat="1" hidden="1">
      <c r="A464" s="250">
        <v>459</v>
      </c>
      <c r="B464" s="251"/>
      <c r="C464" s="252"/>
      <c r="D464" s="253"/>
      <c r="E464" s="254">
        <f t="shared" si="265"/>
        <v>0</v>
      </c>
      <c r="F464" s="255">
        <f t="shared" si="266"/>
        <v>0</v>
      </c>
      <c r="G464" s="256">
        <f t="shared" si="267"/>
        <v>0</v>
      </c>
      <c r="H464" s="256">
        <f t="shared" si="268"/>
        <v>0</v>
      </c>
      <c r="I464" s="256">
        <f t="shared" si="269"/>
        <v>0</v>
      </c>
      <c r="J464" s="256">
        <f t="shared" si="270"/>
        <v>0</v>
      </c>
      <c r="K464" s="256">
        <f t="shared" si="271"/>
        <v>0</v>
      </c>
      <c r="L464" s="256">
        <f t="shared" si="272"/>
        <v>0</v>
      </c>
      <c r="M464" s="256">
        <f t="shared" si="273"/>
        <v>0</v>
      </c>
      <c r="N464" s="255">
        <v>0</v>
      </c>
      <c r="O464" s="256">
        <v>0</v>
      </c>
      <c r="P464" s="256">
        <v>0</v>
      </c>
      <c r="Q464" s="256">
        <v>0</v>
      </c>
      <c r="R464" s="256">
        <v>0</v>
      </c>
      <c r="S464" s="257">
        <v>0</v>
      </c>
      <c r="T464" s="256">
        <v>0</v>
      </c>
      <c r="U464" s="258">
        <f t="shared" si="274"/>
        <v>0</v>
      </c>
      <c r="V464" s="256">
        <v>0</v>
      </c>
      <c r="W464" s="256">
        <f t="shared" si="277"/>
        <v>0</v>
      </c>
      <c r="X464" s="256">
        <f t="shared" si="278"/>
        <v>0</v>
      </c>
      <c r="Y464" s="256">
        <v>0</v>
      </c>
      <c r="Z464" s="256">
        <f t="shared" si="279"/>
        <v>0</v>
      </c>
      <c r="AA464" s="256">
        <f t="shared" si="280"/>
        <v>0</v>
      </c>
      <c r="AB464" s="256">
        <v>0</v>
      </c>
      <c r="AC464" s="189">
        <f t="shared" si="275"/>
        <v>0</v>
      </c>
      <c r="AD464" s="259">
        <f t="shared" si="276"/>
        <v>0</v>
      </c>
    </row>
    <row r="465" spans="1:30" s="160" customFormat="1" hidden="1">
      <c r="A465" s="250">
        <v>460</v>
      </c>
      <c r="B465" s="251"/>
      <c r="C465" s="252"/>
      <c r="D465" s="253"/>
      <c r="E465" s="254">
        <f t="shared" si="265"/>
        <v>0</v>
      </c>
      <c r="F465" s="255">
        <f t="shared" si="266"/>
        <v>0</v>
      </c>
      <c r="G465" s="256">
        <f t="shared" si="267"/>
        <v>0</v>
      </c>
      <c r="H465" s="256">
        <f t="shared" si="268"/>
        <v>0</v>
      </c>
      <c r="I465" s="256">
        <f t="shared" si="269"/>
        <v>0</v>
      </c>
      <c r="J465" s="256">
        <f t="shared" si="270"/>
        <v>0</v>
      </c>
      <c r="K465" s="256">
        <f t="shared" si="271"/>
        <v>0</v>
      </c>
      <c r="L465" s="256">
        <f t="shared" si="272"/>
        <v>0</v>
      </c>
      <c r="M465" s="256">
        <f t="shared" si="273"/>
        <v>0</v>
      </c>
      <c r="N465" s="255">
        <v>0</v>
      </c>
      <c r="O465" s="256">
        <v>0</v>
      </c>
      <c r="P465" s="256">
        <v>0</v>
      </c>
      <c r="Q465" s="256">
        <v>0</v>
      </c>
      <c r="R465" s="256">
        <v>0</v>
      </c>
      <c r="S465" s="257">
        <v>0</v>
      </c>
      <c r="T465" s="256">
        <v>0</v>
      </c>
      <c r="U465" s="258">
        <f t="shared" si="274"/>
        <v>0</v>
      </c>
      <c r="V465" s="256">
        <v>0</v>
      </c>
      <c r="W465" s="256">
        <f t="shared" si="277"/>
        <v>0</v>
      </c>
      <c r="X465" s="256">
        <f t="shared" si="278"/>
        <v>0</v>
      </c>
      <c r="Y465" s="256">
        <v>0</v>
      </c>
      <c r="Z465" s="256">
        <f t="shared" si="279"/>
        <v>0</v>
      </c>
      <c r="AA465" s="256">
        <f t="shared" si="280"/>
        <v>0</v>
      </c>
      <c r="AB465" s="256">
        <v>0</v>
      </c>
      <c r="AC465" s="189">
        <f t="shared" si="275"/>
        <v>0</v>
      </c>
      <c r="AD465" s="259">
        <f t="shared" si="276"/>
        <v>0</v>
      </c>
    </row>
    <row r="466" spans="1:30" s="160" customFormat="1" hidden="1">
      <c r="A466" s="250">
        <v>461</v>
      </c>
      <c r="B466" s="251"/>
      <c r="C466" s="252"/>
      <c r="D466" s="253"/>
      <c r="E466" s="254">
        <f t="shared" si="265"/>
        <v>0</v>
      </c>
      <c r="F466" s="255">
        <f t="shared" si="266"/>
        <v>0</v>
      </c>
      <c r="G466" s="256">
        <f t="shared" si="267"/>
        <v>0</v>
      </c>
      <c r="H466" s="256">
        <f t="shared" si="268"/>
        <v>0</v>
      </c>
      <c r="I466" s="256">
        <f t="shared" si="269"/>
        <v>0</v>
      </c>
      <c r="J466" s="256">
        <f t="shared" si="270"/>
        <v>0</v>
      </c>
      <c r="K466" s="256">
        <f t="shared" si="271"/>
        <v>0</v>
      </c>
      <c r="L466" s="256">
        <f t="shared" si="272"/>
        <v>0</v>
      </c>
      <c r="M466" s="256">
        <f t="shared" si="273"/>
        <v>0</v>
      </c>
      <c r="N466" s="255">
        <v>0</v>
      </c>
      <c r="O466" s="256">
        <v>0</v>
      </c>
      <c r="P466" s="256">
        <v>0</v>
      </c>
      <c r="Q466" s="256">
        <v>0</v>
      </c>
      <c r="R466" s="256">
        <v>0</v>
      </c>
      <c r="S466" s="257">
        <v>0</v>
      </c>
      <c r="T466" s="256">
        <v>0</v>
      </c>
      <c r="U466" s="258">
        <f t="shared" si="274"/>
        <v>0</v>
      </c>
      <c r="V466" s="256">
        <v>0</v>
      </c>
      <c r="W466" s="256">
        <f t="shared" si="277"/>
        <v>0</v>
      </c>
      <c r="X466" s="256">
        <f t="shared" si="278"/>
        <v>0</v>
      </c>
      <c r="Y466" s="256">
        <v>0</v>
      </c>
      <c r="Z466" s="256">
        <f t="shared" si="279"/>
        <v>0</v>
      </c>
      <c r="AA466" s="256">
        <f t="shared" si="280"/>
        <v>0</v>
      </c>
      <c r="AB466" s="256">
        <v>0</v>
      </c>
      <c r="AC466" s="189">
        <f t="shared" si="275"/>
        <v>0</v>
      </c>
      <c r="AD466" s="259">
        <f t="shared" si="276"/>
        <v>0</v>
      </c>
    </row>
    <row r="467" spans="1:30" s="160" customFormat="1" hidden="1">
      <c r="A467" s="250">
        <v>462</v>
      </c>
      <c r="B467" s="251"/>
      <c r="C467" s="252"/>
      <c r="D467" s="253"/>
      <c r="E467" s="254">
        <f t="shared" si="265"/>
        <v>0</v>
      </c>
      <c r="F467" s="255">
        <f t="shared" si="266"/>
        <v>0</v>
      </c>
      <c r="G467" s="256">
        <f t="shared" si="267"/>
        <v>0</v>
      </c>
      <c r="H467" s="256">
        <f t="shared" si="268"/>
        <v>0</v>
      </c>
      <c r="I467" s="256">
        <f t="shared" si="269"/>
        <v>0</v>
      </c>
      <c r="J467" s="256">
        <f t="shared" si="270"/>
        <v>0</v>
      </c>
      <c r="K467" s="256">
        <f t="shared" si="271"/>
        <v>0</v>
      </c>
      <c r="L467" s="256">
        <f t="shared" si="272"/>
        <v>0</v>
      </c>
      <c r="M467" s="256">
        <f t="shared" si="273"/>
        <v>0</v>
      </c>
      <c r="N467" s="255">
        <v>0</v>
      </c>
      <c r="O467" s="256">
        <v>0</v>
      </c>
      <c r="P467" s="256">
        <v>0</v>
      </c>
      <c r="Q467" s="256">
        <v>0</v>
      </c>
      <c r="R467" s="256">
        <v>0</v>
      </c>
      <c r="S467" s="257">
        <v>0</v>
      </c>
      <c r="T467" s="256">
        <v>0</v>
      </c>
      <c r="U467" s="258">
        <f t="shared" si="274"/>
        <v>0</v>
      </c>
      <c r="V467" s="256">
        <v>0</v>
      </c>
      <c r="W467" s="256">
        <f t="shared" si="277"/>
        <v>0</v>
      </c>
      <c r="X467" s="256">
        <f t="shared" si="278"/>
        <v>0</v>
      </c>
      <c r="Y467" s="256">
        <v>0</v>
      </c>
      <c r="Z467" s="256">
        <f t="shared" si="279"/>
        <v>0</v>
      </c>
      <c r="AA467" s="256">
        <f t="shared" si="280"/>
        <v>0</v>
      </c>
      <c r="AB467" s="256">
        <v>0</v>
      </c>
      <c r="AC467" s="189">
        <f t="shared" si="275"/>
        <v>0</v>
      </c>
      <c r="AD467" s="259">
        <f t="shared" si="276"/>
        <v>0</v>
      </c>
    </row>
    <row r="468" spans="1:30" s="160" customFormat="1" hidden="1">
      <c r="A468" s="250">
        <v>463</v>
      </c>
      <c r="B468" s="251"/>
      <c r="C468" s="252"/>
      <c r="D468" s="253"/>
      <c r="E468" s="254">
        <f t="shared" si="265"/>
        <v>0</v>
      </c>
      <c r="F468" s="255">
        <f t="shared" si="266"/>
        <v>0</v>
      </c>
      <c r="G468" s="256">
        <f t="shared" si="267"/>
        <v>0</v>
      </c>
      <c r="H468" s="256">
        <f t="shared" si="268"/>
        <v>0</v>
      </c>
      <c r="I468" s="256">
        <f t="shared" si="269"/>
        <v>0</v>
      </c>
      <c r="J468" s="256">
        <f t="shared" si="270"/>
        <v>0</v>
      </c>
      <c r="K468" s="256">
        <f t="shared" si="271"/>
        <v>0</v>
      </c>
      <c r="L468" s="256">
        <f t="shared" si="272"/>
        <v>0</v>
      </c>
      <c r="M468" s="256">
        <f t="shared" si="273"/>
        <v>0</v>
      </c>
      <c r="N468" s="255">
        <v>0</v>
      </c>
      <c r="O468" s="256">
        <v>0</v>
      </c>
      <c r="P468" s="256">
        <v>0</v>
      </c>
      <c r="Q468" s="256">
        <v>0</v>
      </c>
      <c r="R468" s="256">
        <v>0</v>
      </c>
      <c r="S468" s="257">
        <v>0</v>
      </c>
      <c r="T468" s="256">
        <v>0</v>
      </c>
      <c r="U468" s="258">
        <f t="shared" si="274"/>
        <v>0</v>
      </c>
      <c r="V468" s="256">
        <v>0</v>
      </c>
      <c r="W468" s="256">
        <f t="shared" si="277"/>
        <v>0</v>
      </c>
      <c r="X468" s="256">
        <f t="shared" si="278"/>
        <v>0</v>
      </c>
      <c r="Y468" s="256">
        <v>0</v>
      </c>
      <c r="Z468" s="256">
        <f t="shared" si="279"/>
        <v>0</v>
      </c>
      <c r="AA468" s="256">
        <f t="shared" si="280"/>
        <v>0</v>
      </c>
      <c r="AB468" s="256">
        <v>0</v>
      </c>
      <c r="AC468" s="189">
        <f t="shared" si="275"/>
        <v>0</v>
      </c>
      <c r="AD468" s="259">
        <f t="shared" si="276"/>
        <v>0</v>
      </c>
    </row>
    <row r="469" spans="1:30" s="160" customFormat="1" hidden="1">
      <c r="A469" s="250">
        <v>464</v>
      </c>
      <c r="B469" s="251"/>
      <c r="C469" s="252"/>
      <c r="D469" s="253"/>
      <c r="E469" s="254">
        <f t="shared" si="265"/>
        <v>0</v>
      </c>
      <c r="F469" s="255">
        <f t="shared" si="266"/>
        <v>0</v>
      </c>
      <c r="G469" s="256">
        <f t="shared" si="267"/>
        <v>0</v>
      </c>
      <c r="H469" s="256">
        <f t="shared" si="268"/>
        <v>0</v>
      </c>
      <c r="I469" s="256">
        <f t="shared" si="269"/>
        <v>0</v>
      </c>
      <c r="J469" s="256">
        <f t="shared" si="270"/>
        <v>0</v>
      </c>
      <c r="K469" s="256">
        <f t="shared" si="271"/>
        <v>0</v>
      </c>
      <c r="L469" s="256">
        <f t="shared" si="272"/>
        <v>0</v>
      </c>
      <c r="M469" s="256">
        <f t="shared" si="273"/>
        <v>0</v>
      </c>
      <c r="N469" s="255">
        <v>0</v>
      </c>
      <c r="O469" s="256">
        <v>0</v>
      </c>
      <c r="P469" s="256">
        <v>0</v>
      </c>
      <c r="Q469" s="256">
        <v>0</v>
      </c>
      <c r="R469" s="256">
        <v>0</v>
      </c>
      <c r="S469" s="257">
        <v>0</v>
      </c>
      <c r="T469" s="256">
        <v>0</v>
      </c>
      <c r="U469" s="258">
        <f t="shared" si="274"/>
        <v>0</v>
      </c>
      <c r="V469" s="256">
        <v>0</v>
      </c>
      <c r="W469" s="256">
        <f t="shared" si="277"/>
        <v>0</v>
      </c>
      <c r="X469" s="256">
        <f t="shared" si="278"/>
        <v>0</v>
      </c>
      <c r="Y469" s="256">
        <v>0</v>
      </c>
      <c r="Z469" s="256">
        <f t="shared" si="279"/>
        <v>0</v>
      </c>
      <c r="AA469" s="256">
        <f t="shared" si="280"/>
        <v>0</v>
      </c>
      <c r="AB469" s="256">
        <v>0</v>
      </c>
      <c r="AC469" s="189">
        <f t="shared" si="275"/>
        <v>0</v>
      </c>
      <c r="AD469" s="259">
        <f t="shared" si="276"/>
        <v>0</v>
      </c>
    </row>
    <row r="470" spans="1:30" s="160" customFormat="1" hidden="1">
      <c r="A470" s="250">
        <v>465</v>
      </c>
      <c r="B470" s="251"/>
      <c r="C470" s="252"/>
      <c r="D470" s="253"/>
      <c r="E470" s="254">
        <f t="shared" si="265"/>
        <v>0</v>
      </c>
      <c r="F470" s="255">
        <f t="shared" si="266"/>
        <v>0</v>
      </c>
      <c r="G470" s="256">
        <f t="shared" si="267"/>
        <v>0</v>
      </c>
      <c r="H470" s="256">
        <f t="shared" si="268"/>
        <v>0</v>
      </c>
      <c r="I470" s="256">
        <f t="shared" si="269"/>
        <v>0</v>
      </c>
      <c r="J470" s="256">
        <f t="shared" si="270"/>
        <v>0</v>
      </c>
      <c r="K470" s="256">
        <f t="shared" si="271"/>
        <v>0</v>
      </c>
      <c r="L470" s="256">
        <f t="shared" si="272"/>
        <v>0</v>
      </c>
      <c r="M470" s="256">
        <f t="shared" si="273"/>
        <v>0</v>
      </c>
      <c r="N470" s="255">
        <v>0</v>
      </c>
      <c r="O470" s="256">
        <v>0</v>
      </c>
      <c r="P470" s="256">
        <v>0</v>
      </c>
      <c r="Q470" s="256">
        <v>0</v>
      </c>
      <c r="R470" s="256">
        <v>0</v>
      </c>
      <c r="S470" s="257">
        <v>0</v>
      </c>
      <c r="T470" s="256">
        <v>0</v>
      </c>
      <c r="U470" s="258">
        <f t="shared" si="274"/>
        <v>0</v>
      </c>
      <c r="V470" s="256">
        <v>0</v>
      </c>
      <c r="W470" s="256">
        <f t="shared" si="277"/>
        <v>0</v>
      </c>
      <c r="X470" s="256">
        <f t="shared" si="278"/>
        <v>0</v>
      </c>
      <c r="Y470" s="256">
        <v>0</v>
      </c>
      <c r="Z470" s="256">
        <f t="shared" si="279"/>
        <v>0</v>
      </c>
      <c r="AA470" s="256">
        <f t="shared" si="280"/>
        <v>0</v>
      </c>
      <c r="AB470" s="256">
        <v>0</v>
      </c>
      <c r="AC470" s="189">
        <f t="shared" si="275"/>
        <v>0</v>
      </c>
      <c r="AD470" s="259">
        <f t="shared" si="276"/>
        <v>0</v>
      </c>
    </row>
    <row r="471" spans="1:30" s="160" customFormat="1" hidden="1">
      <c r="A471" s="250">
        <v>466</v>
      </c>
      <c r="B471" s="251"/>
      <c r="C471" s="252"/>
      <c r="D471" s="253"/>
      <c r="E471" s="254">
        <f t="shared" si="265"/>
        <v>0</v>
      </c>
      <c r="F471" s="255">
        <f t="shared" si="266"/>
        <v>0</v>
      </c>
      <c r="G471" s="256">
        <f t="shared" si="267"/>
        <v>0</v>
      </c>
      <c r="H471" s="256">
        <f t="shared" si="268"/>
        <v>0</v>
      </c>
      <c r="I471" s="256">
        <f t="shared" si="269"/>
        <v>0</v>
      </c>
      <c r="J471" s="256">
        <f t="shared" si="270"/>
        <v>0</v>
      </c>
      <c r="K471" s="256">
        <f t="shared" si="271"/>
        <v>0</v>
      </c>
      <c r="L471" s="256">
        <f t="shared" si="272"/>
        <v>0</v>
      </c>
      <c r="M471" s="256">
        <f t="shared" si="273"/>
        <v>0</v>
      </c>
      <c r="N471" s="255">
        <v>0</v>
      </c>
      <c r="O471" s="256">
        <v>0</v>
      </c>
      <c r="P471" s="256">
        <v>0</v>
      </c>
      <c r="Q471" s="256">
        <v>0</v>
      </c>
      <c r="R471" s="256">
        <v>0</v>
      </c>
      <c r="S471" s="257">
        <v>0</v>
      </c>
      <c r="T471" s="256">
        <v>0</v>
      </c>
      <c r="U471" s="258">
        <f t="shared" si="274"/>
        <v>0</v>
      </c>
      <c r="V471" s="256">
        <v>0</v>
      </c>
      <c r="W471" s="256">
        <f t="shared" si="277"/>
        <v>0</v>
      </c>
      <c r="X471" s="256">
        <f t="shared" si="278"/>
        <v>0</v>
      </c>
      <c r="Y471" s="256">
        <v>0</v>
      </c>
      <c r="Z471" s="256">
        <f t="shared" si="279"/>
        <v>0</v>
      </c>
      <c r="AA471" s="256">
        <f t="shared" si="280"/>
        <v>0</v>
      </c>
      <c r="AB471" s="256">
        <v>0</v>
      </c>
      <c r="AC471" s="189">
        <f t="shared" si="275"/>
        <v>0</v>
      </c>
      <c r="AD471" s="259">
        <f t="shared" si="276"/>
        <v>0</v>
      </c>
    </row>
    <row r="472" spans="1:30" s="160" customFormat="1" hidden="1">
      <c r="A472" s="250">
        <v>467</v>
      </c>
      <c r="B472" s="251"/>
      <c r="C472" s="252"/>
      <c r="D472" s="253"/>
      <c r="E472" s="254">
        <f t="shared" si="265"/>
        <v>0</v>
      </c>
      <c r="F472" s="255">
        <f t="shared" si="266"/>
        <v>0</v>
      </c>
      <c r="G472" s="256">
        <f t="shared" si="267"/>
        <v>0</v>
      </c>
      <c r="H472" s="256">
        <f t="shared" si="268"/>
        <v>0</v>
      </c>
      <c r="I472" s="256">
        <f t="shared" si="269"/>
        <v>0</v>
      </c>
      <c r="J472" s="256">
        <f t="shared" si="270"/>
        <v>0</v>
      </c>
      <c r="K472" s="256">
        <f t="shared" si="271"/>
        <v>0</v>
      </c>
      <c r="L472" s="256">
        <f t="shared" si="272"/>
        <v>0</v>
      </c>
      <c r="M472" s="256">
        <f t="shared" si="273"/>
        <v>0</v>
      </c>
      <c r="N472" s="255">
        <v>0</v>
      </c>
      <c r="O472" s="256">
        <v>0</v>
      </c>
      <c r="P472" s="256">
        <v>0</v>
      </c>
      <c r="Q472" s="256">
        <v>0</v>
      </c>
      <c r="R472" s="256">
        <v>0</v>
      </c>
      <c r="S472" s="257">
        <v>0</v>
      </c>
      <c r="T472" s="256">
        <v>0</v>
      </c>
      <c r="U472" s="258">
        <f t="shared" si="274"/>
        <v>0</v>
      </c>
      <c r="V472" s="256">
        <v>0</v>
      </c>
      <c r="W472" s="256">
        <f t="shared" si="277"/>
        <v>0</v>
      </c>
      <c r="X472" s="256">
        <f t="shared" si="278"/>
        <v>0</v>
      </c>
      <c r="Y472" s="256">
        <v>0</v>
      </c>
      <c r="Z472" s="256">
        <f t="shared" si="279"/>
        <v>0</v>
      </c>
      <c r="AA472" s="256">
        <f t="shared" si="280"/>
        <v>0</v>
      </c>
      <c r="AB472" s="256">
        <v>0</v>
      </c>
      <c r="AC472" s="189">
        <f t="shared" si="275"/>
        <v>0</v>
      </c>
      <c r="AD472" s="259">
        <f t="shared" si="276"/>
        <v>0</v>
      </c>
    </row>
    <row r="473" spans="1:30" s="160" customFormat="1" hidden="1">
      <c r="A473" s="250">
        <v>468</v>
      </c>
      <c r="B473" s="251"/>
      <c r="C473" s="252"/>
      <c r="D473" s="253"/>
      <c r="E473" s="254">
        <f t="shared" si="265"/>
        <v>0</v>
      </c>
      <c r="F473" s="255">
        <f t="shared" si="266"/>
        <v>0</v>
      </c>
      <c r="G473" s="256">
        <f t="shared" si="267"/>
        <v>0</v>
      </c>
      <c r="H473" s="256">
        <f t="shared" si="268"/>
        <v>0</v>
      </c>
      <c r="I473" s="256">
        <f t="shared" si="269"/>
        <v>0</v>
      </c>
      <c r="J473" s="256">
        <f t="shared" si="270"/>
        <v>0</v>
      </c>
      <c r="K473" s="256">
        <f t="shared" si="271"/>
        <v>0</v>
      </c>
      <c r="L473" s="256">
        <f t="shared" si="272"/>
        <v>0</v>
      </c>
      <c r="M473" s="256">
        <f t="shared" si="273"/>
        <v>0</v>
      </c>
      <c r="N473" s="255">
        <v>0</v>
      </c>
      <c r="O473" s="256">
        <v>0</v>
      </c>
      <c r="P473" s="256">
        <v>0</v>
      </c>
      <c r="Q473" s="256">
        <v>0</v>
      </c>
      <c r="R473" s="256">
        <v>0</v>
      </c>
      <c r="S473" s="257">
        <v>0</v>
      </c>
      <c r="T473" s="256">
        <v>0</v>
      </c>
      <c r="U473" s="258">
        <f t="shared" si="274"/>
        <v>0</v>
      </c>
      <c r="V473" s="256">
        <v>0</v>
      </c>
      <c r="W473" s="256">
        <f t="shared" si="277"/>
        <v>0</v>
      </c>
      <c r="X473" s="256">
        <f t="shared" si="278"/>
        <v>0</v>
      </c>
      <c r="Y473" s="256">
        <v>0</v>
      </c>
      <c r="Z473" s="256">
        <f t="shared" si="279"/>
        <v>0</v>
      </c>
      <c r="AA473" s="256">
        <f t="shared" si="280"/>
        <v>0</v>
      </c>
      <c r="AB473" s="256">
        <v>0</v>
      </c>
      <c r="AC473" s="189">
        <f t="shared" si="275"/>
        <v>0</v>
      </c>
      <c r="AD473" s="259">
        <f t="shared" si="276"/>
        <v>0</v>
      </c>
    </row>
    <row r="474" spans="1:30" s="160" customFormat="1" hidden="1">
      <c r="A474" s="250">
        <v>469</v>
      </c>
      <c r="B474" s="251"/>
      <c r="C474" s="252"/>
      <c r="D474" s="253"/>
      <c r="E474" s="254">
        <f t="shared" si="265"/>
        <v>0</v>
      </c>
      <c r="F474" s="255">
        <f t="shared" si="266"/>
        <v>0</v>
      </c>
      <c r="G474" s="256">
        <f t="shared" si="267"/>
        <v>0</v>
      </c>
      <c r="H474" s="256">
        <f t="shared" si="268"/>
        <v>0</v>
      </c>
      <c r="I474" s="256">
        <f t="shared" si="269"/>
        <v>0</v>
      </c>
      <c r="J474" s="256">
        <f t="shared" si="270"/>
        <v>0</v>
      </c>
      <c r="K474" s="256">
        <f t="shared" si="271"/>
        <v>0</v>
      </c>
      <c r="L474" s="256">
        <f t="shared" si="272"/>
        <v>0</v>
      </c>
      <c r="M474" s="256">
        <f t="shared" si="273"/>
        <v>0</v>
      </c>
      <c r="N474" s="255">
        <v>0</v>
      </c>
      <c r="O474" s="256">
        <v>0</v>
      </c>
      <c r="P474" s="256">
        <v>0</v>
      </c>
      <c r="Q474" s="256">
        <v>0</v>
      </c>
      <c r="R474" s="256">
        <v>0</v>
      </c>
      <c r="S474" s="257">
        <v>0</v>
      </c>
      <c r="T474" s="256">
        <v>0</v>
      </c>
      <c r="U474" s="258">
        <f t="shared" si="274"/>
        <v>0</v>
      </c>
      <c r="V474" s="256">
        <v>0</v>
      </c>
      <c r="W474" s="256">
        <f t="shared" si="277"/>
        <v>0</v>
      </c>
      <c r="X474" s="256">
        <f t="shared" si="278"/>
        <v>0</v>
      </c>
      <c r="Y474" s="256">
        <v>0</v>
      </c>
      <c r="Z474" s="256">
        <f t="shared" si="279"/>
        <v>0</v>
      </c>
      <c r="AA474" s="256">
        <f t="shared" si="280"/>
        <v>0</v>
      </c>
      <c r="AB474" s="256">
        <v>0</v>
      </c>
      <c r="AC474" s="189">
        <f t="shared" si="275"/>
        <v>0</v>
      </c>
      <c r="AD474" s="259">
        <f t="shared" si="276"/>
        <v>0</v>
      </c>
    </row>
    <row r="475" spans="1:30" s="160" customFormat="1" hidden="1">
      <c r="A475" s="250">
        <v>470</v>
      </c>
      <c r="B475" s="251"/>
      <c r="C475" s="252"/>
      <c r="D475" s="253"/>
      <c r="E475" s="254">
        <f t="shared" si="265"/>
        <v>0</v>
      </c>
      <c r="F475" s="255">
        <f t="shared" si="266"/>
        <v>0</v>
      </c>
      <c r="G475" s="256">
        <f t="shared" si="267"/>
        <v>0</v>
      </c>
      <c r="H475" s="256">
        <f t="shared" si="268"/>
        <v>0</v>
      </c>
      <c r="I475" s="256">
        <f t="shared" si="269"/>
        <v>0</v>
      </c>
      <c r="J475" s="256">
        <f t="shared" si="270"/>
        <v>0</v>
      </c>
      <c r="K475" s="256">
        <f t="shared" si="271"/>
        <v>0</v>
      </c>
      <c r="L475" s="256">
        <f t="shared" si="272"/>
        <v>0</v>
      </c>
      <c r="M475" s="256">
        <f t="shared" si="273"/>
        <v>0</v>
      </c>
      <c r="N475" s="255">
        <v>0</v>
      </c>
      <c r="O475" s="256">
        <v>0</v>
      </c>
      <c r="P475" s="256">
        <v>0</v>
      </c>
      <c r="Q475" s="256">
        <v>0</v>
      </c>
      <c r="R475" s="256">
        <v>0</v>
      </c>
      <c r="S475" s="257">
        <v>0</v>
      </c>
      <c r="T475" s="256">
        <v>0</v>
      </c>
      <c r="U475" s="258">
        <f t="shared" si="274"/>
        <v>0</v>
      </c>
      <c r="V475" s="256">
        <v>0</v>
      </c>
      <c r="W475" s="256">
        <f t="shared" si="277"/>
        <v>0</v>
      </c>
      <c r="X475" s="256">
        <f t="shared" si="278"/>
        <v>0</v>
      </c>
      <c r="Y475" s="256">
        <v>0</v>
      </c>
      <c r="Z475" s="256">
        <f t="shared" si="279"/>
        <v>0</v>
      </c>
      <c r="AA475" s="256">
        <f t="shared" si="280"/>
        <v>0</v>
      </c>
      <c r="AB475" s="256">
        <v>0</v>
      </c>
      <c r="AC475" s="189">
        <f t="shared" si="275"/>
        <v>0</v>
      </c>
      <c r="AD475" s="259">
        <f t="shared" si="276"/>
        <v>0</v>
      </c>
    </row>
    <row r="476" spans="1:30" s="160" customFormat="1" hidden="1">
      <c r="A476" s="250">
        <v>471</v>
      </c>
      <c r="B476" s="251"/>
      <c r="C476" s="252"/>
      <c r="D476" s="253"/>
      <c r="E476" s="254">
        <f t="shared" si="265"/>
        <v>0</v>
      </c>
      <c r="F476" s="255">
        <f t="shared" si="266"/>
        <v>0</v>
      </c>
      <c r="G476" s="256">
        <f t="shared" si="267"/>
        <v>0</v>
      </c>
      <c r="H476" s="256">
        <f t="shared" si="268"/>
        <v>0</v>
      </c>
      <c r="I476" s="256">
        <f t="shared" si="269"/>
        <v>0</v>
      </c>
      <c r="J476" s="256">
        <f t="shared" si="270"/>
        <v>0</v>
      </c>
      <c r="K476" s="256">
        <f t="shared" si="271"/>
        <v>0</v>
      </c>
      <c r="L476" s="256">
        <f t="shared" si="272"/>
        <v>0</v>
      </c>
      <c r="M476" s="256">
        <f t="shared" si="273"/>
        <v>0</v>
      </c>
      <c r="N476" s="255">
        <v>0</v>
      </c>
      <c r="O476" s="256">
        <v>0</v>
      </c>
      <c r="P476" s="256">
        <v>0</v>
      </c>
      <c r="Q476" s="256">
        <v>0</v>
      </c>
      <c r="R476" s="256">
        <v>0</v>
      </c>
      <c r="S476" s="257">
        <v>0</v>
      </c>
      <c r="T476" s="256">
        <v>0</v>
      </c>
      <c r="U476" s="258">
        <f t="shared" si="274"/>
        <v>0</v>
      </c>
      <c r="V476" s="256">
        <v>0</v>
      </c>
      <c r="W476" s="256">
        <f t="shared" si="277"/>
        <v>0</v>
      </c>
      <c r="X476" s="256">
        <f t="shared" si="278"/>
        <v>0</v>
      </c>
      <c r="Y476" s="256">
        <v>0</v>
      </c>
      <c r="Z476" s="256">
        <f t="shared" si="279"/>
        <v>0</v>
      </c>
      <c r="AA476" s="256">
        <f t="shared" si="280"/>
        <v>0</v>
      </c>
      <c r="AB476" s="256">
        <v>0</v>
      </c>
      <c r="AC476" s="189">
        <f t="shared" si="275"/>
        <v>0</v>
      </c>
      <c r="AD476" s="259">
        <f t="shared" si="276"/>
        <v>0</v>
      </c>
    </row>
    <row r="477" spans="1:30" s="160" customFormat="1" hidden="1">
      <c r="A477" s="250">
        <v>472</v>
      </c>
      <c r="B477" s="251"/>
      <c r="C477" s="252"/>
      <c r="D477" s="253"/>
      <c r="E477" s="254">
        <f t="shared" si="265"/>
        <v>0</v>
      </c>
      <c r="F477" s="255">
        <f t="shared" si="266"/>
        <v>0</v>
      </c>
      <c r="G477" s="256">
        <f t="shared" si="267"/>
        <v>0</v>
      </c>
      <c r="H477" s="256">
        <f t="shared" si="268"/>
        <v>0</v>
      </c>
      <c r="I477" s="256">
        <f t="shared" si="269"/>
        <v>0</v>
      </c>
      <c r="J477" s="256">
        <f t="shared" si="270"/>
        <v>0</v>
      </c>
      <c r="K477" s="256">
        <f t="shared" si="271"/>
        <v>0</v>
      </c>
      <c r="L477" s="256">
        <f t="shared" si="272"/>
        <v>0</v>
      </c>
      <c r="M477" s="256">
        <f t="shared" si="273"/>
        <v>0</v>
      </c>
      <c r="N477" s="255">
        <v>0</v>
      </c>
      <c r="O477" s="256">
        <v>0</v>
      </c>
      <c r="P477" s="256">
        <v>0</v>
      </c>
      <c r="Q477" s="256">
        <v>0</v>
      </c>
      <c r="R477" s="256">
        <v>0</v>
      </c>
      <c r="S477" s="257">
        <v>0</v>
      </c>
      <c r="T477" s="256">
        <v>0</v>
      </c>
      <c r="U477" s="258">
        <f t="shared" si="274"/>
        <v>0</v>
      </c>
      <c r="V477" s="256">
        <v>0</v>
      </c>
      <c r="W477" s="256">
        <f t="shared" si="277"/>
        <v>0</v>
      </c>
      <c r="X477" s="256">
        <f t="shared" si="278"/>
        <v>0</v>
      </c>
      <c r="Y477" s="256">
        <v>0</v>
      </c>
      <c r="Z477" s="256">
        <f t="shared" si="279"/>
        <v>0</v>
      </c>
      <c r="AA477" s="256">
        <f t="shared" si="280"/>
        <v>0</v>
      </c>
      <c r="AB477" s="256">
        <v>0</v>
      </c>
      <c r="AC477" s="189">
        <f t="shared" si="275"/>
        <v>0</v>
      </c>
      <c r="AD477" s="259">
        <f t="shared" si="276"/>
        <v>0</v>
      </c>
    </row>
    <row r="478" spans="1:30" s="160" customFormat="1" hidden="1">
      <c r="A478" s="250">
        <v>473</v>
      </c>
      <c r="B478" s="251"/>
      <c r="C478" s="252"/>
      <c r="D478" s="253"/>
      <c r="E478" s="254">
        <f t="shared" si="265"/>
        <v>0</v>
      </c>
      <c r="F478" s="255">
        <f t="shared" si="266"/>
        <v>0</v>
      </c>
      <c r="G478" s="256">
        <f t="shared" si="267"/>
        <v>0</v>
      </c>
      <c r="H478" s="256">
        <f t="shared" si="268"/>
        <v>0</v>
      </c>
      <c r="I478" s="256">
        <f t="shared" si="269"/>
        <v>0</v>
      </c>
      <c r="J478" s="256">
        <f t="shared" si="270"/>
        <v>0</v>
      </c>
      <c r="K478" s="256">
        <f t="shared" si="271"/>
        <v>0</v>
      </c>
      <c r="L478" s="256">
        <f t="shared" si="272"/>
        <v>0</v>
      </c>
      <c r="M478" s="256">
        <f t="shared" si="273"/>
        <v>0</v>
      </c>
      <c r="N478" s="255">
        <v>0</v>
      </c>
      <c r="O478" s="256">
        <v>0</v>
      </c>
      <c r="P478" s="256">
        <v>0</v>
      </c>
      <c r="Q478" s="256">
        <v>0</v>
      </c>
      <c r="R478" s="256">
        <v>0</v>
      </c>
      <c r="S478" s="257">
        <v>0</v>
      </c>
      <c r="T478" s="256">
        <v>0</v>
      </c>
      <c r="U478" s="258">
        <f t="shared" si="274"/>
        <v>0</v>
      </c>
      <c r="V478" s="256">
        <v>0</v>
      </c>
      <c r="W478" s="256">
        <f t="shared" si="277"/>
        <v>0</v>
      </c>
      <c r="X478" s="256">
        <f t="shared" si="278"/>
        <v>0</v>
      </c>
      <c r="Y478" s="256">
        <v>0</v>
      </c>
      <c r="Z478" s="256">
        <f t="shared" si="279"/>
        <v>0</v>
      </c>
      <c r="AA478" s="256">
        <f t="shared" si="280"/>
        <v>0</v>
      </c>
      <c r="AB478" s="256">
        <v>0</v>
      </c>
      <c r="AC478" s="189">
        <f t="shared" si="275"/>
        <v>0</v>
      </c>
      <c r="AD478" s="259">
        <f t="shared" si="276"/>
        <v>0</v>
      </c>
    </row>
    <row r="479" spans="1:30" s="160" customFormat="1" hidden="1">
      <c r="A479" s="250">
        <v>474</v>
      </c>
      <c r="B479" s="251"/>
      <c r="C479" s="252"/>
      <c r="D479" s="253"/>
      <c r="E479" s="254">
        <f t="shared" si="265"/>
        <v>0</v>
      </c>
      <c r="F479" s="255">
        <f t="shared" si="266"/>
        <v>0</v>
      </c>
      <c r="G479" s="256">
        <f t="shared" si="267"/>
        <v>0</v>
      </c>
      <c r="H479" s="256">
        <f t="shared" si="268"/>
        <v>0</v>
      </c>
      <c r="I479" s="256">
        <f t="shared" si="269"/>
        <v>0</v>
      </c>
      <c r="J479" s="256">
        <f t="shared" si="270"/>
        <v>0</v>
      </c>
      <c r="K479" s="256">
        <f t="shared" si="271"/>
        <v>0</v>
      </c>
      <c r="L479" s="256">
        <f t="shared" si="272"/>
        <v>0</v>
      </c>
      <c r="M479" s="256">
        <f t="shared" si="273"/>
        <v>0</v>
      </c>
      <c r="N479" s="255">
        <v>0</v>
      </c>
      <c r="O479" s="256">
        <v>0</v>
      </c>
      <c r="P479" s="256">
        <v>0</v>
      </c>
      <c r="Q479" s="256">
        <v>0</v>
      </c>
      <c r="R479" s="256">
        <v>0</v>
      </c>
      <c r="S479" s="257">
        <v>0</v>
      </c>
      <c r="T479" s="256">
        <v>0</v>
      </c>
      <c r="U479" s="258">
        <f t="shared" si="274"/>
        <v>0</v>
      </c>
      <c r="V479" s="256">
        <v>0</v>
      </c>
      <c r="W479" s="256">
        <f t="shared" si="277"/>
        <v>0</v>
      </c>
      <c r="X479" s="256">
        <f t="shared" si="278"/>
        <v>0</v>
      </c>
      <c r="Y479" s="256">
        <v>0</v>
      </c>
      <c r="Z479" s="256">
        <f t="shared" si="279"/>
        <v>0</v>
      </c>
      <c r="AA479" s="256">
        <f t="shared" si="280"/>
        <v>0</v>
      </c>
      <c r="AB479" s="256">
        <v>0</v>
      </c>
      <c r="AC479" s="189">
        <f t="shared" si="275"/>
        <v>0</v>
      </c>
      <c r="AD479" s="259">
        <f t="shared" si="276"/>
        <v>0</v>
      </c>
    </row>
    <row r="480" spans="1:30" s="160" customFormat="1" hidden="1">
      <c r="A480" s="250">
        <v>475</v>
      </c>
      <c r="B480" s="251"/>
      <c r="C480" s="252"/>
      <c r="D480" s="253"/>
      <c r="E480" s="254">
        <f t="shared" si="265"/>
        <v>0</v>
      </c>
      <c r="F480" s="255">
        <f t="shared" si="266"/>
        <v>0</v>
      </c>
      <c r="G480" s="256">
        <f t="shared" si="267"/>
        <v>0</v>
      </c>
      <c r="H480" s="256">
        <f t="shared" si="268"/>
        <v>0</v>
      </c>
      <c r="I480" s="256">
        <f t="shared" si="269"/>
        <v>0</v>
      </c>
      <c r="J480" s="256">
        <f t="shared" si="270"/>
        <v>0</v>
      </c>
      <c r="K480" s="256">
        <f t="shared" si="271"/>
        <v>0</v>
      </c>
      <c r="L480" s="256">
        <f t="shared" si="272"/>
        <v>0</v>
      </c>
      <c r="M480" s="256">
        <f t="shared" si="273"/>
        <v>0</v>
      </c>
      <c r="N480" s="255">
        <v>0</v>
      </c>
      <c r="O480" s="256">
        <v>0</v>
      </c>
      <c r="P480" s="256">
        <v>0</v>
      </c>
      <c r="Q480" s="256">
        <v>0</v>
      </c>
      <c r="R480" s="256">
        <v>0</v>
      </c>
      <c r="S480" s="257">
        <v>0</v>
      </c>
      <c r="T480" s="256">
        <v>0</v>
      </c>
      <c r="U480" s="258">
        <f t="shared" si="274"/>
        <v>0</v>
      </c>
      <c r="V480" s="256">
        <v>0</v>
      </c>
      <c r="W480" s="256">
        <f t="shared" si="277"/>
        <v>0</v>
      </c>
      <c r="X480" s="256">
        <f t="shared" si="278"/>
        <v>0</v>
      </c>
      <c r="Y480" s="256">
        <v>0</v>
      </c>
      <c r="Z480" s="256">
        <f t="shared" si="279"/>
        <v>0</v>
      </c>
      <c r="AA480" s="256">
        <f t="shared" si="280"/>
        <v>0</v>
      </c>
      <c r="AB480" s="256">
        <v>0</v>
      </c>
      <c r="AC480" s="189">
        <f t="shared" si="275"/>
        <v>0</v>
      </c>
      <c r="AD480" s="259">
        <f t="shared" si="276"/>
        <v>0</v>
      </c>
    </row>
    <row r="481" spans="1:30" s="160" customFormat="1" hidden="1">
      <c r="A481" s="250">
        <v>476</v>
      </c>
      <c r="B481" s="251"/>
      <c r="C481" s="252"/>
      <c r="D481" s="253"/>
      <c r="E481" s="254">
        <f t="shared" si="265"/>
        <v>0</v>
      </c>
      <c r="F481" s="255">
        <f t="shared" si="266"/>
        <v>0</v>
      </c>
      <c r="G481" s="256">
        <f t="shared" si="267"/>
        <v>0</v>
      </c>
      <c r="H481" s="256">
        <f t="shared" si="268"/>
        <v>0</v>
      </c>
      <c r="I481" s="256">
        <f t="shared" si="269"/>
        <v>0</v>
      </c>
      <c r="J481" s="256">
        <f t="shared" si="270"/>
        <v>0</v>
      </c>
      <c r="K481" s="256">
        <f t="shared" si="271"/>
        <v>0</v>
      </c>
      <c r="L481" s="256">
        <f t="shared" si="272"/>
        <v>0</v>
      </c>
      <c r="M481" s="256">
        <f t="shared" si="273"/>
        <v>0</v>
      </c>
      <c r="N481" s="255">
        <v>0</v>
      </c>
      <c r="O481" s="256">
        <v>0</v>
      </c>
      <c r="P481" s="256">
        <v>0</v>
      </c>
      <c r="Q481" s="256">
        <v>0</v>
      </c>
      <c r="R481" s="256">
        <v>0</v>
      </c>
      <c r="S481" s="257">
        <v>0</v>
      </c>
      <c r="T481" s="256">
        <v>0</v>
      </c>
      <c r="U481" s="258">
        <f t="shared" si="274"/>
        <v>0</v>
      </c>
      <c r="V481" s="256">
        <v>0</v>
      </c>
      <c r="W481" s="256">
        <f t="shared" si="277"/>
        <v>0</v>
      </c>
      <c r="X481" s="256">
        <f t="shared" si="278"/>
        <v>0</v>
      </c>
      <c r="Y481" s="256">
        <v>0</v>
      </c>
      <c r="Z481" s="256">
        <f t="shared" si="279"/>
        <v>0</v>
      </c>
      <c r="AA481" s="256">
        <f t="shared" si="280"/>
        <v>0</v>
      </c>
      <c r="AB481" s="256">
        <v>0</v>
      </c>
      <c r="AC481" s="189">
        <f t="shared" si="275"/>
        <v>0</v>
      </c>
      <c r="AD481" s="259">
        <f t="shared" si="276"/>
        <v>0</v>
      </c>
    </row>
    <row r="482" spans="1:30" s="160" customFormat="1" hidden="1">
      <c r="A482" s="250">
        <v>477</v>
      </c>
      <c r="B482" s="251"/>
      <c r="C482" s="252"/>
      <c r="D482" s="253"/>
      <c r="E482" s="254">
        <f t="shared" si="265"/>
        <v>0</v>
      </c>
      <c r="F482" s="255">
        <f t="shared" si="266"/>
        <v>0</v>
      </c>
      <c r="G482" s="256">
        <f t="shared" si="267"/>
        <v>0</v>
      </c>
      <c r="H482" s="256">
        <f t="shared" si="268"/>
        <v>0</v>
      </c>
      <c r="I482" s="256">
        <f t="shared" si="269"/>
        <v>0</v>
      </c>
      <c r="J482" s="256">
        <f t="shared" si="270"/>
        <v>0</v>
      </c>
      <c r="K482" s="256">
        <f t="shared" si="271"/>
        <v>0</v>
      </c>
      <c r="L482" s="256">
        <f t="shared" si="272"/>
        <v>0</v>
      </c>
      <c r="M482" s="256">
        <f t="shared" si="273"/>
        <v>0</v>
      </c>
      <c r="N482" s="255">
        <v>0</v>
      </c>
      <c r="O482" s="256">
        <v>0</v>
      </c>
      <c r="P482" s="256">
        <v>0</v>
      </c>
      <c r="Q482" s="256">
        <v>0</v>
      </c>
      <c r="R482" s="256">
        <v>0</v>
      </c>
      <c r="S482" s="257">
        <v>0</v>
      </c>
      <c r="T482" s="256">
        <v>0</v>
      </c>
      <c r="U482" s="258">
        <f t="shared" si="274"/>
        <v>0</v>
      </c>
      <c r="V482" s="256">
        <v>0</v>
      </c>
      <c r="W482" s="256">
        <f t="shared" si="277"/>
        <v>0</v>
      </c>
      <c r="X482" s="256">
        <f t="shared" si="278"/>
        <v>0</v>
      </c>
      <c r="Y482" s="256">
        <v>0</v>
      </c>
      <c r="Z482" s="256">
        <f t="shared" si="279"/>
        <v>0</v>
      </c>
      <c r="AA482" s="256">
        <f t="shared" si="280"/>
        <v>0</v>
      </c>
      <c r="AB482" s="256">
        <v>0</v>
      </c>
      <c r="AC482" s="189">
        <f t="shared" si="275"/>
        <v>0</v>
      </c>
      <c r="AD482" s="259">
        <f t="shared" si="276"/>
        <v>0</v>
      </c>
    </row>
    <row r="483" spans="1:30" s="160" customFormat="1" hidden="1">
      <c r="A483" s="250">
        <v>478</v>
      </c>
      <c r="B483" s="251"/>
      <c r="C483" s="252"/>
      <c r="D483" s="253"/>
      <c r="E483" s="254">
        <f t="shared" si="265"/>
        <v>0</v>
      </c>
      <c r="F483" s="255">
        <f t="shared" si="266"/>
        <v>0</v>
      </c>
      <c r="G483" s="256">
        <f t="shared" si="267"/>
        <v>0</v>
      </c>
      <c r="H483" s="256">
        <f t="shared" si="268"/>
        <v>0</v>
      </c>
      <c r="I483" s="256">
        <f t="shared" si="269"/>
        <v>0</v>
      </c>
      <c r="J483" s="256">
        <f t="shared" si="270"/>
        <v>0</v>
      </c>
      <c r="K483" s="256">
        <f t="shared" si="271"/>
        <v>0</v>
      </c>
      <c r="L483" s="256">
        <f t="shared" si="272"/>
        <v>0</v>
      </c>
      <c r="M483" s="256">
        <f t="shared" si="273"/>
        <v>0</v>
      </c>
      <c r="N483" s="255">
        <v>0</v>
      </c>
      <c r="O483" s="256">
        <v>0</v>
      </c>
      <c r="P483" s="256">
        <v>0</v>
      </c>
      <c r="Q483" s="256">
        <v>0</v>
      </c>
      <c r="R483" s="256">
        <v>0</v>
      </c>
      <c r="S483" s="257">
        <v>0</v>
      </c>
      <c r="T483" s="256">
        <v>0</v>
      </c>
      <c r="U483" s="258">
        <f t="shared" si="274"/>
        <v>0</v>
      </c>
      <c r="V483" s="256">
        <v>0</v>
      </c>
      <c r="W483" s="256">
        <f t="shared" si="277"/>
        <v>0</v>
      </c>
      <c r="X483" s="256">
        <f t="shared" si="278"/>
        <v>0</v>
      </c>
      <c r="Y483" s="256">
        <v>0</v>
      </c>
      <c r="Z483" s="256">
        <f t="shared" si="279"/>
        <v>0</v>
      </c>
      <c r="AA483" s="256">
        <f t="shared" si="280"/>
        <v>0</v>
      </c>
      <c r="AB483" s="256">
        <v>0</v>
      </c>
      <c r="AC483" s="189">
        <f t="shared" si="275"/>
        <v>0</v>
      </c>
      <c r="AD483" s="259">
        <f t="shared" si="276"/>
        <v>0</v>
      </c>
    </row>
    <row r="484" spans="1:30" s="160" customFormat="1" hidden="1">
      <c r="A484" s="250">
        <v>479</v>
      </c>
      <c r="B484" s="251"/>
      <c r="C484" s="252"/>
      <c r="D484" s="253"/>
      <c r="E484" s="254">
        <f t="shared" si="265"/>
        <v>0</v>
      </c>
      <c r="F484" s="255">
        <f t="shared" si="266"/>
        <v>0</v>
      </c>
      <c r="G484" s="256">
        <f t="shared" si="267"/>
        <v>0</v>
      </c>
      <c r="H484" s="256">
        <f t="shared" si="268"/>
        <v>0</v>
      </c>
      <c r="I484" s="256">
        <f t="shared" si="269"/>
        <v>0</v>
      </c>
      <c r="J484" s="256">
        <f t="shared" si="270"/>
        <v>0</v>
      </c>
      <c r="K484" s="256">
        <f t="shared" si="271"/>
        <v>0</v>
      </c>
      <c r="L484" s="256">
        <f t="shared" si="272"/>
        <v>0</v>
      </c>
      <c r="M484" s="256">
        <f t="shared" si="273"/>
        <v>0</v>
      </c>
      <c r="N484" s="255">
        <v>0</v>
      </c>
      <c r="O484" s="256">
        <v>0</v>
      </c>
      <c r="P484" s="256">
        <v>0</v>
      </c>
      <c r="Q484" s="256">
        <v>0</v>
      </c>
      <c r="R484" s="256">
        <v>0</v>
      </c>
      <c r="S484" s="257">
        <v>0</v>
      </c>
      <c r="T484" s="256">
        <v>0</v>
      </c>
      <c r="U484" s="258">
        <f t="shared" si="274"/>
        <v>0</v>
      </c>
      <c r="V484" s="256">
        <v>0</v>
      </c>
      <c r="W484" s="256">
        <f t="shared" si="277"/>
        <v>0</v>
      </c>
      <c r="X484" s="256">
        <f t="shared" si="278"/>
        <v>0</v>
      </c>
      <c r="Y484" s="256">
        <v>0</v>
      </c>
      <c r="Z484" s="256">
        <f t="shared" si="279"/>
        <v>0</v>
      </c>
      <c r="AA484" s="256">
        <f t="shared" si="280"/>
        <v>0</v>
      </c>
      <c r="AB484" s="256">
        <v>0</v>
      </c>
      <c r="AC484" s="189">
        <f t="shared" si="275"/>
        <v>0</v>
      </c>
      <c r="AD484" s="259">
        <f t="shared" si="276"/>
        <v>0</v>
      </c>
    </row>
    <row r="485" spans="1:30" s="160" customFormat="1" hidden="1">
      <c r="A485" s="250">
        <v>480</v>
      </c>
      <c r="B485" s="251"/>
      <c r="C485" s="252"/>
      <c r="D485" s="253"/>
      <c r="E485" s="254">
        <f t="shared" si="265"/>
        <v>0</v>
      </c>
      <c r="F485" s="255">
        <f t="shared" si="266"/>
        <v>0</v>
      </c>
      <c r="G485" s="256">
        <f t="shared" si="267"/>
        <v>0</v>
      </c>
      <c r="H485" s="256">
        <f t="shared" si="268"/>
        <v>0</v>
      </c>
      <c r="I485" s="256">
        <f t="shared" si="269"/>
        <v>0</v>
      </c>
      <c r="J485" s="256">
        <f t="shared" si="270"/>
        <v>0</v>
      </c>
      <c r="K485" s="256">
        <f t="shared" si="271"/>
        <v>0</v>
      </c>
      <c r="L485" s="256">
        <f t="shared" si="272"/>
        <v>0</v>
      </c>
      <c r="M485" s="256">
        <f t="shared" si="273"/>
        <v>0</v>
      </c>
      <c r="N485" s="255">
        <v>0</v>
      </c>
      <c r="O485" s="256">
        <v>0</v>
      </c>
      <c r="P485" s="256">
        <v>0</v>
      </c>
      <c r="Q485" s="256">
        <v>0</v>
      </c>
      <c r="R485" s="256">
        <v>0</v>
      </c>
      <c r="S485" s="257">
        <v>0</v>
      </c>
      <c r="T485" s="256">
        <v>0</v>
      </c>
      <c r="U485" s="258">
        <f t="shared" si="274"/>
        <v>0</v>
      </c>
      <c r="V485" s="256">
        <v>0</v>
      </c>
      <c r="W485" s="256">
        <f t="shared" si="277"/>
        <v>0</v>
      </c>
      <c r="X485" s="256">
        <f t="shared" si="278"/>
        <v>0</v>
      </c>
      <c r="Y485" s="256">
        <v>0</v>
      </c>
      <c r="Z485" s="256">
        <f t="shared" si="279"/>
        <v>0</v>
      </c>
      <c r="AA485" s="256">
        <f t="shared" si="280"/>
        <v>0</v>
      </c>
      <c r="AB485" s="256">
        <v>0</v>
      </c>
      <c r="AC485" s="189">
        <f t="shared" si="275"/>
        <v>0</v>
      </c>
      <c r="AD485" s="259">
        <f t="shared" si="276"/>
        <v>0</v>
      </c>
    </row>
    <row r="486" spans="1:30" s="160" customFormat="1" hidden="1">
      <c r="A486" s="250">
        <v>481</v>
      </c>
      <c r="B486" s="251"/>
      <c r="C486" s="252"/>
      <c r="D486" s="253"/>
      <c r="E486" s="254">
        <f t="shared" si="265"/>
        <v>0</v>
      </c>
      <c r="F486" s="255">
        <f t="shared" si="266"/>
        <v>0</v>
      </c>
      <c r="G486" s="256">
        <f t="shared" si="267"/>
        <v>0</v>
      </c>
      <c r="H486" s="256">
        <f t="shared" si="268"/>
        <v>0</v>
      </c>
      <c r="I486" s="256">
        <f t="shared" si="269"/>
        <v>0</v>
      </c>
      <c r="J486" s="256">
        <f t="shared" si="270"/>
        <v>0</v>
      </c>
      <c r="K486" s="256">
        <f t="shared" si="271"/>
        <v>0</v>
      </c>
      <c r="L486" s="256">
        <f t="shared" si="272"/>
        <v>0</v>
      </c>
      <c r="M486" s="256">
        <f t="shared" si="273"/>
        <v>0</v>
      </c>
      <c r="N486" s="255">
        <v>0</v>
      </c>
      <c r="O486" s="256">
        <v>0</v>
      </c>
      <c r="P486" s="256">
        <v>0</v>
      </c>
      <c r="Q486" s="256">
        <v>0</v>
      </c>
      <c r="R486" s="256">
        <v>0</v>
      </c>
      <c r="S486" s="257">
        <v>0</v>
      </c>
      <c r="T486" s="256">
        <v>0</v>
      </c>
      <c r="U486" s="258">
        <f t="shared" si="274"/>
        <v>0</v>
      </c>
      <c r="V486" s="256">
        <v>0</v>
      </c>
      <c r="W486" s="256">
        <f t="shared" si="277"/>
        <v>0</v>
      </c>
      <c r="X486" s="256">
        <f t="shared" si="278"/>
        <v>0</v>
      </c>
      <c r="Y486" s="256">
        <v>0</v>
      </c>
      <c r="Z486" s="256">
        <f t="shared" si="279"/>
        <v>0</v>
      </c>
      <c r="AA486" s="256">
        <f t="shared" si="280"/>
        <v>0</v>
      </c>
      <c r="AB486" s="256">
        <v>0</v>
      </c>
      <c r="AC486" s="189">
        <f t="shared" si="275"/>
        <v>0</v>
      </c>
      <c r="AD486" s="259">
        <f t="shared" si="276"/>
        <v>0</v>
      </c>
    </row>
    <row r="487" spans="1:30" s="160" customFormat="1" hidden="1">
      <c r="A487" s="250">
        <v>482</v>
      </c>
      <c r="B487" s="251"/>
      <c r="C487" s="252"/>
      <c r="D487" s="253"/>
      <c r="E487" s="254">
        <f t="shared" si="265"/>
        <v>0</v>
      </c>
      <c r="F487" s="255">
        <f t="shared" si="266"/>
        <v>0</v>
      </c>
      <c r="G487" s="256">
        <f t="shared" si="267"/>
        <v>0</v>
      </c>
      <c r="H487" s="256">
        <f t="shared" si="268"/>
        <v>0</v>
      </c>
      <c r="I487" s="256">
        <f t="shared" si="269"/>
        <v>0</v>
      </c>
      <c r="J487" s="256">
        <f t="shared" si="270"/>
        <v>0</v>
      </c>
      <c r="K487" s="256">
        <f t="shared" si="271"/>
        <v>0</v>
      </c>
      <c r="L487" s="256">
        <f t="shared" si="272"/>
        <v>0</v>
      </c>
      <c r="M487" s="256">
        <f t="shared" si="273"/>
        <v>0</v>
      </c>
      <c r="N487" s="255">
        <v>0</v>
      </c>
      <c r="O487" s="256">
        <v>0</v>
      </c>
      <c r="P487" s="256">
        <v>0</v>
      </c>
      <c r="Q487" s="256">
        <v>0</v>
      </c>
      <c r="R487" s="256">
        <v>0</v>
      </c>
      <c r="S487" s="257">
        <v>0</v>
      </c>
      <c r="T487" s="256">
        <v>0</v>
      </c>
      <c r="U487" s="258">
        <f t="shared" si="274"/>
        <v>0</v>
      </c>
      <c r="V487" s="256">
        <v>0</v>
      </c>
      <c r="W487" s="256">
        <f t="shared" si="277"/>
        <v>0</v>
      </c>
      <c r="X487" s="256">
        <f t="shared" si="278"/>
        <v>0</v>
      </c>
      <c r="Y487" s="256">
        <v>0</v>
      </c>
      <c r="Z487" s="256">
        <f t="shared" si="279"/>
        <v>0</v>
      </c>
      <c r="AA487" s="256">
        <f t="shared" si="280"/>
        <v>0</v>
      </c>
      <c r="AB487" s="256">
        <v>0</v>
      </c>
      <c r="AC487" s="189">
        <f t="shared" si="275"/>
        <v>0</v>
      </c>
      <c r="AD487" s="259">
        <f t="shared" si="276"/>
        <v>0</v>
      </c>
    </row>
    <row r="488" spans="1:30" s="160" customFormat="1" hidden="1">
      <c r="A488" s="250">
        <v>483</v>
      </c>
      <c r="B488" s="251"/>
      <c r="C488" s="252"/>
      <c r="D488" s="253"/>
      <c r="E488" s="254">
        <f t="shared" si="265"/>
        <v>0</v>
      </c>
      <c r="F488" s="255">
        <f t="shared" si="266"/>
        <v>0</v>
      </c>
      <c r="G488" s="256">
        <f t="shared" si="267"/>
        <v>0</v>
      </c>
      <c r="H488" s="256">
        <f t="shared" si="268"/>
        <v>0</v>
      </c>
      <c r="I488" s="256">
        <f t="shared" si="269"/>
        <v>0</v>
      </c>
      <c r="J488" s="256">
        <f t="shared" si="270"/>
        <v>0</v>
      </c>
      <c r="K488" s="256">
        <f t="shared" si="271"/>
        <v>0</v>
      </c>
      <c r="L488" s="256">
        <f t="shared" si="272"/>
        <v>0</v>
      </c>
      <c r="M488" s="256">
        <f t="shared" si="273"/>
        <v>0</v>
      </c>
      <c r="N488" s="255">
        <v>0</v>
      </c>
      <c r="O488" s="256">
        <v>0</v>
      </c>
      <c r="P488" s="256">
        <v>0</v>
      </c>
      <c r="Q488" s="256">
        <v>0</v>
      </c>
      <c r="R488" s="256">
        <v>0</v>
      </c>
      <c r="S488" s="257">
        <v>0</v>
      </c>
      <c r="T488" s="256">
        <v>0</v>
      </c>
      <c r="U488" s="258">
        <f t="shared" si="274"/>
        <v>0</v>
      </c>
      <c r="V488" s="256">
        <v>0</v>
      </c>
      <c r="W488" s="256">
        <f t="shared" si="277"/>
        <v>0</v>
      </c>
      <c r="X488" s="256">
        <f t="shared" si="278"/>
        <v>0</v>
      </c>
      <c r="Y488" s="256">
        <v>0</v>
      </c>
      <c r="Z488" s="256">
        <f t="shared" si="279"/>
        <v>0</v>
      </c>
      <c r="AA488" s="256">
        <f t="shared" si="280"/>
        <v>0</v>
      </c>
      <c r="AB488" s="256">
        <v>0</v>
      </c>
      <c r="AC488" s="189">
        <f t="shared" si="275"/>
        <v>0</v>
      </c>
      <c r="AD488" s="259">
        <f t="shared" si="276"/>
        <v>0</v>
      </c>
    </row>
    <row r="489" spans="1:30" s="160" customFormat="1" hidden="1">
      <c r="A489" s="250">
        <v>484</v>
      </c>
      <c r="B489" s="251"/>
      <c r="C489" s="252"/>
      <c r="D489" s="253"/>
      <c r="E489" s="254">
        <f t="shared" si="265"/>
        <v>0</v>
      </c>
      <c r="F489" s="255">
        <f t="shared" si="266"/>
        <v>0</v>
      </c>
      <c r="G489" s="256">
        <f t="shared" si="267"/>
        <v>0</v>
      </c>
      <c r="H489" s="256">
        <f t="shared" si="268"/>
        <v>0</v>
      </c>
      <c r="I489" s="256">
        <f t="shared" si="269"/>
        <v>0</v>
      </c>
      <c r="J489" s="256">
        <f t="shared" si="270"/>
        <v>0</v>
      </c>
      <c r="K489" s="256">
        <f t="shared" si="271"/>
        <v>0</v>
      </c>
      <c r="L489" s="256">
        <f t="shared" si="272"/>
        <v>0</v>
      </c>
      <c r="M489" s="256">
        <f t="shared" si="273"/>
        <v>0</v>
      </c>
      <c r="N489" s="255">
        <v>0</v>
      </c>
      <c r="O489" s="256">
        <v>0</v>
      </c>
      <c r="P489" s="256">
        <v>0</v>
      </c>
      <c r="Q489" s="256">
        <v>0</v>
      </c>
      <c r="R489" s="256">
        <v>0</v>
      </c>
      <c r="S489" s="257">
        <v>0</v>
      </c>
      <c r="T489" s="256">
        <v>0</v>
      </c>
      <c r="U489" s="258">
        <f t="shared" si="274"/>
        <v>0</v>
      </c>
      <c r="V489" s="256">
        <v>0</v>
      </c>
      <c r="W489" s="256">
        <f t="shared" si="277"/>
        <v>0</v>
      </c>
      <c r="X489" s="256">
        <f t="shared" si="278"/>
        <v>0</v>
      </c>
      <c r="Y489" s="256">
        <v>0</v>
      </c>
      <c r="Z489" s="256">
        <f t="shared" si="279"/>
        <v>0</v>
      </c>
      <c r="AA489" s="256">
        <f t="shared" si="280"/>
        <v>0</v>
      </c>
      <c r="AB489" s="256">
        <v>0</v>
      </c>
      <c r="AC489" s="189">
        <f t="shared" si="275"/>
        <v>0</v>
      </c>
      <c r="AD489" s="259">
        <f t="shared" si="276"/>
        <v>0</v>
      </c>
    </row>
    <row r="490" spans="1:30" s="160" customFormat="1" hidden="1">
      <c r="A490" s="250">
        <v>485</v>
      </c>
      <c r="B490" s="251"/>
      <c r="C490" s="252"/>
      <c r="D490" s="253"/>
      <c r="E490" s="254">
        <f t="shared" si="265"/>
        <v>0</v>
      </c>
      <c r="F490" s="255">
        <f t="shared" si="266"/>
        <v>0</v>
      </c>
      <c r="G490" s="256">
        <f t="shared" si="267"/>
        <v>0</v>
      </c>
      <c r="H490" s="256">
        <f t="shared" si="268"/>
        <v>0</v>
      </c>
      <c r="I490" s="256">
        <f t="shared" si="269"/>
        <v>0</v>
      </c>
      <c r="J490" s="256">
        <f t="shared" si="270"/>
        <v>0</v>
      </c>
      <c r="K490" s="256">
        <f t="shared" si="271"/>
        <v>0</v>
      </c>
      <c r="L490" s="256">
        <f t="shared" si="272"/>
        <v>0</v>
      </c>
      <c r="M490" s="256">
        <f t="shared" si="273"/>
        <v>0</v>
      </c>
      <c r="N490" s="255">
        <v>0</v>
      </c>
      <c r="O490" s="256">
        <v>0</v>
      </c>
      <c r="P490" s="256">
        <v>0</v>
      </c>
      <c r="Q490" s="256">
        <v>0</v>
      </c>
      <c r="R490" s="256">
        <v>0</v>
      </c>
      <c r="S490" s="257">
        <v>0</v>
      </c>
      <c r="T490" s="256">
        <v>0</v>
      </c>
      <c r="U490" s="258">
        <f t="shared" si="274"/>
        <v>0</v>
      </c>
      <c r="V490" s="256">
        <v>0</v>
      </c>
      <c r="W490" s="256">
        <f t="shared" si="277"/>
        <v>0</v>
      </c>
      <c r="X490" s="256">
        <f t="shared" si="278"/>
        <v>0</v>
      </c>
      <c r="Y490" s="256">
        <v>0</v>
      </c>
      <c r="Z490" s="256">
        <f t="shared" si="279"/>
        <v>0</v>
      </c>
      <c r="AA490" s="256">
        <f t="shared" si="280"/>
        <v>0</v>
      </c>
      <c r="AB490" s="256">
        <v>0</v>
      </c>
      <c r="AC490" s="189">
        <f t="shared" si="275"/>
        <v>0</v>
      </c>
      <c r="AD490" s="259">
        <f t="shared" si="276"/>
        <v>0</v>
      </c>
    </row>
    <row r="491" spans="1:30" s="160" customFormat="1" hidden="1">
      <c r="A491" s="250">
        <v>486</v>
      </c>
      <c r="B491" s="251"/>
      <c r="C491" s="252"/>
      <c r="D491" s="253"/>
      <c r="E491" s="254">
        <f t="shared" si="265"/>
        <v>0</v>
      </c>
      <c r="F491" s="255">
        <f t="shared" si="266"/>
        <v>0</v>
      </c>
      <c r="G491" s="256">
        <f t="shared" si="267"/>
        <v>0</v>
      </c>
      <c r="H491" s="256">
        <f t="shared" si="268"/>
        <v>0</v>
      </c>
      <c r="I491" s="256">
        <f t="shared" si="269"/>
        <v>0</v>
      </c>
      <c r="J491" s="256">
        <f t="shared" si="270"/>
        <v>0</v>
      </c>
      <c r="K491" s="256">
        <f t="shared" si="271"/>
        <v>0</v>
      </c>
      <c r="L491" s="256">
        <f t="shared" si="272"/>
        <v>0</v>
      </c>
      <c r="M491" s="256">
        <f t="shared" si="273"/>
        <v>0</v>
      </c>
      <c r="N491" s="255">
        <v>0</v>
      </c>
      <c r="O491" s="256">
        <v>0</v>
      </c>
      <c r="P491" s="256">
        <v>0</v>
      </c>
      <c r="Q491" s="256">
        <v>0</v>
      </c>
      <c r="R491" s="256">
        <v>0</v>
      </c>
      <c r="S491" s="257">
        <v>0</v>
      </c>
      <c r="T491" s="256">
        <v>0</v>
      </c>
      <c r="U491" s="258">
        <f t="shared" si="274"/>
        <v>0</v>
      </c>
      <c r="V491" s="256">
        <v>0</v>
      </c>
      <c r="W491" s="256">
        <f t="shared" si="277"/>
        <v>0</v>
      </c>
      <c r="X491" s="256">
        <f t="shared" si="278"/>
        <v>0</v>
      </c>
      <c r="Y491" s="256">
        <v>0</v>
      </c>
      <c r="Z491" s="256">
        <f t="shared" si="279"/>
        <v>0</v>
      </c>
      <c r="AA491" s="256">
        <f t="shared" si="280"/>
        <v>0</v>
      </c>
      <c r="AB491" s="256">
        <v>0</v>
      </c>
      <c r="AC491" s="189">
        <f t="shared" si="275"/>
        <v>0</v>
      </c>
      <c r="AD491" s="259">
        <f t="shared" si="276"/>
        <v>0</v>
      </c>
    </row>
    <row r="492" spans="1:30" s="160" customFormat="1" hidden="1">
      <c r="A492" s="250">
        <v>487</v>
      </c>
      <c r="B492" s="251"/>
      <c r="C492" s="252"/>
      <c r="D492" s="253"/>
      <c r="E492" s="254">
        <f t="shared" si="265"/>
        <v>0</v>
      </c>
      <c r="F492" s="255">
        <f t="shared" si="266"/>
        <v>0</v>
      </c>
      <c r="G492" s="256">
        <f t="shared" si="267"/>
        <v>0</v>
      </c>
      <c r="H492" s="256">
        <f t="shared" si="268"/>
        <v>0</v>
      </c>
      <c r="I492" s="256">
        <f t="shared" si="269"/>
        <v>0</v>
      </c>
      <c r="J492" s="256">
        <f t="shared" si="270"/>
        <v>0</v>
      </c>
      <c r="K492" s="256">
        <f t="shared" si="271"/>
        <v>0</v>
      </c>
      <c r="L492" s="256">
        <f t="shared" si="272"/>
        <v>0</v>
      </c>
      <c r="M492" s="256">
        <f t="shared" si="273"/>
        <v>0</v>
      </c>
      <c r="N492" s="255">
        <v>0</v>
      </c>
      <c r="O492" s="256">
        <v>0</v>
      </c>
      <c r="P492" s="256">
        <v>0</v>
      </c>
      <c r="Q492" s="256">
        <v>0</v>
      </c>
      <c r="R492" s="256">
        <v>0</v>
      </c>
      <c r="S492" s="257">
        <v>0</v>
      </c>
      <c r="T492" s="256">
        <v>0</v>
      </c>
      <c r="U492" s="258">
        <f t="shared" si="274"/>
        <v>0</v>
      </c>
      <c r="V492" s="256">
        <v>0</v>
      </c>
      <c r="W492" s="256">
        <f t="shared" si="277"/>
        <v>0</v>
      </c>
      <c r="X492" s="256">
        <f t="shared" si="278"/>
        <v>0</v>
      </c>
      <c r="Y492" s="256">
        <v>0</v>
      </c>
      <c r="Z492" s="256">
        <f t="shared" si="279"/>
        <v>0</v>
      </c>
      <c r="AA492" s="256">
        <f t="shared" si="280"/>
        <v>0</v>
      </c>
      <c r="AB492" s="256">
        <v>0</v>
      </c>
      <c r="AC492" s="189">
        <f t="shared" si="275"/>
        <v>0</v>
      </c>
      <c r="AD492" s="259">
        <f t="shared" si="276"/>
        <v>0</v>
      </c>
    </row>
    <row r="493" spans="1:30" s="160" customFormat="1" hidden="1">
      <c r="A493" s="250">
        <v>488</v>
      </c>
      <c r="B493" s="251"/>
      <c r="C493" s="252"/>
      <c r="D493" s="253"/>
      <c r="E493" s="254">
        <f t="shared" si="265"/>
        <v>0</v>
      </c>
      <c r="F493" s="255">
        <f t="shared" si="266"/>
        <v>0</v>
      </c>
      <c r="G493" s="256">
        <f t="shared" si="267"/>
        <v>0</v>
      </c>
      <c r="H493" s="256">
        <f t="shared" si="268"/>
        <v>0</v>
      </c>
      <c r="I493" s="256">
        <f t="shared" si="269"/>
        <v>0</v>
      </c>
      <c r="J493" s="256">
        <f t="shared" si="270"/>
        <v>0</v>
      </c>
      <c r="K493" s="256">
        <f t="shared" si="271"/>
        <v>0</v>
      </c>
      <c r="L493" s="256">
        <f t="shared" si="272"/>
        <v>0</v>
      </c>
      <c r="M493" s="256">
        <f t="shared" si="273"/>
        <v>0</v>
      </c>
      <c r="N493" s="255">
        <v>0</v>
      </c>
      <c r="O493" s="256">
        <v>0</v>
      </c>
      <c r="P493" s="256">
        <v>0</v>
      </c>
      <c r="Q493" s="256">
        <v>0</v>
      </c>
      <c r="R493" s="256">
        <v>0</v>
      </c>
      <c r="S493" s="257">
        <v>0</v>
      </c>
      <c r="T493" s="256">
        <v>0</v>
      </c>
      <c r="U493" s="258">
        <f t="shared" si="274"/>
        <v>0</v>
      </c>
      <c r="V493" s="256">
        <v>0</v>
      </c>
      <c r="W493" s="256">
        <f t="shared" si="277"/>
        <v>0</v>
      </c>
      <c r="X493" s="256">
        <f t="shared" si="278"/>
        <v>0</v>
      </c>
      <c r="Y493" s="256">
        <v>0</v>
      </c>
      <c r="Z493" s="256">
        <f t="shared" si="279"/>
        <v>0</v>
      </c>
      <c r="AA493" s="256">
        <f t="shared" si="280"/>
        <v>0</v>
      </c>
      <c r="AB493" s="256">
        <v>0</v>
      </c>
      <c r="AC493" s="189">
        <f t="shared" si="275"/>
        <v>0</v>
      </c>
      <c r="AD493" s="259">
        <f t="shared" si="276"/>
        <v>0</v>
      </c>
    </row>
    <row r="494" spans="1:30" s="160" customFormat="1" hidden="1">
      <c r="A494" s="250">
        <v>489</v>
      </c>
      <c r="B494" s="251"/>
      <c r="C494" s="252"/>
      <c r="D494" s="253"/>
      <c r="E494" s="254">
        <f t="shared" si="265"/>
        <v>0</v>
      </c>
      <c r="F494" s="255">
        <f t="shared" si="266"/>
        <v>0</v>
      </c>
      <c r="G494" s="256">
        <f t="shared" si="267"/>
        <v>0</v>
      </c>
      <c r="H494" s="256">
        <f t="shared" si="268"/>
        <v>0</v>
      </c>
      <c r="I494" s="256">
        <f t="shared" si="269"/>
        <v>0</v>
      </c>
      <c r="J494" s="256">
        <f t="shared" si="270"/>
        <v>0</v>
      </c>
      <c r="K494" s="256">
        <f t="shared" si="271"/>
        <v>0</v>
      </c>
      <c r="L494" s="256">
        <f t="shared" si="272"/>
        <v>0</v>
      </c>
      <c r="M494" s="256">
        <f t="shared" si="273"/>
        <v>0</v>
      </c>
      <c r="N494" s="255">
        <v>0</v>
      </c>
      <c r="O494" s="256">
        <v>0</v>
      </c>
      <c r="P494" s="256">
        <v>0</v>
      </c>
      <c r="Q494" s="256">
        <v>0</v>
      </c>
      <c r="R494" s="256">
        <v>0</v>
      </c>
      <c r="S494" s="257">
        <v>0</v>
      </c>
      <c r="T494" s="256">
        <v>0</v>
      </c>
      <c r="U494" s="258">
        <f t="shared" si="274"/>
        <v>0</v>
      </c>
      <c r="V494" s="256">
        <v>0</v>
      </c>
      <c r="W494" s="256">
        <f t="shared" si="277"/>
        <v>0</v>
      </c>
      <c r="X494" s="256">
        <f t="shared" si="278"/>
        <v>0</v>
      </c>
      <c r="Y494" s="256">
        <v>0</v>
      </c>
      <c r="Z494" s="256">
        <f t="shared" si="279"/>
        <v>0</v>
      </c>
      <c r="AA494" s="256">
        <f t="shared" si="280"/>
        <v>0</v>
      </c>
      <c r="AB494" s="256">
        <v>0</v>
      </c>
      <c r="AC494" s="189">
        <f t="shared" si="275"/>
        <v>0</v>
      </c>
      <c r="AD494" s="259">
        <f t="shared" si="276"/>
        <v>0</v>
      </c>
    </row>
    <row r="495" spans="1:30" s="160" customFormat="1" hidden="1">
      <c r="A495" s="250">
        <v>490</v>
      </c>
      <c r="B495" s="251"/>
      <c r="C495" s="252"/>
      <c r="D495" s="253"/>
      <c r="E495" s="254">
        <f t="shared" si="265"/>
        <v>0</v>
      </c>
      <c r="F495" s="255">
        <f t="shared" si="266"/>
        <v>0</v>
      </c>
      <c r="G495" s="256">
        <f t="shared" si="267"/>
        <v>0</v>
      </c>
      <c r="H495" s="256">
        <f t="shared" si="268"/>
        <v>0</v>
      </c>
      <c r="I495" s="256">
        <f t="shared" si="269"/>
        <v>0</v>
      </c>
      <c r="J495" s="256">
        <f t="shared" si="270"/>
        <v>0</v>
      </c>
      <c r="K495" s="256">
        <f t="shared" si="271"/>
        <v>0</v>
      </c>
      <c r="L495" s="256">
        <f t="shared" si="272"/>
        <v>0</v>
      </c>
      <c r="M495" s="256">
        <f t="shared" si="273"/>
        <v>0</v>
      </c>
      <c r="N495" s="255">
        <v>0</v>
      </c>
      <c r="O495" s="256">
        <v>0</v>
      </c>
      <c r="P495" s="256">
        <v>0</v>
      </c>
      <c r="Q495" s="256">
        <v>0</v>
      </c>
      <c r="R495" s="256">
        <v>0</v>
      </c>
      <c r="S495" s="257">
        <v>0</v>
      </c>
      <c r="T495" s="256">
        <v>0</v>
      </c>
      <c r="U495" s="258">
        <f t="shared" si="274"/>
        <v>0</v>
      </c>
      <c r="V495" s="256">
        <v>0</v>
      </c>
      <c r="W495" s="256">
        <f t="shared" si="277"/>
        <v>0</v>
      </c>
      <c r="X495" s="256">
        <f t="shared" si="278"/>
        <v>0</v>
      </c>
      <c r="Y495" s="256">
        <v>0</v>
      </c>
      <c r="Z495" s="256">
        <f t="shared" si="279"/>
        <v>0</v>
      </c>
      <c r="AA495" s="256">
        <f t="shared" si="280"/>
        <v>0</v>
      </c>
      <c r="AB495" s="256">
        <v>0</v>
      </c>
      <c r="AC495" s="189">
        <f t="shared" si="275"/>
        <v>0</v>
      </c>
      <c r="AD495" s="259">
        <f t="shared" si="276"/>
        <v>0</v>
      </c>
    </row>
    <row r="496" spans="1:30" s="160" customFormat="1" hidden="1">
      <c r="A496" s="250">
        <v>491</v>
      </c>
      <c r="B496" s="251"/>
      <c r="C496" s="252"/>
      <c r="D496" s="253"/>
      <c r="E496" s="254">
        <f t="shared" si="265"/>
        <v>0</v>
      </c>
      <c r="F496" s="255">
        <f t="shared" si="266"/>
        <v>0</v>
      </c>
      <c r="G496" s="256">
        <f t="shared" si="267"/>
        <v>0</v>
      </c>
      <c r="H496" s="256">
        <f t="shared" si="268"/>
        <v>0</v>
      </c>
      <c r="I496" s="256">
        <f t="shared" si="269"/>
        <v>0</v>
      </c>
      <c r="J496" s="256">
        <f t="shared" si="270"/>
        <v>0</v>
      </c>
      <c r="K496" s="256">
        <f t="shared" si="271"/>
        <v>0</v>
      </c>
      <c r="L496" s="256">
        <f t="shared" si="272"/>
        <v>0</v>
      </c>
      <c r="M496" s="256">
        <f t="shared" si="273"/>
        <v>0</v>
      </c>
      <c r="N496" s="255">
        <v>0</v>
      </c>
      <c r="O496" s="256">
        <v>0</v>
      </c>
      <c r="P496" s="256">
        <v>0</v>
      </c>
      <c r="Q496" s="256">
        <v>0</v>
      </c>
      <c r="R496" s="256">
        <v>0</v>
      </c>
      <c r="S496" s="257">
        <v>0</v>
      </c>
      <c r="T496" s="256">
        <v>0</v>
      </c>
      <c r="U496" s="258">
        <f t="shared" si="274"/>
        <v>0</v>
      </c>
      <c r="V496" s="256">
        <v>0</v>
      </c>
      <c r="W496" s="256">
        <f t="shared" si="277"/>
        <v>0</v>
      </c>
      <c r="X496" s="256">
        <f t="shared" si="278"/>
        <v>0</v>
      </c>
      <c r="Y496" s="256">
        <v>0</v>
      </c>
      <c r="Z496" s="256">
        <f t="shared" si="279"/>
        <v>0</v>
      </c>
      <c r="AA496" s="256">
        <f t="shared" si="280"/>
        <v>0</v>
      </c>
      <c r="AB496" s="256">
        <v>0</v>
      </c>
      <c r="AC496" s="189">
        <f t="shared" si="275"/>
        <v>0</v>
      </c>
      <c r="AD496" s="259">
        <f t="shared" si="276"/>
        <v>0</v>
      </c>
    </row>
    <row r="497" spans="1:30" s="160" customFormat="1" hidden="1">
      <c r="A497" s="250">
        <v>492</v>
      </c>
      <c r="B497" s="251"/>
      <c r="C497" s="252"/>
      <c r="D497" s="253"/>
      <c r="E497" s="254">
        <f t="shared" si="265"/>
        <v>0</v>
      </c>
      <c r="F497" s="255">
        <f t="shared" si="266"/>
        <v>0</v>
      </c>
      <c r="G497" s="256">
        <f t="shared" si="267"/>
        <v>0</v>
      </c>
      <c r="H497" s="256">
        <f t="shared" si="268"/>
        <v>0</v>
      </c>
      <c r="I497" s="256">
        <f t="shared" si="269"/>
        <v>0</v>
      </c>
      <c r="J497" s="256">
        <f t="shared" si="270"/>
        <v>0</v>
      </c>
      <c r="K497" s="256">
        <f t="shared" si="271"/>
        <v>0</v>
      </c>
      <c r="L497" s="256">
        <f t="shared" si="272"/>
        <v>0</v>
      </c>
      <c r="M497" s="256">
        <f t="shared" si="273"/>
        <v>0</v>
      </c>
      <c r="N497" s="255">
        <v>0</v>
      </c>
      <c r="O497" s="256">
        <v>0</v>
      </c>
      <c r="P497" s="256">
        <v>0</v>
      </c>
      <c r="Q497" s="256">
        <v>0</v>
      </c>
      <c r="R497" s="256">
        <v>0</v>
      </c>
      <c r="S497" s="257">
        <v>0</v>
      </c>
      <c r="T497" s="256">
        <v>0</v>
      </c>
      <c r="U497" s="258">
        <f t="shared" si="274"/>
        <v>0</v>
      </c>
      <c r="V497" s="256">
        <v>0</v>
      </c>
      <c r="W497" s="256">
        <f t="shared" si="277"/>
        <v>0</v>
      </c>
      <c r="X497" s="256">
        <f t="shared" si="278"/>
        <v>0</v>
      </c>
      <c r="Y497" s="256">
        <v>0</v>
      </c>
      <c r="Z497" s="256">
        <f t="shared" si="279"/>
        <v>0</v>
      </c>
      <c r="AA497" s="256">
        <f t="shared" si="280"/>
        <v>0</v>
      </c>
      <c r="AB497" s="256">
        <v>0</v>
      </c>
      <c r="AC497" s="189">
        <f t="shared" si="275"/>
        <v>0</v>
      </c>
      <c r="AD497" s="259">
        <f t="shared" si="276"/>
        <v>0</v>
      </c>
    </row>
    <row r="498" spans="1:30" s="160" customFormat="1" hidden="1">
      <c r="A498" s="250">
        <v>493</v>
      </c>
      <c r="B498" s="251"/>
      <c r="C498" s="252"/>
      <c r="D498" s="253"/>
      <c r="E498" s="254">
        <f t="shared" si="265"/>
        <v>0</v>
      </c>
      <c r="F498" s="255">
        <f t="shared" si="266"/>
        <v>0</v>
      </c>
      <c r="G498" s="256">
        <f t="shared" si="267"/>
        <v>0</v>
      </c>
      <c r="H498" s="256">
        <f t="shared" si="268"/>
        <v>0</v>
      </c>
      <c r="I498" s="256">
        <f t="shared" si="269"/>
        <v>0</v>
      </c>
      <c r="J498" s="256">
        <f t="shared" si="270"/>
        <v>0</v>
      </c>
      <c r="K498" s="256">
        <f t="shared" si="271"/>
        <v>0</v>
      </c>
      <c r="L498" s="256">
        <f t="shared" si="272"/>
        <v>0</v>
      </c>
      <c r="M498" s="256">
        <f t="shared" si="273"/>
        <v>0</v>
      </c>
      <c r="N498" s="255">
        <v>0</v>
      </c>
      <c r="O498" s="256">
        <v>0</v>
      </c>
      <c r="P498" s="256">
        <v>0</v>
      </c>
      <c r="Q498" s="256">
        <v>0</v>
      </c>
      <c r="R498" s="256">
        <v>0</v>
      </c>
      <c r="S498" s="257">
        <v>0</v>
      </c>
      <c r="T498" s="256">
        <v>0</v>
      </c>
      <c r="U498" s="258">
        <f t="shared" si="274"/>
        <v>0</v>
      </c>
      <c r="V498" s="256">
        <v>0</v>
      </c>
      <c r="W498" s="256">
        <f t="shared" si="277"/>
        <v>0</v>
      </c>
      <c r="X498" s="256">
        <f t="shared" si="278"/>
        <v>0</v>
      </c>
      <c r="Y498" s="256">
        <v>0</v>
      </c>
      <c r="Z498" s="256">
        <f t="shared" si="279"/>
        <v>0</v>
      </c>
      <c r="AA498" s="256">
        <f t="shared" si="280"/>
        <v>0</v>
      </c>
      <c r="AB498" s="256">
        <v>0</v>
      </c>
      <c r="AC498" s="189">
        <f t="shared" si="275"/>
        <v>0</v>
      </c>
      <c r="AD498" s="259">
        <f t="shared" si="276"/>
        <v>0</v>
      </c>
    </row>
    <row r="499" spans="1:30" s="160" customFormat="1" hidden="1">
      <c r="A499" s="250">
        <v>494</v>
      </c>
      <c r="B499" s="251"/>
      <c r="C499" s="252"/>
      <c r="D499" s="253"/>
      <c r="E499" s="254">
        <f t="shared" si="265"/>
        <v>0</v>
      </c>
      <c r="F499" s="255">
        <f t="shared" si="266"/>
        <v>0</v>
      </c>
      <c r="G499" s="256">
        <f t="shared" si="267"/>
        <v>0</v>
      </c>
      <c r="H499" s="256">
        <f t="shared" si="268"/>
        <v>0</v>
      </c>
      <c r="I499" s="256">
        <f t="shared" si="269"/>
        <v>0</v>
      </c>
      <c r="J499" s="256">
        <f t="shared" si="270"/>
        <v>0</v>
      </c>
      <c r="K499" s="256">
        <f t="shared" si="271"/>
        <v>0</v>
      </c>
      <c r="L499" s="256">
        <f t="shared" si="272"/>
        <v>0</v>
      </c>
      <c r="M499" s="256">
        <f t="shared" si="273"/>
        <v>0</v>
      </c>
      <c r="N499" s="255">
        <v>0</v>
      </c>
      <c r="O499" s="256">
        <v>0</v>
      </c>
      <c r="P499" s="256">
        <v>0</v>
      </c>
      <c r="Q499" s="256">
        <v>0</v>
      </c>
      <c r="R499" s="256">
        <v>0</v>
      </c>
      <c r="S499" s="257">
        <v>0</v>
      </c>
      <c r="T499" s="256">
        <v>0</v>
      </c>
      <c r="U499" s="258">
        <f t="shared" si="274"/>
        <v>0</v>
      </c>
      <c r="V499" s="256">
        <v>0</v>
      </c>
      <c r="W499" s="256">
        <f t="shared" si="277"/>
        <v>0</v>
      </c>
      <c r="X499" s="256">
        <f t="shared" si="278"/>
        <v>0</v>
      </c>
      <c r="Y499" s="256">
        <v>0</v>
      </c>
      <c r="Z499" s="256">
        <f t="shared" si="279"/>
        <v>0</v>
      </c>
      <c r="AA499" s="256">
        <f t="shared" si="280"/>
        <v>0</v>
      </c>
      <c r="AB499" s="256">
        <v>0</v>
      </c>
      <c r="AC499" s="189">
        <f t="shared" si="275"/>
        <v>0</v>
      </c>
      <c r="AD499" s="259">
        <f t="shared" si="276"/>
        <v>0</v>
      </c>
    </row>
    <row r="500" spans="1:30" s="160" customFormat="1" hidden="1">
      <c r="A500" s="250">
        <v>495</v>
      </c>
      <c r="B500" s="251"/>
      <c r="C500" s="252"/>
      <c r="D500" s="253"/>
      <c r="E500" s="254">
        <f t="shared" si="265"/>
        <v>0</v>
      </c>
      <c r="F500" s="255">
        <f t="shared" si="266"/>
        <v>0</v>
      </c>
      <c r="G500" s="256">
        <f t="shared" si="267"/>
        <v>0</v>
      </c>
      <c r="H500" s="256">
        <f t="shared" si="268"/>
        <v>0</v>
      </c>
      <c r="I500" s="256">
        <f t="shared" si="269"/>
        <v>0</v>
      </c>
      <c r="J500" s="256">
        <f t="shared" si="270"/>
        <v>0</v>
      </c>
      <c r="K500" s="256">
        <f t="shared" si="271"/>
        <v>0</v>
      </c>
      <c r="L500" s="256">
        <f t="shared" si="272"/>
        <v>0</v>
      </c>
      <c r="M500" s="256">
        <f t="shared" si="273"/>
        <v>0</v>
      </c>
      <c r="N500" s="255">
        <v>0</v>
      </c>
      <c r="O500" s="256">
        <v>0</v>
      </c>
      <c r="P500" s="256">
        <v>0</v>
      </c>
      <c r="Q500" s="256">
        <v>0</v>
      </c>
      <c r="R500" s="256">
        <v>0</v>
      </c>
      <c r="S500" s="257">
        <v>0</v>
      </c>
      <c r="T500" s="256">
        <v>0</v>
      </c>
      <c r="U500" s="258">
        <f t="shared" si="274"/>
        <v>0</v>
      </c>
      <c r="V500" s="256">
        <v>0</v>
      </c>
      <c r="W500" s="256">
        <f t="shared" si="277"/>
        <v>0</v>
      </c>
      <c r="X500" s="256">
        <f t="shared" si="278"/>
        <v>0</v>
      </c>
      <c r="Y500" s="256">
        <v>0</v>
      </c>
      <c r="Z500" s="256">
        <f t="shared" si="279"/>
        <v>0</v>
      </c>
      <c r="AA500" s="256">
        <f t="shared" si="280"/>
        <v>0</v>
      </c>
      <c r="AB500" s="256">
        <v>0</v>
      </c>
      <c r="AC500" s="189">
        <f t="shared" si="275"/>
        <v>0</v>
      </c>
      <c r="AD500" s="259">
        <f t="shared" si="276"/>
        <v>0</v>
      </c>
    </row>
    <row r="501" spans="1:30" s="160" customFormat="1" hidden="1">
      <c r="A501" s="250">
        <v>496</v>
      </c>
      <c r="B501" s="251"/>
      <c r="C501" s="252"/>
      <c r="D501" s="253"/>
      <c r="E501" s="254">
        <f t="shared" si="265"/>
        <v>0</v>
      </c>
      <c r="F501" s="255">
        <f t="shared" si="266"/>
        <v>0</v>
      </c>
      <c r="G501" s="256">
        <f t="shared" si="267"/>
        <v>0</v>
      </c>
      <c r="H501" s="256">
        <f t="shared" si="268"/>
        <v>0</v>
      </c>
      <c r="I501" s="256">
        <f t="shared" si="269"/>
        <v>0</v>
      </c>
      <c r="J501" s="256">
        <f t="shared" si="270"/>
        <v>0</v>
      </c>
      <c r="K501" s="256">
        <f t="shared" si="271"/>
        <v>0</v>
      </c>
      <c r="L501" s="256">
        <f t="shared" si="272"/>
        <v>0</v>
      </c>
      <c r="M501" s="256">
        <f t="shared" si="273"/>
        <v>0</v>
      </c>
      <c r="N501" s="255">
        <v>0</v>
      </c>
      <c r="O501" s="256">
        <v>0</v>
      </c>
      <c r="P501" s="256">
        <v>0</v>
      </c>
      <c r="Q501" s="256">
        <v>0</v>
      </c>
      <c r="R501" s="256">
        <v>0</v>
      </c>
      <c r="S501" s="257">
        <v>0</v>
      </c>
      <c r="T501" s="256">
        <v>0</v>
      </c>
      <c r="U501" s="258">
        <f t="shared" si="274"/>
        <v>0</v>
      </c>
      <c r="V501" s="256">
        <v>0</v>
      </c>
      <c r="W501" s="256">
        <f t="shared" si="277"/>
        <v>0</v>
      </c>
      <c r="X501" s="256">
        <f t="shared" si="278"/>
        <v>0</v>
      </c>
      <c r="Y501" s="256">
        <v>0</v>
      </c>
      <c r="Z501" s="256">
        <f t="shared" si="279"/>
        <v>0</v>
      </c>
      <c r="AA501" s="256">
        <f t="shared" si="280"/>
        <v>0</v>
      </c>
      <c r="AB501" s="256">
        <v>0</v>
      </c>
      <c r="AC501" s="189">
        <f t="shared" si="275"/>
        <v>0</v>
      </c>
      <c r="AD501" s="259">
        <f t="shared" si="276"/>
        <v>0</v>
      </c>
    </row>
    <row r="502" spans="1:30" s="160" customFormat="1" hidden="1">
      <c r="A502" s="250">
        <v>497</v>
      </c>
      <c r="B502" s="251"/>
      <c r="C502" s="252"/>
      <c r="D502" s="253"/>
      <c r="E502" s="254">
        <f t="shared" si="265"/>
        <v>0</v>
      </c>
      <c r="F502" s="255">
        <f t="shared" si="266"/>
        <v>0</v>
      </c>
      <c r="G502" s="256">
        <f t="shared" si="267"/>
        <v>0</v>
      </c>
      <c r="H502" s="256">
        <f t="shared" si="268"/>
        <v>0</v>
      </c>
      <c r="I502" s="256">
        <f t="shared" si="269"/>
        <v>0</v>
      </c>
      <c r="J502" s="256">
        <f t="shared" si="270"/>
        <v>0</v>
      </c>
      <c r="K502" s="256">
        <f t="shared" si="271"/>
        <v>0</v>
      </c>
      <c r="L502" s="256">
        <f t="shared" si="272"/>
        <v>0</v>
      </c>
      <c r="M502" s="256">
        <f t="shared" si="273"/>
        <v>0</v>
      </c>
      <c r="N502" s="255">
        <v>0</v>
      </c>
      <c r="O502" s="256">
        <v>0</v>
      </c>
      <c r="P502" s="256">
        <v>0</v>
      </c>
      <c r="Q502" s="256">
        <v>0</v>
      </c>
      <c r="R502" s="256">
        <v>0</v>
      </c>
      <c r="S502" s="257">
        <v>0</v>
      </c>
      <c r="T502" s="256">
        <v>0</v>
      </c>
      <c r="U502" s="258">
        <f t="shared" si="274"/>
        <v>0</v>
      </c>
      <c r="V502" s="256">
        <v>0</v>
      </c>
      <c r="W502" s="256">
        <f t="shared" si="277"/>
        <v>0</v>
      </c>
      <c r="X502" s="256">
        <f t="shared" si="278"/>
        <v>0</v>
      </c>
      <c r="Y502" s="256">
        <v>0</v>
      </c>
      <c r="Z502" s="256">
        <f t="shared" si="279"/>
        <v>0</v>
      </c>
      <c r="AA502" s="256">
        <f t="shared" si="280"/>
        <v>0</v>
      </c>
      <c r="AB502" s="256">
        <v>0</v>
      </c>
      <c r="AC502" s="189">
        <f t="shared" si="275"/>
        <v>0</v>
      </c>
      <c r="AD502" s="259">
        <f t="shared" si="276"/>
        <v>0</v>
      </c>
    </row>
    <row r="503" spans="1:30" s="160" customFormat="1" hidden="1">
      <c r="A503" s="250">
        <v>498</v>
      </c>
      <c r="B503" s="251"/>
      <c r="C503" s="252"/>
      <c r="D503" s="253"/>
      <c r="E503" s="254">
        <f t="shared" si="265"/>
        <v>0</v>
      </c>
      <c r="F503" s="255">
        <f t="shared" si="266"/>
        <v>0</v>
      </c>
      <c r="G503" s="256">
        <f t="shared" si="267"/>
        <v>0</v>
      </c>
      <c r="H503" s="256">
        <f t="shared" si="268"/>
        <v>0</v>
      </c>
      <c r="I503" s="256">
        <f t="shared" si="269"/>
        <v>0</v>
      </c>
      <c r="J503" s="256">
        <f t="shared" si="270"/>
        <v>0</v>
      </c>
      <c r="K503" s="256">
        <f t="shared" si="271"/>
        <v>0</v>
      </c>
      <c r="L503" s="256">
        <f t="shared" si="272"/>
        <v>0</v>
      </c>
      <c r="M503" s="256">
        <f t="shared" si="273"/>
        <v>0</v>
      </c>
      <c r="N503" s="255">
        <v>0</v>
      </c>
      <c r="O503" s="256">
        <v>0</v>
      </c>
      <c r="P503" s="256">
        <v>0</v>
      </c>
      <c r="Q503" s="256">
        <v>0</v>
      </c>
      <c r="R503" s="256">
        <v>0</v>
      </c>
      <c r="S503" s="257">
        <v>0</v>
      </c>
      <c r="T503" s="256">
        <v>0</v>
      </c>
      <c r="U503" s="258">
        <f t="shared" si="274"/>
        <v>0</v>
      </c>
      <c r="V503" s="256">
        <v>0</v>
      </c>
      <c r="W503" s="256">
        <f t="shared" si="277"/>
        <v>0</v>
      </c>
      <c r="X503" s="256">
        <f t="shared" si="278"/>
        <v>0</v>
      </c>
      <c r="Y503" s="256">
        <v>0</v>
      </c>
      <c r="Z503" s="256">
        <f t="shared" si="279"/>
        <v>0</v>
      </c>
      <c r="AA503" s="256">
        <f t="shared" si="280"/>
        <v>0</v>
      </c>
      <c r="AB503" s="256">
        <v>0</v>
      </c>
      <c r="AC503" s="189">
        <f t="shared" si="275"/>
        <v>0</v>
      </c>
      <c r="AD503" s="259">
        <f t="shared" si="276"/>
        <v>0</v>
      </c>
    </row>
    <row r="504" spans="1:30" s="160" customFormat="1" hidden="1">
      <c r="A504" s="250">
        <v>499</v>
      </c>
      <c r="B504" s="251"/>
      <c r="C504" s="252"/>
      <c r="D504" s="253"/>
      <c r="E504" s="254">
        <f t="shared" si="265"/>
        <v>0</v>
      </c>
      <c r="F504" s="255">
        <f t="shared" si="266"/>
        <v>0</v>
      </c>
      <c r="G504" s="256">
        <f t="shared" si="267"/>
        <v>0</v>
      </c>
      <c r="H504" s="256">
        <f t="shared" si="268"/>
        <v>0</v>
      </c>
      <c r="I504" s="256">
        <f t="shared" si="269"/>
        <v>0</v>
      </c>
      <c r="J504" s="256">
        <f t="shared" si="270"/>
        <v>0</v>
      </c>
      <c r="K504" s="256">
        <f t="shared" si="271"/>
        <v>0</v>
      </c>
      <c r="L504" s="256">
        <f t="shared" si="272"/>
        <v>0</v>
      </c>
      <c r="M504" s="256">
        <f t="shared" si="273"/>
        <v>0</v>
      </c>
      <c r="N504" s="255">
        <v>0</v>
      </c>
      <c r="O504" s="256">
        <v>0</v>
      </c>
      <c r="P504" s="256">
        <v>0</v>
      </c>
      <c r="Q504" s="256">
        <v>0</v>
      </c>
      <c r="R504" s="256">
        <v>0</v>
      </c>
      <c r="S504" s="257">
        <v>0</v>
      </c>
      <c r="T504" s="256">
        <v>0</v>
      </c>
      <c r="U504" s="258">
        <f t="shared" si="274"/>
        <v>0</v>
      </c>
      <c r="V504" s="256">
        <v>0</v>
      </c>
      <c r="W504" s="256">
        <f t="shared" si="277"/>
        <v>0</v>
      </c>
      <c r="X504" s="256">
        <f t="shared" si="278"/>
        <v>0</v>
      </c>
      <c r="Y504" s="256">
        <v>0</v>
      </c>
      <c r="Z504" s="256">
        <f t="shared" si="279"/>
        <v>0</v>
      </c>
      <c r="AA504" s="256">
        <f t="shared" si="280"/>
        <v>0</v>
      </c>
      <c r="AB504" s="256">
        <v>0</v>
      </c>
      <c r="AC504" s="189">
        <f t="shared" si="275"/>
        <v>0</v>
      </c>
      <c r="AD504" s="259">
        <f t="shared" si="276"/>
        <v>0</v>
      </c>
    </row>
    <row r="505" spans="1:30" s="160" customFormat="1" hidden="1">
      <c r="A505" s="250">
        <v>500</v>
      </c>
      <c r="B505" s="251"/>
      <c r="C505" s="252"/>
      <c r="D505" s="253"/>
      <c r="E505" s="254">
        <f t="shared" si="265"/>
        <v>0</v>
      </c>
      <c r="F505" s="255">
        <f t="shared" si="266"/>
        <v>0</v>
      </c>
      <c r="G505" s="256">
        <f t="shared" si="267"/>
        <v>0</v>
      </c>
      <c r="H505" s="256">
        <f t="shared" si="268"/>
        <v>0</v>
      </c>
      <c r="I505" s="256">
        <f t="shared" si="269"/>
        <v>0</v>
      </c>
      <c r="J505" s="256">
        <f t="shared" si="270"/>
        <v>0</v>
      </c>
      <c r="K505" s="256">
        <f t="shared" si="271"/>
        <v>0</v>
      </c>
      <c r="L505" s="256">
        <f t="shared" si="272"/>
        <v>0</v>
      </c>
      <c r="M505" s="256">
        <f t="shared" si="273"/>
        <v>0</v>
      </c>
      <c r="N505" s="255">
        <v>0</v>
      </c>
      <c r="O505" s="256">
        <v>0</v>
      </c>
      <c r="P505" s="256">
        <v>0</v>
      </c>
      <c r="Q505" s="256">
        <v>0</v>
      </c>
      <c r="R505" s="256">
        <v>0</v>
      </c>
      <c r="S505" s="257">
        <v>0</v>
      </c>
      <c r="T505" s="256">
        <v>0</v>
      </c>
      <c r="U505" s="258">
        <f t="shared" si="274"/>
        <v>0</v>
      </c>
      <c r="V505" s="256">
        <v>0</v>
      </c>
      <c r="W505" s="256">
        <f t="shared" si="277"/>
        <v>0</v>
      </c>
      <c r="X505" s="256">
        <f t="shared" si="278"/>
        <v>0</v>
      </c>
      <c r="Y505" s="256">
        <v>0</v>
      </c>
      <c r="Z505" s="256">
        <f t="shared" si="279"/>
        <v>0</v>
      </c>
      <c r="AA505" s="256">
        <f t="shared" si="280"/>
        <v>0</v>
      </c>
      <c r="AB505" s="256">
        <v>0</v>
      </c>
      <c r="AC505" s="189">
        <f t="shared" si="275"/>
        <v>0</v>
      </c>
      <c r="AD505" s="259">
        <f t="shared" si="276"/>
        <v>0</v>
      </c>
    </row>
    <row r="506" spans="1:30" s="160" customFormat="1" ht="27" customHeight="1">
      <c r="A506" s="194" t="s">
        <v>60</v>
      </c>
      <c r="B506" s="260"/>
      <c r="C506" s="260"/>
      <c r="D506" s="261">
        <f t="shared" ref="D506:AD506" si="281">ROUND(SUM(D6:D505),2)</f>
        <v>869581.13</v>
      </c>
      <c r="E506" s="262">
        <f t="shared" si="281"/>
        <v>1622309.45</v>
      </c>
      <c r="F506" s="261">
        <f t="shared" si="281"/>
        <v>599490.47</v>
      </c>
      <c r="G506" s="261">
        <f t="shared" si="281"/>
        <v>21794.29</v>
      </c>
      <c r="H506" s="261">
        <f t="shared" si="281"/>
        <v>174354.31</v>
      </c>
      <c r="I506" s="261">
        <f t="shared" si="281"/>
        <v>69977.62</v>
      </c>
      <c r="J506" s="261">
        <f t="shared" si="281"/>
        <v>174837.52</v>
      </c>
      <c r="K506" s="261">
        <f t="shared" si="281"/>
        <v>174837.52</v>
      </c>
      <c r="L506" s="261">
        <f t="shared" si="281"/>
        <v>53300.87</v>
      </c>
      <c r="M506" s="261">
        <f t="shared" si="281"/>
        <v>136650.22</v>
      </c>
      <c r="N506" s="263">
        <f t="shared" si="281"/>
        <v>65703.53</v>
      </c>
      <c r="O506" s="261">
        <f t="shared" si="281"/>
        <v>10950.59</v>
      </c>
      <c r="P506" s="261">
        <f t="shared" si="281"/>
        <v>16997.7</v>
      </c>
      <c r="Q506" s="261">
        <f t="shared" si="281"/>
        <v>3000.09</v>
      </c>
      <c r="R506" s="261">
        <f t="shared" si="281"/>
        <v>296521.96000000002</v>
      </c>
      <c r="S506" s="262">
        <f t="shared" si="281"/>
        <v>21112.62</v>
      </c>
      <c r="T506" s="261">
        <f t="shared" si="281"/>
        <v>83462.7</v>
      </c>
      <c r="U506" s="262">
        <f t="shared" si="281"/>
        <v>1902992.01</v>
      </c>
      <c r="V506" s="261">
        <f t="shared" si="281"/>
        <v>56903.56</v>
      </c>
      <c r="W506" s="261">
        <f t="shared" si="281"/>
        <v>367716.6</v>
      </c>
      <c r="X506" s="261">
        <f t="shared" si="281"/>
        <v>20150.54</v>
      </c>
      <c r="Y506" s="261">
        <f t="shared" si="281"/>
        <v>7031.86</v>
      </c>
      <c r="Z506" s="261">
        <f t="shared" si="281"/>
        <v>12159.82</v>
      </c>
      <c r="AA506" s="261">
        <f t="shared" si="281"/>
        <v>17332.25</v>
      </c>
      <c r="AB506" s="261">
        <f t="shared" si="281"/>
        <v>160288.24</v>
      </c>
      <c r="AC506" s="261">
        <f t="shared" si="281"/>
        <v>641582.87</v>
      </c>
      <c r="AD506" s="263">
        <f t="shared" si="281"/>
        <v>4166884.33</v>
      </c>
    </row>
    <row r="507" spans="1:30" s="160" customFormat="1" ht="15.75" customHeight="1">
      <c r="A507" s="264"/>
      <c r="B507" s="265"/>
      <c r="C507" s="266"/>
      <c r="D507" s="267"/>
      <c r="E507" s="267"/>
      <c r="F507" s="267"/>
      <c r="G507" s="267"/>
      <c r="H507" s="267"/>
      <c r="I507" s="267"/>
      <c r="J507" s="267"/>
      <c r="K507" s="267"/>
      <c r="L507" s="267"/>
      <c r="M507" s="267"/>
      <c r="N507" s="267"/>
      <c r="O507" s="267"/>
      <c r="P507" s="267"/>
      <c r="Q507" s="267"/>
      <c r="R507" s="267"/>
      <c r="S507" s="267"/>
      <c r="T507" s="267"/>
      <c r="U507" s="267"/>
      <c r="V507" s="268"/>
      <c r="W507" s="268"/>
      <c r="X507" s="268"/>
      <c r="Y507" s="268"/>
      <c r="Z507" s="268"/>
      <c r="AA507" s="268"/>
      <c r="AB507" s="268"/>
      <c r="AC507" s="268"/>
      <c r="AD507" s="268"/>
    </row>
    <row r="508" spans="1:30" s="160" customFormat="1" ht="15.75" customHeight="1">
      <c r="T508" s="268"/>
      <c r="U508" s="268"/>
      <c r="V508" s="268"/>
      <c r="W508" s="268"/>
      <c r="X508" s="268"/>
      <c r="Y508" s="268"/>
      <c r="Z508" s="268"/>
      <c r="AA508" s="268"/>
      <c r="AB508" s="268"/>
      <c r="AC508" s="268"/>
      <c r="AD508" s="268"/>
    </row>
    <row r="509" spans="1:30" s="160" customFormat="1" ht="30" customHeight="1">
      <c r="A509" s="384" t="s">
        <v>359</v>
      </c>
      <c r="B509" s="384"/>
      <c r="C509" s="384"/>
      <c r="D509" s="384"/>
      <c r="E509" s="384"/>
      <c r="F509" s="384"/>
      <c r="G509" s="384"/>
      <c r="H509" s="384"/>
      <c r="I509" s="384"/>
      <c r="J509" s="384"/>
      <c r="K509" s="384"/>
      <c r="L509" s="384"/>
      <c r="M509" s="384"/>
      <c r="N509" s="242"/>
      <c r="O509" s="242"/>
      <c r="P509" s="242"/>
      <c r="Q509" s="242"/>
      <c r="R509" s="242"/>
      <c r="S509" s="242"/>
      <c r="T509" s="161"/>
      <c r="U509" s="161"/>
      <c r="W509" s="119"/>
      <c r="X509" s="119"/>
      <c r="Y509" s="119"/>
      <c r="Z509" s="119"/>
      <c r="AA509" s="119"/>
      <c r="AB509" s="119"/>
      <c r="AC509" s="119"/>
      <c r="AD509" s="119"/>
    </row>
    <row r="510" spans="1:30" s="119" customFormat="1" ht="30" customHeight="1">
      <c r="A510" s="269"/>
      <c r="B510" s="269"/>
      <c r="C510" s="269"/>
      <c r="D510" s="269"/>
      <c r="E510" s="270"/>
      <c r="F510" s="271"/>
      <c r="G510" s="391" t="s">
        <v>88</v>
      </c>
      <c r="H510" s="391"/>
      <c r="I510" s="391"/>
      <c r="J510" s="391"/>
      <c r="K510" s="391"/>
      <c r="L510" s="391"/>
      <c r="M510" s="392" t="s">
        <v>360</v>
      </c>
      <c r="N510" s="272"/>
      <c r="O510" s="272"/>
      <c r="P510" s="272"/>
      <c r="Q510" s="272"/>
      <c r="R510" s="272"/>
      <c r="S510" s="272"/>
    </row>
    <row r="511" spans="1:30" s="119" customFormat="1" ht="38.25" customHeight="1">
      <c r="A511" s="245" t="s">
        <v>31</v>
      </c>
      <c r="B511" s="245" t="s">
        <v>355</v>
      </c>
      <c r="C511" s="245" t="s">
        <v>361</v>
      </c>
      <c r="D511" s="245" t="s">
        <v>362</v>
      </c>
      <c r="E511" s="246" t="s">
        <v>149</v>
      </c>
      <c r="F511" s="273" t="s">
        <v>164</v>
      </c>
      <c r="G511" s="245" t="s">
        <v>151</v>
      </c>
      <c r="H511" s="245" t="s">
        <v>185</v>
      </c>
      <c r="I511" s="248"/>
      <c r="J511" s="248"/>
      <c r="K511" s="248"/>
      <c r="L511" s="245" t="s">
        <v>60</v>
      </c>
      <c r="M511" s="392"/>
      <c r="N511" s="272"/>
      <c r="O511" s="272"/>
      <c r="P511" s="272"/>
      <c r="Q511" s="272"/>
      <c r="R511" s="272"/>
      <c r="S511" s="272"/>
    </row>
    <row r="512" spans="1:30" s="160" customFormat="1">
      <c r="A512" s="250">
        <v>1</v>
      </c>
      <c r="B512" s="372"/>
      <c r="C512" s="274"/>
      <c r="D512" s="275"/>
      <c r="E512" s="254">
        <f t="shared" ref="E512:E521" si="282">C512*D512</f>
        <v>0</v>
      </c>
      <c r="F512" s="276"/>
      <c r="G512" s="256"/>
      <c r="H512" s="256"/>
      <c r="I512" s="256"/>
      <c r="J512" s="256"/>
      <c r="K512" s="256"/>
      <c r="L512" s="189">
        <f t="shared" ref="L512:L521" si="283">SUM(G512:K512)</f>
        <v>0</v>
      </c>
      <c r="M512" s="259">
        <f t="shared" ref="M512:M521" si="284">E512+L512+F512</f>
        <v>0</v>
      </c>
      <c r="N512" s="189"/>
      <c r="O512" s="189"/>
      <c r="P512" s="189"/>
      <c r="Q512" s="189"/>
      <c r="R512" s="189"/>
      <c r="S512" s="189"/>
      <c r="T512" s="119"/>
      <c r="U512" s="119"/>
      <c r="V512" s="119"/>
      <c r="W512" s="119"/>
      <c r="Y512" s="119"/>
    </row>
    <row r="513" spans="1:30" s="160" customFormat="1">
      <c r="A513" s="250">
        <v>2</v>
      </c>
      <c r="B513" s="372"/>
      <c r="C513" s="274"/>
      <c r="D513" s="253"/>
      <c r="E513" s="254">
        <f t="shared" si="282"/>
        <v>0</v>
      </c>
      <c r="F513" s="276"/>
      <c r="G513" s="256"/>
      <c r="H513" s="256"/>
      <c r="I513" s="256"/>
      <c r="J513" s="256"/>
      <c r="K513" s="256"/>
      <c r="L513" s="189">
        <f t="shared" si="283"/>
        <v>0</v>
      </c>
      <c r="M513" s="259">
        <f t="shared" si="284"/>
        <v>0</v>
      </c>
      <c r="N513" s="189"/>
      <c r="O513" s="189"/>
      <c r="P513" s="189"/>
      <c r="Q513" s="189"/>
      <c r="R513" s="189"/>
      <c r="S513" s="189"/>
      <c r="T513" s="119"/>
      <c r="U513" s="119"/>
      <c r="V513" s="119"/>
      <c r="W513" s="119"/>
      <c r="Y513" s="119"/>
    </row>
    <row r="514" spans="1:30" s="160" customFormat="1">
      <c r="A514" s="250">
        <v>3</v>
      </c>
      <c r="B514" s="372"/>
      <c r="C514" s="274"/>
      <c r="D514" s="253"/>
      <c r="E514" s="254">
        <f t="shared" si="282"/>
        <v>0</v>
      </c>
      <c r="F514" s="276"/>
      <c r="G514" s="256"/>
      <c r="H514" s="256"/>
      <c r="I514" s="256"/>
      <c r="J514" s="256"/>
      <c r="K514" s="256"/>
      <c r="L514" s="189">
        <f t="shared" si="283"/>
        <v>0</v>
      </c>
      <c r="M514" s="259">
        <f t="shared" si="284"/>
        <v>0</v>
      </c>
      <c r="N514" s="189"/>
      <c r="O514" s="189"/>
      <c r="P514" s="189"/>
      <c r="Q514" s="189"/>
      <c r="R514" s="189"/>
      <c r="S514" s="189"/>
      <c r="T514" s="119"/>
      <c r="U514" s="119"/>
      <c r="V514" s="119"/>
      <c r="W514" s="119"/>
      <c r="Y514" s="119"/>
    </row>
    <row r="515" spans="1:30" s="160" customFormat="1">
      <c r="A515" s="250">
        <v>4</v>
      </c>
      <c r="B515" s="251"/>
      <c r="C515" s="274"/>
      <c r="D515" s="253"/>
      <c r="E515" s="254">
        <f t="shared" si="282"/>
        <v>0</v>
      </c>
      <c r="F515" s="276"/>
      <c r="G515" s="256"/>
      <c r="H515" s="256"/>
      <c r="I515" s="256"/>
      <c r="J515" s="256"/>
      <c r="K515" s="256"/>
      <c r="L515" s="189">
        <f t="shared" si="283"/>
        <v>0</v>
      </c>
      <c r="M515" s="259">
        <f t="shared" si="284"/>
        <v>0</v>
      </c>
      <c r="N515" s="189"/>
      <c r="O515" s="189"/>
      <c r="P515" s="189"/>
      <c r="Q515" s="189"/>
      <c r="R515" s="189"/>
      <c r="S515" s="189"/>
      <c r="T515" s="119"/>
      <c r="U515" s="119"/>
      <c r="V515" s="119"/>
      <c r="W515" s="119"/>
      <c r="Y515" s="119"/>
    </row>
    <row r="516" spans="1:30" s="160" customFormat="1">
      <c r="A516" s="250">
        <v>5</v>
      </c>
      <c r="B516" s="251"/>
      <c r="C516" s="274"/>
      <c r="D516" s="253"/>
      <c r="E516" s="254">
        <f t="shared" si="282"/>
        <v>0</v>
      </c>
      <c r="F516" s="276"/>
      <c r="G516" s="256"/>
      <c r="H516" s="256"/>
      <c r="I516" s="256"/>
      <c r="J516" s="256"/>
      <c r="K516" s="256"/>
      <c r="L516" s="189">
        <f t="shared" si="283"/>
        <v>0</v>
      </c>
      <c r="M516" s="259">
        <f t="shared" si="284"/>
        <v>0</v>
      </c>
      <c r="N516" s="189"/>
      <c r="O516" s="189"/>
      <c r="P516" s="189"/>
      <c r="Q516" s="189"/>
      <c r="R516" s="189"/>
      <c r="S516" s="189"/>
      <c r="T516" s="119"/>
      <c r="U516" s="119"/>
      <c r="V516" s="119"/>
      <c r="W516" s="119"/>
      <c r="Y516" s="119"/>
    </row>
    <row r="517" spans="1:30" s="160" customFormat="1">
      <c r="A517" s="250">
        <v>6</v>
      </c>
      <c r="B517" s="251"/>
      <c r="C517" s="274"/>
      <c r="D517" s="253"/>
      <c r="E517" s="254">
        <f t="shared" si="282"/>
        <v>0</v>
      </c>
      <c r="F517" s="276"/>
      <c r="G517" s="256"/>
      <c r="H517" s="256"/>
      <c r="I517" s="256"/>
      <c r="J517" s="256"/>
      <c r="K517" s="256"/>
      <c r="L517" s="189">
        <f t="shared" si="283"/>
        <v>0</v>
      </c>
      <c r="M517" s="259">
        <f t="shared" si="284"/>
        <v>0</v>
      </c>
      <c r="N517" s="189"/>
      <c r="O517" s="189"/>
      <c r="P517" s="189"/>
      <c r="Q517" s="189"/>
      <c r="R517" s="189"/>
      <c r="S517" s="189"/>
      <c r="T517" s="119"/>
      <c r="U517" s="119"/>
      <c r="V517" s="119"/>
      <c r="W517" s="119"/>
      <c r="Y517" s="119"/>
    </row>
    <row r="518" spans="1:30" s="160" customFormat="1">
      <c r="A518" s="250">
        <v>7</v>
      </c>
      <c r="B518" s="251"/>
      <c r="C518" s="274"/>
      <c r="D518" s="253"/>
      <c r="E518" s="254">
        <f t="shared" si="282"/>
        <v>0</v>
      </c>
      <c r="F518" s="276"/>
      <c r="G518" s="256"/>
      <c r="H518" s="256"/>
      <c r="I518" s="256"/>
      <c r="J518" s="256"/>
      <c r="K518" s="256"/>
      <c r="L518" s="189">
        <f t="shared" si="283"/>
        <v>0</v>
      </c>
      <c r="M518" s="259">
        <f t="shared" si="284"/>
        <v>0</v>
      </c>
      <c r="N518" s="189"/>
      <c r="O518" s="189"/>
      <c r="P518" s="189"/>
      <c r="Q518" s="189"/>
      <c r="R518" s="189"/>
      <c r="S518" s="189"/>
      <c r="T518" s="119"/>
      <c r="U518" s="119"/>
      <c r="V518" s="119"/>
      <c r="W518" s="119"/>
      <c r="Y518" s="119"/>
    </row>
    <row r="519" spans="1:30" s="160" customFormat="1">
      <c r="A519" s="250">
        <v>8</v>
      </c>
      <c r="B519" s="251"/>
      <c r="C519" s="274"/>
      <c r="D519" s="253"/>
      <c r="E519" s="254">
        <f t="shared" si="282"/>
        <v>0</v>
      </c>
      <c r="F519" s="276"/>
      <c r="G519" s="256"/>
      <c r="H519" s="256"/>
      <c r="I519" s="256"/>
      <c r="J519" s="256"/>
      <c r="K519" s="256"/>
      <c r="L519" s="189">
        <f t="shared" si="283"/>
        <v>0</v>
      </c>
      <c r="M519" s="259">
        <f t="shared" si="284"/>
        <v>0</v>
      </c>
      <c r="N519" s="189"/>
      <c r="O519" s="189"/>
      <c r="P519" s="189"/>
      <c r="Q519" s="189"/>
      <c r="R519" s="189"/>
      <c r="S519" s="189"/>
      <c r="T519" s="119"/>
      <c r="U519" s="119"/>
      <c r="V519" s="119"/>
      <c r="W519" s="119"/>
      <c r="Y519" s="119"/>
    </row>
    <row r="520" spans="1:30" s="160" customFormat="1">
      <c r="A520" s="250">
        <v>9</v>
      </c>
      <c r="B520" s="251"/>
      <c r="C520" s="274"/>
      <c r="D520" s="253"/>
      <c r="E520" s="254">
        <f t="shared" si="282"/>
        <v>0</v>
      </c>
      <c r="F520" s="276"/>
      <c r="G520" s="256"/>
      <c r="H520" s="256"/>
      <c r="I520" s="256"/>
      <c r="J520" s="256"/>
      <c r="K520" s="256"/>
      <c r="L520" s="189">
        <f t="shared" si="283"/>
        <v>0</v>
      </c>
      <c r="M520" s="259">
        <f t="shared" si="284"/>
        <v>0</v>
      </c>
      <c r="N520" s="189"/>
      <c r="O520" s="189"/>
      <c r="P520" s="189"/>
      <c r="Q520" s="189"/>
      <c r="R520" s="189"/>
      <c r="S520" s="189"/>
      <c r="T520" s="119"/>
      <c r="U520" s="119"/>
      <c r="V520" s="119"/>
      <c r="W520" s="119"/>
      <c r="Y520" s="119"/>
    </row>
    <row r="521" spans="1:30" s="160" customFormat="1">
      <c r="A521" s="250">
        <v>10</v>
      </c>
      <c r="B521" s="251"/>
      <c r="C521" s="274"/>
      <c r="D521" s="253"/>
      <c r="E521" s="254">
        <f t="shared" si="282"/>
        <v>0</v>
      </c>
      <c r="F521" s="276"/>
      <c r="G521" s="256"/>
      <c r="H521" s="256"/>
      <c r="I521" s="256"/>
      <c r="J521" s="256"/>
      <c r="K521" s="256"/>
      <c r="L521" s="189">
        <f t="shared" si="283"/>
        <v>0</v>
      </c>
      <c r="M521" s="259">
        <f t="shared" si="284"/>
        <v>0</v>
      </c>
      <c r="N521" s="189"/>
      <c r="O521" s="189"/>
      <c r="P521" s="189"/>
      <c r="Q521" s="189"/>
      <c r="R521" s="189"/>
      <c r="S521" s="189"/>
      <c r="T521" s="119"/>
      <c r="U521" s="119"/>
      <c r="V521" s="119"/>
      <c r="W521" s="119"/>
      <c r="Y521" s="119"/>
    </row>
    <row r="522" spans="1:30" s="160" customFormat="1" ht="27" customHeight="1">
      <c r="A522" s="194" t="s">
        <v>60</v>
      </c>
      <c r="B522" s="260"/>
      <c r="C522" s="277">
        <f>SUM(C512:C521)</f>
        <v>0</v>
      </c>
      <c r="D522" s="261">
        <f>SUM(D512:D521)</f>
        <v>0</v>
      </c>
      <c r="E522" s="262">
        <f>SUM(E512:E521)</f>
        <v>0</v>
      </c>
      <c r="F522" s="278">
        <f t="shared" ref="F522:M522" si="285">ROUND(SUM(F512:F521),2)</f>
        <v>0</v>
      </c>
      <c r="G522" s="261">
        <f t="shared" si="285"/>
        <v>0</v>
      </c>
      <c r="H522" s="261">
        <f t="shared" si="285"/>
        <v>0</v>
      </c>
      <c r="I522" s="261">
        <f t="shared" si="285"/>
        <v>0</v>
      </c>
      <c r="J522" s="261">
        <f t="shared" si="285"/>
        <v>0</v>
      </c>
      <c r="K522" s="261">
        <f t="shared" si="285"/>
        <v>0</v>
      </c>
      <c r="L522" s="261">
        <f t="shared" si="285"/>
        <v>0</v>
      </c>
      <c r="M522" s="263">
        <f t="shared" si="285"/>
        <v>0</v>
      </c>
      <c r="N522" s="268"/>
      <c r="O522" s="268"/>
      <c r="P522" s="268"/>
      <c r="Q522" s="268"/>
      <c r="R522" s="268"/>
      <c r="S522" s="268"/>
      <c r="T522" s="119"/>
      <c r="U522" s="119"/>
      <c r="V522" s="119"/>
      <c r="W522" s="119"/>
      <c r="Y522" s="119"/>
    </row>
    <row r="523" spans="1:30" s="160" customFormat="1" ht="27" customHeight="1">
      <c r="A523" s="158"/>
      <c r="B523" s="279"/>
      <c r="C523" s="279"/>
      <c r="D523" s="279"/>
      <c r="E523" s="279"/>
      <c r="F523" s="280"/>
      <c r="G523" s="280"/>
      <c r="H523" s="280"/>
      <c r="I523" s="280"/>
      <c r="J523" s="280"/>
      <c r="K523" s="280"/>
      <c r="L523" s="280"/>
      <c r="M523" s="281"/>
      <c r="N523" s="281"/>
      <c r="O523" s="281"/>
      <c r="P523" s="281"/>
      <c r="Q523" s="281"/>
      <c r="R523" s="281"/>
      <c r="S523" s="281"/>
      <c r="T523" s="281"/>
      <c r="U523" s="281"/>
      <c r="V523" s="281"/>
      <c r="W523" s="281"/>
      <c r="X523" s="281"/>
      <c r="Y523" s="281"/>
      <c r="Z523" s="281"/>
      <c r="AA523" s="281"/>
      <c r="AB523" s="281"/>
      <c r="AC523" s="281"/>
      <c r="AD523" s="281"/>
    </row>
    <row r="524" spans="1:30" s="160" customFormat="1" ht="27" customHeight="1">
      <c r="A524" s="158"/>
      <c r="B524" s="158"/>
      <c r="C524" s="158"/>
      <c r="D524" s="158"/>
      <c r="E524" s="158"/>
      <c r="F524" s="281"/>
      <c r="G524" s="281"/>
      <c r="H524" s="281"/>
      <c r="I524" s="281"/>
      <c r="J524" s="281"/>
      <c r="K524" s="281"/>
      <c r="L524" s="281"/>
      <c r="M524" s="281"/>
      <c r="N524" s="281"/>
      <c r="O524" s="281"/>
      <c r="P524" s="281"/>
      <c r="Q524" s="281"/>
      <c r="R524" s="281"/>
      <c r="S524" s="281"/>
      <c r="T524" s="281"/>
      <c r="U524" s="281"/>
      <c r="V524" s="281"/>
      <c r="W524" s="281"/>
      <c r="X524" s="281"/>
      <c r="Y524" s="281"/>
      <c r="Z524" s="281"/>
      <c r="AA524" s="281"/>
      <c r="AB524" s="281"/>
      <c r="AC524" s="281"/>
      <c r="AD524" s="281"/>
    </row>
    <row r="525" spans="1:30" s="160" customFormat="1" ht="27" customHeight="1">
      <c r="A525" s="158"/>
      <c r="B525" s="282"/>
      <c r="C525" s="282"/>
      <c r="D525" s="283"/>
      <c r="E525" s="158"/>
      <c r="F525" s="158"/>
      <c r="G525" s="158"/>
      <c r="H525" s="158"/>
      <c r="I525" s="158"/>
      <c r="J525" s="158"/>
      <c r="K525" s="158"/>
      <c r="L525" s="158"/>
      <c r="M525" s="158"/>
      <c r="N525" s="158"/>
      <c r="O525" s="158"/>
      <c r="P525" s="158"/>
      <c r="Q525" s="158"/>
      <c r="R525" s="158"/>
      <c r="S525" s="158"/>
      <c r="T525" s="158"/>
      <c r="U525" s="241"/>
      <c r="V525" s="158"/>
      <c r="W525" s="241"/>
      <c r="X525" s="158"/>
      <c r="Y525" s="241"/>
      <c r="Z525" s="158"/>
      <c r="AA525" s="158"/>
      <c r="AB525" s="158"/>
      <c r="AC525" s="158"/>
      <c r="AD525" s="158"/>
    </row>
    <row r="526" spans="1:30" s="160" customFormat="1" ht="27" customHeight="1">
      <c r="A526" s="158"/>
      <c r="B526" s="282"/>
      <c r="C526" s="282"/>
      <c r="D526" s="283"/>
      <c r="E526" s="158"/>
      <c r="F526" s="158"/>
      <c r="G526" s="158"/>
      <c r="H526" s="158"/>
      <c r="I526" s="158"/>
      <c r="J526" s="158"/>
      <c r="K526" s="158"/>
      <c r="L526" s="158"/>
      <c r="M526" s="158"/>
      <c r="N526" s="158"/>
      <c r="O526" s="158"/>
      <c r="P526" s="158"/>
      <c r="Q526" s="158"/>
      <c r="R526" s="158"/>
      <c r="S526" s="158"/>
      <c r="T526" s="158"/>
      <c r="U526" s="241"/>
      <c r="V526" s="158"/>
      <c r="W526" s="241"/>
      <c r="X526" s="158"/>
      <c r="Y526" s="241"/>
      <c r="Z526" s="158"/>
      <c r="AA526" s="158"/>
      <c r="AB526" s="158"/>
      <c r="AC526" s="158"/>
      <c r="AD526" s="158"/>
    </row>
    <row r="527" spans="1:30" s="160" customFormat="1" ht="19.5" customHeight="1">
      <c r="A527" s="158"/>
      <c r="M527" s="158"/>
      <c r="N527" s="158"/>
      <c r="O527" s="158"/>
      <c r="P527" s="158"/>
      <c r="Q527" s="158"/>
      <c r="R527" s="158"/>
      <c r="S527" s="158"/>
      <c r="T527" s="158"/>
      <c r="U527" s="241"/>
      <c r="V527" s="158"/>
      <c r="W527" s="241"/>
      <c r="X527" s="158"/>
      <c r="Y527" s="241"/>
      <c r="Z527" s="158"/>
      <c r="AA527" s="158"/>
      <c r="AB527" s="158"/>
      <c r="AC527" s="158"/>
      <c r="AD527" s="158"/>
    </row>
    <row r="528" spans="1:30" s="160" customFormat="1" ht="24.75" customHeight="1">
      <c r="A528" s="158"/>
      <c r="M528" s="158"/>
      <c r="N528" s="158"/>
      <c r="O528" s="158"/>
      <c r="P528" s="158"/>
      <c r="Q528" s="158"/>
      <c r="R528" s="158"/>
      <c r="S528" s="158"/>
      <c r="T528" s="158"/>
      <c r="U528" s="158"/>
      <c r="V528" s="241"/>
      <c r="W528" s="158"/>
      <c r="X528" s="241"/>
      <c r="Y528" s="158"/>
      <c r="Z528" s="241"/>
      <c r="AA528" s="158"/>
      <c r="AB528" s="158"/>
      <c r="AC528" s="158"/>
      <c r="AD528" s="158"/>
    </row>
    <row r="529" spans="1:30" s="160" customFormat="1" ht="19.5" customHeight="1">
      <c r="A529" s="158"/>
      <c r="M529" s="158"/>
      <c r="N529" s="158"/>
      <c r="O529" s="158"/>
      <c r="P529" s="158"/>
      <c r="Q529" s="158"/>
      <c r="R529" s="158"/>
      <c r="S529" s="158"/>
      <c r="T529" s="158"/>
      <c r="U529" s="158"/>
      <c r="V529" s="241"/>
      <c r="W529" s="158"/>
      <c r="X529" s="241"/>
      <c r="Y529" s="158"/>
      <c r="Z529" s="241"/>
      <c r="AA529" s="158"/>
      <c r="AB529" s="158"/>
      <c r="AC529" s="158"/>
      <c r="AD529" s="158"/>
    </row>
    <row r="530" spans="1:30" s="160" customFormat="1" ht="19.5" customHeight="1">
      <c r="A530" s="158"/>
      <c r="M530" s="158"/>
      <c r="N530" s="158"/>
      <c r="O530" s="158"/>
      <c r="P530" s="158"/>
      <c r="Q530" s="158"/>
      <c r="R530" s="158"/>
      <c r="S530" s="158"/>
      <c r="T530" s="158"/>
      <c r="U530" s="158"/>
      <c r="V530" s="241"/>
      <c r="W530" s="158"/>
      <c r="X530" s="241"/>
      <c r="Y530" s="158"/>
      <c r="Z530" s="241"/>
      <c r="AA530" s="158"/>
      <c r="AB530" s="158"/>
      <c r="AC530" s="158"/>
      <c r="AD530" s="158"/>
    </row>
    <row r="531" spans="1:30" ht="14.25" customHeight="1"/>
  </sheetData>
  <sheetProtection algorithmName="SHA-512" hashValue="vm25Ww2ELP1hNBMSqaueDGGBkFHpqIqOxFlr4B7h5ehmkqCTqZM8uEj8CzW+UFZyKg2tOCbp+/zNXKipP/Sf+g==" saltValue="+H135c8oqN8/hVj/ATLbZA==" spinCount="100000" sheet="1" objects="1" scenarios="1" formatColumns="0" formatRows="0"/>
  <mergeCells count="9">
    <mergeCell ref="A509:M509"/>
    <mergeCell ref="G510:L510"/>
    <mergeCell ref="M510:M511"/>
    <mergeCell ref="A1:AD1"/>
    <mergeCell ref="A2:AD2"/>
    <mergeCell ref="A3:AD3"/>
    <mergeCell ref="F4:U4"/>
    <mergeCell ref="V4:AC4"/>
    <mergeCell ref="AD4:AD5"/>
  </mergeCells>
  <dataValidations disablePrompts="1" count="2">
    <dataValidation type="list" allowBlank="1" showInputMessage="1" showErrorMessage="1" sqref="V5:AB5" xr:uid="{00000000-0002-0000-0500-000000000000}">
      <formula1>Benefícios</formula1>
      <formula2>0</formula2>
    </dataValidation>
    <dataValidation type="list" allowBlank="1" showInputMessage="1" showErrorMessage="1" sqref="I511:K511" xr:uid="{00000000-0002-0000-0500-000001000000}">
      <formula1>Beneficios2</formula1>
      <formula2>0</formula2>
    </dataValidation>
  </dataValidations>
  <pageMargins left="0.196527777777778" right="0.196527777777778" top="0.59027777777777801" bottom="0.59027777777777801" header="0.51180555555555496" footer="0"/>
  <pageSetup paperSize="9" scale="44" firstPageNumber="0" fitToHeight="0" orientation="landscape" horizontalDpi="300" verticalDpi="300" r:id="rId1"/>
  <headerFooter>
    <oddFooter>&amp;CPágina &amp;P de &amp;N</oddFooter>
  </headerFooter>
  <rowBreaks count="1" manualBreakCount="1">
    <brk id="507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AMJ532"/>
  <sheetViews>
    <sheetView zoomScaleNormal="100" workbookViewId="0">
      <pane xSplit="6" ySplit="6" topLeftCell="AK319" activePane="bottomRight" state="frozen"/>
      <selection pane="topRight" activeCell="G1" sqref="G1"/>
      <selection pane="bottomLeft" activeCell="A10" sqref="A10"/>
      <selection pane="bottomRight" activeCell="AK324" sqref="AK324"/>
    </sheetView>
  </sheetViews>
  <sheetFormatPr defaultColWidth="17" defaultRowHeight="12.5"/>
  <cols>
    <col min="1" max="1" width="6.54296875" style="158" customWidth="1"/>
    <col min="2" max="2" width="31.1796875" style="158" customWidth="1"/>
    <col min="3" max="3" width="6.54296875" style="158" customWidth="1"/>
    <col min="4" max="4" width="10.7265625" style="43" customWidth="1"/>
    <col min="5" max="6" width="9.26953125" style="158" customWidth="1"/>
    <col min="7" max="7" width="10.453125" style="43" customWidth="1"/>
    <col min="8" max="8" width="7.81640625" style="43" customWidth="1"/>
    <col min="9" max="10" width="9.54296875" style="43" customWidth="1"/>
    <col min="11" max="12" width="8.54296875" style="43" customWidth="1"/>
    <col min="13" max="13" width="10.453125" style="43" customWidth="1"/>
    <col min="14" max="14" width="7.81640625" style="158" customWidth="1"/>
    <col min="15" max="17" width="9.54296875" style="158" customWidth="1"/>
    <col min="18" max="18" width="9.54296875" style="241" customWidth="1"/>
    <col min="19" max="19" width="10.453125" style="43" customWidth="1"/>
    <col min="20" max="20" width="7.7265625" style="158" customWidth="1"/>
    <col min="21" max="23" width="9.54296875" style="158" customWidth="1"/>
    <col min="24" max="24" width="9.54296875" style="241" customWidth="1"/>
    <col min="25" max="25" width="10.453125" style="43" customWidth="1"/>
    <col min="26" max="26" width="7.7265625" style="158" customWidth="1"/>
    <col min="27" max="29" width="9.54296875" style="158" customWidth="1"/>
    <col min="30" max="30" width="9.54296875" style="241" customWidth="1"/>
    <col min="31" max="31" width="10.453125" style="43" customWidth="1"/>
    <col min="32" max="32" width="7.7265625" style="158" customWidth="1"/>
    <col min="33" max="35" width="9.54296875" style="158" customWidth="1"/>
    <col min="36" max="36" width="9.54296875" style="241" customWidth="1"/>
    <col min="37" max="37" width="11.54296875" style="241" customWidth="1"/>
    <col min="38" max="39" width="9.54296875" style="158" customWidth="1"/>
    <col min="40" max="40" width="12.453125" style="158" customWidth="1"/>
    <col min="41" max="41" width="11.81640625" style="158" customWidth="1"/>
    <col min="42" max="42" width="9.453125" style="158" customWidth="1"/>
    <col min="43" max="43" width="10.81640625" style="158" customWidth="1"/>
    <col min="44" max="44" width="72.453125" style="43" customWidth="1"/>
    <col min="45" max="45" width="8.54296875" style="158" customWidth="1"/>
    <col min="46" max="46" width="17" style="158"/>
    <col min="47" max="47" width="17" style="158" hidden="1"/>
    <col min="48" max="1024" width="17" style="158"/>
  </cols>
  <sheetData>
    <row r="1" spans="1:47" ht="30.75" customHeight="1">
      <c r="A1" s="383" t="str">
        <f>Capa!A1</f>
        <v>Memória de Cálculo
Contrato de Gestão nº 10/2023 celebrado entre a Secretaria de Estado de Justiça e Segurança Pública - SEJUSP e  o Pólo de Evolução de Medidas Socioeducativas</v>
      </c>
      <c r="B1" s="383"/>
      <c r="C1" s="383"/>
      <c r="D1" s="383"/>
      <c r="E1" s="383"/>
      <c r="F1" s="383"/>
      <c r="G1" s="383"/>
      <c r="H1" s="383"/>
      <c r="I1" s="383"/>
      <c r="J1" s="383"/>
      <c r="K1" s="383"/>
      <c r="L1" s="383"/>
      <c r="M1" s="383"/>
      <c r="N1" s="383"/>
      <c r="O1" s="383"/>
      <c r="P1" s="383"/>
      <c r="Q1" s="383"/>
      <c r="R1" s="383"/>
      <c r="S1" s="383"/>
      <c r="T1" s="383"/>
      <c r="U1" s="383"/>
      <c r="V1" s="383"/>
      <c r="W1" s="383"/>
      <c r="X1" s="383"/>
      <c r="Y1" s="383"/>
      <c r="Z1" s="383"/>
      <c r="AA1" s="383"/>
      <c r="AB1" s="383"/>
      <c r="AC1" s="383"/>
      <c r="AD1" s="383"/>
      <c r="AE1" s="383"/>
      <c r="AF1" s="383"/>
      <c r="AG1" s="383"/>
      <c r="AH1" s="383"/>
      <c r="AI1" s="383"/>
      <c r="AJ1" s="383"/>
      <c r="AK1" s="383"/>
      <c r="AL1" s="383"/>
      <c r="AM1" s="383"/>
      <c r="AN1" s="383"/>
      <c r="AO1" s="383"/>
      <c r="AP1" s="383"/>
      <c r="AQ1" s="383"/>
      <c r="AR1" s="383"/>
      <c r="AS1" s="162"/>
      <c r="AU1" s="81" t="s">
        <v>151</v>
      </c>
    </row>
    <row r="2" spans="1:47" ht="21.75" customHeight="1">
      <c r="A2" s="383" t="s">
        <v>363</v>
      </c>
      <c r="B2" s="383"/>
      <c r="C2" s="383"/>
      <c r="D2" s="383"/>
      <c r="E2" s="383"/>
      <c r="F2" s="383"/>
      <c r="G2" s="383"/>
      <c r="H2" s="383"/>
      <c r="I2" s="383"/>
      <c r="J2" s="383"/>
      <c r="K2" s="383"/>
      <c r="L2" s="383"/>
      <c r="M2" s="383"/>
      <c r="N2" s="383"/>
      <c r="O2" s="383"/>
      <c r="P2" s="383"/>
      <c r="Q2" s="383"/>
      <c r="R2" s="383"/>
      <c r="S2" s="383"/>
      <c r="T2" s="383"/>
      <c r="U2" s="383"/>
      <c r="V2" s="383"/>
      <c r="W2" s="383"/>
      <c r="X2" s="383"/>
      <c r="Y2" s="383"/>
      <c r="Z2" s="383"/>
      <c r="AA2" s="383"/>
      <c r="AB2" s="383"/>
      <c r="AC2" s="383"/>
      <c r="AD2" s="383"/>
      <c r="AE2" s="383"/>
      <c r="AF2" s="383"/>
      <c r="AG2" s="383"/>
      <c r="AH2" s="383"/>
      <c r="AI2" s="383"/>
      <c r="AJ2" s="383"/>
      <c r="AK2" s="383"/>
      <c r="AL2" s="383"/>
      <c r="AM2" s="383"/>
      <c r="AN2" s="383"/>
      <c r="AO2" s="383"/>
      <c r="AP2" s="383"/>
      <c r="AQ2" s="383"/>
      <c r="AR2" s="383"/>
      <c r="AS2" s="162"/>
      <c r="AU2" s="81" t="s">
        <v>181</v>
      </c>
    </row>
    <row r="3" spans="1:47" ht="15" customHeight="1">
      <c r="A3" s="388" t="s">
        <v>353</v>
      </c>
      <c r="B3" s="388"/>
      <c r="C3" s="388"/>
      <c r="D3" s="388"/>
      <c r="E3" s="388"/>
      <c r="F3" s="388"/>
      <c r="G3" s="388"/>
      <c r="H3" s="388"/>
      <c r="I3" s="388"/>
      <c r="J3" s="388"/>
      <c r="K3" s="388"/>
      <c r="L3" s="388"/>
      <c r="M3" s="388"/>
      <c r="N3" s="388"/>
      <c r="O3" s="388"/>
      <c r="P3" s="388"/>
      <c r="Q3" s="388"/>
      <c r="R3" s="388"/>
      <c r="S3" s="388"/>
      <c r="T3" s="388"/>
      <c r="U3" s="388"/>
      <c r="V3" s="388"/>
      <c r="W3" s="388"/>
      <c r="X3" s="388"/>
      <c r="Y3" s="388"/>
      <c r="Z3" s="388"/>
      <c r="AA3" s="388"/>
      <c r="AB3" s="388"/>
      <c r="AC3" s="388"/>
      <c r="AD3" s="388"/>
      <c r="AE3" s="388"/>
      <c r="AF3" s="388"/>
      <c r="AG3" s="388"/>
      <c r="AH3" s="388"/>
      <c r="AI3" s="388"/>
      <c r="AJ3" s="388"/>
      <c r="AK3" s="388"/>
      <c r="AL3" s="388"/>
      <c r="AM3" s="388"/>
      <c r="AN3" s="388"/>
      <c r="AO3" s="388"/>
      <c r="AP3" s="388"/>
      <c r="AQ3" s="388"/>
      <c r="AR3" s="388"/>
      <c r="AS3" s="162"/>
      <c r="AU3" s="81" t="s">
        <v>364</v>
      </c>
    </row>
    <row r="4" spans="1:47" s="285" customFormat="1" ht="21" customHeight="1">
      <c r="A4" s="395" t="s">
        <v>31</v>
      </c>
      <c r="B4" s="395" t="s">
        <v>355</v>
      </c>
      <c r="C4" s="395" t="s">
        <v>365</v>
      </c>
      <c r="D4" s="395" t="s">
        <v>366</v>
      </c>
      <c r="E4" s="395" t="s">
        <v>367</v>
      </c>
      <c r="F4" s="396" t="s">
        <v>368</v>
      </c>
      <c r="G4" s="394" t="s">
        <v>369</v>
      </c>
      <c r="H4" s="394"/>
      <c r="I4" s="394"/>
      <c r="J4" s="394"/>
      <c r="K4" s="394"/>
      <c r="L4" s="394"/>
      <c r="M4" s="394" t="s">
        <v>370</v>
      </c>
      <c r="N4" s="394"/>
      <c r="O4" s="394"/>
      <c r="P4" s="394"/>
      <c r="Q4" s="394"/>
      <c r="R4" s="394"/>
      <c r="S4" s="394" t="s">
        <v>371</v>
      </c>
      <c r="T4" s="394"/>
      <c r="U4" s="394"/>
      <c r="V4" s="394"/>
      <c r="W4" s="394"/>
      <c r="X4" s="394"/>
      <c r="Y4" s="394" t="s">
        <v>372</v>
      </c>
      <c r="Z4" s="394"/>
      <c r="AA4" s="394"/>
      <c r="AB4" s="394"/>
      <c r="AC4" s="394"/>
      <c r="AD4" s="394"/>
      <c r="AE4" s="394" t="s">
        <v>373</v>
      </c>
      <c r="AF4" s="394"/>
      <c r="AG4" s="394"/>
      <c r="AH4" s="394"/>
      <c r="AI4" s="394"/>
      <c r="AJ4" s="394"/>
      <c r="AK4" s="394" t="s">
        <v>374</v>
      </c>
      <c r="AL4" s="394"/>
      <c r="AM4" s="394"/>
      <c r="AN4" s="394"/>
      <c r="AO4" s="397" t="s">
        <v>375</v>
      </c>
      <c r="AP4" s="397"/>
      <c r="AQ4" s="397"/>
      <c r="AR4" s="399" t="s">
        <v>376</v>
      </c>
      <c r="AS4" s="284"/>
      <c r="AU4" s="81" t="s">
        <v>185</v>
      </c>
    </row>
    <row r="5" spans="1:47" s="285" customFormat="1" ht="27" customHeight="1">
      <c r="A5" s="395"/>
      <c r="B5" s="395"/>
      <c r="C5" s="395"/>
      <c r="D5" s="395"/>
      <c r="E5" s="395"/>
      <c r="F5" s="396"/>
      <c r="G5" s="398" t="s">
        <v>377</v>
      </c>
      <c r="H5" s="400" t="s">
        <v>378</v>
      </c>
      <c r="I5" s="401" t="s">
        <v>379</v>
      </c>
      <c r="J5" s="401"/>
      <c r="K5" s="401"/>
      <c r="L5" s="401"/>
      <c r="M5" s="398" t="s">
        <v>377</v>
      </c>
      <c r="N5" s="400" t="s">
        <v>378</v>
      </c>
      <c r="O5" s="401" t="s">
        <v>379</v>
      </c>
      <c r="P5" s="401"/>
      <c r="Q5" s="401"/>
      <c r="R5" s="401"/>
      <c r="S5" s="398" t="s">
        <v>377</v>
      </c>
      <c r="T5" s="400" t="s">
        <v>378</v>
      </c>
      <c r="U5" s="401" t="s">
        <v>379</v>
      </c>
      <c r="V5" s="401"/>
      <c r="W5" s="401"/>
      <c r="X5" s="401"/>
      <c r="Y5" s="398" t="s">
        <v>377</v>
      </c>
      <c r="Z5" s="400" t="s">
        <v>378</v>
      </c>
      <c r="AA5" s="401" t="s">
        <v>379</v>
      </c>
      <c r="AB5" s="401"/>
      <c r="AC5" s="401"/>
      <c r="AD5" s="401"/>
      <c r="AE5" s="398" t="s">
        <v>377</v>
      </c>
      <c r="AF5" s="400" t="s">
        <v>378</v>
      </c>
      <c r="AG5" s="401" t="s">
        <v>379</v>
      </c>
      <c r="AH5" s="401"/>
      <c r="AI5" s="401"/>
      <c r="AJ5" s="401"/>
      <c r="AK5" s="398" t="s">
        <v>380</v>
      </c>
      <c r="AL5" s="403" t="s">
        <v>86</v>
      </c>
      <c r="AM5" s="403" t="s">
        <v>88</v>
      </c>
      <c r="AN5" s="404" t="s">
        <v>381</v>
      </c>
      <c r="AO5" s="398" t="s">
        <v>382</v>
      </c>
      <c r="AP5" s="403" t="s">
        <v>383</v>
      </c>
      <c r="AQ5" s="403" t="s">
        <v>384</v>
      </c>
      <c r="AR5" s="399"/>
      <c r="AS5" s="272"/>
      <c r="AU5" s="81" t="s">
        <v>187</v>
      </c>
    </row>
    <row r="6" spans="1:47" s="285" customFormat="1" ht="39" customHeight="1" thickBot="1">
      <c r="A6" s="395"/>
      <c r="B6" s="395"/>
      <c r="C6" s="395"/>
      <c r="D6" s="395"/>
      <c r="E6" s="395"/>
      <c r="F6" s="396"/>
      <c r="G6" s="398"/>
      <c r="H6" s="400"/>
      <c r="I6" s="248" t="s">
        <v>181</v>
      </c>
      <c r="J6" s="370" t="s">
        <v>436</v>
      </c>
      <c r="K6" s="248"/>
      <c r="L6" s="248"/>
      <c r="M6" s="398"/>
      <c r="N6" s="400"/>
      <c r="O6" s="248" t="s">
        <v>181</v>
      </c>
      <c r="P6" s="248" t="s">
        <v>436</v>
      </c>
      <c r="Q6" s="248" t="s">
        <v>179</v>
      </c>
      <c r="R6" s="248"/>
      <c r="S6" s="398"/>
      <c r="T6" s="400"/>
      <c r="U6" s="248" t="s">
        <v>181</v>
      </c>
      <c r="V6" s="248" t="s">
        <v>436</v>
      </c>
      <c r="W6" s="248" t="s">
        <v>179</v>
      </c>
      <c r="X6" s="248"/>
      <c r="Y6" s="398"/>
      <c r="Z6" s="400"/>
      <c r="AA6" s="248" t="s">
        <v>181</v>
      </c>
      <c r="AB6" s="248" t="s">
        <v>436</v>
      </c>
      <c r="AC6" s="248" t="s">
        <v>711</v>
      </c>
      <c r="AD6" s="248"/>
      <c r="AE6" s="398"/>
      <c r="AF6" s="400"/>
      <c r="AG6" s="248" t="s">
        <v>181</v>
      </c>
      <c r="AH6" s="248" t="s">
        <v>436</v>
      </c>
      <c r="AI6" s="248" t="s">
        <v>179</v>
      </c>
      <c r="AJ6" s="248"/>
      <c r="AK6" s="398"/>
      <c r="AL6" s="403"/>
      <c r="AM6" s="403"/>
      <c r="AN6" s="404"/>
      <c r="AO6" s="398"/>
      <c r="AP6" s="403"/>
      <c r="AQ6" s="403"/>
      <c r="AR6" s="399"/>
      <c r="AS6" s="272"/>
      <c r="AU6" s="81" t="s">
        <v>189</v>
      </c>
    </row>
    <row r="7" spans="1:47">
      <c r="A7" s="286">
        <v>1</v>
      </c>
      <c r="B7" s="81" t="str">
        <f>'Encargos e Benefícios'!B6</f>
        <v>Diretor Geral de Unidade Socioeducativa</v>
      </c>
      <c r="C7" s="287">
        <f>'Encargos e Benefícios'!C6</f>
        <v>1</v>
      </c>
      <c r="D7" s="288">
        <v>40</v>
      </c>
      <c r="E7" s="289">
        <v>45658</v>
      </c>
      <c r="F7" s="290">
        <v>47058</v>
      </c>
      <c r="G7" s="291"/>
      <c r="H7" s="292"/>
      <c r="I7" s="373"/>
      <c r="J7" s="373"/>
      <c r="K7" s="373"/>
      <c r="L7" s="373"/>
      <c r="M7" s="291">
        <v>45778</v>
      </c>
      <c r="N7" s="292">
        <v>5.8400000000000001E-2</v>
      </c>
      <c r="O7" s="256">
        <f>'Encargos e Benefícios'!W6*5.84%</f>
        <v>30.905280000000001</v>
      </c>
      <c r="P7" s="256">
        <f>('Encargos e Benefícios'!X6+'Encargos e Benefícios'!Y6+'Encargos e Benefícios'!Z6+'Encargos e Benefícios'!AA6+'Encargos e Benefícios'!AB6)*5.84%</f>
        <v>18.235399999999998</v>
      </c>
      <c r="Q7" s="256">
        <f>'Encargos e Benefícios'!V6*5.84%</f>
        <v>0</v>
      </c>
      <c r="R7" s="256"/>
      <c r="S7" s="293">
        <v>46143</v>
      </c>
      <c r="T7" s="294">
        <v>5.8400000000000001E-2</v>
      </c>
      <c r="U7" s="256">
        <f>('Encargos e Benefícios'!W6+'Gastos com Pessoal'!O7)*5.84%</f>
        <v>32.710148351999997</v>
      </c>
      <c r="V7" s="256">
        <f>('Encargos e Benefícios'!X6+'Encargos e Benefícios'!Y6+'Encargos e Benefícios'!Z6+'Encargos e Benefícios'!AA6+'Encargos e Benefícios'!AB6+'Gastos com Pessoal'!P7)*5.84%</f>
        <v>19.300347360000004</v>
      </c>
      <c r="W7" s="256">
        <f>('Encargos e Benefícios'!V6+'Gastos com Pessoal'!Q7)*5.84%</f>
        <v>0</v>
      </c>
      <c r="X7" s="256"/>
      <c r="Y7" s="293">
        <v>46508</v>
      </c>
      <c r="Z7" s="294">
        <v>5.8400000000000001E-2</v>
      </c>
      <c r="AA7" s="256">
        <f>('Encargos e Benefícios'!W6+'Gastos com Pessoal'!O7+'Gastos com Pessoal'!U7)*5.84%</f>
        <v>34.620421015756804</v>
      </c>
      <c r="AB7" s="256">
        <f>('Encargos e Benefícios'!X6+'Encargos e Benefícios'!Y6+'Encargos e Benefícios'!Z6+'Encargos e Benefícios'!AA6+'Encargos e Benefícios'!AB6+'Gastos com Pessoal'!P7+'Gastos com Pessoal'!V7)*5.84%</f>
        <v>20.427487645824002</v>
      </c>
      <c r="AC7" s="256">
        <f>('Encargos e Benefícios'!V6+'Gastos com Pessoal'!Q7+'Gastos com Pessoal'!W7)*5.84%</f>
        <v>0</v>
      </c>
      <c r="AD7" s="256"/>
      <c r="AE7" s="293">
        <v>46874</v>
      </c>
      <c r="AF7" s="294">
        <v>5.8400000000000001E-2</v>
      </c>
      <c r="AG7" s="256">
        <f>('Encargos e Benefícios'!W6+'Gastos com Pessoal'!O7+'Gastos com Pessoal'!U7+'Gastos com Pessoal'!AA7)*5.84%</f>
        <v>36.642253603077002</v>
      </c>
      <c r="AH7" s="256">
        <f>('Encargos e Benefícios'!X6+'Encargos e Benefícios'!Y6+'Encargos e Benefícios'!Z6+'Encargos e Benefícios'!AA6+'Encargos e Benefícios'!AB6+'Gastos com Pessoal'!P7+'Gastos com Pessoal'!V7+'Gastos com Pessoal'!AB7)*5.84%</f>
        <v>21.620452924340121</v>
      </c>
      <c r="AI7" s="256">
        <f>('Encargos e Benefícios'!V6+'Gastos com Pessoal'!Q7+'Gastos com Pessoal'!W7+'Gastos com Pessoal'!AC7)*5.84%</f>
        <v>0</v>
      </c>
      <c r="AJ7" s="295"/>
      <c r="AK7" s="296">
        <f>'Encargos e Benefícios'!D6</f>
        <v>6879.6</v>
      </c>
      <c r="AL7" s="296">
        <f>IF('Encargos e Benefícios'!C6=0,0,'Encargos e Benefícios'!U6/'Encargos e Benefícios'!C6)</f>
        <v>5400.8682000000008</v>
      </c>
      <c r="AM7" s="296">
        <f>IF('Encargos e Benefícios'!C6=0,0,'Encargos e Benefícios'!AC6/'Encargos e Benefícios'!C6)</f>
        <v>841.45</v>
      </c>
      <c r="AN7" s="297">
        <f>IF('Encargos e Benefícios'!C6=0,0,'Encargos e Benefícios'!AD6/'Encargos e Benefícios'!C6)</f>
        <v>13121.918200000002</v>
      </c>
      <c r="AO7" s="188">
        <v>6052.24</v>
      </c>
      <c r="AP7" s="298">
        <v>4236.6899999999996</v>
      </c>
      <c r="AQ7" s="298">
        <v>7864.78</v>
      </c>
      <c r="AR7" s="299" t="s">
        <v>102</v>
      </c>
      <c r="AS7" s="188"/>
      <c r="AU7" s="81" t="s">
        <v>191</v>
      </c>
    </row>
    <row r="8" spans="1:47">
      <c r="A8" s="286">
        <v>2</v>
      </c>
      <c r="B8" s="81" t="str">
        <f>'Encargos e Benefícios'!B7</f>
        <v>Subdiretor de Segurança</v>
      </c>
      <c r="C8" s="287">
        <f>'Encargos e Benefícios'!C7</f>
        <v>1</v>
      </c>
      <c r="D8" s="288">
        <v>40</v>
      </c>
      <c r="E8" s="300">
        <v>45658</v>
      </c>
      <c r="F8" s="301">
        <v>47058</v>
      </c>
      <c r="G8" s="293"/>
      <c r="H8" s="294"/>
      <c r="I8" s="256"/>
      <c r="J8" s="256"/>
      <c r="K8" s="256"/>
      <c r="L8" s="256"/>
      <c r="M8" s="293">
        <v>45778</v>
      </c>
      <c r="N8" s="294">
        <v>5.8400000000000001E-2</v>
      </c>
      <c r="O8" s="256">
        <f>'Encargos e Benefícios'!W7*5.84%</f>
        <v>30.905280000000001</v>
      </c>
      <c r="P8" s="256">
        <f>('Encargos e Benefícios'!X7+'Encargos e Benefícios'!Y7+'Encargos e Benefícios'!Z7+'Encargos e Benefícios'!AA7+'Encargos e Benefícios'!AB7)*5.84%</f>
        <v>18.235399999999998</v>
      </c>
      <c r="Q8" s="256">
        <f>'Encargos e Benefícios'!V7*5.84%</f>
        <v>0</v>
      </c>
      <c r="R8" s="256"/>
      <c r="S8" s="293">
        <v>46143</v>
      </c>
      <c r="T8" s="294">
        <v>5.8400000000000001E-2</v>
      </c>
      <c r="U8" s="256">
        <f>('Encargos e Benefícios'!W7+'Gastos com Pessoal'!O8)*5.84%</f>
        <v>32.710148351999997</v>
      </c>
      <c r="V8" s="256">
        <f>('Encargos e Benefícios'!X7+'Encargos e Benefícios'!Y7+'Encargos e Benefícios'!Z7+'Encargos e Benefícios'!AA7+'Encargos e Benefícios'!AB7+'Gastos com Pessoal'!P8)*5.84%</f>
        <v>19.300347360000004</v>
      </c>
      <c r="W8" s="256">
        <f>('Encargos e Benefícios'!V7+'Gastos com Pessoal'!Q8)*5.84%</f>
        <v>0</v>
      </c>
      <c r="X8" s="256"/>
      <c r="Y8" s="293">
        <v>46508</v>
      </c>
      <c r="Z8" s="294">
        <v>5.8400000000000001E-2</v>
      </c>
      <c r="AA8" s="256">
        <f>('Encargos e Benefícios'!W7+'Gastos com Pessoal'!O8+'Gastos com Pessoal'!U8)*5.84%</f>
        <v>34.620421015756804</v>
      </c>
      <c r="AB8" s="256">
        <f>('Encargos e Benefícios'!X7+'Encargos e Benefícios'!Y7+'Encargos e Benefícios'!Z7+'Encargos e Benefícios'!AA7+'Encargos e Benefícios'!AB7+'Gastos com Pessoal'!P8+'Gastos com Pessoal'!V8)*5.84%</f>
        <v>20.427487645824002</v>
      </c>
      <c r="AC8" s="256">
        <f>('Encargos e Benefícios'!V7+'Gastos com Pessoal'!Q8+'Gastos com Pessoal'!W8)*5.84%</f>
        <v>0</v>
      </c>
      <c r="AD8" s="256"/>
      <c r="AE8" s="293">
        <v>46874</v>
      </c>
      <c r="AF8" s="294">
        <v>5.8400000000000001E-2</v>
      </c>
      <c r="AG8" s="256">
        <f>('Encargos e Benefícios'!W7+'Gastos com Pessoal'!O8+'Gastos com Pessoal'!U8+'Gastos com Pessoal'!AA8)*5.84%</f>
        <v>36.642253603077002</v>
      </c>
      <c r="AH8" s="256">
        <f>('Encargos e Benefícios'!X7+'Encargos e Benefícios'!Y7+'Encargos e Benefícios'!Z7+'Encargos e Benefícios'!AA7+'Encargos e Benefícios'!AB7+'Gastos com Pessoal'!P8+'Gastos com Pessoal'!V8+'Gastos com Pessoal'!AB8)*5.84%</f>
        <v>21.620452924340121</v>
      </c>
      <c r="AI8" s="256">
        <f>('Encargos e Benefícios'!V7+'Gastos com Pessoal'!Q8+'Gastos com Pessoal'!W8+'Gastos com Pessoal'!AC8)*5.84%</f>
        <v>0</v>
      </c>
      <c r="AJ8" s="257"/>
      <c r="AK8" s="296">
        <f>'Encargos e Benefícios'!D7</f>
        <v>3993.98</v>
      </c>
      <c r="AL8" s="296">
        <f>IF('Encargos e Benefícios'!C7=0,0,'Encargos e Benefícios'!U7/'Encargos e Benefícios'!C7)</f>
        <v>4659.1662746111106</v>
      </c>
      <c r="AM8" s="296">
        <f>IF('Encargos e Benefícios'!C7=0,0,'Encargos e Benefícios'!AC7/'Encargos e Benefícios'!C7)</f>
        <v>841.45</v>
      </c>
      <c r="AN8" s="297">
        <f>IF('Encargos e Benefícios'!C7=0,0,'Encargos e Benefícios'!AD7/'Encargos e Benefícios'!C7)</f>
        <v>9494.5962746111109</v>
      </c>
      <c r="AO8" s="188">
        <v>4968.99</v>
      </c>
      <c r="AP8" s="298">
        <v>3773.6</v>
      </c>
      <c r="AQ8" s="298">
        <v>6164.38</v>
      </c>
      <c r="AR8" s="299" t="s">
        <v>102</v>
      </c>
      <c r="AS8" s="188"/>
      <c r="AU8" s="220" t="s">
        <v>195</v>
      </c>
    </row>
    <row r="9" spans="1:47">
      <c r="A9" s="286">
        <v>3</v>
      </c>
      <c r="B9" s="81" t="str">
        <f>'Encargos e Benefícios'!B8</f>
        <v>Advogado</v>
      </c>
      <c r="C9" s="287">
        <f>'Encargos e Benefícios'!C8</f>
        <v>1</v>
      </c>
      <c r="D9" s="288">
        <v>30</v>
      </c>
      <c r="E9" s="300">
        <v>45658</v>
      </c>
      <c r="F9" s="301">
        <v>47058</v>
      </c>
      <c r="G9" s="293"/>
      <c r="H9" s="294"/>
      <c r="I9" s="256"/>
      <c r="J9" s="256"/>
      <c r="K9" s="256"/>
      <c r="L9" s="256"/>
      <c r="M9" s="293">
        <v>45778</v>
      </c>
      <c r="N9" s="294">
        <v>5.8400000000000001E-2</v>
      </c>
      <c r="O9" s="256">
        <f>'Encargos e Benefícios'!W8*5.84%</f>
        <v>30.905280000000001</v>
      </c>
      <c r="P9" s="256">
        <f>('Encargos e Benefícios'!X8+'Encargos e Benefícios'!Y8+'Encargos e Benefícios'!Z8+'Encargos e Benefícios'!AA8+'Encargos e Benefícios'!AB8)*5.84%</f>
        <v>18.235399999999998</v>
      </c>
      <c r="Q9" s="256">
        <f>'Encargos e Benefícios'!V8*5.84%</f>
        <v>5.434704</v>
      </c>
      <c r="R9" s="256"/>
      <c r="S9" s="293">
        <v>46143</v>
      </c>
      <c r="T9" s="294">
        <v>5.8400000000000001E-2</v>
      </c>
      <c r="U9" s="256">
        <f>('Encargos e Benefícios'!W8+'Gastos com Pessoal'!O9)*5.84%</f>
        <v>32.710148351999997</v>
      </c>
      <c r="V9" s="256">
        <f>('Encargos e Benefícios'!X8+'Encargos e Benefícios'!Y8+'Encargos e Benefícios'!Z8+'Encargos e Benefícios'!AA8+'Encargos e Benefícios'!AB8+'Gastos com Pessoal'!P9)*5.84%</f>
        <v>19.300347360000004</v>
      </c>
      <c r="W9" s="256">
        <f>('Encargos e Benefícios'!V8+'Gastos com Pessoal'!Q9)*5.84%</f>
        <v>5.7520907136000003</v>
      </c>
      <c r="X9" s="256"/>
      <c r="Y9" s="293">
        <v>46508</v>
      </c>
      <c r="Z9" s="294">
        <v>5.8400000000000001E-2</v>
      </c>
      <c r="AA9" s="256">
        <f>('Encargos e Benefícios'!W8+'Gastos com Pessoal'!O9+'Gastos com Pessoal'!U9)*5.84%</f>
        <v>34.620421015756804</v>
      </c>
      <c r="AB9" s="256">
        <f>('Encargos e Benefícios'!X8+'Encargos e Benefícios'!Y8+'Encargos e Benefícios'!Z8+'Encargos e Benefícios'!AA8+'Encargos e Benefícios'!AB8+'Gastos com Pessoal'!P9+'Gastos com Pessoal'!V9)*5.84%</f>
        <v>20.427487645824002</v>
      </c>
      <c r="AC9" s="256">
        <f>('Encargos e Benefícios'!V8+'Gastos com Pessoal'!Q9+'Gastos com Pessoal'!W9)*5.84%</f>
        <v>6.0880128112742398</v>
      </c>
      <c r="AD9" s="256"/>
      <c r="AE9" s="293">
        <v>46874</v>
      </c>
      <c r="AF9" s="294">
        <v>5.8400000000000001E-2</v>
      </c>
      <c r="AG9" s="256">
        <f>('Encargos e Benefícios'!W8+'Gastos com Pessoal'!O9+'Gastos com Pessoal'!U9+'Gastos com Pessoal'!AA9)*5.84%</f>
        <v>36.642253603077002</v>
      </c>
      <c r="AH9" s="256">
        <f>('Encargos e Benefícios'!X8+'Encargos e Benefícios'!Y8+'Encargos e Benefícios'!Z8+'Encargos e Benefícios'!AA8+'Encargos e Benefícios'!AB8+'Gastos com Pessoal'!P9+'Gastos com Pessoal'!V9+'Gastos com Pessoal'!AB9)*5.84%</f>
        <v>21.620452924340121</v>
      </c>
      <c r="AI9" s="256">
        <f>('Encargos e Benefícios'!V8+'Gastos com Pessoal'!Q9+'Gastos com Pessoal'!W9+'Gastos com Pessoal'!AC9)*5.84%</f>
        <v>6.4435527594526558</v>
      </c>
      <c r="AJ9" s="257"/>
      <c r="AK9" s="296">
        <f>'Encargos e Benefícios'!D8</f>
        <v>2751.84</v>
      </c>
      <c r="AL9" s="296">
        <f>IF('Encargos e Benefícios'!C8=0,0,'Encargos e Benefícios'!U8/'Encargos e Benefícios'!C8)</f>
        <v>2198.8730400000004</v>
      </c>
      <c r="AM9" s="296">
        <f>IF('Encargos e Benefícios'!C8=0,0,'Encargos e Benefícios'!AC8/'Encargos e Benefícios'!C8)</f>
        <v>934.51</v>
      </c>
      <c r="AN9" s="297">
        <f>IF('Encargos e Benefícios'!C8=0,0,'Encargos e Benefícios'!AD8/'Encargos e Benefícios'!C8)</f>
        <v>5885.2230400000008</v>
      </c>
      <c r="AO9" s="188">
        <v>2574.5</v>
      </c>
      <c r="AP9" s="298">
        <v>2000</v>
      </c>
      <c r="AQ9" s="298">
        <v>3148.99</v>
      </c>
      <c r="AR9" s="299" t="s">
        <v>102</v>
      </c>
      <c r="AS9" s="188"/>
    </row>
    <row r="10" spans="1:47">
      <c r="A10" s="286">
        <v>4</v>
      </c>
      <c r="B10" s="81" t="str">
        <f>'Encargos e Benefícios'!B9</f>
        <v>Assistente Social</v>
      </c>
      <c r="C10" s="287">
        <f>'Encargos e Benefícios'!C9</f>
        <v>1</v>
      </c>
      <c r="D10" s="288">
        <v>30</v>
      </c>
      <c r="E10" s="300">
        <v>45658</v>
      </c>
      <c r="F10" s="301">
        <v>47058</v>
      </c>
      <c r="G10" s="293"/>
      <c r="H10" s="294"/>
      <c r="I10" s="256"/>
      <c r="J10" s="256"/>
      <c r="K10" s="256"/>
      <c r="L10" s="256"/>
      <c r="M10" s="293">
        <v>45778</v>
      </c>
      <c r="N10" s="294">
        <v>5.8400000000000001E-2</v>
      </c>
      <c r="O10" s="256">
        <f>'Encargos e Benefícios'!W9*5.84%</f>
        <v>30.905280000000001</v>
      </c>
      <c r="P10" s="256">
        <f>('Encargos e Benefícios'!X9+'Encargos e Benefícios'!Y9+'Encargos e Benefícios'!Z9+'Encargos e Benefícios'!AA9+'Encargos e Benefícios'!AB9)*5.84%</f>
        <v>18.235399999999998</v>
      </c>
      <c r="Q10" s="256">
        <f>'Encargos e Benefícios'!V9*5.84%</f>
        <v>5.434704</v>
      </c>
      <c r="R10" s="256"/>
      <c r="S10" s="293">
        <v>46143</v>
      </c>
      <c r="T10" s="294">
        <v>5.8400000000000001E-2</v>
      </c>
      <c r="U10" s="256">
        <f>('Encargos e Benefícios'!W9+'Gastos com Pessoal'!O10)*5.84%</f>
        <v>32.710148351999997</v>
      </c>
      <c r="V10" s="256">
        <f>('Encargos e Benefícios'!X9+'Encargos e Benefícios'!Y9+'Encargos e Benefícios'!Z9+'Encargos e Benefícios'!AA9+'Encargos e Benefícios'!AB9+'Gastos com Pessoal'!P10)*5.84%</f>
        <v>19.300347360000004</v>
      </c>
      <c r="W10" s="256">
        <f>('Encargos e Benefícios'!V9+'Gastos com Pessoal'!Q10)*5.84%</f>
        <v>5.7520907136000003</v>
      </c>
      <c r="X10" s="256"/>
      <c r="Y10" s="293">
        <v>46508</v>
      </c>
      <c r="Z10" s="294">
        <v>5.8400000000000001E-2</v>
      </c>
      <c r="AA10" s="256">
        <f>('Encargos e Benefícios'!W9+'Gastos com Pessoal'!O10+'Gastos com Pessoal'!U10)*5.84%</f>
        <v>34.620421015756804</v>
      </c>
      <c r="AB10" s="256">
        <f>('Encargos e Benefícios'!X9+'Encargos e Benefícios'!Y9+'Encargos e Benefícios'!Z9+'Encargos e Benefícios'!AA9+'Encargos e Benefícios'!AB9+'Gastos com Pessoal'!P10+'Gastos com Pessoal'!V10)*5.84%</f>
        <v>20.427487645824002</v>
      </c>
      <c r="AC10" s="256">
        <f>('Encargos e Benefícios'!V9+'Gastos com Pessoal'!Q10+'Gastos com Pessoal'!W10)*5.84%</f>
        <v>6.0880128112742398</v>
      </c>
      <c r="AD10" s="256"/>
      <c r="AE10" s="293">
        <v>46874</v>
      </c>
      <c r="AF10" s="294">
        <v>5.8400000000000001E-2</v>
      </c>
      <c r="AG10" s="256">
        <f>('Encargos e Benefícios'!W9+'Gastos com Pessoal'!O10+'Gastos com Pessoal'!U10+'Gastos com Pessoal'!AA10)*5.84%</f>
        <v>36.642253603077002</v>
      </c>
      <c r="AH10" s="256">
        <f>('Encargos e Benefícios'!X9+'Encargos e Benefícios'!Y9+'Encargos e Benefícios'!Z9+'Encargos e Benefícios'!AA9+'Encargos e Benefícios'!AB9+'Gastos com Pessoal'!P10+'Gastos com Pessoal'!V10+'Gastos com Pessoal'!AB10)*5.84%</f>
        <v>21.620452924340121</v>
      </c>
      <c r="AI10" s="256">
        <f>('Encargos e Benefícios'!V9+'Gastos com Pessoal'!Q10+'Gastos com Pessoal'!W10+'Gastos com Pessoal'!AC10)*5.84%</f>
        <v>6.4435527594526558</v>
      </c>
      <c r="AJ10" s="257"/>
      <c r="AK10" s="296">
        <f>'Encargos e Benefícios'!D9</f>
        <v>2751.84</v>
      </c>
      <c r="AL10" s="296">
        <f>IF('Encargos e Benefícios'!C9=0,0,'Encargos e Benefícios'!U9/'Encargos e Benefícios'!C9)</f>
        <v>2198.8730400000004</v>
      </c>
      <c r="AM10" s="296">
        <f>IF('Encargos e Benefícios'!C9=0,0,'Encargos e Benefícios'!AC9/'Encargos e Benefícios'!C9)</f>
        <v>934.51</v>
      </c>
      <c r="AN10" s="297">
        <f>IF('Encargos e Benefícios'!C9=0,0,'Encargos e Benefícios'!AD9/'Encargos e Benefícios'!C9)</f>
        <v>5885.2230400000008</v>
      </c>
      <c r="AO10" s="188">
        <v>2906.48</v>
      </c>
      <c r="AP10" s="298">
        <v>2000</v>
      </c>
      <c r="AQ10" s="298">
        <v>3812.95</v>
      </c>
      <c r="AR10" s="299" t="s">
        <v>102</v>
      </c>
      <c r="AS10" s="188"/>
    </row>
    <row r="11" spans="1:47">
      <c r="A11" s="286">
        <v>5</v>
      </c>
      <c r="B11" s="81" t="str">
        <f>'Encargos e Benefícios'!B10</f>
        <v>Pedagogo</v>
      </c>
      <c r="C11" s="287">
        <f>'Encargos e Benefícios'!C10</f>
        <v>1</v>
      </c>
      <c r="D11" s="288">
        <v>30</v>
      </c>
      <c r="E11" s="300">
        <v>45658</v>
      </c>
      <c r="F11" s="301">
        <v>47058</v>
      </c>
      <c r="G11" s="293"/>
      <c r="H11" s="294"/>
      <c r="I11" s="256"/>
      <c r="J11" s="256"/>
      <c r="K11" s="256"/>
      <c r="L11" s="256"/>
      <c r="M11" s="293">
        <v>45778</v>
      </c>
      <c r="N11" s="294">
        <v>5.8400000000000001E-2</v>
      </c>
      <c r="O11" s="256">
        <f>'Encargos e Benefícios'!W10*5.84%</f>
        <v>30.905280000000001</v>
      </c>
      <c r="P11" s="256">
        <f>('Encargos e Benefícios'!X10+'Encargos e Benefícios'!Y10+'Encargos e Benefícios'!Z10+'Encargos e Benefícios'!AA10+'Encargos e Benefícios'!AB10)*5.84%</f>
        <v>18.235399999999998</v>
      </c>
      <c r="Q11" s="256">
        <f>'Encargos e Benefícios'!V10*5.84%</f>
        <v>5.434704</v>
      </c>
      <c r="R11" s="256"/>
      <c r="S11" s="293">
        <v>46143</v>
      </c>
      <c r="T11" s="294">
        <v>5.8400000000000001E-2</v>
      </c>
      <c r="U11" s="256">
        <f>('Encargos e Benefícios'!W10+'Gastos com Pessoal'!O11)*5.84%</f>
        <v>32.710148351999997</v>
      </c>
      <c r="V11" s="256">
        <f>('Encargos e Benefícios'!X10+'Encargos e Benefícios'!Y10+'Encargos e Benefícios'!Z10+'Encargos e Benefícios'!AA10+'Encargos e Benefícios'!AB10+'Gastos com Pessoal'!P11)*5.84%</f>
        <v>19.300347360000004</v>
      </c>
      <c r="W11" s="256">
        <f>('Encargos e Benefícios'!V10+'Gastos com Pessoal'!Q11)*5.84%</f>
        <v>5.7520907136000003</v>
      </c>
      <c r="X11" s="256"/>
      <c r="Y11" s="293">
        <v>46508</v>
      </c>
      <c r="Z11" s="294">
        <v>5.8400000000000001E-2</v>
      </c>
      <c r="AA11" s="256">
        <f>('Encargos e Benefícios'!W10+'Gastos com Pessoal'!O11+'Gastos com Pessoal'!U11)*5.84%</f>
        <v>34.620421015756804</v>
      </c>
      <c r="AB11" s="256">
        <f>('Encargos e Benefícios'!X10+'Encargos e Benefícios'!Y10+'Encargos e Benefícios'!Z10+'Encargos e Benefícios'!AA10+'Encargos e Benefícios'!AB10+'Gastos com Pessoal'!P11+'Gastos com Pessoal'!V11)*5.84%</f>
        <v>20.427487645824002</v>
      </c>
      <c r="AC11" s="256">
        <f>('Encargos e Benefícios'!V10+'Gastos com Pessoal'!Q11+'Gastos com Pessoal'!W11)*5.84%</f>
        <v>6.0880128112742398</v>
      </c>
      <c r="AD11" s="256"/>
      <c r="AE11" s="293">
        <v>46874</v>
      </c>
      <c r="AF11" s="294">
        <v>5.8400000000000001E-2</v>
      </c>
      <c r="AG11" s="256">
        <f>('Encargos e Benefícios'!W10+'Gastos com Pessoal'!O11+'Gastos com Pessoal'!U11+'Gastos com Pessoal'!AA11)*5.84%</f>
        <v>36.642253603077002</v>
      </c>
      <c r="AH11" s="256">
        <f>('Encargos e Benefícios'!X10+'Encargos e Benefícios'!Y10+'Encargos e Benefícios'!Z10+'Encargos e Benefícios'!AA10+'Encargos e Benefícios'!AB10+'Gastos com Pessoal'!P11+'Gastos com Pessoal'!V11+'Gastos com Pessoal'!AB11)*5.84%</f>
        <v>21.620452924340121</v>
      </c>
      <c r="AI11" s="256">
        <f>('Encargos e Benefícios'!V10+'Gastos com Pessoal'!Q11+'Gastos com Pessoal'!W11+'Gastos com Pessoal'!AC11)*5.84%</f>
        <v>6.4435527594526558</v>
      </c>
      <c r="AJ11" s="257"/>
      <c r="AK11" s="296">
        <f>'Encargos e Benefícios'!D10</f>
        <v>2751.84</v>
      </c>
      <c r="AL11" s="296">
        <f>IF('Encargos e Benefícios'!C10=0,0,'Encargos e Benefícios'!U10/'Encargos e Benefícios'!C10)</f>
        <v>2198.8730400000004</v>
      </c>
      <c r="AM11" s="296">
        <f>IF('Encargos e Benefícios'!C10=0,0,'Encargos e Benefícios'!AC10/'Encargos e Benefícios'!C10)</f>
        <v>934.51</v>
      </c>
      <c r="AN11" s="297">
        <f>IF('Encargos e Benefícios'!C10=0,0,'Encargos e Benefícios'!AD10/'Encargos e Benefícios'!C10)</f>
        <v>5885.2230400000008</v>
      </c>
      <c r="AO11" s="188">
        <v>2826.08</v>
      </c>
      <c r="AP11" s="298">
        <v>1936.68</v>
      </c>
      <c r="AQ11" s="298">
        <v>3715.48</v>
      </c>
      <c r="AR11" s="299" t="s">
        <v>102</v>
      </c>
      <c r="AS11" s="188"/>
    </row>
    <row r="12" spans="1:47">
      <c r="A12" s="286">
        <v>6</v>
      </c>
      <c r="B12" s="81" t="str">
        <f>'Encargos e Benefícios'!B11</f>
        <v>Psicologo</v>
      </c>
      <c r="C12" s="287">
        <f>'Encargos e Benefícios'!C11</f>
        <v>1</v>
      </c>
      <c r="D12" s="288">
        <v>30</v>
      </c>
      <c r="E12" s="300">
        <v>45658</v>
      </c>
      <c r="F12" s="301">
        <v>47058</v>
      </c>
      <c r="G12" s="293"/>
      <c r="H12" s="294"/>
      <c r="I12" s="256"/>
      <c r="J12" s="256"/>
      <c r="K12" s="256"/>
      <c r="L12" s="256"/>
      <c r="M12" s="293">
        <v>45778</v>
      </c>
      <c r="N12" s="294">
        <v>5.8400000000000001E-2</v>
      </c>
      <c r="O12" s="256">
        <f>'Encargos e Benefícios'!W11*5.84%</f>
        <v>30.905280000000001</v>
      </c>
      <c r="P12" s="256">
        <f>('Encargos e Benefícios'!X11+'Encargos e Benefícios'!Y11+'Encargos e Benefícios'!Z11+'Encargos e Benefícios'!AA11+'Encargos e Benefícios'!AB11)*5.84%</f>
        <v>18.235399999999998</v>
      </c>
      <c r="Q12" s="256">
        <f>'Encargos e Benefícios'!V11*5.84%</f>
        <v>5.434704</v>
      </c>
      <c r="R12" s="256"/>
      <c r="S12" s="293">
        <v>46143</v>
      </c>
      <c r="T12" s="294">
        <v>5.8400000000000001E-2</v>
      </c>
      <c r="U12" s="256">
        <f>('Encargos e Benefícios'!W11+'Gastos com Pessoal'!O12)*5.84%</f>
        <v>32.710148351999997</v>
      </c>
      <c r="V12" s="256">
        <f>('Encargos e Benefícios'!X11+'Encargos e Benefícios'!Y11+'Encargos e Benefícios'!Z11+'Encargos e Benefícios'!AA11+'Encargos e Benefícios'!AB11+'Gastos com Pessoal'!P12)*5.84%</f>
        <v>19.300347360000004</v>
      </c>
      <c r="W12" s="256">
        <f>('Encargos e Benefícios'!V11+'Gastos com Pessoal'!Q12)*5.84%</f>
        <v>5.7520907136000003</v>
      </c>
      <c r="X12" s="256"/>
      <c r="Y12" s="293">
        <v>46508</v>
      </c>
      <c r="Z12" s="294">
        <v>5.8400000000000001E-2</v>
      </c>
      <c r="AA12" s="256">
        <f>('Encargos e Benefícios'!W11+'Gastos com Pessoal'!O12+'Gastos com Pessoal'!U12)*5.84%</f>
        <v>34.620421015756804</v>
      </c>
      <c r="AB12" s="256">
        <f>('Encargos e Benefícios'!X11+'Encargos e Benefícios'!Y11+'Encargos e Benefícios'!Z11+'Encargos e Benefícios'!AA11+'Encargos e Benefícios'!AB11+'Gastos com Pessoal'!P12+'Gastos com Pessoal'!V12)*5.84%</f>
        <v>20.427487645824002</v>
      </c>
      <c r="AC12" s="256">
        <f>('Encargos e Benefícios'!V11+'Gastos com Pessoal'!Q12+'Gastos com Pessoal'!W12)*5.84%</f>
        <v>6.0880128112742398</v>
      </c>
      <c r="AD12" s="256"/>
      <c r="AE12" s="293">
        <v>46874</v>
      </c>
      <c r="AF12" s="294">
        <v>5.8400000000000001E-2</v>
      </c>
      <c r="AG12" s="256">
        <f>('Encargos e Benefícios'!W11+'Gastos com Pessoal'!O12+'Gastos com Pessoal'!U12+'Gastos com Pessoal'!AA12)*5.84%</f>
        <v>36.642253603077002</v>
      </c>
      <c r="AH12" s="256">
        <f>('Encargos e Benefícios'!X11+'Encargos e Benefícios'!Y11+'Encargos e Benefícios'!Z11+'Encargos e Benefícios'!AA11+'Encargos e Benefícios'!AB11+'Gastos com Pessoal'!P12+'Gastos com Pessoal'!V12+'Gastos com Pessoal'!AB12)*5.84%</f>
        <v>21.620452924340121</v>
      </c>
      <c r="AI12" s="256">
        <f>('Encargos e Benefícios'!V11+'Gastos com Pessoal'!Q12+'Gastos com Pessoal'!W12+'Gastos com Pessoal'!AC12)*5.84%</f>
        <v>6.4435527594526558</v>
      </c>
      <c r="AJ12" s="257"/>
      <c r="AK12" s="296">
        <f>'Encargos e Benefícios'!D11</f>
        <v>2751.84</v>
      </c>
      <c r="AL12" s="296">
        <f>IF('Encargos e Benefícios'!C11=0,0,'Encargos e Benefícios'!U11/'Encargos e Benefícios'!C11)</f>
        <v>2198.8730400000004</v>
      </c>
      <c r="AM12" s="296">
        <f>IF('Encargos e Benefícios'!C11=0,0,'Encargos e Benefícios'!AC11/'Encargos e Benefícios'!C11)</f>
        <v>934.51</v>
      </c>
      <c r="AN12" s="297">
        <f>IF('Encargos e Benefícios'!C11=0,0,'Encargos e Benefícios'!AD11/'Encargos e Benefícios'!C11)</f>
        <v>5885.2230400000008</v>
      </c>
      <c r="AO12" s="188">
        <v>2906.48</v>
      </c>
      <c r="AP12" s="298">
        <v>2000</v>
      </c>
      <c r="AQ12" s="298">
        <v>3812.95</v>
      </c>
      <c r="AR12" s="299" t="s">
        <v>102</v>
      </c>
      <c r="AS12" s="188"/>
    </row>
    <row r="13" spans="1:47">
      <c r="A13" s="286">
        <v>7</v>
      </c>
      <c r="B13" s="81" t="str">
        <f>'Encargos e Benefícios'!B12</f>
        <v>Terapeuta Ocupacional</v>
      </c>
      <c r="C13" s="287">
        <f>'Encargos e Benefícios'!C12</f>
        <v>1</v>
      </c>
      <c r="D13" s="288">
        <v>30</v>
      </c>
      <c r="E13" s="300">
        <v>45658</v>
      </c>
      <c r="F13" s="301">
        <v>47058</v>
      </c>
      <c r="G13" s="293"/>
      <c r="H13" s="294"/>
      <c r="I13" s="256"/>
      <c r="J13" s="256"/>
      <c r="K13" s="256"/>
      <c r="L13" s="256"/>
      <c r="M13" s="293">
        <v>45778</v>
      </c>
      <c r="N13" s="294">
        <v>5.8400000000000001E-2</v>
      </c>
      <c r="O13" s="256">
        <f>'Encargos e Benefícios'!W12*5.84%</f>
        <v>30.905280000000001</v>
      </c>
      <c r="P13" s="256">
        <f>('Encargos e Benefícios'!X12+'Encargos e Benefícios'!Y12+'Encargos e Benefícios'!Z12+'Encargos e Benefícios'!AA12+'Encargos e Benefícios'!AB12)*5.84%</f>
        <v>18.235399999999998</v>
      </c>
      <c r="Q13" s="256">
        <f>'Encargos e Benefícios'!V12*5.84%</f>
        <v>5.434704</v>
      </c>
      <c r="R13" s="256"/>
      <c r="S13" s="293">
        <v>46143</v>
      </c>
      <c r="T13" s="294">
        <v>5.8400000000000001E-2</v>
      </c>
      <c r="U13" s="256">
        <f>('Encargos e Benefícios'!W12+'Gastos com Pessoal'!O13)*5.84%</f>
        <v>32.710148351999997</v>
      </c>
      <c r="V13" s="256">
        <f>('Encargos e Benefícios'!X12+'Encargos e Benefícios'!Y12+'Encargos e Benefícios'!Z12+'Encargos e Benefícios'!AA12+'Encargos e Benefícios'!AB12+'Gastos com Pessoal'!P13)*5.84%</f>
        <v>19.300347360000004</v>
      </c>
      <c r="W13" s="256">
        <f>('Encargos e Benefícios'!V12+'Gastos com Pessoal'!Q13)*5.84%</f>
        <v>5.7520907136000003</v>
      </c>
      <c r="X13" s="256"/>
      <c r="Y13" s="293">
        <v>46508</v>
      </c>
      <c r="Z13" s="294">
        <v>5.8400000000000001E-2</v>
      </c>
      <c r="AA13" s="256">
        <f>('Encargos e Benefícios'!W12+'Gastos com Pessoal'!O13+'Gastos com Pessoal'!U13)*5.84%</f>
        <v>34.620421015756804</v>
      </c>
      <c r="AB13" s="256">
        <f>('Encargos e Benefícios'!X12+'Encargos e Benefícios'!Y12+'Encargos e Benefícios'!Z12+'Encargos e Benefícios'!AA12+'Encargos e Benefícios'!AB12+'Gastos com Pessoal'!P13+'Gastos com Pessoal'!V13)*5.84%</f>
        <v>20.427487645824002</v>
      </c>
      <c r="AC13" s="256">
        <f>('Encargos e Benefícios'!V12+'Gastos com Pessoal'!Q13+'Gastos com Pessoal'!W13)*5.84%</f>
        <v>6.0880128112742398</v>
      </c>
      <c r="AD13" s="256"/>
      <c r="AE13" s="293">
        <v>46874</v>
      </c>
      <c r="AF13" s="294">
        <v>5.8400000000000001E-2</v>
      </c>
      <c r="AG13" s="256">
        <f>('Encargos e Benefícios'!W12+'Gastos com Pessoal'!O13+'Gastos com Pessoal'!U13+'Gastos com Pessoal'!AA13)*5.84%</f>
        <v>36.642253603077002</v>
      </c>
      <c r="AH13" s="256">
        <f>('Encargos e Benefícios'!X12+'Encargos e Benefícios'!Y12+'Encargos e Benefícios'!Z12+'Encargos e Benefícios'!AA12+'Encargos e Benefícios'!AB12+'Gastos com Pessoal'!P13+'Gastos com Pessoal'!V13+'Gastos com Pessoal'!AB13)*5.84%</f>
        <v>21.620452924340121</v>
      </c>
      <c r="AI13" s="256">
        <f>('Encargos e Benefícios'!V12+'Gastos com Pessoal'!Q13+'Gastos com Pessoal'!W13+'Gastos com Pessoal'!AC13)*5.84%</f>
        <v>6.4435527594526558</v>
      </c>
      <c r="AJ13" s="257"/>
      <c r="AK13" s="296">
        <f>'Encargos e Benefícios'!D12</f>
        <v>2751.84</v>
      </c>
      <c r="AL13" s="296">
        <f>IF('Encargos e Benefícios'!C12=0,0,'Encargos e Benefícios'!U12/'Encargos e Benefícios'!C12)</f>
        <v>2198.8730400000004</v>
      </c>
      <c r="AM13" s="296">
        <f>IF('Encargos e Benefícios'!C12=0,0,'Encargos e Benefícios'!AC12/'Encargos e Benefícios'!C12)</f>
        <v>934.51</v>
      </c>
      <c r="AN13" s="297">
        <f>IF('Encargos e Benefícios'!C12=0,0,'Encargos e Benefícios'!AD12/'Encargos e Benefícios'!C12)</f>
        <v>5885.2230400000008</v>
      </c>
      <c r="AO13" s="188">
        <v>2456</v>
      </c>
      <c r="AP13" s="298">
        <v>2000</v>
      </c>
      <c r="AQ13" s="298">
        <v>2911.99</v>
      </c>
      <c r="AR13" s="299" t="s">
        <v>102</v>
      </c>
      <c r="AS13" s="188"/>
    </row>
    <row r="14" spans="1:47">
      <c r="A14" s="286">
        <v>8</v>
      </c>
      <c r="B14" s="81" t="str">
        <f>'Encargos e Benefícios'!B13</f>
        <v>Administrativo</v>
      </c>
      <c r="C14" s="287">
        <f>'Encargos e Benefícios'!C13</f>
        <v>1</v>
      </c>
      <c r="D14" s="288">
        <v>40</v>
      </c>
      <c r="E14" s="300">
        <v>45658</v>
      </c>
      <c r="F14" s="301">
        <v>47058</v>
      </c>
      <c r="G14" s="293"/>
      <c r="H14" s="294"/>
      <c r="I14" s="256"/>
      <c r="J14" s="256"/>
      <c r="K14" s="256"/>
      <c r="L14" s="256"/>
      <c r="M14" s="293">
        <v>45778</v>
      </c>
      <c r="N14" s="294">
        <v>5.8400000000000001E-2</v>
      </c>
      <c r="O14" s="256">
        <f>'Encargos e Benefícios'!W13*5.84%</f>
        <v>30.905280000000001</v>
      </c>
      <c r="P14" s="256">
        <f>('Encargos e Benefícios'!X13+'Encargos e Benefícios'!Y13+'Encargos e Benefícios'!Z13+'Encargos e Benefícios'!AA13+'Encargos e Benefícios'!AB13)*5.84%</f>
        <v>18.235399999999998</v>
      </c>
      <c r="Q14" s="256">
        <f>'Encargos e Benefícios'!V13*5.84%</f>
        <v>5.434704</v>
      </c>
      <c r="R14" s="256"/>
      <c r="S14" s="293">
        <v>46143</v>
      </c>
      <c r="T14" s="294">
        <v>5.8400000000000001E-2</v>
      </c>
      <c r="U14" s="256">
        <f>('Encargos e Benefícios'!W13+'Gastos com Pessoal'!O14)*5.84%</f>
        <v>32.710148351999997</v>
      </c>
      <c r="V14" s="256">
        <f>('Encargos e Benefícios'!X13+'Encargos e Benefícios'!Y13+'Encargos e Benefícios'!Z13+'Encargos e Benefícios'!AA13+'Encargos e Benefícios'!AB13+'Gastos com Pessoal'!P14)*5.84%</f>
        <v>19.300347360000004</v>
      </c>
      <c r="W14" s="256">
        <f>('Encargos e Benefícios'!V13+'Gastos com Pessoal'!Q14)*5.84%</f>
        <v>5.7520907136000003</v>
      </c>
      <c r="X14" s="256"/>
      <c r="Y14" s="293">
        <v>46508</v>
      </c>
      <c r="Z14" s="294">
        <v>5.8400000000000001E-2</v>
      </c>
      <c r="AA14" s="256">
        <f>('Encargos e Benefícios'!W13+'Gastos com Pessoal'!O14+'Gastos com Pessoal'!U14)*5.84%</f>
        <v>34.620421015756804</v>
      </c>
      <c r="AB14" s="256">
        <f>('Encargos e Benefícios'!X13+'Encargos e Benefícios'!Y13+'Encargos e Benefícios'!Z13+'Encargos e Benefícios'!AA13+'Encargos e Benefícios'!AB13+'Gastos com Pessoal'!P14+'Gastos com Pessoal'!V14)*5.84%</f>
        <v>20.427487645824002</v>
      </c>
      <c r="AC14" s="256">
        <f>('Encargos e Benefícios'!V13+'Gastos com Pessoal'!Q14+'Gastos com Pessoal'!W14)*5.84%</f>
        <v>6.0880128112742398</v>
      </c>
      <c r="AD14" s="256"/>
      <c r="AE14" s="293">
        <v>46874</v>
      </c>
      <c r="AF14" s="294">
        <v>5.8400000000000001E-2</v>
      </c>
      <c r="AG14" s="256">
        <f>('Encargos e Benefícios'!W13+'Gastos com Pessoal'!O14+'Gastos com Pessoal'!U14+'Gastos com Pessoal'!AA14)*5.84%</f>
        <v>36.642253603077002</v>
      </c>
      <c r="AH14" s="256">
        <f>('Encargos e Benefícios'!X13+'Encargos e Benefícios'!Y13+'Encargos e Benefícios'!Z13+'Encargos e Benefícios'!AA13+'Encargos e Benefícios'!AB13+'Gastos com Pessoal'!P14+'Gastos com Pessoal'!V14+'Gastos com Pessoal'!AB14)*5.84%</f>
        <v>21.620452924340121</v>
      </c>
      <c r="AI14" s="256">
        <f>('Encargos e Benefícios'!V13+'Gastos com Pessoal'!Q14+'Gastos com Pessoal'!W14+'Gastos com Pessoal'!AC14)*5.84%</f>
        <v>6.4435527594526558</v>
      </c>
      <c r="AJ14" s="257"/>
      <c r="AK14" s="296">
        <f>'Encargos e Benefícios'!D13</f>
        <v>1852.2</v>
      </c>
      <c r="AL14" s="296">
        <f>IF('Encargos e Benefícios'!C13=0,0,'Encargos e Benefícios'!U13/'Encargos e Benefícios'!C13)</f>
        <v>1480.0106999999996</v>
      </c>
      <c r="AM14" s="296">
        <f>IF('Encargos e Benefícios'!C13=0,0,'Encargos e Benefícios'!AC13/'Encargos e Benefícios'!C13)</f>
        <v>934.51</v>
      </c>
      <c r="AN14" s="297">
        <f>IF('Encargos e Benefícios'!C13=0,0,'Encargos e Benefícios'!AD13/'Encargos e Benefícios'!C13)</f>
        <v>4266.7206999999999</v>
      </c>
      <c r="AO14" s="188">
        <v>2012.52</v>
      </c>
      <c r="AP14" s="298">
        <v>1329.38</v>
      </c>
      <c r="AQ14" s="298">
        <v>2695.66</v>
      </c>
      <c r="AR14" s="299" t="s">
        <v>102</v>
      </c>
      <c r="AS14" s="188"/>
    </row>
    <row r="15" spans="1:47">
      <c r="A15" s="286">
        <v>9</v>
      </c>
      <c r="B15" s="81" t="str">
        <f>'Encargos e Benefícios'!B14</f>
        <v>Auxiliar Educacional</v>
      </c>
      <c r="C15" s="287">
        <f>'Encargos e Benefícios'!C14</f>
        <v>1</v>
      </c>
      <c r="D15" s="288">
        <v>30</v>
      </c>
      <c r="E15" s="300">
        <v>45658</v>
      </c>
      <c r="F15" s="301">
        <v>47058</v>
      </c>
      <c r="G15" s="293"/>
      <c r="H15" s="294"/>
      <c r="I15" s="256"/>
      <c r="J15" s="256"/>
      <c r="K15" s="256"/>
      <c r="L15" s="256"/>
      <c r="M15" s="293">
        <v>45778</v>
      </c>
      <c r="N15" s="294">
        <v>5.8400000000000001E-2</v>
      </c>
      <c r="O15" s="256">
        <f>'Encargos e Benefícios'!W14*5.84%</f>
        <v>30.905280000000001</v>
      </c>
      <c r="P15" s="256">
        <f>('Encargos e Benefícios'!X14+'Encargos e Benefícios'!Y14+'Encargos e Benefícios'!Z14+'Encargos e Benefícios'!AA14+'Encargos e Benefícios'!AB14)*5.84%</f>
        <v>18.235399999999998</v>
      </c>
      <c r="Q15" s="256">
        <f>'Encargos e Benefícios'!V14*5.84%</f>
        <v>5.434704</v>
      </c>
      <c r="R15" s="256"/>
      <c r="S15" s="293">
        <v>46143</v>
      </c>
      <c r="T15" s="294">
        <v>5.8400000000000001E-2</v>
      </c>
      <c r="U15" s="256">
        <f>('Encargos e Benefícios'!W14+'Gastos com Pessoal'!O15)*5.84%</f>
        <v>32.710148351999997</v>
      </c>
      <c r="V15" s="256">
        <f>('Encargos e Benefícios'!X14+'Encargos e Benefícios'!Y14+'Encargos e Benefícios'!Z14+'Encargos e Benefícios'!AA14+'Encargos e Benefícios'!AB14+'Gastos com Pessoal'!P15)*5.84%</f>
        <v>19.300347360000004</v>
      </c>
      <c r="W15" s="256">
        <f>('Encargos e Benefícios'!V14+'Gastos com Pessoal'!Q15)*5.84%</f>
        <v>5.7520907136000003</v>
      </c>
      <c r="X15" s="256"/>
      <c r="Y15" s="293">
        <v>46508</v>
      </c>
      <c r="Z15" s="294">
        <v>5.8400000000000001E-2</v>
      </c>
      <c r="AA15" s="256">
        <f>('Encargos e Benefícios'!W14+'Gastos com Pessoal'!O15+'Gastos com Pessoal'!U15)*5.84%</f>
        <v>34.620421015756804</v>
      </c>
      <c r="AB15" s="256">
        <f>('Encargos e Benefícios'!X14+'Encargos e Benefícios'!Y14+'Encargos e Benefícios'!Z14+'Encargos e Benefícios'!AA14+'Encargos e Benefícios'!AB14+'Gastos com Pessoal'!P15+'Gastos com Pessoal'!V15)*5.84%</f>
        <v>20.427487645824002</v>
      </c>
      <c r="AC15" s="256">
        <f>('Encargos e Benefícios'!V14+'Gastos com Pessoal'!Q15+'Gastos com Pessoal'!W15)*5.84%</f>
        <v>6.0880128112742398</v>
      </c>
      <c r="AD15" s="256"/>
      <c r="AE15" s="293">
        <v>46874</v>
      </c>
      <c r="AF15" s="294">
        <v>5.8400000000000001E-2</v>
      </c>
      <c r="AG15" s="256">
        <f>('Encargos e Benefícios'!W14+'Gastos com Pessoal'!O15+'Gastos com Pessoal'!U15+'Gastos com Pessoal'!AA15)*5.84%</f>
        <v>36.642253603077002</v>
      </c>
      <c r="AH15" s="256">
        <f>('Encargos e Benefícios'!X14+'Encargos e Benefícios'!Y14+'Encargos e Benefícios'!Z14+'Encargos e Benefícios'!AA14+'Encargos e Benefícios'!AB14+'Gastos com Pessoal'!P15+'Gastos com Pessoal'!V15+'Gastos com Pessoal'!AB15)*5.84%</f>
        <v>21.620452924340121</v>
      </c>
      <c r="AI15" s="256">
        <f>('Encargos e Benefícios'!V14+'Gastos com Pessoal'!Q15+'Gastos com Pessoal'!W15+'Gastos com Pessoal'!AC15)*5.84%</f>
        <v>6.4435527594526558</v>
      </c>
      <c r="AJ15" s="257"/>
      <c r="AK15" s="296">
        <f>'Encargos e Benefícios'!D14</f>
        <v>1737.89</v>
      </c>
      <c r="AL15" s="296">
        <f>IF('Encargos e Benefícios'!C14=0,0,'Encargos e Benefícios'!U14/'Encargos e Benefícios'!C14)</f>
        <v>1388.6706594444449</v>
      </c>
      <c r="AM15" s="296">
        <f>IF('Encargos e Benefícios'!C14=0,0,'Encargos e Benefícios'!AC14/'Encargos e Benefícios'!C14)</f>
        <v>934.51</v>
      </c>
      <c r="AN15" s="297">
        <f>IF('Encargos e Benefícios'!C14=0,0,'Encargos e Benefícios'!AD14/'Encargos e Benefícios'!C14)</f>
        <v>4061.0706594444455</v>
      </c>
      <c r="AO15" s="188">
        <v>1821.21</v>
      </c>
      <c r="AP15" s="298">
        <v>1641.97</v>
      </c>
      <c r="AQ15" s="298">
        <v>2000.45</v>
      </c>
      <c r="AR15" s="299" t="s">
        <v>102</v>
      </c>
      <c r="AS15" s="188"/>
    </row>
    <row r="16" spans="1:47">
      <c r="A16" s="286">
        <v>10</v>
      </c>
      <c r="B16" s="81" t="str">
        <f>'Encargos e Benefícios'!B15</f>
        <v>Auxiliar de Serviços Gerais</v>
      </c>
      <c r="C16" s="287">
        <f>'Encargos e Benefícios'!C15</f>
        <v>1</v>
      </c>
      <c r="D16" s="288">
        <v>30</v>
      </c>
      <c r="E16" s="300">
        <v>45658</v>
      </c>
      <c r="F16" s="301">
        <v>47058</v>
      </c>
      <c r="G16" s="293"/>
      <c r="H16" s="294"/>
      <c r="I16" s="256"/>
      <c r="J16" s="256"/>
      <c r="K16" s="256"/>
      <c r="L16" s="256"/>
      <c r="M16" s="293">
        <v>45778</v>
      </c>
      <c r="N16" s="294">
        <v>5.8400000000000001E-2</v>
      </c>
      <c r="O16" s="256">
        <f>'Encargos e Benefícios'!W15*5.84%</f>
        <v>30.905280000000001</v>
      </c>
      <c r="P16" s="256">
        <f>('Encargos e Benefícios'!X15+'Encargos e Benefícios'!Y15+'Encargos e Benefícios'!Z15+'Encargos e Benefícios'!AA15+'Encargos e Benefícios'!AB15)*5.84%</f>
        <v>18.235399999999998</v>
      </c>
      <c r="Q16" s="256">
        <f>'Encargos e Benefícios'!V15*5.84%</f>
        <v>5.434704</v>
      </c>
      <c r="R16" s="256"/>
      <c r="S16" s="293">
        <v>46143</v>
      </c>
      <c r="T16" s="294">
        <v>5.8400000000000001E-2</v>
      </c>
      <c r="U16" s="256">
        <f>('Encargos e Benefícios'!W15+'Gastos com Pessoal'!O16)*5.84%</f>
        <v>32.710148351999997</v>
      </c>
      <c r="V16" s="256">
        <f>('Encargos e Benefícios'!X15+'Encargos e Benefícios'!Y15+'Encargos e Benefícios'!Z15+'Encargos e Benefícios'!AA15+'Encargos e Benefícios'!AB15+'Gastos com Pessoal'!P16)*5.84%</f>
        <v>19.300347360000004</v>
      </c>
      <c r="W16" s="256">
        <f>('Encargos e Benefícios'!V15+'Gastos com Pessoal'!Q16)*5.84%</f>
        <v>5.7520907136000003</v>
      </c>
      <c r="X16" s="256"/>
      <c r="Y16" s="293">
        <v>46508</v>
      </c>
      <c r="Z16" s="294">
        <v>5.8400000000000001E-2</v>
      </c>
      <c r="AA16" s="256">
        <f>('Encargos e Benefícios'!W15+'Gastos com Pessoal'!O16+'Gastos com Pessoal'!U16)*5.84%</f>
        <v>34.620421015756804</v>
      </c>
      <c r="AB16" s="256">
        <f>('Encargos e Benefícios'!X15+'Encargos e Benefícios'!Y15+'Encargos e Benefícios'!Z15+'Encargos e Benefícios'!AA15+'Encargos e Benefícios'!AB15+'Gastos com Pessoal'!P16+'Gastos com Pessoal'!V16)*5.84%</f>
        <v>20.427487645824002</v>
      </c>
      <c r="AC16" s="256">
        <f>('Encargos e Benefícios'!V15+'Gastos com Pessoal'!Q16+'Gastos com Pessoal'!W16)*5.84%</f>
        <v>6.0880128112742398</v>
      </c>
      <c r="AD16" s="256"/>
      <c r="AE16" s="293">
        <v>46874</v>
      </c>
      <c r="AF16" s="294">
        <v>5.8400000000000001E-2</v>
      </c>
      <c r="AG16" s="256">
        <f>('Encargos e Benefícios'!W15+'Gastos com Pessoal'!O16+'Gastos com Pessoal'!U16+'Gastos com Pessoal'!AA16)*5.84%</f>
        <v>36.642253603077002</v>
      </c>
      <c r="AH16" s="256">
        <f>('Encargos e Benefícios'!X15+'Encargos e Benefícios'!Y15+'Encargos e Benefícios'!Z15+'Encargos e Benefícios'!AA15+'Encargos e Benefícios'!AB15+'Gastos com Pessoal'!P16+'Gastos com Pessoal'!V16+'Gastos com Pessoal'!AB16)*5.84%</f>
        <v>21.620452924340121</v>
      </c>
      <c r="AI16" s="256">
        <f>('Encargos e Benefícios'!V15+'Gastos com Pessoal'!Q16+'Gastos com Pessoal'!W16+'Gastos com Pessoal'!AC16)*5.84%</f>
        <v>6.4435527594526558</v>
      </c>
      <c r="AJ16" s="257"/>
      <c r="AK16" s="296">
        <f>'Encargos e Benefícios'!D15</f>
        <v>1465.88</v>
      </c>
      <c r="AL16" s="296">
        <f>IF('Encargos e Benefícios'!C15=0,0,'Encargos e Benefícios'!U15/'Encargos e Benefícios'!C15)</f>
        <v>1171.3195577777778</v>
      </c>
      <c r="AM16" s="296">
        <f>IF('Encargos e Benefícios'!C15=0,0,'Encargos e Benefícios'!AC15/'Encargos e Benefícios'!C15)</f>
        <v>934.51</v>
      </c>
      <c r="AN16" s="297">
        <f>IF('Encargos e Benefícios'!C15=0,0,'Encargos e Benefícios'!AD15/'Encargos e Benefícios'!C15)</f>
        <v>3571.7095577777782</v>
      </c>
      <c r="AO16" s="188">
        <v>1481.02</v>
      </c>
      <c r="AP16" s="298">
        <v>1302</v>
      </c>
      <c r="AQ16" s="298">
        <v>1660.04</v>
      </c>
      <c r="AR16" s="299" t="s">
        <v>102</v>
      </c>
      <c r="AS16" s="188"/>
    </row>
    <row r="17" spans="1:45">
      <c r="A17" s="286">
        <v>11</v>
      </c>
      <c r="B17" s="81" t="str">
        <f>'Encargos e Benefícios'!B16</f>
        <v>Motorista</v>
      </c>
      <c r="C17" s="287">
        <f>'Encargos e Benefícios'!C16</f>
        <v>1</v>
      </c>
      <c r="D17" s="288">
        <v>40</v>
      </c>
      <c r="E17" s="300">
        <v>45658</v>
      </c>
      <c r="F17" s="301">
        <v>47058</v>
      </c>
      <c r="G17" s="293"/>
      <c r="H17" s="294"/>
      <c r="I17" s="256"/>
      <c r="J17" s="256"/>
      <c r="K17" s="256"/>
      <c r="L17" s="256"/>
      <c r="M17" s="293">
        <v>45778</v>
      </c>
      <c r="N17" s="294">
        <v>5.8400000000000001E-2</v>
      </c>
      <c r="O17" s="256">
        <f>'Encargos e Benefícios'!W16*5.84%</f>
        <v>30.905280000000001</v>
      </c>
      <c r="P17" s="256">
        <f>('Encargos e Benefícios'!X16+'Encargos e Benefícios'!Y16+'Encargos e Benefícios'!Z16+'Encargos e Benefícios'!AA16+'Encargos e Benefícios'!AB16)*5.84%</f>
        <v>18.235399999999998</v>
      </c>
      <c r="Q17" s="256">
        <f>'Encargos e Benefícios'!V16*5.84%</f>
        <v>5.434704</v>
      </c>
      <c r="R17" s="256"/>
      <c r="S17" s="293">
        <v>46143</v>
      </c>
      <c r="T17" s="294">
        <v>5.8400000000000001E-2</v>
      </c>
      <c r="U17" s="256">
        <f>('Encargos e Benefícios'!W16+'Gastos com Pessoal'!O17)*5.84%</f>
        <v>32.710148351999997</v>
      </c>
      <c r="V17" s="256">
        <f>('Encargos e Benefícios'!X16+'Encargos e Benefícios'!Y16+'Encargos e Benefícios'!Z16+'Encargos e Benefícios'!AA16+'Encargos e Benefícios'!AB16+'Gastos com Pessoal'!P17)*5.84%</f>
        <v>19.300347360000004</v>
      </c>
      <c r="W17" s="256">
        <f>('Encargos e Benefícios'!V16+'Gastos com Pessoal'!Q17)*5.84%</f>
        <v>5.7520907136000003</v>
      </c>
      <c r="X17" s="256"/>
      <c r="Y17" s="293">
        <v>46508</v>
      </c>
      <c r="Z17" s="294">
        <v>5.8400000000000001E-2</v>
      </c>
      <c r="AA17" s="256">
        <f>('Encargos e Benefícios'!W16+'Gastos com Pessoal'!O17+'Gastos com Pessoal'!U17)*5.84%</f>
        <v>34.620421015756804</v>
      </c>
      <c r="AB17" s="256">
        <f>('Encargos e Benefícios'!X16+'Encargos e Benefícios'!Y16+'Encargos e Benefícios'!Z16+'Encargos e Benefícios'!AA16+'Encargos e Benefícios'!AB16+'Gastos com Pessoal'!P17+'Gastos com Pessoal'!V17)*5.84%</f>
        <v>20.427487645824002</v>
      </c>
      <c r="AC17" s="256">
        <f>('Encargos e Benefícios'!V16+'Gastos com Pessoal'!Q17+'Gastos com Pessoal'!W17)*5.84%</f>
        <v>6.0880128112742398</v>
      </c>
      <c r="AD17" s="256"/>
      <c r="AE17" s="293">
        <v>46874</v>
      </c>
      <c r="AF17" s="294">
        <v>5.8400000000000001E-2</v>
      </c>
      <c r="AG17" s="256">
        <f>('Encargos e Benefícios'!W16+'Gastos com Pessoal'!O17+'Gastos com Pessoal'!U17+'Gastos com Pessoal'!AA17)*5.84%</f>
        <v>36.642253603077002</v>
      </c>
      <c r="AH17" s="256">
        <f>('Encargos e Benefícios'!X16+'Encargos e Benefícios'!Y16+'Encargos e Benefícios'!Z16+'Encargos e Benefícios'!AA16+'Encargos e Benefícios'!AB16+'Gastos com Pessoal'!P17+'Gastos com Pessoal'!V17+'Gastos com Pessoal'!AB17)*5.84%</f>
        <v>21.620452924340121</v>
      </c>
      <c r="AI17" s="256">
        <f>('Encargos e Benefícios'!V16+'Gastos com Pessoal'!Q17+'Gastos com Pessoal'!W17+'Gastos com Pessoal'!AC17)*5.84%</f>
        <v>6.4435527594526558</v>
      </c>
      <c r="AJ17" s="257"/>
      <c r="AK17" s="296">
        <f>'Encargos e Benefícios'!D16</f>
        <v>1537.21</v>
      </c>
      <c r="AL17" s="296">
        <f>IF('Encargos e Benefícios'!C16=0,0,'Encargos e Benefícios'!U16/'Encargos e Benefícios'!C16)</f>
        <v>1228.3161905555557</v>
      </c>
      <c r="AM17" s="296">
        <f>IF('Encargos e Benefícios'!C16=0,0,'Encargos e Benefícios'!AC16/'Encargos e Benefícios'!C16)</f>
        <v>934.51</v>
      </c>
      <c r="AN17" s="297">
        <f>IF('Encargos e Benefícios'!C16=0,0,'Encargos e Benefícios'!AD16/'Encargos e Benefícios'!C16)</f>
        <v>3700.0361905555555</v>
      </c>
      <c r="AO17" s="188">
        <v>1826.28</v>
      </c>
      <c r="AP17" s="298">
        <v>1452.39</v>
      </c>
      <c r="AQ17" s="298">
        <v>2200.17</v>
      </c>
      <c r="AR17" s="299" t="s">
        <v>102</v>
      </c>
      <c r="AS17" s="188"/>
    </row>
    <row r="18" spans="1:45">
      <c r="A18" s="286">
        <v>12</v>
      </c>
      <c r="B18" s="81" t="str">
        <f>'Encargos e Benefícios'!B17</f>
        <v>Socioeducador - DC</v>
      </c>
      <c r="C18" s="287">
        <f>'Encargos e Benefícios'!C17</f>
        <v>2</v>
      </c>
      <c r="D18" s="288" t="s">
        <v>496</v>
      </c>
      <c r="E18" s="300">
        <v>45658</v>
      </c>
      <c r="F18" s="301">
        <v>47058</v>
      </c>
      <c r="G18" s="293"/>
      <c r="H18" s="294"/>
      <c r="I18" s="256"/>
      <c r="J18" s="256"/>
      <c r="K18" s="256"/>
      <c r="L18" s="256"/>
      <c r="M18" s="293">
        <v>45778</v>
      </c>
      <c r="N18" s="294">
        <v>5.8400000000000001E-2</v>
      </c>
      <c r="O18" s="256">
        <f>'Encargos e Benefícios'!W17*5.84%</f>
        <v>61.810560000000002</v>
      </c>
      <c r="P18" s="256">
        <f>('Encargos e Benefícios'!X17+'Encargos e Benefícios'!Y17+'Encargos e Benefícios'!Z17+'Encargos e Benefícios'!AA17+'Encargos e Benefícios'!AB17)*5.84%</f>
        <v>36.470799999999997</v>
      </c>
      <c r="Q18" s="256">
        <f>'Encargos e Benefícios'!V17*5.84%</f>
        <v>7.4109600000000002</v>
      </c>
      <c r="R18" s="256"/>
      <c r="S18" s="293">
        <v>46143</v>
      </c>
      <c r="T18" s="294">
        <v>5.8400000000000001E-2</v>
      </c>
      <c r="U18" s="256">
        <f>('Encargos e Benefícios'!W17+'Gastos com Pessoal'!O18)*5.84%</f>
        <v>65.420296703999995</v>
      </c>
      <c r="V18" s="256">
        <f>('Encargos e Benefícios'!X17+'Encargos e Benefícios'!Y17+'Encargos e Benefícios'!Z17+'Encargos e Benefícios'!AA17+'Encargos e Benefícios'!AB17+'Gastos com Pessoal'!P18)*5.84%</f>
        <v>38.600694720000007</v>
      </c>
      <c r="W18" s="256">
        <f>('Encargos e Benefícios'!V17+'Gastos com Pessoal'!Q18)*5.84%</f>
        <v>7.8437600639999996</v>
      </c>
      <c r="X18" s="256"/>
      <c r="Y18" s="293">
        <v>46508</v>
      </c>
      <c r="Z18" s="294">
        <v>5.8400000000000001E-2</v>
      </c>
      <c r="AA18" s="256">
        <f>('Encargos e Benefícios'!W17+'Gastos com Pessoal'!O18+'Gastos com Pessoal'!U18)*5.84%</f>
        <v>69.240842031513608</v>
      </c>
      <c r="AB18" s="256">
        <f>('Encargos e Benefícios'!X17+'Encargos e Benefícios'!Y17+'Encargos e Benefícios'!Z17+'Encargos e Benefícios'!AA17+'Encargos e Benefícios'!AB17+'Gastos com Pessoal'!P18+'Gastos com Pessoal'!V18)*5.84%</f>
        <v>40.854975291648003</v>
      </c>
      <c r="AC18" s="256">
        <f>('Encargos e Benefícios'!V17+'Gastos com Pessoal'!Q18+'Gastos com Pessoal'!W18)*5.84%</f>
        <v>8.3018356517375995</v>
      </c>
      <c r="AD18" s="256"/>
      <c r="AE18" s="293">
        <v>46874</v>
      </c>
      <c r="AF18" s="294">
        <v>5.8400000000000001E-2</v>
      </c>
      <c r="AG18" s="256">
        <f>('Encargos e Benefícios'!W17+'Gastos com Pessoal'!O18+'Gastos com Pessoal'!U18+'Gastos com Pessoal'!AA18)*5.84%</f>
        <v>73.284507206154004</v>
      </c>
      <c r="AH18" s="256">
        <f>('Encargos e Benefícios'!X17+'Encargos e Benefícios'!Y17+'Encargos e Benefícios'!Z17+'Encargos e Benefícios'!AA17+'Encargos e Benefícios'!AB17+'Gastos com Pessoal'!P18+'Gastos com Pessoal'!V18+'Gastos com Pessoal'!AB18)*5.84%</f>
        <v>43.240905848680242</v>
      </c>
      <c r="AI18" s="256">
        <f>('Encargos e Benefícios'!V17+'Gastos com Pessoal'!Q18+'Gastos com Pessoal'!W18+'Gastos com Pessoal'!AC18)*5.84%</f>
        <v>8.7866628537990756</v>
      </c>
      <c r="AJ18" s="257"/>
      <c r="AK18" s="296">
        <f>'Encargos e Benefícios'!D17</f>
        <v>2010.96</v>
      </c>
      <c r="AL18" s="296">
        <f>IF('Encargos e Benefícios'!C17=0,0,'Encargos e Benefícios'!U17/'Encargos e Benefícios'!C17)</f>
        <v>2942.4053904000002</v>
      </c>
      <c r="AM18" s="296">
        <f>IF('Encargos e Benefícios'!C17=0,0,'Encargos e Benefícios'!AC17/'Encargos e Benefícios'!C17)</f>
        <v>904.90000000000009</v>
      </c>
      <c r="AN18" s="297">
        <f>IF('Encargos e Benefícios'!C17=0,0,'Encargos e Benefícios'!AD17/'Encargos e Benefícios'!C17)</f>
        <v>5858.2653903999999</v>
      </c>
      <c r="AO18" s="188">
        <v>2752.21</v>
      </c>
      <c r="AP18" s="298">
        <v>1764.5</v>
      </c>
      <c r="AQ18" s="298">
        <v>3739.92</v>
      </c>
      <c r="AR18" s="299" t="s">
        <v>102</v>
      </c>
      <c r="AS18" s="188"/>
    </row>
    <row r="19" spans="1:45">
      <c r="A19" s="286">
        <v>13</v>
      </c>
      <c r="B19" s="81" t="str">
        <f>'Encargos e Benefícios'!B18</f>
        <v>Socioeducador - D</v>
      </c>
      <c r="C19" s="287">
        <f>'Encargos e Benefícios'!C18</f>
        <v>12</v>
      </c>
      <c r="D19" s="288" t="s">
        <v>496</v>
      </c>
      <c r="E19" s="300">
        <v>45658</v>
      </c>
      <c r="F19" s="301">
        <v>47058</v>
      </c>
      <c r="G19" s="293"/>
      <c r="H19" s="294"/>
      <c r="I19" s="256"/>
      <c r="J19" s="256"/>
      <c r="K19" s="256"/>
      <c r="L19" s="256"/>
      <c r="M19" s="293">
        <v>45778</v>
      </c>
      <c r="N19" s="294">
        <v>5.8400000000000001E-2</v>
      </c>
      <c r="O19" s="256">
        <f>'Encargos e Benefícios'!W18*5.84%</f>
        <v>370.86336000000006</v>
      </c>
      <c r="P19" s="256">
        <f>('Encargos e Benefícios'!X18+'Encargos e Benefícios'!Y18+'Encargos e Benefícios'!Z18+'Encargos e Benefícios'!AA18+'Encargos e Benefícios'!AB18)*5.84%</f>
        <v>218.82480000000001</v>
      </c>
      <c r="Q19" s="256">
        <f>'Encargos e Benefícios'!V18*5.84%</f>
        <v>44.465760000000003</v>
      </c>
      <c r="R19" s="256"/>
      <c r="S19" s="293">
        <v>46143</v>
      </c>
      <c r="T19" s="294">
        <v>5.8400000000000001E-2</v>
      </c>
      <c r="U19" s="256">
        <f>('Encargos e Benefícios'!W18+'Gastos com Pessoal'!O19)*5.84%</f>
        <v>392.52178022400005</v>
      </c>
      <c r="V19" s="256">
        <f>('Encargos e Benefícios'!X18+'Encargos e Benefícios'!Y18+'Encargos e Benefícios'!Z18+'Encargos e Benefícios'!AA18+'Encargos e Benefícios'!AB18+'Gastos com Pessoal'!P19)*5.84%</f>
        <v>231.60416831999999</v>
      </c>
      <c r="W19" s="256">
        <f>('Encargos e Benefícios'!V18+'Gastos com Pessoal'!Q19)*5.84%</f>
        <v>47.062560384000008</v>
      </c>
      <c r="X19" s="256"/>
      <c r="Y19" s="293">
        <v>46508</v>
      </c>
      <c r="Z19" s="294">
        <v>5.8400000000000001E-2</v>
      </c>
      <c r="AA19" s="256">
        <f>('Encargos e Benefícios'!W18+'Gastos com Pessoal'!O19+'Gastos com Pessoal'!U19)*5.84%</f>
        <v>415.44505218908165</v>
      </c>
      <c r="AB19" s="256">
        <f>('Encargos e Benefícios'!X18+'Encargos e Benefícios'!Y18+'Encargos e Benefícios'!Z18+'Encargos e Benefícios'!AA18+'Encargos e Benefícios'!AB18+'Gastos com Pessoal'!P19+'Gastos com Pessoal'!V19)*5.84%</f>
        <v>245.12985174988796</v>
      </c>
      <c r="AC19" s="256">
        <f>('Encargos e Benefícios'!V18+'Gastos com Pessoal'!Q19+'Gastos com Pessoal'!W19)*5.84%</f>
        <v>49.811013910425608</v>
      </c>
      <c r="AD19" s="256"/>
      <c r="AE19" s="293">
        <v>46874</v>
      </c>
      <c r="AF19" s="294">
        <v>5.8400000000000001E-2</v>
      </c>
      <c r="AG19" s="256">
        <f>('Encargos e Benefícios'!W18+'Gastos com Pessoal'!O19+'Gastos com Pessoal'!U19+'Gastos com Pessoal'!AA19)*5.84%</f>
        <v>439.70704323692399</v>
      </c>
      <c r="AH19" s="256">
        <f>('Encargos e Benefícios'!X18+'Encargos e Benefícios'!Y18+'Encargos e Benefícios'!Z18+'Encargos e Benefícios'!AA18+'Encargos e Benefícios'!AB18+'Gastos com Pessoal'!P19+'Gastos com Pessoal'!V19+'Gastos com Pessoal'!AB19)*5.84%</f>
        <v>259.44543509208142</v>
      </c>
      <c r="AI19" s="256">
        <f>('Encargos e Benefícios'!V18+'Gastos com Pessoal'!Q19+'Gastos com Pessoal'!W19+'Gastos com Pessoal'!AC19)*5.84%</f>
        <v>52.719977122794461</v>
      </c>
      <c r="AJ19" s="257"/>
      <c r="AK19" s="296">
        <f>'Encargos e Benefícios'!D18</f>
        <v>2010.96</v>
      </c>
      <c r="AL19" s="296">
        <f>IF('Encargos e Benefícios'!C18=0,0,'Encargos e Benefícios'!U18/'Encargos e Benefícios'!C18)</f>
        <v>2591.2415003999999</v>
      </c>
      <c r="AM19" s="296">
        <f>IF('Encargos e Benefícios'!C18=0,0,'Encargos e Benefícios'!AC18/'Encargos e Benefícios'!C18)</f>
        <v>904.9</v>
      </c>
      <c r="AN19" s="297">
        <f>IF('Encargos e Benefícios'!C18=0,0,'Encargos e Benefícios'!AD18/'Encargos e Benefícios'!C18)</f>
        <v>5507.1015004000001</v>
      </c>
      <c r="AO19" s="188">
        <v>2752.21</v>
      </c>
      <c r="AP19" s="298">
        <v>1764.5</v>
      </c>
      <c r="AQ19" s="298">
        <v>3739.92</v>
      </c>
      <c r="AR19" s="299" t="s">
        <v>102</v>
      </c>
      <c r="AS19" s="188"/>
    </row>
    <row r="20" spans="1:45">
      <c r="A20" s="286">
        <v>14</v>
      </c>
      <c r="B20" s="81" t="str">
        <f>'Encargos e Benefícios'!B19</f>
        <v>Socioeducador - NC</v>
      </c>
      <c r="C20" s="287">
        <f>'Encargos e Benefícios'!C19</f>
        <v>2</v>
      </c>
      <c r="D20" s="288" t="s">
        <v>496</v>
      </c>
      <c r="E20" s="300">
        <v>45658</v>
      </c>
      <c r="F20" s="301">
        <v>47058</v>
      </c>
      <c r="G20" s="293"/>
      <c r="H20" s="294"/>
      <c r="I20" s="256"/>
      <c r="J20" s="256"/>
      <c r="K20" s="256"/>
      <c r="L20" s="256"/>
      <c r="M20" s="293">
        <v>45778</v>
      </c>
      <c r="N20" s="294">
        <v>5.8400000000000001E-2</v>
      </c>
      <c r="O20" s="256">
        <f>'Encargos e Benefícios'!W19*5.84%</f>
        <v>61.810560000000002</v>
      </c>
      <c r="P20" s="256">
        <f>('Encargos e Benefícios'!X19+'Encargos e Benefícios'!Y19+'Encargos e Benefícios'!Z19+'Encargos e Benefícios'!AA19+'Encargos e Benefícios'!AB19)*5.84%</f>
        <v>36.470799999999997</v>
      </c>
      <c r="Q20" s="256">
        <f>'Encargos e Benefícios'!V19*5.84%</f>
        <v>7.4109600000000002</v>
      </c>
      <c r="R20" s="256"/>
      <c r="S20" s="293">
        <v>46143</v>
      </c>
      <c r="T20" s="294">
        <v>5.8400000000000001E-2</v>
      </c>
      <c r="U20" s="256">
        <f>('Encargos e Benefícios'!W19+'Gastos com Pessoal'!O20)*5.84%</f>
        <v>65.420296703999995</v>
      </c>
      <c r="V20" s="256">
        <f>('Encargos e Benefícios'!X19+'Encargos e Benefícios'!Y19+'Encargos e Benefícios'!Z19+'Encargos e Benefícios'!AA19+'Encargos e Benefícios'!AB19+'Gastos com Pessoal'!P20)*5.84%</f>
        <v>38.600694720000007</v>
      </c>
      <c r="W20" s="256">
        <f>('Encargos e Benefícios'!V19+'Gastos com Pessoal'!Q20)*5.84%</f>
        <v>7.8437600639999996</v>
      </c>
      <c r="X20" s="256"/>
      <c r="Y20" s="293">
        <v>46508</v>
      </c>
      <c r="Z20" s="294">
        <v>5.8400000000000001E-2</v>
      </c>
      <c r="AA20" s="256">
        <f>('Encargos e Benefícios'!W19+'Gastos com Pessoal'!O20+'Gastos com Pessoal'!U20)*5.84%</f>
        <v>69.240842031513608</v>
      </c>
      <c r="AB20" s="256">
        <f>('Encargos e Benefícios'!X19+'Encargos e Benefícios'!Y19+'Encargos e Benefícios'!Z19+'Encargos e Benefícios'!AA19+'Encargos e Benefícios'!AB19+'Gastos com Pessoal'!P20+'Gastos com Pessoal'!V20)*5.84%</f>
        <v>40.854975291648003</v>
      </c>
      <c r="AC20" s="256">
        <f>('Encargos e Benefícios'!V19+'Gastos com Pessoal'!Q20+'Gastos com Pessoal'!W20)*5.84%</f>
        <v>8.3018356517375995</v>
      </c>
      <c r="AD20" s="256"/>
      <c r="AE20" s="293">
        <v>46874</v>
      </c>
      <c r="AF20" s="294">
        <v>5.8400000000000001E-2</v>
      </c>
      <c r="AG20" s="256">
        <f>('Encargos e Benefícios'!W19+'Gastos com Pessoal'!O20+'Gastos com Pessoal'!U20+'Gastos com Pessoal'!AA20)*5.84%</f>
        <v>73.284507206154004</v>
      </c>
      <c r="AH20" s="256">
        <f>('Encargos e Benefícios'!X19+'Encargos e Benefícios'!Y19+'Encargos e Benefícios'!Z19+'Encargos e Benefícios'!AA19+'Encargos e Benefícios'!AB19+'Gastos com Pessoal'!P20+'Gastos com Pessoal'!V20+'Gastos com Pessoal'!AB20)*5.84%</f>
        <v>43.240905848680242</v>
      </c>
      <c r="AI20" s="256">
        <f>('Encargos e Benefícios'!V19+'Gastos com Pessoal'!Q20+'Gastos com Pessoal'!W20+'Gastos com Pessoal'!AC20)*5.84%</f>
        <v>8.7866628537990756</v>
      </c>
      <c r="AJ20" s="257"/>
      <c r="AK20" s="296">
        <f>'Encargos e Benefícios'!D19</f>
        <v>2010.96</v>
      </c>
      <c r="AL20" s="296">
        <f>IF('Encargos e Benefícios'!C19=0,0,'Encargos e Benefícios'!U19/'Encargos e Benefícios'!C19)</f>
        <v>3553.5688062933345</v>
      </c>
      <c r="AM20" s="296">
        <f>IF('Encargos e Benefícios'!C19=0,0,'Encargos e Benefícios'!AC19/'Encargos e Benefícios'!C19)</f>
        <v>904.90000000000009</v>
      </c>
      <c r="AN20" s="297">
        <f>IF('Encargos e Benefícios'!C19=0,0,'Encargos e Benefícios'!AD19/'Encargos e Benefícios'!C19)</f>
        <v>6469.4288062933338</v>
      </c>
      <c r="AO20" s="188">
        <v>2752.21</v>
      </c>
      <c r="AP20" s="298">
        <v>1764.5</v>
      </c>
      <c r="AQ20" s="298">
        <v>3739.92</v>
      </c>
      <c r="AR20" s="299" t="s">
        <v>102</v>
      </c>
      <c r="AS20" s="188"/>
    </row>
    <row r="21" spans="1:45" ht="13" thickBot="1">
      <c r="A21" s="286">
        <v>15</v>
      </c>
      <c r="B21" s="81" t="str">
        <f>'Encargos e Benefícios'!B20</f>
        <v>Socioeducador - N</v>
      </c>
      <c r="C21" s="287">
        <f>'Encargos e Benefícios'!C20</f>
        <v>6</v>
      </c>
      <c r="D21" s="288" t="s">
        <v>496</v>
      </c>
      <c r="E21" s="300">
        <v>45658</v>
      </c>
      <c r="F21" s="301">
        <v>47058</v>
      </c>
      <c r="G21" s="293"/>
      <c r="H21" s="294"/>
      <c r="I21" s="256"/>
      <c r="J21" s="256"/>
      <c r="K21" s="256"/>
      <c r="L21" s="256"/>
      <c r="M21" s="293">
        <v>45778</v>
      </c>
      <c r="N21" s="294">
        <v>5.8400000000000001E-2</v>
      </c>
      <c r="O21" s="256">
        <f>'Encargos e Benefícios'!W20*5.84%</f>
        <v>185.43168000000003</v>
      </c>
      <c r="P21" s="256">
        <f>('Encargos e Benefícios'!X20+'Encargos e Benefícios'!Y20+'Encargos e Benefícios'!Z20+'Encargos e Benefícios'!AA20+'Encargos e Benefícios'!AB20)*5.84%</f>
        <v>109.41240000000001</v>
      </c>
      <c r="Q21" s="256">
        <f>'Encargos e Benefícios'!V20*5.84%</f>
        <v>22.232880000000002</v>
      </c>
      <c r="R21" s="256"/>
      <c r="S21" s="293">
        <v>46143</v>
      </c>
      <c r="T21" s="294">
        <v>5.8400000000000001E-2</v>
      </c>
      <c r="U21" s="256">
        <f>('Encargos e Benefícios'!W20+'Gastos com Pessoal'!O21)*5.84%</f>
        <v>196.26089011200003</v>
      </c>
      <c r="V21" s="256">
        <f>('Encargos e Benefícios'!X20+'Encargos e Benefícios'!Y20+'Encargos e Benefícios'!Z20+'Encargos e Benefícios'!AA20+'Encargos e Benefícios'!AB20+'Gastos com Pessoal'!P21)*5.84%</f>
        <v>115.80208415999999</v>
      </c>
      <c r="W21" s="256">
        <f>('Encargos e Benefícios'!V20+'Gastos com Pessoal'!Q21)*5.84%</f>
        <v>23.531280192000004</v>
      </c>
      <c r="X21" s="256"/>
      <c r="Y21" s="293">
        <v>46508</v>
      </c>
      <c r="Z21" s="294">
        <v>5.8400000000000001E-2</v>
      </c>
      <c r="AA21" s="256">
        <f>('Encargos e Benefícios'!W20+'Gastos com Pessoal'!O21+'Gastos com Pessoal'!U21)*5.84%</f>
        <v>207.72252609454083</v>
      </c>
      <c r="AB21" s="256">
        <f>('Encargos e Benefícios'!X20+'Encargos e Benefícios'!Y20+'Encargos e Benefícios'!Z20+'Encargos e Benefícios'!AA20+'Encargos e Benefícios'!AB20+'Gastos com Pessoal'!P21+'Gastos com Pessoal'!V21)*5.84%</f>
        <v>122.56492587494398</v>
      </c>
      <c r="AC21" s="256">
        <f>('Encargos e Benefícios'!V20+'Gastos com Pessoal'!Q21+'Gastos com Pessoal'!W21)*5.84%</f>
        <v>24.905506955212804</v>
      </c>
      <c r="AD21" s="256"/>
      <c r="AE21" s="293">
        <v>46874</v>
      </c>
      <c r="AF21" s="294">
        <v>5.8400000000000001E-2</v>
      </c>
      <c r="AG21" s="256">
        <f>('Encargos e Benefícios'!W20+'Gastos com Pessoal'!O21+'Gastos com Pessoal'!U21+'Gastos com Pessoal'!AA21)*5.84%</f>
        <v>219.853521618462</v>
      </c>
      <c r="AH21" s="256">
        <f>('Encargos e Benefícios'!X20+'Encargos e Benefícios'!Y20+'Encargos e Benefícios'!Z20+'Encargos e Benefícios'!AA20+'Encargos e Benefícios'!AB20+'Gastos com Pessoal'!P21+'Gastos com Pessoal'!V21+'Gastos com Pessoal'!AB21)*5.84%</f>
        <v>129.72271754604071</v>
      </c>
      <c r="AI21" s="256">
        <f>('Encargos e Benefícios'!V20+'Gastos com Pessoal'!Q21+'Gastos com Pessoal'!W21+'Gastos com Pessoal'!AC21)*5.84%</f>
        <v>26.35998856139723</v>
      </c>
      <c r="AJ21" s="257"/>
      <c r="AK21" s="296">
        <f>'Encargos e Benefícios'!D20</f>
        <v>2010.96</v>
      </c>
      <c r="AL21" s="296">
        <f>IF('Encargos e Benefícios'!C20=0,0,'Encargos e Benefícios'!U20/'Encargos e Benefícios'!C20)</f>
        <v>3202.4049162933329</v>
      </c>
      <c r="AM21" s="296">
        <f>IF('Encargos e Benefícios'!C20=0,0,'Encargos e Benefícios'!AC20/'Encargos e Benefícios'!C20)</f>
        <v>904.9</v>
      </c>
      <c r="AN21" s="297">
        <f>IF('Encargos e Benefícios'!C20=0,0,'Encargos e Benefícios'!AD20/'Encargos e Benefícios'!C20)</f>
        <v>6118.264916293333</v>
      </c>
      <c r="AO21" s="188">
        <v>2752.21</v>
      </c>
      <c r="AP21" s="298">
        <v>1764.5</v>
      </c>
      <c r="AQ21" s="298">
        <v>3739.92</v>
      </c>
      <c r="AR21" s="299" t="s">
        <v>102</v>
      </c>
      <c r="AS21" s="188"/>
    </row>
    <row r="22" spans="1:45">
      <c r="A22" s="286">
        <v>16</v>
      </c>
      <c r="B22" s="81" t="str">
        <f>'Encargos e Benefícios'!B21</f>
        <v>Diretor Geral de Unidade Socioeducativa</v>
      </c>
      <c r="C22" s="287">
        <f>'Encargos e Benefícios'!C21</f>
        <v>1</v>
      </c>
      <c r="D22" s="288">
        <v>40</v>
      </c>
      <c r="E22" s="289">
        <v>45658</v>
      </c>
      <c r="F22" s="290">
        <v>47058</v>
      </c>
      <c r="G22" s="293"/>
      <c r="H22" s="294"/>
      <c r="I22" s="256"/>
      <c r="J22" s="256"/>
      <c r="K22" s="256"/>
      <c r="L22" s="256"/>
      <c r="M22" s="293">
        <v>45778</v>
      </c>
      <c r="N22" s="294">
        <v>5.8400000000000001E-2</v>
      </c>
      <c r="O22" s="256">
        <f>'Encargos e Benefícios'!W21*5.84%</f>
        <v>30.905280000000001</v>
      </c>
      <c r="P22" s="256">
        <f>('Encargos e Benefícios'!X21+'Encargos e Benefícios'!Y21+'Encargos e Benefícios'!Z21+'Encargos e Benefícios'!AA21+'Encargos e Benefícios'!AB21)*5.84%</f>
        <v>18.235399999999998</v>
      </c>
      <c r="Q22" s="256">
        <f>'Encargos e Benefícios'!V21*5.84%</f>
        <v>0</v>
      </c>
      <c r="R22" s="256"/>
      <c r="S22" s="293">
        <v>46143</v>
      </c>
      <c r="T22" s="294">
        <v>5.8400000000000001E-2</v>
      </c>
      <c r="U22" s="256">
        <f>('Encargos e Benefícios'!W21+'Gastos com Pessoal'!O22)*5.84%</f>
        <v>32.710148351999997</v>
      </c>
      <c r="V22" s="256">
        <f>('Encargos e Benefícios'!X21+'Encargos e Benefícios'!Y21+'Encargos e Benefícios'!Z21+'Encargos e Benefícios'!AA21+'Encargos e Benefícios'!AB21+'Gastos com Pessoal'!P22)*5.84%</f>
        <v>19.300347360000004</v>
      </c>
      <c r="W22" s="256">
        <f>('Encargos e Benefícios'!V21+'Gastos com Pessoal'!Q22)*5.84%</f>
        <v>0</v>
      </c>
      <c r="X22" s="256"/>
      <c r="Y22" s="293">
        <v>46508</v>
      </c>
      <c r="Z22" s="294">
        <v>5.8400000000000001E-2</v>
      </c>
      <c r="AA22" s="256">
        <f>('Encargos e Benefícios'!W21+'Gastos com Pessoal'!O22+'Gastos com Pessoal'!U22)*5.84%</f>
        <v>34.620421015756804</v>
      </c>
      <c r="AB22" s="256">
        <f>('Encargos e Benefícios'!X21+'Encargos e Benefícios'!Y21+'Encargos e Benefícios'!Z21+'Encargos e Benefícios'!AA21+'Encargos e Benefícios'!AB21+'Gastos com Pessoal'!P22+'Gastos com Pessoal'!V22)*5.84%</f>
        <v>20.427487645824002</v>
      </c>
      <c r="AC22" s="256">
        <f>('Encargos e Benefícios'!V21+'Gastos com Pessoal'!Q22+'Gastos com Pessoal'!W22)*5.84%</f>
        <v>0</v>
      </c>
      <c r="AD22" s="256"/>
      <c r="AE22" s="293">
        <v>46874</v>
      </c>
      <c r="AF22" s="294">
        <v>5.8400000000000001E-2</v>
      </c>
      <c r="AG22" s="256">
        <f>('Encargos e Benefícios'!W21+'Gastos com Pessoal'!O22+'Gastos com Pessoal'!U22+'Gastos com Pessoal'!AA22)*5.84%</f>
        <v>36.642253603077002</v>
      </c>
      <c r="AH22" s="256">
        <f>('Encargos e Benefícios'!X21+'Encargos e Benefícios'!Y21+'Encargos e Benefícios'!Z21+'Encargos e Benefícios'!AA21+'Encargos e Benefícios'!AB21+'Gastos com Pessoal'!P22+'Gastos com Pessoal'!V22+'Gastos com Pessoal'!AB22)*5.84%</f>
        <v>21.620452924340121</v>
      </c>
      <c r="AI22" s="256">
        <f>('Encargos e Benefícios'!V21+'Gastos com Pessoal'!Q22+'Gastos com Pessoal'!W22+'Gastos com Pessoal'!AC22)*5.84%</f>
        <v>0</v>
      </c>
      <c r="AJ22" s="257"/>
      <c r="AK22" s="296">
        <f>'Encargos e Benefícios'!D21</f>
        <v>6879.6</v>
      </c>
      <c r="AL22" s="296">
        <f>IF('Encargos e Benefícios'!C21=0,0,'Encargos e Benefícios'!U21/'Encargos e Benefícios'!C21)</f>
        <v>5400.8682000000008</v>
      </c>
      <c r="AM22" s="296">
        <f>IF('Encargos e Benefícios'!C21=0,0,'Encargos e Benefícios'!AC21/'Encargos e Benefícios'!C21)</f>
        <v>841.45</v>
      </c>
      <c r="AN22" s="297">
        <f>IF('Encargos e Benefícios'!C21=0,0,'Encargos e Benefícios'!AD21/'Encargos e Benefícios'!C21)</f>
        <v>13121.918200000002</v>
      </c>
      <c r="AO22" s="188">
        <v>6052.24</v>
      </c>
      <c r="AP22" s="298">
        <v>4236.6899999999996</v>
      </c>
      <c r="AQ22" s="298">
        <v>7864.78</v>
      </c>
      <c r="AR22" s="299" t="s">
        <v>103</v>
      </c>
      <c r="AS22" s="188"/>
    </row>
    <row r="23" spans="1:45">
      <c r="A23" s="286">
        <v>17</v>
      </c>
      <c r="B23" s="81" t="str">
        <f>'Encargos e Benefícios'!B22</f>
        <v>Subdiretor de Segurança</v>
      </c>
      <c r="C23" s="287">
        <f>'Encargos e Benefícios'!C22</f>
        <v>1</v>
      </c>
      <c r="D23" s="288">
        <v>40</v>
      </c>
      <c r="E23" s="300">
        <v>45658</v>
      </c>
      <c r="F23" s="301">
        <v>47058</v>
      </c>
      <c r="G23" s="293"/>
      <c r="H23" s="294"/>
      <c r="I23" s="256"/>
      <c r="J23" s="256"/>
      <c r="K23" s="256"/>
      <c r="L23" s="256"/>
      <c r="M23" s="293">
        <v>45778</v>
      </c>
      <c r="N23" s="294">
        <v>5.8400000000000001E-2</v>
      </c>
      <c r="O23" s="256">
        <f>'Encargos e Benefícios'!W22*5.84%</f>
        <v>30.905280000000001</v>
      </c>
      <c r="P23" s="256">
        <f>('Encargos e Benefícios'!X22+'Encargos e Benefícios'!Y22+'Encargos e Benefícios'!Z22+'Encargos e Benefícios'!AA22+'Encargos e Benefícios'!AB22)*5.84%</f>
        <v>18.235399999999998</v>
      </c>
      <c r="Q23" s="256">
        <f>'Encargos e Benefícios'!V22*5.84%</f>
        <v>0</v>
      </c>
      <c r="R23" s="256"/>
      <c r="S23" s="293">
        <v>46143</v>
      </c>
      <c r="T23" s="294">
        <v>5.8400000000000001E-2</v>
      </c>
      <c r="U23" s="256">
        <f>('Encargos e Benefícios'!W22+'Gastos com Pessoal'!O23)*5.84%</f>
        <v>32.710148351999997</v>
      </c>
      <c r="V23" s="256">
        <f>('Encargos e Benefícios'!X22+'Encargos e Benefícios'!Y22+'Encargos e Benefícios'!Z22+'Encargos e Benefícios'!AA22+'Encargos e Benefícios'!AB22+'Gastos com Pessoal'!P23)*5.84%</f>
        <v>19.300347360000004</v>
      </c>
      <c r="W23" s="256">
        <f>('Encargos e Benefícios'!V22+'Gastos com Pessoal'!Q23)*5.84%</f>
        <v>0</v>
      </c>
      <c r="X23" s="256"/>
      <c r="Y23" s="293">
        <v>46508</v>
      </c>
      <c r="Z23" s="294">
        <v>5.8400000000000001E-2</v>
      </c>
      <c r="AA23" s="256">
        <f>('Encargos e Benefícios'!W22+'Gastos com Pessoal'!O23+'Gastos com Pessoal'!U23)*5.84%</f>
        <v>34.620421015756804</v>
      </c>
      <c r="AB23" s="256">
        <f>('Encargos e Benefícios'!X22+'Encargos e Benefícios'!Y22+'Encargos e Benefícios'!Z22+'Encargos e Benefícios'!AA22+'Encargos e Benefícios'!AB22+'Gastos com Pessoal'!P23+'Gastos com Pessoal'!V23)*5.84%</f>
        <v>20.427487645824002</v>
      </c>
      <c r="AC23" s="256">
        <f>('Encargos e Benefícios'!V22+'Gastos com Pessoal'!Q23+'Gastos com Pessoal'!W23)*5.84%</f>
        <v>0</v>
      </c>
      <c r="AD23" s="256"/>
      <c r="AE23" s="293">
        <v>46874</v>
      </c>
      <c r="AF23" s="294">
        <v>5.8400000000000001E-2</v>
      </c>
      <c r="AG23" s="256">
        <f>('Encargos e Benefícios'!W22+'Gastos com Pessoal'!O23+'Gastos com Pessoal'!U23+'Gastos com Pessoal'!AA23)*5.84%</f>
        <v>36.642253603077002</v>
      </c>
      <c r="AH23" s="256">
        <f>('Encargos e Benefícios'!X22+'Encargos e Benefícios'!Y22+'Encargos e Benefícios'!Z22+'Encargos e Benefícios'!AA22+'Encargos e Benefícios'!AB22+'Gastos com Pessoal'!P23+'Gastos com Pessoal'!V23+'Gastos com Pessoal'!AB23)*5.84%</f>
        <v>21.620452924340121</v>
      </c>
      <c r="AI23" s="256">
        <f>('Encargos e Benefícios'!V22+'Gastos com Pessoal'!Q23+'Gastos com Pessoal'!W23+'Gastos com Pessoal'!AC23)*5.84%</f>
        <v>0</v>
      </c>
      <c r="AJ23" s="257"/>
      <c r="AK23" s="296">
        <f>'Encargos e Benefícios'!D22</f>
        <v>3993.98</v>
      </c>
      <c r="AL23" s="296">
        <f>IF('Encargos e Benefícios'!C22=0,0,'Encargos e Benefícios'!U22/'Encargos e Benefícios'!C22)</f>
        <v>4659.1662746111106</v>
      </c>
      <c r="AM23" s="296">
        <f>IF('Encargos e Benefícios'!C22=0,0,'Encargos e Benefícios'!AC22/'Encargos e Benefícios'!C22)</f>
        <v>841.45</v>
      </c>
      <c r="AN23" s="297">
        <f>IF('Encargos e Benefícios'!C22=0,0,'Encargos e Benefícios'!AD22/'Encargos e Benefícios'!C22)</f>
        <v>9494.5962746111109</v>
      </c>
      <c r="AO23" s="188">
        <v>4968.99</v>
      </c>
      <c r="AP23" s="298">
        <v>3773.6</v>
      </c>
      <c r="AQ23" s="298">
        <v>6164.38</v>
      </c>
      <c r="AR23" s="299" t="s">
        <v>103</v>
      </c>
      <c r="AS23" s="188"/>
    </row>
    <row r="24" spans="1:45">
      <c r="A24" s="286">
        <v>18</v>
      </c>
      <c r="B24" s="81" t="str">
        <f>'Encargos e Benefícios'!B23</f>
        <v>Advogado</v>
      </c>
      <c r="C24" s="287">
        <f>'Encargos e Benefícios'!C23</f>
        <v>1</v>
      </c>
      <c r="D24" s="288">
        <v>30</v>
      </c>
      <c r="E24" s="300">
        <v>45658</v>
      </c>
      <c r="F24" s="301">
        <v>47058</v>
      </c>
      <c r="G24" s="293"/>
      <c r="H24" s="294"/>
      <c r="I24" s="256"/>
      <c r="J24" s="256"/>
      <c r="K24" s="256"/>
      <c r="L24" s="256"/>
      <c r="M24" s="293">
        <v>45778</v>
      </c>
      <c r="N24" s="294">
        <v>5.8400000000000001E-2</v>
      </c>
      <c r="O24" s="256">
        <f>'Encargos e Benefícios'!W23*5.84%</f>
        <v>30.905280000000001</v>
      </c>
      <c r="P24" s="256">
        <f>('Encargos e Benefícios'!X23+'Encargos e Benefícios'!Y23+'Encargos e Benefícios'!Z23+'Encargos e Benefícios'!AA23+'Encargos e Benefícios'!AB23)*5.84%</f>
        <v>18.235399999999998</v>
      </c>
      <c r="Q24" s="256">
        <f>'Encargos e Benefícios'!V23*5.84%</f>
        <v>5.434704</v>
      </c>
      <c r="R24" s="256"/>
      <c r="S24" s="293">
        <v>46143</v>
      </c>
      <c r="T24" s="294">
        <v>5.8400000000000001E-2</v>
      </c>
      <c r="U24" s="256">
        <f>('Encargos e Benefícios'!W23+'Gastos com Pessoal'!O24)*5.84%</f>
        <v>32.710148351999997</v>
      </c>
      <c r="V24" s="256">
        <f>('Encargos e Benefícios'!X23+'Encargos e Benefícios'!Y23+'Encargos e Benefícios'!Z23+'Encargos e Benefícios'!AA23+'Encargos e Benefícios'!AB23+'Gastos com Pessoal'!P24)*5.84%</f>
        <v>19.300347360000004</v>
      </c>
      <c r="W24" s="256">
        <f>('Encargos e Benefícios'!V23+'Gastos com Pessoal'!Q24)*5.84%</f>
        <v>5.7520907136000003</v>
      </c>
      <c r="X24" s="256"/>
      <c r="Y24" s="293">
        <v>46508</v>
      </c>
      <c r="Z24" s="294">
        <v>5.8400000000000001E-2</v>
      </c>
      <c r="AA24" s="256">
        <f>('Encargos e Benefícios'!W23+'Gastos com Pessoal'!O24+'Gastos com Pessoal'!U24)*5.84%</f>
        <v>34.620421015756804</v>
      </c>
      <c r="AB24" s="256">
        <f>('Encargos e Benefícios'!X23+'Encargos e Benefícios'!Y23+'Encargos e Benefícios'!Z23+'Encargos e Benefícios'!AA23+'Encargos e Benefícios'!AB23+'Gastos com Pessoal'!P24+'Gastos com Pessoal'!V24)*5.84%</f>
        <v>20.427487645824002</v>
      </c>
      <c r="AC24" s="256">
        <f>('Encargos e Benefícios'!V23+'Gastos com Pessoal'!Q24+'Gastos com Pessoal'!W24)*5.84%</f>
        <v>6.0880128112742398</v>
      </c>
      <c r="AD24" s="256"/>
      <c r="AE24" s="293">
        <v>46874</v>
      </c>
      <c r="AF24" s="294">
        <v>5.8400000000000001E-2</v>
      </c>
      <c r="AG24" s="256">
        <f>('Encargos e Benefícios'!W23+'Gastos com Pessoal'!O24+'Gastos com Pessoal'!U24+'Gastos com Pessoal'!AA24)*5.84%</f>
        <v>36.642253603077002</v>
      </c>
      <c r="AH24" s="256">
        <f>('Encargos e Benefícios'!X23+'Encargos e Benefícios'!Y23+'Encargos e Benefícios'!Z23+'Encargos e Benefícios'!AA23+'Encargos e Benefícios'!AB23+'Gastos com Pessoal'!P24+'Gastos com Pessoal'!V24+'Gastos com Pessoal'!AB24)*5.84%</f>
        <v>21.620452924340121</v>
      </c>
      <c r="AI24" s="256">
        <f>('Encargos e Benefícios'!V23+'Gastos com Pessoal'!Q24+'Gastos com Pessoal'!W24+'Gastos com Pessoal'!AC24)*5.84%</f>
        <v>6.4435527594526558</v>
      </c>
      <c r="AJ24" s="257"/>
      <c r="AK24" s="296">
        <f>'Encargos e Benefícios'!D23</f>
        <v>2751.84</v>
      </c>
      <c r="AL24" s="296">
        <f>IF('Encargos e Benefícios'!C23=0,0,'Encargos e Benefícios'!U23/'Encargos e Benefícios'!C23)</f>
        <v>2198.8730400000004</v>
      </c>
      <c r="AM24" s="296">
        <f>IF('Encargos e Benefícios'!C23=0,0,'Encargos e Benefícios'!AC23/'Encargos e Benefícios'!C23)</f>
        <v>934.51</v>
      </c>
      <c r="AN24" s="297">
        <f>IF('Encargos e Benefícios'!C23=0,0,'Encargos e Benefícios'!AD23/'Encargos e Benefícios'!C23)</f>
        <v>5885.2230400000008</v>
      </c>
      <c r="AO24" s="188">
        <v>2574.5</v>
      </c>
      <c r="AP24" s="298">
        <v>2000</v>
      </c>
      <c r="AQ24" s="298">
        <v>3148.99</v>
      </c>
      <c r="AR24" s="299" t="s">
        <v>103</v>
      </c>
      <c r="AS24" s="188"/>
    </row>
    <row r="25" spans="1:45">
      <c r="A25" s="286">
        <v>19</v>
      </c>
      <c r="B25" s="81" t="str">
        <f>'Encargos e Benefícios'!B24</f>
        <v>Assistente Social</v>
      </c>
      <c r="C25" s="287">
        <f>'Encargos e Benefícios'!C24</f>
        <v>1</v>
      </c>
      <c r="D25" s="288">
        <v>30</v>
      </c>
      <c r="E25" s="300">
        <v>45658</v>
      </c>
      <c r="F25" s="301">
        <v>47058</v>
      </c>
      <c r="G25" s="293"/>
      <c r="H25" s="294"/>
      <c r="I25" s="256"/>
      <c r="J25" s="256"/>
      <c r="K25" s="256"/>
      <c r="L25" s="256"/>
      <c r="M25" s="293">
        <v>45778</v>
      </c>
      <c r="N25" s="294">
        <v>5.8400000000000001E-2</v>
      </c>
      <c r="O25" s="256">
        <f>'Encargos e Benefícios'!W24*5.84%</f>
        <v>30.905280000000001</v>
      </c>
      <c r="P25" s="256">
        <f>('Encargos e Benefícios'!X24+'Encargos e Benefícios'!Y24+'Encargos e Benefícios'!Z24+'Encargos e Benefícios'!AA24+'Encargos e Benefícios'!AB24)*5.84%</f>
        <v>18.235399999999998</v>
      </c>
      <c r="Q25" s="256">
        <f>'Encargos e Benefícios'!V24*5.84%</f>
        <v>5.434704</v>
      </c>
      <c r="R25" s="256"/>
      <c r="S25" s="293">
        <v>46143</v>
      </c>
      <c r="T25" s="294">
        <v>5.8400000000000001E-2</v>
      </c>
      <c r="U25" s="256">
        <f>('Encargos e Benefícios'!W24+'Gastos com Pessoal'!O25)*5.84%</f>
        <v>32.710148351999997</v>
      </c>
      <c r="V25" s="256">
        <f>('Encargos e Benefícios'!X24+'Encargos e Benefícios'!Y24+'Encargos e Benefícios'!Z24+'Encargos e Benefícios'!AA24+'Encargos e Benefícios'!AB24+'Gastos com Pessoal'!P25)*5.84%</f>
        <v>19.300347360000004</v>
      </c>
      <c r="W25" s="256">
        <f>('Encargos e Benefícios'!V24+'Gastos com Pessoal'!Q25)*5.84%</f>
        <v>5.7520907136000003</v>
      </c>
      <c r="X25" s="256"/>
      <c r="Y25" s="293">
        <v>46508</v>
      </c>
      <c r="Z25" s="294">
        <v>5.8400000000000001E-2</v>
      </c>
      <c r="AA25" s="256">
        <f>('Encargos e Benefícios'!W24+'Gastos com Pessoal'!O25+'Gastos com Pessoal'!U25)*5.84%</f>
        <v>34.620421015756804</v>
      </c>
      <c r="AB25" s="256">
        <f>('Encargos e Benefícios'!X24+'Encargos e Benefícios'!Y24+'Encargos e Benefícios'!Z24+'Encargos e Benefícios'!AA24+'Encargos e Benefícios'!AB24+'Gastos com Pessoal'!P25+'Gastos com Pessoal'!V25)*5.84%</f>
        <v>20.427487645824002</v>
      </c>
      <c r="AC25" s="256">
        <f>('Encargos e Benefícios'!V24+'Gastos com Pessoal'!Q25+'Gastos com Pessoal'!W25)*5.84%</f>
        <v>6.0880128112742398</v>
      </c>
      <c r="AD25" s="256"/>
      <c r="AE25" s="293">
        <v>46874</v>
      </c>
      <c r="AF25" s="294">
        <v>5.8400000000000001E-2</v>
      </c>
      <c r="AG25" s="256">
        <f>('Encargos e Benefícios'!W24+'Gastos com Pessoal'!O25+'Gastos com Pessoal'!U25+'Gastos com Pessoal'!AA25)*5.84%</f>
        <v>36.642253603077002</v>
      </c>
      <c r="AH25" s="256">
        <f>('Encargos e Benefícios'!X24+'Encargos e Benefícios'!Y24+'Encargos e Benefícios'!Z24+'Encargos e Benefícios'!AA24+'Encargos e Benefícios'!AB24+'Gastos com Pessoal'!P25+'Gastos com Pessoal'!V25+'Gastos com Pessoal'!AB25)*5.84%</f>
        <v>21.620452924340121</v>
      </c>
      <c r="AI25" s="256">
        <f>('Encargos e Benefícios'!V24+'Gastos com Pessoal'!Q25+'Gastos com Pessoal'!W25+'Gastos com Pessoal'!AC25)*5.84%</f>
        <v>6.4435527594526558</v>
      </c>
      <c r="AJ25" s="257"/>
      <c r="AK25" s="296">
        <f>'Encargos e Benefícios'!D24</f>
        <v>2751.84</v>
      </c>
      <c r="AL25" s="296">
        <f>IF('Encargos e Benefícios'!C24=0,0,'Encargos e Benefícios'!U24/'Encargos e Benefícios'!C24)</f>
        <v>2198.8730400000004</v>
      </c>
      <c r="AM25" s="296">
        <f>IF('Encargos e Benefícios'!C24=0,0,'Encargos e Benefícios'!AC24/'Encargos e Benefícios'!C24)</f>
        <v>934.51</v>
      </c>
      <c r="AN25" s="297">
        <f>IF('Encargos e Benefícios'!C24=0,0,'Encargos e Benefícios'!AD24/'Encargos e Benefícios'!C24)</f>
        <v>5885.2230400000008</v>
      </c>
      <c r="AO25" s="188">
        <v>2906.48</v>
      </c>
      <c r="AP25" s="298">
        <v>2000</v>
      </c>
      <c r="AQ25" s="298">
        <v>3812.95</v>
      </c>
      <c r="AR25" s="299" t="s">
        <v>103</v>
      </c>
      <c r="AS25" s="188"/>
    </row>
    <row r="26" spans="1:45">
      <c r="A26" s="286">
        <v>20</v>
      </c>
      <c r="B26" s="81" t="str">
        <f>'Encargos e Benefícios'!B25</f>
        <v>Pedagogo</v>
      </c>
      <c r="C26" s="287">
        <f>'Encargos e Benefícios'!C25</f>
        <v>1</v>
      </c>
      <c r="D26" s="288">
        <v>30</v>
      </c>
      <c r="E26" s="300">
        <v>45658</v>
      </c>
      <c r="F26" s="301">
        <v>47058</v>
      </c>
      <c r="G26" s="293"/>
      <c r="H26" s="294"/>
      <c r="I26" s="256"/>
      <c r="J26" s="256"/>
      <c r="K26" s="256"/>
      <c r="L26" s="256"/>
      <c r="M26" s="293">
        <v>45778</v>
      </c>
      <c r="N26" s="294">
        <v>5.8400000000000001E-2</v>
      </c>
      <c r="O26" s="256">
        <f>'Encargos e Benefícios'!W25*5.84%</f>
        <v>30.905280000000001</v>
      </c>
      <c r="P26" s="256">
        <f>('Encargos e Benefícios'!X25+'Encargos e Benefícios'!Y25+'Encargos e Benefícios'!Z25+'Encargos e Benefícios'!AA25+'Encargos e Benefícios'!AB25)*5.84%</f>
        <v>18.235399999999998</v>
      </c>
      <c r="Q26" s="256">
        <f>'Encargos e Benefícios'!V25*5.84%</f>
        <v>5.434704</v>
      </c>
      <c r="R26" s="256"/>
      <c r="S26" s="293">
        <v>46143</v>
      </c>
      <c r="T26" s="294">
        <v>5.8400000000000001E-2</v>
      </c>
      <c r="U26" s="256">
        <f>('Encargos e Benefícios'!W25+'Gastos com Pessoal'!O26)*5.84%</f>
        <v>32.710148351999997</v>
      </c>
      <c r="V26" s="256">
        <f>('Encargos e Benefícios'!X25+'Encargos e Benefícios'!Y25+'Encargos e Benefícios'!Z25+'Encargos e Benefícios'!AA25+'Encargos e Benefícios'!AB25+'Gastos com Pessoal'!P26)*5.84%</f>
        <v>19.300347360000004</v>
      </c>
      <c r="W26" s="256">
        <f>('Encargos e Benefícios'!V25+'Gastos com Pessoal'!Q26)*5.84%</f>
        <v>5.7520907136000003</v>
      </c>
      <c r="X26" s="256"/>
      <c r="Y26" s="293">
        <v>46508</v>
      </c>
      <c r="Z26" s="294">
        <v>5.8400000000000001E-2</v>
      </c>
      <c r="AA26" s="256">
        <f>('Encargos e Benefícios'!W25+'Gastos com Pessoal'!O26+'Gastos com Pessoal'!U26)*5.84%</f>
        <v>34.620421015756804</v>
      </c>
      <c r="AB26" s="256">
        <f>('Encargos e Benefícios'!X25+'Encargos e Benefícios'!Y25+'Encargos e Benefícios'!Z25+'Encargos e Benefícios'!AA25+'Encargos e Benefícios'!AB25+'Gastos com Pessoal'!P26+'Gastos com Pessoal'!V26)*5.84%</f>
        <v>20.427487645824002</v>
      </c>
      <c r="AC26" s="256">
        <f>('Encargos e Benefícios'!V25+'Gastos com Pessoal'!Q26+'Gastos com Pessoal'!W26)*5.84%</f>
        <v>6.0880128112742398</v>
      </c>
      <c r="AD26" s="256"/>
      <c r="AE26" s="293">
        <v>46874</v>
      </c>
      <c r="AF26" s="294">
        <v>5.8400000000000001E-2</v>
      </c>
      <c r="AG26" s="256">
        <f>('Encargos e Benefícios'!W25+'Gastos com Pessoal'!O26+'Gastos com Pessoal'!U26+'Gastos com Pessoal'!AA26)*5.84%</f>
        <v>36.642253603077002</v>
      </c>
      <c r="AH26" s="256">
        <f>('Encargos e Benefícios'!X25+'Encargos e Benefícios'!Y25+'Encargos e Benefícios'!Z25+'Encargos e Benefícios'!AA25+'Encargos e Benefícios'!AB25+'Gastos com Pessoal'!P26+'Gastos com Pessoal'!V26+'Gastos com Pessoal'!AB26)*5.84%</f>
        <v>21.620452924340121</v>
      </c>
      <c r="AI26" s="256">
        <f>('Encargos e Benefícios'!V25+'Gastos com Pessoal'!Q26+'Gastos com Pessoal'!W26+'Gastos com Pessoal'!AC26)*5.84%</f>
        <v>6.4435527594526558</v>
      </c>
      <c r="AJ26" s="257"/>
      <c r="AK26" s="296">
        <f>'Encargos e Benefícios'!D25</f>
        <v>2751.84</v>
      </c>
      <c r="AL26" s="296">
        <f>IF('Encargos e Benefícios'!C25=0,0,'Encargos e Benefícios'!U25/'Encargos e Benefícios'!C25)</f>
        <v>2198.8730400000004</v>
      </c>
      <c r="AM26" s="296">
        <f>IF('Encargos e Benefícios'!C25=0,0,'Encargos e Benefícios'!AC25/'Encargos e Benefícios'!C25)</f>
        <v>934.51</v>
      </c>
      <c r="AN26" s="297">
        <f>IF('Encargos e Benefícios'!C25=0,0,'Encargos e Benefícios'!AD25/'Encargos e Benefícios'!C25)</f>
        <v>5885.2230400000008</v>
      </c>
      <c r="AO26" s="188">
        <v>2826.08</v>
      </c>
      <c r="AP26" s="298">
        <v>1936.68</v>
      </c>
      <c r="AQ26" s="298">
        <v>3715.48</v>
      </c>
      <c r="AR26" s="299" t="s">
        <v>103</v>
      </c>
      <c r="AS26" s="188"/>
    </row>
    <row r="27" spans="1:45">
      <c r="A27" s="286">
        <v>21</v>
      </c>
      <c r="B27" s="81" t="str">
        <f>'Encargos e Benefícios'!B26</f>
        <v>Psicologo</v>
      </c>
      <c r="C27" s="287">
        <f>'Encargos e Benefícios'!C26</f>
        <v>1</v>
      </c>
      <c r="D27" s="288">
        <v>30</v>
      </c>
      <c r="E27" s="300">
        <v>45658</v>
      </c>
      <c r="F27" s="301">
        <v>47058</v>
      </c>
      <c r="G27" s="293"/>
      <c r="H27" s="294"/>
      <c r="I27" s="256"/>
      <c r="J27" s="256"/>
      <c r="K27" s="256"/>
      <c r="L27" s="256"/>
      <c r="M27" s="293">
        <v>45778</v>
      </c>
      <c r="N27" s="294">
        <v>5.8400000000000001E-2</v>
      </c>
      <c r="O27" s="256">
        <f>'Encargos e Benefícios'!W26*5.84%</f>
        <v>30.905280000000001</v>
      </c>
      <c r="P27" s="256">
        <f>('Encargos e Benefícios'!X26+'Encargos e Benefícios'!Y26+'Encargos e Benefícios'!Z26+'Encargos e Benefícios'!AA26+'Encargos e Benefícios'!AB26)*5.84%</f>
        <v>18.235399999999998</v>
      </c>
      <c r="Q27" s="256">
        <f>'Encargos e Benefícios'!V26*5.84%</f>
        <v>5.434704</v>
      </c>
      <c r="R27" s="256"/>
      <c r="S27" s="293">
        <v>46143</v>
      </c>
      <c r="T27" s="294">
        <v>5.8400000000000001E-2</v>
      </c>
      <c r="U27" s="256">
        <f>('Encargos e Benefícios'!W26+'Gastos com Pessoal'!O27)*5.84%</f>
        <v>32.710148351999997</v>
      </c>
      <c r="V27" s="256">
        <f>('Encargos e Benefícios'!X26+'Encargos e Benefícios'!Y26+'Encargos e Benefícios'!Z26+'Encargos e Benefícios'!AA26+'Encargos e Benefícios'!AB26+'Gastos com Pessoal'!P27)*5.84%</f>
        <v>19.300347360000004</v>
      </c>
      <c r="W27" s="256">
        <f>('Encargos e Benefícios'!V26+'Gastos com Pessoal'!Q27)*5.84%</f>
        <v>5.7520907136000003</v>
      </c>
      <c r="X27" s="256"/>
      <c r="Y27" s="293">
        <v>46508</v>
      </c>
      <c r="Z27" s="294">
        <v>5.8400000000000001E-2</v>
      </c>
      <c r="AA27" s="256">
        <f>('Encargos e Benefícios'!W26+'Gastos com Pessoal'!O27+'Gastos com Pessoal'!U27)*5.84%</f>
        <v>34.620421015756804</v>
      </c>
      <c r="AB27" s="256">
        <f>('Encargos e Benefícios'!X26+'Encargos e Benefícios'!Y26+'Encargos e Benefícios'!Z26+'Encargos e Benefícios'!AA26+'Encargos e Benefícios'!AB26+'Gastos com Pessoal'!P27+'Gastos com Pessoal'!V27)*5.84%</f>
        <v>20.427487645824002</v>
      </c>
      <c r="AC27" s="256">
        <f>('Encargos e Benefícios'!V26+'Gastos com Pessoal'!Q27+'Gastos com Pessoal'!W27)*5.84%</f>
        <v>6.0880128112742398</v>
      </c>
      <c r="AD27" s="256"/>
      <c r="AE27" s="293">
        <v>46874</v>
      </c>
      <c r="AF27" s="294">
        <v>5.8400000000000001E-2</v>
      </c>
      <c r="AG27" s="256">
        <f>('Encargos e Benefícios'!W26+'Gastos com Pessoal'!O27+'Gastos com Pessoal'!U27+'Gastos com Pessoal'!AA27)*5.84%</f>
        <v>36.642253603077002</v>
      </c>
      <c r="AH27" s="256">
        <f>('Encargos e Benefícios'!X26+'Encargos e Benefícios'!Y26+'Encargos e Benefícios'!Z26+'Encargos e Benefícios'!AA26+'Encargos e Benefícios'!AB26+'Gastos com Pessoal'!P27+'Gastos com Pessoal'!V27+'Gastos com Pessoal'!AB27)*5.84%</f>
        <v>21.620452924340121</v>
      </c>
      <c r="AI27" s="256">
        <f>('Encargos e Benefícios'!V26+'Gastos com Pessoal'!Q27+'Gastos com Pessoal'!W27+'Gastos com Pessoal'!AC27)*5.84%</f>
        <v>6.4435527594526558</v>
      </c>
      <c r="AJ27" s="257"/>
      <c r="AK27" s="296">
        <f>'Encargos e Benefícios'!D26</f>
        <v>2751.84</v>
      </c>
      <c r="AL27" s="296">
        <f>IF('Encargos e Benefícios'!C26=0,0,'Encargos e Benefícios'!U26/'Encargos e Benefícios'!C26)</f>
        <v>2198.8730400000004</v>
      </c>
      <c r="AM27" s="296">
        <f>IF('Encargos e Benefícios'!C26=0,0,'Encargos e Benefícios'!AC26/'Encargos e Benefícios'!C26)</f>
        <v>934.51</v>
      </c>
      <c r="AN27" s="297">
        <f>IF('Encargos e Benefícios'!C26=0,0,'Encargos e Benefícios'!AD26/'Encargos e Benefícios'!C26)</f>
        <v>5885.2230400000008</v>
      </c>
      <c r="AO27" s="188">
        <v>2906.48</v>
      </c>
      <c r="AP27" s="298">
        <v>2000</v>
      </c>
      <c r="AQ27" s="298">
        <v>3812.95</v>
      </c>
      <c r="AR27" s="299" t="s">
        <v>103</v>
      </c>
      <c r="AS27" s="188"/>
    </row>
    <row r="28" spans="1:45">
      <c r="A28" s="286">
        <v>22</v>
      </c>
      <c r="B28" s="81" t="str">
        <f>'Encargos e Benefícios'!B27</f>
        <v>Terapeuta Ocupacional</v>
      </c>
      <c r="C28" s="287">
        <f>'Encargos e Benefícios'!C27</f>
        <v>1</v>
      </c>
      <c r="D28" s="288">
        <v>30</v>
      </c>
      <c r="E28" s="300">
        <v>45658</v>
      </c>
      <c r="F28" s="301">
        <v>47058</v>
      </c>
      <c r="G28" s="293"/>
      <c r="H28" s="294"/>
      <c r="I28" s="256"/>
      <c r="J28" s="256"/>
      <c r="K28" s="256"/>
      <c r="L28" s="256"/>
      <c r="M28" s="293">
        <v>45778</v>
      </c>
      <c r="N28" s="294">
        <v>5.8400000000000001E-2</v>
      </c>
      <c r="O28" s="256">
        <f>'Encargos e Benefícios'!W27*5.84%</f>
        <v>30.905280000000001</v>
      </c>
      <c r="P28" s="256">
        <f>('Encargos e Benefícios'!X27+'Encargos e Benefícios'!Y27+'Encargos e Benefícios'!Z27+'Encargos e Benefícios'!AA27+'Encargos e Benefícios'!AB27)*5.84%</f>
        <v>18.235399999999998</v>
      </c>
      <c r="Q28" s="256">
        <f>'Encargos e Benefícios'!V27*5.84%</f>
        <v>5.434704</v>
      </c>
      <c r="R28" s="256"/>
      <c r="S28" s="293">
        <v>46143</v>
      </c>
      <c r="T28" s="294">
        <v>5.8400000000000001E-2</v>
      </c>
      <c r="U28" s="256">
        <f>('Encargos e Benefícios'!W27+'Gastos com Pessoal'!O28)*5.84%</f>
        <v>32.710148351999997</v>
      </c>
      <c r="V28" s="256">
        <f>('Encargos e Benefícios'!X27+'Encargos e Benefícios'!Y27+'Encargos e Benefícios'!Z27+'Encargos e Benefícios'!AA27+'Encargos e Benefícios'!AB27+'Gastos com Pessoal'!P28)*5.84%</f>
        <v>19.300347360000004</v>
      </c>
      <c r="W28" s="256">
        <f>('Encargos e Benefícios'!V27+'Gastos com Pessoal'!Q28)*5.84%</f>
        <v>5.7520907136000003</v>
      </c>
      <c r="X28" s="256"/>
      <c r="Y28" s="293">
        <v>46508</v>
      </c>
      <c r="Z28" s="294">
        <v>5.8400000000000001E-2</v>
      </c>
      <c r="AA28" s="256">
        <f>('Encargos e Benefícios'!W27+'Gastos com Pessoal'!O28+'Gastos com Pessoal'!U28)*5.84%</f>
        <v>34.620421015756804</v>
      </c>
      <c r="AB28" s="256">
        <f>('Encargos e Benefícios'!X27+'Encargos e Benefícios'!Y27+'Encargos e Benefícios'!Z27+'Encargos e Benefícios'!AA27+'Encargos e Benefícios'!AB27+'Gastos com Pessoal'!P28+'Gastos com Pessoal'!V28)*5.84%</f>
        <v>20.427487645824002</v>
      </c>
      <c r="AC28" s="256">
        <f>('Encargos e Benefícios'!V27+'Gastos com Pessoal'!Q28+'Gastos com Pessoal'!W28)*5.84%</f>
        <v>6.0880128112742398</v>
      </c>
      <c r="AD28" s="256"/>
      <c r="AE28" s="293">
        <v>46874</v>
      </c>
      <c r="AF28" s="294">
        <v>5.8400000000000001E-2</v>
      </c>
      <c r="AG28" s="256">
        <f>('Encargos e Benefícios'!W27+'Gastos com Pessoal'!O28+'Gastos com Pessoal'!U28+'Gastos com Pessoal'!AA28)*5.84%</f>
        <v>36.642253603077002</v>
      </c>
      <c r="AH28" s="256">
        <f>('Encargos e Benefícios'!X27+'Encargos e Benefícios'!Y27+'Encargos e Benefícios'!Z27+'Encargos e Benefícios'!AA27+'Encargos e Benefícios'!AB27+'Gastos com Pessoal'!P28+'Gastos com Pessoal'!V28+'Gastos com Pessoal'!AB28)*5.84%</f>
        <v>21.620452924340121</v>
      </c>
      <c r="AI28" s="256">
        <f>('Encargos e Benefícios'!V27+'Gastos com Pessoal'!Q28+'Gastos com Pessoal'!W28+'Gastos com Pessoal'!AC28)*5.84%</f>
        <v>6.4435527594526558</v>
      </c>
      <c r="AJ28" s="257"/>
      <c r="AK28" s="296">
        <f>'Encargos e Benefícios'!D27</f>
        <v>2751.84</v>
      </c>
      <c r="AL28" s="296">
        <f>IF('Encargos e Benefícios'!C27=0,0,'Encargos e Benefícios'!U27/'Encargos e Benefícios'!C27)</f>
        <v>2198.8730400000004</v>
      </c>
      <c r="AM28" s="296">
        <f>IF('Encargos e Benefícios'!C27=0,0,'Encargos e Benefícios'!AC27/'Encargos e Benefícios'!C27)</f>
        <v>934.51</v>
      </c>
      <c r="AN28" s="297">
        <f>IF('Encargos e Benefícios'!C27=0,0,'Encargos e Benefícios'!AD27/'Encargos e Benefícios'!C27)</f>
        <v>5885.2230400000008</v>
      </c>
      <c r="AO28" s="188">
        <v>2456</v>
      </c>
      <c r="AP28" s="298">
        <v>2000</v>
      </c>
      <c r="AQ28" s="298">
        <v>2911.99</v>
      </c>
      <c r="AR28" s="299" t="s">
        <v>103</v>
      </c>
      <c r="AS28" s="188"/>
    </row>
    <row r="29" spans="1:45">
      <c r="A29" s="286">
        <v>23</v>
      </c>
      <c r="B29" s="81" t="str">
        <f>'Encargos e Benefícios'!B28</f>
        <v>Administrativo</v>
      </c>
      <c r="C29" s="287">
        <f>'Encargos e Benefícios'!C28</f>
        <v>1</v>
      </c>
      <c r="D29" s="288">
        <v>40</v>
      </c>
      <c r="E29" s="300">
        <v>45658</v>
      </c>
      <c r="F29" s="301">
        <v>47058</v>
      </c>
      <c r="G29" s="293"/>
      <c r="H29" s="294"/>
      <c r="I29" s="256"/>
      <c r="J29" s="256"/>
      <c r="K29" s="256"/>
      <c r="L29" s="256"/>
      <c r="M29" s="293">
        <v>45778</v>
      </c>
      <c r="N29" s="294">
        <v>5.8400000000000001E-2</v>
      </c>
      <c r="O29" s="256">
        <f>'Encargos e Benefícios'!W28*5.84%</f>
        <v>30.905280000000001</v>
      </c>
      <c r="P29" s="256">
        <f>('Encargos e Benefícios'!X28+'Encargos e Benefícios'!Y28+'Encargos e Benefícios'!Z28+'Encargos e Benefícios'!AA28+'Encargos e Benefícios'!AB28)*5.84%</f>
        <v>18.235399999999998</v>
      </c>
      <c r="Q29" s="256">
        <f>'Encargos e Benefícios'!V28*5.84%</f>
        <v>5.434704</v>
      </c>
      <c r="R29" s="256"/>
      <c r="S29" s="293">
        <v>46143</v>
      </c>
      <c r="T29" s="294">
        <v>5.8400000000000001E-2</v>
      </c>
      <c r="U29" s="256">
        <f>('Encargos e Benefícios'!W28+'Gastos com Pessoal'!O29)*5.84%</f>
        <v>32.710148351999997</v>
      </c>
      <c r="V29" s="256">
        <f>('Encargos e Benefícios'!X28+'Encargos e Benefícios'!Y28+'Encargos e Benefícios'!Z28+'Encargos e Benefícios'!AA28+'Encargos e Benefícios'!AB28+'Gastos com Pessoal'!P29)*5.84%</f>
        <v>19.300347360000004</v>
      </c>
      <c r="W29" s="256">
        <f>('Encargos e Benefícios'!V28+'Gastos com Pessoal'!Q29)*5.84%</f>
        <v>5.7520907136000003</v>
      </c>
      <c r="X29" s="256"/>
      <c r="Y29" s="293">
        <v>46508</v>
      </c>
      <c r="Z29" s="294">
        <v>5.8400000000000001E-2</v>
      </c>
      <c r="AA29" s="256">
        <f>('Encargos e Benefícios'!W28+'Gastos com Pessoal'!O29+'Gastos com Pessoal'!U29)*5.84%</f>
        <v>34.620421015756804</v>
      </c>
      <c r="AB29" s="256">
        <f>('Encargos e Benefícios'!X28+'Encargos e Benefícios'!Y28+'Encargos e Benefícios'!Z28+'Encargos e Benefícios'!AA28+'Encargos e Benefícios'!AB28+'Gastos com Pessoal'!P29+'Gastos com Pessoal'!V29)*5.84%</f>
        <v>20.427487645824002</v>
      </c>
      <c r="AC29" s="256">
        <f>('Encargos e Benefícios'!V28+'Gastos com Pessoal'!Q29+'Gastos com Pessoal'!W29)*5.84%</f>
        <v>6.0880128112742398</v>
      </c>
      <c r="AD29" s="256"/>
      <c r="AE29" s="293">
        <v>46874</v>
      </c>
      <c r="AF29" s="294">
        <v>5.8400000000000001E-2</v>
      </c>
      <c r="AG29" s="256">
        <f>('Encargos e Benefícios'!W28+'Gastos com Pessoal'!O29+'Gastos com Pessoal'!U29+'Gastos com Pessoal'!AA29)*5.84%</f>
        <v>36.642253603077002</v>
      </c>
      <c r="AH29" s="256">
        <f>('Encargos e Benefícios'!X28+'Encargos e Benefícios'!Y28+'Encargos e Benefícios'!Z28+'Encargos e Benefícios'!AA28+'Encargos e Benefícios'!AB28+'Gastos com Pessoal'!P29+'Gastos com Pessoal'!V29+'Gastos com Pessoal'!AB29)*5.84%</f>
        <v>21.620452924340121</v>
      </c>
      <c r="AI29" s="256">
        <f>('Encargos e Benefícios'!V28+'Gastos com Pessoal'!Q29+'Gastos com Pessoal'!W29+'Gastos com Pessoal'!AC29)*5.84%</f>
        <v>6.4435527594526558</v>
      </c>
      <c r="AJ29" s="257"/>
      <c r="AK29" s="296">
        <f>'Encargos e Benefícios'!D28</f>
        <v>1852.2</v>
      </c>
      <c r="AL29" s="296">
        <f>IF('Encargos e Benefícios'!C28=0,0,'Encargos e Benefícios'!U28/'Encargos e Benefícios'!C28)</f>
        <v>1480.0106999999996</v>
      </c>
      <c r="AM29" s="296">
        <f>IF('Encargos e Benefícios'!C28=0,0,'Encargos e Benefícios'!AC28/'Encargos e Benefícios'!C28)</f>
        <v>934.51</v>
      </c>
      <c r="AN29" s="297">
        <f>IF('Encargos e Benefícios'!C28=0,0,'Encargos e Benefícios'!AD28/'Encargos e Benefícios'!C28)</f>
        <v>4266.7206999999999</v>
      </c>
      <c r="AO29" s="188">
        <v>2012.52</v>
      </c>
      <c r="AP29" s="298">
        <v>1329.38</v>
      </c>
      <c r="AQ29" s="298">
        <v>2695.66</v>
      </c>
      <c r="AR29" s="299" t="s">
        <v>103</v>
      </c>
      <c r="AS29" s="188"/>
    </row>
    <row r="30" spans="1:45">
      <c r="A30" s="286">
        <v>24</v>
      </c>
      <c r="B30" s="81" t="str">
        <f>'Encargos e Benefícios'!B29</f>
        <v>Auxiliar Educacional</v>
      </c>
      <c r="C30" s="287">
        <f>'Encargos e Benefícios'!C29</f>
        <v>1</v>
      </c>
      <c r="D30" s="288">
        <v>30</v>
      </c>
      <c r="E30" s="300">
        <v>45658</v>
      </c>
      <c r="F30" s="301">
        <v>47058</v>
      </c>
      <c r="G30" s="293"/>
      <c r="H30" s="294"/>
      <c r="I30" s="256"/>
      <c r="J30" s="256"/>
      <c r="K30" s="256"/>
      <c r="L30" s="256"/>
      <c r="M30" s="293">
        <v>45778</v>
      </c>
      <c r="N30" s="294">
        <v>5.8400000000000001E-2</v>
      </c>
      <c r="O30" s="256">
        <f>'Encargos e Benefícios'!W29*5.84%</f>
        <v>30.905280000000001</v>
      </c>
      <c r="P30" s="256">
        <f>('Encargos e Benefícios'!X29+'Encargos e Benefícios'!Y29+'Encargos e Benefícios'!Z29+'Encargos e Benefícios'!AA29+'Encargos e Benefícios'!AB29)*5.84%</f>
        <v>18.235399999999998</v>
      </c>
      <c r="Q30" s="256">
        <f>'Encargos e Benefícios'!V29*5.84%</f>
        <v>5.434704</v>
      </c>
      <c r="R30" s="256"/>
      <c r="S30" s="293">
        <v>46143</v>
      </c>
      <c r="T30" s="294">
        <v>5.8400000000000001E-2</v>
      </c>
      <c r="U30" s="256">
        <f>('Encargos e Benefícios'!W29+'Gastos com Pessoal'!O30)*5.84%</f>
        <v>32.710148351999997</v>
      </c>
      <c r="V30" s="256">
        <f>('Encargos e Benefícios'!X29+'Encargos e Benefícios'!Y29+'Encargos e Benefícios'!Z29+'Encargos e Benefícios'!AA29+'Encargos e Benefícios'!AB29+'Gastos com Pessoal'!P30)*5.84%</f>
        <v>19.300347360000004</v>
      </c>
      <c r="W30" s="256">
        <f>('Encargos e Benefícios'!V29+'Gastos com Pessoal'!Q30)*5.84%</f>
        <v>5.7520907136000003</v>
      </c>
      <c r="X30" s="256"/>
      <c r="Y30" s="293">
        <v>46508</v>
      </c>
      <c r="Z30" s="294">
        <v>5.8400000000000001E-2</v>
      </c>
      <c r="AA30" s="256">
        <f>('Encargos e Benefícios'!W29+'Gastos com Pessoal'!O30+'Gastos com Pessoal'!U30)*5.84%</f>
        <v>34.620421015756804</v>
      </c>
      <c r="AB30" s="256">
        <f>('Encargos e Benefícios'!X29+'Encargos e Benefícios'!Y29+'Encargos e Benefícios'!Z29+'Encargos e Benefícios'!AA29+'Encargos e Benefícios'!AB29+'Gastos com Pessoal'!P30+'Gastos com Pessoal'!V30)*5.84%</f>
        <v>20.427487645824002</v>
      </c>
      <c r="AC30" s="256">
        <f>('Encargos e Benefícios'!V29+'Gastos com Pessoal'!Q30+'Gastos com Pessoal'!W30)*5.84%</f>
        <v>6.0880128112742398</v>
      </c>
      <c r="AD30" s="256"/>
      <c r="AE30" s="293">
        <v>46874</v>
      </c>
      <c r="AF30" s="294">
        <v>5.8400000000000001E-2</v>
      </c>
      <c r="AG30" s="256">
        <f>('Encargos e Benefícios'!W29+'Gastos com Pessoal'!O30+'Gastos com Pessoal'!U30+'Gastos com Pessoal'!AA30)*5.84%</f>
        <v>36.642253603077002</v>
      </c>
      <c r="AH30" s="256">
        <f>('Encargos e Benefícios'!X29+'Encargos e Benefícios'!Y29+'Encargos e Benefícios'!Z29+'Encargos e Benefícios'!AA29+'Encargos e Benefícios'!AB29+'Gastos com Pessoal'!P30+'Gastos com Pessoal'!V30+'Gastos com Pessoal'!AB30)*5.84%</f>
        <v>21.620452924340121</v>
      </c>
      <c r="AI30" s="256">
        <f>('Encargos e Benefícios'!V29+'Gastos com Pessoal'!Q30+'Gastos com Pessoal'!W30+'Gastos com Pessoal'!AC30)*5.84%</f>
        <v>6.4435527594526558</v>
      </c>
      <c r="AJ30" s="257"/>
      <c r="AK30" s="296">
        <f>'Encargos e Benefícios'!D29</f>
        <v>1737.89</v>
      </c>
      <c r="AL30" s="296">
        <f>IF('Encargos e Benefícios'!C29=0,0,'Encargos e Benefícios'!U29/'Encargos e Benefícios'!C29)</f>
        <v>1388.6706594444449</v>
      </c>
      <c r="AM30" s="296">
        <f>IF('Encargos e Benefícios'!C29=0,0,'Encargos e Benefícios'!AC29/'Encargos e Benefícios'!C29)</f>
        <v>934.51</v>
      </c>
      <c r="AN30" s="297">
        <f>IF('Encargos e Benefícios'!C29=0,0,'Encargos e Benefícios'!AD29/'Encargos e Benefícios'!C29)</f>
        <v>4061.0706594444455</v>
      </c>
      <c r="AO30" s="188">
        <v>1821.21</v>
      </c>
      <c r="AP30" s="298">
        <v>1641.97</v>
      </c>
      <c r="AQ30" s="298">
        <v>2000.45</v>
      </c>
      <c r="AR30" s="299" t="s">
        <v>103</v>
      </c>
      <c r="AS30" s="188"/>
    </row>
    <row r="31" spans="1:45">
      <c r="A31" s="286">
        <v>25</v>
      </c>
      <c r="B31" s="81" t="str">
        <f>'Encargos e Benefícios'!B30</f>
        <v>Auxiliar de Serviços Gerais</v>
      </c>
      <c r="C31" s="287">
        <f>'Encargos e Benefícios'!C30</f>
        <v>1</v>
      </c>
      <c r="D31" s="288">
        <v>30</v>
      </c>
      <c r="E31" s="300">
        <v>45658</v>
      </c>
      <c r="F31" s="301">
        <v>47058</v>
      </c>
      <c r="G31" s="293"/>
      <c r="H31" s="294"/>
      <c r="I31" s="256"/>
      <c r="J31" s="256"/>
      <c r="K31" s="256"/>
      <c r="L31" s="256"/>
      <c r="M31" s="293">
        <v>45778</v>
      </c>
      <c r="N31" s="294">
        <v>5.8400000000000001E-2</v>
      </c>
      <c r="O31" s="256">
        <f>'Encargos e Benefícios'!W30*5.84%</f>
        <v>30.905280000000001</v>
      </c>
      <c r="P31" s="256">
        <f>('Encargos e Benefícios'!X30+'Encargos e Benefícios'!Y30+'Encargos e Benefícios'!Z30+'Encargos e Benefícios'!AA30+'Encargos e Benefícios'!AB30)*5.84%</f>
        <v>18.235399999999998</v>
      </c>
      <c r="Q31" s="256">
        <f>'Encargos e Benefícios'!V30*5.84%</f>
        <v>5.434704</v>
      </c>
      <c r="R31" s="256"/>
      <c r="S31" s="293">
        <v>46143</v>
      </c>
      <c r="T31" s="294">
        <v>5.8400000000000001E-2</v>
      </c>
      <c r="U31" s="256">
        <f>('Encargos e Benefícios'!W30+'Gastos com Pessoal'!O31)*5.84%</f>
        <v>32.710148351999997</v>
      </c>
      <c r="V31" s="256">
        <f>('Encargos e Benefícios'!X30+'Encargos e Benefícios'!Y30+'Encargos e Benefícios'!Z30+'Encargos e Benefícios'!AA30+'Encargos e Benefícios'!AB30+'Gastos com Pessoal'!P31)*5.84%</f>
        <v>19.300347360000004</v>
      </c>
      <c r="W31" s="256">
        <f>('Encargos e Benefícios'!V30+'Gastos com Pessoal'!Q31)*5.84%</f>
        <v>5.7520907136000003</v>
      </c>
      <c r="X31" s="256"/>
      <c r="Y31" s="293">
        <v>46508</v>
      </c>
      <c r="Z31" s="294">
        <v>5.8400000000000001E-2</v>
      </c>
      <c r="AA31" s="256">
        <f>('Encargos e Benefícios'!W30+'Gastos com Pessoal'!O31+'Gastos com Pessoal'!U31)*5.84%</f>
        <v>34.620421015756804</v>
      </c>
      <c r="AB31" s="256">
        <f>('Encargos e Benefícios'!X30+'Encargos e Benefícios'!Y30+'Encargos e Benefícios'!Z30+'Encargos e Benefícios'!AA30+'Encargos e Benefícios'!AB30+'Gastos com Pessoal'!P31+'Gastos com Pessoal'!V31)*5.84%</f>
        <v>20.427487645824002</v>
      </c>
      <c r="AC31" s="256">
        <f>('Encargos e Benefícios'!V30+'Gastos com Pessoal'!Q31+'Gastos com Pessoal'!W31)*5.84%</f>
        <v>6.0880128112742398</v>
      </c>
      <c r="AD31" s="256"/>
      <c r="AE31" s="293">
        <v>46874</v>
      </c>
      <c r="AF31" s="294">
        <v>5.8400000000000001E-2</v>
      </c>
      <c r="AG31" s="256">
        <f>('Encargos e Benefícios'!W30+'Gastos com Pessoal'!O31+'Gastos com Pessoal'!U31+'Gastos com Pessoal'!AA31)*5.84%</f>
        <v>36.642253603077002</v>
      </c>
      <c r="AH31" s="256">
        <f>('Encargos e Benefícios'!X30+'Encargos e Benefícios'!Y30+'Encargos e Benefícios'!Z30+'Encargos e Benefícios'!AA30+'Encargos e Benefícios'!AB30+'Gastos com Pessoal'!P31+'Gastos com Pessoal'!V31+'Gastos com Pessoal'!AB31)*5.84%</f>
        <v>21.620452924340121</v>
      </c>
      <c r="AI31" s="256">
        <f>('Encargos e Benefícios'!V30+'Gastos com Pessoal'!Q31+'Gastos com Pessoal'!W31+'Gastos com Pessoal'!AC31)*5.84%</f>
        <v>6.4435527594526558</v>
      </c>
      <c r="AJ31" s="257"/>
      <c r="AK31" s="296">
        <f>'Encargos e Benefícios'!D30</f>
        <v>1465.88</v>
      </c>
      <c r="AL31" s="296">
        <f>IF('Encargos e Benefícios'!C30=0,0,'Encargos e Benefícios'!U30/'Encargos e Benefícios'!C30)</f>
        <v>1171.3195577777778</v>
      </c>
      <c r="AM31" s="296">
        <f>IF('Encargos e Benefícios'!C30=0,0,'Encargos e Benefícios'!AC30/'Encargos e Benefícios'!C30)</f>
        <v>934.51</v>
      </c>
      <c r="AN31" s="297">
        <f>IF('Encargos e Benefícios'!C30=0,0,'Encargos e Benefícios'!AD30/'Encargos e Benefícios'!C30)</f>
        <v>3571.7095577777782</v>
      </c>
      <c r="AO31" s="188">
        <v>1481.02</v>
      </c>
      <c r="AP31" s="298">
        <v>1302</v>
      </c>
      <c r="AQ31" s="298">
        <v>1660.04</v>
      </c>
      <c r="AR31" s="299" t="s">
        <v>103</v>
      </c>
      <c r="AS31" s="188"/>
    </row>
    <row r="32" spans="1:45">
      <c r="A32" s="286">
        <v>26</v>
      </c>
      <c r="B32" s="81" t="str">
        <f>'Encargos e Benefícios'!B31</f>
        <v>Motorista</v>
      </c>
      <c r="C32" s="287">
        <f>'Encargos e Benefícios'!C31</f>
        <v>1</v>
      </c>
      <c r="D32" s="288">
        <v>40</v>
      </c>
      <c r="E32" s="300">
        <v>45658</v>
      </c>
      <c r="F32" s="301">
        <v>47058</v>
      </c>
      <c r="G32" s="293"/>
      <c r="H32" s="294"/>
      <c r="I32" s="256"/>
      <c r="J32" s="256"/>
      <c r="K32" s="256"/>
      <c r="L32" s="256"/>
      <c r="M32" s="293">
        <v>45778</v>
      </c>
      <c r="N32" s="294">
        <v>5.8400000000000001E-2</v>
      </c>
      <c r="O32" s="256">
        <f>'Encargos e Benefícios'!W31*5.84%</f>
        <v>30.905280000000001</v>
      </c>
      <c r="P32" s="256">
        <f>('Encargos e Benefícios'!X31+'Encargos e Benefícios'!Y31+'Encargos e Benefícios'!Z31+'Encargos e Benefícios'!AA31+'Encargos e Benefícios'!AB31)*5.84%</f>
        <v>18.235399999999998</v>
      </c>
      <c r="Q32" s="256">
        <f>'Encargos e Benefícios'!V31*5.84%</f>
        <v>5.434704</v>
      </c>
      <c r="R32" s="256"/>
      <c r="S32" s="293">
        <v>46143</v>
      </c>
      <c r="T32" s="294">
        <v>5.8400000000000001E-2</v>
      </c>
      <c r="U32" s="256">
        <f>('Encargos e Benefícios'!W31+'Gastos com Pessoal'!O32)*5.84%</f>
        <v>32.710148351999997</v>
      </c>
      <c r="V32" s="256">
        <f>('Encargos e Benefícios'!X31+'Encargos e Benefícios'!Y31+'Encargos e Benefícios'!Z31+'Encargos e Benefícios'!AA31+'Encargos e Benefícios'!AB31+'Gastos com Pessoal'!P32)*5.84%</f>
        <v>19.300347360000004</v>
      </c>
      <c r="W32" s="256">
        <f>('Encargos e Benefícios'!V31+'Gastos com Pessoal'!Q32)*5.84%</f>
        <v>5.7520907136000003</v>
      </c>
      <c r="X32" s="256"/>
      <c r="Y32" s="293">
        <v>46508</v>
      </c>
      <c r="Z32" s="294">
        <v>5.8400000000000001E-2</v>
      </c>
      <c r="AA32" s="256">
        <f>('Encargos e Benefícios'!W31+'Gastos com Pessoal'!O32+'Gastos com Pessoal'!U32)*5.84%</f>
        <v>34.620421015756804</v>
      </c>
      <c r="AB32" s="256">
        <f>('Encargos e Benefícios'!X31+'Encargos e Benefícios'!Y31+'Encargos e Benefícios'!Z31+'Encargos e Benefícios'!AA31+'Encargos e Benefícios'!AB31+'Gastos com Pessoal'!P32+'Gastos com Pessoal'!V32)*5.84%</f>
        <v>20.427487645824002</v>
      </c>
      <c r="AC32" s="256">
        <f>('Encargos e Benefícios'!V31+'Gastos com Pessoal'!Q32+'Gastos com Pessoal'!W32)*5.84%</f>
        <v>6.0880128112742398</v>
      </c>
      <c r="AD32" s="256"/>
      <c r="AE32" s="293">
        <v>46874</v>
      </c>
      <c r="AF32" s="294">
        <v>5.8400000000000001E-2</v>
      </c>
      <c r="AG32" s="256">
        <f>('Encargos e Benefícios'!W31+'Gastos com Pessoal'!O32+'Gastos com Pessoal'!U32+'Gastos com Pessoal'!AA32)*5.84%</f>
        <v>36.642253603077002</v>
      </c>
      <c r="AH32" s="256">
        <f>('Encargos e Benefícios'!X31+'Encargos e Benefícios'!Y31+'Encargos e Benefícios'!Z31+'Encargos e Benefícios'!AA31+'Encargos e Benefícios'!AB31+'Gastos com Pessoal'!P32+'Gastos com Pessoal'!V32+'Gastos com Pessoal'!AB32)*5.84%</f>
        <v>21.620452924340121</v>
      </c>
      <c r="AI32" s="256">
        <f>('Encargos e Benefícios'!V31+'Gastos com Pessoal'!Q32+'Gastos com Pessoal'!W32+'Gastos com Pessoal'!AC32)*5.84%</f>
        <v>6.4435527594526558</v>
      </c>
      <c r="AJ32" s="257"/>
      <c r="AK32" s="296">
        <f>'Encargos e Benefícios'!D31</f>
        <v>1537.21</v>
      </c>
      <c r="AL32" s="296">
        <f>IF('Encargos e Benefícios'!C31=0,0,'Encargos e Benefícios'!U31/'Encargos e Benefícios'!C31)</f>
        <v>1228.3161905555557</v>
      </c>
      <c r="AM32" s="296">
        <f>IF('Encargos e Benefícios'!C31=0,0,'Encargos e Benefícios'!AC31/'Encargos e Benefícios'!C31)</f>
        <v>934.51</v>
      </c>
      <c r="AN32" s="297">
        <f>IF('Encargos e Benefícios'!C31=0,0,'Encargos e Benefícios'!AD31/'Encargos e Benefícios'!C31)</f>
        <v>3700.0361905555555</v>
      </c>
      <c r="AO32" s="188">
        <v>1826.28</v>
      </c>
      <c r="AP32" s="298">
        <v>1452.39</v>
      </c>
      <c r="AQ32" s="298">
        <v>2200.17</v>
      </c>
      <c r="AR32" s="299" t="s">
        <v>103</v>
      </c>
      <c r="AS32" s="188"/>
    </row>
    <row r="33" spans="1:45">
      <c r="A33" s="286">
        <v>27</v>
      </c>
      <c r="B33" s="81" t="str">
        <f>'Encargos e Benefícios'!B32</f>
        <v>Socioeducador - DC</v>
      </c>
      <c r="C33" s="287">
        <f>'Encargos e Benefícios'!C32</f>
        <v>2</v>
      </c>
      <c r="D33" s="288" t="s">
        <v>496</v>
      </c>
      <c r="E33" s="300">
        <v>45658</v>
      </c>
      <c r="F33" s="301">
        <v>47058</v>
      </c>
      <c r="G33" s="293"/>
      <c r="H33" s="294"/>
      <c r="I33" s="256"/>
      <c r="J33" s="256"/>
      <c r="K33" s="256"/>
      <c r="L33" s="256"/>
      <c r="M33" s="293">
        <v>45778</v>
      </c>
      <c r="N33" s="294">
        <v>5.8400000000000001E-2</v>
      </c>
      <c r="O33" s="256">
        <f>'Encargos e Benefícios'!W32*5.84%</f>
        <v>61.810560000000002</v>
      </c>
      <c r="P33" s="256">
        <f>('Encargos e Benefícios'!X32+'Encargos e Benefícios'!Y32+'Encargos e Benefícios'!Z32+'Encargos e Benefícios'!AA32+'Encargos e Benefícios'!AB32)*5.84%</f>
        <v>36.470799999999997</v>
      </c>
      <c r="Q33" s="256">
        <f>'Encargos e Benefícios'!V32*5.84%</f>
        <v>7.4109600000000002</v>
      </c>
      <c r="R33" s="256"/>
      <c r="S33" s="293">
        <v>46143</v>
      </c>
      <c r="T33" s="294">
        <v>5.8400000000000001E-2</v>
      </c>
      <c r="U33" s="256">
        <f>('Encargos e Benefícios'!W32+'Gastos com Pessoal'!O33)*5.84%</f>
        <v>65.420296703999995</v>
      </c>
      <c r="V33" s="256">
        <f>('Encargos e Benefícios'!X32+'Encargos e Benefícios'!Y32+'Encargos e Benefícios'!Z32+'Encargos e Benefícios'!AA32+'Encargos e Benefícios'!AB32+'Gastos com Pessoal'!P33)*5.84%</f>
        <v>38.600694720000007</v>
      </c>
      <c r="W33" s="256">
        <f>('Encargos e Benefícios'!V32+'Gastos com Pessoal'!Q33)*5.84%</f>
        <v>7.8437600639999996</v>
      </c>
      <c r="X33" s="256"/>
      <c r="Y33" s="293">
        <v>46508</v>
      </c>
      <c r="Z33" s="294">
        <v>5.8400000000000001E-2</v>
      </c>
      <c r="AA33" s="256">
        <f>('Encargos e Benefícios'!W32+'Gastos com Pessoal'!O33+'Gastos com Pessoal'!U33)*5.84%</f>
        <v>69.240842031513608</v>
      </c>
      <c r="AB33" s="256">
        <f>('Encargos e Benefícios'!X32+'Encargos e Benefícios'!Y32+'Encargos e Benefícios'!Z32+'Encargos e Benefícios'!AA32+'Encargos e Benefícios'!AB32+'Gastos com Pessoal'!P33+'Gastos com Pessoal'!V33)*5.84%</f>
        <v>40.854975291648003</v>
      </c>
      <c r="AC33" s="256">
        <f>('Encargos e Benefícios'!V32+'Gastos com Pessoal'!Q33+'Gastos com Pessoal'!W33)*5.84%</f>
        <v>8.3018356517375995</v>
      </c>
      <c r="AD33" s="256"/>
      <c r="AE33" s="293">
        <v>46874</v>
      </c>
      <c r="AF33" s="294">
        <v>5.8400000000000001E-2</v>
      </c>
      <c r="AG33" s="256">
        <f>('Encargos e Benefícios'!W32+'Gastos com Pessoal'!O33+'Gastos com Pessoal'!U33+'Gastos com Pessoal'!AA33)*5.84%</f>
        <v>73.284507206154004</v>
      </c>
      <c r="AH33" s="256">
        <f>('Encargos e Benefícios'!X32+'Encargos e Benefícios'!Y32+'Encargos e Benefícios'!Z32+'Encargos e Benefícios'!AA32+'Encargos e Benefícios'!AB32+'Gastos com Pessoal'!P33+'Gastos com Pessoal'!V33+'Gastos com Pessoal'!AB33)*5.84%</f>
        <v>43.240905848680242</v>
      </c>
      <c r="AI33" s="256">
        <f>('Encargos e Benefícios'!V32+'Gastos com Pessoal'!Q33+'Gastos com Pessoal'!W33+'Gastos com Pessoal'!AC33)*5.84%</f>
        <v>8.7866628537990756</v>
      </c>
      <c r="AJ33" s="257"/>
      <c r="AK33" s="296">
        <f>'Encargos e Benefícios'!D32</f>
        <v>2010.96</v>
      </c>
      <c r="AL33" s="296">
        <f>IF('Encargos e Benefícios'!C32=0,0,'Encargos e Benefícios'!U32/'Encargos e Benefícios'!C32)</f>
        <v>2942.4053904000002</v>
      </c>
      <c r="AM33" s="296">
        <f>IF('Encargos e Benefícios'!C32=0,0,'Encargos e Benefícios'!AC32/'Encargos e Benefícios'!C32)</f>
        <v>904.90000000000009</v>
      </c>
      <c r="AN33" s="297">
        <f>IF('Encargos e Benefícios'!C32=0,0,'Encargos e Benefícios'!AD32/'Encargos e Benefícios'!C32)</f>
        <v>5858.2653903999999</v>
      </c>
      <c r="AO33" s="188">
        <v>2752.21</v>
      </c>
      <c r="AP33" s="298">
        <v>1764.5</v>
      </c>
      <c r="AQ33" s="298">
        <v>3739.92</v>
      </c>
      <c r="AR33" s="299" t="s">
        <v>103</v>
      </c>
      <c r="AS33" s="188"/>
    </row>
    <row r="34" spans="1:45">
      <c r="A34" s="286">
        <v>28</v>
      </c>
      <c r="B34" s="81" t="str">
        <f>'Encargos e Benefícios'!B33</f>
        <v>Socioeducador - D</v>
      </c>
      <c r="C34" s="287">
        <f>'Encargos e Benefícios'!C33</f>
        <v>12</v>
      </c>
      <c r="D34" s="288" t="s">
        <v>496</v>
      </c>
      <c r="E34" s="300">
        <v>45658</v>
      </c>
      <c r="F34" s="301">
        <v>47058</v>
      </c>
      <c r="G34" s="293"/>
      <c r="H34" s="294"/>
      <c r="I34" s="256"/>
      <c r="J34" s="256"/>
      <c r="K34" s="256"/>
      <c r="L34" s="256"/>
      <c r="M34" s="293">
        <v>45778</v>
      </c>
      <c r="N34" s="294">
        <v>5.8400000000000001E-2</v>
      </c>
      <c r="O34" s="256">
        <f>'Encargos e Benefícios'!W33*5.84%</f>
        <v>370.86336000000006</v>
      </c>
      <c r="P34" s="256">
        <f>('Encargos e Benefícios'!X33+'Encargos e Benefícios'!Y33+'Encargos e Benefícios'!Z33+'Encargos e Benefícios'!AA33+'Encargos e Benefícios'!AB33)*5.84%</f>
        <v>218.82480000000001</v>
      </c>
      <c r="Q34" s="256">
        <f>'Encargos e Benefícios'!V33*5.84%</f>
        <v>44.465760000000003</v>
      </c>
      <c r="R34" s="256"/>
      <c r="S34" s="293">
        <v>46143</v>
      </c>
      <c r="T34" s="294">
        <v>5.8400000000000001E-2</v>
      </c>
      <c r="U34" s="256">
        <f>('Encargos e Benefícios'!W33+'Gastos com Pessoal'!O34)*5.84%</f>
        <v>392.52178022400005</v>
      </c>
      <c r="V34" s="256">
        <f>('Encargos e Benefícios'!X33+'Encargos e Benefícios'!Y33+'Encargos e Benefícios'!Z33+'Encargos e Benefícios'!AA33+'Encargos e Benefícios'!AB33+'Gastos com Pessoal'!P34)*5.84%</f>
        <v>231.60416831999999</v>
      </c>
      <c r="W34" s="256">
        <f>('Encargos e Benefícios'!V33+'Gastos com Pessoal'!Q34)*5.84%</f>
        <v>47.062560384000008</v>
      </c>
      <c r="X34" s="256"/>
      <c r="Y34" s="293">
        <v>46508</v>
      </c>
      <c r="Z34" s="294">
        <v>5.8400000000000001E-2</v>
      </c>
      <c r="AA34" s="256">
        <f>('Encargos e Benefícios'!W33+'Gastos com Pessoal'!O34+'Gastos com Pessoal'!U34)*5.84%</f>
        <v>415.44505218908165</v>
      </c>
      <c r="AB34" s="256">
        <f>('Encargos e Benefícios'!X33+'Encargos e Benefícios'!Y33+'Encargos e Benefícios'!Z33+'Encargos e Benefícios'!AA33+'Encargos e Benefícios'!AB33+'Gastos com Pessoal'!P34+'Gastos com Pessoal'!V34)*5.84%</f>
        <v>245.12985174988796</v>
      </c>
      <c r="AC34" s="256">
        <f>('Encargos e Benefícios'!V33+'Gastos com Pessoal'!Q34+'Gastos com Pessoal'!W34)*5.84%</f>
        <v>49.811013910425608</v>
      </c>
      <c r="AD34" s="256"/>
      <c r="AE34" s="293">
        <v>46874</v>
      </c>
      <c r="AF34" s="294">
        <v>5.8400000000000001E-2</v>
      </c>
      <c r="AG34" s="256">
        <f>('Encargos e Benefícios'!W33+'Gastos com Pessoal'!O34+'Gastos com Pessoal'!U34+'Gastos com Pessoal'!AA34)*5.84%</f>
        <v>439.70704323692399</v>
      </c>
      <c r="AH34" s="256">
        <f>('Encargos e Benefícios'!X33+'Encargos e Benefícios'!Y33+'Encargos e Benefícios'!Z33+'Encargos e Benefícios'!AA33+'Encargos e Benefícios'!AB33+'Gastos com Pessoal'!P34+'Gastos com Pessoal'!V34+'Gastos com Pessoal'!AB34)*5.84%</f>
        <v>259.44543509208142</v>
      </c>
      <c r="AI34" s="256">
        <f>('Encargos e Benefícios'!V33+'Gastos com Pessoal'!Q34+'Gastos com Pessoal'!W34+'Gastos com Pessoal'!AC34)*5.84%</f>
        <v>52.719977122794461</v>
      </c>
      <c r="AJ34" s="257"/>
      <c r="AK34" s="296">
        <f>'Encargos e Benefícios'!D33</f>
        <v>2010.96</v>
      </c>
      <c r="AL34" s="296">
        <f>IF('Encargos e Benefícios'!C33=0,0,'Encargos e Benefícios'!U33/'Encargos e Benefícios'!C33)</f>
        <v>2591.2415003999999</v>
      </c>
      <c r="AM34" s="296">
        <f>IF('Encargos e Benefícios'!C33=0,0,'Encargos e Benefícios'!AC33/'Encargos e Benefícios'!C33)</f>
        <v>904.9</v>
      </c>
      <c r="AN34" s="297">
        <f>IF('Encargos e Benefícios'!C33=0,0,'Encargos e Benefícios'!AD33/'Encargos e Benefícios'!C33)</f>
        <v>5507.1015004000001</v>
      </c>
      <c r="AO34" s="188">
        <v>2752.21</v>
      </c>
      <c r="AP34" s="298">
        <v>1764.5</v>
      </c>
      <c r="AQ34" s="298">
        <v>3739.92</v>
      </c>
      <c r="AR34" s="299" t="s">
        <v>103</v>
      </c>
      <c r="AS34" s="188"/>
    </row>
    <row r="35" spans="1:45">
      <c r="A35" s="286">
        <v>29</v>
      </c>
      <c r="B35" s="81" t="str">
        <f>'Encargos e Benefícios'!B34</f>
        <v>Socioeducador - NC</v>
      </c>
      <c r="C35" s="287">
        <f>'Encargos e Benefícios'!C34</f>
        <v>2</v>
      </c>
      <c r="D35" s="288" t="s">
        <v>496</v>
      </c>
      <c r="E35" s="300">
        <v>45658</v>
      </c>
      <c r="F35" s="301">
        <v>47058</v>
      </c>
      <c r="G35" s="293"/>
      <c r="H35" s="294"/>
      <c r="I35" s="256"/>
      <c r="J35" s="256"/>
      <c r="K35" s="256"/>
      <c r="L35" s="256"/>
      <c r="M35" s="293">
        <v>45778</v>
      </c>
      <c r="N35" s="294">
        <v>5.8400000000000001E-2</v>
      </c>
      <c r="O35" s="256">
        <f>'Encargos e Benefícios'!W34*5.84%</f>
        <v>61.810560000000002</v>
      </c>
      <c r="P35" s="256">
        <f>('Encargos e Benefícios'!X34+'Encargos e Benefícios'!Y34+'Encargos e Benefícios'!Z34+'Encargos e Benefícios'!AA34+'Encargos e Benefícios'!AB34)*5.84%</f>
        <v>36.470799999999997</v>
      </c>
      <c r="Q35" s="256">
        <f>'Encargos e Benefícios'!V34*5.84%</f>
        <v>7.4109600000000002</v>
      </c>
      <c r="R35" s="256"/>
      <c r="S35" s="293">
        <v>46143</v>
      </c>
      <c r="T35" s="294">
        <v>5.8400000000000001E-2</v>
      </c>
      <c r="U35" s="256">
        <f>('Encargos e Benefícios'!W34+'Gastos com Pessoal'!O35)*5.84%</f>
        <v>65.420296703999995</v>
      </c>
      <c r="V35" s="256">
        <f>('Encargos e Benefícios'!X34+'Encargos e Benefícios'!Y34+'Encargos e Benefícios'!Z34+'Encargos e Benefícios'!AA34+'Encargos e Benefícios'!AB34+'Gastos com Pessoal'!P35)*5.84%</f>
        <v>38.600694720000007</v>
      </c>
      <c r="W35" s="256">
        <f>('Encargos e Benefícios'!V34+'Gastos com Pessoal'!Q35)*5.84%</f>
        <v>7.8437600639999996</v>
      </c>
      <c r="X35" s="256"/>
      <c r="Y35" s="293">
        <v>46508</v>
      </c>
      <c r="Z35" s="294">
        <v>5.8400000000000001E-2</v>
      </c>
      <c r="AA35" s="256">
        <f>('Encargos e Benefícios'!W34+'Gastos com Pessoal'!O35+'Gastos com Pessoal'!U35)*5.84%</f>
        <v>69.240842031513608</v>
      </c>
      <c r="AB35" s="256">
        <f>('Encargos e Benefícios'!X34+'Encargos e Benefícios'!Y34+'Encargos e Benefícios'!Z34+'Encargos e Benefícios'!AA34+'Encargos e Benefícios'!AB34+'Gastos com Pessoal'!P35+'Gastos com Pessoal'!V35)*5.84%</f>
        <v>40.854975291648003</v>
      </c>
      <c r="AC35" s="256">
        <f>('Encargos e Benefícios'!V34+'Gastos com Pessoal'!Q35+'Gastos com Pessoal'!W35)*5.84%</f>
        <v>8.3018356517375995</v>
      </c>
      <c r="AD35" s="256"/>
      <c r="AE35" s="293">
        <v>46874</v>
      </c>
      <c r="AF35" s="294">
        <v>5.8400000000000001E-2</v>
      </c>
      <c r="AG35" s="256">
        <f>('Encargos e Benefícios'!W34+'Gastos com Pessoal'!O35+'Gastos com Pessoal'!U35+'Gastos com Pessoal'!AA35)*5.84%</f>
        <v>73.284507206154004</v>
      </c>
      <c r="AH35" s="256">
        <f>('Encargos e Benefícios'!X34+'Encargos e Benefícios'!Y34+'Encargos e Benefícios'!Z34+'Encargos e Benefícios'!AA34+'Encargos e Benefícios'!AB34+'Gastos com Pessoal'!P35+'Gastos com Pessoal'!V35+'Gastos com Pessoal'!AB35)*5.84%</f>
        <v>43.240905848680242</v>
      </c>
      <c r="AI35" s="256">
        <f>('Encargos e Benefícios'!V34+'Gastos com Pessoal'!Q35+'Gastos com Pessoal'!W35+'Gastos com Pessoal'!AC35)*5.84%</f>
        <v>8.7866628537990756</v>
      </c>
      <c r="AJ35" s="257"/>
      <c r="AK35" s="296">
        <f>'Encargos e Benefícios'!D34</f>
        <v>2010.96</v>
      </c>
      <c r="AL35" s="296">
        <f>IF('Encargos e Benefícios'!C34=0,0,'Encargos e Benefícios'!U34/'Encargos e Benefícios'!C34)</f>
        <v>3553.5688062933345</v>
      </c>
      <c r="AM35" s="296">
        <f>IF('Encargos e Benefícios'!C34=0,0,'Encargos e Benefícios'!AC34/'Encargos e Benefícios'!C34)</f>
        <v>904.90000000000009</v>
      </c>
      <c r="AN35" s="297">
        <f>IF('Encargos e Benefícios'!C34=0,0,'Encargos e Benefícios'!AD34/'Encargos e Benefícios'!C34)</f>
        <v>6469.4288062933338</v>
      </c>
      <c r="AO35" s="188">
        <v>2752.21</v>
      </c>
      <c r="AP35" s="298">
        <v>1764.5</v>
      </c>
      <c r="AQ35" s="298">
        <v>3739.92</v>
      </c>
      <c r="AR35" s="299" t="s">
        <v>103</v>
      </c>
      <c r="AS35" s="188"/>
    </row>
    <row r="36" spans="1:45" ht="13" thickBot="1">
      <c r="A36" s="286">
        <v>30</v>
      </c>
      <c r="B36" s="81" t="str">
        <f>'Encargos e Benefícios'!B35</f>
        <v>Socioeducador - N</v>
      </c>
      <c r="C36" s="287">
        <f>'Encargos e Benefícios'!C35</f>
        <v>6</v>
      </c>
      <c r="D36" s="288" t="s">
        <v>496</v>
      </c>
      <c r="E36" s="300">
        <v>45658</v>
      </c>
      <c r="F36" s="301">
        <v>47058</v>
      </c>
      <c r="G36" s="293"/>
      <c r="H36" s="294"/>
      <c r="I36" s="256"/>
      <c r="J36" s="256"/>
      <c r="K36" s="256"/>
      <c r="L36" s="256"/>
      <c r="M36" s="293">
        <v>45778</v>
      </c>
      <c r="N36" s="294">
        <v>5.8400000000000001E-2</v>
      </c>
      <c r="O36" s="256">
        <f>'Encargos e Benefícios'!W35*5.84%</f>
        <v>185.43168000000003</v>
      </c>
      <c r="P36" s="256">
        <f>('Encargos e Benefícios'!X35+'Encargos e Benefícios'!Y35+'Encargos e Benefícios'!Z35+'Encargos e Benefícios'!AA35+'Encargos e Benefícios'!AB35)*5.84%</f>
        <v>109.41240000000001</v>
      </c>
      <c r="Q36" s="256">
        <f>'Encargos e Benefícios'!V35*5.84%</f>
        <v>22.232880000000002</v>
      </c>
      <c r="R36" s="256"/>
      <c r="S36" s="293">
        <v>46143</v>
      </c>
      <c r="T36" s="294">
        <v>5.8400000000000001E-2</v>
      </c>
      <c r="U36" s="256">
        <f>('Encargos e Benefícios'!W35+'Gastos com Pessoal'!O36)*5.84%</f>
        <v>196.26089011200003</v>
      </c>
      <c r="V36" s="256">
        <f>('Encargos e Benefícios'!X35+'Encargos e Benefícios'!Y35+'Encargos e Benefícios'!Z35+'Encargos e Benefícios'!AA35+'Encargos e Benefícios'!AB35+'Gastos com Pessoal'!P36)*5.84%</f>
        <v>115.80208415999999</v>
      </c>
      <c r="W36" s="256">
        <f>('Encargos e Benefícios'!V35+'Gastos com Pessoal'!Q36)*5.84%</f>
        <v>23.531280192000004</v>
      </c>
      <c r="X36" s="256"/>
      <c r="Y36" s="293">
        <v>46508</v>
      </c>
      <c r="Z36" s="294">
        <v>5.8400000000000001E-2</v>
      </c>
      <c r="AA36" s="256">
        <f>('Encargos e Benefícios'!W35+'Gastos com Pessoal'!O36+'Gastos com Pessoal'!U36)*5.84%</f>
        <v>207.72252609454083</v>
      </c>
      <c r="AB36" s="256">
        <f>('Encargos e Benefícios'!X35+'Encargos e Benefícios'!Y35+'Encargos e Benefícios'!Z35+'Encargos e Benefícios'!AA35+'Encargos e Benefícios'!AB35+'Gastos com Pessoal'!P36+'Gastos com Pessoal'!V36)*5.84%</f>
        <v>122.56492587494398</v>
      </c>
      <c r="AC36" s="256">
        <f>('Encargos e Benefícios'!V35+'Gastos com Pessoal'!Q36+'Gastos com Pessoal'!W36)*5.84%</f>
        <v>24.905506955212804</v>
      </c>
      <c r="AD36" s="256"/>
      <c r="AE36" s="293">
        <v>46874</v>
      </c>
      <c r="AF36" s="294">
        <v>5.8400000000000001E-2</v>
      </c>
      <c r="AG36" s="256">
        <f>('Encargos e Benefícios'!W35+'Gastos com Pessoal'!O36+'Gastos com Pessoal'!U36+'Gastos com Pessoal'!AA36)*5.84%</f>
        <v>219.853521618462</v>
      </c>
      <c r="AH36" s="256">
        <f>('Encargos e Benefícios'!X35+'Encargos e Benefícios'!Y35+'Encargos e Benefícios'!Z35+'Encargos e Benefícios'!AA35+'Encargos e Benefícios'!AB35+'Gastos com Pessoal'!P36+'Gastos com Pessoal'!V36+'Gastos com Pessoal'!AB36)*5.84%</f>
        <v>129.72271754604071</v>
      </c>
      <c r="AI36" s="256">
        <f>('Encargos e Benefícios'!V35+'Gastos com Pessoal'!Q36+'Gastos com Pessoal'!W36+'Gastos com Pessoal'!AC36)*5.84%</f>
        <v>26.35998856139723</v>
      </c>
      <c r="AJ36" s="257"/>
      <c r="AK36" s="296">
        <f>'Encargos e Benefícios'!D35</f>
        <v>2010.96</v>
      </c>
      <c r="AL36" s="296">
        <f>IF('Encargos e Benefícios'!C35=0,0,'Encargos e Benefícios'!U35/'Encargos e Benefícios'!C35)</f>
        <v>3202.4049162933329</v>
      </c>
      <c r="AM36" s="296">
        <f>IF('Encargos e Benefícios'!C35=0,0,'Encargos e Benefícios'!AC35/'Encargos e Benefícios'!C35)</f>
        <v>904.9</v>
      </c>
      <c r="AN36" s="297">
        <f>IF('Encargos e Benefícios'!C35=0,0,'Encargos e Benefícios'!AD35/'Encargos e Benefícios'!C35)</f>
        <v>6118.264916293333</v>
      </c>
      <c r="AO36" s="188">
        <v>2752.21</v>
      </c>
      <c r="AP36" s="298">
        <v>1764.5</v>
      </c>
      <c r="AQ36" s="298">
        <v>3739.92</v>
      </c>
      <c r="AR36" s="299" t="s">
        <v>103</v>
      </c>
      <c r="AS36" s="188"/>
    </row>
    <row r="37" spans="1:45">
      <c r="A37" s="286">
        <v>31</v>
      </c>
      <c r="B37" s="81" t="str">
        <f>'Encargos e Benefícios'!B36</f>
        <v>Diretor Geral de Unidade Socioeducativa</v>
      </c>
      <c r="C37" s="287">
        <f>'Encargos e Benefícios'!C36</f>
        <v>1</v>
      </c>
      <c r="D37" s="288">
        <v>40</v>
      </c>
      <c r="E37" s="289">
        <v>45658</v>
      </c>
      <c r="F37" s="290">
        <v>47058</v>
      </c>
      <c r="G37" s="293"/>
      <c r="H37" s="294"/>
      <c r="I37" s="256"/>
      <c r="J37" s="256"/>
      <c r="K37" s="256"/>
      <c r="L37" s="256"/>
      <c r="M37" s="293">
        <v>45778</v>
      </c>
      <c r="N37" s="294">
        <v>5.8400000000000001E-2</v>
      </c>
      <c r="O37" s="256">
        <f>'Encargos e Benefícios'!W36*5.84%</f>
        <v>30.905280000000001</v>
      </c>
      <c r="P37" s="256">
        <f>('Encargos e Benefícios'!X36+'Encargos e Benefícios'!Y36+'Encargos e Benefícios'!Z36+'Encargos e Benefícios'!AA36+'Encargos e Benefícios'!AB36)*5.84%</f>
        <v>18.235399999999998</v>
      </c>
      <c r="Q37" s="256">
        <f>'Encargos e Benefícios'!V36*5.84%</f>
        <v>0</v>
      </c>
      <c r="R37" s="256"/>
      <c r="S37" s="293">
        <v>46143</v>
      </c>
      <c r="T37" s="294">
        <v>5.8400000000000001E-2</v>
      </c>
      <c r="U37" s="256">
        <f>('Encargos e Benefícios'!W36+'Gastos com Pessoal'!O37)*5.84%</f>
        <v>32.710148351999997</v>
      </c>
      <c r="V37" s="256">
        <f>('Encargos e Benefícios'!X36+'Encargos e Benefícios'!Y36+'Encargos e Benefícios'!Z36+'Encargos e Benefícios'!AA36+'Encargos e Benefícios'!AB36+'Gastos com Pessoal'!P37)*5.84%</f>
        <v>19.300347360000004</v>
      </c>
      <c r="W37" s="256">
        <f>('Encargos e Benefícios'!V36+'Gastos com Pessoal'!Q37)*5.84%</f>
        <v>0</v>
      </c>
      <c r="X37" s="256"/>
      <c r="Y37" s="293">
        <v>46508</v>
      </c>
      <c r="Z37" s="294">
        <v>5.8400000000000001E-2</v>
      </c>
      <c r="AA37" s="256">
        <f>('Encargos e Benefícios'!W36+'Gastos com Pessoal'!O37+'Gastos com Pessoal'!U37)*5.84%</f>
        <v>34.620421015756804</v>
      </c>
      <c r="AB37" s="256">
        <f>('Encargos e Benefícios'!X36+'Encargos e Benefícios'!Y36+'Encargos e Benefícios'!Z36+'Encargos e Benefícios'!AA36+'Encargos e Benefícios'!AB36+'Gastos com Pessoal'!P37+'Gastos com Pessoal'!V37)*5.84%</f>
        <v>20.427487645824002</v>
      </c>
      <c r="AC37" s="256">
        <f>('Encargos e Benefícios'!V36+'Gastos com Pessoal'!Q37+'Gastos com Pessoal'!W37)*5.84%</f>
        <v>0</v>
      </c>
      <c r="AD37" s="256"/>
      <c r="AE37" s="293">
        <v>46874</v>
      </c>
      <c r="AF37" s="294">
        <v>5.8400000000000001E-2</v>
      </c>
      <c r="AG37" s="256">
        <f>('Encargos e Benefícios'!W36+'Gastos com Pessoal'!O37+'Gastos com Pessoal'!U37+'Gastos com Pessoal'!AA37)*5.84%</f>
        <v>36.642253603077002</v>
      </c>
      <c r="AH37" s="256">
        <f>('Encargos e Benefícios'!X36+'Encargos e Benefícios'!Y36+'Encargos e Benefícios'!Z36+'Encargos e Benefícios'!AA36+'Encargos e Benefícios'!AB36+'Gastos com Pessoal'!P37+'Gastos com Pessoal'!V37+'Gastos com Pessoal'!AB37)*5.84%</f>
        <v>21.620452924340121</v>
      </c>
      <c r="AI37" s="256">
        <f>('Encargos e Benefícios'!V36+'Gastos com Pessoal'!Q37+'Gastos com Pessoal'!W37+'Gastos com Pessoal'!AC37)*5.84%</f>
        <v>0</v>
      </c>
      <c r="AJ37" s="257"/>
      <c r="AK37" s="296">
        <f>'Encargos e Benefícios'!D36</f>
        <v>6879.6</v>
      </c>
      <c r="AL37" s="296">
        <f>IF('Encargos e Benefícios'!C36=0,0,'Encargos e Benefícios'!U36/'Encargos e Benefícios'!C36)</f>
        <v>5400.8682000000008</v>
      </c>
      <c r="AM37" s="296">
        <f>IF('Encargos e Benefícios'!C36=0,0,'Encargos e Benefícios'!AC36/'Encargos e Benefícios'!C36)</f>
        <v>841.45</v>
      </c>
      <c r="AN37" s="297">
        <f>IF('Encargos e Benefícios'!C36=0,0,'Encargos e Benefícios'!AD36/'Encargos e Benefícios'!C36)</f>
        <v>13121.918200000002</v>
      </c>
      <c r="AO37" s="188">
        <v>6052.24</v>
      </c>
      <c r="AP37" s="298">
        <v>4236.6899999999996</v>
      </c>
      <c r="AQ37" s="298">
        <v>7864.78</v>
      </c>
      <c r="AR37" s="299" t="s">
        <v>104</v>
      </c>
      <c r="AS37" s="188"/>
    </row>
    <row r="38" spans="1:45">
      <c r="A38" s="286">
        <v>32</v>
      </c>
      <c r="B38" s="81" t="str">
        <f>'Encargos e Benefícios'!B37</f>
        <v>Subdiretor de Segurança</v>
      </c>
      <c r="C38" s="287">
        <f>'Encargos e Benefícios'!C37</f>
        <v>1</v>
      </c>
      <c r="D38" s="288">
        <v>40</v>
      </c>
      <c r="E38" s="300">
        <v>45658</v>
      </c>
      <c r="F38" s="301">
        <v>47058</v>
      </c>
      <c r="G38" s="293"/>
      <c r="H38" s="294"/>
      <c r="I38" s="256"/>
      <c r="J38" s="256"/>
      <c r="K38" s="256"/>
      <c r="L38" s="256"/>
      <c r="M38" s="293">
        <v>45778</v>
      </c>
      <c r="N38" s="294">
        <v>5.8400000000000001E-2</v>
      </c>
      <c r="O38" s="256">
        <f>'Encargos e Benefícios'!W37*5.84%</f>
        <v>30.905280000000001</v>
      </c>
      <c r="P38" s="256">
        <f>('Encargos e Benefícios'!X37+'Encargos e Benefícios'!Y37+'Encargos e Benefícios'!Z37+'Encargos e Benefícios'!AA37+'Encargos e Benefícios'!AB37)*5.84%</f>
        <v>18.235399999999998</v>
      </c>
      <c r="Q38" s="256">
        <f>'Encargos e Benefícios'!V37*5.84%</f>
        <v>0</v>
      </c>
      <c r="R38" s="256"/>
      <c r="S38" s="293">
        <v>46143</v>
      </c>
      <c r="T38" s="294">
        <v>5.8400000000000001E-2</v>
      </c>
      <c r="U38" s="256">
        <f>('Encargos e Benefícios'!W37+'Gastos com Pessoal'!O38)*5.84%</f>
        <v>32.710148351999997</v>
      </c>
      <c r="V38" s="256">
        <f>('Encargos e Benefícios'!X37+'Encargos e Benefícios'!Y37+'Encargos e Benefícios'!Z37+'Encargos e Benefícios'!AA37+'Encargos e Benefícios'!AB37+'Gastos com Pessoal'!P38)*5.84%</f>
        <v>19.300347360000004</v>
      </c>
      <c r="W38" s="256">
        <f>('Encargos e Benefícios'!V37+'Gastos com Pessoal'!Q38)*5.84%</f>
        <v>0</v>
      </c>
      <c r="X38" s="256"/>
      <c r="Y38" s="293">
        <v>46508</v>
      </c>
      <c r="Z38" s="294">
        <v>5.8400000000000001E-2</v>
      </c>
      <c r="AA38" s="256">
        <f>('Encargos e Benefícios'!W37+'Gastos com Pessoal'!O38+'Gastos com Pessoal'!U38)*5.84%</f>
        <v>34.620421015756804</v>
      </c>
      <c r="AB38" s="256">
        <f>('Encargos e Benefícios'!X37+'Encargos e Benefícios'!Y37+'Encargos e Benefícios'!Z37+'Encargos e Benefícios'!AA37+'Encargos e Benefícios'!AB37+'Gastos com Pessoal'!P38+'Gastos com Pessoal'!V38)*5.84%</f>
        <v>20.427487645824002</v>
      </c>
      <c r="AC38" s="256">
        <f>('Encargos e Benefícios'!V37+'Gastos com Pessoal'!Q38+'Gastos com Pessoal'!W38)*5.84%</f>
        <v>0</v>
      </c>
      <c r="AD38" s="256"/>
      <c r="AE38" s="293">
        <v>46874</v>
      </c>
      <c r="AF38" s="294">
        <v>5.8400000000000001E-2</v>
      </c>
      <c r="AG38" s="256">
        <f>('Encargos e Benefícios'!W37+'Gastos com Pessoal'!O38+'Gastos com Pessoal'!U38+'Gastos com Pessoal'!AA38)*5.84%</f>
        <v>36.642253603077002</v>
      </c>
      <c r="AH38" s="256">
        <f>('Encargos e Benefícios'!X37+'Encargos e Benefícios'!Y37+'Encargos e Benefícios'!Z37+'Encargos e Benefícios'!AA37+'Encargos e Benefícios'!AB37+'Gastos com Pessoal'!P38+'Gastos com Pessoal'!V38+'Gastos com Pessoal'!AB38)*5.84%</f>
        <v>21.620452924340121</v>
      </c>
      <c r="AI38" s="256">
        <f>('Encargos e Benefícios'!V37+'Gastos com Pessoal'!Q38+'Gastos com Pessoal'!W38+'Gastos com Pessoal'!AC38)*5.84%</f>
        <v>0</v>
      </c>
      <c r="AJ38" s="257"/>
      <c r="AK38" s="296">
        <f>'Encargos e Benefícios'!D37</f>
        <v>3993.98</v>
      </c>
      <c r="AL38" s="296">
        <f>IF('Encargos e Benefícios'!C37=0,0,'Encargos e Benefícios'!U37/'Encargos e Benefícios'!C37)</f>
        <v>4659.1662746111106</v>
      </c>
      <c r="AM38" s="296">
        <f>IF('Encargos e Benefícios'!C37=0,0,'Encargos e Benefícios'!AC37/'Encargos e Benefícios'!C37)</f>
        <v>841.45</v>
      </c>
      <c r="AN38" s="297">
        <f>IF('Encargos e Benefícios'!C37=0,0,'Encargos e Benefícios'!AD37/'Encargos e Benefícios'!C37)</f>
        <v>9494.5962746111109</v>
      </c>
      <c r="AO38" s="188">
        <v>4968.99</v>
      </c>
      <c r="AP38" s="298">
        <v>3773.6</v>
      </c>
      <c r="AQ38" s="298">
        <v>6164.38</v>
      </c>
      <c r="AR38" s="299" t="s">
        <v>104</v>
      </c>
      <c r="AS38" s="188"/>
    </row>
    <row r="39" spans="1:45">
      <c r="A39" s="286">
        <v>33</v>
      </c>
      <c r="B39" s="81" t="str">
        <f>'Encargos e Benefícios'!B38</f>
        <v>Advogado</v>
      </c>
      <c r="C39" s="287">
        <f>'Encargos e Benefícios'!C38</f>
        <v>1</v>
      </c>
      <c r="D39" s="288">
        <v>30</v>
      </c>
      <c r="E39" s="300">
        <v>45658</v>
      </c>
      <c r="F39" s="301">
        <v>47058</v>
      </c>
      <c r="G39" s="293"/>
      <c r="H39" s="294"/>
      <c r="I39" s="256"/>
      <c r="J39" s="256"/>
      <c r="K39" s="256"/>
      <c r="L39" s="256"/>
      <c r="M39" s="293">
        <v>45778</v>
      </c>
      <c r="N39" s="294">
        <v>5.8400000000000001E-2</v>
      </c>
      <c r="O39" s="256">
        <f>'Encargos e Benefícios'!W38*5.84%</f>
        <v>30.905280000000001</v>
      </c>
      <c r="P39" s="256">
        <f>('Encargos e Benefícios'!X38+'Encargos e Benefícios'!Y38+'Encargos e Benefícios'!Z38+'Encargos e Benefícios'!AA38+'Encargos e Benefícios'!AB38)*5.84%</f>
        <v>18.235399999999998</v>
      </c>
      <c r="Q39" s="256">
        <f>'Encargos e Benefícios'!V38*5.84%</f>
        <v>5.7967840000000006</v>
      </c>
      <c r="R39" s="256"/>
      <c r="S39" s="293">
        <v>46143</v>
      </c>
      <c r="T39" s="294">
        <v>5.8400000000000001E-2</v>
      </c>
      <c r="U39" s="256">
        <f>('Encargos e Benefícios'!W38+'Gastos com Pessoal'!O39)*5.84%</f>
        <v>32.710148351999997</v>
      </c>
      <c r="V39" s="256">
        <f>('Encargos e Benefícios'!X38+'Encargos e Benefícios'!Y38+'Encargos e Benefícios'!Z38+'Encargos e Benefícios'!AA38+'Encargos e Benefícios'!AB38+'Gastos com Pessoal'!P39)*5.84%</f>
        <v>19.300347360000004</v>
      </c>
      <c r="W39" s="256">
        <f>('Encargos e Benefícios'!V38+'Gastos com Pessoal'!Q39)*5.84%</f>
        <v>6.1353161856000007</v>
      </c>
      <c r="X39" s="256"/>
      <c r="Y39" s="293">
        <v>46508</v>
      </c>
      <c r="Z39" s="294">
        <v>5.8400000000000001E-2</v>
      </c>
      <c r="AA39" s="256">
        <f>('Encargos e Benefícios'!W38+'Gastos com Pessoal'!O39+'Gastos com Pessoal'!U39)*5.84%</f>
        <v>34.620421015756804</v>
      </c>
      <c r="AB39" s="256">
        <f>('Encargos e Benefícios'!X38+'Encargos e Benefícios'!Y38+'Encargos e Benefícios'!Z38+'Encargos e Benefícios'!AA38+'Encargos e Benefícios'!AB38+'Gastos com Pessoal'!P39+'Gastos com Pessoal'!V39)*5.84%</f>
        <v>20.427487645824002</v>
      </c>
      <c r="AC39" s="256">
        <f>('Encargos e Benefícios'!V38+'Gastos com Pessoal'!Q39+'Gastos com Pessoal'!W39)*5.84%</f>
        <v>6.493618650839041</v>
      </c>
      <c r="AD39" s="256"/>
      <c r="AE39" s="293">
        <v>46874</v>
      </c>
      <c r="AF39" s="294">
        <v>5.8400000000000001E-2</v>
      </c>
      <c r="AG39" s="256">
        <f>('Encargos e Benefícios'!W38+'Gastos com Pessoal'!O39+'Gastos com Pessoal'!U39+'Gastos com Pessoal'!AA39)*5.84%</f>
        <v>36.642253603077002</v>
      </c>
      <c r="AH39" s="256">
        <f>('Encargos e Benefícios'!X38+'Encargos e Benefícios'!Y38+'Encargos e Benefícios'!Z38+'Encargos e Benefícios'!AA38+'Encargos e Benefícios'!AB38+'Gastos com Pessoal'!P39+'Gastos com Pessoal'!V39+'Gastos com Pessoal'!AB39)*5.84%</f>
        <v>21.620452924340121</v>
      </c>
      <c r="AI39" s="256">
        <f>('Encargos e Benefícios'!V38+'Gastos com Pessoal'!Q39+'Gastos com Pessoal'!W39+'Gastos com Pessoal'!AC39)*5.84%</f>
        <v>6.8728459800480408</v>
      </c>
      <c r="AJ39" s="257"/>
      <c r="AK39" s="296">
        <f>'Encargos e Benefícios'!D38</f>
        <v>2751.84</v>
      </c>
      <c r="AL39" s="296">
        <f>IF('Encargos e Benefícios'!C38=0,0,'Encargos e Benefícios'!U38/'Encargos e Benefícios'!C38)</f>
        <v>2198.8730400000004</v>
      </c>
      <c r="AM39" s="296">
        <f>IF('Encargos e Benefícios'!C38=0,0,'Encargos e Benefícios'!AC38/'Encargos e Benefícios'!C38)</f>
        <v>940.71</v>
      </c>
      <c r="AN39" s="297">
        <f>IF('Encargos e Benefícios'!C38=0,0,'Encargos e Benefícios'!AD38/'Encargos e Benefícios'!C38)</f>
        <v>5891.4230400000006</v>
      </c>
      <c r="AO39" s="188">
        <v>2574.5</v>
      </c>
      <c r="AP39" s="298">
        <v>2000</v>
      </c>
      <c r="AQ39" s="298">
        <v>3148.99</v>
      </c>
      <c r="AR39" s="299" t="s">
        <v>104</v>
      </c>
      <c r="AS39" s="188"/>
    </row>
    <row r="40" spans="1:45">
      <c r="A40" s="286">
        <v>34</v>
      </c>
      <c r="B40" s="81" t="str">
        <f>'Encargos e Benefícios'!B39</f>
        <v>Assistente Social</v>
      </c>
      <c r="C40" s="287">
        <f>'Encargos e Benefícios'!C39</f>
        <v>1</v>
      </c>
      <c r="D40" s="288">
        <v>30</v>
      </c>
      <c r="E40" s="300">
        <v>45658</v>
      </c>
      <c r="F40" s="301">
        <v>47058</v>
      </c>
      <c r="G40" s="293"/>
      <c r="H40" s="294"/>
      <c r="I40" s="256"/>
      <c r="J40" s="256"/>
      <c r="K40" s="256"/>
      <c r="L40" s="256"/>
      <c r="M40" s="293">
        <v>45778</v>
      </c>
      <c r="N40" s="294">
        <v>5.8400000000000001E-2</v>
      </c>
      <c r="O40" s="256">
        <f>'Encargos e Benefícios'!W39*5.84%</f>
        <v>30.905280000000001</v>
      </c>
      <c r="P40" s="256">
        <f>('Encargos e Benefícios'!X39+'Encargos e Benefícios'!Y39+'Encargos e Benefícios'!Z39+'Encargos e Benefícios'!AA39+'Encargos e Benefícios'!AB39)*5.84%</f>
        <v>18.235399999999998</v>
      </c>
      <c r="Q40" s="256">
        <f>'Encargos e Benefícios'!V39*5.84%</f>
        <v>5.7967840000000006</v>
      </c>
      <c r="R40" s="256"/>
      <c r="S40" s="293">
        <v>46143</v>
      </c>
      <c r="T40" s="294">
        <v>5.8400000000000001E-2</v>
      </c>
      <c r="U40" s="256">
        <f>('Encargos e Benefícios'!W39+'Gastos com Pessoal'!O40)*5.84%</f>
        <v>32.710148351999997</v>
      </c>
      <c r="V40" s="256">
        <f>('Encargos e Benefícios'!X39+'Encargos e Benefícios'!Y39+'Encargos e Benefícios'!Z39+'Encargos e Benefícios'!AA39+'Encargos e Benefícios'!AB39+'Gastos com Pessoal'!P40)*5.84%</f>
        <v>19.300347360000004</v>
      </c>
      <c r="W40" s="256">
        <f>('Encargos e Benefícios'!V39+'Gastos com Pessoal'!Q40)*5.84%</f>
        <v>6.1353161856000007</v>
      </c>
      <c r="X40" s="256"/>
      <c r="Y40" s="293">
        <v>46508</v>
      </c>
      <c r="Z40" s="294">
        <v>5.8400000000000001E-2</v>
      </c>
      <c r="AA40" s="256">
        <f>('Encargos e Benefícios'!W39+'Gastos com Pessoal'!O40+'Gastos com Pessoal'!U40)*5.84%</f>
        <v>34.620421015756804</v>
      </c>
      <c r="AB40" s="256">
        <f>('Encargos e Benefícios'!X39+'Encargos e Benefícios'!Y39+'Encargos e Benefícios'!Z39+'Encargos e Benefícios'!AA39+'Encargos e Benefícios'!AB39+'Gastos com Pessoal'!P40+'Gastos com Pessoal'!V40)*5.84%</f>
        <v>20.427487645824002</v>
      </c>
      <c r="AC40" s="256">
        <f>('Encargos e Benefícios'!V39+'Gastos com Pessoal'!Q40+'Gastos com Pessoal'!W40)*5.84%</f>
        <v>6.493618650839041</v>
      </c>
      <c r="AD40" s="256"/>
      <c r="AE40" s="293">
        <v>46874</v>
      </c>
      <c r="AF40" s="294">
        <v>5.8400000000000001E-2</v>
      </c>
      <c r="AG40" s="256">
        <f>('Encargos e Benefícios'!W39+'Gastos com Pessoal'!O40+'Gastos com Pessoal'!U40+'Gastos com Pessoal'!AA40)*5.84%</f>
        <v>36.642253603077002</v>
      </c>
      <c r="AH40" s="256">
        <f>('Encargos e Benefícios'!X39+'Encargos e Benefícios'!Y39+'Encargos e Benefícios'!Z39+'Encargos e Benefícios'!AA39+'Encargos e Benefícios'!AB39+'Gastos com Pessoal'!P40+'Gastos com Pessoal'!V40+'Gastos com Pessoal'!AB40)*5.84%</f>
        <v>21.620452924340121</v>
      </c>
      <c r="AI40" s="256">
        <f>('Encargos e Benefícios'!V39+'Gastos com Pessoal'!Q40+'Gastos com Pessoal'!W40+'Gastos com Pessoal'!AC40)*5.84%</f>
        <v>6.8728459800480408</v>
      </c>
      <c r="AJ40" s="257"/>
      <c r="AK40" s="296">
        <f>'Encargos e Benefícios'!D39</f>
        <v>2751.84</v>
      </c>
      <c r="AL40" s="296">
        <f>IF('Encargos e Benefícios'!C39=0,0,'Encargos e Benefícios'!U39/'Encargos e Benefícios'!C39)</f>
        <v>2198.8730400000004</v>
      </c>
      <c r="AM40" s="296">
        <f>IF('Encargos e Benefícios'!C39=0,0,'Encargos e Benefícios'!AC39/'Encargos e Benefícios'!C39)</f>
        <v>940.71</v>
      </c>
      <c r="AN40" s="297">
        <f>IF('Encargos e Benefícios'!C39=0,0,'Encargos e Benefícios'!AD39/'Encargos e Benefícios'!C39)</f>
        <v>5891.4230400000006</v>
      </c>
      <c r="AO40" s="188">
        <v>2906.48</v>
      </c>
      <c r="AP40" s="298">
        <v>2000</v>
      </c>
      <c r="AQ40" s="298">
        <v>3812.95</v>
      </c>
      <c r="AR40" s="299" t="s">
        <v>104</v>
      </c>
      <c r="AS40" s="188"/>
    </row>
    <row r="41" spans="1:45">
      <c r="A41" s="286">
        <v>35</v>
      </c>
      <c r="B41" s="81" t="str">
        <f>'Encargos e Benefícios'!B40</f>
        <v>Pedagogo</v>
      </c>
      <c r="C41" s="287">
        <f>'Encargos e Benefícios'!C40</f>
        <v>1</v>
      </c>
      <c r="D41" s="288">
        <v>30</v>
      </c>
      <c r="E41" s="300">
        <v>45658</v>
      </c>
      <c r="F41" s="301">
        <v>47058</v>
      </c>
      <c r="G41" s="293"/>
      <c r="H41" s="294"/>
      <c r="I41" s="256"/>
      <c r="J41" s="256"/>
      <c r="K41" s="256"/>
      <c r="L41" s="256"/>
      <c r="M41" s="293">
        <v>45778</v>
      </c>
      <c r="N41" s="294">
        <v>5.8400000000000001E-2</v>
      </c>
      <c r="O41" s="256">
        <f>'Encargos e Benefícios'!W40*5.84%</f>
        <v>30.905280000000001</v>
      </c>
      <c r="P41" s="256">
        <f>('Encargos e Benefícios'!X40+'Encargos e Benefícios'!Y40+'Encargos e Benefícios'!Z40+'Encargos e Benefícios'!AA40+'Encargos e Benefícios'!AB40)*5.84%</f>
        <v>18.235399999999998</v>
      </c>
      <c r="Q41" s="256">
        <f>'Encargos e Benefícios'!V40*5.84%</f>
        <v>5.7967840000000006</v>
      </c>
      <c r="R41" s="256"/>
      <c r="S41" s="293">
        <v>46143</v>
      </c>
      <c r="T41" s="294">
        <v>5.8400000000000001E-2</v>
      </c>
      <c r="U41" s="256">
        <f>('Encargos e Benefícios'!W40+'Gastos com Pessoal'!O41)*5.84%</f>
        <v>32.710148351999997</v>
      </c>
      <c r="V41" s="256">
        <f>('Encargos e Benefícios'!X40+'Encargos e Benefícios'!Y40+'Encargos e Benefícios'!Z40+'Encargos e Benefícios'!AA40+'Encargos e Benefícios'!AB40+'Gastos com Pessoal'!P41)*5.84%</f>
        <v>19.300347360000004</v>
      </c>
      <c r="W41" s="256">
        <f>('Encargos e Benefícios'!V40+'Gastos com Pessoal'!Q41)*5.84%</f>
        <v>6.1353161856000007</v>
      </c>
      <c r="X41" s="256"/>
      <c r="Y41" s="293">
        <v>46508</v>
      </c>
      <c r="Z41" s="294">
        <v>5.8400000000000001E-2</v>
      </c>
      <c r="AA41" s="256">
        <f>('Encargos e Benefícios'!W40+'Gastos com Pessoal'!O41+'Gastos com Pessoal'!U41)*5.84%</f>
        <v>34.620421015756804</v>
      </c>
      <c r="AB41" s="256">
        <f>('Encargos e Benefícios'!X40+'Encargos e Benefícios'!Y40+'Encargos e Benefícios'!Z40+'Encargos e Benefícios'!AA40+'Encargos e Benefícios'!AB40+'Gastos com Pessoal'!P41+'Gastos com Pessoal'!V41)*5.84%</f>
        <v>20.427487645824002</v>
      </c>
      <c r="AC41" s="256">
        <f>('Encargos e Benefícios'!V40+'Gastos com Pessoal'!Q41+'Gastos com Pessoal'!W41)*5.84%</f>
        <v>6.493618650839041</v>
      </c>
      <c r="AD41" s="256"/>
      <c r="AE41" s="293">
        <v>46874</v>
      </c>
      <c r="AF41" s="294">
        <v>5.8400000000000001E-2</v>
      </c>
      <c r="AG41" s="256">
        <f>('Encargos e Benefícios'!W40+'Gastos com Pessoal'!O41+'Gastos com Pessoal'!U41+'Gastos com Pessoal'!AA41)*5.84%</f>
        <v>36.642253603077002</v>
      </c>
      <c r="AH41" s="256">
        <f>('Encargos e Benefícios'!X40+'Encargos e Benefícios'!Y40+'Encargos e Benefícios'!Z40+'Encargos e Benefícios'!AA40+'Encargos e Benefícios'!AB40+'Gastos com Pessoal'!P41+'Gastos com Pessoal'!V41+'Gastos com Pessoal'!AB41)*5.84%</f>
        <v>21.620452924340121</v>
      </c>
      <c r="AI41" s="256">
        <f>('Encargos e Benefícios'!V40+'Gastos com Pessoal'!Q41+'Gastos com Pessoal'!W41+'Gastos com Pessoal'!AC41)*5.84%</f>
        <v>6.8728459800480408</v>
      </c>
      <c r="AJ41" s="257"/>
      <c r="AK41" s="296">
        <f>'Encargos e Benefícios'!D40</f>
        <v>2751.84</v>
      </c>
      <c r="AL41" s="296">
        <f>IF('Encargos e Benefícios'!C40=0,0,'Encargos e Benefícios'!U40/'Encargos e Benefícios'!C40)</f>
        <v>2198.8730400000004</v>
      </c>
      <c r="AM41" s="296">
        <f>IF('Encargos e Benefícios'!C40=0,0,'Encargos e Benefícios'!AC40/'Encargos e Benefícios'!C40)</f>
        <v>940.71</v>
      </c>
      <c r="AN41" s="297">
        <f>IF('Encargos e Benefícios'!C40=0,0,'Encargos e Benefícios'!AD40/'Encargos e Benefícios'!C40)</f>
        <v>5891.4230400000006</v>
      </c>
      <c r="AO41" s="188">
        <v>2826.08</v>
      </c>
      <c r="AP41" s="298">
        <v>1936.68</v>
      </c>
      <c r="AQ41" s="298">
        <v>3715.48</v>
      </c>
      <c r="AR41" s="299" t="s">
        <v>104</v>
      </c>
      <c r="AS41" s="188"/>
    </row>
    <row r="42" spans="1:45">
      <c r="A42" s="286">
        <v>36</v>
      </c>
      <c r="B42" s="81" t="str">
        <f>'Encargos e Benefícios'!B41</f>
        <v>Psicologo</v>
      </c>
      <c r="C42" s="287">
        <f>'Encargos e Benefícios'!C41</f>
        <v>1</v>
      </c>
      <c r="D42" s="288">
        <v>30</v>
      </c>
      <c r="E42" s="300">
        <v>45658</v>
      </c>
      <c r="F42" s="301">
        <v>47058</v>
      </c>
      <c r="G42" s="293"/>
      <c r="H42" s="294"/>
      <c r="I42" s="256"/>
      <c r="J42" s="256"/>
      <c r="K42" s="256"/>
      <c r="L42" s="256"/>
      <c r="M42" s="293">
        <v>45778</v>
      </c>
      <c r="N42" s="294">
        <v>5.8400000000000001E-2</v>
      </c>
      <c r="O42" s="256">
        <f>'Encargos e Benefícios'!W41*5.84%</f>
        <v>30.905280000000001</v>
      </c>
      <c r="P42" s="256">
        <f>('Encargos e Benefícios'!X41+'Encargos e Benefícios'!Y41+'Encargos e Benefícios'!Z41+'Encargos e Benefícios'!AA41+'Encargos e Benefícios'!AB41)*5.84%</f>
        <v>18.235399999999998</v>
      </c>
      <c r="Q42" s="256">
        <f>'Encargos e Benefícios'!V41*5.84%</f>
        <v>5.7967840000000006</v>
      </c>
      <c r="R42" s="256"/>
      <c r="S42" s="293">
        <v>46143</v>
      </c>
      <c r="T42" s="294">
        <v>5.8400000000000001E-2</v>
      </c>
      <c r="U42" s="256">
        <f>('Encargos e Benefícios'!W41+'Gastos com Pessoal'!O42)*5.84%</f>
        <v>32.710148351999997</v>
      </c>
      <c r="V42" s="256">
        <f>('Encargos e Benefícios'!X41+'Encargos e Benefícios'!Y41+'Encargos e Benefícios'!Z41+'Encargos e Benefícios'!AA41+'Encargos e Benefícios'!AB41+'Gastos com Pessoal'!P42)*5.84%</f>
        <v>19.300347360000004</v>
      </c>
      <c r="W42" s="256">
        <f>('Encargos e Benefícios'!V41+'Gastos com Pessoal'!Q42)*5.84%</f>
        <v>6.1353161856000007</v>
      </c>
      <c r="X42" s="256"/>
      <c r="Y42" s="293">
        <v>46508</v>
      </c>
      <c r="Z42" s="294">
        <v>5.8400000000000001E-2</v>
      </c>
      <c r="AA42" s="256">
        <f>('Encargos e Benefícios'!W41+'Gastos com Pessoal'!O42+'Gastos com Pessoal'!U42)*5.84%</f>
        <v>34.620421015756804</v>
      </c>
      <c r="AB42" s="256">
        <f>('Encargos e Benefícios'!X41+'Encargos e Benefícios'!Y41+'Encargos e Benefícios'!Z41+'Encargos e Benefícios'!AA41+'Encargos e Benefícios'!AB41+'Gastos com Pessoal'!P42+'Gastos com Pessoal'!V42)*5.84%</f>
        <v>20.427487645824002</v>
      </c>
      <c r="AC42" s="256">
        <f>('Encargos e Benefícios'!V41+'Gastos com Pessoal'!Q42+'Gastos com Pessoal'!W42)*5.84%</f>
        <v>6.493618650839041</v>
      </c>
      <c r="AD42" s="256"/>
      <c r="AE42" s="293">
        <v>46874</v>
      </c>
      <c r="AF42" s="294">
        <v>5.8400000000000001E-2</v>
      </c>
      <c r="AG42" s="256">
        <f>('Encargos e Benefícios'!W41+'Gastos com Pessoal'!O42+'Gastos com Pessoal'!U42+'Gastos com Pessoal'!AA42)*5.84%</f>
        <v>36.642253603077002</v>
      </c>
      <c r="AH42" s="256">
        <f>('Encargos e Benefícios'!X41+'Encargos e Benefícios'!Y41+'Encargos e Benefícios'!Z41+'Encargos e Benefícios'!AA41+'Encargos e Benefícios'!AB41+'Gastos com Pessoal'!P42+'Gastos com Pessoal'!V42+'Gastos com Pessoal'!AB42)*5.84%</f>
        <v>21.620452924340121</v>
      </c>
      <c r="AI42" s="256">
        <f>('Encargos e Benefícios'!V41+'Gastos com Pessoal'!Q42+'Gastos com Pessoal'!W42+'Gastos com Pessoal'!AC42)*5.84%</f>
        <v>6.8728459800480408</v>
      </c>
      <c r="AJ42" s="257"/>
      <c r="AK42" s="296">
        <f>'Encargos e Benefícios'!D41</f>
        <v>2751.84</v>
      </c>
      <c r="AL42" s="296">
        <f>IF('Encargos e Benefícios'!C41=0,0,'Encargos e Benefícios'!U41/'Encargos e Benefícios'!C41)</f>
        <v>2198.8730400000004</v>
      </c>
      <c r="AM42" s="296">
        <f>IF('Encargos e Benefícios'!C41=0,0,'Encargos e Benefícios'!AC41/'Encargos e Benefícios'!C41)</f>
        <v>940.71</v>
      </c>
      <c r="AN42" s="297">
        <f>IF('Encargos e Benefícios'!C41=0,0,'Encargos e Benefícios'!AD41/'Encargos e Benefícios'!C41)</f>
        <v>5891.4230400000006</v>
      </c>
      <c r="AO42" s="188">
        <v>2906.48</v>
      </c>
      <c r="AP42" s="298">
        <v>2000</v>
      </c>
      <c r="AQ42" s="298">
        <v>3812.95</v>
      </c>
      <c r="AR42" s="299" t="s">
        <v>104</v>
      </c>
      <c r="AS42" s="188"/>
    </row>
    <row r="43" spans="1:45">
      <c r="A43" s="286">
        <v>37</v>
      </c>
      <c r="B43" s="81" t="str">
        <f>'Encargos e Benefícios'!B42</f>
        <v>Terapeuta Ocupacional</v>
      </c>
      <c r="C43" s="287">
        <f>'Encargos e Benefícios'!C42</f>
        <v>1</v>
      </c>
      <c r="D43" s="288">
        <v>30</v>
      </c>
      <c r="E43" s="300">
        <v>45658</v>
      </c>
      <c r="F43" s="301">
        <v>47058</v>
      </c>
      <c r="G43" s="293"/>
      <c r="H43" s="294"/>
      <c r="I43" s="256"/>
      <c r="J43" s="256"/>
      <c r="K43" s="256"/>
      <c r="L43" s="256"/>
      <c r="M43" s="293">
        <v>45778</v>
      </c>
      <c r="N43" s="294">
        <v>5.8400000000000001E-2</v>
      </c>
      <c r="O43" s="256">
        <f>'Encargos e Benefícios'!W42*5.84%</f>
        <v>30.905280000000001</v>
      </c>
      <c r="P43" s="256">
        <f>('Encargos e Benefícios'!X42+'Encargos e Benefícios'!Y42+'Encargos e Benefícios'!Z42+'Encargos e Benefícios'!AA42+'Encargos e Benefícios'!AB42)*5.84%</f>
        <v>18.235399999999998</v>
      </c>
      <c r="Q43" s="256">
        <f>'Encargos e Benefícios'!V42*5.84%</f>
        <v>5.7967840000000006</v>
      </c>
      <c r="R43" s="256"/>
      <c r="S43" s="293">
        <v>46143</v>
      </c>
      <c r="T43" s="294">
        <v>5.8400000000000001E-2</v>
      </c>
      <c r="U43" s="256">
        <f>('Encargos e Benefícios'!W42+'Gastos com Pessoal'!O43)*5.84%</f>
        <v>32.710148351999997</v>
      </c>
      <c r="V43" s="256">
        <f>('Encargos e Benefícios'!X42+'Encargos e Benefícios'!Y42+'Encargos e Benefícios'!Z42+'Encargos e Benefícios'!AA42+'Encargos e Benefícios'!AB42+'Gastos com Pessoal'!P43)*5.84%</f>
        <v>19.300347360000004</v>
      </c>
      <c r="W43" s="256">
        <f>('Encargos e Benefícios'!V42+'Gastos com Pessoal'!Q43)*5.84%</f>
        <v>6.1353161856000007</v>
      </c>
      <c r="X43" s="256"/>
      <c r="Y43" s="293">
        <v>46508</v>
      </c>
      <c r="Z43" s="294">
        <v>5.8400000000000001E-2</v>
      </c>
      <c r="AA43" s="256">
        <f>('Encargos e Benefícios'!W42+'Gastos com Pessoal'!O43+'Gastos com Pessoal'!U43)*5.84%</f>
        <v>34.620421015756804</v>
      </c>
      <c r="AB43" s="256">
        <f>('Encargos e Benefícios'!X42+'Encargos e Benefícios'!Y42+'Encargos e Benefícios'!Z42+'Encargos e Benefícios'!AA42+'Encargos e Benefícios'!AB42+'Gastos com Pessoal'!P43+'Gastos com Pessoal'!V43)*5.84%</f>
        <v>20.427487645824002</v>
      </c>
      <c r="AC43" s="256">
        <f>('Encargos e Benefícios'!V42+'Gastos com Pessoal'!Q43+'Gastos com Pessoal'!W43)*5.84%</f>
        <v>6.493618650839041</v>
      </c>
      <c r="AD43" s="256"/>
      <c r="AE43" s="293">
        <v>46874</v>
      </c>
      <c r="AF43" s="294">
        <v>5.8400000000000001E-2</v>
      </c>
      <c r="AG43" s="256">
        <f>('Encargos e Benefícios'!W42+'Gastos com Pessoal'!O43+'Gastos com Pessoal'!U43+'Gastos com Pessoal'!AA43)*5.84%</f>
        <v>36.642253603077002</v>
      </c>
      <c r="AH43" s="256">
        <f>('Encargos e Benefícios'!X42+'Encargos e Benefícios'!Y42+'Encargos e Benefícios'!Z42+'Encargos e Benefícios'!AA42+'Encargos e Benefícios'!AB42+'Gastos com Pessoal'!P43+'Gastos com Pessoal'!V43+'Gastos com Pessoal'!AB43)*5.84%</f>
        <v>21.620452924340121</v>
      </c>
      <c r="AI43" s="256">
        <f>('Encargos e Benefícios'!V42+'Gastos com Pessoal'!Q43+'Gastos com Pessoal'!W43+'Gastos com Pessoal'!AC43)*5.84%</f>
        <v>6.8728459800480408</v>
      </c>
      <c r="AJ43" s="257"/>
      <c r="AK43" s="296">
        <f>'Encargos e Benefícios'!D42</f>
        <v>2751.84</v>
      </c>
      <c r="AL43" s="296">
        <f>IF('Encargos e Benefícios'!C42=0,0,'Encargos e Benefícios'!U42/'Encargos e Benefícios'!C42)</f>
        <v>2198.8730400000004</v>
      </c>
      <c r="AM43" s="296">
        <f>IF('Encargos e Benefícios'!C42=0,0,'Encargos e Benefícios'!AC42/'Encargos e Benefícios'!C42)</f>
        <v>940.71</v>
      </c>
      <c r="AN43" s="297">
        <f>IF('Encargos e Benefícios'!C42=0,0,'Encargos e Benefícios'!AD42/'Encargos e Benefícios'!C42)</f>
        <v>5891.4230400000006</v>
      </c>
      <c r="AO43" s="188">
        <v>2456</v>
      </c>
      <c r="AP43" s="298">
        <v>2000</v>
      </c>
      <c r="AQ43" s="298">
        <v>2911.99</v>
      </c>
      <c r="AR43" s="299" t="s">
        <v>104</v>
      </c>
      <c r="AS43" s="188"/>
    </row>
    <row r="44" spans="1:45">
      <c r="A44" s="286">
        <v>38</v>
      </c>
      <c r="B44" s="81" t="str">
        <f>'Encargos e Benefícios'!B43</f>
        <v>Administrativo</v>
      </c>
      <c r="C44" s="287">
        <f>'Encargos e Benefícios'!C43</f>
        <v>1</v>
      </c>
      <c r="D44" s="288">
        <v>40</v>
      </c>
      <c r="E44" s="300">
        <v>45658</v>
      </c>
      <c r="F44" s="301">
        <v>47058</v>
      </c>
      <c r="G44" s="293"/>
      <c r="H44" s="294"/>
      <c r="I44" s="256"/>
      <c r="J44" s="256"/>
      <c r="K44" s="256"/>
      <c r="L44" s="256"/>
      <c r="M44" s="293">
        <v>45778</v>
      </c>
      <c r="N44" s="294">
        <v>5.8400000000000001E-2</v>
      </c>
      <c r="O44" s="256">
        <f>'Encargos e Benefícios'!W43*5.84%</f>
        <v>30.905280000000001</v>
      </c>
      <c r="P44" s="256">
        <f>('Encargos e Benefícios'!X43+'Encargos e Benefícios'!Y43+'Encargos e Benefícios'!Z43+'Encargos e Benefícios'!AA43+'Encargos e Benefícios'!AB43)*5.84%</f>
        <v>18.235399999999998</v>
      </c>
      <c r="Q44" s="256">
        <f>'Encargos e Benefícios'!V43*5.84%</f>
        <v>5.7967840000000006</v>
      </c>
      <c r="R44" s="256"/>
      <c r="S44" s="293">
        <v>46143</v>
      </c>
      <c r="T44" s="294">
        <v>5.8400000000000001E-2</v>
      </c>
      <c r="U44" s="256">
        <f>('Encargos e Benefícios'!W43+'Gastos com Pessoal'!O44)*5.84%</f>
        <v>32.710148351999997</v>
      </c>
      <c r="V44" s="256">
        <f>('Encargos e Benefícios'!X43+'Encargos e Benefícios'!Y43+'Encargos e Benefícios'!Z43+'Encargos e Benefícios'!AA43+'Encargos e Benefícios'!AB43+'Gastos com Pessoal'!P44)*5.84%</f>
        <v>19.300347360000004</v>
      </c>
      <c r="W44" s="256">
        <f>('Encargos e Benefícios'!V43+'Gastos com Pessoal'!Q44)*5.84%</f>
        <v>6.1353161856000007</v>
      </c>
      <c r="X44" s="256"/>
      <c r="Y44" s="293">
        <v>46508</v>
      </c>
      <c r="Z44" s="294">
        <v>5.8400000000000001E-2</v>
      </c>
      <c r="AA44" s="256">
        <f>('Encargos e Benefícios'!W43+'Gastos com Pessoal'!O44+'Gastos com Pessoal'!U44)*5.84%</f>
        <v>34.620421015756804</v>
      </c>
      <c r="AB44" s="256">
        <f>('Encargos e Benefícios'!X43+'Encargos e Benefícios'!Y43+'Encargos e Benefícios'!Z43+'Encargos e Benefícios'!AA43+'Encargos e Benefícios'!AB43+'Gastos com Pessoal'!P44+'Gastos com Pessoal'!V44)*5.84%</f>
        <v>20.427487645824002</v>
      </c>
      <c r="AC44" s="256">
        <f>('Encargos e Benefícios'!V43+'Gastos com Pessoal'!Q44+'Gastos com Pessoal'!W44)*5.84%</f>
        <v>6.493618650839041</v>
      </c>
      <c r="AD44" s="256"/>
      <c r="AE44" s="293">
        <v>46874</v>
      </c>
      <c r="AF44" s="294">
        <v>5.8400000000000001E-2</v>
      </c>
      <c r="AG44" s="256">
        <f>('Encargos e Benefícios'!W43+'Gastos com Pessoal'!O44+'Gastos com Pessoal'!U44+'Gastos com Pessoal'!AA44)*5.84%</f>
        <v>36.642253603077002</v>
      </c>
      <c r="AH44" s="256">
        <f>('Encargos e Benefícios'!X43+'Encargos e Benefícios'!Y43+'Encargos e Benefícios'!Z43+'Encargos e Benefícios'!AA43+'Encargos e Benefícios'!AB43+'Gastos com Pessoal'!P44+'Gastos com Pessoal'!V44+'Gastos com Pessoal'!AB44)*5.84%</f>
        <v>21.620452924340121</v>
      </c>
      <c r="AI44" s="256">
        <f>('Encargos e Benefícios'!V43+'Gastos com Pessoal'!Q44+'Gastos com Pessoal'!W44+'Gastos com Pessoal'!AC44)*5.84%</f>
        <v>6.8728459800480408</v>
      </c>
      <c r="AJ44" s="257"/>
      <c r="AK44" s="296">
        <f>'Encargos e Benefícios'!D43</f>
        <v>1852.2</v>
      </c>
      <c r="AL44" s="296">
        <f>IF('Encargos e Benefícios'!C43=0,0,'Encargos e Benefícios'!U43/'Encargos e Benefícios'!C43)</f>
        <v>1480.0106999999996</v>
      </c>
      <c r="AM44" s="296">
        <f>IF('Encargos e Benefícios'!C43=0,0,'Encargos e Benefícios'!AC43/'Encargos e Benefícios'!C43)</f>
        <v>940.71</v>
      </c>
      <c r="AN44" s="297">
        <f>IF('Encargos e Benefícios'!C43=0,0,'Encargos e Benefícios'!AD43/'Encargos e Benefícios'!C43)</f>
        <v>4272.9206999999997</v>
      </c>
      <c r="AO44" s="188">
        <v>2012.52</v>
      </c>
      <c r="AP44" s="298">
        <v>1329.38</v>
      </c>
      <c r="AQ44" s="298">
        <v>2695.66</v>
      </c>
      <c r="AR44" s="299" t="s">
        <v>104</v>
      </c>
      <c r="AS44" s="188"/>
    </row>
    <row r="45" spans="1:45">
      <c r="A45" s="286">
        <v>39</v>
      </c>
      <c r="B45" s="81" t="str">
        <f>'Encargos e Benefícios'!B44</f>
        <v>Auxiliar Educacional</v>
      </c>
      <c r="C45" s="287">
        <f>'Encargos e Benefícios'!C44</f>
        <v>1</v>
      </c>
      <c r="D45" s="288">
        <v>30</v>
      </c>
      <c r="E45" s="300">
        <v>45658</v>
      </c>
      <c r="F45" s="301">
        <v>47058</v>
      </c>
      <c r="G45" s="293"/>
      <c r="H45" s="294"/>
      <c r="I45" s="256"/>
      <c r="J45" s="256"/>
      <c r="K45" s="256"/>
      <c r="L45" s="256"/>
      <c r="M45" s="293">
        <v>45778</v>
      </c>
      <c r="N45" s="294">
        <v>5.8400000000000001E-2</v>
      </c>
      <c r="O45" s="256">
        <f>'Encargos e Benefícios'!W44*5.84%</f>
        <v>30.905280000000001</v>
      </c>
      <c r="P45" s="256">
        <f>('Encargos e Benefícios'!X44+'Encargos e Benefícios'!Y44+'Encargos e Benefícios'!Z44+'Encargos e Benefícios'!AA44+'Encargos e Benefícios'!AB44)*5.84%</f>
        <v>18.235399999999998</v>
      </c>
      <c r="Q45" s="256">
        <f>'Encargos e Benefícios'!V44*5.84%</f>
        <v>5.7967840000000006</v>
      </c>
      <c r="R45" s="256"/>
      <c r="S45" s="293">
        <v>46143</v>
      </c>
      <c r="T45" s="294">
        <v>5.8400000000000001E-2</v>
      </c>
      <c r="U45" s="256">
        <f>('Encargos e Benefícios'!W44+'Gastos com Pessoal'!O45)*5.84%</f>
        <v>32.710148351999997</v>
      </c>
      <c r="V45" s="256">
        <f>('Encargos e Benefícios'!X44+'Encargos e Benefícios'!Y44+'Encargos e Benefícios'!Z44+'Encargos e Benefícios'!AA44+'Encargos e Benefícios'!AB44+'Gastos com Pessoal'!P45)*5.84%</f>
        <v>19.300347360000004</v>
      </c>
      <c r="W45" s="256">
        <f>('Encargos e Benefícios'!V44+'Gastos com Pessoal'!Q45)*5.84%</f>
        <v>6.1353161856000007</v>
      </c>
      <c r="X45" s="256"/>
      <c r="Y45" s="293">
        <v>46508</v>
      </c>
      <c r="Z45" s="294">
        <v>5.8400000000000001E-2</v>
      </c>
      <c r="AA45" s="256">
        <f>('Encargos e Benefícios'!W44+'Gastos com Pessoal'!O45+'Gastos com Pessoal'!U45)*5.84%</f>
        <v>34.620421015756804</v>
      </c>
      <c r="AB45" s="256">
        <f>('Encargos e Benefícios'!X44+'Encargos e Benefícios'!Y44+'Encargos e Benefícios'!Z44+'Encargos e Benefícios'!AA44+'Encargos e Benefícios'!AB44+'Gastos com Pessoal'!P45+'Gastos com Pessoal'!V45)*5.84%</f>
        <v>20.427487645824002</v>
      </c>
      <c r="AC45" s="256">
        <f>('Encargos e Benefícios'!V44+'Gastos com Pessoal'!Q45+'Gastos com Pessoal'!W45)*5.84%</f>
        <v>6.493618650839041</v>
      </c>
      <c r="AD45" s="256"/>
      <c r="AE45" s="293">
        <v>46874</v>
      </c>
      <c r="AF45" s="294">
        <v>5.8400000000000001E-2</v>
      </c>
      <c r="AG45" s="256">
        <f>('Encargos e Benefícios'!W44+'Gastos com Pessoal'!O45+'Gastos com Pessoal'!U45+'Gastos com Pessoal'!AA45)*5.84%</f>
        <v>36.642253603077002</v>
      </c>
      <c r="AH45" s="256">
        <f>('Encargos e Benefícios'!X44+'Encargos e Benefícios'!Y44+'Encargos e Benefícios'!Z44+'Encargos e Benefícios'!AA44+'Encargos e Benefícios'!AB44+'Gastos com Pessoal'!P45+'Gastos com Pessoal'!V45+'Gastos com Pessoal'!AB45)*5.84%</f>
        <v>21.620452924340121</v>
      </c>
      <c r="AI45" s="256">
        <f>('Encargos e Benefícios'!V44+'Gastos com Pessoal'!Q45+'Gastos com Pessoal'!W45+'Gastos com Pessoal'!AC45)*5.84%</f>
        <v>6.8728459800480408</v>
      </c>
      <c r="AJ45" s="257"/>
      <c r="AK45" s="296">
        <f>'Encargos e Benefícios'!D44</f>
        <v>1737.89</v>
      </c>
      <c r="AL45" s="296">
        <f>IF('Encargos e Benefícios'!C44=0,0,'Encargos e Benefícios'!U44/'Encargos e Benefícios'!C44)</f>
        <v>1388.6706594444449</v>
      </c>
      <c r="AM45" s="296">
        <f>IF('Encargos e Benefícios'!C44=0,0,'Encargos e Benefícios'!AC44/'Encargos e Benefícios'!C44)</f>
        <v>940.71</v>
      </c>
      <c r="AN45" s="297">
        <f>IF('Encargos e Benefícios'!C44=0,0,'Encargos e Benefícios'!AD44/'Encargos e Benefícios'!C44)</f>
        <v>4067.2706594444453</v>
      </c>
      <c r="AO45" s="188">
        <v>1821.21</v>
      </c>
      <c r="AP45" s="298">
        <v>1641.97</v>
      </c>
      <c r="AQ45" s="298">
        <v>2000.45</v>
      </c>
      <c r="AR45" s="299" t="s">
        <v>104</v>
      </c>
      <c r="AS45" s="188"/>
    </row>
    <row r="46" spans="1:45">
      <c r="A46" s="286">
        <v>40</v>
      </c>
      <c r="B46" s="81" t="str">
        <f>'Encargos e Benefícios'!B45</f>
        <v>Auxiliar de Serviços Gerais</v>
      </c>
      <c r="C46" s="287">
        <f>'Encargos e Benefícios'!C45</f>
        <v>1</v>
      </c>
      <c r="D46" s="288">
        <v>30</v>
      </c>
      <c r="E46" s="300">
        <v>45658</v>
      </c>
      <c r="F46" s="301">
        <v>47058</v>
      </c>
      <c r="G46" s="293"/>
      <c r="H46" s="294"/>
      <c r="I46" s="256"/>
      <c r="J46" s="256"/>
      <c r="K46" s="256"/>
      <c r="L46" s="256"/>
      <c r="M46" s="293">
        <v>45778</v>
      </c>
      <c r="N46" s="294">
        <v>5.8400000000000001E-2</v>
      </c>
      <c r="O46" s="256">
        <f>'Encargos e Benefícios'!W45*5.84%</f>
        <v>30.905280000000001</v>
      </c>
      <c r="P46" s="256">
        <f>('Encargos e Benefícios'!X45+'Encargos e Benefícios'!Y45+'Encargos e Benefícios'!Z45+'Encargos e Benefícios'!AA45+'Encargos e Benefícios'!AB45)*5.84%</f>
        <v>18.235399999999998</v>
      </c>
      <c r="Q46" s="256">
        <f>'Encargos e Benefícios'!V45*5.84%</f>
        <v>5.7967840000000006</v>
      </c>
      <c r="R46" s="256"/>
      <c r="S46" s="293">
        <v>46143</v>
      </c>
      <c r="T46" s="294">
        <v>5.8400000000000001E-2</v>
      </c>
      <c r="U46" s="256">
        <f>('Encargos e Benefícios'!W45+'Gastos com Pessoal'!O46)*5.84%</f>
        <v>32.710148351999997</v>
      </c>
      <c r="V46" s="256">
        <f>('Encargos e Benefícios'!X45+'Encargos e Benefícios'!Y45+'Encargos e Benefícios'!Z45+'Encargos e Benefícios'!AA45+'Encargos e Benefícios'!AB45+'Gastos com Pessoal'!P46)*5.84%</f>
        <v>19.300347360000004</v>
      </c>
      <c r="W46" s="256">
        <f>('Encargos e Benefícios'!V45+'Gastos com Pessoal'!Q46)*5.84%</f>
        <v>6.1353161856000007</v>
      </c>
      <c r="X46" s="256"/>
      <c r="Y46" s="293">
        <v>46508</v>
      </c>
      <c r="Z46" s="294">
        <v>5.8400000000000001E-2</v>
      </c>
      <c r="AA46" s="256">
        <f>('Encargos e Benefícios'!W45+'Gastos com Pessoal'!O46+'Gastos com Pessoal'!U46)*5.84%</f>
        <v>34.620421015756804</v>
      </c>
      <c r="AB46" s="256">
        <f>('Encargos e Benefícios'!X45+'Encargos e Benefícios'!Y45+'Encargos e Benefícios'!Z45+'Encargos e Benefícios'!AA45+'Encargos e Benefícios'!AB45+'Gastos com Pessoal'!P46+'Gastos com Pessoal'!V46)*5.84%</f>
        <v>20.427487645824002</v>
      </c>
      <c r="AC46" s="256">
        <f>('Encargos e Benefícios'!V45+'Gastos com Pessoal'!Q46+'Gastos com Pessoal'!W46)*5.84%</f>
        <v>6.493618650839041</v>
      </c>
      <c r="AD46" s="256"/>
      <c r="AE46" s="293">
        <v>46874</v>
      </c>
      <c r="AF46" s="294">
        <v>5.8400000000000001E-2</v>
      </c>
      <c r="AG46" s="256">
        <f>('Encargos e Benefícios'!W45+'Gastos com Pessoal'!O46+'Gastos com Pessoal'!U46+'Gastos com Pessoal'!AA46)*5.84%</f>
        <v>36.642253603077002</v>
      </c>
      <c r="AH46" s="256">
        <f>('Encargos e Benefícios'!X45+'Encargos e Benefícios'!Y45+'Encargos e Benefícios'!Z45+'Encargos e Benefícios'!AA45+'Encargos e Benefícios'!AB45+'Gastos com Pessoal'!P46+'Gastos com Pessoal'!V46+'Gastos com Pessoal'!AB46)*5.84%</f>
        <v>21.620452924340121</v>
      </c>
      <c r="AI46" s="256">
        <f>('Encargos e Benefícios'!V45+'Gastos com Pessoal'!Q46+'Gastos com Pessoal'!W46+'Gastos com Pessoal'!AC46)*5.84%</f>
        <v>6.8728459800480408</v>
      </c>
      <c r="AJ46" s="257"/>
      <c r="AK46" s="296">
        <f>'Encargos e Benefícios'!D45</f>
        <v>1465.88</v>
      </c>
      <c r="AL46" s="296">
        <f>IF('Encargos e Benefícios'!C45=0,0,'Encargos e Benefícios'!U45/'Encargos e Benefícios'!C45)</f>
        <v>1171.3195577777778</v>
      </c>
      <c r="AM46" s="296">
        <f>IF('Encargos e Benefícios'!C45=0,0,'Encargos e Benefícios'!AC45/'Encargos e Benefícios'!C45)</f>
        <v>940.71</v>
      </c>
      <c r="AN46" s="297">
        <f>IF('Encargos e Benefícios'!C45=0,0,'Encargos e Benefícios'!AD45/'Encargos e Benefícios'!C45)</f>
        <v>3577.909557777778</v>
      </c>
      <c r="AO46" s="188">
        <v>1481.02</v>
      </c>
      <c r="AP46" s="298">
        <v>1302</v>
      </c>
      <c r="AQ46" s="298">
        <v>1660.04</v>
      </c>
      <c r="AR46" s="299" t="s">
        <v>104</v>
      </c>
      <c r="AS46" s="188"/>
    </row>
    <row r="47" spans="1:45">
      <c r="A47" s="286">
        <v>41</v>
      </c>
      <c r="B47" s="81" t="str">
        <f>'Encargos e Benefícios'!B46</f>
        <v>Motorista</v>
      </c>
      <c r="C47" s="287">
        <f>'Encargos e Benefícios'!C46</f>
        <v>1</v>
      </c>
      <c r="D47" s="288">
        <v>40</v>
      </c>
      <c r="E47" s="300">
        <v>45658</v>
      </c>
      <c r="F47" s="301">
        <v>47058</v>
      </c>
      <c r="G47" s="293"/>
      <c r="H47" s="294"/>
      <c r="I47" s="256"/>
      <c r="J47" s="256"/>
      <c r="K47" s="256"/>
      <c r="L47" s="256"/>
      <c r="M47" s="293">
        <v>45778</v>
      </c>
      <c r="N47" s="294">
        <v>5.8400000000000001E-2</v>
      </c>
      <c r="O47" s="256">
        <f>'Encargos e Benefícios'!W46*5.84%</f>
        <v>30.905280000000001</v>
      </c>
      <c r="P47" s="256">
        <f>('Encargos e Benefícios'!X46+'Encargos e Benefícios'!Y46+'Encargos e Benefícios'!Z46+'Encargos e Benefícios'!AA46+'Encargos e Benefícios'!AB46)*5.84%</f>
        <v>18.235399999999998</v>
      </c>
      <c r="Q47" s="256">
        <f>'Encargos e Benefícios'!V46*5.84%</f>
        <v>5.7967840000000006</v>
      </c>
      <c r="R47" s="256"/>
      <c r="S47" s="293">
        <v>46143</v>
      </c>
      <c r="T47" s="294">
        <v>5.8400000000000001E-2</v>
      </c>
      <c r="U47" s="256">
        <f>('Encargos e Benefícios'!W46+'Gastos com Pessoal'!O47)*5.84%</f>
        <v>32.710148351999997</v>
      </c>
      <c r="V47" s="256">
        <f>('Encargos e Benefícios'!X46+'Encargos e Benefícios'!Y46+'Encargos e Benefícios'!Z46+'Encargos e Benefícios'!AA46+'Encargos e Benefícios'!AB46+'Gastos com Pessoal'!P47)*5.84%</f>
        <v>19.300347360000004</v>
      </c>
      <c r="W47" s="256">
        <f>('Encargos e Benefícios'!V46+'Gastos com Pessoal'!Q47)*5.84%</f>
        <v>6.1353161856000007</v>
      </c>
      <c r="X47" s="256"/>
      <c r="Y47" s="293">
        <v>46508</v>
      </c>
      <c r="Z47" s="294">
        <v>5.8400000000000001E-2</v>
      </c>
      <c r="AA47" s="256">
        <f>('Encargos e Benefícios'!W46+'Gastos com Pessoal'!O47+'Gastos com Pessoal'!U47)*5.84%</f>
        <v>34.620421015756804</v>
      </c>
      <c r="AB47" s="256">
        <f>('Encargos e Benefícios'!X46+'Encargos e Benefícios'!Y46+'Encargos e Benefícios'!Z46+'Encargos e Benefícios'!AA46+'Encargos e Benefícios'!AB46+'Gastos com Pessoal'!P47+'Gastos com Pessoal'!V47)*5.84%</f>
        <v>20.427487645824002</v>
      </c>
      <c r="AC47" s="256">
        <f>('Encargos e Benefícios'!V46+'Gastos com Pessoal'!Q47+'Gastos com Pessoal'!W47)*5.84%</f>
        <v>6.493618650839041</v>
      </c>
      <c r="AD47" s="256"/>
      <c r="AE47" s="293">
        <v>46874</v>
      </c>
      <c r="AF47" s="294">
        <v>5.8400000000000001E-2</v>
      </c>
      <c r="AG47" s="256">
        <f>('Encargos e Benefícios'!W46+'Gastos com Pessoal'!O47+'Gastos com Pessoal'!U47+'Gastos com Pessoal'!AA47)*5.84%</f>
        <v>36.642253603077002</v>
      </c>
      <c r="AH47" s="256">
        <f>('Encargos e Benefícios'!X46+'Encargos e Benefícios'!Y46+'Encargos e Benefícios'!Z46+'Encargos e Benefícios'!AA46+'Encargos e Benefícios'!AB46+'Gastos com Pessoal'!P47+'Gastos com Pessoal'!V47+'Gastos com Pessoal'!AB47)*5.84%</f>
        <v>21.620452924340121</v>
      </c>
      <c r="AI47" s="256">
        <f>('Encargos e Benefícios'!V46+'Gastos com Pessoal'!Q47+'Gastos com Pessoal'!W47+'Gastos com Pessoal'!AC47)*5.84%</f>
        <v>6.8728459800480408</v>
      </c>
      <c r="AJ47" s="257"/>
      <c r="AK47" s="296">
        <f>'Encargos e Benefícios'!D46</f>
        <v>1537.21</v>
      </c>
      <c r="AL47" s="296">
        <f>IF('Encargos e Benefícios'!C46=0,0,'Encargos e Benefícios'!U46/'Encargos e Benefícios'!C46)</f>
        <v>1228.3161905555557</v>
      </c>
      <c r="AM47" s="296">
        <f>IF('Encargos e Benefícios'!C46=0,0,'Encargos e Benefícios'!AC46/'Encargos e Benefícios'!C46)</f>
        <v>940.71</v>
      </c>
      <c r="AN47" s="297">
        <f>IF('Encargos e Benefícios'!C46=0,0,'Encargos e Benefícios'!AD46/'Encargos e Benefícios'!C46)</f>
        <v>3706.2361905555558</v>
      </c>
      <c r="AO47" s="188">
        <v>1826.28</v>
      </c>
      <c r="AP47" s="298">
        <v>1452.39</v>
      </c>
      <c r="AQ47" s="298">
        <v>2200.17</v>
      </c>
      <c r="AR47" s="299" t="s">
        <v>104</v>
      </c>
      <c r="AS47" s="188"/>
    </row>
    <row r="48" spans="1:45">
      <c r="A48" s="286">
        <v>42</v>
      </c>
      <c r="B48" s="81" t="str">
        <f>'Encargos e Benefícios'!B47</f>
        <v>Socioeducador - DC</v>
      </c>
      <c r="C48" s="287">
        <f>'Encargos e Benefícios'!C47</f>
        <v>2</v>
      </c>
      <c r="D48" s="288" t="s">
        <v>496</v>
      </c>
      <c r="E48" s="300">
        <v>45658</v>
      </c>
      <c r="F48" s="301">
        <v>47058</v>
      </c>
      <c r="G48" s="293"/>
      <c r="H48" s="294"/>
      <c r="I48" s="256"/>
      <c r="J48" s="256"/>
      <c r="K48" s="256"/>
      <c r="L48" s="256"/>
      <c r="M48" s="293">
        <v>45778</v>
      </c>
      <c r="N48" s="294">
        <v>5.8400000000000001E-2</v>
      </c>
      <c r="O48" s="256">
        <f>'Encargos e Benefícios'!W47*5.84%</f>
        <v>61.810560000000002</v>
      </c>
      <c r="P48" s="256">
        <f>('Encargos e Benefícios'!X47+'Encargos e Benefícios'!Y47+'Encargos e Benefícios'!Z47+'Encargos e Benefícios'!AA47+'Encargos e Benefícios'!AB47)*5.84%</f>
        <v>36.470799999999997</v>
      </c>
      <c r="Q48" s="256">
        <f>'Encargos e Benefícios'!V47*5.84%</f>
        <v>7.9050240000000009</v>
      </c>
      <c r="R48" s="256"/>
      <c r="S48" s="293">
        <v>46143</v>
      </c>
      <c r="T48" s="294">
        <v>5.8400000000000001E-2</v>
      </c>
      <c r="U48" s="256">
        <f>('Encargos e Benefícios'!W47+'Gastos com Pessoal'!O48)*5.84%</f>
        <v>65.420296703999995</v>
      </c>
      <c r="V48" s="256">
        <f>('Encargos e Benefícios'!X47+'Encargos e Benefícios'!Y47+'Encargos e Benefícios'!Z47+'Encargos e Benefícios'!AA47+'Encargos e Benefícios'!AB47+'Gastos com Pessoal'!P48)*5.84%</f>
        <v>38.600694720000007</v>
      </c>
      <c r="W48" s="256">
        <f>('Encargos e Benefícios'!V47+'Gastos com Pessoal'!Q48)*5.84%</f>
        <v>8.3666774016000005</v>
      </c>
      <c r="X48" s="256"/>
      <c r="Y48" s="293">
        <v>46508</v>
      </c>
      <c r="Z48" s="294">
        <v>5.8400000000000001E-2</v>
      </c>
      <c r="AA48" s="256">
        <f>('Encargos e Benefícios'!W47+'Gastos com Pessoal'!O48+'Gastos com Pessoal'!U48)*5.84%</f>
        <v>69.240842031513608</v>
      </c>
      <c r="AB48" s="256">
        <f>('Encargos e Benefícios'!X47+'Encargos e Benefícios'!Y47+'Encargos e Benefícios'!Z47+'Encargos e Benefícios'!AA47+'Encargos e Benefícios'!AB47+'Gastos com Pessoal'!P48+'Gastos com Pessoal'!V48)*5.84%</f>
        <v>40.854975291648003</v>
      </c>
      <c r="AC48" s="256">
        <f>('Encargos e Benefícios'!V47+'Gastos com Pessoal'!Q48+'Gastos com Pessoal'!W48)*5.84%</f>
        <v>8.8552913618534408</v>
      </c>
      <c r="AD48" s="256"/>
      <c r="AE48" s="293">
        <v>46874</v>
      </c>
      <c r="AF48" s="294">
        <v>5.8400000000000001E-2</v>
      </c>
      <c r="AG48" s="256">
        <f>('Encargos e Benefícios'!W47+'Gastos com Pessoal'!O48+'Gastos com Pessoal'!U48+'Gastos com Pessoal'!AA48)*5.84%</f>
        <v>73.284507206154004</v>
      </c>
      <c r="AH48" s="256">
        <f>('Encargos e Benefícios'!X47+'Encargos e Benefícios'!Y47+'Encargos e Benefícios'!Z47+'Encargos e Benefícios'!AA47+'Encargos e Benefícios'!AB47+'Gastos com Pessoal'!P48+'Gastos com Pessoal'!V48+'Gastos com Pessoal'!AB48)*5.84%</f>
        <v>43.240905848680242</v>
      </c>
      <c r="AI48" s="256">
        <f>('Encargos e Benefícios'!V47+'Gastos com Pessoal'!Q48+'Gastos com Pessoal'!W48+'Gastos com Pessoal'!AC48)*5.84%</f>
        <v>9.3724403773856828</v>
      </c>
      <c r="AJ48" s="257"/>
      <c r="AK48" s="296">
        <f>'Encargos e Benefícios'!D47</f>
        <v>2010.96</v>
      </c>
      <c r="AL48" s="296">
        <f>IF('Encargos e Benefícios'!C47=0,0,'Encargos e Benefícios'!U47/'Encargos e Benefícios'!C47)</f>
        <v>2942.4053904000002</v>
      </c>
      <c r="AM48" s="296">
        <f>IF('Encargos e Benefícios'!C47=0,0,'Encargos e Benefícios'!AC47/'Encargos e Benefícios'!C47)</f>
        <v>909.13000000000011</v>
      </c>
      <c r="AN48" s="297">
        <f>IF('Encargos e Benefícios'!C47=0,0,'Encargos e Benefícios'!AD47/'Encargos e Benefícios'!C47)</f>
        <v>5862.4953904000004</v>
      </c>
      <c r="AO48" s="188">
        <v>2752.21</v>
      </c>
      <c r="AP48" s="298">
        <v>1764.5</v>
      </c>
      <c r="AQ48" s="298">
        <v>3739.92</v>
      </c>
      <c r="AR48" s="299" t="s">
        <v>104</v>
      </c>
      <c r="AS48" s="188"/>
    </row>
    <row r="49" spans="1:45">
      <c r="A49" s="286">
        <v>43</v>
      </c>
      <c r="B49" s="81" t="str">
        <f>'Encargos e Benefícios'!B48</f>
        <v>Socioeducador - D</v>
      </c>
      <c r="C49" s="287">
        <f>'Encargos e Benefícios'!C48</f>
        <v>12</v>
      </c>
      <c r="D49" s="288" t="s">
        <v>496</v>
      </c>
      <c r="E49" s="300">
        <v>45658</v>
      </c>
      <c r="F49" s="301">
        <v>47058</v>
      </c>
      <c r="G49" s="293"/>
      <c r="H49" s="294"/>
      <c r="I49" s="256"/>
      <c r="J49" s="256"/>
      <c r="K49" s="256"/>
      <c r="L49" s="256"/>
      <c r="M49" s="293">
        <v>45778</v>
      </c>
      <c r="N49" s="294">
        <v>5.8400000000000001E-2</v>
      </c>
      <c r="O49" s="256">
        <f>'Encargos e Benefícios'!W48*5.84%</f>
        <v>370.86336000000006</v>
      </c>
      <c r="P49" s="256">
        <f>('Encargos e Benefícios'!X48+'Encargos e Benefícios'!Y48+'Encargos e Benefícios'!Z48+'Encargos e Benefícios'!AA48+'Encargos e Benefícios'!AB48)*5.84%</f>
        <v>218.82480000000001</v>
      </c>
      <c r="Q49" s="256">
        <f>'Encargos e Benefícios'!V48*5.84%</f>
        <v>47.430144000000006</v>
      </c>
      <c r="R49" s="256"/>
      <c r="S49" s="293">
        <v>46143</v>
      </c>
      <c r="T49" s="294">
        <v>5.8400000000000001E-2</v>
      </c>
      <c r="U49" s="256">
        <f>('Encargos e Benefícios'!W48+'Gastos com Pessoal'!O49)*5.84%</f>
        <v>392.52178022400005</v>
      </c>
      <c r="V49" s="256">
        <f>('Encargos e Benefícios'!X48+'Encargos e Benefícios'!Y48+'Encargos e Benefícios'!Z48+'Encargos e Benefícios'!AA48+'Encargos e Benefícios'!AB48+'Gastos com Pessoal'!P49)*5.84%</f>
        <v>231.60416831999999</v>
      </c>
      <c r="W49" s="256">
        <f>('Encargos e Benefícios'!V48+'Gastos com Pessoal'!Q49)*5.84%</f>
        <v>50.20006440960001</v>
      </c>
      <c r="X49" s="256"/>
      <c r="Y49" s="293">
        <v>46508</v>
      </c>
      <c r="Z49" s="294">
        <v>5.8400000000000001E-2</v>
      </c>
      <c r="AA49" s="256">
        <f>('Encargos e Benefícios'!W48+'Gastos com Pessoal'!O49+'Gastos com Pessoal'!U49)*5.84%</f>
        <v>415.44505218908165</v>
      </c>
      <c r="AB49" s="256">
        <f>('Encargos e Benefícios'!X48+'Encargos e Benefícios'!Y48+'Encargos e Benefícios'!Z48+'Encargos e Benefícios'!AA48+'Encargos e Benefícios'!AB48+'Gastos com Pessoal'!P49+'Gastos com Pessoal'!V49)*5.84%</f>
        <v>245.12985174988796</v>
      </c>
      <c r="AC49" s="256">
        <f>('Encargos e Benefícios'!V48+'Gastos com Pessoal'!Q49+'Gastos com Pessoal'!W49)*5.84%</f>
        <v>53.131748171120648</v>
      </c>
      <c r="AD49" s="256"/>
      <c r="AE49" s="293">
        <v>46874</v>
      </c>
      <c r="AF49" s="294">
        <v>5.8400000000000001E-2</v>
      </c>
      <c r="AG49" s="256">
        <f>('Encargos e Benefícios'!W48+'Gastos com Pessoal'!O49+'Gastos com Pessoal'!U49+'Gastos com Pessoal'!AA49)*5.84%</f>
        <v>439.70704323692399</v>
      </c>
      <c r="AH49" s="256">
        <f>('Encargos e Benefícios'!X48+'Encargos e Benefícios'!Y48+'Encargos e Benefícios'!Z48+'Encargos e Benefícios'!AA48+'Encargos e Benefícios'!AB48+'Gastos com Pessoal'!P49+'Gastos com Pessoal'!V49+'Gastos com Pessoal'!AB49)*5.84%</f>
        <v>259.44543509208142</v>
      </c>
      <c r="AI49" s="256">
        <f>('Encargos e Benefícios'!V48+'Gastos com Pessoal'!Q49+'Gastos com Pessoal'!W49+'Gastos com Pessoal'!AC49)*5.84%</f>
        <v>56.234642264314097</v>
      </c>
      <c r="AJ49" s="257"/>
      <c r="AK49" s="296">
        <f>'Encargos e Benefícios'!D48</f>
        <v>2010.96</v>
      </c>
      <c r="AL49" s="296">
        <f>IF('Encargos e Benefícios'!C48=0,0,'Encargos e Benefícios'!U48/'Encargos e Benefícios'!C48)</f>
        <v>2591.2415003999999</v>
      </c>
      <c r="AM49" s="296">
        <f>IF('Encargos e Benefícios'!C48=0,0,'Encargos e Benefícios'!AC48/'Encargos e Benefícios'!C48)</f>
        <v>909.13</v>
      </c>
      <c r="AN49" s="297">
        <f>IF('Encargos e Benefícios'!C48=0,0,'Encargos e Benefícios'!AD48/'Encargos e Benefícios'!C48)</f>
        <v>5511.3315003999996</v>
      </c>
      <c r="AO49" s="188">
        <v>2752.21</v>
      </c>
      <c r="AP49" s="298">
        <v>1764.5</v>
      </c>
      <c r="AQ49" s="298">
        <v>3739.92</v>
      </c>
      <c r="AR49" s="299" t="s">
        <v>104</v>
      </c>
      <c r="AS49" s="188"/>
    </row>
    <row r="50" spans="1:45">
      <c r="A50" s="286">
        <v>44</v>
      </c>
      <c r="B50" s="81" t="str">
        <f>'Encargos e Benefícios'!B49</f>
        <v>Socioeducador - NC</v>
      </c>
      <c r="C50" s="287">
        <f>'Encargos e Benefícios'!C49</f>
        <v>2</v>
      </c>
      <c r="D50" s="288" t="s">
        <v>496</v>
      </c>
      <c r="E50" s="300">
        <v>45658</v>
      </c>
      <c r="F50" s="301">
        <v>47058</v>
      </c>
      <c r="G50" s="293"/>
      <c r="H50" s="294"/>
      <c r="I50" s="256"/>
      <c r="J50" s="256"/>
      <c r="K50" s="256"/>
      <c r="L50" s="256"/>
      <c r="M50" s="293">
        <v>45778</v>
      </c>
      <c r="N50" s="294">
        <v>5.8400000000000001E-2</v>
      </c>
      <c r="O50" s="256">
        <f>'Encargos e Benefícios'!W49*5.84%</f>
        <v>61.810560000000002</v>
      </c>
      <c r="P50" s="256">
        <f>('Encargos e Benefícios'!X49+'Encargos e Benefícios'!Y49+'Encargos e Benefícios'!Z49+'Encargos e Benefícios'!AA49+'Encargos e Benefícios'!AB49)*5.84%</f>
        <v>36.470799999999997</v>
      </c>
      <c r="Q50" s="256">
        <f>'Encargos e Benefícios'!V49*5.84%</f>
        <v>7.9050240000000009</v>
      </c>
      <c r="R50" s="256"/>
      <c r="S50" s="293">
        <v>46143</v>
      </c>
      <c r="T50" s="294">
        <v>5.8400000000000001E-2</v>
      </c>
      <c r="U50" s="256">
        <f>('Encargos e Benefícios'!W49+'Gastos com Pessoal'!O50)*5.84%</f>
        <v>65.420296703999995</v>
      </c>
      <c r="V50" s="256">
        <f>('Encargos e Benefícios'!X49+'Encargos e Benefícios'!Y49+'Encargos e Benefícios'!Z49+'Encargos e Benefícios'!AA49+'Encargos e Benefícios'!AB49+'Gastos com Pessoal'!P50)*5.84%</f>
        <v>38.600694720000007</v>
      </c>
      <c r="W50" s="256">
        <f>('Encargos e Benefícios'!V49+'Gastos com Pessoal'!Q50)*5.84%</f>
        <v>8.3666774016000005</v>
      </c>
      <c r="X50" s="256"/>
      <c r="Y50" s="293">
        <v>46508</v>
      </c>
      <c r="Z50" s="294">
        <v>5.8400000000000001E-2</v>
      </c>
      <c r="AA50" s="256">
        <f>('Encargos e Benefícios'!W49+'Gastos com Pessoal'!O50+'Gastos com Pessoal'!U50)*5.84%</f>
        <v>69.240842031513608</v>
      </c>
      <c r="AB50" s="256">
        <f>('Encargos e Benefícios'!X49+'Encargos e Benefícios'!Y49+'Encargos e Benefícios'!Z49+'Encargos e Benefícios'!AA49+'Encargos e Benefícios'!AB49+'Gastos com Pessoal'!P50+'Gastos com Pessoal'!V50)*5.84%</f>
        <v>40.854975291648003</v>
      </c>
      <c r="AC50" s="256">
        <f>('Encargos e Benefícios'!V49+'Gastos com Pessoal'!Q50+'Gastos com Pessoal'!W50)*5.84%</f>
        <v>8.8552913618534408</v>
      </c>
      <c r="AD50" s="256"/>
      <c r="AE50" s="293">
        <v>46874</v>
      </c>
      <c r="AF50" s="294">
        <v>5.8400000000000001E-2</v>
      </c>
      <c r="AG50" s="256">
        <f>('Encargos e Benefícios'!W49+'Gastos com Pessoal'!O50+'Gastos com Pessoal'!U50+'Gastos com Pessoal'!AA50)*5.84%</f>
        <v>73.284507206154004</v>
      </c>
      <c r="AH50" s="256">
        <f>('Encargos e Benefícios'!X49+'Encargos e Benefícios'!Y49+'Encargos e Benefícios'!Z49+'Encargos e Benefícios'!AA49+'Encargos e Benefícios'!AB49+'Gastos com Pessoal'!P50+'Gastos com Pessoal'!V50+'Gastos com Pessoal'!AB50)*5.84%</f>
        <v>43.240905848680242</v>
      </c>
      <c r="AI50" s="256">
        <f>('Encargos e Benefícios'!V49+'Gastos com Pessoal'!Q50+'Gastos com Pessoal'!W50+'Gastos com Pessoal'!AC50)*5.84%</f>
        <v>9.3724403773856828</v>
      </c>
      <c r="AJ50" s="257"/>
      <c r="AK50" s="296">
        <f>'Encargos e Benefícios'!D49</f>
        <v>2010.96</v>
      </c>
      <c r="AL50" s="296">
        <f>IF('Encargos e Benefícios'!C49=0,0,'Encargos e Benefícios'!U49/'Encargos e Benefícios'!C49)</f>
        <v>3553.5688062933345</v>
      </c>
      <c r="AM50" s="296">
        <f>IF('Encargos e Benefícios'!C49=0,0,'Encargos e Benefícios'!AC49/'Encargos e Benefícios'!C49)</f>
        <v>909.13000000000011</v>
      </c>
      <c r="AN50" s="297">
        <f>IF('Encargos e Benefícios'!C49=0,0,'Encargos e Benefícios'!AD49/'Encargos e Benefícios'!C49)</f>
        <v>6473.6588062933342</v>
      </c>
      <c r="AO50" s="188">
        <v>2752.21</v>
      </c>
      <c r="AP50" s="298">
        <v>1764.5</v>
      </c>
      <c r="AQ50" s="298">
        <v>3739.92</v>
      </c>
      <c r="AR50" s="299" t="s">
        <v>104</v>
      </c>
      <c r="AS50" s="188"/>
    </row>
    <row r="51" spans="1:45" ht="13" thickBot="1">
      <c r="A51" s="286">
        <v>45</v>
      </c>
      <c r="B51" s="81" t="str">
        <f>'Encargos e Benefícios'!B50</f>
        <v>Socioeducador - N</v>
      </c>
      <c r="C51" s="287">
        <f>'Encargos e Benefícios'!C50</f>
        <v>6</v>
      </c>
      <c r="D51" s="288" t="s">
        <v>496</v>
      </c>
      <c r="E51" s="300">
        <v>45658</v>
      </c>
      <c r="F51" s="301">
        <v>47058</v>
      </c>
      <c r="G51" s="293"/>
      <c r="H51" s="294"/>
      <c r="I51" s="256"/>
      <c r="J51" s="256"/>
      <c r="K51" s="256"/>
      <c r="L51" s="256"/>
      <c r="M51" s="293">
        <v>45778</v>
      </c>
      <c r="N51" s="294">
        <v>5.8400000000000001E-2</v>
      </c>
      <c r="O51" s="256">
        <f>'Encargos e Benefícios'!W50*5.84%</f>
        <v>185.43168000000003</v>
      </c>
      <c r="P51" s="256">
        <f>('Encargos e Benefícios'!X50+'Encargos e Benefícios'!Y50+'Encargos e Benefícios'!Z50+'Encargos e Benefícios'!AA50+'Encargos e Benefícios'!AB50)*5.84%</f>
        <v>109.41240000000001</v>
      </c>
      <c r="Q51" s="256">
        <f>'Encargos e Benefícios'!V50*5.84%</f>
        <v>23.715072000000003</v>
      </c>
      <c r="R51" s="256"/>
      <c r="S51" s="293">
        <v>46143</v>
      </c>
      <c r="T51" s="294">
        <v>5.8400000000000001E-2</v>
      </c>
      <c r="U51" s="256">
        <f>('Encargos e Benefícios'!W50+'Gastos com Pessoal'!O51)*5.84%</f>
        <v>196.26089011200003</v>
      </c>
      <c r="V51" s="256">
        <f>('Encargos e Benefícios'!X50+'Encargos e Benefícios'!Y50+'Encargos e Benefícios'!Z50+'Encargos e Benefícios'!AA50+'Encargos e Benefícios'!AB50+'Gastos com Pessoal'!P51)*5.84%</f>
        <v>115.80208415999999</v>
      </c>
      <c r="W51" s="256">
        <f>('Encargos e Benefícios'!V50+'Gastos com Pessoal'!Q51)*5.84%</f>
        <v>25.100032204800005</v>
      </c>
      <c r="X51" s="256"/>
      <c r="Y51" s="293">
        <v>46508</v>
      </c>
      <c r="Z51" s="294">
        <v>5.8400000000000001E-2</v>
      </c>
      <c r="AA51" s="256">
        <f>('Encargos e Benefícios'!W50+'Gastos com Pessoal'!O51+'Gastos com Pessoal'!U51)*5.84%</f>
        <v>207.72252609454083</v>
      </c>
      <c r="AB51" s="256">
        <f>('Encargos e Benefícios'!X50+'Encargos e Benefícios'!Y50+'Encargos e Benefícios'!Z50+'Encargos e Benefícios'!AA50+'Encargos e Benefícios'!AB50+'Gastos com Pessoal'!P51+'Gastos com Pessoal'!V51)*5.84%</f>
        <v>122.56492587494398</v>
      </c>
      <c r="AC51" s="256">
        <f>('Encargos e Benefícios'!V50+'Gastos com Pessoal'!Q51+'Gastos com Pessoal'!W51)*5.84%</f>
        <v>26.565874085560324</v>
      </c>
      <c r="AD51" s="256"/>
      <c r="AE51" s="293">
        <v>46874</v>
      </c>
      <c r="AF51" s="294">
        <v>5.8400000000000001E-2</v>
      </c>
      <c r="AG51" s="256">
        <f>('Encargos e Benefícios'!W50+'Gastos com Pessoal'!O51+'Gastos com Pessoal'!U51+'Gastos com Pessoal'!AA51)*5.84%</f>
        <v>219.853521618462</v>
      </c>
      <c r="AH51" s="256">
        <f>('Encargos e Benefícios'!X50+'Encargos e Benefícios'!Y50+'Encargos e Benefícios'!Z50+'Encargos e Benefícios'!AA50+'Encargos e Benefícios'!AB50+'Gastos com Pessoal'!P51+'Gastos com Pessoal'!V51+'Gastos com Pessoal'!AB51)*5.84%</f>
        <v>129.72271754604071</v>
      </c>
      <c r="AI51" s="256">
        <f>('Encargos e Benefícios'!V50+'Gastos com Pessoal'!Q51+'Gastos com Pessoal'!W51+'Gastos com Pessoal'!AC51)*5.84%</f>
        <v>28.117321132157048</v>
      </c>
      <c r="AJ51" s="257"/>
      <c r="AK51" s="296">
        <f>'Encargos e Benefícios'!D50</f>
        <v>2010.96</v>
      </c>
      <c r="AL51" s="296">
        <f>IF('Encargos e Benefícios'!C50=0,0,'Encargos e Benefícios'!U50/'Encargos e Benefícios'!C50)</f>
        <v>3202.4049162933329</v>
      </c>
      <c r="AM51" s="296">
        <f>IF('Encargos e Benefícios'!C50=0,0,'Encargos e Benefícios'!AC50/'Encargos e Benefícios'!C50)</f>
        <v>909.13</v>
      </c>
      <c r="AN51" s="297">
        <f>IF('Encargos e Benefícios'!C50=0,0,'Encargos e Benefícios'!AD50/'Encargos e Benefícios'!C50)</f>
        <v>6122.4949162933326</v>
      </c>
      <c r="AO51" s="188">
        <v>2752.21</v>
      </c>
      <c r="AP51" s="298">
        <v>1764.5</v>
      </c>
      <c r="AQ51" s="298">
        <v>3739.92</v>
      </c>
      <c r="AR51" s="299" t="s">
        <v>104</v>
      </c>
      <c r="AS51" s="188"/>
    </row>
    <row r="52" spans="1:45">
      <c r="A52" s="286">
        <v>46</v>
      </c>
      <c r="B52" s="81" t="str">
        <f>'Encargos e Benefícios'!B51</f>
        <v>Diretor Geral de Unidade Socioeducativa</v>
      </c>
      <c r="C52" s="287">
        <f>'Encargos e Benefícios'!C51</f>
        <v>1</v>
      </c>
      <c r="D52" s="288">
        <v>40</v>
      </c>
      <c r="E52" s="289">
        <v>45658</v>
      </c>
      <c r="F52" s="290">
        <v>47058</v>
      </c>
      <c r="G52" s="293"/>
      <c r="H52" s="294"/>
      <c r="I52" s="256"/>
      <c r="J52" s="256"/>
      <c r="K52" s="256"/>
      <c r="L52" s="256"/>
      <c r="M52" s="293">
        <v>45778</v>
      </c>
      <c r="N52" s="294">
        <v>5.8400000000000001E-2</v>
      </c>
      <c r="O52" s="256">
        <f>'Encargos e Benefícios'!W51*5.84%</f>
        <v>30.905280000000001</v>
      </c>
      <c r="P52" s="256">
        <f>('Encargos e Benefícios'!X51+'Encargos e Benefícios'!Y51+'Encargos e Benefícios'!Z51+'Encargos e Benefícios'!AA51+'Encargos e Benefícios'!AB51)*5.84%</f>
        <v>18.235399999999998</v>
      </c>
      <c r="Q52" s="256">
        <f>'Encargos e Benefícios'!V51*5.84%</f>
        <v>0</v>
      </c>
      <c r="R52" s="256"/>
      <c r="S52" s="293">
        <v>46143</v>
      </c>
      <c r="T52" s="294">
        <v>5.8400000000000001E-2</v>
      </c>
      <c r="U52" s="256">
        <f>('Encargos e Benefícios'!W51+'Gastos com Pessoal'!O52)*5.84%</f>
        <v>32.710148351999997</v>
      </c>
      <c r="V52" s="256">
        <f>('Encargos e Benefícios'!X51+'Encargos e Benefícios'!Y51+'Encargos e Benefícios'!Z51+'Encargos e Benefícios'!AA51+'Encargos e Benefícios'!AB51+'Gastos com Pessoal'!P52)*5.84%</f>
        <v>19.300347360000004</v>
      </c>
      <c r="W52" s="256">
        <f>('Encargos e Benefícios'!V51+'Gastos com Pessoal'!Q52)*5.84%</f>
        <v>0</v>
      </c>
      <c r="X52" s="256"/>
      <c r="Y52" s="293">
        <v>46508</v>
      </c>
      <c r="Z52" s="294">
        <v>5.8400000000000001E-2</v>
      </c>
      <c r="AA52" s="256">
        <f>('Encargos e Benefícios'!W51+'Gastos com Pessoal'!O52+'Gastos com Pessoal'!U52)*5.84%</f>
        <v>34.620421015756804</v>
      </c>
      <c r="AB52" s="256">
        <f>('Encargos e Benefícios'!X51+'Encargos e Benefícios'!Y51+'Encargos e Benefícios'!Z51+'Encargos e Benefícios'!AA51+'Encargos e Benefícios'!AB51+'Gastos com Pessoal'!P52+'Gastos com Pessoal'!V52)*5.84%</f>
        <v>20.427487645824002</v>
      </c>
      <c r="AC52" s="256">
        <f>('Encargos e Benefícios'!V51+'Gastos com Pessoal'!Q52+'Gastos com Pessoal'!W52)*5.84%</f>
        <v>0</v>
      </c>
      <c r="AD52" s="256"/>
      <c r="AE52" s="293">
        <v>46874</v>
      </c>
      <c r="AF52" s="294">
        <v>5.8400000000000001E-2</v>
      </c>
      <c r="AG52" s="256">
        <f>('Encargos e Benefícios'!W51+'Gastos com Pessoal'!O52+'Gastos com Pessoal'!U52+'Gastos com Pessoal'!AA52)*5.84%</f>
        <v>36.642253603077002</v>
      </c>
      <c r="AH52" s="256">
        <f>('Encargos e Benefícios'!X51+'Encargos e Benefícios'!Y51+'Encargos e Benefícios'!Z51+'Encargos e Benefícios'!AA51+'Encargos e Benefícios'!AB51+'Gastos com Pessoal'!P52+'Gastos com Pessoal'!V52+'Gastos com Pessoal'!AB52)*5.84%</f>
        <v>21.620452924340121</v>
      </c>
      <c r="AI52" s="256">
        <f>('Encargos e Benefícios'!V51+'Gastos com Pessoal'!Q52+'Gastos com Pessoal'!W52+'Gastos com Pessoal'!AC52)*5.84%</f>
        <v>0</v>
      </c>
      <c r="AJ52" s="257"/>
      <c r="AK52" s="296">
        <f>'Encargos e Benefícios'!D51</f>
        <v>6879.6</v>
      </c>
      <c r="AL52" s="296">
        <f>IF('Encargos e Benefícios'!C51=0,0,'Encargos e Benefícios'!U51/'Encargos e Benefícios'!C51)</f>
        <v>5400.8682000000008</v>
      </c>
      <c r="AM52" s="296">
        <f>IF('Encargos e Benefícios'!C51=0,0,'Encargos e Benefícios'!AC51/'Encargos e Benefícios'!C51)</f>
        <v>841.45</v>
      </c>
      <c r="AN52" s="297">
        <f>IF('Encargos e Benefícios'!C51=0,0,'Encargos e Benefícios'!AD51/'Encargos e Benefícios'!C51)</f>
        <v>13121.918200000002</v>
      </c>
      <c r="AO52" s="188">
        <v>6052.24</v>
      </c>
      <c r="AP52" s="298">
        <v>4236.6899999999996</v>
      </c>
      <c r="AQ52" s="298">
        <v>7864.78</v>
      </c>
      <c r="AR52" s="299" t="s">
        <v>105</v>
      </c>
      <c r="AS52" s="188"/>
    </row>
    <row r="53" spans="1:45">
      <c r="A53" s="286">
        <v>47</v>
      </c>
      <c r="B53" s="81" t="str">
        <f>'Encargos e Benefícios'!B52</f>
        <v>Subdiretor de Segurança</v>
      </c>
      <c r="C53" s="287">
        <f>'Encargos e Benefícios'!C52</f>
        <v>1</v>
      </c>
      <c r="D53" s="288">
        <v>40</v>
      </c>
      <c r="E53" s="300">
        <v>45658</v>
      </c>
      <c r="F53" s="301">
        <v>47058</v>
      </c>
      <c r="G53" s="293"/>
      <c r="H53" s="294"/>
      <c r="I53" s="256"/>
      <c r="J53" s="256"/>
      <c r="K53" s="256"/>
      <c r="L53" s="256"/>
      <c r="M53" s="293">
        <v>45778</v>
      </c>
      <c r="N53" s="294">
        <v>5.8400000000000001E-2</v>
      </c>
      <c r="O53" s="256">
        <f>'Encargos e Benefícios'!W52*5.84%</f>
        <v>30.905280000000001</v>
      </c>
      <c r="P53" s="256">
        <f>('Encargos e Benefícios'!X52+'Encargos e Benefícios'!Y52+'Encargos e Benefícios'!Z52+'Encargos e Benefícios'!AA52+'Encargos e Benefícios'!AB52)*5.84%</f>
        <v>18.235399999999998</v>
      </c>
      <c r="Q53" s="256">
        <f>'Encargos e Benefícios'!V52*5.84%</f>
        <v>0</v>
      </c>
      <c r="R53" s="256"/>
      <c r="S53" s="293">
        <v>46143</v>
      </c>
      <c r="T53" s="294">
        <v>5.8400000000000001E-2</v>
      </c>
      <c r="U53" s="256">
        <f>('Encargos e Benefícios'!W52+'Gastos com Pessoal'!O53)*5.84%</f>
        <v>32.710148351999997</v>
      </c>
      <c r="V53" s="256">
        <f>('Encargos e Benefícios'!X52+'Encargos e Benefícios'!Y52+'Encargos e Benefícios'!Z52+'Encargos e Benefícios'!AA52+'Encargos e Benefícios'!AB52+'Gastos com Pessoal'!P53)*5.84%</f>
        <v>19.300347360000004</v>
      </c>
      <c r="W53" s="256">
        <f>('Encargos e Benefícios'!V52+'Gastos com Pessoal'!Q53)*5.84%</f>
        <v>0</v>
      </c>
      <c r="X53" s="256"/>
      <c r="Y53" s="293">
        <v>46508</v>
      </c>
      <c r="Z53" s="294">
        <v>5.8400000000000001E-2</v>
      </c>
      <c r="AA53" s="256">
        <f>('Encargos e Benefícios'!W52+'Gastos com Pessoal'!O53+'Gastos com Pessoal'!U53)*5.84%</f>
        <v>34.620421015756804</v>
      </c>
      <c r="AB53" s="256">
        <f>('Encargos e Benefícios'!X52+'Encargos e Benefícios'!Y52+'Encargos e Benefícios'!Z52+'Encargos e Benefícios'!AA52+'Encargos e Benefícios'!AB52+'Gastos com Pessoal'!P53+'Gastos com Pessoal'!V53)*5.84%</f>
        <v>20.427487645824002</v>
      </c>
      <c r="AC53" s="256">
        <f>('Encargos e Benefícios'!V52+'Gastos com Pessoal'!Q53+'Gastos com Pessoal'!W53)*5.84%</f>
        <v>0</v>
      </c>
      <c r="AD53" s="256"/>
      <c r="AE53" s="293">
        <v>46874</v>
      </c>
      <c r="AF53" s="294">
        <v>5.8400000000000001E-2</v>
      </c>
      <c r="AG53" s="256">
        <f>('Encargos e Benefícios'!W52+'Gastos com Pessoal'!O53+'Gastos com Pessoal'!U53+'Gastos com Pessoal'!AA53)*5.84%</f>
        <v>36.642253603077002</v>
      </c>
      <c r="AH53" s="256">
        <f>('Encargos e Benefícios'!X52+'Encargos e Benefícios'!Y52+'Encargos e Benefícios'!Z52+'Encargos e Benefícios'!AA52+'Encargos e Benefícios'!AB52+'Gastos com Pessoal'!P53+'Gastos com Pessoal'!V53+'Gastos com Pessoal'!AB53)*5.84%</f>
        <v>21.620452924340121</v>
      </c>
      <c r="AI53" s="256">
        <f>('Encargos e Benefícios'!V52+'Gastos com Pessoal'!Q53+'Gastos com Pessoal'!W53+'Gastos com Pessoal'!AC53)*5.84%</f>
        <v>0</v>
      </c>
      <c r="AJ53" s="257"/>
      <c r="AK53" s="296">
        <f>'Encargos e Benefícios'!D52</f>
        <v>3993.98</v>
      </c>
      <c r="AL53" s="296">
        <f>IF('Encargos e Benefícios'!C52=0,0,'Encargos e Benefícios'!U52/'Encargos e Benefícios'!C52)</f>
        <v>4659.1662746111106</v>
      </c>
      <c r="AM53" s="296">
        <f>IF('Encargos e Benefícios'!C52=0,0,'Encargos e Benefícios'!AC52/'Encargos e Benefícios'!C52)</f>
        <v>841.45</v>
      </c>
      <c r="AN53" s="297">
        <f>IF('Encargos e Benefícios'!C52=0,0,'Encargos e Benefícios'!AD52/'Encargos e Benefícios'!C52)</f>
        <v>9494.5962746111109</v>
      </c>
      <c r="AO53" s="188">
        <v>4968.99</v>
      </c>
      <c r="AP53" s="298">
        <v>3773.6</v>
      </c>
      <c r="AQ53" s="298">
        <v>6164.38</v>
      </c>
      <c r="AR53" s="299" t="s">
        <v>105</v>
      </c>
      <c r="AS53" s="188"/>
    </row>
    <row r="54" spans="1:45">
      <c r="A54" s="286">
        <v>48</v>
      </c>
      <c r="B54" s="81" t="str">
        <f>'Encargos e Benefícios'!B53</f>
        <v>Advogado</v>
      </c>
      <c r="C54" s="287">
        <f>'Encargos e Benefícios'!C53</f>
        <v>1</v>
      </c>
      <c r="D54" s="288">
        <v>30</v>
      </c>
      <c r="E54" s="300">
        <v>45658</v>
      </c>
      <c r="F54" s="301">
        <v>47058</v>
      </c>
      <c r="G54" s="293"/>
      <c r="H54" s="294"/>
      <c r="I54" s="256"/>
      <c r="J54" s="256"/>
      <c r="K54" s="256"/>
      <c r="L54" s="256"/>
      <c r="M54" s="293">
        <v>45778</v>
      </c>
      <c r="N54" s="294">
        <v>5.8400000000000001E-2</v>
      </c>
      <c r="O54" s="256">
        <f>'Encargos e Benefícios'!W53*5.84%</f>
        <v>30.905280000000001</v>
      </c>
      <c r="P54" s="256">
        <f>('Encargos e Benefícios'!X53+'Encargos e Benefícios'!Y53+'Encargos e Benefícios'!Z53+'Encargos e Benefícios'!AA53+'Encargos e Benefícios'!AB53)*5.84%</f>
        <v>18.235399999999998</v>
      </c>
      <c r="Q54" s="256">
        <f>'Encargos e Benefícios'!V53*5.84%</f>
        <v>6.1594480000000003</v>
      </c>
      <c r="R54" s="256"/>
      <c r="S54" s="293">
        <v>46143</v>
      </c>
      <c r="T54" s="294">
        <v>5.8400000000000001E-2</v>
      </c>
      <c r="U54" s="256">
        <f>('Encargos e Benefícios'!W53+'Gastos com Pessoal'!O54)*5.84%</f>
        <v>32.710148351999997</v>
      </c>
      <c r="V54" s="256">
        <f>('Encargos e Benefícios'!X53+'Encargos e Benefícios'!Y53+'Encargos e Benefícios'!Z53+'Encargos e Benefícios'!AA53+'Encargos e Benefícios'!AB53+'Gastos com Pessoal'!P54)*5.84%</f>
        <v>19.300347360000004</v>
      </c>
      <c r="W54" s="256">
        <f>('Encargos e Benefícios'!V53+'Gastos com Pessoal'!Q54)*5.84%</f>
        <v>6.5191597632000002</v>
      </c>
      <c r="X54" s="256"/>
      <c r="Y54" s="293">
        <v>46508</v>
      </c>
      <c r="Z54" s="294">
        <v>5.8400000000000001E-2</v>
      </c>
      <c r="AA54" s="256">
        <f>('Encargos e Benefícios'!W53+'Gastos com Pessoal'!O54+'Gastos com Pessoal'!U54)*5.84%</f>
        <v>34.620421015756804</v>
      </c>
      <c r="AB54" s="256">
        <f>('Encargos e Benefícios'!X53+'Encargos e Benefícios'!Y53+'Encargos e Benefícios'!Z53+'Encargos e Benefícios'!AA53+'Encargos e Benefícios'!AB53+'Gastos com Pessoal'!P54+'Gastos com Pessoal'!V54)*5.84%</f>
        <v>20.427487645824002</v>
      </c>
      <c r="AC54" s="256">
        <f>('Encargos e Benefícios'!V53+'Gastos com Pessoal'!Q54+'Gastos com Pessoal'!W54)*5.84%</f>
        <v>6.8998786933708791</v>
      </c>
      <c r="AD54" s="256"/>
      <c r="AE54" s="293">
        <v>46874</v>
      </c>
      <c r="AF54" s="294">
        <v>5.8400000000000001E-2</v>
      </c>
      <c r="AG54" s="256">
        <f>('Encargos e Benefícios'!W53+'Gastos com Pessoal'!O54+'Gastos com Pessoal'!U54+'Gastos com Pessoal'!AA54)*5.84%</f>
        <v>36.642253603077002</v>
      </c>
      <c r="AH54" s="256">
        <f>('Encargos e Benefícios'!X53+'Encargos e Benefícios'!Y53+'Encargos e Benefícios'!Z53+'Encargos e Benefícios'!AA53+'Encargos e Benefícios'!AB53+'Gastos com Pessoal'!P54+'Gastos com Pessoal'!V54+'Gastos com Pessoal'!AB54)*5.84%</f>
        <v>21.620452924340121</v>
      </c>
      <c r="AI54" s="256">
        <f>('Encargos e Benefícios'!V53+'Gastos com Pessoal'!Q54+'Gastos com Pessoal'!W54+'Gastos com Pessoal'!AC54)*5.84%</f>
        <v>7.3028316090637393</v>
      </c>
      <c r="AJ54" s="257"/>
      <c r="AK54" s="296">
        <f>'Encargos e Benefícios'!D53</f>
        <v>2751.84</v>
      </c>
      <c r="AL54" s="296">
        <f>IF('Encargos e Benefícios'!C53=0,0,'Encargos e Benefícios'!U53/'Encargos e Benefícios'!C53)</f>
        <v>2198.8730400000004</v>
      </c>
      <c r="AM54" s="296">
        <f>IF('Encargos e Benefícios'!C53=0,0,'Encargos e Benefícios'!AC53/'Encargos e Benefícios'!C53)</f>
        <v>946.92000000000007</v>
      </c>
      <c r="AN54" s="297">
        <f>IF('Encargos e Benefícios'!C53=0,0,'Encargos e Benefícios'!AD53/'Encargos e Benefícios'!C53)</f>
        <v>5897.6330400000006</v>
      </c>
      <c r="AO54" s="188">
        <v>2574.5</v>
      </c>
      <c r="AP54" s="298">
        <v>2000</v>
      </c>
      <c r="AQ54" s="298">
        <v>3148.99</v>
      </c>
      <c r="AR54" s="299" t="s">
        <v>105</v>
      </c>
      <c r="AS54" s="188"/>
    </row>
    <row r="55" spans="1:45">
      <c r="A55" s="286">
        <v>49</v>
      </c>
      <c r="B55" s="81" t="str">
        <f>'Encargos e Benefícios'!B54</f>
        <v>Assistente Social</v>
      </c>
      <c r="C55" s="287">
        <f>'Encargos e Benefícios'!C54</f>
        <v>1</v>
      </c>
      <c r="D55" s="288">
        <v>30</v>
      </c>
      <c r="E55" s="300">
        <v>45658</v>
      </c>
      <c r="F55" s="301">
        <v>47058</v>
      </c>
      <c r="G55" s="293"/>
      <c r="H55" s="294"/>
      <c r="I55" s="256"/>
      <c r="J55" s="256"/>
      <c r="K55" s="256"/>
      <c r="L55" s="256"/>
      <c r="M55" s="293">
        <v>45778</v>
      </c>
      <c r="N55" s="294">
        <v>5.8400000000000001E-2</v>
      </c>
      <c r="O55" s="256">
        <f>'Encargos e Benefícios'!W54*5.84%</f>
        <v>30.905280000000001</v>
      </c>
      <c r="P55" s="256">
        <f>('Encargos e Benefícios'!X54+'Encargos e Benefícios'!Y54+'Encargos e Benefícios'!Z54+'Encargos e Benefícios'!AA54+'Encargos e Benefícios'!AB54)*5.84%</f>
        <v>18.235399999999998</v>
      </c>
      <c r="Q55" s="256">
        <f>'Encargos e Benefícios'!V54*5.84%</f>
        <v>6.1594480000000003</v>
      </c>
      <c r="R55" s="256"/>
      <c r="S55" s="293">
        <v>46143</v>
      </c>
      <c r="T55" s="294">
        <v>5.8400000000000001E-2</v>
      </c>
      <c r="U55" s="256">
        <f>('Encargos e Benefícios'!W54+'Gastos com Pessoal'!O55)*5.84%</f>
        <v>32.710148351999997</v>
      </c>
      <c r="V55" s="256">
        <f>('Encargos e Benefícios'!X54+'Encargos e Benefícios'!Y54+'Encargos e Benefícios'!Z54+'Encargos e Benefícios'!AA54+'Encargos e Benefícios'!AB54+'Gastos com Pessoal'!P55)*5.84%</f>
        <v>19.300347360000004</v>
      </c>
      <c r="W55" s="256">
        <f>('Encargos e Benefícios'!V54+'Gastos com Pessoal'!Q55)*5.84%</f>
        <v>6.5191597632000002</v>
      </c>
      <c r="X55" s="256"/>
      <c r="Y55" s="293">
        <v>46508</v>
      </c>
      <c r="Z55" s="294">
        <v>5.8400000000000001E-2</v>
      </c>
      <c r="AA55" s="256">
        <f>('Encargos e Benefícios'!W54+'Gastos com Pessoal'!O55+'Gastos com Pessoal'!U55)*5.84%</f>
        <v>34.620421015756804</v>
      </c>
      <c r="AB55" s="256">
        <f>('Encargos e Benefícios'!X54+'Encargos e Benefícios'!Y54+'Encargos e Benefícios'!Z54+'Encargos e Benefícios'!AA54+'Encargos e Benefícios'!AB54+'Gastos com Pessoal'!P55+'Gastos com Pessoal'!V55)*5.84%</f>
        <v>20.427487645824002</v>
      </c>
      <c r="AC55" s="256">
        <f>('Encargos e Benefícios'!V54+'Gastos com Pessoal'!Q55+'Gastos com Pessoal'!W55)*5.84%</f>
        <v>6.8998786933708791</v>
      </c>
      <c r="AD55" s="256"/>
      <c r="AE55" s="293">
        <v>46874</v>
      </c>
      <c r="AF55" s="294">
        <v>5.8400000000000001E-2</v>
      </c>
      <c r="AG55" s="256">
        <f>('Encargos e Benefícios'!W54+'Gastos com Pessoal'!O55+'Gastos com Pessoal'!U55+'Gastos com Pessoal'!AA55)*5.84%</f>
        <v>36.642253603077002</v>
      </c>
      <c r="AH55" s="256">
        <f>('Encargos e Benefícios'!X54+'Encargos e Benefícios'!Y54+'Encargos e Benefícios'!Z54+'Encargos e Benefícios'!AA54+'Encargos e Benefícios'!AB54+'Gastos com Pessoal'!P55+'Gastos com Pessoal'!V55+'Gastos com Pessoal'!AB55)*5.84%</f>
        <v>21.620452924340121</v>
      </c>
      <c r="AI55" s="256">
        <f>('Encargos e Benefícios'!V54+'Gastos com Pessoal'!Q55+'Gastos com Pessoal'!W55+'Gastos com Pessoal'!AC55)*5.84%</f>
        <v>7.3028316090637393</v>
      </c>
      <c r="AJ55" s="257"/>
      <c r="AK55" s="296">
        <f>'Encargos e Benefícios'!D54</f>
        <v>2751.84</v>
      </c>
      <c r="AL55" s="296">
        <f>IF('Encargos e Benefícios'!C54=0,0,'Encargos e Benefícios'!U54/'Encargos e Benefícios'!C54)</f>
        <v>2198.8730400000004</v>
      </c>
      <c r="AM55" s="296">
        <f>IF('Encargos e Benefícios'!C54=0,0,'Encargos e Benefícios'!AC54/'Encargos e Benefícios'!C54)</f>
        <v>946.92000000000007</v>
      </c>
      <c r="AN55" s="297">
        <f>IF('Encargos e Benefícios'!C54=0,0,'Encargos e Benefícios'!AD54/'Encargos e Benefícios'!C54)</f>
        <v>5897.6330400000006</v>
      </c>
      <c r="AO55" s="188">
        <v>2906.48</v>
      </c>
      <c r="AP55" s="298">
        <v>2000</v>
      </c>
      <c r="AQ55" s="298">
        <v>3812.95</v>
      </c>
      <c r="AR55" s="299" t="s">
        <v>105</v>
      </c>
      <c r="AS55" s="188"/>
    </row>
    <row r="56" spans="1:45">
      <c r="A56" s="286">
        <v>50</v>
      </c>
      <c r="B56" s="81" t="str">
        <f>'Encargos e Benefícios'!B55</f>
        <v>Pedagogo</v>
      </c>
      <c r="C56" s="287">
        <f>'Encargos e Benefícios'!C55</f>
        <v>1</v>
      </c>
      <c r="D56" s="288">
        <v>30</v>
      </c>
      <c r="E56" s="300">
        <v>45658</v>
      </c>
      <c r="F56" s="301">
        <v>47058</v>
      </c>
      <c r="G56" s="293"/>
      <c r="H56" s="294"/>
      <c r="I56" s="256"/>
      <c r="J56" s="256"/>
      <c r="K56" s="256"/>
      <c r="L56" s="256"/>
      <c r="M56" s="293">
        <v>45778</v>
      </c>
      <c r="N56" s="294">
        <v>5.8400000000000001E-2</v>
      </c>
      <c r="O56" s="256">
        <f>'Encargos e Benefícios'!W55*5.84%</f>
        <v>30.905280000000001</v>
      </c>
      <c r="P56" s="256">
        <f>('Encargos e Benefícios'!X55+'Encargos e Benefícios'!Y55+'Encargos e Benefícios'!Z55+'Encargos e Benefícios'!AA55+'Encargos e Benefícios'!AB55)*5.84%</f>
        <v>18.235399999999998</v>
      </c>
      <c r="Q56" s="256">
        <f>'Encargos e Benefícios'!V55*5.84%</f>
        <v>6.1594480000000003</v>
      </c>
      <c r="R56" s="256"/>
      <c r="S56" s="293">
        <v>46143</v>
      </c>
      <c r="T56" s="294">
        <v>5.8400000000000001E-2</v>
      </c>
      <c r="U56" s="256">
        <f>('Encargos e Benefícios'!W55+'Gastos com Pessoal'!O56)*5.84%</f>
        <v>32.710148351999997</v>
      </c>
      <c r="V56" s="256">
        <f>('Encargos e Benefícios'!X55+'Encargos e Benefícios'!Y55+'Encargos e Benefícios'!Z55+'Encargos e Benefícios'!AA55+'Encargos e Benefícios'!AB55+'Gastos com Pessoal'!P56)*5.84%</f>
        <v>19.300347360000004</v>
      </c>
      <c r="W56" s="256">
        <f>('Encargos e Benefícios'!V55+'Gastos com Pessoal'!Q56)*5.84%</f>
        <v>6.5191597632000002</v>
      </c>
      <c r="X56" s="256"/>
      <c r="Y56" s="293">
        <v>46508</v>
      </c>
      <c r="Z56" s="294">
        <v>5.8400000000000001E-2</v>
      </c>
      <c r="AA56" s="256">
        <f>('Encargos e Benefícios'!W55+'Gastos com Pessoal'!O56+'Gastos com Pessoal'!U56)*5.84%</f>
        <v>34.620421015756804</v>
      </c>
      <c r="AB56" s="256">
        <f>('Encargos e Benefícios'!X55+'Encargos e Benefícios'!Y55+'Encargos e Benefícios'!Z55+'Encargos e Benefícios'!AA55+'Encargos e Benefícios'!AB55+'Gastos com Pessoal'!P56+'Gastos com Pessoal'!V56)*5.84%</f>
        <v>20.427487645824002</v>
      </c>
      <c r="AC56" s="256">
        <f>('Encargos e Benefícios'!V55+'Gastos com Pessoal'!Q56+'Gastos com Pessoal'!W56)*5.84%</f>
        <v>6.8998786933708791</v>
      </c>
      <c r="AD56" s="256"/>
      <c r="AE56" s="293">
        <v>46874</v>
      </c>
      <c r="AF56" s="294">
        <v>5.8400000000000001E-2</v>
      </c>
      <c r="AG56" s="256">
        <f>('Encargos e Benefícios'!W55+'Gastos com Pessoal'!O56+'Gastos com Pessoal'!U56+'Gastos com Pessoal'!AA56)*5.84%</f>
        <v>36.642253603077002</v>
      </c>
      <c r="AH56" s="256">
        <f>('Encargos e Benefícios'!X55+'Encargos e Benefícios'!Y55+'Encargos e Benefícios'!Z55+'Encargos e Benefícios'!AA55+'Encargos e Benefícios'!AB55+'Gastos com Pessoal'!P56+'Gastos com Pessoal'!V56+'Gastos com Pessoal'!AB56)*5.84%</f>
        <v>21.620452924340121</v>
      </c>
      <c r="AI56" s="256">
        <f>('Encargos e Benefícios'!V55+'Gastos com Pessoal'!Q56+'Gastos com Pessoal'!W56+'Gastos com Pessoal'!AC56)*5.84%</f>
        <v>7.3028316090637393</v>
      </c>
      <c r="AJ56" s="257"/>
      <c r="AK56" s="296">
        <f>'Encargos e Benefícios'!D55</f>
        <v>2751.84</v>
      </c>
      <c r="AL56" s="296">
        <f>IF('Encargos e Benefícios'!C55=0,0,'Encargos e Benefícios'!U55/'Encargos e Benefícios'!C55)</f>
        <v>2198.8730400000004</v>
      </c>
      <c r="AM56" s="296">
        <f>IF('Encargos e Benefícios'!C55=0,0,'Encargos e Benefícios'!AC55/'Encargos e Benefícios'!C55)</f>
        <v>946.92000000000007</v>
      </c>
      <c r="AN56" s="297">
        <f>IF('Encargos e Benefícios'!C55=0,0,'Encargos e Benefícios'!AD55/'Encargos e Benefícios'!C55)</f>
        <v>5897.6330400000006</v>
      </c>
      <c r="AO56" s="188">
        <v>2826.08</v>
      </c>
      <c r="AP56" s="298">
        <v>1936.68</v>
      </c>
      <c r="AQ56" s="298">
        <v>3715.48</v>
      </c>
      <c r="AR56" s="299" t="s">
        <v>105</v>
      </c>
      <c r="AS56" s="188"/>
    </row>
    <row r="57" spans="1:45">
      <c r="A57" s="286">
        <v>51</v>
      </c>
      <c r="B57" s="81" t="str">
        <f>'Encargos e Benefícios'!B56</f>
        <v>Psicologo</v>
      </c>
      <c r="C57" s="287">
        <f>'Encargos e Benefícios'!C56</f>
        <v>1</v>
      </c>
      <c r="D57" s="288">
        <v>30</v>
      </c>
      <c r="E57" s="300">
        <v>45658</v>
      </c>
      <c r="F57" s="301">
        <v>47058</v>
      </c>
      <c r="G57" s="293"/>
      <c r="H57" s="294"/>
      <c r="I57" s="256"/>
      <c r="J57" s="256"/>
      <c r="K57" s="256"/>
      <c r="L57" s="256"/>
      <c r="M57" s="293">
        <v>45778</v>
      </c>
      <c r="N57" s="294">
        <v>5.8400000000000001E-2</v>
      </c>
      <c r="O57" s="256">
        <f>'Encargos e Benefícios'!W56*5.84%</f>
        <v>30.905280000000001</v>
      </c>
      <c r="P57" s="256">
        <f>('Encargos e Benefícios'!X56+'Encargos e Benefícios'!Y56+'Encargos e Benefícios'!Z56+'Encargos e Benefícios'!AA56+'Encargos e Benefícios'!AB56)*5.84%</f>
        <v>18.235399999999998</v>
      </c>
      <c r="Q57" s="256">
        <f>'Encargos e Benefícios'!V56*5.84%</f>
        <v>6.1594480000000003</v>
      </c>
      <c r="R57" s="256"/>
      <c r="S57" s="293">
        <v>46143</v>
      </c>
      <c r="T57" s="294">
        <v>5.8400000000000001E-2</v>
      </c>
      <c r="U57" s="256">
        <f>('Encargos e Benefícios'!W56+'Gastos com Pessoal'!O57)*5.84%</f>
        <v>32.710148351999997</v>
      </c>
      <c r="V57" s="256">
        <f>('Encargos e Benefícios'!X56+'Encargos e Benefícios'!Y56+'Encargos e Benefícios'!Z56+'Encargos e Benefícios'!AA56+'Encargos e Benefícios'!AB56+'Gastos com Pessoal'!P57)*5.84%</f>
        <v>19.300347360000004</v>
      </c>
      <c r="W57" s="256">
        <f>('Encargos e Benefícios'!V56+'Gastos com Pessoal'!Q57)*5.84%</f>
        <v>6.5191597632000002</v>
      </c>
      <c r="X57" s="256"/>
      <c r="Y57" s="293">
        <v>46508</v>
      </c>
      <c r="Z57" s="294">
        <v>5.8400000000000001E-2</v>
      </c>
      <c r="AA57" s="256">
        <f>('Encargos e Benefícios'!W56+'Gastos com Pessoal'!O57+'Gastos com Pessoal'!U57)*5.84%</f>
        <v>34.620421015756804</v>
      </c>
      <c r="AB57" s="256">
        <f>('Encargos e Benefícios'!X56+'Encargos e Benefícios'!Y56+'Encargos e Benefícios'!Z56+'Encargos e Benefícios'!AA56+'Encargos e Benefícios'!AB56+'Gastos com Pessoal'!P57+'Gastos com Pessoal'!V57)*5.84%</f>
        <v>20.427487645824002</v>
      </c>
      <c r="AC57" s="256">
        <f>('Encargos e Benefícios'!V56+'Gastos com Pessoal'!Q57+'Gastos com Pessoal'!W57)*5.84%</f>
        <v>6.8998786933708791</v>
      </c>
      <c r="AD57" s="256"/>
      <c r="AE57" s="293">
        <v>46874</v>
      </c>
      <c r="AF57" s="294">
        <v>5.8400000000000001E-2</v>
      </c>
      <c r="AG57" s="256">
        <f>('Encargos e Benefícios'!W56+'Gastos com Pessoal'!O57+'Gastos com Pessoal'!U57+'Gastos com Pessoal'!AA57)*5.84%</f>
        <v>36.642253603077002</v>
      </c>
      <c r="AH57" s="256">
        <f>('Encargos e Benefícios'!X56+'Encargos e Benefícios'!Y56+'Encargos e Benefícios'!Z56+'Encargos e Benefícios'!AA56+'Encargos e Benefícios'!AB56+'Gastos com Pessoal'!P57+'Gastos com Pessoal'!V57+'Gastos com Pessoal'!AB57)*5.84%</f>
        <v>21.620452924340121</v>
      </c>
      <c r="AI57" s="256">
        <f>('Encargos e Benefícios'!V56+'Gastos com Pessoal'!Q57+'Gastos com Pessoal'!W57+'Gastos com Pessoal'!AC57)*5.84%</f>
        <v>7.3028316090637393</v>
      </c>
      <c r="AJ57" s="257"/>
      <c r="AK57" s="296">
        <f>'Encargos e Benefícios'!D56</f>
        <v>2751.84</v>
      </c>
      <c r="AL57" s="296">
        <f>IF('Encargos e Benefícios'!C56=0,0,'Encargos e Benefícios'!U56/'Encargos e Benefícios'!C56)</f>
        <v>2198.8730400000004</v>
      </c>
      <c r="AM57" s="296">
        <f>IF('Encargos e Benefícios'!C56=0,0,'Encargos e Benefícios'!AC56/'Encargos e Benefícios'!C56)</f>
        <v>946.92000000000007</v>
      </c>
      <c r="AN57" s="297">
        <f>IF('Encargos e Benefícios'!C56=0,0,'Encargos e Benefícios'!AD56/'Encargos e Benefícios'!C56)</f>
        <v>5897.6330400000006</v>
      </c>
      <c r="AO57" s="188">
        <v>2906.48</v>
      </c>
      <c r="AP57" s="298">
        <v>2000</v>
      </c>
      <c r="AQ57" s="298">
        <v>3812.95</v>
      </c>
      <c r="AR57" s="299" t="s">
        <v>105</v>
      </c>
      <c r="AS57" s="188"/>
    </row>
    <row r="58" spans="1:45">
      <c r="A58" s="286">
        <v>52</v>
      </c>
      <c r="B58" s="81" t="str">
        <f>'Encargos e Benefícios'!B57</f>
        <v>Terapeuta Ocupacional</v>
      </c>
      <c r="C58" s="287">
        <f>'Encargos e Benefícios'!C57</f>
        <v>1</v>
      </c>
      <c r="D58" s="288">
        <v>30</v>
      </c>
      <c r="E58" s="300">
        <v>45658</v>
      </c>
      <c r="F58" s="301">
        <v>47058</v>
      </c>
      <c r="G58" s="293"/>
      <c r="H58" s="294"/>
      <c r="I58" s="256"/>
      <c r="J58" s="256"/>
      <c r="K58" s="256"/>
      <c r="L58" s="256"/>
      <c r="M58" s="293">
        <v>45778</v>
      </c>
      <c r="N58" s="294">
        <v>5.8400000000000001E-2</v>
      </c>
      <c r="O58" s="256">
        <f>'Encargos e Benefícios'!W57*5.84%</f>
        <v>30.905280000000001</v>
      </c>
      <c r="P58" s="256">
        <f>('Encargos e Benefícios'!X57+'Encargos e Benefícios'!Y57+'Encargos e Benefícios'!Z57+'Encargos e Benefícios'!AA57+'Encargos e Benefícios'!AB57)*5.84%</f>
        <v>18.235399999999998</v>
      </c>
      <c r="Q58" s="256">
        <f>'Encargos e Benefícios'!V57*5.84%</f>
        <v>6.1594480000000003</v>
      </c>
      <c r="R58" s="256"/>
      <c r="S58" s="293">
        <v>46143</v>
      </c>
      <c r="T58" s="294">
        <v>5.8400000000000001E-2</v>
      </c>
      <c r="U58" s="256">
        <f>('Encargos e Benefícios'!W57+'Gastos com Pessoal'!O58)*5.84%</f>
        <v>32.710148351999997</v>
      </c>
      <c r="V58" s="256">
        <f>('Encargos e Benefícios'!X57+'Encargos e Benefícios'!Y57+'Encargos e Benefícios'!Z57+'Encargos e Benefícios'!AA57+'Encargos e Benefícios'!AB57+'Gastos com Pessoal'!P58)*5.84%</f>
        <v>19.300347360000004</v>
      </c>
      <c r="W58" s="256">
        <f>('Encargos e Benefícios'!V57+'Gastos com Pessoal'!Q58)*5.84%</f>
        <v>6.5191597632000002</v>
      </c>
      <c r="X58" s="256"/>
      <c r="Y58" s="293">
        <v>46508</v>
      </c>
      <c r="Z58" s="294">
        <v>5.8400000000000001E-2</v>
      </c>
      <c r="AA58" s="256">
        <f>('Encargos e Benefícios'!W57+'Gastos com Pessoal'!O58+'Gastos com Pessoal'!U58)*5.84%</f>
        <v>34.620421015756804</v>
      </c>
      <c r="AB58" s="256">
        <f>('Encargos e Benefícios'!X57+'Encargos e Benefícios'!Y57+'Encargos e Benefícios'!Z57+'Encargos e Benefícios'!AA57+'Encargos e Benefícios'!AB57+'Gastos com Pessoal'!P58+'Gastos com Pessoal'!V58)*5.84%</f>
        <v>20.427487645824002</v>
      </c>
      <c r="AC58" s="256">
        <f>('Encargos e Benefícios'!V57+'Gastos com Pessoal'!Q58+'Gastos com Pessoal'!W58)*5.84%</f>
        <v>6.8998786933708791</v>
      </c>
      <c r="AD58" s="256"/>
      <c r="AE58" s="293">
        <v>46874</v>
      </c>
      <c r="AF58" s="294">
        <v>5.8400000000000001E-2</v>
      </c>
      <c r="AG58" s="256">
        <f>('Encargos e Benefícios'!W57+'Gastos com Pessoal'!O58+'Gastos com Pessoal'!U58+'Gastos com Pessoal'!AA58)*5.84%</f>
        <v>36.642253603077002</v>
      </c>
      <c r="AH58" s="256">
        <f>('Encargos e Benefícios'!X57+'Encargos e Benefícios'!Y57+'Encargos e Benefícios'!Z57+'Encargos e Benefícios'!AA57+'Encargos e Benefícios'!AB57+'Gastos com Pessoal'!P58+'Gastos com Pessoal'!V58+'Gastos com Pessoal'!AB58)*5.84%</f>
        <v>21.620452924340121</v>
      </c>
      <c r="AI58" s="256">
        <f>('Encargos e Benefícios'!V57+'Gastos com Pessoal'!Q58+'Gastos com Pessoal'!W58+'Gastos com Pessoal'!AC58)*5.84%</f>
        <v>7.3028316090637393</v>
      </c>
      <c r="AJ58" s="257"/>
      <c r="AK58" s="296">
        <f>'Encargos e Benefícios'!D57</f>
        <v>2751.84</v>
      </c>
      <c r="AL58" s="296">
        <f>IF('Encargos e Benefícios'!C57=0,0,'Encargos e Benefícios'!U57/'Encargos e Benefícios'!C57)</f>
        <v>2198.8730400000004</v>
      </c>
      <c r="AM58" s="296">
        <f>IF('Encargos e Benefícios'!C57=0,0,'Encargos e Benefícios'!AC57/'Encargos e Benefícios'!C57)</f>
        <v>946.92000000000007</v>
      </c>
      <c r="AN58" s="297">
        <f>IF('Encargos e Benefícios'!C57=0,0,'Encargos e Benefícios'!AD57/'Encargos e Benefícios'!C57)</f>
        <v>5897.6330400000006</v>
      </c>
      <c r="AO58" s="188">
        <v>2456</v>
      </c>
      <c r="AP58" s="298">
        <v>2000</v>
      </c>
      <c r="AQ58" s="298">
        <v>2911.99</v>
      </c>
      <c r="AR58" s="299" t="s">
        <v>105</v>
      </c>
      <c r="AS58" s="188"/>
    </row>
    <row r="59" spans="1:45">
      <c r="A59" s="286">
        <v>53</v>
      </c>
      <c r="B59" s="81" t="str">
        <f>'Encargos e Benefícios'!B58</f>
        <v>Administrativo</v>
      </c>
      <c r="C59" s="287">
        <f>'Encargos e Benefícios'!C58</f>
        <v>1</v>
      </c>
      <c r="D59" s="288">
        <v>40</v>
      </c>
      <c r="E59" s="300">
        <v>45658</v>
      </c>
      <c r="F59" s="301">
        <v>47058</v>
      </c>
      <c r="G59" s="293"/>
      <c r="H59" s="294"/>
      <c r="I59" s="256"/>
      <c r="J59" s="256"/>
      <c r="K59" s="256"/>
      <c r="L59" s="256"/>
      <c r="M59" s="293">
        <v>45778</v>
      </c>
      <c r="N59" s="294">
        <v>5.8400000000000001E-2</v>
      </c>
      <c r="O59" s="256">
        <f>'Encargos e Benefícios'!W58*5.84%</f>
        <v>30.905280000000001</v>
      </c>
      <c r="P59" s="256">
        <f>('Encargos e Benefícios'!X58+'Encargos e Benefícios'!Y58+'Encargos e Benefícios'!Z58+'Encargos e Benefícios'!AA58+'Encargos e Benefícios'!AB58)*5.84%</f>
        <v>18.235399999999998</v>
      </c>
      <c r="Q59" s="256">
        <f>'Encargos e Benefícios'!V58*5.84%</f>
        <v>6.1594480000000003</v>
      </c>
      <c r="R59" s="256"/>
      <c r="S59" s="293">
        <v>46143</v>
      </c>
      <c r="T59" s="294">
        <v>5.8400000000000001E-2</v>
      </c>
      <c r="U59" s="256">
        <f>('Encargos e Benefícios'!W58+'Gastos com Pessoal'!O59)*5.84%</f>
        <v>32.710148351999997</v>
      </c>
      <c r="V59" s="256">
        <f>('Encargos e Benefícios'!X58+'Encargos e Benefícios'!Y58+'Encargos e Benefícios'!Z58+'Encargos e Benefícios'!AA58+'Encargos e Benefícios'!AB58+'Gastos com Pessoal'!P59)*5.84%</f>
        <v>19.300347360000004</v>
      </c>
      <c r="W59" s="256">
        <f>('Encargos e Benefícios'!V58+'Gastos com Pessoal'!Q59)*5.84%</f>
        <v>6.5191597632000002</v>
      </c>
      <c r="X59" s="256"/>
      <c r="Y59" s="293">
        <v>46508</v>
      </c>
      <c r="Z59" s="294">
        <v>5.8400000000000001E-2</v>
      </c>
      <c r="AA59" s="256">
        <f>('Encargos e Benefícios'!W58+'Gastos com Pessoal'!O59+'Gastos com Pessoal'!U59)*5.84%</f>
        <v>34.620421015756804</v>
      </c>
      <c r="AB59" s="256">
        <f>('Encargos e Benefícios'!X58+'Encargos e Benefícios'!Y58+'Encargos e Benefícios'!Z58+'Encargos e Benefícios'!AA58+'Encargos e Benefícios'!AB58+'Gastos com Pessoal'!P59+'Gastos com Pessoal'!V59)*5.84%</f>
        <v>20.427487645824002</v>
      </c>
      <c r="AC59" s="256">
        <f>('Encargos e Benefícios'!V58+'Gastos com Pessoal'!Q59+'Gastos com Pessoal'!W59)*5.84%</f>
        <v>6.8998786933708791</v>
      </c>
      <c r="AD59" s="256"/>
      <c r="AE59" s="293">
        <v>46874</v>
      </c>
      <c r="AF59" s="294">
        <v>5.8400000000000001E-2</v>
      </c>
      <c r="AG59" s="256">
        <f>('Encargos e Benefícios'!W58+'Gastos com Pessoal'!O59+'Gastos com Pessoal'!U59+'Gastos com Pessoal'!AA59)*5.84%</f>
        <v>36.642253603077002</v>
      </c>
      <c r="AH59" s="256">
        <f>('Encargos e Benefícios'!X58+'Encargos e Benefícios'!Y58+'Encargos e Benefícios'!Z58+'Encargos e Benefícios'!AA58+'Encargos e Benefícios'!AB58+'Gastos com Pessoal'!P59+'Gastos com Pessoal'!V59+'Gastos com Pessoal'!AB59)*5.84%</f>
        <v>21.620452924340121</v>
      </c>
      <c r="AI59" s="256">
        <f>('Encargos e Benefícios'!V58+'Gastos com Pessoal'!Q59+'Gastos com Pessoal'!W59+'Gastos com Pessoal'!AC59)*5.84%</f>
        <v>7.3028316090637393</v>
      </c>
      <c r="AJ59" s="257"/>
      <c r="AK59" s="296">
        <f>'Encargos e Benefícios'!D58</f>
        <v>1852.2</v>
      </c>
      <c r="AL59" s="296">
        <f>IF('Encargos e Benefícios'!C58=0,0,'Encargos e Benefícios'!U58/'Encargos e Benefícios'!C58)</f>
        <v>1480.0106999999996</v>
      </c>
      <c r="AM59" s="296">
        <f>IF('Encargos e Benefícios'!C58=0,0,'Encargos e Benefícios'!AC58/'Encargos e Benefícios'!C58)</f>
        <v>946.92000000000007</v>
      </c>
      <c r="AN59" s="297">
        <f>IF('Encargos e Benefícios'!C58=0,0,'Encargos e Benefícios'!AD58/'Encargos e Benefícios'!C58)</f>
        <v>4279.1306999999997</v>
      </c>
      <c r="AO59" s="188">
        <v>2012.52</v>
      </c>
      <c r="AP59" s="298">
        <v>1329.38</v>
      </c>
      <c r="AQ59" s="298">
        <v>2695.66</v>
      </c>
      <c r="AR59" s="299" t="s">
        <v>105</v>
      </c>
      <c r="AS59" s="188"/>
    </row>
    <row r="60" spans="1:45">
      <c r="A60" s="286">
        <v>54</v>
      </c>
      <c r="B60" s="81" t="str">
        <f>'Encargos e Benefícios'!B59</f>
        <v>Auxiliar Educacional</v>
      </c>
      <c r="C60" s="287">
        <f>'Encargos e Benefícios'!C59</f>
        <v>1</v>
      </c>
      <c r="D60" s="288">
        <v>30</v>
      </c>
      <c r="E60" s="300">
        <v>45658</v>
      </c>
      <c r="F60" s="301">
        <v>47058</v>
      </c>
      <c r="G60" s="293"/>
      <c r="H60" s="294"/>
      <c r="I60" s="256"/>
      <c r="J60" s="256"/>
      <c r="K60" s="256"/>
      <c r="L60" s="256"/>
      <c r="M60" s="293">
        <v>45778</v>
      </c>
      <c r="N60" s="294">
        <v>5.8400000000000001E-2</v>
      </c>
      <c r="O60" s="256">
        <f>'Encargos e Benefícios'!W59*5.84%</f>
        <v>30.905280000000001</v>
      </c>
      <c r="P60" s="256">
        <f>('Encargos e Benefícios'!X59+'Encargos e Benefícios'!Y59+'Encargos e Benefícios'!Z59+'Encargos e Benefícios'!AA59+'Encargos e Benefícios'!AB59)*5.84%</f>
        <v>18.235399999999998</v>
      </c>
      <c r="Q60" s="256">
        <f>'Encargos e Benefícios'!V59*5.84%</f>
        <v>6.1594480000000003</v>
      </c>
      <c r="R60" s="256"/>
      <c r="S60" s="293">
        <v>46143</v>
      </c>
      <c r="T60" s="294">
        <v>5.8400000000000001E-2</v>
      </c>
      <c r="U60" s="256">
        <f>('Encargos e Benefícios'!W59+'Gastos com Pessoal'!O60)*5.84%</f>
        <v>32.710148351999997</v>
      </c>
      <c r="V60" s="256">
        <f>('Encargos e Benefícios'!X59+'Encargos e Benefícios'!Y59+'Encargos e Benefícios'!Z59+'Encargos e Benefícios'!AA59+'Encargos e Benefícios'!AB59+'Gastos com Pessoal'!P60)*5.84%</f>
        <v>19.300347360000004</v>
      </c>
      <c r="W60" s="256">
        <f>('Encargos e Benefícios'!V59+'Gastos com Pessoal'!Q60)*5.84%</f>
        <v>6.5191597632000002</v>
      </c>
      <c r="X60" s="256"/>
      <c r="Y60" s="293">
        <v>46508</v>
      </c>
      <c r="Z60" s="294">
        <v>5.8400000000000001E-2</v>
      </c>
      <c r="AA60" s="256">
        <f>('Encargos e Benefícios'!W59+'Gastos com Pessoal'!O60+'Gastos com Pessoal'!U60)*5.84%</f>
        <v>34.620421015756804</v>
      </c>
      <c r="AB60" s="256">
        <f>('Encargos e Benefícios'!X59+'Encargos e Benefícios'!Y59+'Encargos e Benefícios'!Z59+'Encargos e Benefícios'!AA59+'Encargos e Benefícios'!AB59+'Gastos com Pessoal'!P60+'Gastos com Pessoal'!V60)*5.84%</f>
        <v>20.427487645824002</v>
      </c>
      <c r="AC60" s="256">
        <f>('Encargos e Benefícios'!V59+'Gastos com Pessoal'!Q60+'Gastos com Pessoal'!W60)*5.84%</f>
        <v>6.8998786933708791</v>
      </c>
      <c r="AD60" s="256"/>
      <c r="AE60" s="293">
        <v>46874</v>
      </c>
      <c r="AF60" s="294">
        <v>5.8400000000000001E-2</v>
      </c>
      <c r="AG60" s="256">
        <f>('Encargos e Benefícios'!W59+'Gastos com Pessoal'!O60+'Gastos com Pessoal'!U60+'Gastos com Pessoal'!AA60)*5.84%</f>
        <v>36.642253603077002</v>
      </c>
      <c r="AH60" s="256">
        <f>('Encargos e Benefícios'!X59+'Encargos e Benefícios'!Y59+'Encargos e Benefícios'!Z59+'Encargos e Benefícios'!AA59+'Encargos e Benefícios'!AB59+'Gastos com Pessoal'!P60+'Gastos com Pessoal'!V60+'Gastos com Pessoal'!AB60)*5.84%</f>
        <v>21.620452924340121</v>
      </c>
      <c r="AI60" s="256">
        <f>('Encargos e Benefícios'!V59+'Gastos com Pessoal'!Q60+'Gastos com Pessoal'!W60+'Gastos com Pessoal'!AC60)*5.84%</f>
        <v>7.3028316090637393</v>
      </c>
      <c r="AJ60" s="257"/>
      <c r="AK60" s="296">
        <f>'Encargos e Benefícios'!D59</f>
        <v>1737.89</v>
      </c>
      <c r="AL60" s="296">
        <f>IF('Encargos e Benefícios'!C59=0,0,'Encargos e Benefícios'!U59/'Encargos e Benefícios'!C59)</f>
        <v>1388.6706594444449</v>
      </c>
      <c r="AM60" s="296">
        <f>IF('Encargos e Benefícios'!C59=0,0,'Encargos e Benefícios'!AC59/'Encargos e Benefícios'!C59)</f>
        <v>946.92000000000007</v>
      </c>
      <c r="AN60" s="297">
        <f>IF('Encargos e Benefícios'!C59=0,0,'Encargos e Benefícios'!AD59/'Encargos e Benefícios'!C59)</f>
        <v>4073.4806594444453</v>
      </c>
      <c r="AO60" s="188">
        <v>1821.21</v>
      </c>
      <c r="AP60" s="298">
        <v>1641.97</v>
      </c>
      <c r="AQ60" s="298">
        <v>2000.45</v>
      </c>
      <c r="AR60" s="299" t="s">
        <v>105</v>
      </c>
      <c r="AS60" s="188"/>
    </row>
    <row r="61" spans="1:45">
      <c r="A61" s="286">
        <v>55</v>
      </c>
      <c r="B61" s="81" t="str">
        <f>'Encargos e Benefícios'!B60</f>
        <v>Auxiliar de Serviços Gerais</v>
      </c>
      <c r="C61" s="287">
        <f>'Encargos e Benefícios'!C60</f>
        <v>1</v>
      </c>
      <c r="D61" s="288">
        <v>30</v>
      </c>
      <c r="E61" s="300">
        <v>45658</v>
      </c>
      <c r="F61" s="301">
        <v>47058</v>
      </c>
      <c r="G61" s="293"/>
      <c r="H61" s="294"/>
      <c r="I61" s="256"/>
      <c r="J61" s="256"/>
      <c r="K61" s="256"/>
      <c r="L61" s="256"/>
      <c r="M61" s="293">
        <v>45778</v>
      </c>
      <c r="N61" s="294">
        <v>5.8400000000000001E-2</v>
      </c>
      <c r="O61" s="256">
        <f>'Encargos e Benefícios'!W60*5.84%</f>
        <v>30.905280000000001</v>
      </c>
      <c r="P61" s="256">
        <f>('Encargos e Benefícios'!X60+'Encargos e Benefícios'!Y60+'Encargos e Benefícios'!Z60+'Encargos e Benefícios'!AA60+'Encargos e Benefícios'!AB60)*5.84%</f>
        <v>18.235399999999998</v>
      </c>
      <c r="Q61" s="256">
        <f>'Encargos e Benefícios'!V60*5.84%</f>
        <v>6.1594480000000003</v>
      </c>
      <c r="R61" s="256"/>
      <c r="S61" s="293">
        <v>46143</v>
      </c>
      <c r="T61" s="294">
        <v>5.8400000000000001E-2</v>
      </c>
      <c r="U61" s="256">
        <f>('Encargos e Benefícios'!W60+'Gastos com Pessoal'!O61)*5.84%</f>
        <v>32.710148351999997</v>
      </c>
      <c r="V61" s="256">
        <f>('Encargos e Benefícios'!X60+'Encargos e Benefícios'!Y60+'Encargos e Benefícios'!Z60+'Encargos e Benefícios'!AA60+'Encargos e Benefícios'!AB60+'Gastos com Pessoal'!P61)*5.84%</f>
        <v>19.300347360000004</v>
      </c>
      <c r="W61" s="256">
        <f>('Encargos e Benefícios'!V60+'Gastos com Pessoal'!Q61)*5.84%</f>
        <v>6.5191597632000002</v>
      </c>
      <c r="X61" s="256"/>
      <c r="Y61" s="293">
        <v>46508</v>
      </c>
      <c r="Z61" s="294">
        <v>5.8400000000000001E-2</v>
      </c>
      <c r="AA61" s="256">
        <f>('Encargos e Benefícios'!W60+'Gastos com Pessoal'!O61+'Gastos com Pessoal'!U61)*5.84%</f>
        <v>34.620421015756804</v>
      </c>
      <c r="AB61" s="256">
        <f>('Encargos e Benefícios'!X60+'Encargos e Benefícios'!Y60+'Encargos e Benefícios'!Z60+'Encargos e Benefícios'!AA60+'Encargos e Benefícios'!AB60+'Gastos com Pessoal'!P61+'Gastos com Pessoal'!V61)*5.84%</f>
        <v>20.427487645824002</v>
      </c>
      <c r="AC61" s="256">
        <f>('Encargos e Benefícios'!V60+'Gastos com Pessoal'!Q61+'Gastos com Pessoal'!W61)*5.84%</f>
        <v>6.8998786933708791</v>
      </c>
      <c r="AD61" s="256"/>
      <c r="AE61" s="293">
        <v>46874</v>
      </c>
      <c r="AF61" s="294">
        <v>5.8400000000000001E-2</v>
      </c>
      <c r="AG61" s="256">
        <f>('Encargos e Benefícios'!W60+'Gastos com Pessoal'!O61+'Gastos com Pessoal'!U61+'Gastos com Pessoal'!AA61)*5.84%</f>
        <v>36.642253603077002</v>
      </c>
      <c r="AH61" s="256">
        <f>('Encargos e Benefícios'!X60+'Encargos e Benefícios'!Y60+'Encargos e Benefícios'!Z60+'Encargos e Benefícios'!AA60+'Encargos e Benefícios'!AB60+'Gastos com Pessoal'!P61+'Gastos com Pessoal'!V61+'Gastos com Pessoal'!AB61)*5.84%</f>
        <v>21.620452924340121</v>
      </c>
      <c r="AI61" s="256">
        <f>('Encargos e Benefícios'!V60+'Gastos com Pessoal'!Q61+'Gastos com Pessoal'!W61+'Gastos com Pessoal'!AC61)*5.84%</f>
        <v>7.3028316090637393</v>
      </c>
      <c r="AJ61" s="257"/>
      <c r="AK61" s="296">
        <f>'Encargos e Benefícios'!D60</f>
        <v>1465.88</v>
      </c>
      <c r="AL61" s="296">
        <f>IF('Encargos e Benefícios'!C60=0,0,'Encargos e Benefícios'!U60/'Encargos e Benefícios'!C60)</f>
        <v>1171.3195577777778</v>
      </c>
      <c r="AM61" s="296">
        <f>IF('Encargos e Benefícios'!C60=0,0,'Encargos e Benefícios'!AC60/'Encargos e Benefícios'!C60)</f>
        <v>946.92000000000007</v>
      </c>
      <c r="AN61" s="297">
        <f>IF('Encargos e Benefícios'!C60=0,0,'Encargos e Benefícios'!AD60/'Encargos e Benefícios'!C60)</f>
        <v>3584.119557777778</v>
      </c>
      <c r="AO61" s="188">
        <v>1481.02</v>
      </c>
      <c r="AP61" s="298">
        <v>1302</v>
      </c>
      <c r="AQ61" s="298">
        <v>1660.04</v>
      </c>
      <c r="AR61" s="299" t="s">
        <v>105</v>
      </c>
      <c r="AS61" s="188"/>
    </row>
    <row r="62" spans="1:45">
      <c r="A62" s="286">
        <v>56</v>
      </c>
      <c r="B62" s="81" t="str">
        <f>'Encargos e Benefícios'!B61</f>
        <v>Motorista</v>
      </c>
      <c r="C62" s="287">
        <f>'Encargos e Benefícios'!C61</f>
        <v>1</v>
      </c>
      <c r="D62" s="288">
        <v>40</v>
      </c>
      <c r="E62" s="300">
        <v>45658</v>
      </c>
      <c r="F62" s="301">
        <v>47058</v>
      </c>
      <c r="G62" s="293"/>
      <c r="H62" s="294"/>
      <c r="I62" s="256"/>
      <c r="J62" s="256"/>
      <c r="K62" s="256"/>
      <c r="L62" s="256"/>
      <c r="M62" s="293">
        <v>45778</v>
      </c>
      <c r="N62" s="294">
        <v>5.8400000000000001E-2</v>
      </c>
      <c r="O62" s="256">
        <f>'Encargos e Benefícios'!W61*5.84%</f>
        <v>30.905280000000001</v>
      </c>
      <c r="P62" s="256">
        <f>('Encargos e Benefícios'!X61+'Encargos e Benefícios'!Y61+'Encargos e Benefícios'!Z61+'Encargos e Benefícios'!AA61+'Encargos e Benefícios'!AB61)*5.84%</f>
        <v>18.235399999999998</v>
      </c>
      <c r="Q62" s="256">
        <f>'Encargos e Benefícios'!V61*5.84%</f>
        <v>6.1594480000000003</v>
      </c>
      <c r="R62" s="256"/>
      <c r="S62" s="293">
        <v>46143</v>
      </c>
      <c r="T62" s="294">
        <v>5.8400000000000001E-2</v>
      </c>
      <c r="U62" s="256">
        <f>('Encargos e Benefícios'!W61+'Gastos com Pessoal'!O62)*5.84%</f>
        <v>32.710148351999997</v>
      </c>
      <c r="V62" s="256">
        <f>('Encargos e Benefícios'!X61+'Encargos e Benefícios'!Y61+'Encargos e Benefícios'!Z61+'Encargos e Benefícios'!AA61+'Encargos e Benefícios'!AB61+'Gastos com Pessoal'!P62)*5.84%</f>
        <v>19.300347360000004</v>
      </c>
      <c r="W62" s="256">
        <f>('Encargos e Benefícios'!V61+'Gastos com Pessoal'!Q62)*5.84%</f>
        <v>6.5191597632000002</v>
      </c>
      <c r="X62" s="256"/>
      <c r="Y62" s="293">
        <v>46508</v>
      </c>
      <c r="Z62" s="294">
        <v>5.8400000000000001E-2</v>
      </c>
      <c r="AA62" s="256">
        <f>('Encargos e Benefícios'!W61+'Gastos com Pessoal'!O62+'Gastos com Pessoal'!U62)*5.84%</f>
        <v>34.620421015756804</v>
      </c>
      <c r="AB62" s="256">
        <f>('Encargos e Benefícios'!X61+'Encargos e Benefícios'!Y61+'Encargos e Benefícios'!Z61+'Encargos e Benefícios'!AA61+'Encargos e Benefícios'!AB61+'Gastos com Pessoal'!P62+'Gastos com Pessoal'!V62)*5.84%</f>
        <v>20.427487645824002</v>
      </c>
      <c r="AC62" s="256">
        <f>('Encargos e Benefícios'!V61+'Gastos com Pessoal'!Q62+'Gastos com Pessoal'!W62)*5.84%</f>
        <v>6.8998786933708791</v>
      </c>
      <c r="AD62" s="256"/>
      <c r="AE62" s="293">
        <v>46874</v>
      </c>
      <c r="AF62" s="294">
        <v>5.8400000000000001E-2</v>
      </c>
      <c r="AG62" s="256">
        <f>('Encargos e Benefícios'!W61+'Gastos com Pessoal'!O62+'Gastos com Pessoal'!U62+'Gastos com Pessoal'!AA62)*5.84%</f>
        <v>36.642253603077002</v>
      </c>
      <c r="AH62" s="256">
        <f>('Encargos e Benefícios'!X61+'Encargos e Benefícios'!Y61+'Encargos e Benefícios'!Z61+'Encargos e Benefícios'!AA61+'Encargos e Benefícios'!AB61+'Gastos com Pessoal'!P62+'Gastos com Pessoal'!V62+'Gastos com Pessoal'!AB62)*5.84%</f>
        <v>21.620452924340121</v>
      </c>
      <c r="AI62" s="256">
        <f>('Encargos e Benefícios'!V61+'Gastos com Pessoal'!Q62+'Gastos com Pessoal'!W62+'Gastos com Pessoal'!AC62)*5.84%</f>
        <v>7.3028316090637393</v>
      </c>
      <c r="AJ62" s="257"/>
      <c r="AK62" s="296">
        <f>'Encargos e Benefícios'!D61</f>
        <v>1537.21</v>
      </c>
      <c r="AL62" s="296">
        <f>IF('Encargos e Benefícios'!C61=0,0,'Encargos e Benefícios'!U61/'Encargos e Benefícios'!C61)</f>
        <v>1228.3161905555557</v>
      </c>
      <c r="AM62" s="296">
        <f>IF('Encargos e Benefícios'!C61=0,0,'Encargos e Benefícios'!AC61/'Encargos e Benefícios'!C61)</f>
        <v>946.92000000000007</v>
      </c>
      <c r="AN62" s="297">
        <f>IF('Encargos e Benefícios'!C61=0,0,'Encargos e Benefícios'!AD61/'Encargos e Benefícios'!C61)</f>
        <v>3712.4461905555559</v>
      </c>
      <c r="AO62" s="188">
        <v>1826.28</v>
      </c>
      <c r="AP62" s="298">
        <v>1452.39</v>
      </c>
      <c r="AQ62" s="298">
        <v>2200.17</v>
      </c>
      <c r="AR62" s="299" t="s">
        <v>105</v>
      </c>
      <c r="AS62" s="188"/>
    </row>
    <row r="63" spans="1:45">
      <c r="A63" s="286">
        <v>57</v>
      </c>
      <c r="B63" s="81" t="str">
        <f>'Encargos e Benefícios'!B62</f>
        <v>Socioeducador - DC</v>
      </c>
      <c r="C63" s="287">
        <f>'Encargos e Benefícios'!C62</f>
        <v>2</v>
      </c>
      <c r="D63" s="288" t="s">
        <v>496</v>
      </c>
      <c r="E63" s="300">
        <v>45658</v>
      </c>
      <c r="F63" s="301">
        <v>47058</v>
      </c>
      <c r="G63" s="293"/>
      <c r="H63" s="294"/>
      <c r="I63" s="256"/>
      <c r="J63" s="256"/>
      <c r="K63" s="256"/>
      <c r="L63" s="256"/>
      <c r="M63" s="293">
        <v>45778</v>
      </c>
      <c r="N63" s="294">
        <v>5.8400000000000001E-2</v>
      </c>
      <c r="O63" s="256">
        <f>'Encargos e Benefícios'!W62*5.84%</f>
        <v>61.810560000000002</v>
      </c>
      <c r="P63" s="256">
        <f>('Encargos e Benefícios'!X62+'Encargos e Benefícios'!Y62+'Encargos e Benefícios'!Z62+'Encargos e Benefícios'!AA62+'Encargos e Benefícios'!AB62)*5.84%</f>
        <v>36.470799999999997</v>
      </c>
      <c r="Q63" s="256">
        <f>'Encargos e Benefícios'!V62*5.84%</f>
        <v>8.399087999999999</v>
      </c>
      <c r="R63" s="256"/>
      <c r="S63" s="293">
        <v>46143</v>
      </c>
      <c r="T63" s="294">
        <v>5.8400000000000001E-2</v>
      </c>
      <c r="U63" s="256">
        <f>('Encargos e Benefícios'!W62+'Gastos com Pessoal'!O63)*5.84%</f>
        <v>65.420296703999995</v>
      </c>
      <c r="V63" s="256">
        <f>('Encargos e Benefícios'!X62+'Encargos e Benefícios'!Y62+'Encargos e Benefícios'!Z62+'Encargos e Benefícios'!AA62+'Encargos e Benefícios'!AB62+'Gastos com Pessoal'!P63)*5.84%</f>
        <v>38.600694720000007</v>
      </c>
      <c r="W63" s="256">
        <f>('Encargos e Benefícios'!V62+'Gastos com Pessoal'!Q63)*5.84%</f>
        <v>8.8895947391999997</v>
      </c>
      <c r="X63" s="256"/>
      <c r="Y63" s="293">
        <v>46508</v>
      </c>
      <c r="Z63" s="294">
        <v>5.8400000000000001E-2</v>
      </c>
      <c r="AA63" s="256">
        <f>('Encargos e Benefícios'!W62+'Gastos com Pessoal'!O63+'Gastos com Pessoal'!U63)*5.84%</f>
        <v>69.240842031513608</v>
      </c>
      <c r="AB63" s="256">
        <f>('Encargos e Benefícios'!X62+'Encargos e Benefícios'!Y62+'Encargos e Benefícios'!Z62+'Encargos e Benefícios'!AA62+'Encargos e Benefícios'!AB62+'Gastos com Pessoal'!P63+'Gastos com Pessoal'!V63)*5.84%</f>
        <v>40.854975291648003</v>
      </c>
      <c r="AC63" s="256">
        <f>('Encargos e Benefícios'!V62+'Gastos com Pessoal'!Q63+'Gastos com Pessoal'!W63)*5.84%</f>
        <v>9.4087470719692803</v>
      </c>
      <c r="AD63" s="256"/>
      <c r="AE63" s="293">
        <v>46874</v>
      </c>
      <c r="AF63" s="294">
        <v>5.8400000000000001E-2</v>
      </c>
      <c r="AG63" s="256">
        <f>('Encargos e Benefícios'!W62+'Gastos com Pessoal'!O63+'Gastos com Pessoal'!U63+'Gastos com Pessoal'!AA63)*5.84%</f>
        <v>73.284507206154004</v>
      </c>
      <c r="AH63" s="256">
        <f>('Encargos e Benefícios'!X62+'Encargos e Benefícios'!Y62+'Encargos e Benefícios'!Z62+'Encargos e Benefícios'!AA62+'Encargos e Benefícios'!AB62+'Gastos com Pessoal'!P63+'Gastos com Pessoal'!V63+'Gastos com Pessoal'!AB63)*5.84%</f>
        <v>43.240905848680242</v>
      </c>
      <c r="AI63" s="256">
        <f>('Encargos e Benefícios'!V62+'Gastos com Pessoal'!Q63+'Gastos com Pessoal'!W63+'Gastos com Pessoal'!AC63)*5.84%</f>
        <v>9.9582179009722864</v>
      </c>
      <c r="AJ63" s="257"/>
      <c r="AK63" s="296">
        <f>'Encargos e Benefícios'!D62</f>
        <v>2010.96</v>
      </c>
      <c r="AL63" s="296">
        <f>IF('Encargos e Benefícios'!C62=0,0,'Encargos e Benefícios'!U62/'Encargos e Benefícios'!C62)</f>
        <v>2942.4053904000002</v>
      </c>
      <c r="AM63" s="296">
        <f>IF('Encargos e Benefícios'!C62=0,0,'Encargos e Benefícios'!AC62/'Encargos e Benefícios'!C62)</f>
        <v>913.36000000000013</v>
      </c>
      <c r="AN63" s="297">
        <f>IF('Encargos e Benefícios'!C62=0,0,'Encargos e Benefícios'!AD62/'Encargos e Benefícios'!C62)</f>
        <v>5866.7253904000008</v>
      </c>
      <c r="AO63" s="188">
        <v>2752.21</v>
      </c>
      <c r="AP63" s="298">
        <v>1764.5</v>
      </c>
      <c r="AQ63" s="298">
        <v>3739.92</v>
      </c>
      <c r="AR63" s="299" t="s">
        <v>105</v>
      </c>
      <c r="AS63" s="188"/>
    </row>
    <row r="64" spans="1:45">
      <c r="A64" s="286">
        <v>58</v>
      </c>
      <c r="B64" s="81" t="str">
        <f>'Encargos e Benefícios'!B63</f>
        <v>Socioeducador - D</v>
      </c>
      <c r="C64" s="287">
        <f>'Encargos e Benefícios'!C63</f>
        <v>12</v>
      </c>
      <c r="D64" s="288" t="s">
        <v>496</v>
      </c>
      <c r="E64" s="300">
        <v>45658</v>
      </c>
      <c r="F64" s="301">
        <v>47058</v>
      </c>
      <c r="G64" s="293"/>
      <c r="H64" s="294"/>
      <c r="I64" s="256"/>
      <c r="J64" s="256"/>
      <c r="K64" s="256"/>
      <c r="L64" s="256"/>
      <c r="M64" s="293">
        <v>45778</v>
      </c>
      <c r="N64" s="294">
        <v>5.8400000000000001E-2</v>
      </c>
      <c r="O64" s="256">
        <f>'Encargos e Benefícios'!W63*5.84%</f>
        <v>370.86336000000006</v>
      </c>
      <c r="P64" s="256">
        <f>('Encargos e Benefícios'!X63+'Encargos e Benefícios'!Y63+'Encargos e Benefícios'!Z63+'Encargos e Benefícios'!AA63+'Encargos e Benefícios'!AB63)*5.84%</f>
        <v>218.82480000000001</v>
      </c>
      <c r="Q64" s="256">
        <f>'Encargos e Benefícios'!V63*5.84%</f>
        <v>50.394528000000001</v>
      </c>
      <c r="R64" s="256"/>
      <c r="S64" s="293">
        <v>46143</v>
      </c>
      <c r="T64" s="294">
        <v>5.8400000000000001E-2</v>
      </c>
      <c r="U64" s="256">
        <f>('Encargos e Benefícios'!W63+'Gastos com Pessoal'!O64)*5.84%</f>
        <v>392.52178022400005</v>
      </c>
      <c r="V64" s="256">
        <f>('Encargos e Benefícios'!X63+'Encargos e Benefícios'!Y63+'Encargos e Benefícios'!Z63+'Encargos e Benefícios'!AA63+'Encargos e Benefícios'!AB63+'Gastos com Pessoal'!P64)*5.84%</f>
        <v>231.60416831999999</v>
      </c>
      <c r="W64" s="256">
        <f>('Encargos e Benefícios'!V63+'Gastos com Pessoal'!Q64)*5.84%</f>
        <v>53.337568435199998</v>
      </c>
      <c r="X64" s="256"/>
      <c r="Y64" s="293">
        <v>46508</v>
      </c>
      <c r="Z64" s="294">
        <v>5.8400000000000001E-2</v>
      </c>
      <c r="AA64" s="256">
        <f>('Encargos e Benefícios'!W63+'Gastos com Pessoal'!O64+'Gastos com Pessoal'!U64)*5.84%</f>
        <v>415.44505218908165</v>
      </c>
      <c r="AB64" s="256">
        <f>('Encargos e Benefícios'!X63+'Encargos e Benefícios'!Y63+'Encargos e Benefícios'!Z63+'Encargos e Benefícios'!AA63+'Encargos e Benefícios'!AB63+'Gastos com Pessoal'!P64+'Gastos com Pessoal'!V64)*5.84%</f>
        <v>245.12985174988796</v>
      </c>
      <c r="AC64" s="256">
        <f>('Encargos e Benefícios'!V63+'Gastos com Pessoal'!Q64+'Gastos com Pessoal'!W64)*5.84%</f>
        <v>56.452482431815675</v>
      </c>
      <c r="AD64" s="256"/>
      <c r="AE64" s="293">
        <v>46874</v>
      </c>
      <c r="AF64" s="294">
        <v>5.8400000000000001E-2</v>
      </c>
      <c r="AG64" s="256">
        <f>('Encargos e Benefícios'!W63+'Gastos com Pessoal'!O64+'Gastos com Pessoal'!U64+'Gastos com Pessoal'!AA64)*5.84%</f>
        <v>439.70704323692399</v>
      </c>
      <c r="AH64" s="256">
        <f>('Encargos e Benefícios'!X63+'Encargos e Benefícios'!Y63+'Encargos e Benefícios'!Z63+'Encargos e Benefícios'!AA63+'Encargos e Benefícios'!AB63+'Gastos com Pessoal'!P64+'Gastos com Pessoal'!V64+'Gastos com Pessoal'!AB64)*5.84%</f>
        <v>259.44543509208142</v>
      </c>
      <c r="AI64" s="256">
        <f>('Encargos e Benefícios'!V63+'Gastos com Pessoal'!Q64+'Gastos com Pessoal'!W64+'Gastos com Pessoal'!AC64)*5.84%</f>
        <v>59.749307405833719</v>
      </c>
      <c r="AJ64" s="257"/>
      <c r="AK64" s="296">
        <f>'Encargos e Benefícios'!D63</f>
        <v>2010.96</v>
      </c>
      <c r="AL64" s="296">
        <f>IF('Encargos e Benefícios'!C63=0,0,'Encargos e Benefícios'!U63/'Encargos e Benefícios'!C63)</f>
        <v>2591.2415003999999</v>
      </c>
      <c r="AM64" s="296">
        <f>IF('Encargos e Benefícios'!C63=0,0,'Encargos e Benefícios'!AC63/'Encargos e Benefícios'!C63)</f>
        <v>913.36</v>
      </c>
      <c r="AN64" s="297">
        <f>IF('Encargos e Benefícios'!C63=0,0,'Encargos e Benefícios'!AD63/'Encargos e Benefícios'!C63)</f>
        <v>5515.5615003999992</v>
      </c>
      <c r="AO64" s="188">
        <v>2752.21</v>
      </c>
      <c r="AP64" s="298">
        <v>1764.5</v>
      </c>
      <c r="AQ64" s="298">
        <v>3739.92</v>
      </c>
      <c r="AR64" s="299" t="s">
        <v>105</v>
      </c>
      <c r="AS64" s="188"/>
    </row>
    <row r="65" spans="1:45">
      <c r="A65" s="286">
        <v>59</v>
      </c>
      <c r="B65" s="81" t="str">
        <f>'Encargos e Benefícios'!B64</f>
        <v>Socioeducador - NC</v>
      </c>
      <c r="C65" s="287">
        <f>'Encargos e Benefícios'!C64</f>
        <v>2</v>
      </c>
      <c r="D65" s="288" t="s">
        <v>496</v>
      </c>
      <c r="E65" s="300">
        <v>45658</v>
      </c>
      <c r="F65" s="301">
        <v>47058</v>
      </c>
      <c r="G65" s="293"/>
      <c r="H65" s="294"/>
      <c r="I65" s="256"/>
      <c r="J65" s="256"/>
      <c r="K65" s="256"/>
      <c r="L65" s="256"/>
      <c r="M65" s="293">
        <v>45778</v>
      </c>
      <c r="N65" s="294">
        <v>5.8400000000000001E-2</v>
      </c>
      <c r="O65" s="256">
        <f>'Encargos e Benefícios'!W64*5.84%</f>
        <v>61.810560000000002</v>
      </c>
      <c r="P65" s="256">
        <f>('Encargos e Benefícios'!X64+'Encargos e Benefícios'!Y64+'Encargos e Benefícios'!Z64+'Encargos e Benefícios'!AA64+'Encargos e Benefícios'!AB64)*5.84%</f>
        <v>36.470799999999997</v>
      </c>
      <c r="Q65" s="256">
        <f>'Encargos e Benefícios'!V64*5.84%</f>
        <v>8.399087999999999</v>
      </c>
      <c r="R65" s="256"/>
      <c r="S65" s="293">
        <v>46143</v>
      </c>
      <c r="T65" s="294">
        <v>5.8400000000000001E-2</v>
      </c>
      <c r="U65" s="256">
        <f>('Encargos e Benefícios'!W64+'Gastos com Pessoal'!O65)*5.84%</f>
        <v>65.420296703999995</v>
      </c>
      <c r="V65" s="256">
        <f>('Encargos e Benefícios'!X64+'Encargos e Benefícios'!Y64+'Encargos e Benefícios'!Z64+'Encargos e Benefícios'!AA64+'Encargos e Benefícios'!AB64+'Gastos com Pessoal'!P65)*5.84%</f>
        <v>38.600694720000007</v>
      </c>
      <c r="W65" s="256">
        <f>('Encargos e Benefícios'!V64+'Gastos com Pessoal'!Q65)*5.84%</f>
        <v>8.8895947391999997</v>
      </c>
      <c r="X65" s="256"/>
      <c r="Y65" s="293">
        <v>46508</v>
      </c>
      <c r="Z65" s="294">
        <v>5.8400000000000001E-2</v>
      </c>
      <c r="AA65" s="256">
        <f>('Encargos e Benefícios'!W64+'Gastos com Pessoal'!O65+'Gastos com Pessoal'!U65)*5.84%</f>
        <v>69.240842031513608</v>
      </c>
      <c r="AB65" s="256">
        <f>('Encargos e Benefícios'!X64+'Encargos e Benefícios'!Y64+'Encargos e Benefícios'!Z64+'Encargos e Benefícios'!AA64+'Encargos e Benefícios'!AB64+'Gastos com Pessoal'!P65+'Gastos com Pessoal'!V65)*5.84%</f>
        <v>40.854975291648003</v>
      </c>
      <c r="AC65" s="256">
        <f>('Encargos e Benefícios'!V64+'Gastos com Pessoal'!Q65+'Gastos com Pessoal'!W65)*5.84%</f>
        <v>9.4087470719692803</v>
      </c>
      <c r="AD65" s="256"/>
      <c r="AE65" s="293">
        <v>46874</v>
      </c>
      <c r="AF65" s="294">
        <v>5.8400000000000001E-2</v>
      </c>
      <c r="AG65" s="256">
        <f>('Encargos e Benefícios'!W64+'Gastos com Pessoal'!O65+'Gastos com Pessoal'!U65+'Gastos com Pessoal'!AA65)*5.84%</f>
        <v>73.284507206154004</v>
      </c>
      <c r="AH65" s="256">
        <f>('Encargos e Benefícios'!X64+'Encargos e Benefícios'!Y64+'Encargos e Benefícios'!Z64+'Encargos e Benefícios'!AA64+'Encargos e Benefícios'!AB64+'Gastos com Pessoal'!P65+'Gastos com Pessoal'!V65+'Gastos com Pessoal'!AB65)*5.84%</f>
        <v>43.240905848680242</v>
      </c>
      <c r="AI65" s="256">
        <f>('Encargos e Benefícios'!V64+'Gastos com Pessoal'!Q65+'Gastos com Pessoal'!W65+'Gastos com Pessoal'!AC65)*5.84%</f>
        <v>9.9582179009722864</v>
      </c>
      <c r="AJ65" s="257"/>
      <c r="AK65" s="296">
        <f>'Encargos e Benefícios'!D64</f>
        <v>2010.96</v>
      </c>
      <c r="AL65" s="296">
        <f>IF('Encargos e Benefícios'!C64=0,0,'Encargos e Benefícios'!U64/'Encargos e Benefícios'!C64)</f>
        <v>3553.5688062933345</v>
      </c>
      <c r="AM65" s="296">
        <f>IF('Encargos e Benefícios'!C64=0,0,'Encargos e Benefícios'!AC64/'Encargos e Benefícios'!C64)</f>
        <v>913.36000000000013</v>
      </c>
      <c r="AN65" s="297">
        <f>IF('Encargos e Benefícios'!C64=0,0,'Encargos e Benefícios'!AD64/'Encargos e Benefícios'!C64)</f>
        <v>6477.8888062933347</v>
      </c>
      <c r="AO65" s="188">
        <v>2752.21</v>
      </c>
      <c r="AP65" s="298">
        <v>1764.5</v>
      </c>
      <c r="AQ65" s="298">
        <v>3739.92</v>
      </c>
      <c r="AR65" s="299" t="s">
        <v>105</v>
      </c>
      <c r="AS65" s="188"/>
    </row>
    <row r="66" spans="1:45" ht="13" thickBot="1">
      <c r="A66" s="286">
        <v>60</v>
      </c>
      <c r="B66" s="81" t="str">
        <f>'Encargos e Benefícios'!B65</f>
        <v>Socioeducador - N</v>
      </c>
      <c r="C66" s="287">
        <f>'Encargos e Benefícios'!C65</f>
        <v>6</v>
      </c>
      <c r="D66" s="288" t="s">
        <v>496</v>
      </c>
      <c r="E66" s="300">
        <v>45658</v>
      </c>
      <c r="F66" s="301">
        <v>47058</v>
      </c>
      <c r="G66" s="293"/>
      <c r="H66" s="294"/>
      <c r="I66" s="256"/>
      <c r="J66" s="256"/>
      <c r="K66" s="256"/>
      <c r="L66" s="256"/>
      <c r="M66" s="293">
        <v>45778</v>
      </c>
      <c r="N66" s="294">
        <v>5.8400000000000001E-2</v>
      </c>
      <c r="O66" s="256">
        <f>'Encargos e Benefícios'!W65*5.84%</f>
        <v>185.43168000000003</v>
      </c>
      <c r="P66" s="256">
        <f>('Encargos e Benefícios'!X65+'Encargos e Benefícios'!Y65+'Encargos e Benefícios'!Z65+'Encargos e Benefícios'!AA65+'Encargos e Benefícios'!AB65)*5.84%</f>
        <v>109.41240000000001</v>
      </c>
      <c r="Q66" s="256">
        <f>'Encargos e Benefícios'!V65*5.84%</f>
        <v>25.197264000000001</v>
      </c>
      <c r="R66" s="256"/>
      <c r="S66" s="293">
        <v>46143</v>
      </c>
      <c r="T66" s="294">
        <v>5.8400000000000001E-2</v>
      </c>
      <c r="U66" s="256">
        <f>('Encargos e Benefícios'!W65+'Gastos com Pessoal'!O66)*5.84%</f>
        <v>196.26089011200003</v>
      </c>
      <c r="V66" s="256">
        <f>('Encargos e Benefícios'!X65+'Encargos e Benefícios'!Y65+'Encargos e Benefícios'!Z65+'Encargos e Benefícios'!AA65+'Encargos e Benefícios'!AB65+'Gastos com Pessoal'!P66)*5.84%</f>
        <v>115.80208415999999</v>
      </c>
      <c r="W66" s="256">
        <f>('Encargos e Benefícios'!V65+'Gastos com Pessoal'!Q66)*5.84%</f>
        <v>26.668784217599999</v>
      </c>
      <c r="X66" s="256"/>
      <c r="Y66" s="293">
        <v>46508</v>
      </c>
      <c r="Z66" s="294">
        <v>5.8400000000000001E-2</v>
      </c>
      <c r="AA66" s="256">
        <f>('Encargos e Benefícios'!W65+'Gastos com Pessoal'!O66+'Gastos com Pessoal'!U66)*5.84%</f>
        <v>207.72252609454083</v>
      </c>
      <c r="AB66" s="256">
        <f>('Encargos e Benefícios'!X65+'Encargos e Benefícios'!Y65+'Encargos e Benefícios'!Z65+'Encargos e Benefícios'!AA65+'Encargos e Benefícios'!AB65+'Gastos com Pessoal'!P66+'Gastos com Pessoal'!V66)*5.84%</f>
        <v>122.56492587494398</v>
      </c>
      <c r="AC66" s="256">
        <f>('Encargos e Benefícios'!V65+'Gastos com Pessoal'!Q66+'Gastos com Pessoal'!W66)*5.84%</f>
        <v>28.226241215907837</v>
      </c>
      <c r="AD66" s="256"/>
      <c r="AE66" s="293">
        <v>46874</v>
      </c>
      <c r="AF66" s="294">
        <v>5.8400000000000001E-2</v>
      </c>
      <c r="AG66" s="256">
        <f>('Encargos e Benefícios'!W65+'Gastos com Pessoal'!O66+'Gastos com Pessoal'!U66+'Gastos com Pessoal'!AA66)*5.84%</f>
        <v>219.853521618462</v>
      </c>
      <c r="AH66" s="256">
        <f>('Encargos e Benefícios'!X65+'Encargos e Benefícios'!Y65+'Encargos e Benefícios'!Z65+'Encargos e Benefícios'!AA65+'Encargos e Benefícios'!AB65+'Gastos com Pessoal'!P66+'Gastos com Pessoal'!V66+'Gastos com Pessoal'!AB66)*5.84%</f>
        <v>129.72271754604071</v>
      </c>
      <c r="AI66" s="256">
        <f>('Encargos e Benefícios'!V65+'Gastos com Pessoal'!Q66+'Gastos com Pessoal'!W66+'Gastos com Pessoal'!AC66)*5.84%</f>
        <v>29.874653702916859</v>
      </c>
      <c r="AJ66" s="257"/>
      <c r="AK66" s="296">
        <f>'Encargos e Benefícios'!D65</f>
        <v>2010.96</v>
      </c>
      <c r="AL66" s="296">
        <f>IF('Encargos e Benefícios'!C65=0,0,'Encargos e Benefícios'!U65/'Encargos e Benefícios'!C65)</f>
        <v>3202.4049162933329</v>
      </c>
      <c r="AM66" s="296">
        <f>IF('Encargos e Benefícios'!C65=0,0,'Encargos e Benefícios'!AC65/'Encargos e Benefícios'!C65)</f>
        <v>913.36</v>
      </c>
      <c r="AN66" s="297">
        <f>IF('Encargos e Benefícios'!C65=0,0,'Encargos e Benefícios'!AD65/'Encargos e Benefícios'!C65)</f>
        <v>6126.7249162933322</v>
      </c>
      <c r="AO66" s="188">
        <v>2752.21</v>
      </c>
      <c r="AP66" s="298">
        <v>1764.5</v>
      </c>
      <c r="AQ66" s="298">
        <v>3739.92</v>
      </c>
      <c r="AR66" s="299" t="s">
        <v>105</v>
      </c>
      <c r="AS66" s="188"/>
    </row>
    <row r="67" spans="1:45">
      <c r="A67" s="286">
        <v>61</v>
      </c>
      <c r="B67" s="81" t="str">
        <f>'Encargos e Benefícios'!B66</f>
        <v>Diretor Geral de Unidade Socioeducativa</v>
      </c>
      <c r="C67" s="287">
        <f>'Encargos e Benefícios'!C66</f>
        <v>1</v>
      </c>
      <c r="D67" s="288">
        <v>40</v>
      </c>
      <c r="E67" s="289">
        <v>45658</v>
      </c>
      <c r="F67" s="290">
        <v>47058</v>
      </c>
      <c r="G67" s="293"/>
      <c r="H67" s="294"/>
      <c r="I67" s="256"/>
      <c r="J67" s="256"/>
      <c r="K67" s="256"/>
      <c r="L67" s="256"/>
      <c r="M67" s="293">
        <v>45778</v>
      </c>
      <c r="N67" s="294">
        <v>5.8400000000000001E-2</v>
      </c>
      <c r="O67" s="256">
        <f>'Encargos e Benefícios'!W66*5.84%</f>
        <v>30.905280000000001</v>
      </c>
      <c r="P67" s="256">
        <f>('Encargos e Benefícios'!X66+'Encargos e Benefícios'!Y66+'Encargos e Benefícios'!Z66+'Encargos e Benefícios'!AA66+'Encargos e Benefícios'!AB66)*5.84%</f>
        <v>18.235399999999998</v>
      </c>
      <c r="Q67" s="256">
        <f>'Encargos e Benefícios'!V66*5.84%</f>
        <v>0</v>
      </c>
      <c r="R67" s="256"/>
      <c r="S67" s="293">
        <v>46143</v>
      </c>
      <c r="T67" s="294">
        <v>5.8400000000000001E-2</v>
      </c>
      <c r="U67" s="256">
        <f>('Encargos e Benefícios'!W66+'Gastos com Pessoal'!O67)*5.84%</f>
        <v>32.710148351999997</v>
      </c>
      <c r="V67" s="256">
        <f>('Encargos e Benefícios'!X66+'Encargos e Benefícios'!Y66+'Encargos e Benefícios'!Z66+'Encargos e Benefícios'!AA66+'Encargos e Benefícios'!AB66+'Gastos com Pessoal'!P67)*5.84%</f>
        <v>19.300347360000004</v>
      </c>
      <c r="W67" s="256">
        <f>('Encargos e Benefícios'!V66+'Gastos com Pessoal'!Q67)*5.84%</f>
        <v>0</v>
      </c>
      <c r="X67" s="256"/>
      <c r="Y67" s="293">
        <v>46508</v>
      </c>
      <c r="Z67" s="294">
        <v>5.8400000000000001E-2</v>
      </c>
      <c r="AA67" s="256">
        <f>('Encargos e Benefícios'!W66+'Gastos com Pessoal'!O67+'Gastos com Pessoal'!U67)*5.84%</f>
        <v>34.620421015756804</v>
      </c>
      <c r="AB67" s="256">
        <f>('Encargos e Benefícios'!X66+'Encargos e Benefícios'!Y66+'Encargos e Benefícios'!Z66+'Encargos e Benefícios'!AA66+'Encargos e Benefícios'!AB66+'Gastos com Pessoal'!P67+'Gastos com Pessoal'!V67)*5.84%</f>
        <v>20.427487645824002</v>
      </c>
      <c r="AC67" s="256">
        <f>('Encargos e Benefícios'!V66+'Gastos com Pessoal'!Q67+'Gastos com Pessoal'!W67)*5.84%</f>
        <v>0</v>
      </c>
      <c r="AD67" s="256"/>
      <c r="AE67" s="293">
        <v>46874</v>
      </c>
      <c r="AF67" s="294">
        <v>5.8400000000000001E-2</v>
      </c>
      <c r="AG67" s="256">
        <f>('Encargos e Benefícios'!W66+'Gastos com Pessoal'!O67+'Gastos com Pessoal'!U67+'Gastos com Pessoal'!AA67)*5.84%</f>
        <v>36.642253603077002</v>
      </c>
      <c r="AH67" s="256">
        <f>('Encargos e Benefícios'!X66+'Encargos e Benefícios'!Y66+'Encargos e Benefícios'!Z66+'Encargos e Benefícios'!AA66+'Encargos e Benefícios'!AB66+'Gastos com Pessoal'!P67+'Gastos com Pessoal'!V67+'Gastos com Pessoal'!AB67)*5.84%</f>
        <v>21.620452924340121</v>
      </c>
      <c r="AI67" s="256">
        <f>('Encargos e Benefícios'!V66+'Gastos com Pessoal'!Q67+'Gastos com Pessoal'!W67+'Gastos com Pessoal'!AC67)*5.84%</f>
        <v>0</v>
      </c>
      <c r="AJ67" s="257"/>
      <c r="AK67" s="296">
        <f>'Encargos e Benefícios'!D66</f>
        <v>6879.6</v>
      </c>
      <c r="AL67" s="296">
        <f>IF('Encargos e Benefícios'!C66=0,0,'Encargos e Benefícios'!U66/'Encargos e Benefícios'!C66)</f>
        <v>5400.8682000000008</v>
      </c>
      <c r="AM67" s="296">
        <f>IF('Encargos e Benefícios'!C66=0,0,'Encargos e Benefícios'!AC66/'Encargos e Benefícios'!C66)</f>
        <v>841.45</v>
      </c>
      <c r="AN67" s="297">
        <f>IF('Encargos e Benefícios'!C66=0,0,'Encargos e Benefícios'!AD66/'Encargos e Benefícios'!C66)</f>
        <v>13121.918200000002</v>
      </c>
      <c r="AO67" s="188">
        <v>6052.24</v>
      </c>
      <c r="AP67" s="298">
        <v>4236.6899999999996</v>
      </c>
      <c r="AQ67" s="298">
        <v>7864.78</v>
      </c>
      <c r="AR67" s="299" t="s">
        <v>106</v>
      </c>
      <c r="AS67" s="188"/>
    </row>
    <row r="68" spans="1:45">
      <c r="A68" s="286">
        <v>62</v>
      </c>
      <c r="B68" s="81" t="str">
        <f>'Encargos e Benefícios'!B67</f>
        <v>Subdiretor de Segurança</v>
      </c>
      <c r="C68" s="287">
        <f>'Encargos e Benefícios'!C67</f>
        <v>1</v>
      </c>
      <c r="D68" s="288">
        <v>40</v>
      </c>
      <c r="E68" s="300">
        <v>45658</v>
      </c>
      <c r="F68" s="301">
        <v>47058</v>
      </c>
      <c r="G68" s="293"/>
      <c r="H68" s="294"/>
      <c r="I68" s="256"/>
      <c r="J68" s="256"/>
      <c r="K68" s="256"/>
      <c r="L68" s="256"/>
      <c r="M68" s="293">
        <v>45778</v>
      </c>
      <c r="N68" s="294">
        <v>5.8400000000000001E-2</v>
      </c>
      <c r="O68" s="256">
        <f>'Encargos e Benefícios'!W67*5.84%</f>
        <v>30.905280000000001</v>
      </c>
      <c r="P68" s="256">
        <f>('Encargos e Benefícios'!X67+'Encargos e Benefícios'!Y67+'Encargos e Benefícios'!Z67+'Encargos e Benefícios'!AA67+'Encargos e Benefícios'!AB67)*5.84%</f>
        <v>18.235399999999998</v>
      </c>
      <c r="Q68" s="256">
        <f>'Encargos e Benefícios'!V67*5.84%</f>
        <v>0</v>
      </c>
      <c r="R68" s="256"/>
      <c r="S68" s="293">
        <v>46143</v>
      </c>
      <c r="T68" s="294">
        <v>5.8400000000000001E-2</v>
      </c>
      <c r="U68" s="256">
        <f>('Encargos e Benefícios'!W67+'Gastos com Pessoal'!O68)*5.84%</f>
        <v>32.710148351999997</v>
      </c>
      <c r="V68" s="256">
        <f>('Encargos e Benefícios'!X67+'Encargos e Benefícios'!Y67+'Encargos e Benefícios'!Z67+'Encargos e Benefícios'!AA67+'Encargos e Benefícios'!AB67+'Gastos com Pessoal'!P68)*5.84%</f>
        <v>19.300347360000004</v>
      </c>
      <c r="W68" s="256">
        <f>('Encargos e Benefícios'!V67+'Gastos com Pessoal'!Q68)*5.84%</f>
        <v>0</v>
      </c>
      <c r="X68" s="256"/>
      <c r="Y68" s="293">
        <v>46508</v>
      </c>
      <c r="Z68" s="294">
        <v>5.8400000000000001E-2</v>
      </c>
      <c r="AA68" s="256">
        <f>('Encargos e Benefícios'!W67+'Gastos com Pessoal'!O68+'Gastos com Pessoal'!U68)*5.84%</f>
        <v>34.620421015756804</v>
      </c>
      <c r="AB68" s="256">
        <f>('Encargos e Benefícios'!X67+'Encargos e Benefícios'!Y67+'Encargos e Benefícios'!Z67+'Encargos e Benefícios'!AA67+'Encargos e Benefícios'!AB67+'Gastos com Pessoal'!P68+'Gastos com Pessoal'!V68)*5.84%</f>
        <v>20.427487645824002</v>
      </c>
      <c r="AC68" s="256">
        <f>('Encargos e Benefícios'!V67+'Gastos com Pessoal'!Q68+'Gastos com Pessoal'!W68)*5.84%</f>
        <v>0</v>
      </c>
      <c r="AD68" s="256"/>
      <c r="AE68" s="293">
        <v>46874</v>
      </c>
      <c r="AF68" s="294">
        <v>5.8400000000000001E-2</v>
      </c>
      <c r="AG68" s="256">
        <f>('Encargos e Benefícios'!W67+'Gastos com Pessoal'!O68+'Gastos com Pessoal'!U68+'Gastos com Pessoal'!AA68)*5.84%</f>
        <v>36.642253603077002</v>
      </c>
      <c r="AH68" s="256">
        <f>('Encargos e Benefícios'!X67+'Encargos e Benefícios'!Y67+'Encargos e Benefícios'!Z67+'Encargos e Benefícios'!AA67+'Encargos e Benefícios'!AB67+'Gastos com Pessoal'!P68+'Gastos com Pessoal'!V68+'Gastos com Pessoal'!AB68)*5.84%</f>
        <v>21.620452924340121</v>
      </c>
      <c r="AI68" s="256">
        <f>('Encargos e Benefícios'!V67+'Gastos com Pessoal'!Q68+'Gastos com Pessoal'!W68+'Gastos com Pessoal'!AC68)*5.84%</f>
        <v>0</v>
      </c>
      <c r="AJ68" s="257"/>
      <c r="AK68" s="296">
        <f>'Encargos e Benefícios'!D67</f>
        <v>3993.98</v>
      </c>
      <c r="AL68" s="296">
        <f>IF('Encargos e Benefícios'!C67=0,0,'Encargos e Benefícios'!U67/'Encargos e Benefícios'!C67)</f>
        <v>4659.1662746111106</v>
      </c>
      <c r="AM68" s="296">
        <f>IF('Encargos e Benefícios'!C67=0,0,'Encargos e Benefícios'!AC67/'Encargos e Benefícios'!C67)</f>
        <v>841.45</v>
      </c>
      <c r="AN68" s="297">
        <f>IF('Encargos e Benefícios'!C67=0,0,'Encargos e Benefícios'!AD67/'Encargos e Benefícios'!C67)</f>
        <v>9494.5962746111109</v>
      </c>
      <c r="AO68" s="188">
        <v>4968.99</v>
      </c>
      <c r="AP68" s="298">
        <v>3773.6</v>
      </c>
      <c r="AQ68" s="298">
        <v>6164.38</v>
      </c>
      <c r="AR68" s="299" t="s">
        <v>106</v>
      </c>
      <c r="AS68" s="188"/>
    </row>
    <row r="69" spans="1:45">
      <c r="A69" s="286">
        <v>63</v>
      </c>
      <c r="B69" s="81" t="str">
        <f>'Encargos e Benefícios'!B68</f>
        <v>Advogado</v>
      </c>
      <c r="C69" s="287">
        <f>'Encargos e Benefícios'!C68</f>
        <v>1</v>
      </c>
      <c r="D69" s="288">
        <v>30</v>
      </c>
      <c r="E69" s="300">
        <v>45658</v>
      </c>
      <c r="F69" s="301">
        <v>47058</v>
      </c>
      <c r="G69" s="293"/>
      <c r="H69" s="294"/>
      <c r="I69" s="256"/>
      <c r="J69" s="256"/>
      <c r="K69" s="256"/>
      <c r="L69" s="256"/>
      <c r="M69" s="293">
        <v>45778</v>
      </c>
      <c r="N69" s="294">
        <v>5.8400000000000001E-2</v>
      </c>
      <c r="O69" s="256">
        <f>'Encargos e Benefícios'!W68*5.84%</f>
        <v>30.905280000000001</v>
      </c>
      <c r="P69" s="256">
        <f>('Encargos e Benefícios'!X68+'Encargos e Benefícios'!Y68+'Encargos e Benefícios'!Z68+'Encargos e Benefícios'!AA68+'Encargos e Benefícios'!AB68)*5.84%</f>
        <v>18.235399999999998</v>
      </c>
      <c r="Q69" s="256">
        <f>'Encargos e Benefícios'!V68*5.84%</f>
        <v>8.1000800000000002</v>
      </c>
      <c r="R69" s="256"/>
      <c r="S69" s="293">
        <v>46143</v>
      </c>
      <c r="T69" s="294">
        <v>5.8400000000000001E-2</v>
      </c>
      <c r="U69" s="256">
        <f>('Encargos e Benefícios'!W68+'Gastos com Pessoal'!O69)*5.84%</f>
        <v>32.710148351999997</v>
      </c>
      <c r="V69" s="256">
        <f>('Encargos e Benefícios'!X68+'Encargos e Benefícios'!Y68+'Encargos e Benefícios'!Z68+'Encargos e Benefícios'!AA68+'Encargos e Benefícios'!AB68+'Gastos com Pessoal'!P69)*5.84%</f>
        <v>19.300347360000004</v>
      </c>
      <c r="W69" s="256">
        <f>('Encargos e Benefícios'!V68+'Gastos com Pessoal'!Q69)*5.84%</f>
        <v>8.5731246719999987</v>
      </c>
      <c r="X69" s="256"/>
      <c r="Y69" s="293">
        <v>46508</v>
      </c>
      <c r="Z69" s="294">
        <v>5.8400000000000001E-2</v>
      </c>
      <c r="AA69" s="256">
        <f>('Encargos e Benefícios'!W68+'Gastos com Pessoal'!O69+'Gastos com Pessoal'!U69)*5.84%</f>
        <v>34.620421015756804</v>
      </c>
      <c r="AB69" s="256">
        <f>('Encargos e Benefícios'!X68+'Encargos e Benefícios'!Y68+'Encargos e Benefícios'!Z68+'Encargos e Benefícios'!AA68+'Encargos e Benefícios'!AB68+'Gastos com Pessoal'!P69+'Gastos com Pessoal'!V69)*5.84%</f>
        <v>20.427487645824002</v>
      </c>
      <c r="AC69" s="256">
        <f>('Encargos e Benefícios'!V68+'Gastos com Pessoal'!Q69+'Gastos com Pessoal'!W69)*5.84%</f>
        <v>9.0737951528447987</v>
      </c>
      <c r="AD69" s="256"/>
      <c r="AE69" s="293">
        <v>46874</v>
      </c>
      <c r="AF69" s="294">
        <v>5.8400000000000001E-2</v>
      </c>
      <c r="AG69" s="256">
        <f>('Encargos e Benefícios'!W68+'Gastos com Pessoal'!O69+'Gastos com Pessoal'!U69+'Gastos com Pessoal'!AA69)*5.84%</f>
        <v>36.642253603077002</v>
      </c>
      <c r="AH69" s="256">
        <f>('Encargos e Benefícios'!X68+'Encargos e Benefícios'!Y68+'Encargos e Benefícios'!Z68+'Encargos e Benefícios'!AA68+'Encargos e Benefícios'!AB68+'Gastos com Pessoal'!P69+'Gastos com Pessoal'!V69+'Gastos com Pessoal'!AB69)*5.84%</f>
        <v>21.620452924340121</v>
      </c>
      <c r="AI69" s="256">
        <f>('Encargos e Benefícios'!V68+'Gastos com Pessoal'!Q69+'Gastos com Pessoal'!W69+'Gastos com Pessoal'!AC69)*5.84%</f>
        <v>9.6037047897709353</v>
      </c>
      <c r="AJ69" s="257"/>
      <c r="AK69" s="296">
        <f>'Encargos e Benefícios'!D68</f>
        <v>2751.84</v>
      </c>
      <c r="AL69" s="296">
        <f>IF('Encargos e Benefícios'!C68=0,0,'Encargos e Benefícios'!U68/'Encargos e Benefícios'!C68)</f>
        <v>2198.8730400000004</v>
      </c>
      <c r="AM69" s="296">
        <f>IF('Encargos e Benefícios'!C68=0,0,'Encargos e Benefícios'!AC68/'Encargos e Benefícios'!C68)</f>
        <v>980.15000000000009</v>
      </c>
      <c r="AN69" s="297">
        <f>IF('Encargos e Benefícios'!C68=0,0,'Encargos e Benefícios'!AD68/'Encargos e Benefícios'!C68)</f>
        <v>5930.8630400000002</v>
      </c>
      <c r="AO69" s="188">
        <v>2574.5</v>
      </c>
      <c r="AP69" s="298">
        <v>2000</v>
      </c>
      <c r="AQ69" s="298">
        <v>3148.99</v>
      </c>
      <c r="AR69" s="299" t="s">
        <v>106</v>
      </c>
      <c r="AS69" s="188"/>
    </row>
    <row r="70" spans="1:45">
      <c r="A70" s="286">
        <v>64</v>
      </c>
      <c r="B70" s="81" t="str">
        <f>'Encargos e Benefícios'!B69</f>
        <v>Assistente Social</v>
      </c>
      <c r="C70" s="287">
        <f>'Encargos e Benefícios'!C69</f>
        <v>1</v>
      </c>
      <c r="D70" s="288">
        <v>30</v>
      </c>
      <c r="E70" s="300">
        <v>45658</v>
      </c>
      <c r="F70" s="301">
        <v>47058</v>
      </c>
      <c r="G70" s="293"/>
      <c r="H70" s="294"/>
      <c r="I70" s="256"/>
      <c r="J70" s="256"/>
      <c r="K70" s="256"/>
      <c r="L70" s="256"/>
      <c r="M70" s="293">
        <v>45778</v>
      </c>
      <c r="N70" s="294">
        <v>5.8400000000000001E-2</v>
      </c>
      <c r="O70" s="256">
        <f>'Encargos e Benefícios'!W69*5.84%</f>
        <v>30.905280000000001</v>
      </c>
      <c r="P70" s="256">
        <f>('Encargos e Benefícios'!X69+'Encargos e Benefícios'!Y69+'Encargos e Benefícios'!Z69+'Encargos e Benefícios'!AA69+'Encargos e Benefícios'!AB69)*5.84%</f>
        <v>18.235399999999998</v>
      </c>
      <c r="Q70" s="256">
        <f>'Encargos e Benefícios'!V69*5.84%</f>
        <v>8.1000800000000002</v>
      </c>
      <c r="R70" s="256"/>
      <c r="S70" s="293">
        <v>46143</v>
      </c>
      <c r="T70" s="294">
        <v>5.8400000000000001E-2</v>
      </c>
      <c r="U70" s="256">
        <f>('Encargos e Benefícios'!W69+'Gastos com Pessoal'!O70)*5.84%</f>
        <v>32.710148351999997</v>
      </c>
      <c r="V70" s="256">
        <f>('Encargos e Benefícios'!X69+'Encargos e Benefícios'!Y69+'Encargos e Benefícios'!Z69+'Encargos e Benefícios'!AA69+'Encargos e Benefícios'!AB69+'Gastos com Pessoal'!P70)*5.84%</f>
        <v>19.300347360000004</v>
      </c>
      <c r="W70" s="256">
        <f>('Encargos e Benefícios'!V69+'Gastos com Pessoal'!Q70)*5.84%</f>
        <v>8.5731246719999987</v>
      </c>
      <c r="X70" s="256"/>
      <c r="Y70" s="293">
        <v>46508</v>
      </c>
      <c r="Z70" s="294">
        <v>5.8400000000000001E-2</v>
      </c>
      <c r="AA70" s="256">
        <f>('Encargos e Benefícios'!W69+'Gastos com Pessoal'!O70+'Gastos com Pessoal'!U70)*5.84%</f>
        <v>34.620421015756804</v>
      </c>
      <c r="AB70" s="256">
        <f>('Encargos e Benefícios'!X69+'Encargos e Benefícios'!Y69+'Encargos e Benefícios'!Z69+'Encargos e Benefícios'!AA69+'Encargos e Benefícios'!AB69+'Gastos com Pessoal'!P70+'Gastos com Pessoal'!V70)*5.84%</f>
        <v>20.427487645824002</v>
      </c>
      <c r="AC70" s="256">
        <f>('Encargos e Benefícios'!V69+'Gastos com Pessoal'!Q70+'Gastos com Pessoal'!W70)*5.84%</f>
        <v>9.0737951528447987</v>
      </c>
      <c r="AD70" s="256"/>
      <c r="AE70" s="293">
        <v>46874</v>
      </c>
      <c r="AF70" s="294">
        <v>5.8400000000000001E-2</v>
      </c>
      <c r="AG70" s="256">
        <f>('Encargos e Benefícios'!W69+'Gastos com Pessoal'!O70+'Gastos com Pessoal'!U70+'Gastos com Pessoal'!AA70)*5.84%</f>
        <v>36.642253603077002</v>
      </c>
      <c r="AH70" s="256">
        <f>('Encargos e Benefícios'!X69+'Encargos e Benefícios'!Y69+'Encargos e Benefícios'!Z69+'Encargos e Benefícios'!AA69+'Encargos e Benefícios'!AB69+'Gastos com Pessoal'!P70+'Gastos com Pessoal'!V70+'Gastos com Pessoal'!AB70)*5.84%</f>
        <v>21.620452924340121</v>
      </c>
      <c r="AI70" s="256">
        <f>('Encargos e Benefícios'!V69+'Gastos com Pessoal'!Q70+'Gastos com Pessoal'!W70+'Gastos com Pessoal'!AC70)*5.84%</f>
        <v>9.6037047897709353</v>
      </c>
      <c r="AJ70" s="257"/>
      <c r="AK70" s="296">
        <f>'Encargos e Benefícios'!D69</f>
        <v>2751.84</v>
      </c>
      <c r="AL70" s="296">
        <f>IF('Encargos e Benefícios'!C69=0,0,'Encargos e Benefícios'!U69/'Encargos e Benefícios'!C69)</f>
        <v>2198.8730400000004</v>
      </c>
      <c r="AM70" s="296">
        <f>IF('Encargos e Benefícios'!C69=0,0,'Encargos e Benefícios'!AC69/'Encargos e Benefícios'!C69)</f>
        <v>980.15000000000009</v>
      </c>
      <c r="AN70" s="297">
        <f>IF('Encargos e Benefícios'!C69=0,0,'Encargos e Benefícios'!AD69/'Encargos e Benefícios'!C69)</f>
        <v>5930.8630400000002</v>
      </c>
      <c r="AO70" s="188">
        <v>2906.48</v>
      </c>
      <c r="AP70" s="298">
        <v>2000</v>
      </c>
      <c r="AQ70" s="298">
        <v>3812.95</v>
      </c>
      <c r="AR70" s="299" t="s">
        <v>106</v>
      </c>
      <c r="AS70" s="188"/>
    </row>
    <row r="71" spans="1:45">
      <c r="A71" s="286">
        <v>65</v>
      </c>
      <c r="B71" s="81" t="str">
        <f>'Encargos e Benefícios'!B70</f>
        <v>Pedagogo</v>
      </c>
      <c r="C71" s="287">
        <f>'Encargos e Benefícios'!C70</f>
        <v>1</v>
      </c>
      <c r="D71" s="288">
        <v>30</v>
      </c>
      <c r="E71" s="300">
        <v>45658</v>
      </c>
      <c r="F71" s="301">
        <v>47058</v>
      </c>
      <c r="G71" s="293"/>
      <c r="H71" s="294"/>
      <c r="I71" s="256"/>
      <c r="J71" s="256"/>
      <c r="K71" s="256"/>
      <c r="L71" s="256"/>
      <c r="M71" s="293">
        <v>45778</v>
      </c>
      <c r="N71" s="294">
        <v>5.8400000000000001E-2</v>
      </c>
      <c r="O71" s="256">
        <f>'Encargos e Benefícios'!W70*5.84%</f>
        <v>30.905280000000001</v>
      </c>
      <c r="P71" s="256">
        <f>('Encargos e Benefícios'!X70+'Encargos e Benefícios'!Y70+'Encargos e Benefícios'!Z70+'Encargos e Benefícios'!AA70+'Encargos e Benefícios'!AB70)*5.84%</f>
        <v>18.235399999999998</v>
      </c>
      <c r="Q71" s="256">
        <f>'Encargos e Benefícios'!V70*5.84%</f>
        <v>8.1000800000000002</v>
      </c>
      <c r="R71" s="256"/>
      <c r="S71" s="293">
        <v>46143</v>
      </c>
      <c r="T71" s="294">
        <v>5.8400000000000001E-2</v>
      </c>
      <c r="U71" s="256">
        <f>('Encargos e Benefícios'!W70+'Gastos com Pessoal'!O71)*5.84%</f>
        <v>32.710148351999997</v>
      </c>
      <c r="V71" s="256">
        <f>('Encargos e Benefícios'!X70+'Encargos e Benefícios'!Y70+'Encargos e Benefícios'!Z70+'Encargos e Benefícios'!AA70+'Encargos e Benefícios'!AB70+'Gastos com Pessoal'!P71)*5.84%</f>
        <v>19.300347360000004</v>
      </c>
      <c r="W71" s="256">
        <f>('Encargos e Benefícios'!V70+'Gastos com Pessoal'!Q71)*5.84%</f>
        <v>8.5731246719999987</v>
      </c>
      <c r="X71" s="256"/>
      <c r="Y71" s="293">
        <v>46508</v>
      </c>
      <c r="Z71" s="294">
        <v>5.8400000000000001E-2</v>
      </c>
      <c r="AA71" s="256">
        <f>('Encargos e Benefícios'!W70+'Gastos com Pessoal'!O71+'Gastos com Pessoal'!U71)*5.84%</f>
        <v>34.620421015756804</v>
      </c>
      <c r="AB71" s="256">
        <f>('Encargos e Benefícios'!X70+'Encargos e Benefícios'!Y70+'Encargos e Benefícios'!Z70+'Encargos e Benefícios'!AA70+'Encargos e Benefícios'!AB70+'Gastos com Pessoal'!P71+'Gastos com Pessoal'!V71)*5.84%</f>
        <v>20.427487645824002</v>
      </c>
      <c r="AC71" s="256">
        <f>('Encargos e Benefícios'!V70+'Gastos com Pessoal'!Q71+'Gastos com Pessoal'!W71)*5.84%</f>
        <v>9.0737951528447987</v>
      </c>
      <c r="AD71" s="256"/>
      <c r="AE71" s="293">
        <v>46874</v>
      </c>
      <c r="AF71" s="294">
        <v>5.8400000000000001E-2</v>
      </c>
      <c r="AG71" s="256">
        <f>('Encargos e Benefícios'!W70+'Gastos com Pessoal'!O71+'Gastos com Pessoal'!U71+'Gastos com Pessoal'!AA71)*5.84%</f>
        <v>36.642253603077002</v>
      </c>
      <c r="AH71" s="256">
        <f>('Encargos e Benefícios'!X70+'Encargos e Benefícios'!Y70+'Encargos e Benefícios'!Z70+'Encargos e Benefícios'!AA70+'Encargos e Benefícios'!AB70+'Gastos com Pessoal'!P71+'Gastos com Pessoal'!V71+'Gastos com Pessoal'!AB71)*5.84%</f>
        <v>21.620452924340121</v>
      </c>
      <c r="AI71" s="256">
        <f>('Encargos e Benefícios'!V70+'Gastos com Pessoal'!Q71+'Gastos com Pessoal'!W71+'Gastos com Pessoal'!AC71)*5.84%</f>
        <v>9.6037047897709353</v>
      </c>
      <c r="AJ71" s="257"/>
      <c r="AK71" s="296">
        <f>'Encargos e Benefícios'!D70</f>
        <v>2751.84</v>
      </c>
      <c r="AL71" s="296">
        <f>IF('Encargos e Benefícios'!C70=0,0,'Encargos e Benefícios'!U70/'Encargos e Benefícios'!C70)</f>
        <v>2198.8730400000004</v>
      </c>
      <c r="AM71" s="296">
        <f>IF('Encargos e Benefícios'!C70=0,0,'Encargos e Benefícios'!AC70/'Encargos e Benefícios'!C70)</f>
        <v>980.15000000000009</v>
      </c>
      <c r="AN71" s="297">
        <f>IF('Encargos e Benefícios'!C70=0,0,'Encargos e Benefícios'!AD70/'Encargos e Benefícios'!C70)</f>
        <v>5930.8630400000002</v>
      </c>
      <c r="AO71" s="188">
        <v>2826.08</v>
      </c>
      <c r="AP71" s="298">
        <v>1936.68</v>
      </c>
      <c r="AQ71" s="298">
        <v>3715.48</v>
      </c>
      <c r="AR71" s="299" t="s">
        <v>106</v>
      </c>
      <c r="AS71" s="188"/>
    </row>
    <row r="72" spans="1:45">
      <c r="A72" s="286">
        <v>66</v>
      </c>
      <c r="B72" s="81" t="str">
        <f>'Encargos e Benefícios'!B71</f>
        <v>Psicologo</v>
      </c>
      <c r="C72" s="287">
        <f>'Encargos e Benefícios'!C71</f>
        <v>1</v>
      </c>
      <c r="D72" s="288">
        <v>30</v>
      </c>
      <c r="E72" s="300">
        <v>45658</v>
      </c>
      <c r="F72" s="301">
        <v>47058</v>
      </c>
      <c r="G72" s="293"/>
      <c r="H72" s="294"/>
      <c r="I72" s="256"/>
      <c r="J72" s="256"/>
      <c r="K72" s="256"/>
      <c r="L72" s="256"/>
      <c r="M72" s="293">
        <v>45778</v>
      </c>
      <c r="N72" s="294">
        <v>5.8400000000000001E-2</v>
      </c>
      <c r="O72" s="256">
        <f>'Encargos e Benefícios'!W71*5.84%</f>
        <v>30.905280000000001</v>
      </c>
      <c r="P72" s="256">
        <f>('Encargos e Benefícios'!X71+'Encargos e Benefícios'!Y71+'Encargos e Benefícios'!Z71+'Encargos e Benefícios'!AA71+'Encargos e Benefícios'!AB71)*5.84%</f>
        <v>18.235399999999998</v>
      </c>
      <c r="Q72" s="256">
        <f>'Encargos e Benefícios'!V71*5.84%</f>
        <v>8.1000800000000002</v>
      </c>
      <c r="R72" s="256"/>
      <c r="S72" s="293">
        <v>46143</v>
      </c>
      <c r="T72" s="294">
        <v>5.8400000000000001E-2</v>
      </c>
      <c r="U72" s="256">
        <f>('Encargos e Benefícios'!W71+'Gastos com Pessoal'!O72)*5.84%</f>
        <v>32.710148351999997</v>
      </c>
      <c r="V72" s="256">
        <f>('Encargos e Benefícios'!X71+'Encargos e Benefícios'!Y71+'Encargos e Benefícios'!Z71+'Encargos e Benefícios'!AA71+'Encargos e Benefícios'!AB71+'Gastos com Pessoal'!P72)*5.84%</f>
        <v>19.300347360000004</v>
      </c>
      <c r="W72" s="256">
        <f>('Encargos e Benefícios'!V71+'Gastos com Pessoal'!Q72)*5.84%</f>
        <v>8.5731246719999987</v>
      </c>
      <c r="X72" s="256"/>
      <c r="Y72" s="293">
        <v>46508</v>
      </c>
      <c r="Z72" s="294">
        <v>5.8400000000000001E-2</v>
      </c>
      <c r="AA72" s="256">
        <f>('Encargos e Benefícios'!W71+'Gastos com Pessoal'!O72+'Gastos com Pessoal'!U72)*5.84%</f>
        <v>34.620421015756804</v>
      </c>
      <c r="AB72" s="256">
        <f>('Encargos e Benefícios'!X71+'Encargos e Benefícios'!Y71+'Encargos e Benefícios'!Z71+'Encargos e Benefícios'!AA71+'Encargos e Benefícios'!AB71+'Gastos com Pessoal'!P72+'Gastos com Pessoal'!V72)*5.84%</f>
        <v>20.427487645824002</v>
      </c>
      <c r="AC72" s="256">
        <f>('Encargos e Benefícios'!V71+'Gastos com Pessoal'!Q72+'Gastos com Pessoal'!W72)*5.84%</f>
        <v>9.0737951528447987</v>
      </c>
      <c r="AD72" s="256"/>
      <c r="AE72" s="293">
        <v>46874</v>
      </c>
      <c r="AF72" s="294">
        <v>5.8400000000000001E-2</v>
      </c>
      <c r="AG72" s="256">
        <f>('Encargos e Benefícios'!W71+'Gastos com Pessoal'!O72+'Gastos com Pessoal'!U72+'Gastos com Pessoal'!AA72)*5.84%</f>
        <v>36.642253603077002</v>
      </c>
      <c r="AH72" s="256">
        <f>('Encargos e Benefícios'!X71+'Encargos e Benefícios'!Y71+'Encargos e Benefícios'!Z71+'Encargos e Benefícios'!AA71+'Encargos e Benefícios'!AB71+'Gastos com Pessoal'!P72+'Gastos com Pessoal'!V72+'Gastos com Pessoal'!AB72)*5.84%</f>
        <v>21.620452924340121</v>
      </c>
      <c r="AI72" s="256">
        <f>('Encargos e Benefícios'!V71+'Gastos com Pessoal'!Q72+'Gastos com Pessoal'!W72+'Gastos com Pessoal'!AC72)*5.84%</f>
        <v>9.6037047897709353</v>
      </c>
      <c r="AJ72" s="257"/>
      <c r="AK72" s="296">
        <f>'Encargos e Benefícios'!D71</f>
        <v>2751.84</v>
      </c>
      <c r="AL72" s="296">
        <f>IF('Encargos e Benefícios'!C71=0,0,'Encargos e Benefícios'!U71/'Encargos e Benefícios'!C71)</f>
        <v>2198.8730400000004</v>
      </c>
      <c r="AM72" s="296">
        <f>IF('Encargos e Benefícios'!C71=0,0,'Encargos e Benefícios'!AC71/'Encargos e Benefícios'!C71)</f>
        <v>980.15000000000009</v>
      </c>
      <c r="AN72" s="297">
        <f>IF('Encargos e Benefícios'!C71=0,0,'Encargos e Benefícios'!AD71/'Encargos e Benefícios'!C71)</f>
        <v>5930.8630400000002</v>
      </c>
      <c r="AO72" s="188">
        <v>2906.48</v>
      </c>
      <c r="AP72" s="298">
        <v>2000</v>
      </c>
      <c r="AQ72" s="298">
        <v>3812.95</v>
      </c>
      <c r="AR72" s="299" t="s">
        <v>106</v>
      </c>
      <c r="AS72" s="188"/>
    </row>
    <row r="73" spans="1:45">
      <c r="A73" s="286">
        <v>67</v>
      </c>
      <c r="B73" s="81" t="str">
        <f>'Encargos e Benefícios'!B72</f>
        <v>Terapeuta Ocupacional</v>
      </c>
      <c r="C73" s="287">
        <f>'Encargos e Benefícios'!C72</f>
        <v>1</v>
      </c>
      <c r="D73" s="288">
        <v>30</v>
      </c>
      <c r="E73" s="300">
        <v>45658</v>
      </c>
      <c r="F73" s="301">
        <v>47058</v>
      </c>
      <c r="G73" s="293"/>
      <c r="H73" s="294"/>
      <c r="I73" s="256"/>
      <c r="J73" s="256"/>
      <c r="K73" s="256"/>
      <c r="L73" s="256"/>
      <c r="M73" s="293">
        <v>45778</v>
      </c>
      <c r="N73" s="294">
        <v>5.8400000000000001E-2</v>
      </c>
      <c r="O73" s="256">
        <f>'Encargos e Benefícios'!W72*5.84%</f>
        <v>30.905280000000001</v>
      </c>
      <c r="P73" s="256">
        <f>('Encargos e Benefícios'!X72+'Encargos e Benefícios'!Y72+'Encargos e Benefícios'!Z72+'Encargos e Benefícios'!AA72+'Encargos e Benefícios'!AB72)*5.84%</f>
        <v>18.235399999999998</v>
      </c>
      <c r="Q73" s="256">
        <f>'Encargos e Benefícios'!V72*5.84%</f>
        <v>8.1000800000000002</v>
      </c>
      <c r="R73" s="256"/>
      <c r="S73" s="293">
        <v>46143</v>
      </c>
      <c r="T73" s="294">
        <v>5.8400000000000001E-2</v>
      </c>
      <c r="U73" s="256">
        <f>('Encargos e Benefícios'!W72+'Gastos com Pessoal'!O73)*5.84%</f>
        <v>32.710148351999997</v>
      </c>
      <c r="V73" s="256">
        <f>('Encargos e Benefícios'!X72+'Encargos e Benefícios'!Y72+'Encargos e Benefícios'!Z72+'Encargos e Benefícios'!AA72+'Encargos e Benefícios'!AB72+'Gastos com Pessoal'!P73)*5.84%</f>
        <v>19.300347360000004</v>
      </c>
      <c r="W73" s="256">
        <f>('Encargos e Benefícios'!V72+'Gastos com Pessoal'!Q73)*5.84%</f>
        <v>8.5731246719999987</v>
      </c>
      <c r="X73" s="256"/>
      <c r="Y73" s="293">
        <v>46508</v>
      </c>
      <c r="Z73" s="294">
        <v>5.8400000000000001E-2</v>
      </c>
      <c r="AA73" s="256">
        <f>('Encargos e Benefícios'!W72+'Gastos com Pessoal'!O73+'Gastos com Pessoal'!U73)*5.84%</f>
        <v>34.620421015756804</v>
      </c>
      <c r="AB73" s="256">
        <f>('Encargos e Benefícios'!X72+'Encargos e Benefícios'!Y72+'Encargos e Benefícios'!Z72+'Encargos e Benefícios'!AA72+'Encargos e Benefícios'!AB72+'Gastos com Pessoal'!P73+'Gastos com Pessoal'!V73)*5.84%</f>
        <v>20.427487645824002</v>
      </c>
      <c r="AC73" s="256">
        <f>('Encargos e Benefícios'!V72+'Gastos com Pessoal'!Q73+'Gastos com Pessoal'!W73)*5.84%</f>
        <v>9.0737951528447987</v>
      </c>
      <c r="AD73" s="256"/>
      <c r="AE73" s="293">
        <v>46874</v>
      </c>
      <c r="AF73" s="294">
        <v>5.8400000000000001E-2</v>
      </c>
      <c r="AG73" s="256">
        <f>('Encargos e Benefícios'!W72+'Gastos com Pessoal'!O73+'Gastos com Pessoal'!U73+'Gastos com Pessoal'!AA73)*5.84%</f>
        <v>36.642253603077002</v>
      </c>
      <c r="AH73" s="256">
        <f>('Encargos e Benefícios'!X72+'Encargos e Benefícios'!Y72+'Encargos e Benefícios'!Z72+'Encargos e Benefícios'!AA72+'Encargos e Benefícios'!AB72+'Gastos com Pessoal'!P73+'Gastos com Pessoal'!V73+'Gastos com Pessoal'!AB73)*5.84%</f>
        <v>21.620452924340121</v>
      </c>
      <c r="AI73" s="256">
        <f>('Encargos e Benefícios'!V72+'Gastos com Pessoal'!Q73+'Gastos com Pessoal'!W73+'Gastos com Pessoal'!AC73)*5.84%</f>
        <v>9.6037047897709353</v>
      </c>
      <c r="AJ73" s="257"/>
      <c r="AK73" s="296">
        <f>'Encargos e Benefícios'!D72</f>
        <v>2751.84</v>
      </c>
      <c r="AL73" s="296">
        <f>IF('Encargos e Benefícios'!C72=0,0,'Encargos e Benefícios'!U72/'Encargos e Benefícios'!C72)</f>
        <v>2198.8730400000004</v>
      </c>
      <c r="AM73" s="296">
        <f>IF('Encargos e Benefícios'!C72=0,0,'Encargos e Benefícios'!AC72/'Encargos e Benefícios'!C72)</f>
        <v>980.15000000000009</v>
      </c>
      <c r="AN73" s="297">
        <f>IF('Encargos e Benefícios'!C72=0,0,'Encargos e Benefícios'!AD72/'Encargos e Benefícios'!C72)</f>
        <v>5930.8630400000002</v>
      </c>
      <c r="AO73" s="188">
        <v>2456</v>
      </c>
      <c r="AP73" s="298">
        <v>2000</v>
      </c>
      <c r="AQ73" s="298">
        <v>2911.99</v>
      </c>
      <c r="AR73" s="299" t="s">
        <v>106</v>
      </c>
      <c r="AS73" s="188"/>
    </row>
    <row r="74" spans="1:45">
      <c r="A74" s="286">
        <v>68</v>
      </c>
      <c r="B74" s="81" t="str">
        <f>'Encargos e Benefícios'!B73</f>
        <v>Administrativo</v>
      </c>
      <c r="C74" s="287">
        <f>'Encargos e Benefícios'!C73</f>
        <v>1</v>
      </c>
      <c r="D74" s="288">
        <v>40</v>
      </c>
      <c r="E74" s="300">
        <v>45658</v>
      </c>
      <c r="F74" s="301">
        <v>47058</v>
      </c>
      <c r="G74" s="293"/>
      <c r="H74" s="294"/>
      <c r="I74" s="256"/>
      <c r="J74" s="256"/>
      <c r="K74" s="256"/>
      <c r="L74" s="256"/>
      <c r="M74" s="293">
        <v>45778</v>
      </c>
      <c r="N74" s="294">
        <v>5.8400000000000001E-2</v>
      </c>
      <c r="O74" s="256">
        <f>'Encargos e Benefícios'!W73*5.84%</f>
        <v>30.905280000000001</v>
      </c>
      <c r="P74" s="256">
        <f>('Encargos e Benefícios'!X73+'Encargos e Benefícios'!Y73+'Encargos e Benefícios'!Z73+'Encargos e Benefícios'!AA73+'Encargos e Benefícios'!AB73)*5.84%</f>
        <v>18.235399999999998</v>
      </c>
      <c r="Q74" s="256">
        <f>'Encargos e Benefícios'!V73*5.84%</f>
        <v>8.1000800000000002</v>
      </c>
      <c r="R74" s="256"/>
      <c r="S74" s="293">
        <v>46143</v>
      </c>
      <c r="T74" s="294">
        <v>5.8400000000000001E-2</v>
      </c>
      <c r="U74" s="256">
        <f>('Encargos e Benefícios'!W73+'Gastos com Pessoal'!O74)*5.84%</f>
        <v>32.710148351999997</v>
      </c>
      <c r="V74" s="256">
        <f>('Encargos e Benefícios'!X73+'Encargos e Benefícios'!Y73+'Encargos e Benefícios'!Z73+'Encargos e Benefícios'!AA73+'Encargos e Benefícios'!AB73+'Gastos com Pessoal'!P74)*5.84%</f>
        <v>19.300347360000004</v>
      </c>
      <c r="W74" s="256">
        <f>('Encargos e Benefícios'!V73+'Gastos com Pessoal'!Q74)*5.84%</f>
        <v>8.5731246719999987</v>
      </c>
      <c r="X74" s="256"/>
      <c r="Y74" s="293">
        <v>46508</v>
      </c>
      <c r="Z74" s="294">
        <v>5.8400000000000001E-2</v>
      </c>
      <c r="AA74" s="256">
        <f>('Encargos e Benefícios'!W73+'Gastos com Pessoal'!O74+'Gastos com Pessoal'!U74)*5.84%</f>
        <v>34.620421015756804</v>
      </c>
      <c r="AB74" s="256">
        <f>('Encargos e Benefícios'!X73+'Encargos e Benefícios'!Y73+'Encargos e Benefícios'!Z73+'Encargos e Benefícios'!AA73+'Encargos e Benefícios'!AB73+'Gastos com Pessoal'!P74+'Gastos com Pessoal'!V74)*5.84%</f>
        <v>20.427487645824002</v>
      </c>
      <c r="AC74" s="256">
        <f>('Encargos e Benefícios'!V73+'Gastos com Pessoal'!Q74+'Gastos com Pessoal'!W74)*5.84%</f>
        <v>9.0737951528447987</v>
      </c>
      <c r="AD74" s="256"/>
      <c r="AE74" s="293">
        <v>46874</v>
      </c>
      <c r="AF74" s="294">
        <v>5.8400000000000001E-2</v>
      </c>
      <c r="AG74" s="256">
        <f>('Encargos e Benefícios'!W73+'Gastos com Pessoal'!O74+'Gastos com Pessoal'!U74+'Gastos com Pessoal'!AA74)*5.84%</f>
        <v>36.642253603077002</v>
      </c>
      <c r="AH74" s="256">
        <f>('Encargos e Benefícios'!X73+'Encargos e Benefícios'!Y73+'Encargos e Benefícios'!Z73+'Encargos e Benefícios'!AA73+'Encargos e Benefícios'!AB73+'Gastos com Pessoal'!P74+'Gastos com Pessoal'!V74+'Gastos com Pessoal'!AB74)*5.84%</f>
        <v>21.620452924340121</v>
      </c>
      <c r="AI74" s="256">
        <f>('Encargos e Benefícios'!V73+'Gastos com Pessoal'!Q74+'Gastos com Pessoal'!W74+'Gastos com Pessoal'!AC74)*5.84%</f>
        <v>9.6037047897709353</v>
      </c>
      <c r="AJ74" s="257"/>
      <c r="AK74" s="296">
        <f>'Encargos e Benefícios'!D73</f>
        <v>1852.2</v>
      </c>
      <c r="AL74" s="296">
        <f>IF('Encargos e Benefícios'!C73=0,0,'Encargos e Benefícios'!U73/'Encargos e Benefícios'!C73)</f>
        <v>1480.0106999999996</v>
      </c>
      <c r="AM74" s="296">
        <f>IF('Encargos e Benefícios'!C73=0,0,'Encargos e Benefícios'!AC73/'Encargos e Benefícios'!C73)</f>
        <v>980.15000000000009</v>
      </c>
      <c r="AN74" s="297">
        <f>IF('Encargos e Benefícios'!C73=0,0,'Encargos e Benefícios'!AD73/'Encargos e Benefícios'!C73)</f>
        <v>4312.3606999999993</v>
      </c>
      <c r="AO74" s="188">
        <v>2012.52</v>
      </c>
      <c r="AP74" s="298">
        <v>1329.38</v>
      </c>
      <c r="AQ74" s="298">
        <v>2695.66</v>
      </c>
      <c r="AR74" s="299" t="s">
        <v>106</v>
      </c>
      <c r="AS74" s="188"/>
    </row>
    <row r="75" spans="1:45">
      <c r="A75" s="286">
        <v>69</v>
      </c>
      <c r="B75" s="81" t="str">
        <f>'Encargos e Benefícios'!B74</f>
        <v>Auxiliar Educacional</v>
      </c>
      <c r="C75" s="287">
        <f>'Encargos e Benefícios'!C74</f>
        <v>1</v>
      </c>
      <c r="D75" s="288">
        <v>30</v>
      </c>
      <c r="E75" s="300">
        <v>45658</v>
      </c>
      <c r="F75" s="301">
        <v>47058</v>
      </c>
      <c r="G75" s="293"/>
      <c r="H75" s="294"/>
      <c r="I75" s="256"/>
      <c r="J75" s="256"/>
      <c r="K75" s="256"/>
      <c r="L75" s="256"/>
      <c r="M75" s="293">
        <v>45778</v>
      </c>
      <c r="N75" s="294">
        <v>5.8400000000000001E-2</v>
      </c>
      <c r="O75" s="256">
        <f>'Encargos e Benefícios'!W74*5.84%</f>
        <v>30.905280000000001</v>
      </c>
      <c r="P75" s="256">
        <f>('Encargos e Benefícios'!X74+'Encargos e Benefícios'!Y74+'Encargos e Benefícios'!Z74+'Encargos e Benefícios'!AA74+'Encargos e Benefícios'!AB74)*5.84%</f>
        <v>18.235399999999998</v>
      </c>
      <c r="Q75" s="256">
        <f>'Encargos e Benefícios'!V74*5.84%</f>
        <v>8.1000800000000002</v>
      </c>
      <c r="R75" s="256"/>
      <c r="S75" s="293">
        <v>46143</v>
      </c>
      <c r="T75" s="294">
        <v>5.8400000000000001E-2</v>
      </c>
      <c r="U75" s="256">
        <f>('Encargos e Benefícios'!W74+'Gastos com Pessoal'!O75)*5.84%</f>
        <v>32.710148351999997</v>
      </c>
      <c r="V75" s="256">
        <f>('Encargos e Benefícios'!X74+'Encargos e Benefícios'!Y74+'Encargos e Benefícios'!Z74+'Encargos e Benefícios'!AA74+'Encargos e Benefícios'!AB74+'Gastos com Pessoal'!P75)*5.84%</f>
        <v>19.300347360000004</v>
      </c>
      <c r="W75" s="256">
        <f>('Encargos e Benefícios'!V74+'Gastos com Pessoal'!Q75)*5.84%</f>
        <v>8.5731246719999987</v>
      </c>
      <c r="X75" s="256"/>
      <c r="Y75" s="293">
        <v>46508</v>
      </c>
      <c r="Z75" s="294">
        <v>5.8400000000000001E-2</v>
      </c>
      <c r="AA75" s="256">
        <f>('Encargos e Benefícios'!W74+'Gastos com Pessoal'!O75+'Gastos com Pessoal'!U75)*5.84%</f>
        <v>34.620421015756804</v>
      </c>
      <c r="AB75" s="256">
        <f>('Encargos e Benefícios'!X74+'Encargos e Benefícios'!Y74+'Encargos e Benefícios'!Z74+'Encargos e Benefícios'!AA74+'Encargos e Benefícios'!AB74+'Gastos com Pessoal'!P75+'Gastos com Pessoal'!V75)*5.84%</f>
        <v>20.427487645824002</v>
      </c>
      <c r="AC75" s="256">
        <f>('Encargos e Benefícios'!V74+'Gastos com Pessoal'!Q75+'Gastos com Pessoal'!W75)*5.84%</f>
        <v>9.0737951528447987</v>
      </c>
      <c r="AD75" s="256"/>
      <c r="AE75" s="293">
        <v>46874</v>
      </c>
      <c r="AF75" s="294">
        <v>5.8400000000000001E-2</v>
      </c>
      <c r="AG75" s="256">
        <f>('Encargos e Benefícios'!W74+'Gastos com Pessoal'!O75+'Gastos com Pessoal'!U75+'Gastos com Pessoal'!AA75)*5.84%</f>
        <v>36.642253603077002</v>
      </c>
      <c r="AH75" s="256">
        <f>('Encargos e Benefícios'!X74+'Encargos e Benefícios'!Y74+'Encargos e Benefícios'!Z74+'Encargos e Benefícios'!AA74+'Encargos e Benefícios'!AB74+'Gastos com Pessoal'!P75+'Gastos com Pessoal'!V75+'Gastos com Pessoal'!AB75)*5.84%</f>
        <v>21.620452924340121</v>
      </c>
      <c r="AI75" s="256">
        <f>('Encargos e Benefícios'!V74+'Gastos com Pessoal'!Q75+'Gastos com Pessoal'!W75+'Gastos com Pessoal'!AC75)*5.84%</f>
        <v>9.6037047897709353</v>
      </c>
      <c r="AJ75" s="257"/>
      <c r="AK75" s="296">
        <f>'Encargos e Benefícios'!D74</f>
        <v>1737.89</v>
      </c>
      <c r="AL75" s="296">
        <f>IF('Encargos e Benefícios'!C74=0,0,'Encargos e Benefícios'!U74/'Encargos e Benefícios'!C74)</f>
        <v>1388.6706594444449</v>
      </c>
      <c r="AM75" s="296">
        <f>IF('Encargos e Benefícios'!C74=0,0,'Encargos e Benefícios'!AC74/'Encargos e Benefícios'!C74)</f>
        <v>980.15000000000009</v>
      </c>
      <c r="AN75" s="297">
        <f>IF('Encargos e Benefícios'!C74=0,0,'Encargos e Benefícios'!AD74/'Encargos e Benefícios'!C74)</f>
        <v>4106.7106594444449</v>
      </c>
      <c r="AO75" s="188">
        <v>1821.21</v>
      </c>
      <c r="AP75" s="298">
        <v>1641.97</v>
      </c>
      <c r="AQ75" s="298">
        <v>2000.45</v>
      </c>
      <c r="AR75" s="299" t="s">
        <v>106</v>
      </c>
      <c r="AS75" s="188"/>
    </row>
    <row r="76" spans="1:45">
      <c r="A76" s="286">
        <v>70</v>
      </c>
      <c r="B76" s="81" t="str">
        <f>'Encargos e Benefícios'!B75</f>
        <v>Auxiliar de Serviços Gerais</v>
      </c>
      <c r="C76" s="287">
        <f>'Encargos e Benefícios'!C75</f>
        <v>1</v>
      </c>
      <c r="D76" s="288">
        <v>30</v>
      </c>
      <c r="E76" s="300">
        <v>45658</v>
      </c>
      <c r="F76" s="301">
        <v>47058</v>
      </c>
      <c r="G76" s="293"/>
      <c r="H76" s="294"/>
      <c r="I76" s="256"/>
      <c r="J76" s="256"/>
      <c r="K76" s="256"/>
      <c r="L76" s="256"/>
      <c r="M76" s="293">
        <v>45778</v>
      </c>
      <c r="N76" s="294">
        <v>5.8400000000000001E-2</v>
      </c>
      <c r="O76" s="256">
        <f>'Encargos e Benefícios'!W75*5.84%</f>
        <v>30.905280000000001</v>
      </c>
      <c r="P76" s="256">
        <f>('Encargos e Benefícios'!X75+'Encargos e Benefícios'!Y75+'Encargos e Benefícios'!Z75+'Encargos e Benefícios'!AA75+'Encargos e Benefícios'!AB75)*5.84%</f>
        <v>18.235399999999998</v>
      </c>
      <c r="Q76" s="256">
        <f>'Encargos e Benefícios'!V75*5.84%</f>
        <v>8.1000800000000002</v>
      </c>
      <c r="R76" s="256"/>
      <c r="S76" s="293">
        <v>46143</v>
      </c>
      <c r="T76" s="294">
        <v>5.8400000000000001E-2</v>
      </c>
      <c r="U76" s="256">
        <f>('Encargos e Benefícios'!W75+'Gastos com Pessoal'!O76)*5.84%</f>
        <v>32.710148351999997</v>
      </c>
      <c r="V76" s="256">
        <f>('Encargos e Benefícios'!X75+'Encargos e Benefícios'!Y75+'Encargos e Benefícios'!Z75+'Encargos e Benefícios'!AA75+'Encargos e Benefícios'!AB75+'Gastos com Pessoal'!P76)*5.84%</f>
        <v>19.300347360000004</v>
      </c>
      <c r="W76" s="256">
        <f>('Encargos e Benefícios'!V75+'Gastos com Pessoal'!Q76)*5.84%</f>
        <v>8.5731246719999987</v>
      </c>
      <c r="X76" s="256"/>
      <c r="Y76" s="293">
        <v>46508</v>
      </c>
      <c r="Z76" s="294">
        <v>5.8400000000000001E-2</v>
      </c>
      <c r="AA76" s="256">
        <f>('Encargos e Benefícios'!W75+'Gastos com Pessoal'!O76+'Gastos com Pessoal'!U76)*5.84%</f>
        <v>34.620421015756804</v>
      </c>
      <c r="AB76" s="256">
        <f>('Encargos e Benefícios'!X75+'Encargos e Benefícios'!Y75+'Encargos e Benefícios'!Z75+'Encargos e Benefícios'!AA75+'Encargos e Benefícios'!AB75+'Gastos com Pessoal'!P76+'Gastos com Pessoal'!V76)*5.84%</f>
        <v>20.427487645824002</v>
      </c>
      <c r="AC76" s="256">
        <f>('Encargos e Benefícios'!V75+'Gastos com Pessoal'!Q76+'Gastos com Pessoal'!W76)*5.84%</f>
        <v>9.0737951528447987</v>
      </c>
      <c r="AD76" s="256"/>
      <c r="AE76" s="293">
        <v>46874</v>
      </c>
      <c r="AF76" s="294">
        <v>5.8400000000000001E-2</v>
      </c>
      <c r="AG76" s="256">
        <f>('Encargos e Benefícios'!W75+'Gastos com Pessoal'!O76+'Gastos com Pessoal'!U76+'Gastos com Pessoal'!AA76)*5.84%</f>
        <v>36.642253603077002</v>
      </c>
      <c r="AH76" s="256">
        <f>('Encargos e Benefícios'!X75+'Encargos e Benefícios'!Y75+'Encargos e Benefícios'!Z75+'Encargos e Benefícios'!AA75+'Encargos e Benefícios'!AB75+'Gastos com Pessoal'!P76+'Gastos com Pessoal'!V76+'Gastos com Pessoal'!AB76)*5.84%</f>
        <v>21.620452924340121</v>
      </c>
      <c r="AI76" s="256">
        <f>('Encargos e Benefícios'!V75+'Gastos com Pessoal'!Q76+'Gastos com Pessoal'!W76+'Gastos com Pessoal'!AC76)*5.84%</f>
        <v>9.6037047897709353</v>
      </c>
      <c r="AJ76" s="257"/>
      <c r="AK76" s="296">
        <f>'Encargos e Benefícios'!D75</f>
        <v>1465.88</v>
      </c>
      <c r="AL76" s="296">
        <f>IF('Encargos e Benefícios'!C75=0,0,'Encargos e Benefícios'!U75/'Encargos e Benefícios'!C75)</f>
        <v>1171.3195577777778</v>
      </c>
      <c r="AM76" s="296">
        <f>IF('Encargos e Benefícios'!C75=0,0,'Encargos e Benefícios'!AC75/'Encargos e Benefícios'!C75)</f>
        <v>980.15000000000009</v>
      </c>
      <c r="AN76" s="297">
        <f>IF('Encargos e Benefícios'!C75=0,0,'Encargos e Benefícios'!AD75/'Encargos e Benefícios'!C75)</f>
        <v>3617.349557777778</v>
      </c>
      <c r="AO76" s="188">
        <v>1481.02</v>
      </c>
      <c r="AP76" s="298">
        <v>1302</v>
      </c>
      <c r="AQ76" s="298">
        <v>1660.04</v>
      </c>
      <c r="AR76" s="299" t="s">
        <v>106</v>
      </c>
      <c r="AS76" s="188"/>
    </row>
    <row r="77" spans="1:45">
      <c r="A77" s="286">
        <v>71</v>
      </c>
      <c r="B77" s="81" t="str">
        <f>'Encargos e Benefícios'!B76</f>
        <v>Motorista</v>
      </c>
      <c r="C77" s="287">
        <f>'Encargos e Benefícios'!C76</f>
        <v>1</v>
      </c>
      <c r="D77" s="288">
        <v>40</v>
      </c>
      <c r="E77" s="300">
        <v>45658</v>
      </c>
      <c r="F77" s="301">
        <v>47058</v>
      </c>
      <c r="G77" s="293"/>
      <c r="H77" s="294"/>
      <c r="I77" s="256"/>
      <c r="J77" s="256"/>
      <c r="K77" s="256"/>
      <c r="L77" s="256"/>
      <c r="M77" s="293">
        <v>45778</v>
      </c>
      <c r="N77" s="294">
        <v>5.8400000000000001E-2</v>
      </c>
      <c r="O77" s="256">
        <f>'Encargos e Benefícios'!W76*5.84%</f>
        <v>30.905280000000001</v>
      </c>
      <c r="P77" s="256">
        <f>('Encargos e Benefícios'!X76+'Encargos e Benefícios'!Y76+'Encargos e Benefícios'!Z76+'Encargos e Benefícios'!AA76+'Encargos e Benefícios'!AB76)*5.84%</f>
        <v>18.235399999999998</v>
      </c>
      <c r="Q77" s="256">
        <f>'Encargos e Benefícios'!V76*5.84%</f>
        <v>8.1000800000000002</v>
      </c>
      <c r="R77" s="256"/>
      <c r="S77" s="293">
        <v>46143</v>
      </c>
      <c r="T77" s="294">
        <v>5.8400000000000001E-2</v>
      </c>
      <c r="U77" s="256">
        <f>('Encargos e Benefícios'!W76+'Gastos com Pessoal'!O77)*5.84%</f>
        <v>32.710148351999997</v>
      </c>
      <c r="V77" s="256">
        <f>('Encargos e Benefícios'!X76+'Encargos e Benefícios'!Y76+'Encargos e Benefícios'!Z76+'Encargos e Benefícios'!AA76+'Encargos e Benefícios'!AB76+'Gastos com Pessoal'!P77)*5.84%</f>
        <v>19.300347360000004</v>
      </c>
      <c r="W77" s="256">
        <f>('Encargos e Benefícios'!V76+'Gastos com Pessoal'!Q77)*5.84%</f>
        <v>8.5731246719999987</v>
      </c>
      <c r="X77" s="256"/>
      <c r="Y77" s="293">
        <v>46508</v>
      </c>
      <c r="Z77" s="294">
        <v>5.8400000000000001E-2</v>
      </c>
      <c r="AA77" s="256">
        <f>('Encargos e Benefícios'!W76+'Gastos com Pessoal'!O77+'Gastos com Pessoal'!U77)*5.84%</f>
        <v>34.620421015756804</v>
      </c>
      <c r="AB77" s="256">
        <f>('Encargos e Benefícios'!X76+'Encargos e Benefícios'!Y76+'Encargos e Benefícios'!Z76+'Encargos e Benefícios'!AA76+'Encargos e Benefícios'!AB76+'Gastos com Pessoal'!P77+'Gastos com Pessoal'!V77)*5.84%</f>
        <v>20.427487645824002</v>
      </c>
      <c r="AC77" s="256">
        <f>('Encargos e Benefícios'!V76+'Gastos com Pessoal'!Q77+'Gastos com Pessoal'!W77)*5.84%</f>
        <v>9.0737951528447987</v>
      </c>
      <c r="AD77" s="256"/>
      <c r="AE77" s="293">
        <v>46874</v>
      </c>
      <c r="AF77" s="294">
        <v>5.8400000000000001E-2</v>
      </c>
      <c r="AG77" s="256">
        <f>('Encargos e Benefícios'!W76+'Gastos com Pessoal'!O77+'Gastos com Pessoal'!U77+'Gastos com Pessoal'!AA77)*5.84%</f>
        <v>36.642253603077002</v>
      </c>
      <c r="AH77" s="256">
        <f>('Encargos e Benefícios'!X76+'Encargos e Benefícios'!Y76+'Encargos e Benefícios'!Z76+'Encargos e Benefícios'!AA76+'Encargos e Benefícios'!AB76+'Gastos com Pessoal'!P77+'Gastos com Pessoal'!V77+'Gastos com Pessoal'!AB77)*5.84%</f>
        <v>21.620452924340121</v>
      </c>
      <c r="AI77" s="256">
        <f>('Encargos e Benefícios'!V76+'Gastos com Pessoal'!Q77+'Gastos com Pessoal'!W77+'Gastos com Pessoal'!AC77)*5.84%</f>
        <v>9.6037047897709353</v>
      </c>
      <c r="AJ77" s="257"/>
      <c r="AK77" s="296">
        <f>'Encargos e Benefícios'!D76</f>
        <v>1537.21</v>
      </c>
      <c r="AL77" s="296">
        <f>IF('Encargos e Benefícios'!C76=0,0,'Encargos e Benefícios'!U76/'Encargos e Benefícios'!C76)</f>
        <v>1228.3161905555557</v>
      </c>
      <c r="AM77" s="296">
        <f>IF('Encargos e Benefícios'!C76=0,0,'Encargos e Benefícios'!AC76/'Encargos e Benefícios'!C76)</f>
        <v>980.15000000000009</v>
      </c>
      <c r="AN77" s="297">
        <f>IF('Encargos e Benefícios'!C76=0,0,'Encargos e Benefícios'!AD76/'Encargos e Benefícios'!C76)</f>
        <v>3745.6761905555559</v>
      </c>
      <c r="AO77" s="188">
        <v>1826.28</v>
      </c>
      <c r="AP77" s="298">
        <v>1452.39</v>
      </c>
      <c r="AQ77" s="298">
        <v>2200.17</v>
      </c>
      <c r="AR77" s="299" t="s">
        <v>106</v>
      </c>
      <c r="AS77" s="188"/>
    </row>
    <row r="78" spans="1:45">
      <c r="A78" s="286">
        <v>72</v>
      </c>
      <c r="B78" s="81" t="str">
        <f>'Encargos e Benefícios'!B77</f>
        <v>Socioeducador - DC</v>
      </c>
      <c r="C78" s="287">
        <f>'Encargos e Benefícios'!C77</f>
        <v>2</v>
      </c>
      <c r="D78" s="288" t="s">
        <v>496</v>
      </c>
      <c r="E78" s="300">
        <v>45658</v>
      </c>
      <c r="F78" s="301">
        <v>47058</v>
      </c>
      <c r="G78" s="293"/>
      <c r="H78" s="294"/>
      <c r="I78" s="256"/>
      <c r="J78" s="256"/>
      <c r="K78" s="256"/>
      <c r="L78" s="256"/>
      <c r="M78" s="293">
        <v>45778</v>
      </c>
      <c r="N78" s="294">
        <v>5.8400000000000001E-2</v>
      </c>
      <c r="O78" s="256">
        <f>'Encargos e Benefícios'!W77*5.84%</f>
        <v>61.810560000000002</v>
      </c>
      <c r="P78" s="256">
        <f>('Encargos e Benefícios'!X77+'Encargos e Benefícios'!Y77+'Encargos e Benefícios'!Z77+'Encargos e Benefícios'!AA77+'Encargos e Benefícios'!AB77)*5.84%</f>
        <v>36.470799999999997</v>
      </c>
      <c r="Q78" s="256">
        <f>'Encargos e Benefícios'!V77*5.84%</f>
        <v>11.066800000000001</v>
      </c>
      <c r="R78" s="256"/>
      <c r="S78" s="293">
        <v>46143</v>
      </c>
      <c r="T78" s="294">
        <v>5.8400000000000001E-2</v>
      </c>
      <c r="U78" s="256">
        <f>('Encargos e Benefícios'!W77+'Gastos com Pessoal'!O78)*5.84%</f>
        <v>65.420296703999995</v>
      </c>
      <c r="V78" s="256">
        <f>('Encargos e Benefícios'!X77+'Encargos e Benefícios'!Y77+'Encargos e Benefícios'!Z77+'Encargos e Benefícios'!AA77+'Encargos e Benefícios'!AB77+'Gastos com Pessoal'!P78)*5.84%</f>
        <v>38.600694720000007</v>
      </c>
      <c r="W78" s="256">
        <f>('Encargos e Benefícios'!V77+'Gastos com Pessoal'!Q78)*5.84%</f>
        <v>11.713101119999999</v>
      </c>
      <c r="X78" s="256"/>
      <c r="Y78" s="293">
        <v>46508</v>
      </c>
      <c r="Z78" s="294">
        <v>5.8400000000000001E-2</v>
      </c>
      <c r="AA78" s="256">
        <f>('Encargos e Benefícios'!W77+'Gastos com Pessoal'!O78+'Gastos com Pessoal'!U78)*5.84%</f>
        <v>69.240842031513608</v>
      </c>
      <c r="AB78" s="256">
        <f>('Encargos e Benefícios'!X77+'Encargos e Benefícios'!Y77+'Encargos e Benefícios'!Z77+'Encargos e Benefícios'!AA77+'Encargos e Benefícios'!AB77+'Gastos com Pessoal'!P78+'Gastos com Pessoal'!V78)*5.84%</f>
        <v>40.854975291648003</v>
      </c>
      <c r="AC78" s="256">
        <f>('Encargos e Benefícios'!V77+'Gastos com Pessoal'!Q78+'Gastos com Pessoal'!W78)*5.84%</f>
        <v>12.397146225408001</v>
      </c>
      <c r="AD78" s="256"/>
      <c r="AE78" s="293">
        <v>46874</v>
      </c>
      <c r="AF78" s="294">
        <v>5.8400000000000001E-2</v>
      </c>
      <c r="AG78" s="256">
        <f>('Encargos e Benefícios'!W77+'Gastos com Pessoal'!O78+'Gastos com Pessoal'!U78+'Gastos com Pessoal'!AA78)*5.84%</f>
        <v>73.284507206154004</v>
      </c>
      <c r="AH78" s="256">
        <f>('Encargos e Benefícios'!X77+'Encargos e Benefícios'!Y77+'Encargos e Benefícios'!Z77+'Encargos e Benefícios'!AA77+'Encargos e Benefícios'!AB77+'Gastos com Pessoal'!P78+'Gastos com Pessoal'!V78+'Gastos com Pessoal'!AB78)*5.84%</f>
        <v>43.240905848680242</v>
      </c>
      <c r="AI78" s="256">
        <f>('Encargos e Benefícios'!V77+'Gastos com Pessoal'!Q78+'Gastos com Pessoal'!W78+'Gastos com Pessoal'!AC78)*5.84%</f>
        <v>13.121139564971827</v>
      </c>
      <c r="AJ78" s="257"/>
      <c r="AK78" s="296">
        <f>'Encargos e Benefícios'!D77</f>
        <v>2010.96</v>
      </c>
      <c r="AL78" s="296">
        <f>IF('Encargos e Benefícios'!C77=0,0,'Encargos e Benefícios'!U77/'Encargos e Benefícios'!C77)</f>
        <v>2942.4053904000002</v>
      </c>
      <c r="AM78" s="296">
        <f>IF('Encargos e Benefícios'!C77=0,0,'Encargos e Benefícios'!AC77/'Encargos e Benefícios'!C77)</f>
        <v>936.2</v>
      </c>
      <c r="AN78" s="297">
        <f>IF('Encargos e Benefícios'!C77=0,0,'Encargos e Benefícios'!AD77/'Encargos e Benefícios'!C77)</f>
        <v>5889.5653904000001</v>
      </c>
      <c r="AO78" s="188">
        <v>2752.21</v>
      </c>
      <c r="AP78" s="298">
        <v>1764.5</v>
      </c>
      <c r="AQ78" s="298">
        <v>3739.92</v>
      </c>
      <c r="AR78" s="299" t="s">
        <v>106</v>
      </c>
      <c r="AS78" s="188"/>
    </row>
    <row r="79" spans="1:45">
      <c r="A79" s="286">
        <v>73</v>
      </c>
      <c r="B79" s="81" t="str">
        <f>'Encargos e Benefícios'!B78</f>
        <v>Socioeducador - D</v>
      </c>
      <c r="C79" s="287">
        <f>'Encargos e Benefícios'!C78</f>
        <v>12</v>
      </c>
      <c r="D79" s="288" t="s">
        <v>496</v>
      </c>
      <c r="E79" s="300">
        <v>45658</v>
      </c>
      <c r="F79" s="301">
        <v>47058</v>
      </c>
      <c r="G79" s="293"/>
      <c r="H79" s="294"/>
      <c r="I79" s="256"/>
      <c r="J79" s="256"/>
      <c r="K79" s="256"/>
      <c r="L79" s="256"/>
      <c r="M79" s="293">
        <v>45778</v>
      </c>
      <c r="N79" s="294">
        <v>5.8400000000000001E-2</v>
      </c>
      <c r="O79" s="256">
        <f>'Encargos e Benefícios'!W78*5.84%</f>
        <v>370.86336000000006</v>
      </c>
      <c r="P79" s="256">
        <f>('Encargos e Benefícios'!X78+'Encargos e Benefícios'!Y78+'Encargos e Benefícios'!Z78+'Encargos e Benefícios'!AA78+'Encargos e Benefícios'!AB78)*5.84%</f>
        <v>218.82480000000001</v>
      </c>
      <c r="Q79" s="256">
        <f>'Encargos e Benefícios'!V78*5.84%</f>
        <v>66.400800000000004</v>
      </c>
      <c r="R79" s="256"/>
      <c r="S79" s="293">
        <v>46143</v>
      </c>
      <c r="T79" s="294">
        <v>5.8400000000000001E-2</v>
      </c>
      <c r="U79" s="256">
        <f>('Encargos e Benefícios'!W78+'Gastos com Pessoal'!O79)*5.84%</f>
        <v>392.52178022400005</v>
      </c>
      <c r="V79" s="256">
        <f>('Encargos e Benefícios'!X78+'Encargos e Benefícios'!Y78+'Encargos e Benefícios'!Z78+'Encargos e Benefícios'!AA78+'Encargos e Benefícios'!AB78+'Gastos com Pessoal'!P79)*5.84%</f>
        <v>231.60416831999999</v>
      </c>
      <c r="W79" s="256">
        <f>('Encargos e Benefícios'!V78+'Gastos com Pessoal'!Q79)*5.84%</f>
        <v>70.278606719999999</v>
      </c>
      <c r="X79" s="256"/>
      <c r="Y79" s="293">
        <v>46508</v>
      </c>
      <c r="Z79" s="294">
        <v>5.8400000000000001E-2</v>
      </c>
      <c r="AA79" s="256">
        <f>('Encargos e Benefícios'!W78+'Gastos com Pessoal'!O79+'Gastos com Pessoal'!U79)*5.84%</f>
        <v>415.44505218908165</v>
      </c>
      <c r="AB79" s="256">
        <f>('Encargos e Benefícios'!X78+'Encargos e Benefícios'!Y78+'Encargos e Benefícios'!Z78+'Encargos e Benefícios'!AA78+'Encargos e Benefícios'!AB78+'Gastos com Pessoal'!P79+'Gastos com Pessoal'!V79)*5.84%</f>
        <v>245.12985174988796</v>
      </c>
      <c r="AC79" s="256">
        <f>('Encargos e Benefícios'!V78+'Gastos com Pessoal'!Q79+'Gastos com Pessoal'!W79)*5.84%</f>
        <v>74.382877352447991</v>
      </c>
      <c r="AD79" s="256"/>
      <c r="AE79" s="293">
        <v>46874</v>
      </c>
      <c r="AF79" s="294">
        <v>5.8400000000000001E-2</v>
      </c>
      <c r="AG79" s="256">
        <f>('Encargos e Benefícios'!W78+'Gastos com Pessoal'!O79+'Gastos com Pessoal'!U79+'Gastos com Pessoal'!AA79)*5.84%</f>
        <v>439.70704323692399</v>
      </c>
      <c r="AH79" s="256">
        <f>('Encargos e Benefícios'!X78+'Encargos e Benefícios'!Y78+'Encargos e Benefícios'!Z78+'Encargos e Benefícios'!AA78+'Encargos e Benefícios'!AB78+'Gastos com Pessoal'!P79+'Gastos com Pessoal'!V79+'Gastos com Pessoal'!AB79)*5.84%</f>
        <v>259.44543509208142</v>
      </c>
      <c r="AI79" s="256">
        <f>('Encargos e Benefícios'!V78+'Gastos com Pessoal'!Q79+'Gastos com Pessoal'!W79+'Gastos com Pessoal'!AC79)*5.84%</f>
        <v>78.726837389830962</v>
      </c>
      <c r="AJ79" s="257"/>
      <c r="AK79" s="296">
        <f>'Encargos e Benefícios'!D78</f>
        <v>2010.96</v>
      </c>
      <c r="AL79" s="296">
        <f>IF('Encargos e Benefícios'!C78=0,0,'Encargos e Benefícios'!U78/'Encargos e Benefícios'!C78)</f>
        <v>2591.2415003999999</v>
      </c>
      <c r="AM79" s="296">
        <f>IF('Encargos e Benefícios'!C78=0,0,'Encargos e Benefícios'!AC78/'Encargos e Benefícios'!C78)</f>
        <v>936.19999999999993</v>
      </c>
      <c r="AN79" s="297">
        <f>IF('Encargos e Benefícios'!C78=0,0,'Encargos e Benefícios'!AD78/'Encargos e Benefícios'!C78)</f>
        <v>5538.4015003999993</v>
      </c>
      <c r="AO79" s="188">
        <v>2752.21</v>
      </c>
      <c r="AP79" s="298">
        <v>1764.5</v>
      </c>
      <c r="AQ79" s="298">
        <v>3739.92</v>
      </c>
      <c r="AR79" s="299" t="s">
        <v>106</v>
      </c>
      <c r="AS79" s="188"/>
    </row>
    <row r="80" spans="1:45">
      <c r="A80" s="286">
        <v>74</v>
      </c>
      <c r="B80" s="81" t="str">
        <f>'Encargos e Benefícios'!B79</f>
        <v>Socioeducador - NC</v>
      </c>
      <c r="C80" s="287">
        <f>'Encargos e Benefícios'!C79</f>
        <v>2</v>
      </c>
      <c r="D80" s="288" t="s">
        <v>496</v>
      </c>
      <c r="E80" s="300">
        <v>45658</v>
      </c>
      <c r="F80" s="301">
        <v>47058</v>
      </c>
      <c r="G80" s="293"/>
      <c r="H80" s="294"/>
      <c r="I80" s="256"/>
      <c r="J80" s="256"/>
      <c r="K80" s="256"/>
      <c r="L80" s="256"/>
      <c r="M80" s="293">
        <v>45778</v>
      </c>
      <c r="N80" s="294">
        <v>5.8400000000000001E-2</v>
      </c>
      <c r="O80" s="256">
        <f>'Encargos e Benefícios'!W79*5.84%</f>
        <v>61.810560000000002</v>
      </c>
      <c r="P80" s="256">
        <f>('Encargos e Benefícios'!X79+'Encargos e Benefícios'!Y79+'Encargos e Benefícios'!Z79+'Encargos e Benefícios'!AA79+'Encargos e Benefícios'!AB79)*5.84%</f>
        <v>36.470799999999997</v>
      </c>
      <c r="Q80" s="256">
        <f>'Encargos e Benefícios'!V79*5.84%</f>
        <v>11.066800000000001</v>
      </c>
      <c r="R80" s="256"/>
      <c r="S80" s="293">
        <v>46143</v>
      </c>
      <c r="T80" s="294">
        <v>5.8400000000000001E-2</v>
      </c>
      <c r="U80" s="256">
        <f>('Encargos e Benefícios'!W79+'Gastos com Pessoal'!O80)*5.84%</f>
        <v>65.420296703999995</v>
      </c>
      <c r="V80" s="256">
        <f>('Encargos e Benefícios'!X79+'Encargos e Benefícios'!Y79+'Encargos e Benefícios'!Z79+'Encargos e Benefícios'!AA79+'Encargos e Benefícios'!AB79+'Gastos com Pessoal'!P80)*5.84%</f>
        <v>38.600694720000007</v>
      </c>
      <c r="W80" s="256">
        <f>('Encargos e Benefícios'!V79+'Gastos com Pessoal'!Q80)*5.84%</f>
        <v>11.713101119999999</v>
      </c>
      <c r="X80" s="256"/>
      <c r="Y80" s="293">
        <v>46508</v>
      </c>
      <c r="Z80" s="294">
        <v>5.8400000000000001E-2</v>
      </c>
      <c r="AA80" s="256">
        <f>('Encargos e Benefícios'!W79+'Gastos com Pessoal'!O80+'Gastos com Pessoal'!U80)*5.84%</f>
        <v>69.240842031513608</v>
      </c>
      <c r="AB80" s="256">
        <f>('Encargos e Benefícios'!X79+'Encargos e Benefícios'!Y79+'Encargos e Benefícios'!Z79+'Encargos e Benefícios'!AA79+'Encargos e Benefícios'!AB79+'Gastos com Pessoal'!P80+'Gastos com Pessoal'!V80)*5.84%</f>
        <v>40.854975291648003</v>
      </c>
      <c r="AC80" s="256">
        <f>('Encargos e Benefícios'!V79+'Gastos com Pessoal'!Q80+'Gastos com Pessoal'!W80)*5.84%</f>
        <v>12.397146225408001</v>
      </c>
      <c r="AD80" s="256"/>
      <c r="AE80" s="293">
        <v>46874</v>
      </c>
      <c r="AF80" s="294">
        <v>5.8400000000000001E-2</v>
      </c>
      <c r="AG80" s="256">
        <f>('Encargos e Benefícios'!W79+'Gastos com Pessoal'!O80+'Gastos com Pessoal'!U80+'Gastos com Pessoal'!AA80)*5.84%</f>
        <v>73.284507206154004</v>
      </c>
      <c r="AH80" s="256">
        <f>('Encargos e Benefícios'!X79+'Encargos e Benefícios'!Y79+'Encargos e Benefícios'!Z79+'Encargos e Benefícios'!AA79+'Encargos e Benefícios'!AB79+'Gastos com Pessoal'!P80+'Gastos com Pessoal'!V80+'Gastos com Pessoal'!AB80)*5.84%</f>
        <v>43.240905848680242</v>
      </c>
      <c r="AI80" s="256">
        <f>('Encargos e Benefícios'!V79+'Gastos com Pessoal'!Q80+'Gastos com Pessoal'!W80+'Gastos com Pessoal'!AC80)*5.84%</f>
        <v>13.121139564971827</v>
      </c>
      <c r="AJ80" s="257"/>
      <c r="AK80" s="296">
        <f>'Encargos e Benefícios'!D79</f>
        <v>2010.96</v>
      </c>
      <c r="AL80" s="296">
        <f>IF('Encargos e Benefícios'!C79=0,0,'Encargos e Benefícios'!U79/'Encargos e Benefícios'!C79)</f>
        <v>3553.5688062933345</v>
      </c>
      <c r="AM80" s="296">
        <f>IF('Encargos e Benefícios'!C79=0,0,'Encargos e Benefícios'!AC79/'Encargos e Benefícios'!C79)</f>
        <v>936.2</v>
      </c>
      <c r="AN80" s="297">
        <f>IF('Encargos e Benefícios'!C79=0,0,'Encargos e Benefícios'!AD79/'Encargos e Benefícios'!C79)</f>
        <v>6500.7288062933339</v>
      </c>
      <c r="AO80" s="188">
        <v>2752.21</v>
      </c>
      <c r="AP80" s="298">
        <v>1764.5</v>
      </c>
      <c r="AQ80" s="298">
        <v>3739.92</v>
      </c>
      <c r="AR80" s="299" t="s">
        <v>106</v>
      </c>
      <c r="AS80" s="188"/>
    </row>
    <row r="81" spans="1:45" ht="13" thickBot="1">
      <c r="A81" s="286">
        <v>75</v>
      </c>
      <c r="B81" s="81" t="str">
        <f>'Encargos e Benefícios'!B80</f>
        <v>Socioeducador - N</v>
      </c>
      <c r="C81" s="287">
        <f>'Encargos e Benefícios'!C80</f>
        <v>6</v>
      </c>
      <c r="D81" s="288" t="s">
        <v>496</v>
      </c>
      <c r="E81" s="300">
        <v>45658</v>
      </c>
      <c r="F81" s="301">
        <v>47058</v>
      </c>
      <c r="G81" s="293"/>
      <c r="H81" s="294"/>
      <c r="I81" s="256"/>
      <c r="J81" s="256"/>
      <c r="K81" s="256"/>
      <c r="L81" s="256"/>
      <c r="M81" s="293">
        <v>45778</v>
      </c>
      <c r="N81" s="294">
        <v>5.8400000000000001E-2</v>
      </c>
      <c r="O81" s="256">
        <f>'Encargos e Benefícios'!W80*5.84%</f>
        <v>185.43168000000003</v>
      </c>
      <c r="P81" s="256">
        <f>('Encargos e Benefícios'!X80+'Encargos e Benefícios'!Y80+'Encargos e Benefícios'!Z80+'Encargos e Benefícios'!AA80+'Encargos e Benefícios'!AB80)*5.84%</f>
        <v>109.41240000000001</v>
      </c>
      <c r="Q81" s="256">
        <f>'Encargos e Benefícios'!V80*5.84%</f>
        <v>33.200400000000002</v>
      </c>
      <c r="R81" s="256"/>
      <c r="S81" s="293">
        <v>46143</v>
      </c>
      <c r="T81" s="294">
        <v>5.8400000000000001E-2</v>
      </c>
      <c r="U81" s="256">
        <f>('Encargos e Benefícios'!W80+'Gastos com Pessoal'!O81)*5.84%</f>
        <v>196.26089011200003</v>
      </c>
      <c r="V81" s="256">
        <f>('Encargos e Benefícios'!X80+'Encargos e Benefícios'!Y80+'Encargos e Benefícios'!Z80+'Encargos e Benefícios'!AA80+'Encargos e Benefícios'!AB80+'Gastos com Pessoal'!P81)*5.84%</f>
        <v>115.80208415999999</v>
      </c>
      <c r="W81" s="256">
        <f>('Encargos e Benefícios'!V80+'Gastos com Pessoal'!Q81)*5.84%</f>
        <v>35.13930336</v>
      </c>
      <c r="X81" s="256"/>
      <c r="Y81" s="293">
        <v>46508</v>
      </c>
      <c r="Z81" s="294">
        <v>5.8400000000000001E-2</v>
      </c>
      <c r="AA81" s="256">
        <f>('Encargos e Benefícios'!W80+'Gastos com Pessoal'!O81+'Gastos com Pessoal'!U81)*5.84%</f>
        <v>207.72252609454083</v>
      </c>
      <c r="AB81" s="256">
        <f>('Encargos e Benefícios'!X80+'Encargos e Benefícios'!Y80+'Encargos e Benefícios'!Z80+'Encargos e Benefícios'!AA80+'Encargos e Benefícios'!AB80+'Gastos com Pessoal'!P81+'Gastos com Pessoal'!V81)*5.84%</f>
        <v>122.56492587494398</v>
      </c>
      <c r="AC81" s="256">
        <f>('Encargos e Benefícios'!V80+'Gastos com Pessoal'!Q81+'Gastos com Pessoal'!W81)*5.84%</f>
        <v>37.191438676223996</v>
      </c>
      <c r="AD81" s="256"/>
      <c r="AE81" s="293">
        <v>46874</v>
      </c>
      <c r="AF81" s="294">
        <v>5.8400000000000001E-2</v>
      </c>
      <c r="AG81" s="256">
        <f>('Encargos e Benefícios'!W80+'Gastos com Pessoal'!O81+'Gastos com Pessoal'!U81+'Gastos com Pessoal'!AA81)*5.84%</f>
        <v>219.853521618462</v>
      </c>
      <c r="AH81" s="256">
        <f>('Encargos e Benefícios'!X80+'Encargos e Benefícios'!Y80+'Encargos e Benefícios'!Z80+'Encargos e Benefícios'!AA80+'Encargos e Benefícios'!AB80+'Gastos com Pessoal'!P81+'Gastos com Pessoal'!V81+'Gastos com Pessoal'!AB81)*5.84%</f>
        <v>129.72271754604071</v>
      </c>
      <c r="AI81" s="256">
        <f>('Encargos e Benefícios'!V80+'Gastos com Pessoal'!Q81+'Gastos com Pessoal'!W81+'Gastos com Pessoal'!AC81)*5.84%</f>
        <v>39.363418694915481</v>
      </c>
      <c r="AJ81" s="257"/>
      <c r="AK81" s="296">
        <f>'Encargos e Benefícios'!D80</f>
        <v>2010.96</v>
      </c>
      <c r="AL81" s="296">
        <f>IF('Encargos e Benefícios'!C80=0,0,'Encargos e Benefícios'!U80/'Encargos e Benefícios'!C80)</f>
        <v>3202.4049162933329</v>
      </c>
      <c r="AM81" s="296">
        <f>IF('Encargos e Benefícios'!C80=0,0,'Encargos e Benefícios'!AC80/'Encargos e Benefícios'!C80)</f>
        <v>936.19999999999993</v>
      </c>
      <c r="AN81" s="297">
        <f>IF('Encargos e Benefícios'!C80=0,0,'Encargos e Benefícios'!AD80/'Encargos e Benefícios'!C80)</f>
        <v>6149.5649162933323</v>
      </c>
      <c r="AO81" s="188">
        <v>2752.21</v>
      </c>
      <c r="AP81" s="298">
        <v>1764.5</v>
      </c>
      <c r="AQ81" s="298">
        <v>3739.92</v>
      </c>
      <c r="AR81" s="299" t="s">
        <v>106</v>
      </c>
      <c r="AS81" s="188"/>
    </row>
    <row r="82" spans="1:45">
      <c r="A82" s="286">
        <v>76</v>
      </c>
      <c r="B82" s="81" t="str">
        <f>'Encargos e Benefícios'!B81</f>
        <v>Diretor Geral de Unidade Socioeducativa</v>
      </c>
      <c r="C82" s="287">
        <f>'Encargos e Benefícios'!C81</f>
        <v>1</v>
      </c>
      <c r="D82" s="288">
        <v>40</v>
      </c>
      <c r="E82" s="289">
        <v>45658</v>
      </c>
      <c r="F82" s="290">
        <v>47058</v>
      </c>
      <c r="G82" s="293"/>
      <c r="H82" s="294"/>
      <c r="I82" s="256"/>
      <c r="J82" s="256"/>
      <c r="K82" s="256"/>
      <c r="L82" s="256"/>
      <c r="M82" s="293">
        <v>45778</v>
      </c>
      <c r="N82" s="294">
        <v>5.8400000000000001E-2</v>
      </c>
      <c r="O82" s="256">
        <f>'Encargos e Benefícios'!W81*5.84%</f>
        <v>30.905280000000001</v>
      </c>
      <c r="P82" s="256">
        <f>('Encargos e Benefícios'!X81+'Encargos e Benefícios'!Y81+'Encargos e Benefícios'!Z81+'Encargos e Benefícios'!AA81+'Encargos e Benefícios'!AB81)*5.84%</f>
        <v>18.235399999999998</v>
      </c>
      <c r="Q82" s="256">
        <f>'Encargos e Benefícios'!V81*5.84%</f>
        <v>0</v>
      </c>
      <c r="R82" s="256"/>
      <c r="S82" s="293">
        <v>46143</v>
      </c>
      <c r="T82" s="294">
        <v>5.8400000000000001E-2</v>
      </c>
      <c r="U82" s="256">
        <f>('Encargos e Benefícios'!W81+'Gastos com Pessoal'!O82)*5.84%</f>
        <v>32.710148351999997</v>
      </c>
      <c r="V82" s="256">
        <f>('Encargos e Benefícios'!X81+'Encargos e Benefícios'!Y81+'Encargos e Benefícios'!Z81+'Encargos e Benefícios'!AA81+'Encargos e Benefícios'!AB81+'Gastos com Pessoal'!P82)*5.84%</f>
        <v>19.300347360000004</v>
      </c>
      <c r="W82" s="256">
        <f>('Encargos e Benefícios'!V81+'Gastos com Pessoal'!Q82)*5.84%</f>
        <v>0</v>
      </c>
      <c r="X82" s="256"/>
      <c r="Y82" s="293">
        <v>46508</v>
      </c>
      <c r="Z82" s="294">
        <v>5.8400000000000001E-2</v>
      </c>
      <c r="AA82" s="256">
        <f>('Encargos e Benefícios'!W81+'Gastos com Pessoal'!O82+'Gastos com Pessoal'!U82)*5.84%</f>
        <v>34.620421015756804</v>
      </c>
      <c r="AB82" s="256">
        <f>('Encargos e Benefícios'!X81+'Encargos e Benefícios'!Y81+'Encargos e Benefícios'!Z81+'Encargos e Benefícios'!AA81+'Encargos e Benefícios'!AB81+'Gastos com Pessoal'!P82+'Gastos com Pessoal'!V82)*5.84%</f>
        <v>20.427487645824002</v>
      </c>
      <c r="AC82" s="256">
        <f>('Encargos e Benefícios'!V81+'Gastos com Pessoal'!Q82+'Gastos com Pessoal'!W82)*5.84%</f>
        <v>0</v>
      </c>
      <c r="AD82" s="256"/>
      <c r="AE82" s="293">
        <v>46874</v>
      </c>
      <c r="AF82" s="294">
        <v>5.8400000000000001E-2</v>
      </c>
      <c r="AG82" s="256">
        <f>('Encargos e Benefícios'!W81+'Gastos com Pessoal'!O82+'Gastos com Pessoal'!U82+'Gastos com Pessoal'!AA82)*5.84%</f>
        <v>36.642253603077002</v>
      </c>
      <c r="AH82" s="256">
        <f>('Encargos e Benefícios'!X81+'Encargos e Benefícios'!Y81+'Encargos e Benefícios'!Z81+'Encargos e Benefícios'!AA81+'Encargos e Benefícios'!AB81+'Gastos com Pessoal'!P82+'Gastos com Pessoal'!V82+'Gastos com Pessoal'!AB82)*5.84%</f>
        <v>21.620452924340121</v>
      </c>
      <c r="AI82" s="256">
        <f>('Encargos e Benefícios'!V81+'Gastos com Pessoal'!Q82+'Gastos com Pessoal'!W82+'Gastos com Pessoal'!AC82)*5.84%</f>
        <v>0</v>
      </c>
      <c r="AJ82" s="257"/>
      <c r="AK82" s="296">
        <f>'Encargos e Benefícios'!D81</f>
        <v>6879.6</v>
      </c>
      <c r="AL82" s="296">
        <f>IF('Encargos e Benefícios'!C81=0,0,'Encargos e Benefícios'!U81/'Encargos e Benefícios'!C81)</f>
        <v>5400.8682000000008</v>
      </c>
      <c r="AM82" s="296">
        <f>IF('Encargos e Benefícios'!C81=0,0,'Encargos e Benefícios'!AC81/'Encargos e Benefícios'!C81)</f>
        <v>841.45</v>
      </c>
      <c r="AN82" s="297">
        <f>IF('Encargos e Benefícios'!C81=0,0,'Encargos e Benefícios'!AD81/'Encargos e Benefícios'!C81)</f>
        <v>13121.918200000002</v>
      </c>
      <c r="AO82" s="188">
        <v>6052.24</v>
      </c>
      <c r="AP82" s="298">
        <v>4236.6899999999996</v>
      </c>
      <c r="AQ82" s="298">
        <v>7864.78</v>
      </c>
      <c r="AR82" s="299" t="s">
        <v>107</v>
      </c>
      <c r="AS82" s="188"/>
    </row>
    <row r="83" spans="1:45">
      <c r="A83" s="286">
        <v>77</v>
      </c>
      <c r="B83" s="81" t="str">
        <f>'Encargos e Benefícios'!B82</f>
        <v>Subdiretor de Segurança</v>
      </c>
      <c r="C83" s="287">
        <f>'Encargos e Benefícios'!C82</f>
        <v>1</v>
      </c>
      <c r="D83" s="288">
        <v>40</v>
      </c>
      <c r="E83" s="300">
        <v>45658</v>
      </c>
      <c r="F83" s="301">
        <v>47058</v>
      </c>
      <c r="G83" s="293"/>
      <c r="H83" s="294"/>
      <c r="I83" s="256"/>
      <c r="J83" s="256"/>
      <c r="K83" s="256"/>
      <c r="L83" s="256"/>
      <c r="M83" s="293">
        <v>45778</v>
      </c>
      <c r="N83" s="294">
        <v>5.8400000000000001E-2</v>
      </c>
      <c r="O83" s="256">
        <f>'Encargos e Benefícios'!W82*5.84%</f>
        <v>30.905280000000001</v>
      </c>
      <c r="P83" s="256">
        <f>('Encargos e Benefícios'!X82+'Encargos e Benefícios'!Y82+'Encargos e Benefícios'!Z82+'Encargos e Benefícios'!AA82+'Encargos e Benefícios'!AB82)*5.84%</f>
        <v>18.235399999999998</v>
      </c>
      <c r="Q83" s="256">
        <f>'Encargos e Benefícios'!V82*5.84%</f>
        <v>0</v>
      </c>
      <c r="R83" s="256"/>
      <c r="S83" s="293">
        <v>46143</v>
      </c>
      <c r="T83" s="294">
        <v>5.8400000000000001E-2</v>
      </c>
      <c r="U83" s="256">
        <f>('Encargos e Benefícios'!W82+'Gastos com Pessoal'!O83)*5.84%</f>
        <v>32.710148351999997</v>
      </c>
      <c r="V83" s="256">
        <f>('Encargos e Benefícios'!X82+'Encargos e Benefícios'!Y82+'Encargos e Benefícios'!Z82+'Encargos e Benefícios'!AA82+'Encargos e Benefícios'!AB82+'Gastos com Pessoal'!P83)*5.84%</f>
        <v>19.300347360000004</v>
      </c>
      <c r="W83" s="256">
        <f>('Encargos e Benefícios'!V82+'Gastos com Pessoal'!Q83)*5.84%</f>
        <v>0</v>
      </c>
      <c r="X83" s="256"/>
      <c r="Y83" s="293">
        <v>46508</v>
      </c>
      <c r="Z83" s="294">
        <v>5.8400000000000001E-2</v>
      </c>
      <c r="AA83" s="256">
        <f>('Encargos e Benefícios'!W82+'Gastos com Pessoal'!O83+'Gastos com Pessoal'!U83)*5.84%</f>
        <v>34.620421015756804</v>
      </c>
      <c r="AB83" s="256">
        <f>('Encargos e Benefícios'!X82+'Encargos e Benefícios'!Y82+'Encargos e Benefícios'!Z82+'Encargos e Benefícios'!AA82+'Encargos e Benefícios'!AB82+'Gastos com Pessoal'!P83+'Gastos com Pessoal'!V83)*5.84%</f>
        <v>20.427487645824002</v>
      </c>
      <c r="AC83" s="256">
        <f>('Encargos e Benefícios'!V82+'Gastos com Pessoal'!Q83+'Gastos com Pessoal'!W83)*5.84%</f>
        <v>0</v>
      </c>
      <c r="AD83" s="256"/>
      <c r="AE83" s="293">
        <v>46874</v>
      </c>
      <c r="AF83" s="294">
        <v>5.8400000000000001E-2</v>
      </c>
      <c r="AG83" s="256">
        <f>('Encargos e Benefícios'!W82+'Gastos com Pessoal'!O83+'Gastos com Pessoal'!U83+'Gastos com Pessoal'!AA83)*5.84%</f>
        <v>36.642253603077002</v>
      </c>
      <c r="AH83" s="256">
        <f>('Encargos e Benefícios'!X82+'Encargos e Benefícios'!Y82+'Encargos e Benefícios'!Z82+'Encargos e Benefícios'!AA82+'Encargos e Benefícios'!AB82+'Gastos com Pessoal'!P83+'Gastos com Pessoal'!V83+'Gastos com Pessoal'!AB83)*5.84%</f>
        <v>21.620452924340121</v>
      </c>
      <c r="AI83" s="256">
        <f>('Encargos e Benefícios'!V82+'Gastos com Pessoal'!Q83+'Gastos com Pessoal'!W83+'Gastos com Pessoal'!AC83)*5.84%</f>
        <v>0</v>
      </c>
      <c r="AJ83" s="257"/>
      <c r="AK83" s="296">
        <f>'Encargos e Benefícios'!D82</f>
        <v>3993.98</v>
      </c>
      <c r="AL83" s="296">
        <f>IF('Encargos e Benefícios'!C82=0,0,'Encargos e Benefícios'!U82/'Encargos e Benefícios'!C82)</f>
        <v>4659.1662746111106</v>
      </c>
      <c r="AM83" s="296">
        <f>IF('Encargos e Benefícios'!C82=0,0,'Encargos e Benefícios'!AC82/'Encargos e Benefícios'!C82)</f>
        <v>841.45</v>
      </c>
      <c r="AN83" s="297">
        <f>IF('Encargos e Benefícios'!C82=0,0,'Encargos e Benefícios'!AD82/'Encargos e Benefícios'!C82)</f>
        <v>9494.5962746111109</v>
      </c>
      <c r="AO83" s="188">
        <v>4968.99</v>
      </c>
      <c r="AP83" s="298">
        <v>3773.6</v>
      </c>
      <c r="AQ83" s="298">
        <v>6164.38</v>
      </c>
      <c r="AR83" s="299" t="s">
        <v>107</v>
      </c>
      <c r="AS83" s="188"/>
    </row>
    <row r="84" spans="1:45">
      <c r="A84" s="286">
        <v>78</v>
      </c>
      <c r="B84" s="81" t="str">
        <f>'Encargos e Benefícios'!B83</f>
        <v>Advogado</v>
      </c>
      <c r="C84" s="287">
        <f>'Encargos e Benefícios'!C83</f>
        <v>1</v>
      </c>
      <c r="D84" s="288">
        <v>30</v>
      </c>
      <c r="E84" s="300">
        <v>45658</v>
      </c>
      <c r="F84" s="301">
        <v>47058</v>
      </c>
      <c r="G84" s="293"/>
      <c r="H84" s="294"/>
      <c r="I84" s="256"/>
      <c r="J84" s="256"/>
      <c r="K84" s="256"/>
      <c r="L84" s="256"/>
      <c r="M84" s="293">
        <v>45778</v>
      </c>
      <c r="N84" s="294">
        <v>5.8400000000000001E-2</v>
      </c>
      <c r="O84" s="256">
        <f>'Encargos e Benefícios'!W83*5.84%</f>
        <v>30.905280000000001</v>
      </c>
      <c r="P84" s="256">
        <f>('Encargos e Benefícios'!X83+'Encargos e Benefícios'!Y83+'Encargos e Benefícios'!Z83+'Encargos e Benefícios'!AA83+'Encargos e Benefícios'!AB83)*5.84%</f>
        <v>18.235399999999998</v>
      </c>
      <c r="Q84" s="256">
        <f>'Encargos e Benefícios'!V83*5.84%</f>
        <v>5.434704</v>
      </c>
      <c r="R84" s="256"/>
      <c r="S84" s="293">
        <v>46143</v>
      </c>
      <c r="T84" s="294">
        <v>5.8400000000000001E-2</v>
      </c>
      <c r="U84" s="256">
        <f>('Encargos e Benefícios'!W83+'Gastos com Pessoal'!O84)*5.84%</f>
        <v>32.710148351999997</v>
      </c>
      <c r="V84" s="256">
        <f>('Encargos e Benefícios'!X83+'Encargos e Benefícios'!Y83+'Encargos e Benefícios'!Z83+'Encargos e Benefícios'!AA83+'Encargos e Benefícios'!AB83+'Gastos com Pessoal'!P84)*5.84%</f>
        <v>19.300347360000004</v>
      </c>
      <c r="W84" s="256">
        <f>('Encargos e Benefícios'!V83+'Gastos com Pessoal'!Q84)*5.84%</f>
        <v>5.7520907136000003</v>
      </c>
      <c r="X84" s="256"/>
      <c r="Y84" s="293">
        <v>46508</v>
      </c>
      <c r="Z84" s="294">
        <v>5.8400000000000001E-2</v>
      </c>
      <c r="AA84" s="256">
        <f>('Encargos e Benefícios'!W83+'Gastos com Pessoal'!O84+'Gastos com Pessoal'!U84)*5.84%</f>
        <v>34.620421015756804</v>
      </c>
      <c r="AB84" s="256">
        <f>('Encargos e Benefícios'!X83+'Encargos e Benefícios'!Y83+'Encargos e Benefícios'!Z83+'Encargos e Benefícios'!AA83+'Encargos e Benefícios'!AB83+'Gastos com Pessoal'!P84+'Gastos com Pessoal'!V84)*5.84%</f>
        <v>20.427487645824002</v>
      </c>
      <c r="AC84" s="256">
        <f>('Encargos e Benefícios'!V83+'Gastos com Pessoal'!Q84+'Gastos com Pessoal'!W84)*5.84%</f>
        <v>6.0880128112742398</v>
      </c>
      <c r="AD84" s="256"/>
      <c r="AE84" s="293">
        <v>46874</v>
      </c>
      <c r="AF84" s="294">
        <v>5.8400000000000001E-2</v>
      </c>
      <c r="AG84" s="256">
        <f>('Encargos e Benefícios'!W83+'Gastos com Pessoal'!O84+'Gastos com Pessoal'!U84+'Gastos com Pessoal'!AA84)*5.84%</f>
        <v>36.642253603077002</v>
      </c>
      <c r="AH84" s="256">
        <f>('Encargos e Benefícios'!X83+'Encargos e Benefícios'!Y83+'Encargos e Benefícios'!Z83+'Encargos e Benefícios'!AA83+'Encargos e Benefícios'!AB83+'Gastos com Pessoal'!P84+'Gastos com Pessoal'!V84+'Gastos com Pessoal'!AB84)*5.84%</f>
        <v>21.620452924340121</v>
      </c>
      <c r="AI84" s="256">
        <f>('Encargos e Benefícios'!V83+'Gastos com Pessoal'!Q84+'Gastos com Pessoal'!W84+'Gastos com Pessoal'!AC84)*5.84%</f>
        <v>6.4435527594526558</v>
      </c>
      <c r="AJ84" s="257"/>
      <c r="AK84" s="296">
        <f>'Encargos e Benefícios'!D83</f>
        <v>2751.84</v>
      </c>
      <c r="AL84" s="296">
        <f>IF('Encargos e Benefícios'!C83=0,0,'Encargos e Benefícios'!U83/'Encargos e Benefícios'!C83)</f>
        <v>2198.8730400000004</v>
      </c>
      <c r="AM84" s="296">
        <f>IF('Encargos e Benefícios'!C83=0,0,'Encargos e Benefícios'!AC83/'Encargos e Benefícios'!C83)</f>
        <v>934.51</v>
      </c>
      <c r="AN84" s="297">
        <f>IF('Encargos e Benefícios'!C83=0,0,'Encargos e Benefícios'!AD83/'Encargos e Benefícios'!C83)</f>
        <v>5885.2230400000008</v>
      </c>
      <c r="AO84" s="188">
        <v>2574.5</v>
      </c>
      <c r="AP84" s="298">
        <v>2000</v>
      </c>
      <c r="AQ84" s="298">
        <v>3148.99</v>
      </c>
      <c r="AR84" s="299" t="s">
        <v>107</v>
      </c>
      <c r="AS84" s="188"/>
    </row>
    <row r="85" spans="1:45">
      <c r="A85" s="286">
        <v>79</v>
      </c>
      <c r="B85" s="81" t="str">
        <f>'Encargos e Benefícios'!B84</f>
        <v>Assistente Social</v>
      </c>
      <c r="C85" s="287">
        <f>'Encargos e Benefícios'!C84</f>
        <v>1</v>
      </c>
      <c r="D85" s="288">
        <v>30</v>
      </c>
      <c r="E85" s="300">
        <v>45658</v>
      </c>
      <c r="F85" s="301">
        <v>47058</v>
      </c>
      <c r="G85" s="293"/>
      <c r="H85" s="294"/>
      <c r="I85" s="256"/>
      <c r="J85" s="256"/>
      <c r="K85" s="256"/>
      <c r="L85" s="256"/>
      <c r="M85" s="293">
        <v>45778</v>
      </c>
      <c r="N85" s="294">
        <v>5.8400000000000001E-2</v>
      </c>
      <c r="O85" s="256">
        <f>'Encargos e Benefícios'!W84*5.84%</f>
        <v>30.905280000000001</v>
      </c>
      <c r="P85" s="256">
        <f>('Encargos e Benefícios'!X84+'Encargos e Benefícios'!Y84+'Encargos e Benefícios'!Z84+'Encargos e Benefícios'!AA84+'Encargos e Benefícios'!AB84)*5.84%</f>
        <v>18.235399999999998</v>
      </c>
      <c r="Q85" s="256">
        <f>'Encargos e Benefícios'!V84*5.84%</f>
        <v>5.434704</v>
      </c>
      <c r="R85" s="256"/>
      <c r="S85" s="293">
        <v>46143</v>
      </c>
      <c r="T85" s="294">
        <v>5.8400000000000001E-2</v>
      </c>
      <c r="U85" s="256">
        <f>('Encargos e Benefícios'!W84+'Gastos com Pessoal'!O85)*5.84%</f>
        <v>32.710148351999997</v>
      </c>
      <c r="V85" s="256">
        <f>('Encargos e Benefícios'!X84+'Encargos e Benefícios'!Y84+'Encargos e Benefícios'!Z84+'Encargos e Benefícios'!AA84+'Encargos e Benefícios'!AB84+'Gastos com Pessoal'!P85)*5.84%</f>
        <v>19.300347360000004</v>
      </c>
      <c r="W85" s="256">
        <f>('Encargos e Benefícios'!V84+'Gastos com Pessoal'!Q85)*5.84%</f>
        <v>5.7520907136000003</v>
      </c>
      <c r="X85" s="256"/>
      <c r="Y85" s="293">
        <v>46508</v>
      </c>
      <c r="Z85" s="294">
        <v>5.8400000000000001E-2</v>
      </c>
      <c r="AA85" s="256">
        <f>('Encargos e Benefícios'!W84+'Gastos com Pessoal'!O85+'Gastos com Pessoal'!U85)*5.84%</f>
        <v>34.620421015756804</v>
      </c>
      <c r="AB85" s="256">
        <f>('Encargos e Benefícios'!X84+'Encargos e Benefícios'!Y84+'Encargos e Benefícios'!Z84+'Encargos e Benefícios'!AA84+'Encargos e Benefícios'!AB84+'Gastos com Pessoal'!P85+'Gastos com Pessoal'!V85)*5.84%</f>
        <v>20.427487645824002</v>
      </c>
      <c r="AC85" s="256">
        <f>('Encargos e Benefícios'!V84+'Gastos com Pessoal'!Q85+'Gastos com Pessoal'!W85)*5.84%</f>
        <v>6.0880128112742398</v>
      </c>
      <c r="AD85" s="256"/>
      <c r="AE85" s="293">
        <v>46874</v>
      </c>
      <c r="AF85" s="294">
        <v>5.8400000000000001E-2</v>
      </c>
      <c r="AG85" s="256">
        <f>('Encargos e Benefícios'!W84+'Gastos com Pessoal'!O85+'Gastos com Pessoal'!U85+'Gastos com Pessoal'!AA85)*5.84%</f>
        <v>36.642253603077002</v>
      </c>
      <c r="AH85" s="256">
        <f>('Encargos e Benefícios'!X84+'Encargos e Benefícios'!Y84+'Encargos e Benefícios'!Z84+'Encargos e Benefícios'!AA84+'Encargos e Benefícios'!AB84+'Gastos com Pessoal'!P85+'Gastos com Pessoal'!V85+'Gastos com Pessoal'!AB85)*5.84%</f>
        <v>21.620452924340121</v>
      </c>
      <c r="AI85" s="256">
        <f>('Encargos e Benefícios'!V84+'Gastos com Pessoal'!Q85+'Gastos com Pessoal'!W85+'Gastos com Pessoal'!AC85)*5.84%</f>
        <v>6.4435527594526558</v>
      </c>
      <c r="AJ85" s="257"/>
      <c r="AK85" s="296">
        <f>'Encargos e Benefícios'!D84</f>
        <v>2751.84</v>
      </c>
      <c r="AL85" s="296">
        <f>IF('Encargos e Benefícios'!C84=0,0,'Encargos e Benefícios'!U84/'Encargos e Benefícios'!C84)</f>
        <v>2198.8730400000004</v>
      </c>
      <c r="AM85" s="296">
        <f>IF('Encargos e Benefícios'!C84=0,0,'Encargos e Benefícios'!AC84/'Encargos e Benefícios'!C84)</f>
        <v>934.51</v>
      </c>
      <c r="AN85" s="297">
        <f>IF('Encargos e Benefícios'!C84=0,0,'Encargos e Benefícios'!AD84/'Encargos e Benefícios'!C84)</f>
        <v>5885.2230400000008</v>
      </c>
      <c r="AO85" s="188">
        <v>2906.48</v>
      </c>
      <c r="AP85" s="298">
        <v>2000</v>
      </c>
      <c r="AQ85" s="298">
        <v>3812.95</v>
      </c>
      <c r="AR85" s="299" t="s">
        <v>107</v>
      </c>
      <c r="AS85" s="188"/>
    </row>
    <row r="86" spans="1:45">
      <c r="A86" s="286">
        <v>80</v>
      </c>
      <c r="B86" s="81" t="str">
        <f>'Encargos e Benefícios'!B85</f>
        <v>Pedagogo</v>
      </c>
      <c r="C86" s="287">
        <f>'Encargos e Benefícios'!C85</f>
        <v>1</v>
      </c>
      <c r="D86" s="288">
        <v>30</v>
      </c>
      <c r="E86" s="300">
        <v>45658</v>
      </c>
      <c r="F86" s="301">
        <v>47058</v>
      </c>
      <c r="G86" s="293"/>
      <c r="H86" s="294"/>
      <c r="I86" s="256"/>
      <c r="J86" s="256"/>
      <c r="K86" s="256"/>
      <c r="L86" s="256"/>
      <c r="M86" s="293">
        <v>45778</v>
      </c>
      <c r="N86" s="294">
        <v>5.8400000000000001E-2</v>
      </c>
      <c r="O86" s="256">
        <f>'Encargos e Benefícios'!W85*5.84%</f>
        <v>30.905280000000001</v>
      </c>
      <c r="P86" s="256">
        <f>('Encargos e Benefícios'!X85+'Encargos e Benefícios'!Y85+'Encargos e Benefícios'!Z85+'Encargos e Benefícios'!AA85+'Encargos e Benefícios'!AB85)*5.84%</f>
        <v>18.235399999999998</v>
      </c>
      <c r="Q86" s="256">
        <f>'Encargos e Benefícios'!V85*5.84%</f>
        <v>5.434704</v>
      </c>
      <c r="R86" s="256"/>
      <c r="S86" s="293">
        <v>46143</v>
      </c>
      <c r="T86" s="294">
        <v>5.8400000000000001E-2</v>
      </c>
      <c r="U86" s="256">
        <f>('Encargos e Benefícios'!W85+'Gastos com Pessoal'!O86)*5.84%</f>
        <v>32.710148351999997</v>
      </c>
      <c r="V86" s="256">
        <f>('Encargos e Benefícios'!X85+'Encargos e Benefícios'!Y85+'Encargos e Benefícios'!Z85+'Encargos e Benefícios'!AA85+'Encargos e Benefícios'!AB85+'Gastos com Pessoal'!P86)*5.84%</f>
        <v>19.300347360000004</v>
      </c>
      <c r="W86" s="256">
        <f>('Encargos e Benefícios'!V85+'Gastos com Pessoal'!Q86)*5.84%</f>
        <v>5.7520907136000003</v>
      </c>
      <c r="X86" s="256"/>
      <c r="Y86" s="293">
        <v>46508</v>
      </c>
      <c r="Z86" s="294">
        <v>5.8400000000000001E-2</v>
      </c>
      <c r="AA86" s="256">
        <f>('Encargos e Benefícios'!W85+'Gastos com Pessoal'!O86+'Gastos com Pessoal'!U86)*5.84%</f>
        <v>34.620421015756804</v>
      </c>
      <c r="AB86" s="256">
        <f>('Encargos e Benefícios'!X85+'Encargos e Benefícios'!Y85+'Encargos e Benefícios'!Z85+'Encargos e Benefícios'!AA85+'Encargos e Benefícios'!AB85+'Gastos com Pessoal'!P86+'Gastos com Pessoal'!V86)*5.84%</f>
        <v>20.427487645824002</v>
      </c>
      <c r="AC86" s="256">
        <f>('Encargos e Benefícios'!V85+'Gastos com Pessoal'!Q86+'Gastos com Pessoal'!W86)*5.84%</f>
        <v>6.0880128112742398</v>
      </c>
      <c r="AD86" s="256"/>
      <c r="AE86" s="293">
        <v>46874</v>
      </c>
      <c r="AF86" s="294">
        <v>5.8400000000000001E-2</v>
      </c>
      <c r="AG86" s="256">
        <f>('Encargos e Benefícios'!W85+'Gastos com Pessoal'!O86+'Gastos com Pessoal'!U86+'Gastos com Pessoal'!AA86)*5.84%</f>
        <v>36.642253603077002</v>
      </c>
      <c r="AH86" s="256">
        <f>('Encargos e Benefícios'!X85+'Encargos e Benefícios'!Y85+'Encargos e Benefícios'!Z85+'Encargos e Benefícios'!AA85+'Encargos e Benefícios'!AB85+'Gastos com Pessoal'!P86+'Gastos com Pessoal'!V86+'Gastos com Pessoal'!AB86)*5.84%</f>
        <v>21.620452924340121</v>
      </c>
      <c r="AI86" s="256">
        <f>('Encargos e Benefícios'!V85+'Gastos com Pessoal'!Q86+'Gastos com Pessoal'!W86+'Gastos com Pessoal'!AC86)*5.84%</f>
        <v>6.4435527594526558</v>
      </c>
      <c r="AJ86" s="257"/>
      <c r="AK86" s="296">
        <f>'Encargos e Benefícios'!D85</f>
        <v>2751.84</v>
      </c>
      <c r="AL86" s="296">
        <f>IF('Encargos e Benefícios'!C85=0,0,'Encargos e Benefícios'!U85/'Encargos e Benefícios'!C85)</f>
        <v>2198.8730400000004</v>
      </c>
      <c r="AM86" s="296">
        <f>IF('Encargos e Benefícios'!C85=0,0,'Encargos e Benefícios'!AC85/'Encargos e Benefícios'!C85)</f>
        <v>934.51</v>
      </c>
      <c r="AN86" s="297">
        <f>IF('Encargos e Benefícios'!C85=0,0,'Encargos e Benefícios'!AD85/'Encargos e Benefícios'!C85)</f>
        <v>5885.2230400000008</v>
      </c>
      <c r="AO86" s="188">
        <v>2826.08</v>
      </c>
      <c r="AP86" s="298">
        <v>1936.68</v>
      </c>
      <c r="AQ86" s="298">
        <v>3715.48</v>
      </c>
      <c r="AR86" s="299" t="s">
        <v>107</v>
      </c>
      <c r="AS86" s="188"/>
    </row>
    <row r="87" spans="1:45">
      <c r="A87" s="286">
        <v>81</v>
      </c>
      <c r="B87" s="81" t="str">
        <f>'Encargos e Benefícios'!B86</f>
        <v>Psicologo</v>
      </c>
      <c r="C87" s="287">
        <f>'Encargos e Benefícios'!C86</f>
        <v>1</v>
      </c>
      <c r="D87" s="288">
        <v>30</v>
      </c>
      <c r="E87" s="300">
        <v>45658</v>
      </c>
      <c r="F87" s="301">
        <v>47058</v>
      </c>
      <c r="G87" s="293"/>
      <c r="H87" s="294"/>
      <c r="I87" s="256"/>
      <c r="J87" s="256"/>
      <c r="K87" s="256"/>
      <c r="L87" s="256"/>
      <c r="M87" s="293">
        <v>45778</v>
      </c>
      <c r="N87" s="294">
        <v>5.8400000000000001E-2</v>
      </c>
      <c r="O87" s="256">
        <f>'Encargos e Benefícios'!W86*5.84%</f>
        <v>30.905280000000001</v>
      </c>
      <c r="P87" s="256">
        <f>('Encargos e Benefícios'!X86+'Encargos e Benefícios'!Y86+'Encargos e Benefícios'!Z86+'Encargos e Benefícios'!AA86+'Encargos e Benefícios'!AB86)*5.84%</f>
        <v>18.235399999999998</v>
      </c>
      <c r="Q87" s="256">
        <f>'Encargos e Benefícios'!V86*5.84%</f>
        <v>5.434704</v>
      </c>
      <c r="R87" s="256"/>
      <c r="S87" s="293">
        <v>46143</v>
      </c>
      <c r="T87" s="294">
        <v>5.8400000000000001E-2</v>
      </c>
      <c r="U87" s="256">
        <f>('Encargos e Benefícios'!W86+'Gastos com Pessoal'!O87)*5.84%</f>
        <v>32.710148351999997</v>
      </c>
      <c r="V87" s="256">
        <f>('Encargos e Benefícios'!X86+'Encargos e Benefícios'!Y86+'Encargos e Benefícios'!Z86+'Encargos e Benefícios'!AA86+'Encargos e Benefícios'!AB86+'Gastos com Pessoal'!P87)*5.84%</f>
        <v>19.300347360000004</v>
      </c>
      <c r="W87" s="256">
        <f>('Encargos e Benefícios'!V86+'Gastos com Pessoal'!Q87)*5.84%</f>
        <v>5.7520907136000003</v>
      </c>
      <c r="X87" s="256"/>
      <c r="Y87" s="293">
        <v>46508</v>
      </c>
      <c r="Z87" s="294">
        <v>5.8400000000000001E-2</v>
      </c>
      <c r="AA87" s="256">
        <f>('Encargos e Benefícios'!W86+'Gastos com Pessoal'!O87+'Gastos com Pessoal'!U87)*5.84%</f>
        <v>34.620421015756804</v>
      </c>
      <c r="AB87" s="256">
        <f>('Encargos e Benefícios'!X86+'Encargos e Benefícios'!Y86+'Encargos e Benefícios'!Z86+'Encargos e Benefícios'!AA86+'Encargos e Benefícios'!AB86+'Gastos com Pessoal'!P87+'Gastos com Pessoal'!V87)*5.84%</f>
        <v>20.427487645824002</v>
      </c>
      <c r="AC87" s="256">
        <f>('Encargos e Benefícios'!V86+'Gastos com Pessoal'!Q87+'Gastos com Pessoal'!W87)*5.84%</f>
        <v>6.0880128112742398</v>
      </c>
      <c r="AD87" s="256"/>
      <c r="AE87" s="293">
        <v>46874</v>
      </c>
      <c r="AF87" s="294">
        <v>5.8400000000000001E-2</v>
      </c>
      <c r="AG87" s="256">
        <f>('Encargos e Benefícios'!W86+'Gastos com Pessoal'!O87+'Gastos com Pessoal'!U87+'Gastos com Pessoal'!AA87)*5.84%</f>
        <v>36.642253603077002</v>
      </c>
      <c r="AH87" s="256">
        <f>('Encargos e Benefícios'!X86+'Encargos e Benefícios'!Y86+'Encargos e Benefícios'!Z86+'Encargos e Benefícios'!AA86+'Encargos e Benefícios'!AB86+'Gastos com Pessoal'!P87+'Gastos com Pessoal'!V87+'Gastos com Pessoal'!AB87)*5.84%</f>
        <v>21.620452924340121</v>
      </c>
      <c r="AI87" s="256">
        <f>('Encargos e Benefícios'!V86+'Gastos com Pessoal'!Q87+'Gastos com Pessoal'!W87+'Gastos com Pessoal'!AC87)*5.84%</f>
        <v>6.4435527594526558</v>
      </c>
      <c r="AJ87" s="257"/>
      <c r="AK87" s="296">
        <f>'Encargos e Benefícios'!D86</f>
        <v>2751.84</v>
      </c>
      <c r="AL87" s="296">
        <f>IF('Encargos e Benefícios'!C86=0,0,'Encargos e Benefícios'!U86/'Encargos e Benefícios'!C86)</f>
        <v>2198.8730400000004</v>
      </c>
      <c r="AM87" s="296">
        <f>IF('Encargos e Benefícios'!C86=0,0,'Encargos e Benefícios'!AC86/'Encargos e Benefícios'!C86)</f>
        <v>934.51</v>
      </c>
      <c r="AN87" s="297">
        <f>IF('Encargos e Benefícios'!C86=0,0,'Encargos e Benefícios'!AD86/'Encargos e Benefícios'!C86)</f>
        <v>5885.2230400000008</v>
      </c>
      <c r="AO87" s="188">
        <v>2906.48</v>
      </c>
      <c r="AP87" s="298">
        <v>2000</v>
      </c>
      <c r="AQ87" s="298">
        <v>3812.95</v>
      </c>
      <c r="AR87" s="299" t="s">
        <v>107</v>
      </c>
      <c r="AS87" s="188"/>
    </row>
    <row r="88" spans="1:45">
      <c r="A88" s="286">
        <v>82</v>
      </c>
      <c r="B88" s="81" t="str">
        <f>'Encargos e Benefícios'!B87</f>
        <v>Terapeuta Ocupacional</v>
      </c>
      <c r="C88" s="287">
        <f>'Encargos e Benefícios'!C87</f>
        <v>1</v>
      </c>
      <c r="D88" s="288">
        <v>30</v>
      </c>
      <c r="E88" s="300">
        <v>45658</v>
      </c>
      <c r="F88" s="301">
        <v>47058</v>
      </c>
      <c r="G88" s="293"/>
      <c r="H88" s="294"/>
      <c r="I88" s="256"/>
      <c r="J88" s="256"/>
      <c r="K88" s="256"/>
      <c r="L88" s="256"/>
      <c r="M88" s="293">
        <v>45778</v>
      </c>
      <c r="N88" s="294">
        <v>5.8400000000000001E-2</v>
      </c>
      <c r="O88" s="256">
        <f>'Encargos e Benefícios'!W87*5.84%</f>
        <v>30.905280000000001</v>
      </c>
      <c r="P88" s="256">
        <f>('Encargos e Benefícios'!X87+'Encargos e Benefícios'!Y87+'Encargos e Benefícios'!Z87+'Encargos e Benefícios'!AA87+'Encargos e Benefícios'!AB87)*5.84%</f>
        <v>18.235399999999998</v>
      </c>
      <c r="Q88" s="256">
        <f>'Encargos e Benefícios'!V87*5.84%</f>
        <v>5.434704</v>
      </c>
      <c r="R88" s="256"/>
      <c r="S88" s="293">
        <v>46143</v>
      </c>
      <c r="T88" s="294">
        <v>5.8400000000000001E-2</v>
      </c>
      <c r="U88" s="256">
        <f>('Encargos e Benefícios'!W87+'Gastos com Pessoal'!O88)*5.84%</f>
        <v>32.710148351999997</v>
      </c>
      <c r="V88" s="256">
        <f>('Encargos e Benefícios'!X87+'Encargos e Benefícios'!Y87+'Encargos e Benefícios'!Z87+'Encargos e Benefícios'!AA87+'Encargos e Benefícios'!AB87+'Gastos com Pessoal'!P88)*5.84%</f>
        <v>19.300347360000004</v>
      </c>
      <c r="W88" s="256">
        <f>('Encargos e Benefícios'!V87+'Gastos com Pessoal'!Q88)*5.84%</f>
        <v>5.7520907136000003</v>
      </c>
      <c r="X88" s="256"/>
      <c r="Y88" s="293">
        <v>46508</v>
      </c>
      <c r="Z88" s="294">
        <v>5.8400000000000001E-2</v>
      </c>
      <c r="AA88" s="256">
        <f>('Encargos e Benefícios'!W87+'Gastos com Pessoal'!O88+'Gastos com Pessoal'!U88)*5.84%</f>
        <v>34.620421015756804</v>
      </c>
      <c r="AB88" s="256">
        <f>('Encargos e Benefícios'!X87+'Encargos e Benefícios'!Y87+'Encargos e Benefícios'!Z87+'Encargos e Benefícios'!AA87+'Encargos e Benefícios'!AB87+'Gastos com Pessoal'!P88+'Gastos com Pessoal'!V88)*5.84%</f>
        <v>20.427487645824002</v>
      </c>
      <c r="AC88" s="256">
        <f>('Encargos e Benefícios'!V87+'Gastos com Pessoal'!Q88+'Gastos com Pessoal'!W88)*5.84%</f>
        <v>6.0880128112742398</v>
      </c>
      <c r="AD88" s="256"/>
      <c r="AE88" s="293">
        <v>46874</v>
      </c>
      <c r="AF88" s="294">
        <v>5.8400000000000001E-2</v>
      </c>
      <c r="AG88" s="256">
        <f>('Encargos e Benefícios'!W87+'Gastos com Pessoal'!O88+'Gastos com Pessoal'!U88+'Gastos com Pessoal'!AA88)*5.84%</f>
        <v>36.642253603077002</v>
      </c>
      <c r="AH88" s="256">
        <f>('Encargos e Benefícios'!X87+'Encargos e Benefícios'!Y87+'Encargos e Benefícios'!Z87+'Encargos e Benefícios'!AA87+'Encargos e Benefícios'!AB87+'Gastos com Pessoal'!P88+'Gastos com Pessoal'!V88+'Gastos com Pessoal'!AB88)*5.84%</f>
        <v>21.620452924340121</v>
      </c>
      <c r="AI88" s="256">
        <f>('Encargos e Benefícios'!V87+'Gastos com Pessoal'!Q88+'Gastos com Pessoal'!W88+'Gastos com Pessoal'!AC88)*5.84%</f>
        <v>6.4435527594526558</v>
      </c>
      <c r="AJ88" s="257"/>
      <c r="AK88" s="296">
        <f>'Encargos e Benefícios'!D87</f>
        <v>2751.84</v>
      </c>
      <c r="AL88" s="296">
        <f>IF('Encargos e Benefícios'!C87=0,0,'Encargos e Benefícios'!U87/'Encargos e Benefícios'!C87)</f>
        <v>2198.8730400000004</v>
      </c>
      <c r="AM88" s="296">
        <f>IF('Encargos e Benefícios'!C87=0,0,'Encargos e Benefícios'!AC87/'Encargos e Benefícios'!C87)</f>
        <v>934.51</v>
      </c>
      <c r="AN88" s="297">
        <f>IF('Encargos e Benefícios'!C87=0,0,'Encargos e Benefícios'!AD87/'Encargos e Benefícios'!C87)</f>
        <v>5885.2230400000008</v>
      </c>
      <c r="AO88" s="188">
        <v>2456</v>
      </c>
      <c r="AP88" s="298">
        <v>2000</v>
      </c>
      <c r="AQ88" s="298">
        <v>2911.99</v>
      </c>
      <c r="AR88" s="299" t="s">
        <v>107</v>
      </c>
      <c r="AS88" s="188"/>
    </row>
    <row r="89" spans="1:45">
      <c r="A89" s="286">
        <v>83</v>
      </c>
      <c r="B89" s="81" t="str">
        <f>'Encargos e Benefícios'!B88</f>
        <v>Administrativo</v>
      </c>
      <c r="C89" s="287">
        <f>'Encargos e Benefícios'!C88</f>
        <v>1</v>
      </c>
      <c r="D89" s="288">
        <v>40</v>
      </c>
      <c r="E89" s="300">
        <v>45658</v>
      </c>
      <c r="F89" s="301">
        <v>47058</v>
      </c>
      <c r="G89" s="293"/>
      <c r="H89" s="294"/>
      <c r="I89" s="256"/>
      <c r="J89" s="256"/>
      <c r="K89" s="256"/>
      <c r="L89" s="256"/>
      <c r="M89" s="293">
        <v>45778</v>
      </c>
      <c r="N89" s="294">
        <v>5.8400000000000001E-2</v>
      </c>
      <c r="O89" s="256">
        <f>'Encargos e Benefícios'!W88*5.84%</f>
        <v>30.905280000000001</v>
      </c>
      <c r="P89" s="256">
        <f>('Encargos e Benefícios'!X88+'Encargos e Benefícios'!Y88+'Encargos e Benefícios'!Z88+'Encargos e Benefícios'!AA88+'Encargos e Benefícios'!AB88)*5.84%</f>
        <v>18.235399999999998</v>
      </c>
      <c r="Q89" s="256">
        <f>'Encargos e Benefícios'!V88*5.84%</f>
        <v>5.434704</v>
      </c>
      <c r="R89" s="256"/>
      <c r="S89" s="293">
        <v>46143</v>
      </c>
      <c r="T89" s="294">
        <v>5.8400000000000001E-2</v>
      </c>
      <c r="U89" s="256">
        <f>('Encargos e Benefícios'!W88+'Gastos com Pessoal'!O89)*5.84%</f>
        <v>32.710148351999997</v>
      </c>
      <c r="V89" s="256">
        <f>('Encargos e Benefícios'!X88+'Encargos e Benefícios'!Y88+'Encargos e Benefícios'!Z88+'Encargos e Benefícios'!AA88+'Encargos e Benefícios'!AB88+'Gastos com Pessoal'!P89)*5.84%</f>
        <v>19.300347360000004</v>
      </c>
      <c r="W89" s="256">
        <f>('Encargos e Benefícios'!V88+'Gastos com Pessoal'!Q89)*5.84%</f>
        <v>5.7520907136000003</v>
      </c>
      <c r="X89" s="256"/>
      <c r="Y89" s="293">
        <v>46508</v>
      </c>
      <c r="Z89" s="294">
        <v>5.8400000000000001E-2</v>
      </c>
      <c r="AA89" s="256">
        <f>('Encargos e Benefícios'!W88+'Gastos com Pessoal'!O89+'Gastos com Pessoal'!U89)*5.84%</f>
        <v>34.620421015756804</v>
      </c>
      <c r="AB89" s="256">
        <f>('Encargos e Benefícios'!X88+'Encargos e Benefícios'!Y88+'Encargos e Benefícios'!Z88+'Encargos e Benefícios'!AA88+'Encargos e Benefícios'!AB88+'Gastos com Pessoal'!P89+'Gastos com Pessoal'!V89)*5.84%</f>
        <v>20.427487645824002</v>
      </c>
      <c r="AC89" s="256">
        <f>('Encargos e Benefícios'!V88+'Gastos com Pessoal'!Q89+'Gastos com Pessoal'!W89)*5.84%</f>
        <v>6.0880128112742398</v>
      </c>
      <c r="AD89" s="256"/>
      <c r="AE89" s="293">
        <v>46874</v>
      </c>
      <c r="AF89" s="294">
        <v>5.8400000000000001E-2</v>
      </c>
      <c r="AG89" s="256">
        <f>('Encargos e Benefícios'!W88+'Gastos com Pessoal'!O89+'Gastos com Pessoal'!U89+'Gastos com Pessoal'!AA89)*5.84%</f>
        <v>36.642253603077002</v>
      </c>
      <c r="AH89" s="256">
        <f>('Encargos e Benefícios'!X88+'Encargos e Benefícios'!Y88+'Encargos e Benefícios'!Z88+'Encargos e Benefícios'!AA88+'Encargos e Benefícios'!AB88+'Gastos com Pessoal'!P89+'Gastos com Pessoal'!V89+'Gastos com Pessoal'!AB89)*5.84%</f>
        <v>21.620452924340121</v>
      </c>
      <c r="AI89" s="256">
        <f>('Encargos e Benefícios'!V88+'Gastos com Pessoal'!Q89+'Gastos com Pessoal'!W89+'Gastos com Pessoal'!AC89)*5.84%</f>
        <v>6.4435527594526558</v>
      </c>
      <c r="AJ89" s="257"/>
      <c r="AK89" s="296">
        <f>'Encargos e Benefícios'!D88</f>
        <v>1852.2</v>
      </c>
      <c r="AL89" s="296">
        <f>IF('Encargos e Benefícios'!C88=0,0,'Encargos e Benefícios'!U88/'Encargos e Benefícios'!C88)</f>
        <v>1480.0106999999996</v>
      </c>
      <c r="AM89" s="296">
        <f>IF('Encargos e Benefícios'!C88=0,0,'Encargos e Benefícios'!AC88/'Encargos e Benefícios'!C88)</f>
        <v>934.51</v>
      </c>
      <c r="AN89" s="297">
        <f>IF('Encargos e Benefícios'!C88=0,0,'Encargos e Benefícios'!AD88/'Encargos e Benefícios'!C88)</f>
        <v>4266.7206999999999</v>
      </c>
      <c r="AO89" s="188">
        <v>2012.52</v>
      </c>
      <c r="AP89" s="298">
        <v>1329.38</v>
      </c>
      <c r="AQ89" s="298">
        <v>2695.66</v>
      </c>
      <c r="AR89" s="299" t="s">
        <v>107</v>
      </c>
      <c r="AS89" s="188"/>
    </row>
    <row r="90" spans="1:45">
      <c r="A90" s="286">
        <v>84</v>
      </c>
      <c r="B90" s="81" t="str">
        <f>'Encargos e Benefícios'!B89</f>
        <v>Auxiliar Educacional</v>
      </c>
      <c r="C90" s="287">
        <f>'Encargos e Benefícios'!C89</f>
        <v>1</v>
      </c>
      <c r="D90" s="288">
        <v>30</v>
      </c>
      <c r="E90" s="300">
        <v>45658</v>
      </c>
      <c r="F90" s="301">
        <v>47058</v>
      </c>
      <c r="G90" s="293"/>
      <c r="H90" s="294"/>
      <c r="I90" s="256"/>
      <c r="J90" s="256"/>
      <c r="K90" s="256"/>
      <c r="L90" s="256"/>
      <c r="M90" s="293">
        <v>45778</v>
      </c>
      <c r="N90" s="294">
        <v>5.8400000000000001E-2</v>
      </c>
      <c r="O90" s="256">
        <f>'Encargos e Benefícios'!W89*5.84%</f>
        <v>30.905280000000001</v>
      </c>
      <c r="P90" s="256">
        <f>('Encargos e Benefícios'!X89+'Encargos e Benefícios'!Y89+'Encargos e Benefícios'!Z89+'Encargos e Benefícios'!AA89+'Encargos e Benefícios'!AB89)*5.84%</f>
        <v>18.235399999999998</v>
      </c>
      <c r="Q90" s="256">
        <f>'Encargos e Benefícios'!V89*5.84%</f>
        <v>5.434704</v>
      </c>
      <c r="R90" s="256"/>
      <c r="S90" s="293">
        <v>46143</v>
      </c>
      <c r="T90" s="294">
        <v>5.8400000000000001E-2</v>
      </c>
      <c r="U90" s="256">
        <f>('Encargos e Benefícios'!W89+'Gastos com Pessoal'!O90)*5.84%</f>
        <v>32.710148351999997</v>
      </c>
      <c r="V90" s="256">
        <f>('Encargos e Benefícios'!X89+'Encargos e Benefícios'!Y89+'Encargos e Benefícios'!Z89+'Encargos e Benefícios'!AA89+'Encargos e Benefícios'!AB89+'Gastos com Pessoal'!P90)*5.84%</f>
        <v>19.300347360000004</v>
      </c>
      <c r="W90" s="256">
        <f>('Encargos e Benefícios'!V89+'Gastos com Pessoal'!Q90)*5.84%</f>
        <v>5.7520907136000003</v>
      </c>
      <c r="X90" s="256"/>
      <c r="Y90" s="293">
        <v>46508</v>
      </c>
      <c r="Z90" s="294">
        <v>5.8400000000000001E-2</v>
      </c>
      <c r="AA90" s="256">
        <f>('Encargos e Benefícios'!W89+'Gastos com Pessoal'!O90+'Gastos com Pessoal'!U90)*5.84%</f>
        <v>34.620421015756804</v>
      </c>
      <c r="AB90" s="256">
        <f>('Encargos e Benefícios'!X89+'Encargos e Benefícios'!Y89+'Encargos e Benefícios'!Z89+'Encargos e Benefícios'!AA89+'Encargos e Benefícios'!AB89+'Gastos com Pessoal'!P90+'Gastos com Pessoal'!V90)*5.84%</f>
        <v>20.427487645824002</v>
      </c>
      <c r="AC90" s="256">
        <f>('Encargos e Benefícios'!V89+'Gastos com Pessoal'!Q90+'Gastos com Pessoal'!W90)*5.84%</f>
        <v>6.0880128112742398</v>
      </c>
      <c r="AD90" s="256"/>
      <c r="AE90" s="293">
        <v>46874</v>
      </c>
      <c r="AF90" s="294">
        <v>5.8400000000000001E-2</v>
      </c>
      <c r="AG90" s="256">
        <f>('Encargos e Benefícios'!W89+'Gastos com Pessoal'!O90+'Gastos com Pessoal'!U90+'Gastos com Pessoal'!AA90)*5.84%</f>
        <v>36.642253603077002</v>
      </c>
      <c r="AH90" s="256">
        <f>('Encargos e Benefícios'!X89+'Encargos e Benefícios'!Y89+'Encargos e Benefícios'!Z89+'Encargos e Benefícios'!AA89+'Encargos e Benefícios'!AB89+'Gastos com Pessoal'!P90+'Gastos com Pessoal'!V90+'Gastos com Pessoal'!AB90)*5.84%</f>
        <v>21.620452924340121</v>
      </c>
      <c r="AI90" s="256">
        <f>('Encargos e Benefícios'!V89+'Gastos com Pessoal'!Q90+'Gastos com Pessoal'!W90+'Gastos com Pessoal'!AC90)*5.84%</f>
        <v>6.4435527594526558</v>
      </c>
      <c r="AJ90" s="257"/>
      <c r="AK90" s="296">
        <f>'Encargos e Benefícios'!D89</f>
        <v>1737.89</v>
      </c>
      <c r="AL90" s="296">
        <f>IF('Encargos e Benefícios'!C89=0,0,'Encargos e Benefícios'!U89/'Encargos e Benefícios'!C89)</f>
        <v>1388.6706594444449</v>
      </c>
      <c r="AM90" s="296">
        <f>IF('Encargos e Benefícios'!C89=0,0,'Encargos e Benefícios'!AC89/'Encargos e Benefícios'!C89)</f>
        <v>934.51</v>
      </c>
      <c r="AN90" s="297">
        <f>IF('Encargos e Benefícios'!C89=0,0,'Encargos e Benefícios'!AD89/'Encargos e Benefícios'!C89)</f>
        <v>4061.0706594444455</v>
      </c>
      <c r="AO90" s="188">
        <v>1821.21</v>
      </c>
      <c r="AP90" s="298">
        <v>1641.97</v>
      </c>
      <c r="AQ90" s="298">
        <v>2000.45</v>
      </c>
      <c r="AR90" s="299" t="s">
        <v>107</v>
      </c>
      <c r="AS90" s="188"/>
    </row>
    <row r="91" spans="1:45">
      <c r="A91" s="286">
        <v>85</v>
      </c>
      <c r="B91" s="81" t="str">
        <f>'Encargos e Benefícios'!B90</f>
        <v>Auxiliar de Serviços Gerais</v>
      </c>
      <c r="C91" s="287">
        <f>'Encargos e Benefícios'!C90</f>
        <v>1</v>
      </c>
      <c r="D91" s="288">
        <v>30</v>
      </c>
      <c r="E91" s="300">
        <v>45658</v>
      </c>
      <c r="F91" s="301">
        <v>47058</v>
      </c>
      <c r="G91" s="293"/>
      <c r="H91" s="294"/>
      <c r="I91" s="256"/>
      <c r="J91" s="256"/>
      <c r="K91" s="256"/>
      <c r="L91" s="256"/>
      <c r="M91" s="293">
        <v>45778</v>
      </c>
      <c r="N91" s="294">
        <v>5.8400000000000001E-2</v>
      </c>
      <c r="O91" s="256">
        <f>'Encargos e Benefícios'!W90*5.84%</f>
        <v>30.905280000000001</v>
      </c>
      <c r="P91" s="256">
        <f>('Encargos e Benefícios'!X90+'Encargos e Benefícios'!Y90+'Encargos e Benefícios'!Z90+'Encargos e Benefícios'!AA90+'Encargos e Benefícios'!AB90)*5.84%</f>
        <v>18.235399999999998</v>
      </c>
      <c r="Q91" s="256">
        <f>'Encargos e Benefícios'!V90*5.84%</f>
        <v>5.434704</v>
      </c>
      <c r="R91" s="256"/>
      <c r="S91" s="293">
        <v>46143</v>
      </c>
      <c r="T91" s="294">
        <v>5.8400000000000001E-2</v>
      </c>
      <c r="U91" s="256">
        <f>('Encargos e Benefícios'!W90+'Gastos com Pessoal'!O91)*5.84%</f>
        <v>32.710148351999997</v>
      </c>
      <c r="V91" s="256">
        <f>('Encargos e Benefícios'!X90+'Encargos e Benefícios'!Y90+'Encargos e Benefícios'!Z90+'Encargos e Benefícios'!AA90+'Encargos e Benefícios'!AB90+'Gastos com Pessoal'!P91)*5.84%</f>
        <v>19.300347360000004</v>
      </c>
      <c r="W91" s="256">
        <f>('Encargos e Benefícios'!V90+'Gastos com Pessoal'!Q91)*5.84%</f>
        <v>5.7520907136000003</v>
      </c>
      <c r="X91" s="256"/>
      <c r="Y91" s="293">
        <v>46508</v>
      </c>
      <c r="Z91" s="294">
        <v>5.8400000000000001E-2</v>
      </c>
      <c r="AA91" s="256">
        <f>('Encargos e Benefícios'!W90+'Gastos com Pessoal'!O91+'Gastos com Pessoal'!U91)*5.84%</f>
        <v>34.620421015756804</v>
      </c>
      <c r="AB91" s="256">
        <f>('Encargos e Benefícios'!X90+'Encargos e Benefícios'!Y90+'Encargos e Benefícios'!Z90+'Encargos e Benefícios'!AA90+'Encargos e Benefícios'!AB90+'Gastos com Pessoal'!P91+'Gastos com Pessoal'!V91)*5.84%</f>
        <v>20.427487645824002</v>
      </c>
      <c r="AC91" s="256">
        <f>('Encargos e Benefícios'!V90+'Gastos com Pessoal'!Q91+'Gastos com Pessoal'!W91)*5.84%</f>
        <v>6.0880128112742398</v>
      </c>
      <c r="AD91" s="256"/>
      <c r="AE91" s="293">
        <v>46874</v>
      </c>
      <c r="AF91" s="294">
        <v>5.8400000000000001E-2</v>
      </c>
      <c r="AG91" s="256">
        <f>('Encargos e Benefícios'!W90+'Gastos com Pessoal'!O91+'Gastos com Pessoal'!U91+'Gastos com Pessoal'!AA91)*5.84%</f>
        <v>36.642253603077002</v>
      </c>
      <c r="AH91" s="256">
        <f>('Encargos e Benefícios'!X90+'Encargos e Benefícios'!Y90+'Encargos e Benefícios'!Z90+'Encargos e Benefícios'!AA90+'Encargos e Benefícios'!AB90+'Gastos com Pessoal'!P91+'Gastos com Pessoal'!V91+'Gastos com Pessoal'!AB91)*5.84%</f>
        <v>21.620452924340121</v>
      </c>
      <c r="AI91" s="256">
        <f>('Encargos e Benefícios'!V90+'Gastos com Pessoal'!Q91+'Gastos com Pessoal'!W91+'Gastos com Pessoal'!AC91)*5.84%</f>
        <v>6.4435527594526558</v>
      </c>
      <c r="AJ91" s="257"/>
      <c r="AK91" s="296">
        <f>'Encargos e Benefícios'!D90</f>
        <v>1465.88</v>
      </c>
      <c r="AL91" s="296">
        <f>IF('Encargos e Benefícios'!C90=0,0,'Encargos e Benefícios'!U90/'Encargos e Benefícios'!C90)</f>
        <v>1171.3195577777778</v>
      </c>
      <c r="AM91" s="296">
        <f>IF('Encargos e Benefícios'!C90=0,0,'Encargos e Benefícios'!AC90/'Encargos e Benefícios'!C90)</f>
        <v>934.51</v>
      </c>
      <c r="AN91" s="297">
        <f>IF('Encargos e Benefícios'!C90=0,0,'Encargos e Benefícios'!AD90/'Encargos e Benefícios'!C90)</f>
        <v>3571.7095577777782</v>
      </c>
      <c r="AO91" s="188">
        <v>1481.02</v>
      </c>
      <c r="AP91" s="298">
        <v>1302</v>
      </c>
      <c r="AQ91" s="298">
        <v>1660.04</v>
      </c>
      <c r="AR91" s="299" t="s">
        <v>107</v>
      </c>
      <c r="AS91" s="188"/>
    </row>
    <row r="92" spans="1:45">
      <c r="A92" s="286">
        <v>86</v>
      </c>
      <c r="B92" s="81" t="str">
        <f>'Encargos e Benefícios'!B91</f>
        <v>Motorista</v>
      </c>
      <c r="C92" s="287">
        <f>'Encargos e Benefícios'!C91</f>
        <v>1</v>
      </c>
      <c r="D92" s="288">
        <v>40</v>
      </c>
      <c r="E92" s="300">
        <v>45658</v>
      </c>
      <c r="F92" s="301">
        <v>47058</v>
      </c>
      <c r="G92" s="293"/>
      <c r="H92" s="294"/>
      <c r="I92" s="256"/>
      <c r="J92" s="256"/>
      <c r="K92" s="256"/>
      <c r="L92" s="256"/>
      <c r="M92" s="293">
        <v>45778</v>
      </c>
      <c r="N92" s="294">
        <v>5.8400000000000001E-2</v>
      </c>
      <c r="O92" s="256">
        <f>'Encargos e Benefícios'!W91*5.84%</f>
        <v>30.905280000000001</v>
      </c>
      <c r="P92" s="256">
        <f>('Encargos e Benefícios'!X91+'Encargos e Benefícios'!Y91+'Encargos e Benefícios'!Z91+'Encargos e Benefícios'!AA91+'Encargos e Benefícios'!AB91)*5.84%</f>
        <v>18.235399999999998</v>
      </c>
      <c r="Q92" s="256">
        <f>'Encargos e Benefícios'!V91*5.84%</f>
        <v>5.434704</v>
      </c>
      <c r="R92" s="256"/>
      <c r="S92" s="293">
        <v>46143</v>
      </c>
      <c r="T92" s="294">
        <v>5.8400000000000001E-2</v>
      </c>
      <c r="U92" s="256">
        <f>('Encargos e Benefícios'!W91+'Gastos com Pessoal'!O92)*5.84%</f>
        <v>32.710148351999997</v>
      </c>
      <c r="V92" s="256">
        <f>('Encargos e Benefícios'!X91+'Encargos e Benefícios'!Y91+'Encargos e Benefícios'!Z91+'Encargos e Benefícios'!AA91+'Encargos e Benefícios'!AB91+'Gastos com Pessoal'!P92)*5.84%</f>
        <v>19.300347360000004</v>
      </c>
      <c r="W92" s="256">
        <f>('Encargos e Benefícios'!V91+'Gastos com Pessoal'!Q92)*5.84%</f>
        <v>5.7520907136000003</v>
      </c>
      <c r="X92" s="256"/>
      <c r="Y92" s="293">
        <v>46508</v>
      </c>
      <c r="Z92" s="294">
        <v>5.8400000000000001E-2</v>
      </c>
      <c r="AA92" s="256">
        <f>('Encargos e Benefícios'!W91+'Gastos com Pessoal'!O92+'Gastos com Pessoal'!U92)*5.84%</f>
        <v>34.620421015756804</v>
      </c>
      <c r="AB92" s="256">
        <f>('Encargos e Benefícios'!X91+'Encargos e Benefícios'!Y91+'Encargos e Benefícios'!Z91+'Encargos e Benefícios'!AA91+'Encargos e Benefícios'!AB91+'Gastos com Pessoal'!P92+'Gastos com Pessoal'!V92)*5.84%</f>
        <v>20.427487645824002</v>
      </c>
      <c r="AC92" s="256">
        <f>('Encargos e Benefícios'!V91+'Gastos com Pessoal'!Q92+'Gastos com Pessoal'!W92)*5.84%</f>
        <v>6.0880128112742398</v>
      </c>
      <c r="AD92" s="256"/>
      <c r="AE92" s="293">
        <v>46874</v>
      </c>
      <c r="AF92" s="294">
        <v>5.8400000000000001E-2</v>
      </c>
      <c r="AG92" s="256">
        <f>('Encargos e Benefícios'!W91+'Gastos com Pessoal'!O92+'Gastos com Pessoal'!U92+'Gastos com Pessoal'!AA92)*5.84%</f>
        <v>36.642253603077002</v>
      </c>
      <c r="AH92" s="256">
        <f>('Encargos e Benefícios'!X91+'Encargos e Benefícios'!Y91+'Encargos e Benefícios'!Z91+'Encargos e Benefícios'!AA91+'Encargos e Benefícios'!AB91+'Gastos com Pessoal'!P92+'Gastos com Pessoal'!V92+'Gastos com Pessoal'!AB92)*5.84%</f>
        <v>21.620452924340121</v>
      </c>
      <c r="AI92" s="256">
        <f>('Encargos e Benefícios'!V91+'Gastos com Pessoal'!Q92+'Gastos com Pessoal'!W92+'Gastos com Pessoal'!AC92)*5.84%</f>
        <v>6.4435527594526558</v>
      </c>
      <c r="AJ92" s="257"/>
      <c r="AK92" s="296">
        <f>'Encargos e Benefícios'!D91</f>
        <v>1537.21</v>
      </c>
      <c r="AL92" s="296">
        <f>IF('Encargos e Benefícios'!C91=0,0,'Encargos e Benefícios'!U91/'Encargos e Benefícios'!C91)</f>
        <v>1228.3161905555557</v>
      </c>
      <c r="AM92" s="296">
        <f>IF('Encargos e Benefícios'!C91=0,0,'Encargos e Benefícios'!AC91/'Encargos e Benefícios'!C91)</f>
        <v>934.51</v>
      </c>
      <c r="AN92" s="297">
        <f>IF('Encargos e Benefícios'!C91=0,0,'Encargos e Benefícios'!AD91/'Encargos e Benefícios'!C91)</f>
        <v>3700.0361905555555</v>
      </c>
      <c r="AO92" s="188">
        <v>1826.28</v>
      </c>
      <c r="AP92" s="298">
        <v>1452.39</v>
      </c>
      <c r="AQ92" s="298">
        <v>2200.17</v>
      </c>
      <c r="AR92" s="299" t="s">
        <v>107</v>
      </c>
      <c r="AS92" s="188"/>
    </row>
    <row r="93" spans="1:45">
      <c r="A93" s="286">
        <v>87</v>
      </c>
      <c r="B93" s="81" t="str">
        <f>'Encargos e Benefícios'!B92</f>
        <v>Socioeducador - DC</v>
      </c>
      <c r="C93" s="287">
        <f>'Encargos e Benefícios'!C92</f>
        <v>2</v>
      </c>
      <c r="D93" s="288" t="s">
        <v>496</v>
      </c>
      <c r="E93" s="300">
        <v>45658</v>
      </c>
      <c r="F93" s="301">
        <v>47058</v>
      </c>
      <c r="G93" s="293"/>
      <c r="H93" s="294"/>
      <c r="I93" s="256"/>
      <c r="J93" s="256"/>
      <c r="K93" s="256"/>
      <c r="L93" s="256"/>
      <c r="M93" s="293">
        <v>45778</v>
      </c>
      <c r="N93" s="294">
        <v>5.8400000000000001E-2</v>
      </c>
      <c r="O93" s="256">
        <f>'Encargos e Benefícios'!W92*5.84%</f>
        <v>61.810560000000002</v>
      </c>
      <c r="P93" s="256">
        <f>('Encargos e Benefícios'!X92+'Encargos e Benefícios'!Y92+'Encargos e Benefícios'!Z92+'Encargos e Benefícios'!AA92+'Encargos e Benefícios'!AB92)*5.84%</f>
        <v>36.470799999999997</v>
      </c>
      <c r="Q93" s="256">
        <f>'Encargos e Benefícios'!V92*5.84%</f>
        <v>7.4109600000000002</v>
      </c>
      <c r="R93" s="256"/>
      <c r="S93" s="293">
        <v>46143</v>
      </c>
      <c r="T93" s="294">
        <v>5.8400000000000001E-2</v>
      </c>
      <c r="U93" s="256">
        <f>('Encargos e Benefícios'!W92+'Gastos com Pessoal'!O93)*5.84%</f>
        <v>65.420296703999995</v>
      </c>
      <c r="V93" s="256">
        <f>('Encargos e Benefícios'!X92+'Encargos e Benefícios'!Y92+'Encargos e Benefícios'!Z92+'Encargos e Benefícios'!AA92+'Encargos e Benefícios'!AB92+'Gastos com Pessoal'!P93)*5.84%</f>
        <v>38.600694720000007</v>
      </c>
      <c r="W93" s="256">
        <f>('Encargos e Benefícios'!V92+'Gastos com Pessoal'!Q93)*5.84%</f>
        <v>7.8437600639999996</v>
      </c>
      <c r="X93" s="256"/>
      <c r="Y93" s="293">
        <v>46508</v>
      </c>
      <c r="Z93" s="294">
        <v>5.8400000000000001E-2</v>
      </c>
      <c r="AA93" s="256">
        <f>('Encargos e Benefícios'!W92+'Gastos com Pessoal'!O93+'Gastos com Pessoal'!U93)*5.84%</f>
        <v>69.240842031513608</v>
      </c>
      <c r="AB93" s="256">
        <f>('Encargos e Benefícios'!X92+'Encargos e Benefícios'!Y92+'Encargos e Benefícios'!Z92+'Encargos e Benefícios'!AA92+'Encargos e Benefícios'!AB92+'Gastos com Pessoal'!P93+'Gastos com Pessoal'!V93)*5.84%</f>
        <v>40.854975291648003</v>
      </c>
      <c r="AC93" s="256">
        <f>('Encargos e Benefícios'!V92+'Gastos com Pessoal'!Q93+'Gastos com Pessoal'!W93)*5.84%</f>
        <v>8.3018356517375995</v>
      </c>
      <c r="AD93" s="256"/>
      <c r="AE93" s="293">
        <v>46874</v>
      </c>
      <c r="AF93" s="294">
        <v>5.8400000000000001E-2</v>
      </c>
      <c r="AG93" s="256">
        <f>('Encargos e Benefícios'!W92+'Gastos com Pessoal'!O93+'Gastos com Pessoal'!U93+'Gastos com Pessoal'!AA93)*5.84%</f>
        <v>73.284507206154004</v>
      </c>
      <c r="AH93" s="256">
        <f>('Encargos e Benefícios'!X92+'Encargos e Benefícios'!Y92+'Encargos e Benefícios'!Z92+'Encargos e Benefícios'!AA92+'Encargos e Benefícios'!AB92+'Gastos com Pessoal'!P93+'Gastos com Pessoal'!V93+'Gastos com Pessoal'!AB93)*5.84%</f>
        <v>43.240905848680242</v>
      </c>
      <c r="AI93" s="256">
        <f>('Encargos e Benefícios'!V92+'Gastos com Pessoal'!Q93+'Gastos com Pessoal'!W93+'Gastos com Pessoal'!AC93)*5.84%</f>
        <v>8.7866628537990756</v>
      </c>
      <c r="AJ93" s="257"/>
      <c r="AK93" s="296">
        <f>'Encargos e Benefícios'!D92</f>
        <v>2010.96</v>
      </c>
      <c r="AL93" s="296">
        <f>IF('Encargos e Benefícios'!C92=0,0,'Encargos e Benefícios'!U92/'Encargos e Benefícios'!C92)</f>
        <v>2942.4053904000002</v>
      </c>
      <c r="AM93" s="296">
        <f>IF('Encargos e Benefícios'!C92=0,0,'Encargos e Benefícios'!AC92/'Encargos e Benefícios'!C92)</f>
        <v>904.90000000000009</v>
      </c>
      <c r="AN93" s="297">
        <f>IF('Encargos e Benefícios'!C92=0,0,'Encargos e Benefícios'!AD92/'Encargos e Benefícios'!C92)</f>
        <v>5858.2653903999999</v>
      </c>
      <c r="AO93" s="188">
        <v>2752.21</v>
      </c>
      <c r="AP93" s="298">
        <v>1764.5</v>
      </c>
      <c r="AQ93" s="298">
        <v>3739.92</v>
      </c>
      <c r="AR93" s="299" t="s">
        <v>107</v>
      </c>
      <c r="AS93" s="188"/>
    </row>
    <row r="94" spans="1:45">
      <c r="A94" s="286">
        <v>88</v>
      </c>
      <c r="B94" s="81" t="str">
        <f>'Encargos e Benefícios'!B93</f>
        <v>Socioeducador - D</v>
      </c>
      <c r="C94" s="287">
        <f>'Encargos e Benefícios'!C93</f>
        <v>8</v>
      </c>
      <c r="D94" s="288" t="s">
        <v>496</v>
      </c>
      <c r="E94" s="300">
        <v>45658</v>
      </c>
      <c r="F94" s="301">
        <v>47058</v>
      </c>
      <c r="G94" s="293"/>
      <c r="H94" s="294"/>
      <c r="I94" s="256"/>
      <c r="J94" s="256"/>
      <c r="K94" s="256"/>
      <c r="L94" s="256"/>
      <c r="M94" s="293">
        <v>45778</v>
      </c>
      <c r="N94" s="294">
        <v>5.8400000000000001E-2</v>
      </c>
      <c r="O94" s="256">
        <f>'Encargos e Benefícios'!W93*5.84%</f>
        <v>247.24224000000001</v>
      </c>
      <c r="P94" s="256">
        <f>('Encargos e Benefícios'!X93+'Encargos e Benefícios'!Y93+'Encargos e Benefícios'!Z93+'Encargos e Benefícios'!AA93+'Encargos e Benefícios'!AB93)*5.84%</f>
        <v>145.88319999999999</v>
      </c>
      <c r="Q94" s="256">
        <f>'Encargos e Benefícios'!V93*5.84%</f>
        <v>29.643840000000001</v>
      </c>
      <c r="R94" s="256"/>
      <c r="S94" s="293">
        <v>46143</v>
      </c>
      <c r="T94" s="294">
        <v>5.8400000000000001E-2</v>
      </c>
      <c r="U94" s="256">
        <f>('Encargos e Benefícios'!W93+'Gastos com Pessoal'!O94)*5.84%</f>
        <v>261.68118681599998</v>
      </c>
      <c r="V94" s="256">
        <f>('Encargos e Benefícios'!X93+'Encargos e Benefícios'!Y93+'Encargos e Benefícios'!Z93+'Encargos e Benefícios'!AA93+'Encargos e Benefícios'!AB93+'Gastos com Pessoal'!P94)*5.84%</f>
        <v>154.40277888000003</v>
      </c>
      <c r="W94" s="256">
        <f>('Encargos e Benefícios'!V93+'Gastos com Pessoal'!Q94)*5.84%</f>
        <v>31.375040255999998</v>
      </c>
      <c r="X94" s="256"/>
      <c r="Y94" s="293">
        <v>46508</v>
      </c>
      <c r="Z94" s="294">
        <v>5.8400000000000001E-2</v>
      </c>
      <c r="AA94" s="256">
        <f>('Encargos e Benefícios'!W93+'Gastos com Pessoal'!O94+'Gastos com Pessoal'!U94)*5.84%</f>
        <v>276.96336812605443</v>
      </c>
      <c r="AB94" s="256">
        <f>('Encargos e Benefícios'!X93+'Encargos e Benefícios'!Y93+'Encargos e Benefícios'!Z93+'Encargos e Benefícios'!AA93+'Encargos e Benefícios'!AB93+'Gastos com Pessoal'!P94+'Gastos com Pessoal'!V94)*5.84%</f>
        <v>163.41990116659201</v>
      </c>
      <c r="AC94" s="256">
        <f>('Encargos e Benefícios'!V93+'Gastos com Pessoal'!Q94+'Gastos com Pessoal'!W94)*5.84%</f>
        <v>33.207342606950398</v>
      </c>
      <c r="AD94" s="256"/>
      <c r="AE94" s="293">
        <v>46874</v>
      </c>
      <c r="AF94" s="294">
        <v>5.8400000000000001E-2</v>
      </c>
      <c r="AG94" s="256">
        <f>('Encargos e Benefícios'!W93+'Gastos com Pessoal'!O94+'Gastos com Pessoal'!U94+'Gastos com Pessoal'!AA94)*5.84%</f>
        <v>293.13802882461601</v>
      </c>
      <c r="AH94" s="256">
        <f>('Encargos e Benefícios'!X93+'Encargos e Benefícios'!Y93+'Encargos e Benefícios'!Z93+'Encargos e Benefícios'!AA93+'Encargos e Benefícios'!AB93+'Gastos com Pessoal'!P94+'Gastos com Pessoal'!V94+'Gastos com Pessoal'!AB94)*5.84%</f>
        <v>172.96362339472097</v>
      </c>
      <c r="AI94" s="256">
        <f>('Encargos e Benefícios'!V93+'Gastos com Pessoal'!Q94+'Gastos com Pessoal'!W94+'Gastos com Pessoal'!AC94)*5.84%</f>
        <v>35.146651415196303</v>
      </c>
      <c r="AJ94" s="257"/>
      <c r="AK94" s="296">
        <f>'Encargos e Benefícios'!D93</f>
        <v>2010.96</v>
      </c>
      <c r="AL94" s="296">
        <f>IF('Encargos e Benefícios'!C93=0,0,'Encargos e Benefícios'!U93/'Encargos e Benefícios'!C93)</f>
        <v>2591.2415003999995</v>
      </c>
      <c r="AM94" s="296">
        <f>IF('Encargos e Benefícios'!C93=0,0,'Encargos e Benefícios'!AC93/'Encargos e Benefícios'!C93)</f>
        <v>904.90000000000009</v>
      </c>
      <c r="AN94" s="297">
        <f>IF('Encargos e Benefícios'!C93=0,0,'Encargos e Benefícios'!AD93/'Encargos e Benefícios'!C93)</f>
        <v>5507.1015004000001</v>
      </c>
      <c r="AO94" s="188">
        <v>2752.21</v>
      </c>
      <c r="AP94" s="298">
        <v>1764.5</v>
      </c>
      <c r="AQ94" s="298">
        <v>3739.92</v>
      </c>
      <c r="AR94" s="299" t="s">
        <v>107</v>
      </c>
      <c r="AS94" s="188"/>
    </row>
    <row r="95" spans="1:45">
      <c r="A95" s="286">
        <v>89</v>
      </c>
      <c r="B95" s="81" t="str">
        <f>'Encargos e Benefícios'!B94</f>
        <v>Socioeducador - NC</v>
      </c>
      <c r="C95" s="287">
        <f>'Encargos e Benefícios'!C94</f>
        <v>2</v>
      </c>
      <c r="D95" s="288" t="s">
        <v>496</v>
      </c>
      <c r="E95" s="300">
        <v>45658</v>
      </c>
      <c r="F95" s="301">
        <v>47058</v>
      </c>
      <c r="G95" s="293"/>
      <c r="H95" s="294"/>
      <c r="I95" s="256"/>
      <c r="J95" s="256"/>
      <c r="K95" s="256"/>
      <c r="L95" s="256"/>
      <c r="M95" s="293">
        <v>45778</v>
      </c>
      <c r="N95" s="294">
        <v>5.8400000000000001E-2</v>
      </c>
      <c r="O95" s="256">
        <f>'Encargos e Benefícios'!W94*5.84%</f>
        <v>61.810560000000002</v>
      </c>
      <c r="P95" s="256">
        <f>('Encargos e Benefícios'!X94+'Encargos e Benefícios'!Y94+'Encargos e Benefícios'!Z94+'Encargos e Benefícios'!AA94+'Encargos e Benefícios'!AB94)*5.84%</f>
        <v>36.470799999999997</v>
      </c>
      <c r="Q95" s="256">
        <f>'Encargos e Benefícios'!V94*5.84%</f>
        <v>7.4109600000000002</v>
      </c>
      <c r="R95" s="256"/>
      <c r="S95" s="293">
        <v>46143</v>
      </c>
      <c r="T95" s="294">
        <v>5.8400000000000001E-2</v>
      </c>
      <c r="U95" s="256">
        <f>('Encargos e Benefícios'!W94+'Gastos com Pessoal'!O95)*5.84%</f>
        <v>65.420296703999995</v>
      </c>
      <c r="V95" s="256">
        <f>('Encargos e Benefícios'!X94+'Encargos e Benefícios'!Y94+'Encargos e Benefícios'!Z94+'Encargos e Benefícios'!AA94+'Encargos e Benefícios'!AB94+'Gastos com Pessoal'!P95)*5.84%</f>
        <v>38.600694720000007</v>
      </c>
      <c r="W95" s="256">
        <f>('Encargos e Benefícios'!V94+'Gastos com Pessoal'!Q95)*5.84%</f>
        <v>7.8437600639999996</v>
      </c>
      <c r="X95" s="256"/>
      <c r="Y95" s="293">
        <v>46508</v>
      </c>
      <c r="Z95" s="294">
        <v>5.8400000000000001E-2</v>
      </c>
      <c r="AA95" s="256">
        <f>('Encargos e Benefícios'!W94+'Gastos com Pessoal'!O95+'Gastos com Pessoal'!U95)*5.84%</f>
        <v>69.240842031513608</v>
      </c>
      <c r="AB95" s="256">
        <f>('Encargos e Benefícios'!X94+'Encargos e Benefícios'!Y94+'Encargos e Benefícios'!Z94+'Encargos e Benefícios'!AA94+'Encargos e Benefícios'!AB94+'Gastos com Pessoal'!P95+'Gastos com Pessoal'!V95)*5.84%</f>
        <v>40.854975291648003</v>
      </c>
      <c r="AC95" s="256">
        <f>('Encargos e Benefícios'!V94+'Gastos com Pessoal'!Q95+'Gastos com Pessoal'!W95)*5.84%</f>
        <v>8.3018356517375995</v>
      </c>
      <c r="AD95" s="256"/>
      <c r="AE95" s="293">
        <v>46874</v>
      </c>
      <c r="AF95" s="294">
        <v>5.8400000000000001E-2</v>
      </c>
      <c r="AG95" s="256">
        <f>('Encargos e Benefícios'!W94+'Gastos com Pessoal'!O95+'Gastos com Pessoal'!U95+'Gastos com Pessoal'!AA95)*5.84%</f>
        <v>73.284507206154004</v>
      </c>
      <c r="AH95" s="256">
        <f>('Encargos e Benefícios'!X94+'Encargos e Benefícios'!Y94+'Encargos e Benefícios'!Z94+'Encargos e Benefícios'!AA94+'Encargos e Benefícios'!AB94+'Gastos com Pessoal'!P95+'Gastos com Pessoal'!V95+'Gastos com Pessoal'!AB95)*5.84%</f>
        <v>43.240905848680242</v>
      </c>
      <c r="AI95" s="256">
        <f>('Encargos e Benefícios'!V94+'Gastos com Pessoal'!Q95+'Gastos com Pessoal'!W95+'Gastos com Pessoal'!AC95)*5.84%</f>
        <v>8.7866628537990756</v>
      </c>
      <c r="AJ95" s="257"/>
      <c r="AK95" s="296">
        <f>'Encargos e Benefícios'!D94</f>
        <v>2010.96</v>
      </c>
      <c r="AL95" s="296">
        <f>IF('Encargos e Benefícios'!C94=0,0,'Encargos e Benefícios'!U94/'Encargos e Benefícios'!C94)</f>
        <v>3553.5688062933345</v>
      </c>
      <c r="AM95" s="296">
        <f>IF('Encargos e Benefícios'!C94=0,0,'Encargos e Benefícios'!AC94/'Encargos e Benefícios'!C94)</f>
        <v>904.90000000000009</v>
      </c>
      <c r="AN95" s="297">
        <f>IF('Encargos e Benefícios'!C94=0,0,'Encargos e Benefícios'!AD94/'Encargos e Benefícios'!C94)</f>
        <v>6469.4288062933338</v>
      </c>
      <c r="AO95" s="188">
        <v>2752.21</v>
      </c>
      <c r="AP95" s="298">
        <v>1764.5</v>
      </c>
      <c r="AQ95" s="298">
        <v>3739.92</v>
      </c>
      <c r="AR95" s="299" t="s">
        <v>107</v>
      </c>
      <c r="AS95" s="188"/>
    </row>
    <row r="96" spans="1:45" ht="13" thickBot="1">
      <c r="A96" s="286">
        <v>90</v>
      </c>
      <c r="B96" s="81" t="str">
        <f>'Encargos e Benefícios'!B95</f>
        <v>Socioeducador - N</v>
      </c>
      <c r="C96" s="287">
        <f>'Encargos e Benefícios'!C95</f>
        <v>4</v>
      </c>
      <c r="D96" s="288" t="s">
        <v>496</v>
      </c>
      <c r="E96" s="300">
        <v>45658</v>
      </c>
      <c r="F96" s="301">
        <v>47058</v>
      </c>
      <c r="G96" s="293"/>
      <c r="H96" s="294"/>
      <c r="I96" s="256"/>
      <c r="J96" s="256"/>
      <c r="K96" s="256"/>
      <c r="L96" s="256"/>
      <c r="M96" s="293">
        <v>45778</v>
      </c>
      <c r="N96" s="294">
        <v>5.8400000000000001E-2</v>
      </c>
      <c r="O96" s="256">
        <f>'Encargos e Benefícios'!W95*5.84%</f>
        <v>123.62112</v>
      </c>
      <c r="P96" s="256">
        <f>('Encargos e Benefícios'!X95+'Encargos e Benefícios'!Y95+'Encargos e Benefícios'!Z95+'Encargos e Benefícios'!AA95+'Encargos e Benefícios'!AB95)*5.84%</f>
        <v>72.941599999999994</v>
      </c>
      <c r="Q96" s="256">
        <f>'Encargos e Benefícios'!V95*5.84%</f>
        <v>14.82192</v>
      </c>
      <c r="R96" s="256"/>
      <c r="S96" s="293">
        <v>46143</v>
      </c>
      <c r="T96" s="294">
        <v>5.8400000000000001E-2</v>
      </c>
      <c r="U96" s="256">
        <f>('Encargos e Benefícios'!W95+'Gastos com Pessoal'!O96)*5.84%</f>
        <v>130.84059340799999</v>
      </c>
      <c r="V96" s="256">
        <f>('Encargos e Benefícios'!X95+'Encargos e Benefícios'!Y95+'Encargos e Benefícios'!Z95+'Encargos e Benefícios'!AA95+'Encargos e Benefícios'!AB95+'Gastos com Pessoal'!P96)*5.84%</f>
        <v>77.201389440000014</v>
      </c>
      <c r="W96" s="256">
        <f>('Encargos e Benefícios'!V95+'Gastos com Pessoal'!Q96)*5.84%</f>
        <v>15.687520127999999</v>
      </c>
      <c r="X96" s="256"/>
      <c r="Y96" s="293">
        <v>46508</v>
      </c>
      <c r="Z96" s="294">
        <v>5.8400000000000001E-2</v>
      </c>
      <c r="AA96" s="256">
        <f>('Encargos e Benefícios'!W95+'Gastos com Pessoal'!O96+'Gastos com Pessoal'!U96)*5.84%</f>
        <v>138.48168406302722</v>
      </c>
      <c r="AB96" s="256">
        <f>('Encargos e Benefícios'!X95+'Encargos e Benefícios'!Y95+'Encargos e Benefícios'!Z95+'Encargos e Benefícios'!AA95+'Encargos e Benefícios'!AB95+'Gastos com Pessoal'!P96+'Gastos com Pessoal'!V96)*5.84%</f>
        <v>81.709950583296006</v>
      </c>
      <c r="AC96" s="256">
        <f>('Encargos e Benefícios'!V95+'Gastos com Pessoal'!Q96+'Gastos com Pessoal'!W96)*5.84%</f>
        <v>16.603671303475199</v>
      </c>
      <c r="AD96" s="256"/>
      <c r="AE96" s="293">
        <v>46874</v>
      </c>
      <c r="AF96" s="294">
        <v>5.8400000000000001E-2</v>
      </c>
      <c r="AG96" s="256">
        <f>('Encargos e Benefícios'!W95+'Gastos com Pessoal'!O96+'Gastos com Pessoal'!U96+'Gastos com Pessoal'!AA96)*5.84%</f>
        <v>146.56901441230801</v>
      </c>
      <c r="AH96" s="256">
        <f>('Encargos e Benefícios'!X95+'Encargos e Benefícios'!Y95+'Encargos e Benefícios'!Z95+'Encargos e Benefícios'!AA95+'Encargos e Benefícios'!AB95+'Gastos com Pessoal'!P96+'Gastos com Pessoal'!V96+'Gastos com Pessoal'!AB96)*5.84%</f>
        <v>86.481811697360484</v>
      </c>
      <c r="AI96" s="256">
        <f>('Encargos e Benefícios'!V95+'Gastos com Pessoal'!Q96+'Gastos com Pessoal'!W96+'Gastos com Pessoal'!AC96)*5.84%</f>
        <v>17.573325707598151</v>
      </c>
      <c r="AJ96" s="257"/>
      <c r="AK96" s="296">
        <f>'Encargos e Benefícios'!D95</f>
        <v>2010.96</v>
      </c>
      <c r="AL96" s="296">
        <f>IF('Encargos e Benefícios'!C95=0,0,'Encargos e Benefícios'!U95/'Encargos e Benefícios'!C95)</f>
        <v>3202.4049162933334</v>
      </c>
      <c r="AM96" s="296">
        <f>IF('Encargos e Benefícios'!C95=0,0,'Encargos e Benefícios'!AC95/'Encargos e Benefícios'!C95)</f>
        <v>904.90000000000009</v>
      </c>
      <c r="AN96" s="297">
        <f>IF('Encargos e Benefícios'!C95=0,0,'Encargos e Benefícios'!AD95/'Encargos e Benefícios'!C95)</f>
        <v>6118.264916293334</v>
      </c>
      <c r="AO96" s="188">
        <v>2752.21</v>
      </c>
      <c r="AP96" s="298">
        <v>1764.5</v>
      </c>
      <c r="AQ96" s="298">
        <v>3739.92</v>
      </c>
      <c r="AR96" s="299" t="s">
        <v>107</v>
      </c>
      <c r="AS96" s="188"/>
    </row>
    <row r="97" spans="1:45">
      <c r="A97" s="286">
        <v>91</v>
      </c>
      <c r="B97" s="81" t="str">
        <f>'Encargos e Benefícios'!B96</f>
        <v>Diretor Geral de Unidade Socioeducativa</v>
      </c>
      <c r="C97" s="287">
        <f>'Encargos e Benefícios'!C96</f>
        <v>1</v>
      </c>
      <c r="D97" s="288">
        <v>40</v>
      </c>
      <c r="E97" s="289">
        <v>45658</v>
      </c>
      <c r="F97" s="290">
        <v>47058</v>
      </c>
      <c r="G97" s="293"/>
      <c r="H97" s="294"/>
      <c r="I97" s="256"/>
      <c r="J97" s="256"/>
      <c r="K97" s="256"/>
      <c r="L97" s="256"/>
      <c r="M97" s="293">
        <v>45778</v>
      </c>
      <c r="N97" s="294">
        <v>5.8400000000000001E-2</v>
      </c>
      <c r="O97" s="256">
        <f>'Encargos e Benefícios'!W96*5.84%</f>
        <v>30.905280000000001</v>
      </c>
      <c r="P97" s="256">
        <f>('Encargos e Benefícios'!X96+'Encargos e Benefícios'!Y96+'Encargos e Benefícios'!Z96+'Encargos e Benefícios'!AA96+'Encargos e Benefícios'!AB96)*5.84%</f>
        <v>18.235399999999998</v>
      </c>
      <c r="Q97" s="256">
        <f>'Encargos e Benefícios'!V96*5.84%</f>
        <v>0</v>
      </c>
      <c r="R97" s="256"/>
      <c r="S97" s="293">
        <v>46143</v>
      </c>
      <c r="T97" s="294">
        <v>5.8400000000000001E-2</v>
      </c>
      <c r="U97" s="256">
        <f>('Encargos e Benefícios'!W96+'Gastos com Pessoal'!O97)*5.84%</f>
        <v>32.710148351999997</v>
      </c>
      <c r="V97" s="256">
        <f>('Encargos e Benefícios'!X96+'Encargos e Benefícios'!Y96+'Encargos e Benefícios'!Z96+'Encargos e Benefícios'!AA96+'Encargos e Benefícios'!AB96+'Gastos com Pessoal'!P97)*5.84%</f>
        <v>19.300347360000004</v>
      </c>
      <c r="W97" s="256">
        <f>('Encargos e Benefícios'!V96+'Gastos com Pessoal'!Q97)*5.84%</f>
        <v>0</v>
      </c>
      <c r="X97" s="256"/>
      <c r="Y97" s="293">
        <v>46508</v>
      </c>
      <c r="Z97" s="294">
        <v>5.8400000000000001E-2</v>
      </c>
      <c r="AA97" s="256">
        <f>('Encargos e Benefícios'!W96+'Gastos com Pessoal'!O97+'Gastos com Pessoal'!U97)*5.84%</f>
        <v>34.620421015756804</v>
      </c>
      <c r="AB97" s="256">
        <f>('Encargos e Benefícios'!X96+'Encargos e Benefícios'!Y96+'Encargos e Benefícios'!Z96+'Encargos e Benefícios'!AA96+'Encargos e Benefícios'!AB96+'Gastos com Pessoal'!P97+'Gastos com Pessoal'!V97)*5.84%</f>
        <v>20.427487645824002</v>
      </c>
      <c r="AC97" s="256">
        <f>('Encargos e Benefícios'!V96+'Gastos com Pessoal'!Q97+'Gastos com Pessoal'!W97)*5.84%</f>
        <v>0</v>
      </c>
      <c r="AD97" s="256"/>
      <c r="AE97" s="293">
        <v>46874</v>
      </c>
      <c r="AF97" s="294">
        <v>5.8400000000000001E-2</v>
      </c>
      <c r="AG97" s="256">
        <f>('Encargos e Benefícios'!W96+'Gastos com Pessoal'!O97+'Gastos com Pessoal'!U97+'Gastos com Pessoal'!AA97)*5.84%</f>
        <v>36.642253603077002</v>
      </c>
      <c r="AH97" s="256">
        <f>('Encargos e Benefícios'!X96+'Encargos e Benefícios'!Y96+'Encargos e Benefícios'!Z96+'Encargos e Benefícios'!AA96+'Encargos e Benefícios'!AB96+'Gastos com Pessoal'!P97+'Gastos com Pessoal'!V97+'Gastos com Pessoal'!AB97)*5.84%</f>
        <v>21.620452924340121</v>
      </c>
      <c r="AI97" s="256">
        <f>('Encargos e Benefícios'!V96+'Gastos com Pessoal'!Q97+'Gastos com Pessoal'!W97+'Gastos com Pessoal'!AC97)*5.84%</f>
        <v>0</v>
      </c>
      <c r="AJ97" s="257"/>
      <c r="AK97" s="296">
        <f>'Encargos e Benefícios'!D96</f>
        <v>6879.6</v>
      </c>
      <c r="AL97" s="296">
        <f>IF('Encargos e Benefícios'!C96=0,0,'Encargos e Benefícios'!U96/'Encargos e Benefícios'!C96)</f>
        <v>5400.8682000000008</v>
      </c>
      <c r="AM97" s="296">
        <f>IF('Encargos e Benefícios'!C96=0,0,'Encargos e Benefícios'!AC96/'Encargos e Benefícios'!C96)</f>
        <v>841.45</v>
      </c>
      <c r="AN97" s="297">
        <f>IF('Encargos e Benefícios'!C96=0,0,'Encargos e Benefícios'!AD96/'Encargos e Benefícios'!C96)</f>
        <v>13121.918200000002</v>
      </c>
      <c r="AO97" s="188">
        <v>6052.24</v>
      </c>
      <c r="AP97" s="298">
        <v>4239.6899999999996</v>
      </c>
      <c r="AQ97" s="298">
        <v>7864.78</v>
      </c>
      <c r="AR97" s="299" t="s">
        <v>108</v>
      </c>
      <c r="AS97" s="188"/>
    </row>
    <row r="98" spans="1:45">
      <c r="A98" s="286">
        <v>92</v>
      </c>
      <c r="B98" s="81" t="str">
        <f>'Encargos e Benefícios'!B97</f>
        <v>Subdiretor de Segurança</v>
      </c>
      <c r="C98" s="287">
        <f>'Encargos e Benefícios'!C97</f>
        <v>1</v>
      </c>
      <c r="D98" s="288">
        <v>40</v>
      </c>
      <c r="E98" s="300">
        <v>45658</v>
      </c>
      <c r="F98" s="301">
        <v>47058</v>
      </c>
      <c r="G98" s="293"/>
      <c r="H98" s="294"/>
      <c r="I98" s="256"/>
      <c r="J98" s="256"/>
      <c r="K98" s="256"/>
      <c r="L98" s="256"/>
      <c r="M98" s="293">
        <v>45778</v>
      </c>
      <c r="N98" s="294">
        <v>5.8400000000000001E-2</v>
      </c>
      <c r="O98" s="256">
        <f>'Encargos e Benefícios'!W97*5.84%</f>
        <v>30.905280000000001</v>
      </c>
      <c r="P98" s="256">
        <f>('Encargos e Benefícios'!X97+'Encargos e Benefícios'!Y97+'Encargos e Benefícios'!Z97+'Encargos e Benefícios'!AA97+'Encargos e Benefícios'!AB97)*5.84%</f>
        <v>18.235399999999998</v>
      </c>
      <c r="Q98" s="256">
        <f>'Encargos e Benefícios'!V97*5.84%</f>
        <v>0</v>
      </c>
      <c r="R98" s="256"/>
      <c r="S98" s="293">
        <v>46143</v>
      </c>
      <c r="T98" s="294">
        <v>5.8400000000000001E-2</v>
      </c>
      <c r="U98" s="256">
        <f>('Encargos e Benefícios'!W97+'Gastos com Pessoal'!O98)*5.84%</f>
        <v>32.710148351999997</v>
      </c>
      <c r="V98" s="256">
        <f>('Encargos e Benefícios'!X97+'Encargos e Benefícios'!Y97+'Encargos e Benefícios'!Z97+'Encargos e Benefícios'!AA97+'Encargos e Benefícios'!AB97+'Gastos com Pessoal'!P98)*5.84%</f>
        <v>19.300347360000004</v>
      </c>
      <c r="W98" s="256">
        <f>('Encargos e Benefícios'!V97+'Gastos com Pessoal'!Q98)*5.84%</f>
        <v>0</v>
      </c>
      <c r="X98" s="256"/>
      <c r="Y98" s="293">
        <v>46508</v>
      </c>
      <c r="Z98" s="294">
        <v>5.8400000000000001E-2</v>
      </c>
      <c r="AA98" s="256">
        <f>('Encargos e Benefícios'!W97+'Gastos com Pessoal'!O98+'Gastos com Pessoal'!U98)*5.84%</f>
        <v>34.620421015756804</v>
      </c>
      <c r="AB98" s="256">
        <f>('Encargos e Benefícios'!X97+'Encargos e Benefícios'!Y97+'Encargos e Benefícios'!Z97+'Encargos e Benefícios'!AA97+'Encargos e Benefícios'!AB97+'Gastos com Pessoal'!P98+'Gastos com Pessoal'!V98)*5.84%</f>
        <v>20.427487645824002</v>
      </c>
      <c r="AC98" s="256">
        <f>('Encargos e Benefícios'!V97+'Gastos com Pessoal'!Q98+'Gastos com Pessoal'!W98)*5.84%</f>
        <v>0</v>
      </c>
      <c r="AD98" s="256"/>
      <c r="AE98" s="293">
        <v>46874</v>
      </c>
      <c r="AF98" s="294">
        <v>5.8400000000000001E-2</v>
      </c>
      <c r="AG98" s="256">
        <f>('Encargos e Benefícios'!W97+'Gastos com Pessoal'!O98+'Gastos com Pessoal'!U98+'Gastos com Pessoal'!AA98)*5.84%</f>
        <v>36.642253603077002</v>
      </c>
      <c r="AH98" s="256">
        <f>('Encargos e Benefícios'!X97+'Encargos e Benefícios'!Y97+'Encargos e Benefícios'!Z97+'Encargos e Benefícios'!AA97+'Encargos e Benefícios'!AB97+'Gastos com Pessoal'!P98+'Gastos com Pessoal'!V98+'Gastos com Pessoal'!AB98)*5.84%</f>
        <v>21.620452924340121</v>
      </c>
      <c r="AI98" s="256">
        <f>('Encargos e Benefícios'!V97+'Gastos com Pessoal'!Q98+'Gastos com Pessoal'!W98+'Gastos com Pessoal'!AC98)*5.84%</f>
        <v>0</v>
      </c>
      <c r="AJ98" s="257"/>
      <c r="AK98" s="296">
        <f>'Encargos e Benefícios'!D97</f>
        <v>3993.98</v>
      </c>
      <c r="AL98" s="296">
        <f>IF('Encargos e Benefícios'!C97=0,0,'Encargos e Benefícios'!U97/'Encargos e Benefícios'!C97)</f>
        <v>4659.1662746111106</v>
      </c>
      <c r="AM98" s="296">
        <f>IF('Encargos e Benefícios'!C97=0,0,'Encargos e Benefícios'!AC97/'Encargos e Benefícios'!C97)</f>
        <v>841.45</v>
      </c>
      <c r="AN98" s="297">
        <f>IF('Encargos e Benefícios'!C97=0,0,'Encargos e Benefícios'!AD97/'Encargos e Benefícios'!C97)</f>
        <v>9494.5962746111109</v>
      </c>
      <c r="AO98" s="188">
        <v>4968.99</v>
      </c>
      <c r="AP98" s="298">
        <v>3773.6</v>
      </c>
      <c r="AQ98" s="298">
        <v>6164.38</v>
      </c>
      <c r="AR98" s="299" t="s">
        <v>108</v>
      </c>
      <c r="AS98" s="188"/>
    </row>
    <row r="99" spans="1:45">
      <c r="A99" s="286">
        <v>93</v>
      </c>
      <c r="B99" s="81" t="str">
        <f>'Encargos e Benefícios'!B98</f>
        <v>Advogado</v>
      </c>
      <c r="C99" s="287">
        <f>'Encargos e Benefícios'!C98</f>
        <v>1</v>
      </c>
      <c r="D99" s="288">
        <v>30</v>
      </c>
      <c r="E99" s="300">
        <v>45658</v>
      </c>
      <c r="F99" s="301">
        <v>47058</v>
      </c>
      <c r="G99" s="293"/>
      <c r="H99" s="294"/>
      <c r="I99" s="256"/>
      <c r="J99" s="256"/>
      <c r="K99" s="256"/>
      <c r="L99" s="256"/>
      <c r="M99" s="293">
        <v>45778</v>
      </c>
      <c r="N99" s="294">
        <v>5.8400000000000001E-2</v>
      </c>
      <c r="O99" s="256">
        <f>'Encargos e Benefícios'!W98*5.84%</f>
        <v>30.905280000000001</v>
      </c>
      <c r="P99" s="256">
        <f>('Encargos e Benefícios'!X98+'Encargos e Benefícios'!Y98+'Encargos e Benefícios'!Z98+'Encargos e Benefícios'!AA98+'Encargos e Benefícios'!AB98)*5.84%</f>
        <v>18.235399999999998</v>
      </c>
      <c r="Q99" s="256">
        <f>'Encargos e Benefícios'!V98*5.84%</f>
        <v>6.521528</v>
      </c>
      <c r="R99" s="256"/>
      <c r="S99" s="293">
        <v>46143</v>
      </c>
      <c r="T99" s="294">
        <v>5.8400000000000001E-2</v>
      </c>
      <c r="U99" s="256">
        <f>('Encargos e Benefícios'!W98+'Gastos com Pessoal'!O99)*5.84%</f>
        <v>32.710148351999997</v>
      </c>
      <c r="V99" s="256">
        <f>('Encargos e Benefícios'!X98+'Encargos e Benefícios'!Y98+'Encargos e Benefícios'!Z98+'Encargos e Benefícios'!AA98+'Encargos e Benefícios'!AB98+'Gastos com Pessoal'!P99)*5.84%</f>
        <v>19.300347360000004</v>
      </c>
      <c r="W99" s="256">
        <f>('Encargos e Benefícios'!V98+'Gastos com Pessoal'!Q99)*5.84%</f>
        <v>6.9023852352000006</v>
      </c>
      <c r="X99" s="256"/>
      <c r="Y99" s="293">
        <v>46508</v>
      </c>
      <c r="Z99" s="294">
        <v>5.8400000000000001E-2</v>
      </c>
      <c r="AA99" s="256">
        <f>('Encargos e Benefícios'!W98+'Gastos com Pessoal'!O99+'Gastos com Pessoal'!U99)*5.84%</f>
        <v>34.620421015756804</v>
      </c>
      <c r="AB99" s="256">
        <f>('Encargos e Benefícios'!X98+'Encargos e Benefícios'!Y98+'Encargos e Benefícios'!Z98+'Encargos e Benefícios'!AA98+'Encargos e Benefícios'!AB98+'Gastos com Pessoal'!P99+'Gastos com Pessoal'!V99)*5.84%</f>
        <v>20.427487645824002</v>
      </c>
      <c r="AC99" s="256">
        <f>('Encargos e Benefícios'!V98+'Gastos com Pessoal'!Q99+'Gastos com Pessoal'!W99)*5.84%</f>
        <v>7.3054845329356803</v>
      </c>
      <c r="AD99" s="256"/>
      <c r="AE99" s="293">
        <v>46874</v>
      </c>
      <c r="AF99" s="294">
        <v>5.8400000000000001E-2</v>
      </c>
      <c r="AG99" s="256">
        <f>('Encargos e Benefícios'!W98+'Gastos com Pessoal'!O99+'Gastos com Pessoal'!U99+'Gastos com Pessoal'!AA99)*5.84%</f>
        <v>36.642253603077002</v>
      </c>
      <c r="AH99" s="256">
        <f>('Encargos e Benefícios'!X98+'Encargos e Benefícios'!Y98+'Encargos e Benefícios'!Z98+'Encargos e Benefícios'!AA98+'Encargos e Benefícios'!AB98+'Gastos com Pessoal'!P99+'Gastos com Pessoal'!V99+'Gastos com Pessoal'!AB99)*5.84%</f>
        <v>21.620452924340121</v>
      </c>
      <c r="AI99" s="256">
        <f>('Encargos e Benefícios'!V98+'Gastos com Pessoal'!Q99+'Gastos com Pessoal'!W99+'Gastos com Pessoal'!AC99)*5.84%</f>
        <v>7.7321248296591243</v>
      </c>
      <c r="AJ99" s="257"/>
      <c r="AK99" s="296">
        <f>'Encargos e Benefícios'!D98</f>
        <v>2751.84</v>
      </c>
      <c r="AL99" s="296">
        <f>IF('Encargos e Benefícios'!C98=0,0,'Encargos e Benefícios'!U98/'Encargos e Benefícios'!C98)</f>
        <v>2198.8730400000004</v>
      </c>
      <c r="AM99" s="296">
        <f>IF('Encargos e Benefícios'!C98=0,0,'Encargos e Benefícios'!AC98/'Encargos e Benefícios'!C98)</f>
        <v>953.12000000000012</v>
      </c>
      <c r="AN99" s="297">
        <f>IF('Encargos e Benefícios'!C98=0,0,'Encargos e Benefícios'!AD98/'Encargos e Benefícios'!C98)</f>
        <v>5903.8330400000004</v>
      </c>
      <c r="AO99" s="188">
        <v>2767.69</v>
      </c>
      <c r="AP99" s="298">
        <v>2500</v>
      </c>
      <c r="AQ99" s="298">
        <v>3035.37</v>
      </c>
      <c r="AR99" s="299" t="s">
        <v>108</v>
      </c>
      <c r="AS99" s="188"/>
    </row>
    <row r="100" spans="1:45">
      <c r="A100" s="286">
        <v>94</v>
      </c>
      <c r="B100" s="81" t="str">
        <f>'Encargos e Benefícios'!B99</f>
        <v>Assistente Social</v>
      </c>
      <c r="C100" s="287">
        <f>'Encargos e Benefícios'!C99</f>
        <v>1</v>
      </c>
      <c r="D100" s="288">
        <v>30</v>
      </c>
      <c r="E100" s="300">
        <v>45658</v>
      </c>
      <c r="F100" s="301">
        <v>47058</v>
      </c>
      <c r="G100" s="293"/>
      <c r="H100" s="294"/>
      <c r="I100" s="256"/>
      <c r="J100" s="256"/>
      <c r="K100" s="256"/>
      <c r="L100" s="256"/>
      <c r="M100" s="293">
        <v>45778</v>
      </c>
      <c r="N100" s="294">
        <v>5.8400000000000001E-2</v>
      </c>
      <c r="O100" s="256">
        <f>'Encargos e Benefícios'!W99*5.84%</f>
        <v>30.905280000000001</v>
      </c>
      <c r="P100" s="256">
        <f>('Encargos e Benefícios'!X99+'Encargos e Benefícios'!Y99+'Encargos e Benefícios'!Z99+'Encargos e Benefícios'!AA99+'Encargos e Benefícios'!AB99)*5.84%</f>
        <v>18.235399999999998</v>
      </c>
      <c r="Q100" s="256">
        <f>'Encargos e Benefícios'!V99*5.84%</f>
        <v>6.521528</v>
      </c>
      <c r="R100" s="256"/>
      <c r="S100" s="293">
        <v>46143</v>
      </c>
      <c r="T100" s="294">
        <v>5.8400000000000001E-2</v>
      </c>
      <c r="U100" s="256">
        <f>('Encargos e Benefícios'!W99+'Gastos com Pessoal'!O100)*5.84%</f>
        <v>32.710148351999997</v>
      </c>
      <c r="V100" s="256">
        <f>('Encargos e Benefícios'!X99+'Encargos e Benefícios'!Y99+'Encargos e Benefícios'!Z99+'Encargos e Benefícios'!AA99+'Encargos e Benefícios'!AB99+'Gastos com Pessoal'!P100)*5.84%</f>
        <v>19.300347360000004</v>
      </c>
      <c r="W100" s="256">
        <f>('Encargos e Benefícios'!V99+'Gastos com Pessoal'!Q100)*5.84%</f>
        <v>6.9023852352000006</v>
      </c>
      <c r="X100" s="256"/>
      <c r="Y100" s="293">
        <v>46508</v>
      </c>
      <c r="Z100" s="294">
        <v>5.8400000000000001E-2</v>
      </c>
      <c r="AA100" s="256">
        <f>('Encargos e Benefícios'!W99+'Gastos com Pessoal'!O100+'Gastos com Pessoal'!U100)*5.84%</f>
        <v>34.620421015756804</v>
      </c>
      <c r="AB100" s="256">
        <f>('Encargos e Benefícios'!X99+'Encargos e Benefícios'!Y99+'Encargos e Benefícios'!Z99+'Encargos e Benefícios'!AA99+'Encargos e Benefícios'!AB99+'Gastos com Pessoal'!P100+'Gastos com Pessoal'!V100)*5.84%</f>
        <v>20.427487645824002</v>
      </c>
      <c r="AC100" s="256">
        <f>('Encargos e Benefícios'!V99+'Gastos com Pessoal'!Q100+'Gastos com Pessoal'!W100)*5.84%</f>
        <v>7.3054845329356803</v>
      </c>
      <c r="AD100" s="256"/>
      <c r="AE100" s="293">
        <v>46874</v>
      </c>
      <c r="AF100" s="294">
        <v>5.8400000000000001E-2</v>
      </c>
      <c r="AG100" s="256">
        <f>('Encargos e Benefícios'!W99+'Gastos com Pessoal'!O100+'Gastos com Pessoal'!U100+'Gastos com Pessoal'!AA100)*5.84%</f>
        <v>36.642253603077002</v>
      </c>
      <c r="AH100" s="256">
        <f>('Encargos e Benefícios'!X99+'Encargos e Benefícios'!Y99+'Encargos e Benefícios'!Z99+'Encargos e Benefícios'!AA99+'Encargos e Benefícios'!AB99+'Gastos com Pessoal'!P100+'Gastos com Pessoal'!V100+'Gastos com Pessoal'!AB100)*5.84%</f>
        <v>21.620452924340121</v>
      </c>
      <c r="AI100" s="256">
        <f>('Encargos e Benefícios'!V99+'Gastos com Pessoal'!Q100+'Gastos com Pessoal'!W100+'Gastos com Pessoal'!AC100)*5.84%</f>
        <v>7.7321248296591243</v>
      </c>
      <c r="AJ100" s="257"/>
      <c r="AK100" s="296">
        <f>'Encargos e Benefícios'!D99</f>
        <v>2751.84</v>
      </c>
      <c r="AL100" s="296">
        <f>IF('Encargos e Benefícios'!C99=0,0,'Encargos e Benefícios'!U99/'Encargos e Benefícios'!C99)</f>
        <v>2198.8730400000004</v>
      </c>
      <c r="AM100" s="296">
        <f>IF('Encargos e Benefícios'!C99=0,0,'Encargos e Benefícios'!AC99/'Encargos e Benefícios'!C99)</f>
        <v>953.12000000000012</v>
      </c>
      <c r="AN100" s="297">
        <f>IF('Encargos e Benefícios'!C99=0,0,'Encargos e Benefícios'!AD99/'Encargos e Benefícios'!C99)</f>
        <v>5903.8330400000004</v>
      </c>
      <c r="AO100" s="188">
        <v>3277.91</v>
      </c>
      <c r="AP100" s="298">
        <v>2500</v>
      </c>
      <c r="AQ100" s="298">
        <v>4055.81</v>
      </c>
      <c r="AR100" s="299" t="s">
        <v>108</v>
      </c>
      <c r="AS100" s="188"/>
    </row>
    <row r="101" spans="1:45">
      <c r="A101" s="286">
        <v>95</v>
      </c>
      <c r="B101" s="81" t="str">
        <f>'Encargos e Benefícios'!B100</f>
        <v>Pedagogo</v>
      </c>
      <c r="C101" s="287">
        <f>'Encargos e Benefícios'!C100</f>
        <v>1</v>
      </c>
      <c r="D101" s="288">
        <v>30</v>
      </c>
      <c r="E101" s="300">
        <v>45658</v>
      </c>
      <c r="F101" s="301">
        <v>47058</v>
      </c>
      <c r="G101" s="293"/>
      <c r="H101" s="294"/>
      <c r="I101" s="256"/>
      <c r="J101" s="256"/>
      <c r="K101" s="256"/>
      <c r="L101" s="256"/>
      <c r="M101" s="293">
        <v>45778</v>
      </c>
      <c r="N101" s="294">
        <v>5.8400000000000001E-2</v>
      </c>
      <c r="O101" s="256">
        <f>'Encargos e Benefícios'!W100*5.84%</f>
        <v>30.905280000000001</v>
      </c>
      <c r="P101" s="256">
        <f>('Encargos e Benefícios'!X100+'Encargos e Benefícios'!Y100+'Encargos e Benefícios'!Z100+'Encargos e Benefícios'!AA100+'Encargos e Benefícios'!AB100)*5.84%</f>
        <v>18.235399999999998</v>
      </c>
      <c r="Q101" s="256">
        <f>'Encargos e Benefícios'!V100*5.84%</f>
        <v>6.521528</v>
      </c>
      <c r="R101" s="256"/>
      <c r="S101" s="293">
        <v>46143</v>
      </c>
      <c r="T101" s="294">
        <v>5.8400000000000001E-2</v>
      </c>
      <c r="U101" s="256">
        <f>('Encargos e Benefícios'!W100+'Gastos com Pessoal'!O101)*5.84%</f>
        <v>32.710148351999997</v>
      </c>
      <c r="V101" s="256">
        <f>('Encargos e Benefícios'!X100+'Encargos e Benefícios'!Y100+'Encargos e Benefícios'!Z100+'Encargos e Benefícios'!AA100+'Encargos e Benefícios'!AB100+'Gastos com Pessoal'!P101)*5.84%</f>
        <v>19.300347360000004</v>
      </c>
      <c r="W101" s="256">
        <f>('Encargos e Benefícios'!V100+'Gastos com Pessoal'!Q101)*5.84%</f>
        <v>6.9023852352000006</v>
      </c>
      <c r="X101" s="256"/>
      <c r="Y101" s="293">
        <v>46508</v>
      </c>
      <c r="Z101" s="294">
        <v>5.8400000000000001E-2</v>
      </c>
      <c r="AA101" s="256">
        <f>('Encargos e Benefícios'!W100+'Gastos com Pessoal'!O101+'Gastos com Pessoal'!U101)*5.84%</f>
        <v>34.620421015756804</v>
      </c>
      <c r="AB101" s="256">
        <f>('Encargos e Benefícios'!X100+'Encargos e Benefícios'!Y100+'Encargos e Benefícios'!Z100+'Encargos e Benefícios'!AA100+'Encargos e Benefícios'!AB100+'Gastos com Pessoal'!P101+'Gastos com Pessoal'!V101)*5.84%</f>
        <v>20.427487645824002</v>
      </c>
      <c r="AC101" s="256">
        <f>('Encargos e Benefícios'!V100+'Gastos com Pessoal'!Q101+'Gastos com Pessoal'!W101)*5.84%</f>
        <v>7.3054845329356803</v>
      </c>
      <c r="AD101" s="256"/>
      <c r="AE101" s="293">
        <v>46874</v>
      </c>
      <c r="AF101" s="294">
        <v>5.8400000000000001E-2</v>
      </c>
      <c r="AG101" s="256">
        <f>('Encargos e Benefícios'!W100+'Gastos com Pessoal'!O101+'Gastos com Pessoal'!U101+'Gastos com Pessoal'!AA101)*5.84%</f>
        <v>36.642253603077002</v>
      </c>
      <c r="AH101" s="256">
        <f>('Encargos e Benefícios'!X100+'Encargos e Benefícios'!Y100+'Encargos e Benefícios'!Z100+'Encargos e Benefícios'!AA100+'Encargos e Benefícios'!AB100+'Gastos com Pessoal'!P101+'Gastos com Pessoal'!V101+'Gastos com Pessoal'!AB101)*5.84%</f>
        <v>21.620452924340121</v>
      </c>
      <c r="AI101" s="256">
        <f>('Encargos e Benefícios'!V100+'Gastos com Pessoal'!Q101+'Gastos com Pessoal'!W101+'Gastos com Pessoal'!AC101)*5.84%</f>
        <v>7.7321248296591243</v>
      </c>
      <c r="AJ101" s="257"/>
      <c r="AK101" s="296">
        <f>'Encargos e Benefícios'!D100</f>
        <v>2751.84</v>
      </c>
      <c r="AL101" s="296">
        <f>IF('Encargos e Benefícios'!C100=0,0,'Encargos e Benefícios'!U100/'Encargos e Benefícios'!C100)</f>
        <v>2198.8730400000004</v>
      </c>
      <c r="AM101" s="296">
        <f>IF('Encargos e Benefícios'!C100=0,0,'Encargos e Benefícios'!AC100/'Encargos e Benefícios'!C100)</f>
        <v>953.12000000000012</v>
      </c>
      <c r="AN101" s="297">
        <f>IF('Encargos e Benefícios'!C100=0,0,'Encargos e Benefícios'!AD100/'Encargos e Benefícios'!C100)</f>
        <v>5903.8330400000004</v>
      </c>
      <c r="AO101" s="188">
        <v>2894.94</v>
      </c>
      <c r="AP101" s="298">
        <v>2489.87</v>
      </c>
      <c r="AQ101" s="298">
        <v>3300</v>
      </c>
      <c r="AR101" s="299" t="s">
        <v>108</v>
      </c>
      <c r="AS101" s="188"/>
    </row>
    <row r="102" spans="1:45">
      <c r="A102" s="286">
        <v>96</v>
      </c>
      <c r="B102" s="81" t="str">
        <f>'Encargos e Benefícios'!B101</f>
        <v>Psicologo</v>
      </c>
      <c r="C102" s="287">
        <f>'Encargos e Benefícios'!C101</f>
        <v>1</v>
      </c>
      <c r="D102" s="288">
        <v>30</v>
      </c>
      <c r="E102" s="300">
        <v>45658</v>
      </c>
      <c r="F102" s="301">
        <v>47058</v>
      </c>
      <c r="G102" s="293"/>
      <c r="H102" s="294"/>
      <c r="I102" s="256"/>
      <c r="J102" s="256"/>
      <c r="K102" s="256"/>
      <c r="L102" s="256"/>
      <c r="M102" s="293">
        <v>45778</v>
      </c>
      <c r="N102" s="294">
        <v>5.8400000000000001E-2</v>
      </c>
      <c r="O102" s="256">
        <f>'Encargos e Benefícios'!W101*5.84%</f>
        <v>30.905280000000001</v>
      </c>
      <c r="P102" s="256">
        <f>('Encargos e Benefícios'!X101+'Encargos e Benefícios'!Y101+'Encargos e Benefícios'!Z101+'Encargos e Benefícios'!AA101+'Encargos e Benefícios'!AB101)*5.84%</f>
        <v>18.235399999999998</v>
      </c>
      <c r="Q102" s="256">
        <f>'Encargos e Benefícios'!V101*5.84%</f>
        <v>6.521528</v>
      </c>
      <c r="R102" s="256"/>
      <c r="S102" s="293">
        <v>46143</v>
      </c>
      <c r="T102" s="294">
        <v>5.8400000000000001E-2</v>
      </c>
      <c r="U102" s="256">
        <f>('Encargos e Benefícios'!W101+'Gastos com Pessoal'!O102)*5.84%</f>
        <v>32.710148351999997</v>
      </c>
      <c r="V102" s="256">
        <f>('Encargos e Benefícios'!X101+'Encargos e Benefícios'!Y101+'Encargos e Benefícios'!Z101+'Encargos e Benefícios'!AA101+'Encargos e Benefícios'!AB101+'Gastos com Pessoal'!P102)*5.84%</f>
        <v>19.300347360000004</v>
      </c>
      <c r="W102" s="256">
        <f>('Encargos e Benefícios'!V101+'Gastos com Pessoal'!Q102)*5.84%</f>
        <v>6.9023852352000006</v>
      </c>
      <c r="X102" s="256"/>
      <c r="Y102" s="293">
        <v>46508</v>
      </c>
      <c r="Z102" s="294">
        <v>5.8400000000000001E-2</v>
      </c>
      <c r="AA102" s="256">
        <f>('Encargos e Benefícios'!W101+'Gastos com Pessoal'!O102+'Gastos com Pessoal'!U102)*5.84%</f>
        <v>34.620421015756804</v>
      </c>
      <c r="AB102" s="256">
        <f>('Encargos e Benefícios'!X101+'Encargos e Benefícios'!Y101+'Encargos e Benefícios'!Z101+'Encargos e Benefícios'!AA101+'Encargos e Benefícios'!AB101+'Gastos com Pessoal'!P102+'Gastos com Pessoal'!V102)*5.84%</f>
        <v>20.427487645824002</v>
      </c>
      <c r="AC102" s="256">
        <f>('Encargos e Benefícios'!V101+'Gastos com Pessoal'!Q102+'Gastos com Pessoal'!W102)*5.84%</f>
        <v>7.3054845329356803</v>
      </c>
      <c r="AD102" s="256"/>
      <c r="AE102" s="293">
        <v>46874</v>
      </c>
      <c r="AF102" s="294">
        <v>5.8400000000000001E-2</v>
      </c>
      <c r="AG102" s="256">
        <f>('Encargos e Benefícios'!W101+'Gastos com Pessoal'!O102+'Gastos com Pessoal'!U102+'Gastos com Pessoal'!AA102)*5.84%</f>
        <v>36.642253603077002</v>
      </c>
      <c r="AH102" s="256">
        <f>('Encargos e Benefícios'!X101+'Encargos e Benefícios'!Y101+'Encargos e Benefícios'!Z101+'Encargos e Benefícios'!AA101+'Encargos e Benefícios'!AB101+'Gastos com Pessoal'!P102+'Gastos com Pessoal'!V102+'Gastos com Pessoal'!AB102)*5.84%</f>
        <v>21.620452924340121</v>
      </c>
      <c r="AI102" s="256">
        <f>('Encargos e Benefícios'!V101+'Gastos com Pessoal'!Q102+'Gastos com Pessoal'!W102+'Gastos com Pessoal'!AC102)*5.84%</f>
        <v>7.7321248296591243</v>
      </c>
      <c r="AJ102" s="257"/>
      <c r="AK102" s="296">
        <f>'Encargos e Benefícios'!D101</f>
        <v>2751.84</v>
      </c>
      <c r="AL102" s="296">
        <f>IF('Encargos e Benefícios'!C101=0,0,'Encargos e Benefícios'!U101/'Encargos e Benefícios'!C101)</f>
        <v>2198.8730400000004</v>
      </c>
      <c r="AM102" s="296">
        <f>IF('Encargos e Benefícios'!C101=0,0,'Encargos e Benefícios'!AC101/'Encargos e Benefícios'!C101)</f>
        <v>953.12000000000012</v>
      </c>
      <c r="AN102" s="297">
        <f>IF('Encargos e Benefícios'!C101=0,0,'Encargos e Benefícios'!AD101/'Encargos e Benefícios'!C101)</f>
        <v>5903.8330400000004</v>
      </c>
      <c r="AO102" s="188">
        <v>3953.69</v>
      </c>
      <c r="AP102" s="298">
        <v>2500</v>
      </c>
      <c r="AQ102" s="298">
        <v>5407.37</v>
      </c>
      <c r="AR102" s="299" t="s">
        <v>108</v>
      </c>
      <c r="AS102" s="188"/>
    </row>
    <row r="103" spans="1:45">
      <c r="A103" s="286">
        <v>97</v>
      </c>
      <c r="B103" s="81" t="str">
        <f>'Encargos e Benefícios'!B102</f>
        <v>Terapeuta Ocupacional</v>
      </c>
      <c r="C103" s="287">
        <f>'Encargos e Benefícios'!C102</f>
        <v>1</v>
      </c>
      <c r="D103" s="288">
        <v>30</v>
      </c>
      <c r="E103" s="300">
        <v>45658</v>
      </c>
      <c r="F103" s="301">
        <v>47058</v>
      </c>
      <c r="G103" s="293"/>
      <c r="H103" s="294"/>
      <c r="I103" s="256"/>
      <c r="J103" s="256"/>
      <c r="K103" s="256"/>
      <c r="L103" s="256"/>
      <c r="M103" s="293">
        <v>45778</v>
      </c>
      <c r="N103" s="294">
        <v>5.8400000000000001E-2</v>
      </c>
      <c r="O103" s="256">
        <f>'Encargos e Benefícios'!W102*5.84%</f>
        <v>30.905280000000001</v>
      </c>
      <c r="P103" s="256">
        <f>('Encargos e Benefícios'!X102+'Encargos e Benefícios'!Y102+'Encargos e Benefícios'!Z102+'Encargos e Benefícios'!AA102+'Encargos e Benefícios'!AB102)*5.84%</f>
        <v>18.235399999999998</v>
      </c>
      <c r="Q103" s="256">
        <f>'Encargos e Benefícios'!V102*5.84%</f>
        <v>6.521528</v>
      </c>
      <c r="R103" s="256"/>
      <c r="S103" s="293">
        <v>46143</v>
      </c>
      <c r="T103" s="294">
        <v>5.8400000000000001E-2</v>
      </c>
      <c r="U103" s="256">
        <f>('Encargos e Benefícios'!W102+'Gastos com Pessoal'!O103)*5.84%</f>
        <v>32.710148351999997</v>
      </c>
      <c r="V103" s="256">
        <f>('Encargos e Benefícios'!X102+'Encargos e Benefícios'!Y102+'Encargos e Benefícios'!Z102+'Encargos e Benefícios'!AA102+'Encargos e Benefícios'!AB102+'Gastos com Pessoal'!P103)*5.84%</f>
        <v>19.300347360000004</v>
      </c>
      <c r="W103" s="256">
        <f>('Encargos e Benefícios'!V102+'Gastos com Pessoal'!Q103)*5.84%</f>
        <v>6.9023852352000006</v>
      </c>
      <c r="X103" s="256"/>
      <c r="Y103" s="293">
        <v>46508</v>
      </c>
      <c r="Z103" s="294">
        <v>5.8400000000000001E-2</v>
      </c>
      <c r="AA103" s="256">
        <f>('Encargos e Benefícios'!W102+'Gastos com Pessoal'!O103+'Gastos com Pessoal'!U103)*5.84%</f>
        <v>34.620421015756804</v>
      </c>
      <c r="AB103" s="256">
        <f>('Encargos e Benefícios'!X102+'Encargos e Benefícios'!Y102+'Encargos e Benefícios'!Z102+'Encargos e Benefícios'!AA102+'Encargos e Benefícios'!AB102+'Gastos com Pessoal'!P103+'Gastos com Pessoal'!V103)*5.84%</f>
        <v>20.427487645824002</v>
      </c>
      <c r="AC103" s="256">
        <f>('Encargos e Benefícios'!V102+'Gastos com Pessoal'!Q103+'Gastos com Pessoal'!W103)*5.84%</f>
        <v>7.3054845329356803</v>
      </c>
      <c r="AD103" s="256"/>
      <c r="AE103" s="293">
        <v>46874</v>
      </c>
      <c r="AF103" s="294">
        <v>5.8400000000000001E-2</v>
      </c>
      <c r="AG103" s="256">
        <f>('Encargos e Benefícios'!W102+'Gastos com Pessoal'!O103+'Gastos com Pessoal'!U103+'Gastos com Pessoal'!AA103)*5.84%</f>
        <v>36.642253603077002</v>
      </c>
      <c r="AH103" s="256">
        <f>('Encargos e Benefícios'!X102+'Encargos e Benefícios'!Y102+'Encargos e Benefícios'!Z102+'Encargos e Benefícios'!AA102+'Encargos e Benefícios'!AB102+'Gastos com Pessoal'!P103+'Gastos com Pessoal'!V103+'Gastos com Pessoal'!AB103)*5.84%</f>
        <v>21.620452924340121</v>
      </c>
      <c r="AI103" s="256">
        <f>('Encargos e Benefícios'!V102+'Gastos com Pessoal'!Q103+'Gastos com Pessoal'!W103+'Gastos com Pessoal'!AC103)*5.84%</f>
        <v>7.7321248296591243</v>
      </c>
      <c r="AJ103" s="257"/>
      <c r="AK103" s="296">
        <f>'Encargos e Benefícios'!D102</f>
        <v>2751.84</v>
      </c>
      <c r="AL103" s="296">
        <f>IF('Encargos e Benefícios'!C102=0,0,'Encargos e Benefícios'!U102/'Encargos e Benefícios'!C102)</f>
        <v>2198.8730400000004</v>
      </c>
      <c r="AM103" s="296">
        <f>IF('Encargos e Benefícios'!C102=0,0,'Encargos e Benefícios'!AC102/'Encargos e Benefícios'!C102)</f>
        <v>953.12000000000012</v>
      </c>
      <c r="AN103" s="297">
        <f>IF('Encargos e Benefícios'!C102=0,0,'Encargos e Benefícios'!AD102/'Encargos e Benefícios'!C102)</f>
        <v>5903.8330400000004</v>
      </c>
      <c r="AO103" s="188">
        <v>2422.3000000000002</v>
      </c>
      <c r="AP103" s="298">
        <v>1932.61</v>
      </c>
      <c r="AQ103" s="298">
        <v>2911.99</v>
      </c>
      <c r="AR103" s="299" t="s">
        <v>108</v>
      </c>
      <c r="AS103" s="188"/>
    </row>
    <row r="104" spans="1:45">
      <c r="A104" s="286">
        <v>98</v>
      </c>
      <c r="B104" s="81" t="str">
        <f>'Encargos e Benefícios'!B103</f>
        <v>Administrativo</v>
      </c>
      <c r="C104" s="287">
        <f>'Encargos e Benefícios'!C103</f>
        <v>1</v>
      </c>
      <c r="D104" s="288">
        <v>40</v>
      </c>
      <c r="E104" s="300">
        <v>45658</v>
      </c>
      <c r="F104" s="301">
        <v>47058</v>
      </c>
      <c r="G104" s="293"/>
      <c r="H104" s="294"/>
      <c r="I104" s="256"/>
      <c r="J104" s="256"/>
      <c r="K104" s="256"/>
      <c r="L104" s="256"/>
      <c r="M104" s="293">
        <v>45778</v>
      </c>
      <c r="N104" s="294">
        <v>5.8400000000000001E-2</v>
      </c>
      <c r="O104" s="256">
        <f>'Encargos e Benefícios'!W103*5.84%</f>
        <v>30.905280000000001</v>
      </c>
      <c r="P104" s="256">
        <f>('Encargos e Benefícios'!X103+'Encargos e Benefícios'!Y103+'Encargos e Benefícios'!Z103+'Encargos e Benefícios'!AA103+'Encargos e Benefícios'!AB103)*5.84%</f>
        <v>18.235399999999998</v>
      </c>
      <c r="Q104" s="256">
        <f>'Encargos e Benefícios'!V103*5.84%</f>
        <v>6.521528</v>
      </c>
      <c r="R104" s="256"/>
      <c r="S104" s="293">
        <v>46143</v>
      </c>
      <c r="T104" s="294">
        <v>5.8400000000000001E-2</v>
      </c>
      <c r="U104" s="256">
        <f>('Encargos e Benefícios'!W103+'Gastos com Pessoal'!O104)*5.84%</f>
        <v>32.710148351999997</v>
      </c>
      <c r="V104" s="256">
        <f>('Encargos e Benefícios'!X103+'Encargos e Benefícios'!Y103+'Encargos e Benefícios'!Z103+'Encargos e Benefícios'!AA103+'Encargos e Benefícios'!AB103+'Gastos com Pessoal'!P104)*5.84%</f>
        <v>19.300347360000004</v>
      </c>
      <c r="W104" s="256">
        <f>('Encargos e Benefícios'!V103+'Gastos com Pessoal'!Q104)*5.84%</f>
        <v>6.9023852352000006</v>
      </c>
      <c r="X104" s="256"/>
      <c r="Y104" s="293">
        <v>46508</v>
      </c>
      <c r="Z104" s="294">
        <v>5.8400000000000001E-2</v>
      </c>
      <c r="AA104" s="256">
        <f>('Encargos e Benefícios'!W103+'Gastos com Pessoal'!O104+'Gastos com Pessoal'!U104)*5.84%</f>
        <v>34.620421015756804</v>
      </c>
      <c r="AB104" s="256">
        <f>('Encargos e Benefícios'!X103+'Encargos e Benefícios'!Y103+'Encargos e Benefícios'!Z103+'Encargos e Benefícios'!AA103+'Encargos e Benefícios'!AB103+'Gastos com Pessoal'!P104+'Gastos com Pessoal'!V104)*5.84%</f>
        <v>20.427487645824002</v>
      </c>
      <c r="AC104" s="256">
        <f>('Encargos e Benefícios'!V103+'Gastos com Pessoal'!Q104+'Gastos com Pessoal'!W104)*5.84%</f>
        <v>7.3054845329356803</v>
      </c>
      <c r="AD104" s="256"/>
      <c r="AE104" s="293">
        <v>46874</v>
      </c>
      <c r="AF104" s="294">
        <v>5.8400000000000001E-2</v>
      </c>
      <c r="AG104" s="256">
        <f>('Encargos e Benefícios'!W103+'Gastos com Pessoal'!O104+'Gastos com Pessoal'!U104+'Gastos com Pessoal'!AA104)*5.84%</f>
        <v>36.642253603077002</v>
      </c>
      <c r="AH104" s="256">
        <f>('Encargos e Benefícios'!X103+'Encargos e Benefícios'!Y103+'Encargos e Benefícios'!Z103+'Encargos e Benefícios'!AA103+'Encargos e Benefícios'!AB103+'Gastos com Pessoal'!P104+'Gastos com Pessoal'!V104+'Gastos com Pessoal'!AB104)*5.84%</f>
        <v>21.620452924340121</v>
      </c>
      <c r="AI104" s="256">
        <f>('Encargos e Benefícios'!V103+'Gastos com Pessoal'!Q104+'Gastos com Pessoal'!W104+'Gastos com Pessoal'!AC104)*5.84%</f>
        <v>7.7321248296591243</v>
      </c>
      <c r="AJ104" s="257"/>
      <c r="AK104" s="296">
        <f>'Encargos e Benefícios'!D103</f>
        <v>1852.2</v>
      </c>
      <c r="AL104" s="296">
        <f>IF('Encargos e Benefícios'!C103=0,0,'Encargos e Benefícios'!U103/'Encargos e Benefícios'!C103)</f>
        <v>1480.0106999999996</v>
      </c>
      <c r="AM104" s="296">
        <f>IF('Encargos e Benefícios'!C103=0,0,'Encargos e Benefícios'!AC103/'Encargos e Benefícios'!C103)</f>
        <v>953.12000000000012</v>
      </c>
      <c r="AN104" s="297">
        <f>IF('Encargos e Benefícios'!C103=0,0,'Encargos e Benefícios'!AD103/'Encargos e Benefícios'!C103)</f>
        <v>4285.3306999999995</v>
      </c>
      <c r="AO104" s="188">
        <v>2097.83</v>
      </c>
      <c r="AP104" s="298">
        <v>1500</v>
      </c>
      <c r="AQ104" s="298">
        <v>2695.66</v>
      </c>
      <c r="AR104" s="299" t="s">
        <v>108</v>
      </c>
      <c r="AS104" s="188"/>
    </row>
    <row r="105" spans="1:45">
      <c r="A105" s="286">
        <v>99</v>
      </c>
      <c r="B105" s="81" t="str">
        <f>'Encargos e Benefícios'!B104</f>
        <v>Auxiliar Educacional</v>
      </c>
      <c r="C105" s="287">
        <f>'Encargos e Benefícios'!C104</f>
        <v>1</v>
      </c>
      <c r="D105" s="288">
        <v>30</v>
      </c>
      <c r="E105" s="300">
        <v>45658</v>
      </c>
      <c r="F105" s="301">
        <v>47058</v>
      </c>
      <c r="G105" s="293"/>
      <c r="H105" s="294"/>
      <c r="I105" s="256"/>
      <c r="J105" s="256"/>
      <c r="K105" s="256"/>
      <c r="L105" s="256"/>
      <c r="M105" s="293">
        <v>45778</v>
      </c>
      <c r="N105" s="294">
        <v>5.8400000000000001E-2</v>
      </c>
      <c r="O105" s="256">
        <f>'Encargos e Benefícios'!W104*5.84%</f>
        <v>30.905280000000001</v>
      </c>
      <c r="P105" s="256">
        <f>('Encargos e Benefícios'!X104+'Encargos e Benefícios'!Y104+'Encargos e Benefícios'!Z104+'Encargos e Benefícios'!AA104+'Encargos e Benefícios'!AB104)*5.84%</f>
        <v>18.235399999999998</v>
      </c>
      <c r="Q105" s="256">
        <f>'Encargos e Benefícios'!V104*5.84%</f>
        <v>6.521528</v>
      </c>
      <c r="R105" s="256"/>
      <c r="S105" s="293">
        <v>46143</v>
      </c>
      <c r="T105" s="294">
        <v>5.8400000000000001E-2</v>
      </c>
      <c r="U105" s="256">
        <f>('Encargos e Benefícios'!W104+'Gastos com Pessoal'!O105)*5.84%</f>
        <v>32.710148351999997</v>
      </c>
      <c r="V105" s="256">
        <f>('Encargos e Benefícios'!X104+'Encargos e Benefícios'!Y104+'Encargos e Benefícios'!Z104+'Encargos e Benefícios'!AA104+'Encargos e Benefícios'!AB104+'Gastos com Pessoal'!P105)*5.84%</f>
        <v>19.300347360000004</v>
      </c>
      <c r="W105" s="256">
        <f>('Encargos e Benefícios'!V104+'Gastos com Pessoal'!Q105)*5.84%</f>
        <v>6.9023852352000006</v>
      </c>
      <c r="X105" s="256"/>
      <c r="Y105" s="293">
        <v>46508</v>
      </c>
      <c r="Z105" s="294">
        <v>5.8400000000000001E-2</v>
      </c>
      <c r="AA105" s="256">
        <f>('Encargos e Benefícios'!W104+'Gastos com Pessoal'!O105+'Gastos com Pessoal'!U105)*5.84%</f>
        <v>34.620421015756804</v>
      </c>
      <c r="AB105" s="256">
        <f>('Encargos e Benefícios'!X104+'Encargos e Benefícios'!Y104+'Encargos e Benefícios'!Z104+'Encargos e Benefícios'!AA104+'Encargos e Benefícios'!AB104+'Gastos com Pessoal'!P105+'Gastos com Pessoal'!V105)*5.84%</f>
        <v>20.427487645824002</v>
      </c>
      <c r="AC105" s="256">
        <f>('Encargos e Benefícios'!V104+'Gastos com Pessoal'!Q105+'Gastos com Pessoal'!W105)*5.84%</f>
        <v>7.3054845329356803</v>
      </c>
      <c r="AD105" s="256"/>
      <c r="AE105" s="293">
        <v>46874</v>
      </c>
      <c r="AF105" s="294">
        <v>5.8400000000000001E-2</v>
      </c>
      <c r="AG105" s="256">
        <f>('Encargos e Benefícios'!W104+'Gastos com Pessoal'!O105+'Gastos com Pessoal'!U105+'Gastos com Pessoal'!AA105)*5.84%</f>
        <v>36.642253603077002</v>
      </c>
      <c r="AH105" s="256">
        <f>('Encargos e Benefícios'!X104+'Encargos e Benefícios'!Y104+'Encargos e Benefícios'!Z104+'Encargos e Benefícios'!AA104+'Encargos e Benefícios'!AB104+'Gastos com Pessoal'!P105+'Gastos com Pessoal'!V105+'Gastos com Pessoal'!AB105)*5.84%</f>
        <v>21.620452924340121</v>
      </c>
      <c r="AI105" s="256">
        <f>('Encargos e Benefícios'!V104+'Gastos com Pessoal'!Q105+'Gastos com Pessoal'!W105+'Gastos com Pessoal'!AC105)*5.84%</f>
        <v>7.7321248296591243</v>
      </c>
      <c r="AJ105" s="257"/>
      <c r="AK105" s="296">
        <f>'Encargos e Benefícios'!D104</f>
        <v>1737.89</v>
      </c>
      <c r="AL105" s="296">
        <f>IF('Encargos e Benefícios'!C104=0,0,'Encargos e Benefícios'!U104/'Encargos e Benefícios'!C104)</f>
        <v>1388.6706594444449</v>
      </c>
      <c r="AM105" s="296">
        <f>IF('Encargos e Benefícios'!C104=0,0,'Encargos e Benefícios'!AC104/'Encargos e Benefícios'!C104)</f>
        <v>953.12000000000012</v>
      </c>
      <c r="AN105" s="297">
        <f>IF('Encargos e Benefícios'!C104=0,0,'Encargos e Benefícios'!AD104/'Encargos e Benefícios'!C104)</f>
        <v>4079.6806594444452</v>
      </c>
      <c r="AO105" s="188">
        <v>1750.23</v>
      </c>
      <c r="AP105" s="298">
        <v>1500</v>
      </c>
      <c r="AQ105" s="298">
        <v>2000.45</v>
      </c>
      <c r="AR105" s="299" t="s">
        <v>108</v>
      </c>
      <c r="AS105" s="188"/>
    </row>
    <row r="106" spans="1:45">
      <c r="A106" s="286">
        <v>100</v>
      </c>
      <c r="B106" s="81" t="str">
        <f>'Encargos e Benefícios'!B105</f>
        <v>Auxiliar de Serviços Gerais</v>
      </c>
      <c r="C106" s="287">
        <f>'Encargos e Benefícios'!C105</f>
        <v>1</v>
      </c>
      <c r="D106" s="288">
        <v>30</v>
      </c>
      <c r="E106" s="300">
        <v>45658</v>
      </c>
      <c r="F106" s="301">
        <v>47058</v>
      </c>
      <c r="G106" s="293"/>
      <c r="H106" s="294"/>
      <c r="I106" s="256"/>
      <c r="J106" s="256"/>
      <c r="K106" s="256"/>
      <c r="L106" s="256"/>
      <c r="M106" s="293">
        <v>45778</v>
      </c>
      <c r="N106" s="294">
        <v>5.8400000000000001E-2</v>
      </c>
      <c r="O106" s="256">
        <f>'Encargos e Benefícios'!W105*5.84%</f>
        <v>30.905280000000001</v>
      </c>
      <c r="P106" s="256">
        <f>('Encargos e Benefícios'!X105+'Encargos e Benefícios'!Y105+'Encargos e Benefícios'!Z105+'Encargos e Benefícios'!AA105+'Encargos e Benefícios'!AB105)*5.84%</f>
        <v>18.235399999999998</v>
      </c>
      <c r="Q106" s="256">
        <f>'Encargos e Benefícios'!V105*5.84%</f>
        <v>6.521528</v>
      </c>
      <c r="R106" s="256"/>
      <c r="S106" s="293">
        <v>46143</v>
      </c>
      <c r="T106" s="294">
        <v>5.8400000000000001E-2</v>
      </c>
      <c r="U106" s="256">
        <f>('Encargos e Benefícios'!W105+'Gastos com Pessoal'!O106)*5.84%</f>
        <v>32.710148351999997</v>
      </c>
      <c r="V106" s="256">
        <f>('Encargos e Benefícios'!X105+'Encargos e Benefícios'!Y105+'Encargos e Benefícios'!Z105+'Encargos e Benefícios'!AA105+'Encargos e Benefícios'!AB105+'Gastos com Pessoal'!P106)*5.84%</f>
        <v>19.300347360000004</v>
      </c>
      <c r="W106" s="256">
        <f>('Encargos e Benefícios'!V105+'Gastos com Pessoal'!Q106)*5.84%</f>
        <v>6.9023852352000006</v>
      </c>
      <c r="X106" s="256"/>
      <c r="Y106" s="293">
        <v>46508</v>
      </c>
      <c r="Z106" s="294">
        <v>5.8400000000000001E-2</v>
      </c>
      <c r="AA106" s="256">
        <f>('Encargos e Benefícios'!W105+'Gastos com Pessoal'!O106+'Gastos com Pessoal'!U106)*5.84%</f>
        <v>34.620421015756804</v>
      </c>
      <c r="AB106" s="256">
        <f>('Encargos e Benefícios'!X105+'Encargos e Benefícios'!Y105+'Encargos e Benefícios'!Z105+'Encargos e Benefícios'!AA105+'Encargos e Benefícios'!AB105+'Gastos com Pessoal'!P106+'Gastos com Pessoal'!V106)*5.84%</f>
        <v>20.427487645824002</v>
      </c>
      <c r="AC106" s="256">
        <f>('Encargos e Benefícios'!V105+'Gastos com Pessoal'!Q106+'Gastos com Pessoal'!W106)*5.84%</f>
        <v>7.3054845329356803</v>
      </c>
      <c r="AD106" s="256"/>
      <c r="AE106" s="293">
        <v>46874</v>
      </c>
      <c r="AF106" s="294">
        <v>5.8400000000000001E-2</v>
      </c>
      <c r="AG106" s="256">
        <f>('Encargos e Benefícios'!W105+'Gastos com Pessoal'!O106+'Gastos com Pessoal'!U106+'Gastos com Pessoal'!AA106)*5.84%</f>
        <v>36.642253603077002</v>
      </c>
      <c r="AH106" s="256">
        <f>('Encargos e Benefícios'!X105+'Encargos e Benefícios'!Y105+'Encargos e Benefícios'!Z105+'Encargos e Benefícios'!AA105+'Encargos e Benefícios'!AB105+'Gastos com Pessoal'!P106+'Gastos com Pessoal'!V106+'Gastos com Pessoal'!AB106)*5.84%</f>
        <v>21.620452924340121</v>
      </c>
      <c r="AI106" s="256">
        <f>('Encargos e Benefícios'!V105+'Gastos com Pessoal'!Q106+'Gastos com Pessoal'!W106+'Gastos com Pessoal'!AC106)*5.84%</f>
        <v>7.7321248296591243</v>
      </c>
      <c r="AJ106" s="257"/>
      <c r="AK106" s="296">
        <f>'Encargos e Benefícios'!D105</f>
        <v>1465.88</v>
      </c>
      <c r="AL106" s="296">
        <f>IF('Encargos e Benefícios'!C105=0,0,'Encargos e Benefícios'!U105/'Encargos e Benefícios'!C105)</f>
        <v>1171.3195577777778</v>
      </c>
      <c r="AM106" s="296">
        <f>IF('Encargos e Benefícios'!C105=0,0,'Encargos e Benefícios'!AC105/'Encargos e Benefícios'!C105)</f>
        <v>953.12000000000012</v>
      </c>
      <c r="AN106" s="297">
        <f>IF('Encargos e Benefícios'!C105=0,0,'Encargos e Benefícios'!AD105/'Encargos e Benefícios'!C105)</f>
        <v>3590.3195577777778</v>
      </c>
      <c r="AO106" s="188">
        <v>1437.37</v>
      </c>
      <c r="AP106" s="298">
        <v>1302</v>
      </c>
      <c r="AQ106" s="298">
        <v>1572.74</v>
      </c>
      <c r="AR106" s="299" t="s">
        <v>108</v>
      </c>
      <c r="AS106" s="188"/>
    </row>
    <row r="107" spans="1:45">
      <c r="A107" s="286">
        <v>101</v>
      </c>
      <c r="B107" s="81" t="str">
        <f>'Encargos e Benefícios'!B106</f>
        <v>Motorista</v>
      </c>
      <c r="C107" s="287">
        <f>'Encargos e Benefícios'!C106</f>
        <v>1</v>
      </c>
      <c r="D107" s="288">
        <v>40</v>
      </c>
      <c r="E107" s="300">
        <v>45658</v>
      </c>
      <c r="F107" s="301">
        <v>47058</v>
      </c>
      <c r="G107" s="293"/>
      <c r="H107" s="294"/>
      <c r="I107" s="256"/>
      <c r="J107" s="256"/>
      <c r="K107" s="256"/>
      <c r="L107" s="256"/>
      <c r="M107" s="293">
        <v>45778</v>
      </c>
      <c r="N107" s="294">
        <v>5.8400000000000001E-2</v>
      </c>
      <c r="O107" s="256">
        <f>'Encargos e Benefícios'!W106*5.84%</f>
        <v>30.905280000000001</v>
      </c>
      <c r="P107" s="256">
        <f>('Encargos e Benefícios'!X106+'Encargos e Benefícios'!Y106+'Encargos e Benefícios'!Z106+'Encargos e Benefícios'!AA106+'Encargos e Benefícios'!AB106)*5.84%</f>
        <v>18.235399999999998</v>
      </c>
      <c r="Q107" s="256">
        <f>'Encargos e Benefícios'!V106*5.84%</f>
        <v>6.521528</v>
      </c>
      <c r="R107" s="256"/>
      <c r="S107" s="293">
        <v>46143</v>
      </c>
      <c r="T107" s="294">
        <v>5.8400000000000001E-2</v>
      </c>
      <c r="U107" s="256">
        <f>('Encargos e Benefícios'!W106+'Gastos com Pessoal'!O107)*5.84%</f>
        <v>32.710148351999997</v>
      </c>
      <c r="V107" s="256">
        <f>('Encargos e Benefícios'!X106+'Encargos e Benefícios'!Y106+'Encargos e Benefícios'!Z106+'Encargos e Benefícios'!AA106+'Encargos e Benefícios'!AB106+'Gastos com Pessoal'!P107)*5.84%</f>
        <v>19.300347360000004</v>
      </c>
      <c r="W107" s="256">
        <f>('Encargos e Benefícios'!V106+'Gastos com Pessoal'!Q107)*5.84%</f>
        <v>6.9023852352000006</v>
      </c>
      <c r="X107" s="256"/>
      <c r="Y107" s="293">
        <v>46508</v>
      </c>
      <c r="Z107" s="294">
        <v>5.8400000000000001E-2</v>
      </c>
      <c r="AA107" s="256">
        <f>('Encargos e Benefícios'!W106+'Gastos com Pessoal'!O107+'Gastos com Pessoal'!U107)*5.84%</f>
        <v>34.620421015756804</v>
      </c>
      <c r="AB107" s="256">
        <f>('Encargos e Benefícios'!X106+'Encargos e Benefícios'!Y106+'Encargos e Benefícios'!Z106+'Encargos e Benefícios'!AA106+'Encargos e Benefícios'!AB106+'Gastos com Pessoal'!P107+'Gastos com Pessoal'!V107)*5.84%</f>
        <v>20.427487645824002</v>
      </c>
      <c r="AC107" s="256">
        <f>('Encargos e Benefícios'!V106+'Gastos com Pessoal'!Q107+'Gastos com Pessoal'!W107)*5.84%</f>
        <v>7.3054845329356803</v>
      </c>
      <c r="AD107" s="256"/>
      <c r="AE107" s="293">
        <v>46874</v>
      </c>
      <c r="AF107" s="294">
        <v>5.8400000000000001E-2</v>
      </c>
      <c r="AG107" s="256">
        <f>('Encargos e Benefícios'!W106+'Gastos com Pessoal'!O107+'Gastos com Pessoal'!U107+'Gastos com Pessoal'!AA107)*5.84%</f>
        <v>36.642253603077002</v>
      </c>
      <c r="AH107" s="256">
        <f>('Encargos e Benefícios'!X106+'Encargos e Benefícios'!Y106+'Encargos e Benefícios'!Z106+'Encargos e Benefícios'!AA106+'Encargos e Benefícios'!AB106+'Gastos com Pessoal'!P107+'Gastos com Pessoal'!V107+'Gastos com Pessoal'!AB107)*5.84%</f>
        <v>21.620452924340121</v>
      </c>
      <c r="AI107" s="256">
        <f>('Encargos e Benefícios'!V106+'Gastos com Pessoal'!Q107+'Gastos com Pessoal'!W107+'Gastos com Pessoal'!AC107)*5.84%</f>
        <v>7.7321248296591243</v>
      </c>
      <c r="AJ107" s="257"/>
      <c r="AK107" s="296">
        <f>'Encargos e Benefícios'!D106</f>
        <v>1537.21</v>
      </c>
      <c r="AL107" s="296">
        <f>IF('Encargos e Benefícios'!C106=0,0,'Encargos e Benefícios'!U106/'Encargos e Benefícios'!C106)</f>
        <v>1228.3161905555557</v>
      </c>
      <c r="AM107" s="296">
        <f>IF('Encargos e Benefícios'!C106=0,0,'Encargos e Benefícios'!AC106/'Encargos e Benefícios'!C106)</f>
        <v>953.12000000000012</v>
      </c>
      <c r="AN107" s="297">
        <f>IF('Encargos e Benefícios'!C106=0,0,'Encargos e Benefícios'!AD106/'Encargos e Benefícios'!C106)</f>
        <v>3718.6461905555561</v>
      </c>
      <c r="AO107" s="188">
        <v>2046.28</v>
      </c>
      <c r="AP107" s="298">
        <v>1212</v>
      </c>
      <c r="AQ107" s="298">
        <v>2880.55</v>
      </c>
      <c r="AR107" s="299" t="s">
        <v>108</v>
      </c>
      <c r="AS107" s="188"/>
    </row>
    <row r="108" spans="1:45">
      <c r="A108" s="286">
        <v>102</v>
      </c>
      <c r="B108" s="81" t="str">
        <f>'Encargos e Benefícios'!B107</f>
        <v>Socioeducador - DC</v>
      </c>
      <c r="C108" s="287">
        <f>'Encargos e Benefícios'!C107</f>
        <v>2</v>
      </c>
      <c r="D108" s="288" t="s">
        <v>496</v>
      </c>
      <c r="E108" s="300">
        <v>45658</v>
      </c>
      <c r="F108" s="301">
        <v>47058</v>
      </c>
      <c r="G108" s="293"/>
      <c r="H108" s="294"/>
      <c r="I108" s="256"/>
      <c r="J108" s="256"/>
      <c r="K108" s="256"/>
      <c r="L108" s="256"/>
      <c r="M108" s="293">
        <v>45778</v>
      </c>
      <c r="N108" s="294">
        <v>5.8400000000000001E-2</v>
      </c>
      <c r="O108" s="256">
        <f>'Encargos e Benefícios'!W107*5.84%</f>
        <v>61.810560000000002</v>
      </c>
      <c r="P108" s="256">
        <f>('Encargos e Benefícios'!X107+'Encargos e Benefícios'!Y107+'Encargos e Benefícios'!Z107+'Encargos e Benefícios'!AA107+'Encargos e Benefícios'!AB107)*5.84%</f>
        <v>36.470799999999997</v>
      </c>
      <c r="Q108" s="256">
        <f>'Encargos e Benefícios'!V107*5.84%</f>
        <v>8.8931520000000006</v>
      </c>
      <c r="R108" s="256"/>
      <c r="S108" s="293">
        <v>46143</v>
      </c>
      <c r="T108" s="294">
        <v>5.8400000000000001E-2</v>
      </c>
      <c r="U108" s="256">
        <f>('Encargos e Benefícios'!W107+'Gastos com Pessoal'!O108)*5.84%</f>
        <v>65.420296703999995</v>
      </c>
      <c r="V108" s="256">
        <f>('Encargos e Benefícios'!X107+'Encargos e Benefícios'!Y107+'Encargos e Benefícios'!Z107+'Encargos e Benefícios'!AA107+'Encargos e Benefícios'!AB107+'Gastos com Pessoal'!P108)*5.84%</f>
        <v>38.600694720000007</v>
      </c>
      <c r="W108" s="256">
        <f>('Encargos e Benefícios'!V107+'Gastos com Pessoal'!Q108)*5.84%</f>
        <v>9.4125120768000006</v>
      </c>
      <c r="X108" s="256"/>
      <c r="Y108" s="293">
        <v>46508</v>
      </c>
      <c r="Z108" s="294">
        <v>5.8400000000000001E-2</v>
      </c>
      <c r="AA108" s="256">
        <f>('Encargos e Benefícios'!W107+'Gastos com Pessoal'!O108+'Gastos com Pessoal'!U108)*5.84%</f>
        <v>69.240842031513608</v>
      </c>
      <c r="AB108" s="256">
        <f>('Encargos e Benefícios'!X107+'Encargos e Benefícios'!Y107+'Encargos e Benefícios'!Z107+'Encargos e Benefícios'!AA107+'Encargos e Benefícios'!AB107+'Gastos com Pessoal'!P108+'Gastos com Pessoal'!V108)*5.84%</f>
        <v>40.854975291648003</v>
      </c>
      <c r="AC108" s="256">
        <f>('Encargos e Benefícios'!V107+'Gastos com Pessoal'!Q108+'Gastos com Pessoal'!W108)*5.84%</f>
        <v>9.9622027820851216</v>
      </c>
      <c r="AD108" s="256"/>
      <c r="AE108" s="293">
        <v>46874</v>
      </c>
      <c r="AF108" s="294">
        <v>5.8400000000000001E-2</v>
      </c>
      <c r="AG108" s="256">
        <f>('Encargos e Benefícios'!W107+'Gastos com Pessoal'!O108+'Gastos com Pessoal'!U108+'Gastos com Pessoal'!AA108)*5.84%</f>
        <v>73.284507206154004</v>
      </c>
      <c r="AH108" s="256">
        <f>('Encargos e Benefícios'!X107+'Encargos e Benefícios'!Y107+'Encargos e Benefícios'!Z107+'Encargos e Benefícios'!AA107+'Encargos e Benefícios'!AB107+'Gastos com Pessoal'!P108+'Gastos com Pessoal'!V108+'Gastos com Pessoal'!AB108)*5.84%</f>
        <v>43.240905848680242</v>
      </c>
      <c r="AI108" s="256">
        <f>('Encargos e Benefícios'!V107+'Gastos com Pessoal'!Q108+'Gastos com Pessoal'!W108+'Gastos com Pessoal'!AC108)*5.84%</f>
        <v>10.543995424558892</v>
      </c>
      <c r="AJ108" s="257"/>
      <c r="AK108" s="296">
        <f>'Encargos e Benefícios'!D107</f>
        <v>2010.96</v>
      </c>
      <c r="AL108" s="296">
        <f>IF('Encargos e Benefícios'!C107=0,0,'Encargos e Benefícios'!U107/'Encargos e Benefícios'!C107)</f>
        <v>2942.4053904000002</v>
      </c>
      <c r="AM108" s="296">
        <f>IF('Encargos e Benefícios'!C107=0,0,'Encargos e Benefícios'!AC107/'Encargos e Benefícios'!C107)</f>
        <v>917.59000000000015</v>
      </c>
      <c r="AN108" s="297">
        <f>IF('Encargos e Benefícios'!C107=0,0,'Encargos e Benefícios'!AD107/'Encargos e Benefícios'!C107)</f>
        <v>5870.9553904000004</v>
      </c>
      <c r="AO108" s="188">
        <v>2752.21</v>
      </c>
      <c r="AP108" s="298">
        <v>1764.5</v>
      </c>
      <c r="AQ108" s="298">
        <v>3739.92</v>
      </c>
      <c r="AR108" s="299" t="s">
        <v>108</v>
      </c>
      <c r="AS108" s="188"/>
    </row>
    <row r="109" spans="1:45">
      <c r="A109" s="286">
        <v>103</v>
      </c>
      <c r="B109" s="81" t="str">
        <f>'Encargos e Benefícios'!B108</f>
        <v>Socioeducador - D</v>
      </c>
      <c r="C109" s="287">
        <f>'Encargos e Benefícios'!C108</f>
        <v>5</v>
      </c>
      <c r="D109" s="288" t="s">
        <v>496</v>
      </c>
      <c r="E109" s="300">
        <v>45658</v>
      </c>
      <c r="F109" s="301">
        <v>47058</v>
      </c>
      <c r="G109" s="293"/>
      <c r="H109" s="294"/>
      <c r="I109" s="256"/>
      <c r="J109" s="256"/>
      <c r="K109" s="256"/>
      <c r="L109" s="256"/>
      <c r="M109" s="293">
        <v>45778</v>
      </c>
      <c r="N109" s="294">
        <v>5.8400000000000001E-2</v>
      </c>
      <c r="O109" s="256">
        <f>'Encargos e Benefícios'!W108*5.84%</f>
        <v>154.5264</v>
      </c>
      <c r="P109" s="256">
        <f>('Encargos e Benefícios'!X108+'Encargos e Benefícios'!Y108+'Encargos e Benefícios'!Z108+'Encargos e Benefícios'!AA108+'Encargos e Benefícios'!AB108)*5.84%</f>
        <v>91.177000000000007</v>
      </c>
      <c r="Q109" s="256">
        <f>'Encargos e Benefícios'!V108*5.84%</f>
        <v>22.232879999999998</v>
      </c>
      <c r="R109" s="256"/>
      <c r="S109" s="293">
        <v>46143</v>
      </c>
      <c r="T109" s="294">
        <v>5.8400000000000001E-2</v>
      </c>
      <c r="U109" s="256">
        <f>('Encargos e Benefícios'!W108+'Gastos com Pessoal'!O109)*5.84%</f>
        <v>163.55074176000002</v>
      </c>
      <c r="V109" s="256">
        <f>('Encargos e Benefícios'!X108+'Encargos e Benefícios'!Y108+'Encargos e Benefícios'!Z108+'Encargos e Benefícios'!AA108+'Encargos e Benefícios'!AB108+'Gastos com Pessoal'!P109)*5.84%</f>
        <v>96.501736799999989</v>
      </c>
      <c r="W109" s="256">
        <f>('Encargos e Benefícios'!V108+'Gastos com Pessoal'!Q109)*5.84%</f>
        <v>23.531280192000001</v>
      </c>
      <c r="X109" s="256"/>
      <c r="Y109" s="293">
        <v>46508</v>
      </c>
      <c r="Z109" s="294">
        <v>5.8400000000000001E-2</v>
      </c>
      <c r="AA109" s="256">
        <f>('Encargos e Benefícios'!W108+'Gastos com Pessoal'!O109+'Gastos com Pessoal'!U109)*5.84%</f>
        <v>173.10210507878404</v>
      </c>
      <c r="AB109" s="256">
        <f>('Encargos e Benefícios'!X108+'Encargos e Benefícios'!Y108+'Encargos e Benefícios'!Z108+'Encargos e Benefícios'!AA108+'Encargos e Benefícios'!AB108+'Gastos com Pessoal'!P109+'Gastos com Pessoal'!V109)*5.84%</f>
        <v>102.13743822911999</v>
      </c>
      <c r="AC109" s="256">
        <f>('Encargos e Benefícios'!V108+'Gastos com Pessoal'!Q109+'Gastos com Pessoal'!W109)*5.84%</f>
        <v>24.9055069552128</v>
      </c>
      <c r="AD109" s="256"/>
      <c r="AE109" s="293">
        <v>46874</v>
      </c>
      <c r="AF109" s="294">
        <v>5.8400000000000001E-2</v>
      </c>
      <c r="AG109" s="256">
        <f>('Encargos e Benefícios'!W108+'Gastos com Pessoal'!O109+'Gastos com Pessoal'!U109+'Gastos com Pessoal'!AA109)*5.84%</f>
        <v>183.211268015385</v>
      </c>
      <c r="AH109" s="256">
        <f>('Encargos e Benefícios'!X108+'Encargos e Benefícios'!Y108+'Encargos e Benefícios'!Z108+'Encargos e Benefícios'!AA108+'Encargos e Benefícios'!AB108+'Gastos com Pessoal'!P109+'Gastos com Pessoal'!V109+'Gastos com Pessoal'!AB109)*5.84%</f>
        <v>108.10226462170058</v>
      </c>
      <c r="AI109" s="256">
        <f>('Encargos e Benefícios'!V108+'Gastos com Pessoal'!Q109+'Gastos com Pessoal'!W109+'Gastos com Pessoal'!AC109)*5.84%</f>
        <v>26.359988561397227</v>
      </c>
      <c r="AJ109" s="257"/>
      <c r="AK109" s="296">
        <f>'Encargos e Benefícios'!D108</f>
        <v>2010.96</v>
      </c>
      <c r="AL109" s="296">
        <f>IF('Encargos e Benefícios'!C108=0,0,'Encargos e Benefícios'!U108/'Encargos e Benefícios'!C108)</f>
        <v>2591.2415003999999</v>
      </c>
      <c r="AM109" s="296">
        <f>IF('Encargos e Benefícios'!C108=0,0,'Encargos e Benefícios'!AC108/'Encargos e Benefícios'!C108)</f>
        <v>917.58999999999992</v>
      </c>
      <c r="AN109" s="297">
        <f>IF('Encargos e Benefícios'!C108=0,0,'Encargos e Benefícios'!AD108/'Encargos e Benefícios'!C108)</f>
        <v>5519.7915004000006</v>
      </c>
      <c r="AO109" s="188">
        <v>2752.21</v>
      </c>
      <c r="AP109" s="298">
        <v>1764.5</v>
      </c>
      <c r="AQ109" s="298">
        <v>3739.92</v>
      </c>
      <c r="AR109" s="299" t="s">
        <v>108</v>
      </c>
      <c r="AS109" s="188"/>
    </row>
    <row r="110" spans="1:45">
      <c r="A110" s="286">
        <v>104</v>
      </c>
      <c r="B110" s="81" t="str">
        <f>'Encargos e Benefícios'!B109</f>
        <v>Socioeducador - NC</v>
      </c>
      <c r="C110" s="287">
        <f>'Encargos e Benefícios'!C109</f>
        <v>2</v>
      </c>
      <c r="D110" s="288" t="s">
        <v>496</v>
      </c>
      <c r="E110" s="300">
        <v>45658</v>
      </c>
      <c r="F110" s="301">
        <v>47058</v>
      </c>
      <c r="G110" s="293"/>
      <c r="H110" s="294"/>
      <c r="I110" s="256"/>
      <c r="J110" s="256"/>
      <c r="K110" s="256"/>
      <c r="L110" s="256"/>
      <c r="M110" s="293">
        <v>45778</v>
      </c>
      <c r="N110" s="294">
        <v>5.8400000000000001E-2</v>
      </c>
      <c r="O110" s="256">
        <f>'Encargos e Benefícios'!W109*5.84%</f>
        <v>61.810560000000002</v>
      </c>
      <c r="P110" s="256">
        <f>('Encargos e Benefícios'!X109+'Encargos e Benefícios'!Y109+'Encargos e Benefícios'!Z109+'Encargos e Benefícios'!AA109+'Encargos e Benefícios'!AB109)*5.84%</f>
        <v>36.470799999999997</v>
      </c>
      <c r="Q110" s="256">
        <f>'Encargos e Benefícios'!V109*5.84%</f>
        <v>8.8931520000000006</v>
      </c>
      <c r="R110" s="256"/>
      <c r="S110" s="293">
        <v>46143</v>
      </c>
      <c r="T110" s="294">
        <v>5.8400000000000001E-2</v>
      </c>
      <c r="U110" s="256">
        <f>('Encargos e Benefícios'!W109+'Gastos com Pessoal'!O110)*5.84%</f>
        <v>65.420296703999995</v>
      </c>
      <c r="V110" s="256">
        <f>('Encargos e Benefícios'!X109+'Encargos e Benefícios'!Y109+'Encargos e Benefícios'!Z109+'Encargos e Benefícios'!AA109+'Encargos e Benefícios'!AB109+'Gastos com Pessoal'!P110)*5.84%</f>
        <v>38.600694720000007</v>
      </c>
      <c r="W110" s="256">
        <f>('Encargos e Benefícios'!V109+'Gastos com Pessoal'!Q110)*5.84%</f>
        <v>9.4125120768000006</v>
      </c>
      <c r="X110" s="256"/>
      <c r="Y110" s="293">
        <v>46508</v>
      </c>
      <c r="Z110" s="294">
        <v>5.8400000000000001E-2</v>
      </c>
      <c r="AA110" s="256">
        <f>('Encargos e Benefícios'!W109+'Gastos com Pessoal'!O110+'Gastos com Pessoal'!U110)*5.84%</f>
        <v>69.240842031513608</v>
      </c>
      <c r="AB110" s="256">
        <f>('Encargos e Benefícios'!X109+'Encargos e Benefícios'!Y109+'Encargos e Benefícios'!Z109+'Encargos e Benefícios'!AA109+'Encargos e Benefícios'!AB109+'Gastos com Pessoal'!P110+'Gastos com Pessoal'!V110)*5.84%</f>
        <v>40.854975291648003</v>
      </c>
      <c r="AC110" s="256">
        <f>('Encargos e Benefícios'!V109+'Gastos com Pessoal'!Q110+'Gastos com Pessoal'!W110)*5.84%</f>
        <v>9.9622027820851216</v>
      </c>
      <c r="AD110" s="256"/>
      <c r="AE110" s="293">
        <v>46874</v>
      </c>
      <c r="AF110" s="294">
        <v>5.8400000000000001E-2</v>
      </c>
      <c r="AG110" s="256">
        <f>('Encargos e Benefícios'!W109+'Gastos com Pessoal'!O110+'Gastos com Pessoal'!U110+'Gastos com Pessoal'!AA110)*5.84%</f>
        <v>73.284507206154004</v>
      </c>
      <c r="AH110" s="256">
        <f>('Encargos e Benefícios'!X109+'Encargos e Benefícios'!Y109+'Encargos e Benefícios'!Z109+'Encargos e Benefícios'!AA109+'Encargos e Benefícios'!AB109+'Gastos com Pessoal'!P110+'Gastos com Pessoal'!V110+'Gastos com Pessoal'!AB110)*5.84%</f>
        <v>43.240905848680242</v>
      </c>
      <c r="AI110" s="256">
        <f>('Encargos e Benefícios'!V109+'Gastos com Pessoal'!Q110+'Gastos com Pessoal'!W110+'Gastos com Pessoal'!AC110)*5.84%</f>
        <v>10.543995424558892</v>
      </c>
      <c r="AJ110" s="257"/>
      <c r="AK110" s="296">
        <f>'Encargos e Benefícios'!D109</f>
        <v>2010.96</v>
      </c>
      <c r="AL110" s="296">
        <f>IF('Encargos e Benefícios'!C109=0,0,'Encargos e Benefícios'!U109/'Encargos e Benefícios'!C109)</f>
        <v>3553.5688062933345</v>
      </c>
      <c r="AM110" s="296">
        <f>IF('Encargos e Benefícios'!C109=0,0,'Encargos e Benefícios'!AC109/'Encargos e Benefícios'!C109)</f>
        <v>917.59000000000015</v>
      </c>
      <c r="AN110" s="297">
        <f>IF('Encargos e Benefícios'!C109=0,0,'Encargos e Benefícios'!AD109/'Encargos e Benefícios'!C109)</f>
        <v>6482.1188062933343</v>
      </c>
      <c r="AO110" s="188">
        <v>2752.21</v>
      </c>
      <c r="AP110" s="298">
        <v>1764.5</v>
      </c>
      <c r="AQ110" s="298">
        <v>3739.92</v>
      </c>
      <c r="AR110" s="299" t="s">
        <v>108</v>
      </c>
      <c r="AS110" s="188"/>
    </row>
    <row r="111" spans="1:45" ht="13" thickBot="1">
      <c r="A111" s="286">
        <v>105</v>
      </c>
      <c r="B111" s="81" t="str">
        <f>'Encargos e Benefícios'!B110</f>
        <v>Socioeducador - N</v>
      </c>
      <c r="C111" s="287">
        <f>'Encargos e Benefícios'!C110</f>
        <v>4</v>
      </c>
      <c r="D111" s="288" t="s">
        <v>496</v>
      </c>
      <c r="E111" s="300">
        <v>45658</v>
      </c>
      <c r="F111" s="301">
        <v>47058</v>
      </c>
      <c r="G111" s="293"/>
      <c r="H111" s="294"/>
      <c r="I111" s="256"/>
      <c r="J111" s="256"/>
      <c r="K111" s="256"/>
      <c r="L111" s="256"/>
      <c r="M111" s="293">
        <v>45778</v>
      </c>
      <c r="N111" s="294">
        <v>5.8400000000000001E-2</v>
      </c>
      <c r="O111" s="256">
        <f>'Encargos e Benefícios'!W110*5.84%</f>
        <v>123.62112</v>
      </c>
      <c r="P111" s="256">
        <f>('Encargos e Benefícios'!X110+'Encargos e Benefícios'!Y110+'Encargos e Benefícios'!Z110+'Encargos e Benefícios'!AA110+'Encargos e Benefícios'!AB110)*5.84%</f>
        <v>72.941599999999994</v>
      </c>
      <c r="Q111" s="256">
        <f>'Encargos e Benefícios'!V110*5.84%</f>
        <v>17.786304000000001</v>
      </c>
      <c r="R111" s="256"/>
      <c r="S111" s="293">
        <v>46143</v>
      </c>
      <c r="T111" s="294">
        <v>5.8400000000000001E-2</v>
      </c>
      <c r="U111" s="256">
        <f>('Encargos e Benefícios'!W110+'Gastos com Pessoal'!O111)*5.84%</f>
        <v>130.84059340799999</v>
      </c>
      <c r="V111" s="256">
        <f>('Encargos e Benefícios'!X110+'Encargos e Benefícios'!Y110+'Encargos e Benefícios'!Z110+'Encargos e Benefícios'!AA110+'Encargos e Benefícios'!AB110+'Gastos com Pessoal'!P111)*5.84%</f>
        <v>77.201389440000014</v>
      </c>
      <c r="W111" s="256">
        <f>('Encargos e Benefícios'!V110+'Gastos com Pessoal'!Q111)*5.84%</f>
        <v>18.825024153600001</v>
      </c>
      <c r="X111" s="256"/>
      <c r="Y111" s="293">
        <v>46508</v>
      </c>
      <c r="Z111" s="294">
        <v>5.8400000000000001E-2</v>
      </c>
      <c r="AA111" s="256">
        <f>('Encargos e Benefícios'!W110+'Gastos com Pessoal'!O111+'Gastos com Pessoal'!U111)*5.84%</f>
        <v>138.48168406302722</v>
      </c>
      <c r="AB111" s="256">
        <f>('Encargos e Benefícios'!X110+'Encargos e Benefícios'!Y110+'Encargos e Benefícios'!Z110+'Encargos e Benefícios'!AA110+'Encargos e Benefícios'!AB110+'Gastos com Pessoal'!P111+'Gastos com Pessoal'!V111)*5.84%</f>
        <v>81.709950583296006</v>
      </c>
      <c r="AC111" s="256">
        <f>('Encargos e Benefícios'!V110+'Gastos com Pessoal'!Q111+'Gastos com Pessoal'!W111)*5.84%</f>
        <v>19.924405564170243</v>
      </c>
      <c r="AD111" s="256"/>
      <c r="AE111" s="293">
        <v>46874</v>
      </c>
      <c r="AF111" s="294">
        <v>5.8400000000000001E-2</v>
      </c>
      <c r="AG111" s="256">
        <f>('Encargos e Benefícios'!W110+'Gastos com Pessoal'!O111+'Gastos com Pessoal'!U111+'Gastos com Pessoal'!AA111)*5.84%</f>
        <v>146.56901441230801</v>
      </c>
      <c r="AH111" s="256">
        <f>('Encargos e Benefícios'!X110+'Encargos e Benefícios'!Y110+'Encargos e Benefícios'!Z110+'Encargos e Benefícios'!AA110+'Encargos e Benefícios'!AB110+'Gastos com Pessoal'!P111+'Gastos com Pessoal'!V111+'Gastos com Pessoal'!AB111)*5.84%</f>
        <v>86.481811697360484</v>
      </c>
      <c r="AI111" s="256">
        <f>('Encargos e Benefícios'!V110+'Gastos com Pessoal'!Q111+'Gastos com Pessoal'!W111+'Gastos com Pessoal'!AC111)*5.84%</f>
        <v>21.087990849117784</v>
      </c>
      <c r="AJ111" s="257"/>
      <c r="AK111" s="296">
        <f>'Encargos e Benefícios'!D110</f>
        <v>2010.96</v>
      </c>
      <c r="AL111" s="296">
        <f>IF('Encargos e Benefícios'!C110=0,0,'Encargos e Benefícios'!U110/'Encargos e Benefícios'!C110)</f>
        <v>3202.4049162933334</v>
      </c>
      <c r="AM111" s="296">
        <f>IF('Encargos e Benefícios'!C110=0,0,'Encargos e Benefícios'!AC110/'Encargos e Benefícios'!C110)</f>
        <v>917.59000000000015</v>
      </c>
      <c r="AN111" s="297">
        <f>IF('Encargos e Benefícios'!C110=0,0,'Encargos e Benefícios'!AD110/'Encargos e Benefícios'!C110)</f>
        <v>6130.9549162933336</v>
      </c>
      <c r="AO111" s="188">
        <v>2752.21</v>
      </c>
      <c r="AP111" s="298">
        <v>1764.5</v>
      </c>
      <c r="AQ111" s="298">
        <v>3739.92</v>
      </c>
      <c r="AR111" s="299" t="s">
        <v>108</v>
      </c>
      <c r="AS111" s="188"/>
    </row>
    <row r="112" spans="1:45">
      <c r="A112" s="286">
        <v>106</v>
      </c>
      <c r="B112" s="81" t="str">
        <f>'Encargos e Benefícios'!B111</f>
        <v>Diretor Geral de Unidade Socioeducativa</v>
      </c>
      <c r="C112" s="287">
        <f>'Encargos e Benefícios'!C111</f>
        <v>1</v>
      </c>
      <c r="D112" s="288">
        <v>40</v>
      </c>
      <c r="E112" s="289">
        <v>45658</v>
      </c>
      <c r="F112" s="290">
        <v>47058</v>
      </c>
      <c r="G112" s="293"/>
      <c r="H112" s="294"/>
      <c r="I112" s="256"/>
      <c r="J112" s="256"/>
      <c r="K112" s="256"/>
      <c r="L112" s="256"/>
      <c r="M112" s="293">
        <v>45778</v>
      </c>
      <c r="N112" s="294">
        <v>5.8400000000000001E-2</v>
      </c>
      <c r="O112" s="256">
        <f>'Encargos e Benefícios'!W111*5.84%</f>
        <v>30.905280000000001</v>
      </c>
      <c r="P112" s="256">
        <f>('Encargos e Benefícios'!X111+'Encargos e Benefícios'!Y111+'Encargos e Benefícios'!Z111+'Encargos e Benefícios'!AA111+'Encargos e Benefícios'!AB111)*5.84%</f>
        <v>18.235399999999998</v>
      </c>
      <c r="Q112" s="256">
        <f>'Encargos e Benefícios'!V111*5.84%</f>
        <v>0</v>
      </c>
      <c r="R112" s="256"/>
      <c r="S112" s="293">
        <v>46143</v>
      </c>
      <c r="T112" s="294">
        <v>5.8400000000000001E-2</v>
      </c>
      <c r="U112" s="256">
        <f>('Encargos e Benefícios'!W111+'Gastos com Pessoal'!O112)*5.84%</f>
        <v>32.710148351999997</v>
      </c>
      <c r="V112" s="256">
        <f>('Encargos e Benefícios'!X111+'Encargos e Benefícios'!Y111+'Encargos e Benefícios'!Z111+'Encargos e Benefícios'!AA111+'Encargos e Benefícios'!AB111+'Gastos com Pessoal'!P112)*5.84%</f>
        <v>19.300347360000004</v>
      </c>
      <c r="W112" s="256">
        <f>('Encargos e Benefícios'!V111+'Gastos com Pessoal'!Q112)*5.84%</f>
        <v>0</v>
      </c>
      <c r="X112" s="256"/>
      <c r="Y112" s="293">
        <v>46508</v>
      </c>
      <c r="Z112" s="294">
        <v>5.8400000000000001E-2</v>
      </c>
      <c r="AA112" s="256">
        <f>('Encargos e Benefícios'!W111+'Gastos com Pessoal'!O112+'Gastos com Pessoal'!U112)*5.84%</f>
        <v>34.620421015756804</v>
      </c>
      <c r="AB112" s="256">
        <f>('Encargos e Benefícios'!X111+'Encargos e Benefícios'!Y111+'Encargos e Benefícios'!Z111+'Encargos e Benefícios'!AA111+'Encargos e Benefícios'!AB111+'Gastos com Pessoal'!P112+'Gastos com Pessoal'!V112)*5.84%</f>
        <v>20.427487645824002</v>
      </c>
      <c r="AC112" s="256">
        <f>('Encargos e Benefícios'!V111+'Gastos com Pessoal'!Q112+'Gastos com Pessoal'!W112)*5.84%</f>
        <v>0</v>
      </c>
      <c r="AD112" s="256"/>
      <c r="AE112" s="293">
        <v>46874</v>
      </c>
      <c r="AF112" s="294">
        <v>5.8400000000000001E-2</v>
      </c>
      <c r="AG112" s="256">
        <f>('Encargos e Benefícios'!W111+'Gastos com Pessoal'!O112+'Gastos com Pessoal'!U112+'Gastos com Pessoal'!AA112)*5.84%</f>
        <v>36.642253603077002</v>
      </c>
      <c r="AH112" s="256">
        <f>('Encargos e Benefícios'!X111+'Encargos e Benefícios'!Y111+'Encargos e Benefícios'!Z111+'Encargos e Benefícios'!AA111+'Encargos e Benefícios'!AB111+'Gastos com Pessoal'!P112+'Gastos com Pessoal'!V112+'Gastos com Pessoal'!AB112)*5.84%</f>
        <v>21.620452924340121</v>
      </c>
      <c r="AI112" s="256">
        <f>('Encargos e Benefícios'!V111+'Gastos com Pessoal'!Q112+'Gastos com Pessoal'!W112+'Gastos com Pessoal'!AC112)*5.84%</f>
        <v>0</v>
      </c>
      <c r="AJ112" s="257"/>
      <c r="AK112" s="296">
        <f>'Encargos e Benefícios'!D111</f>
        <v>6879.6</v>
      </c>
      <c r="AL112" s="296">
        <f>IF('Encargos e Benefícios'!C111=0,0,'Encargos e Benefícios'!U111/'Encargos e Benefícios'!C111)</f>
        <v>5400.8682000000008</v>
      </c>
      <c r="AM112" s="296">
        <f>IF('Encargos e Benefícios'!C111=0,0,'Encargos e Benefícios'!AC111/'Encargos e Benefícios'!C111)</f>
        <v>841.45</v>
      </c>
      <c r="AN112" s="297">
        <f>IF('Encargos e Benefícios'!C111=0,0,'Encargos e Benefícios'!AD111/'Encargos e Benefícios'!C111)</f>
        <v>13121.918200000002</v>
      </c>
      <c r="AO112" s="188">
        <v>6052.24</v>
      </c>
      <c r="AP112" s="298">
        <v>4239.6899999999996</v>
      </c>
      <c r="AQ112" s="298">
        <v>7864.78</v>
      </c>
      <c r="AR112" s="299" t="s">
        <v>109</v>
      </c>
      <c r="AS112" s="188"/>
    </row>
    <row r="113" spans="1:45">
      <c r="A113" s="286">
        <v>107</v>
      </c>
      <c r="B113" s="81" t="str">
        <f>'Encargos e Benefícios'!B112</f>
        <v>Subdiretor de Segurança</v>
      </c>
      <c r="C113" s="287">
        <f>'Encargos e Benefícios'!C112</f>
        <v>1</v>
      </c>
      <c r="D113" s="288">
        <v>40</v>
      </c>
      <c r="E113" s="300">
        <v>45658</v>
      </c>
      <c r="F113" s="301">
        <v>47058</v>
      </c>
      <c r="G113" s="293"/>
      <c r="H113" s="294"/>
      <c r="I113" s="256"/>
      <c r="J113" s="256"/>
      <c r="K113" s="256"/>
      <c r="L113" s="256"/>
      <c r="M113" s="293">
        <v>45778</v>
      </c>
      <c r="N113" s="294">
        <v>5.8400000000000001E-2</v>
      </c>
      <c r="O113" s="256">
        <f>'Encargos e Benefícios'!W112*5.84%</f>
        <v>30.905280000000001</v>
      </c>
      <c r="P113" s="256">
        <f>('Encargos e Benefícios'!X112+'Encargos e Benefícios'!Y112+'Encargos e Benefícios'!Z112+'Encargos e Benefícios'!AA112+'Encargos e Benefícios'!AB112)*5.84%</f>
        <v>18.235399999999998</v>
      </c>
      <c r="Q113" s="256">
        <f>'Encargos e Benefícios'!V112*5.84%</f>
        <v>0</v>
      </c>
      <c r="R113" s="256"/>
      <c r="S113" s="293">
        <v>46143</v>
      </c>
      <c r="T113" s="294">
        <v>5.8400000000000001E-2</v>
      </c>
      <c r="U113" s="256">
        <f>('Encargos e Benefícios'!W112+'Gastos com Pessoal'!O113)*5.84%</f>
        <v>32.710148351999997</v>
      </c>
      <c r="V113" s="256">
        <f>('Encargos e Benefícios'!X112+'Encargos e Benefícios'!Y112+'Encargos e Benefícios'!Z112+'Encargos e Benefícios'!AA112+'Encargos e Benefícios'!AB112+'Gastos com Pessoal'!P113)*5.84%</f>
        <v>19.300347360000004</v>
      </c>
      <c r="W113" s="256">
        <f>('Encargos e Benefícios'!V112+'Gastos com Pessoal'!Q113)*5.84%</f>
        <v>0</v>
      </c>
      <c r="X113" s="256"/>
      <c r="Y113" s="293">
        <v>46508</v>
      </c>
      <c r="Z113" s="294">
        <v>5.8400000000000001E-2</v>
      </c>
      <c r="AA113" s="256">
        <f>('Encargos e Benefícios'!W112+'Gastos com Pessoal'!O113+'Gastos com Pessoal'!U113)*5.84%</f>
        <v>34.620421015756804</v>
      </c>
      <c r="AB113" s="256">
        <f>('Encargos e Benefícios'!X112+'Encargos e Benefícios'!Y112+'Encargos e Benefícios'!Z112+'Encargos e Benefícios'!AA112+'Encargos e Benefícios'!AB112+'Gastos com Pessoal'!P113+'Gastos com Pessoal'!V113)*5.84%</f>
        <v>20.427487645824002</v>
      </c>
      <c r="AC113" s="256">
        <f>('Encargos e Benefícios'!V112+'Gastos com Pessoal'!Q113+'Gastos com Pessoal'!W113)*5.84%</f>
        <v>0</v>
      </c>
      <c r="AD113" s="256"/>
      <c r="AE113" s="293">
        <v>46874</v>
      </c>
      <c r="AF113" s="294">
        <v>5.8400000000000001E-2</v>
      </c>
      <c r="AG113" s="256">
        <f>('Encargos e Benefícios'!W112+'Gastos com Pessoal'!O113+'Gastos com Pessoal'!U113+'Gastos com Pessoal'!AA113)*5.84%</f>
        <v>36.642253603077002</v>
      </c>
      <c r="AH113" s="256">
        <f>('Encargos e Benefícios'!X112+'Encargos e Benefícios'!Y112+'Encargos e Benefícios'!Z112+'Encargos e Benefícios'!AA112+'Encargos e Benefícios'!AB112+'Gastos com Pessoal'!P113+'Gastos com Pessoal'!V113+'Gastos com Pessoal'!AB113)*5.84%</f>
        <v>21.620452924340121</v>
      </c>
      <c r="AI113" s="256">
        <f>('Encargos e Benefícios'!V112+'Gastos com Pessoal'!Q113+'Gastos com Pessoal'!W113+'Gastos com Pessoal'!AC113)*5.84%</f>
        <v>0</v>
      </c>
      <c r="AJ113" s="257"/>
      <c r="AK113" s="296">
        <f>'Encargos e Benefícios'!D112</f>
        <v>3993.98</v>
      </c>
      <c r="AL113" s="296">
        <f>IF('Encargos e Benefícios'!C112=0,0,'Encargos e Benefícios'!U112/'Encargos e Benefícios'!C112)</f>
        <v>4659.1662746111106</v>
      </c>
      <c r="AM113" s="296">
        <f>IF('Encargos e Benefícios'!C112=0,0,'Encargos e Benefícios'!AC112/'Encargos e Benefícios'!C112)</f>
        <v>841.45</v>
      </c>
      <c r="AN113" s="297">
        <f>IF('Encargos e Benefícios'!C112=0,0,'Encargos e Benefícios'!AD112/'Encargos e Benefícios'!C112)</f>
        <v>9494.5962746111109</v>
      </c>
      <c r="AO113" s="188">
        <v>4968.99</v>
      </c>
      <c r="AP113" s="298">
        <v>3773.6</v>
      </c>
      <c r="AQ113" s="298">
        <v>6164.38</v>
      </c>
      <c r="AR113" s="299" t="s">
        <v>109</v>
      </c>
      <c r="AS113" s="188"/>
    </row>
    <row r="114" spans="1:45">
      <c r="A114" s="286">
        <v>108</v>
      </c>
      <c r="B114" s="81" t="str">
        <f>'Encargos e Benefícios'!B113</f>
        <v>Advogado</v>
      </c>
      <c r="C114" s="287">
        <f>'Encargos e Benefícios'!C113</f>
        <v>1</v>
      </c>
      <c r="D114" s="288">
        <v>30</v>
      </c>
      <c r="E114" s="300">
        <v>45658</v>
      </c>
      <c r="F114" s="301">
        <v>47058</v>
      </c>
      <c r="G114" s="293"/>
      <c r="H114" s="294"/>
      <c r="I114" s="256"/>
      <c r="J114" s="256"/>
      <c r="K114" s="256"/>
      <c r="L114" s="256"/>
      <c r="M114" s="293">
        <v>45778</v>
      </c>
      <c r="N114" s="294">
        <v>5.8400000000000001E-2</v>
      </c>
      <c r="O114" s="256">
        <f>'Encargos e Benefícios'!W113*5.84%</f>
        <v>30.905280000000001</v>
      </c>
      <c r="P114" s="256">
        <f>('Encargos e Benefícios'!X113+'Encargos e Benefícios'!Y113+'Encargos e Benefícios'!Z113+'Encargos e Benefícios'!AA113+'Encargos e Benefícios'!AB113)*5.84%</f>
        <v>18.235399999999998</v>
      </c>
      <c r="Q114" s="256">
        <f>'Encargos e Benefícios'!V113*5.84%</f>
        <v>6.521528</v>
      </c>
      <c r="R114" s="256"/>
      <c r="S114" s="293">
        <v>46143</v>
      </c>
      <c r="T114" s="294">
        <v>5.8400000000000001E-2</v>
      </c>
      <c r="U114" s="256">
        <f>('Encargos e Benefícios'!W113+'Gastos com Pessoal'!O114)*5.84%</f>
        <v>32.710148351999997</v>
      </c>
      <c r="V114" s="256">
        <f>('Encargos e Benefícios'!X113+'Encargos e Benefícios'!Y113+'Encargos e Benefícios'!Z113+'Encargos e Benefícios'!AA113+'Encargos e Benefícios'!AB113+'Gastos com Pessoal'!P114)*5.84%</f>
        <v>19.300347360000004</v>
      </c>
      <c r="W114" s="256">
        <f>('Encargos e Benefícios'!V113+'Gastos com Pessoal'!Q114)*5.84%</f>
        <v>6.9023852352000006</v>
      </c>
      <c r="X114" s="256"/>
      <c r="Y114" s="293">
        <v>46508</v>
      </c>
      <c r="Z114" s="294">
        <v>5.8400000000000001E-2</v>
      </c>
      <c r="AA114" s="256">
        <f>('Encargos e Benefícios'!W113+'Gastos com Pessoal'!O114+'Gastos com Pessoal'!U114)*5.84%</f>
        <v>34.620421015756804</v>
      </c>
      <c r="AB114" s="256">
        <f>('Encargos e Benefícios'!X113+'Encargos e Benefícios'!Y113+'Encargos e Benefícios'!Z113+'Encargos e Benefícios'!AA113+'Encargos e Benefícios'!AB113+'Gastos com Pessoal'!P114+'Gastos com Pessoal'!V114)*5.84%</f>
        <v>20.427487645824002</v>
      </c>
      <c r="AC114" s="256">
        <f>('Encargos e Benefícios'!V113+'Gastos com Pessoal'!Q114+'Gastos com Pessoal'!W114)*5.84%</f>
        <v>7.3054845329356803</v>
      </c>
      <c r="AD114" s="256"/>
      <c r="AE114" s="293">
        <v>46874</v>
      </c>
      <c r="AF114" s="294">
        <v>5.8400000000000001E-2</v>
      </c>
      <c r="AG114" s="256">
        <f>('Encargos e Benefícios'!W113+'Gastos com Pessoal'!O114+'Gastos com Pessoal'!U114+'Gastos com Pessoal'!AA114)*5.84%</f>
        <v>36.642253603077002</v>
      </c>
      <c r="AH114" s="256">
        <f>('Encargos e Benefícios'!X113+'Encargos e Benefícios'!Y113+'Encargos e Benefícios'!Z113+'Encargos e Benefícios'!AA113+'Encargos e Benefícios'!AB113+'Gastos com Pessoal'!P114+'Gastos com Pessoal'!V114+'Gastos com Pessoal'!AB114)*5.84%</f>
        <v>21.620452924340121</v>
      </c>
      <c r="AI114" s="256">
        <f>('Encargos e Benefícios'!V113+'Gastos com Pessoal'!Q114+'Gastos com Pessoal'!W114+'Gastos com Pessoal'!AC114)*5.84%</f>
        <v>7.7321248296591243</v>
      </c>
      <c r="AJ114" s="257"/>
      <c r="AK114" s="296">
        <f>'Encargos e Benefícios'!D113</f>
        <v>2751.84</v>
      </c>
      <c r="AL114" s="296">
        <f>IF('Encargos e Benefícios'!C113=0,0,'Encargos e Benefícios'!U113/'Encargos e Benefícios'!C113)</f>
        <v>2198.8730400000004</v>
      </c>
      <c r="AM114" s="296">
        <f>IF('Encargos e Benefícios'!C113=0,0,'Encargos e Benefícios'!AC113/'Encargos e Benefícios'!C113)</f>
        <v>953.12000000000012</v>
      </c>
      <c r="AN114" s="297">
        <f>IF('Encargos e Benefícios'!C113=0,0,'Encargos e Benefícios'!AD113/'Encargos e Benefícios'!C113)</f>
        <v>5903.8330400000004</v>
      </c>
      <c r="AO114" s="188">
        <v>2767.69</v>
      </c>
      <c r="AP114" s="298">
        <v>2500</v>
      </c>
      <c r="AQ114" s="298">
        <v>3035.37</v>
      </c>
      <c r="AR114" s="299" t="s">
        <v>109</v>
      </c>
      <c r="AS114" s="188"/>
    </row>
    <row r="115" spans="1:45">
      <c r="A115" s="286">
        <v>109</v>
      </c>
      <c r="B115" s="81" t="str">
        <f>'Encargos e Benefícios'!B114</f>
        <v>Assistente Social</v>
      </c>
      <c r="C115" s="287">
        <f>'Encargos e Benefícios'!C114</f>
        <v>1</v>
      </c>
      <c r="D115" s="288">
        <v>30</v>
      </c>
      <c r="E115" s="300">
        <v>45658</v>
      </c>
      <c r="F115" s="301">
        <v>47058</v>
      </c>
      <c r="G115" s="293"/>
      <c r="H115" s="294"/>
      <c r="I115" s="256"/>
      <c r="J115" s="256"/>
      <c r="K115" s="256"/>
      <c r="L115" s="256"/>
      <c r="M115" s="293">
        <v>45778</v>
      </c>
      <c r="N115" s="294">
        <v>5.8400000000000001E-2</v>
      </c>
      <c r="O115" s="256">
        <f>'Encargos e Benefícios'!W114*5.84%</f>
        <v>30.905280000000001</v>
      </c>
      <c r="P115" s="256">
        <f>('Encargos e Benefícios'!X114+'Encargos e Benefícios'!Y114+'Encargos e Benefícios'!Z114+'Encargos e Benefícios'!AA114+'Encargos e Benefícios'!AB114)*5.84%</f>
        <v>18.235399999999998</v>
      </c>
      <c r="Q115" s="256">
        <f>'Encargos e Benefícios'!V114*5.84%</f>
        <v>6.521528</v>
      </c>
      <c r="R115" s="256"/>
      <c r="S115" s="293">
        <v>46143</v>
      </c>
      <c r="T115" s="294">
        <v>5.8400000000000001E-2</v>
      </c>
      <c r="U115" s="256">
        <f>('Encargos e Benefícios'!W114+'Gastos com Pessoal'!O115)*5.84%</f>
        <v>32.710148351999997</v>
      </c>
      <c r="V115" s="256">
        <f>('Encargos e Benefícios'!X114+'Encargos e Benefícios'!Y114+'Encargos e Benefícios'!Z114+'Encargos e Benefícios'!AA114+'Encargos e Benefícios'!AB114+'Gastos com Pessoal'!P115)*5.84%</f>
        <v>19.300347360000004</v>
      </c>
      <c r="W115" s="256">
        <f>('Encargos e Benefícios'!V114+'Gastos com Pessoal'!Q115)*5.84%</f>
        <v>6.9023852352000006</v>
      </c>
      <c r="X115" s="256"/>
      <c r="Y115" s="293">
        <v>46508</v>
      </c>
      <c r="Z115" s="294">
        <v>5.8400000000000001E-2</v>
      </c>
      <c r="AA115" s="256">
        <f>('Encargos e Benefícios'!W114+'Gastos com Pessoal'!O115+'Gastos com Pessoal'!U115)*5.84%</f>
        <v>34.620421015756804</v>
      </c>
      <c r="AB115" s="256">
        <f>('Encargos e Benefícios'!X114+'Encargos e Benefícios'!Y114+'Encargos e Benefícios'!Z114+'Encargos e Benefícios'!AA114+'Encargos e Benefícios'!AB114+'Gastos com Pessoal'!P115+'Gastos com Pessoal'!V115)*5.84%</f>
        <v>20.427487645824002</v>
      </c>
      <c r="AC115" s="256">
        <f>('Encargos e Benefícios'!V114+'Gastos com Pessoal'!Q115+'Gastos com Pessoal'!W115)*5.84%</f>
        <v>7.3054845329356803</v>
      </c>
      <c r="AD115" s="256"/>
      <c r="AE115" s="293">
        <v>46874</v>
      </c>
      <c r="AF115" s="294">
        <v>5.8400000000000001E-2</v>
      </c>
      <c r="AG115" s="256">
        <f>('Encargos e Benefícios'!W114+'Gastos com Pessoal'!O115+'Gastos com Pessoal'!U115+'Gastos com Pessoal'!AA115)*5.84%</f>
        <v>36.642253603077002</v>
      </c>
      <c r="AH115" s="256">
        <f>('Encargos e Benefícios'!X114+'Encargos e Benefícios'!Y114+'Encargos e Benefícios'!Z114+'Encargos e Benefícios'!AA114+'Encargos e Benefícios'!AB114+'Gastos com Pessoal'!P115+'Gastos com Pessoal'!V115+'Gastos com Pessoal'!AB115)*5.84%</f>
        <v>21.620452924340121</v>
      </c>
      <c r="AI115" s="256">
        <f>('Encargos e Benefícios'!V114+'Gastos com Pessoal'!Q115+'Gastos com Pessoal'!W115+'Gastos com Pessoal'!AC115)*5.84%</f>
        <v>7.7321248296591243</v>
      </c>
      <c r="AJ115" s="257"/>
      <c r="AK115" s="296">
        <f>'Encargos e Benefícios'!D114</f>
        <v>2751.84</v>
      </c>
      <c r="AL115" s="296">
        <f>IF('Encargos e Benefícios'!C114=0,0,'Encargos e Benefícios'!U114/'Encargos e Benefícios'!C114)</f>
        <v>2198.8730400000004</v>
      </c>
      <c r="AM115" s="296">
        <f>IF('Encargos e Benefícios'!C114=0,0,'Encargos e Benefícios'!AC114/'Encargos e Benefícios'!C114)</f>
        <v>953.12000000000012</v>
      </c>
      <c r="AN115" s="297">
        <f>IF('Encargos e Benefícios'!C114=0,0,'Encargos e Benefícios'!AD114/'Encargos e Benefícios'!C114)</f>
        <v>5903.8330400000004</v>
      </c>
      <c r="AO115" s="188">
        <v>3277.91</v>
      </c>
      <c r="AP115" s="298">
        <v>2500</v>
      </c>
      <c r="AQ115" s="298">
        <v>4055.81</v>
      </c>
      <c r="AR115" s="299" t="s">
        <v>109</v>
      </c>
      <c r="AS115" s="188"/>
    </row>
    <row r="116" spans="1:45">
      <c r="A116" s="286">
        <v>110</v>
      </c>
      <c r="B116" s="81" t="str">
        <f>'Encargos e Benefícios'!B115</f>
        <v>Pedagogo</v>
      </c>
      <c r="C116" s="287">
        <f>'Encargos e Benefícios'!C115</f>
        <v>1</v>
      </c>
      <c r="D116" s="288">
        <v>30</v>
      </c>
      <c r="E116" s="300">
        <v>45658</v>
      </c>
      <c r="F116" s="301">
        <v>47058</v>
      </c>
      <c r="G116" s="293"/>
      <c r="H116" s="294"/>
      <c r="I116" s="256"/>
      <c r="J116" s="256"/>
      <c r="K116" s="256"/>
      <c r="L116" s="256"/>
      <c r="M116" s="293">
        <v>45778</v>
      </c>
      <c r="N116" s="294">
        <v>5.8400000000000001E-2</v>
      </c>
      <c r="O116" s="256">
        <f>'Encargos e Benefícios'!W115*5.84%</f>
        <v>30.905280000000001</v>
      </c>
      <c r="P116" s="256">
        <f>('Encargos e Benefícios'!X115+'Encargos e Benefícios'!Y115+'Encargos e Benefícios'!Z115+'Encargos e Benefícios'!AA115+'Encargos e Benefícios'!AB115)*5.84%</f>
        <v>18.235399999999998</v>
      </c>
      <c r="Q116" s="256">
        <f>'Encargos e Benefícios'!V115*5.84%</f>
        <v>6.521528</v>
      </c>
      <c r="R116" s="256"/>
      <c r="S116" s="293">
        <v>46143</v>
      </c>
      <c r="T116" s="294">
        <v>5.8400000000000001E-2</v>
      </c>
      <c r="U116" s="256">
        <f>('Encargos e Benefícios'!W115+'Gastos com Pessoal'!O116)*5.84%</f>
        <v>32.710148351999997</v>
      </c>
      <c r="V116" s="256">
        <f>('Encargos e Benefícios'!X115+'Encargos e Benefícios'!Y115+'Encargos e Benefícios'!Z115+'Encargos e Benefícios'!AA115+'Encargos e Benefícios'!AB115+'Gastos com Pessoal'!P116)*5.84%</f>
        <v>19.300347360000004</v>
      </c>
      <c r="W116" s="256">
        <f>('Encargos e Benefícios'!V115+'Gastos com Pessoal'!Q116)*5.84%</f>
        <v>6.9023852352000006</v>
      </c>
      <c r="X116" s="256"/>
      <c r="Y116" s="293">
        <v>46508</v>
      </c>
      <c r="Z116" s="294">
        <v>5.8400000000000001E-2</v>
      </c>
      <c r="AA116" s="256">
        <f>('Encargos e Benefícios'!W115+'Gastos com Pessoal'!O116+'Gastos com Pessoal'!U116)*5.84%</f>
        <v>34.620421015756804</v>
      </c>
      <c r="AB116" s="256">
        <f>('Encargos e Benefícios'!X115+'Encargos e Benefícios'!Y115+'Encargos e Benefícios'!Z115+'Encargos e Benefícios'!AA115+'Encargos e Benefícios'!AB115+'Gastos com Pessoal'!P116+'Gastos com Pessoal'!V116)*5.84%</f>
        <v>20.427487645824002</v>
      </c>
      <c r="AC116" s="256">
        <f>('Encargos e Benefícios'!V115+'Gastos com Pessoal'!Q116+'Gastos com Pessoal'!W116)*5.84%</f>
        <v>7.3054845329356803</v>
      </c>
      <c r="AD116" s="256"/>
      <c r="AE116" s="293">
        <v>46874</v>
      </c>
      <c r="AF116" s="294">
        <v>5.8400000000000001E-2</v>
      </c>
      <c r="AG116" s="256">
        <f>('Encargos e Benefícios'!W115+'Gastos com Pessoal'!O116+'Gastos com Pessoal'!U116+'Gastos com Pessoal'!AA116)*5.84%</f>
        <v>36.642253603077002</v>
      </c>
      <c r="AH116" s="256">
        <f>('Encargos e Benefícios'!X115+'Encargos e Benefícios'!Y115+'Encargos e Benefícios'!Z115+'Encargos e Benefícios'!AA115+'Encargos e Benefícios'!AB115+'Gastos com Pessoal'!P116+'Gastos com Pessoal'!V116+'Gastos com Pessoal'!AB116)*5.84%</f>
        <v>21.620452924340121</v>
      </c>
      <c r="AI116" s="256">
        <f>('Encargos e Benefícios'!V115+'Gastos com Pessoal'!Q116+'Gastos com Pessoal'!W116+'Gastos com Pessoal'!AC116)*5.84%</f>
        <v>7.7321248296591243</v>
      </c>
      <c r="AJ116" s="257"/>
      <c r="AK116" s="296">
        <f>'Encargos e Benefícios'!D115</f>
        <v>2751.84</v>
      </c>
      <c r="AL116" s="296">
        <f>IF('Encargos e Benefícios'!C115=0,0,'Encargos e Benefícios'!U115/'Encargos e Benefícios'!C115)</f>
        <v>2198.8730400000004</v>
      </c>
      <c r="AM116" s="296">
        <f>IF('Encargos e Benefícios'!C115=0,0,'Encargos e Benefícios'!AC115/'Encargos e Benefícios'!C115)</f>
        <v>953.12000000000012</v>
      </c>
      <c r="AN116" s="297">
        <f>IF('Encargos e Benefícios'!C115=0,0,'Encargos e Benefícios'!AD115/'Encargos e Benefícios'!C115)</f>
        <v>5903.8330400000004</v>
      </c>
      <c r="AO116" s="188">
        <v>2894.94</v>
      </c>
      <c r="AP116" s="298">
        <v>2489.87</v>
      </c>
      <c r="AQ116" s="298">
        <v>3300</v>
      </c>
      <c r="AR116" s="299" t="s">
        <v>109</v>
      </c>
      <c r="AS116" s="188"/>
    </row>
    <row r="117" spans="1:45">
      <c r="A117" s="286">
        <v>111</v>
      </c>
      <c r="B117" s="81" t="str">
        <f>'Encargos e Benefícios'!B116</f>
        <v>Psicologo</v>
      </c>
      <c r="C117" s="287">
        <f>'Encargos e Benefícios'!C116</f>
        <v>1</v>
      </c>
      <c r="D117" s="288">
        <v>30</v>
      </c>
      <c r="E117" s="300">
        <v>45658</v>
      </c>
      <c r="F117" s="301">
        <v>47058</v>
      </c>
      <c r="G117" s="293"/>
      <c r="H117" s="294"/>
      <c r="I117" s="256"/>
      <c r="J117" s="256"/>
      <c r="K117" s="256"/>
      <c r="L117" s="256"/>
      <c r="M117" s="293">
        <v>45778</v>
      </c>
      <c r="N117" s="294">
        <v>5.8400000000000001E-2</v>
      </c>
      <c r="O117" s="256">
        <f>'Encargos e Benefícios'!W116*5.84%</f>
        <v>30.905280000000001</v>
      </c>
      <c r="P117" s="256">
        <f>('Encargos e Benefícios'!X116+'Encargos e Benefícios'!Y116+'Encargos e Benefícios'!Z116+'Encargos e Benefícios'!AA116+'Encargos e Benefícios'!AB116)*5.84%</f>
        <v>18.235399999999998</v>
      </c>
      <c r="Q117" s="256">
        <f>'Encargos e Benefícios'!V116*5.84%</f>
        <v>6.521528</v>
      </c>
      <c r="R117" s="256"/>
      <c r="S117" s="293">
        <v>46143</v>
      </c>
      <c r="T117" s="294">
        <v>5.8400000000000001E-2</v>
      </c>
      <c r="U117" s="256">
        <f>('Encargos e Benefícios'!W116+'Gastos com Pessoal'!O117)*5.84%</f>
        <v>32.710148351999997</v>
      </c>
      <c r="V117" s="256">
        <f>('Encargos e Benefícios'!X116+'Encargos e Benefícios'!Y116+'Encargos e Benefícios'!Z116+'Encargos e Benefícios'!AA116+'Encargos e Benefícios'!AB116+'Gastos com Pessoal'!P117)*5.84%</f>
        <v>19.300347360000004</v>
      </c>
      <c r="W117" s="256">
        <f>('Encargos e Benefícios'!V116+'Gastos com Pessoal'!Q117)*5.84%</f>
        <v>6.9023852352000006</v>
      </c>
      <c r="X117" s="256"/>
      <c r="Y117" s="293">
        <v>46508</v>
      </c>
      <c r="Z117" s="294">
        <v>5.8400000000000001E-2</v>
      </c>
      <c r="AA117" s="256">
        <f>('Encargos e Benefícios'!W116+'Gastos com Pessoal'!O117+'Gastos com Pessoal'!U117)*5.84%</f>
        <v>34.620421015756804</v>
      </c>
      <c r="AB117" s="256">
        <f>('Encargos e Benefícios'!X116+'Encargos e Benefícios'!Y116+'Encargos e Benefícios'!Z116+'Encargos e Benefícios'!AA116+'Encargos e Benefícios'!AB116+'Gastos com Pessoal'!P117+'Gastos com Pessoal'!V117)*5.84%</f>
        <v>20.427487645824002</v>
      </c>
      <c r="AC117" s="256">
        <f>('Encargos e Benefícios'!V116+'Gastos com Pessoal'!Q117+'Gastos com Pessoal'!W117)*5.84%</f>
        <v>7.3054845329356803</v>
      </c>
      <c r="AD117" s="256"/>
      <c r="AE117" s="293">
        <v>46874</v>
      </c>
      <c r="AF117" s="294">
        <v>5.8400000000000001E-2</v>
      </c>
      <c r="AG117" s="256">
        <f>('Encargos e Benefícios'!W116+'Gastos com Pessoal'!O117+'Gastos com Pessoal'!U117+'Gastos com Pessoal'!AA117)*5.84%</f>
        <v>36.642253603077002</v>
      </c>
      <c r="AH117" s="256">
        <f>('Encargos e Benefícios'!X116+'Encargos e Benefícios'!Y116+'Encargos e Benefícios'!Z116+'Encargos e Benefícios'!AA116+'Encargos e Benefícios'!AB116+'Gastos com Pessoal'!P117+'Gastos com Pessoal'!V117+'Gastos com Pessoal'!AB117)*5.84%</f>
        <v>21.620452924340121</v>
      </c>
      <c r="AI117" s="256">
        <f>('Encargos e Benefícios'!V116+'Gastos com Pessoal'!Q117+'Gastos com Pessoal'!W117+'Gastos com Pessoal'!AC117)*5.84%</f>
        <v>7.7321248296591243</v>
      </c>
      <c r="AJ117" s="257"/>
      <c r="AK117" s="296">
        <f>'Encargos e Benefícios'!D116</f>
        <v>2751.84</v>
      </c>
      <c r="AL117" s="296">
        <f>IF('Encargos e Benefícios'!C116=0,0,'Encargos e Benefícios'!U116/'Encargos e Benefícios'!C116)</f>
        <v>2198.8730400000004</v>
      </c>
      <c r="AM117" s="296">
        <f>IF('Encargos e Benefícios'!C116=0,0,'Encargos e Benefícios'!AC116/'Encargos e Benefícios'!C116)</f>
        <v>953.12000000000012</v>
      </c>
      <c r="AN117" s="297">
        <f>IF('Encargos e Benefícios'!C116=0,0,'Encargos e Benefícios'!AD116/'Encargos e Benefícios'!C116)</f>
        <v>5903.8330400000004</v>
      </c>
      <c r="AO117" s="188">
        <v>3953.69</v>
      </c>
      <c r="AP117" s="298">
        <v>2500</v>
      </c>
      <c r="AQ117" s="298">
        <v>5407.37</v>
      </c>
      <c r="AR117" s="299" t="s">
        <v>109</v>
      </c>
      <c r="AS117" s="188"/>
    </row>
    <row r="118" spans="1:45">
      <c r="A118" s="286">
        <v>112</v>
      </c>
      <c r="B118" s="81" t="str">
        <f>'Encargos e Benefícios'!B117</f>
        <v>Terapeuta Ocupacional</v>
      </c>
      <c r="C118" s="287">
        <f>'Encargos e Benefícios'!C117</f>
        <v>1</v>
      </c>
      <c r="D118" s="288">
        <v>30</v>
      </c>
      <c r="E118" s="300">
        <v>45658</v>
      </c>
      <c r="F118" s="301">
        <v>47058</v>
      </c>
      <c r="G118" s="293"/>
      <c r="H118" s="294"/>
      <c r="I118" s="256"/>
      <c r="J118" s="256"/>
      <c r="K118" s="256"/>
      <c r="L118" s="256"/>
      <c r="M118" s="293">
        <v>45778</v>
      </c>
      <c r="N118" s="294">
        <v>5.8400000000000001E-2</v>
      </c>
      <c r="O118" s="256">
        <f>'Encargos e Benefícios'!W117*5.84%</f>
        <v>30.905280000000001</v>
      </c>
      <c r="P118" s="256">
        <f>('Encargos e Benefícios'!X117+'Encargos e Benefícios'!Y117+'Encargos e Benefícios'!Z117+'Encargos e Benefícios'!AA117+'Encargos e Benefícios'!AB117)*5.84%</f>
        <v>18.235399999999998</v>
      </c>
      <c r="Q118" s="256">
        <f>'Encargos e Benefícios'!V117*5.84%</f>
        <v>6.521528</v>
      </c>
      <c r="R118" s="256"/>
      <c r="S118" s="293">
        <v>46143</v>
      </c>
      <c r="T118" s="294">
        <v>5.8400000000000001E-2</v>
      </c>
      <c r="U118" s="256">
        <f>('Encargos e Benefícios'!W117+'Gastos com Pessoal'!O118)*5.84%</f>
        <v>32.710148351999997</v>
      </c>
      <c r="V118" s="256">
        <f>('Encargos e Benefícios'!X117+'Encargos e Benefícios'!Y117+'Encargos e Benefícios'!Z117+'Encargos e Benefícios'!AA117+'Encargos e Benefícios'!AB117+'Gastos com Pessoal'!P118)*5.84%</f>
        <v>19.300347360000004</v>
      </c>
      <c r="W118" s="256">
        <f>('Encargos e Benefícios'!V117+'Gastos com Pessoal'!Q118)*5.84%</f>
        <v>6.9023852352000006</v>
      </c>
      <c r="X118" s="256"/>
      <c r="Y118" s="293">
        <v>46508</v>
      </c>
      <c r="Z118" s="294">
        <v>5.8400000000000001E-2</v>
      </c>
      <c r="AA118" s="256">
        <f>('Encargos e Benefícios'!W117+'Gastos com Pessoal'!O118+'Gastos com Pessoal'!U118)*5.84%</f>
        <v>34.620421015756804</v>
      </c>
      <c r="AB118" s="256">
        <f>('Encargos e Benefícios'!X117+'Encargos e Benefícios'!Y117+'Encargos e Benefícios'!Z117+'Encargos e Benefícios'!AA117+'Encargos e Benefícios'!AB117+'Gastos com Pessoal'!P118+'Gastos com Pessoal'!V118)*5.84%</f>
        <v>20.427487645824002</v>
      </c>
      <c r="AC118" s="256">
        <f>('Encargos e Benefícios'!V117+'Gastos com Pessoal'!Q118+'Gastos com Pessoal'!W118)*5.84%</f>
        <v>7.3054845329356803</v>
      </c>
      <c r="AD118" s="256"/>
      <c r="AE118" s="293">
        <v>46874</v>
      </c>
      <c r="AF118" s="294">
        <v>5.8400000000000001E-2</v>
      </c>
      <c r="AG118" s="256">
        <f>('Encargos e Benefícios'!W117+'Gastos com Pessoal'!O118+'Gastos com Pessoal'!U118+'Gastos com Pessoal'!AA118)*5.84%</f>
        <v>36.642253603077002</v>
      </c>
      <c r="AH118" s="256">
        <f>('Encargos e Benefícios'!X117+'Encargos e Benefícios'!Y117+'Encargos e Benefícios'!Z117+'Encargos e Benefícios'!AA117+'Encargos e Benefícios'!AB117+'Gastos com Pessoal'!P118+'Gastos com Pessoal'!V118+'Gastos com Pessoal'!AB118)*5.84%</f>
        <v>21.620452924340121</v>
      </c>
      <c r="AI118" s="256">
        <f>('Encargos e Benefícios'!V117+'Gastos com Pessoal'!Q118+'Gastos com Pessoal'!W118+'Gastos com Pessoal'!AC118)*5.84%</f>
        <v>7.7321248296591243</v>
      </c>
      <c r="AJ118" s="257"/>
      <c r="AK118" s="296">
        <f>'Encargos e Benefícios'!D117</f>
        <v>2751.84</v>
      </c>
      <c r="AL118" s="296">
        <f>IF('Encargos e Benefícios'!C117=0,0,'Encargos e Benefícios'!U117/'Encargos e Benefícios'!C117)</f>
        <v>2198.8730400000004</v>
      </c>
      <c r="AM118" s="296">
        <f>IF('Encargos e Benefícios'!C117=0,0,'Encargos e Benefícios'!AC117/'Encargos e Benefícios'!C117)</f>
        <v>953.12000000000012</v>
      </c>
      <c r="AN118" s="297">
        <f>IF('Encargos e Benefícios'!C117=0,0,'Encargos e Benefícios'!AD117/'Encargos e Benefícios'!C117)</f>
        <v>5903.8330400000004</v>
      </c>
      <c r="AO118" s="188">
        <v>2422.3000000000002</v>
      </c>
      <c r="AP118" s="298">
        <v>1932.61</v>
      </c>
      <c r="AQ118" s="298">
        <v>2911.99</v>
      </c>
      <c r="AR118" s="299" t="s">
        <v>109</v>
      </c>
      <c r="AS118" s="188"/>
    </row>
    <row r="119" spans="1:45">
      <c r="A119" s="286">
        <v>113</v>
      </c>
      <c r="B119" s="81" t="str">
        <f>'Encargos e Benefícios'!B118</f>
        <v>Administrativo</v>
      </c>
      <c r="C119" s="287">
        <f>'Encargos e Benefícios'!C118</f>
        <v>1</v>
      </c>
      <c r="D119" s="288">
        <v>40</v>
      </c>
      <c r="E119" s="300">
        <v>45658</v>
      </c>
      <c r="F119" s="301">
        <v>47058</v>
      </c>
      <c r="G119" s="293"/>
      <c r="H119" s="294"/>
      <c r="I119" s="256"/>
      <c r="J119" s="256"/>
      <c r="K119" s="256"/>
      <c r="L119" s="256"/>
      <c r="M119" s="293">
        <v>45778</v>
      </c>
      <c r="N119" s="294">
        <v>5.8400000000000001E-2</v>
      </c>
      <c r="O119" s="256">
        <f>'Encargos e Benefícios'!W118*5.84%</f>
        <v>30.905280000000001</v>
      </c>
      <c r="P119" s="256">
        <f>('Encargos e Benefícios'!X118+'Encargos e Benefícios'!Y118+'Encargos e Benefícios'!Z118+'Encargos e Benefícios'!AA118+'Encargos e Benefícios'!AB118)*5.84%</f>
        <v>18.235399999999998</v>
      </c>
      <c r="Q119" s="256">
        <f>'Encargos e Benefícios'!V118*5.84%</f>
        <v>6.521528</v>
      </c>
      <c r="R119" s="256"/>
      <c r="S119" s="293">
        <v>46143</v>
      </c>
      <c r="T119" s="294">
        <v>5.8400000000000001E-2</v>
      </c>
      <c r="U119" s="256">
        <f>('Encargos e Benefícios'!W118+'Gastos com Pessoal'!O119)*5.84%</f>
        <v>32.710148351999997</v>
      </c>
      <c r="V119" s="256">
        <f>('Encargos e Benefícios'!X118+'Encargos e Benefícios'!Y118+'Encargos e Benefícios'!Z118+'Encargos e Benefícios'!AA118+'Encargos e Benefícios'!AB118+'Gastos com Pessoal'!P119)*5.84%</f>
        <v>19.300347360000004</v>
      </c>
      <c r="W119" s="256">
        <f>('Encargos e Benefícios'!V118+'Gastos com Pessoal'!Q119)*5.84%</f>
        <v>6.9023852352000006</v>
      </c>
      <c r="X119" s="256"/>
      <c r="Y119" s="293">
        <v>46508</v>
      </c>
      <c r="Z119" s="294">
        <v>5.8400000000000001E-2</v>
      </c>
      <c r="AA119" s="256">
        <f>('Encargos e Benefícios'!W118+'Gastos com Pessoal'!O119+'Gastos com Pessoal'!U119)*5.84%</f>
        <v>34.620421015756804</v>
      </c>
      <c r="AB119" s="256">
        <f>('Encargos e Benefícios'!X118+'Encargos e Benefícios'!Y118+'Encargos e Benefícios'!Z118+'Encargos e Benefícios'!AA118+'Encargos e Benefícios'!AB118+'Gastos com Pessoal'!P119+'Gastos com Pessoal'!V119)*5.84%</f>
        <v>20.427487645824002</v>
      </c>
      <c r="AC119" s="256">
        <f>('Encargos e Benefícios'!V118+'Gastos com Pessoal'!Q119+'Gastos com Pessoal'!W119)*5.84%</f>
        <v>7.3054845329356803</v>
      </c>
      <c r="AD119" s="256"/>
      <c r="AE119" s="293">
        <v>46874</v>
      </c>
      <c r="AF119" s="294">
        <v>5.8400000000000001E-2</v>
      </c>
      <c r="AG119" s="256">
        <f>('Encargos e Benefícios'!W118+'Gastos com Pessoal'!O119+'Gastos com Pessoal'!U119+'Gastos com Pessoal'!AA119)*5.84%</f>
        <v>36.642253603077002</v>
      </c>
      <c r="AH119" s="256">
        <f>('Encargos e Benefícios'!X118+'Encargos e Benefícios'!Y118+'Encargos e Benefícios'!Z118+'Encargos e Benefícios'!AA118+'Encargos e Benefícios'!AB118+'Gastos com Pessoal'!P119+'Gastos com Pessoal'!V119+'Gastos com Pessoal'!AB119)*5.84%</f>
        <v>21.620452924340121</v>
      </c>
      <c r="AI119" s="256">
        <f>('Encargos e Benefícios'!V118+'Gastos com Pessoal'!Q119+'Gastos com Pessoal'!W119+'Gastos com Pessoal'!AC119)*5.84%</f>
        <v>7.7321248296591243</v>
      </c>
      <c r="AJ119" s="257"/>
      <c r="AK119" s="296">
        <f>'Encargos e Benefícios'!D118</f>
        <v>1852.2</v>
      </c>
      <c r="AL119" s="296">
        <f>IF('Encargos e Benefícios'!C118=0,0,'Encargos e Benefícios'!U118/'Encargos e Benefícios'!C118)</f>
        <v>1480.0106999999996</v>
      </c>
      <c r="AM119" s="296">
        <f>IF('Encargos e Benefícios'!C118=0,0,'Encargos e Benefícios'!AC118/'Encargos e Benefícios'!C118)</f>
        <v>953.12000000000012</v>
      </c>
      <c r="AN119" s="297">
        <f>IF('Encargos e Benefícios'!C118=0,0,'Encargos e Benefícios'!AD118/'Encargos e Benefícios'!C118)</f>
        <v>4285.3306999999995</v>
      </c>
      <c r="AO119" s="188">
        <v>2097.83</v>
      </c>
      <c r="AP119" s="298">
        <v>1500</v>
      </c>
      <c r="AQ119" s="298">
        <v>2695.66</v>
      </c>
      <c r="AR119" s="299" t="s">
        <v>109</v>
      </c>
      <c r="AS119" s="188"/>
    </row>
    <row r="120" spans="1:45">
      <c r="A120" s="286">
        <v>114</v>
      </c>
      <c r="B120" s="81" t="str">
        <f>'Encargos e Benefícios'!B119</f>
        <v>Auxiliar Educacional</v>
      </c>
      <c r="C120" s="287">
        <f>'Encargos e Benefícios'!C119</f>
        <v>1</v>
      </c>
      <c r="D120" s="288">
        <v>30</v>
      </c>
      <c r="E120" s="300">
        <v>45658</v>
      </c>
      <c r="F120" s="301">
        <v>47058</v>
      </c>
      <c r="G120" s="293"/>
      <c r="H120" s="294"/>
      <c r="I120" s="256"/>
      <c r="J120" s="256"/>
      <c r="K120" s="256"/>
      <c r="L120" s="256"/>
      <c r="M120" s="293">
        <v>45778</v>
      </c>
      <c r="N120" s="294">
        <v>5.8400000000000001E-2</v>
      </c>
      <c r="O120" s="256">
        <f>'Encargos e Benefícios'!W119*5.84%</f>
        <v>30.905280000000001</v>
      </c>
      <c r="P120" s="256">
        <f>('Encargos e Benefícios'!X119+'Encargos e Benefícios'!Y119+'Encargos e Benefícios'!Z119+'Encargos e Benefícios'!AA119+'Encargos e Benefícios'!AB119)*5.84%</f>
        <v>18.235399999999998</v>
      </c>
      <c r="Q120" s="256">
        <f>'Encargos e Benefícios'!V119*5.84%</f>
        <v>6.521528</v>
      </c>
      <c r="R120" s="256"/>
      <c r="S120" s="293">
        <v>46143</v>
      </c>
      <c r="T120" s="294">
        <v>5.8400000000000001E-2</v>
      </c>
      <c r="U120" s="256">
        <f>('Encargos e Benefícios'!W119+'Gastos com Pessoal'!O120)*5.84%</f>
        <v>32.710148351999997</v>
      </c>
      <c r="V120" s="256">
        <f>('Encargos e Benefícios'!X119+'Encargos e Benefícios'!Y119+'Encargos e Benefícios'!Z119+'Encargos e Benefícios'!AA119+'Encargos e Benefícios'!AB119+'Gastos com Pessoal'!P120)*5.84%</f>
        <v>19.300347360000004</v>
      </c>
      <c r="W120" s="256">
        <f>('Encargos e Benefícios'!V119+'Gastos com Pessoal'!Q120)*5.84%</f>
        <v>6.9023852352000006</v>
      </c>
      <c r="X120" s="256"/>
      <c r="Y120" s="293">
        <v>46508</v>
      </c>
      <c r="Z120" s="294">
        <v>5.8400000000000001E-2</v>
      </c>
      <c r="AA120" s="256">
        <f>('Encargos e Benefícios'!W119+'Gastos com Pessoal'!O120+'Gastos com Pessoal'!U120)*5.84%</f>
        <v>34.620421015756804</v>
      </c>
      <c r="AB120" s="256">
        <f>('Encargos e Benefícios'!X119+'Encargos e Benefícios'!Y119+'Encargos e Benefícios'!Z119+'Encargos e Benefícios'!AA119+'Encargos e Benefícios'!AB119+'Gastos com Pessoal'!P120+'Gastos com Pessoal'!V120)*5.84%</f>
        <v>20.427487645824002</v>
      </c>
      <c r="AC120" s="256">
        <f>('Encargos e Benefícios'!V119+'Gastos com Pessoal'!Q120+'Gastos com Pessoal'!W120)*5.84%</f>
        <v>7.3054845329356803</v>
      </c>
      <c r="AD120" s="256"/>
      <c r="AE120" s="293">
        <v>46874</v>
      </c>
      <c r="AF120" s="294">
        <v>5.8400000000000001E-2</v>
      </c>
      <c r="AG120" s="256">
        <f>('Encargos e Benefícios'!W119+'Gastos com Pessoal'!O120+'Gastos com Pessoal'!U120+'Gastos com Pessoal'!AA120)*5.84%</f>
        <v>36.642253603077002</v>
      </c>
      <c r="AH120" s="256">
        <f>('Encargos e Benefícios'!X119+'Encargos e Benefícios'!Y119+'Encargos e Benefícios'!Z119+'Encargos e Benefícios'!AA119+'Encargos e Benefícios'!AB119+'Gastos com Pessoal'!P120+'Gastos com Pessoal'!V120+'Gastos com Pessoal'!AB120)*5.84%</f>
        <v>21.620452924340121</v>
      </c>
      <c r="AI120" s="256">
        <f>('Encargos e Benefícios'!V119+'Gastos com Pessoal'!Q120+'Gastos com Pessoal'!W120+'Gastos com Pessoal'!AC120)*5.84%</f>
        <v>7.7321248296591243</v>
      </c>
      <c r="AJ120" s="257"/>
      <c r="AK120" s="296">
        <f>'Encargos e Benefícios'!D119</f>
        <v>1737.89</v>
      </c>
      <c r="AL120" s="296">
        <f>IF('Encargos e Benefícios'!C119=0,0,'Encargos e Benefícios'!U119/'Encargos e Benefícios'!C119)</f>
        <v>1388.6706594444449</v>
      </c>
      <c r="AM120" s="296">
        <f>IF('Encargos e Benefícios'!C119=0,0,'Encargos e Benefícios'!AC119/'Encargos e Benefícios'!C119)</f>
        <v>953.12000000000012</v>
      </c>
      <c r="AN120" s="297">
        <f>IF('Encargos e Benefícios'!C119=0,0,'Encargos e Benefícios'!AD119/'Encargos e Benefícios'!C119)</f>
        <v>4079.6806594444452</v>
      </c>
      <c r="AO120" s="188">
        <v>1750.23</v>
      </c>
      <c r="AP120" s="298">
        <v>1500</v>
      </c>
      <c r="AQ120" s="298">
        <v>2000.45</v>
      </c>
      <c r="AR120" s="299" t="s">
        <v>109</v>
      </c>
      <c r="AS120" s="188"/>
    </row>
    <row r="121" spans="1:45">
      <c r="A121" s="286">
        <v>115</v>
      </c>
      <c r="B121" s="81" t="str">
        <f>'Encargos e Benefícios'!B120</f>
        <v>Auxiliar de Serviços Gerais</v>
      </c>
      <c r="C121" s="287">
        <f>'Encargos e Benefícios'!C120</f>
        <v>1</v>
      </c>
      <c r="D121" s="288">
        <v>30</v>
      </c>
      <c r="E121" s="300">
        <v>45658</v>
      </c>
      <c r="F121" s="301">
        <v>47058</v>
      </c>
      <c r="G121" s="293"/>
      <c r="H121" s="294"/>
      <c r="I121" s="256"/>
      <c r="J121" s="256"/>
      <c r="K121" s="256"/>
      <c r="L121" s="256"/>
      <c r="M121" s="293">
        <v>45778</v>
      </c>
      <c r="N121" s="294">
        <v>5.8400000000000001E-2</v>
      </c>
      <c r="O121" s="256">
        <f>'Encargos e Benefícios'!W120*5.84%</f>
        <v>30.905280000000001</v>
      </c>
      <c r="P121" s="256">
        <f>('Encargos e Benefícios'!X120+'Encargos e Benefícios'!Y120+'Encargos e Benefícios'!Z120+'Encargos e Benefícios'!AA120+'Encargos e Benefícios'!AB120)*5.84%</f>
        <v>18.235399999999998</v>
      </c>
      <c r="Q121" s="256">
        <f>'Encargos e Benefícios'!V120*5.84%</f>
        <v>6.521528</v>
      </c>
      <c r="R121" s="256"/>
      <c r="S121" s="293">
        <v>46143</v>
      </c>
      <c r="T121" s="294">
        <v>5.8400000000000001E-2</v>
      </c>
      <c r="U121" s="256">
        <f>('Encargos e Benefícios'!W120+'Gastos com Pessoal'!O121)*5.84%</f>
        <v>32.710148351999997</v>
      </c>
      <c r="V121" s="256">
        <f>('Encargos e Benefícios'!X120+'Encargos e Benefícios'!Y120+'Encargos e Benefícios'!Z120+'Encargos e Benefícios'!AA120+'Encargos e Benefícios'!AB120+'Gastos com Pessoal'!P121)*5.84%</f>
        <v>19.300347360000004</v>
      </c>
      <c r="W121" s="256">
        <f>('Encargos e Benefícios'!V120+'Gastos com Pessoal'!Q121)*5.84%</f>
        <v>6.9023852352000006</v>
      </c>
      <c r="X121" s="256"/>
      <c r="Y121" s="293">
        <v>46508</v>
      </c>
      <c r="Z121" s="294">
        <v>5.8400000000000001E-2</v>
      </c>
      <c r="AA121" s="256">
        <f>('Encargos e Benefícios'!W120+'Gastos com Pessoal'!O121+'Gastos com Pessoal'!U121)*5.84%</f>
        <v>34.620421015756804</v>
      </c>
      <c r="AB121" s="256">
        <f>('Encargos e Benefícios'!X120+'Encargos e Benefícios'!Y120+'Encargos e Benefícios'!Z120+'Encargos e Benefícios'!AA120+'Encargos e Benefícios'!AB120+'Gastos com Pessoal'!P121+'Gastos com Pessoal'!V121)*5.84%</f>
        <v>20.427487645824002</v>
      </c>
      <c r="AC121" s="256">
        <f>('Encargos e Benefícios'!V120+'Gastos com Pessoal'!Q121+'Gastos com Pessoal'!W121)*5.84%</f>
        <v>7.3054845329356803</v>
      </c>
      <c r="AD121" s="256"/>
      <c r="AE121" s="293">
        <v>46874</v>
      </c>
      <c r="AF121" s="294">
        <v>5.8400000000000001E-2</v>
      </c>
      <c r="AG121" s="256">
        <f>('Encargos e Benefícios'!W120+'Gastos com Pessoal'!O121+'Gastos com Pessoal'!U121+'Gastos com Pessoal'!AA121)*5.84%</f>
        <v>36.642253603077002</v>
      </c>
      <c r="AH121" s="256">
        <f>('Encargos e Benefícios'!X120+'Encargos e Benefícios'!Y120+'Encargos e Benefícios'!Z120+'Encargos e Benefícios'!AA120+'Encargos e Benefícios'!AB120+'Gastos com Pessoal'!P121+'Gastos com Pessoal'!V121+'Gastos com Pessoal'!AB121)*5.84%</f>
        <v>21.620452924340121</v>
      </c>
      <c r="AI121" s="256">
        <f>('Encargos e Benefícios'!V120+'Gastos com Pessoal'!Q121+'Gastos com Pessoal'!W121+'Gastos com Pessoal'!AC121)*5.84%</f>
        <v>7.7321248296591243</v>
      </c>
      <c r="AJ121" s="257"/>
      <c r="AK121" s="296">
        <f>'Encargos e Benefícios'!D120</f>
        <v>1465.88</v>
      </c>
      <c r="AL121" s="296">
        <f>IF('Encargos e Benefícios'!C120=0,0,'Encargos e Benefícios'!U120/'Encargos e Benefícios'!C120)</f>
        <v>1171.3195577777778</v>
      </c>
      <c r="AM121" s="296">
        <f>IF('Encargos e Benefícios'!C120=0,0,'Encargos e Benefícios'!AC120/'Encargos e Benefícios'!C120)</f>
        <v>953.12000000000012</v>
      </c>
      <c r="AN121" s="297">
        <f>IF('Encargos e Benefícios'!C120=0,0,'Encargos e Benefícios'!AD120/'Encargos e Benefícios'!C120)</f>
        <v>3590.3195577777778</v>
      </c>
      <c r="AO121" s="188">
        <v>1437.37</v>
      </c>
      <c r="AP121" s="298">
        <v>1302</v>
      </c>
      <c r="AQ121" s="298">
        <v>1572.74</v>
      </c>
      <c r="AR121" s="299" t="s">
        <v>109</v>
      </c>
      <c r="AS121" s="188"/>
    </row>
    <row r="122" spans="1:45">
      <c r="A122" s="286">
        <v>116</v>
      </c>
      <c r="B122" s="81" t="str">
        <f>'Encargos e Benefícios'!B121</f>
        <v>Motorista</v>
      </c>
      <c r="C122" s="287">
        <f>'Encargos e Benefícios'!C121</f>
        <v>1</v>
      </c>
      <c r="D122" s="288">
        <v>40</v>
      </c>
      <c r="E122" s="300">
        <v>45658</v>
      </c>
      <c r="F122" s="301">
        <v>47058</v>
      </c>
      <c r="G122" s="293"/>
      <c r="H122" s="294"/>
      <c r="I122" s="256"/>
      <c r="J122" s="256"/>
      <c r="K122" s="256"/>
      <c r="L122" s="256"/>
      <c r="M122" s="293">
        <v>45778</v>
      </c>
      <c r="N122" s="294">
        <v>5.8400000000000001E-2</v>
      </c>
      <c r="O122" s="256">
        <f>'Encargos e Benefícios'!W121*5.84%</f>
        <v>30.905280000000001</v>
      </c>
      <c r="P122" s="256">
        <f>('Encargos e Benefícios'!X121+'Encargos e Benefícios'!Y121+'Encargos e Benefícios'!Z121+'Encargos e Benefícios'!AA121+'Encargos e Benefícios'!AB121)*5.84%</f>
        <v>18.235399999999998</v>
      </c>
      <c r="Q122" s="256">
        <f>'Encargos e Benefícios'!V121*5.84%</f>
        <v>6.521528</v>
      </c>
      <c r="R122" s="256"/>
      <c r="S122" s="293">
        <v>46143</v>
      </c>
      <c r="T122" s="294">
        <v>5.8400000000000001E-2</v>
      </c>
      <c r="U122" s="256">
        <f>('Encargos e Benefícios'!W121+'Gastos com Pessoal'!O122)*5.84%</f>
        <v>32.710148351999997</v>
      </c>
      <c r="V122" s="256">
        <f>('Encargos e Benefícios'!X121+'Encargos e Benefícios'!Y121+'Encargos e Benefícios'!Z121+'Encargos e Benefícios'!AA121+'Encargos e Benefícios'!AB121+'Gastos com Pessoal'!P122)*5.84%</f>
        <v>19.300347360000004</v>
      </c>
      <c r="W122" s="256">
        <f>('Encargos e Benefícios'!V121+'Gastos com Pessoal'!Q122)*5.84%</f>
        <v>6.9023852352000006</v>
      </c>
      <c r="X122" s="256"/>
      <c r="Y122" s="293">
        <v>46508</v>
      </c>
      <c r="Z122" s="294">
        <v>5.8400000000000001E-2</v>
      </c>
      <c r="AA122" s="256">
        <f>('Encargos e Benefícios'!W121+'Gastos com Pessoal'!O122+'Gastos com Pessoal'!U122)*5.84%</f>
        <v>34.620421015756804</v>
      </c>
      <c r="AB122" s="256">
        <f>('Encargos e Benefícios'!X121+'Encargos e Benefícios'!Y121+'Encargos e Benefícios'!Z121+'Encargos e Benefícios'!AA121+'Encargos e Benefícios'!AB121+'Gastos com Pessoal'!P122+'Gastos com Pessoal'!V122)*5.84%</f>
        <v>20.427487645824002</v>
      </c>
      <c r="AC122" s="256">
        <f>('Encargos e Benefícios'!V121+'Gastos com Pessoal'!Q122+'Gastos com Pessoal'!W122)*5.84%</f>
        <v>7.3054845329356803</v>
      </c>
      <c r="AD122" s="256"/>
      <c r="AE122" s="293">
        <v>46874</v>
      </c>
      <c r="AF122" s="294">
        <v>5.8400000000000001E-2</v>
      </c>
      <c r="AG122" s="256">
        <f>('Encargos e Benefícios'!W121+'Gastos com Pessoal'!O122+'Gastos com Pessoal'!U122+'Gastos com Pessoal'!AA122)*5.84%</f>
        <v>36.642253603077002</v>
      </c>
      <c r="AH122" s="256">
        <f>('Encargos e Benefícios'!X121+'Encargos e Benefícios'!Y121+'Encargos e Benefícios'!Z121+'Encargos e Benefícios'!AA121+'Encargos e Benefícios'!AB121+'Gastos com Pessoal'!P122+'Gastos com Pessoal'!V122+'Gastos com Pessoal'!AB122)*5.84%</f>
        <v>21.620452924340121</v>
      </c>
      <c r="AI122" s="256">
        <f>('Encargos e Benefícios'!V121+'Gastos com Pessoal'!Q122+'Gastos com Pessoal'!W122+'Gastos com Pessoal'!AC122)*5.84%</f>
        <v>7.7321248296591243</v>
      </c>
      <c r="AJ122" s="257"/>
      <c r="AK122" s="296">
        <f>'Encargos e Benefícios'!D121</f>
        <v>1537.21</v>
      </c>
      <c r="AL122" s="296">
        <f>IF('Encargos e Benefícios'!C121=0,0,'Encargos e Benefícios'!U121/'Encargos e Benefícios'!C121)</f>
        <v>1228.3161905555557</v>
      </c>
      <c r="AM122" s="296">
        <f>IF('Encargos e Benefícios'!C121=0,0,'Encargos e Benefícios'!AC121/'Encargos e Benefícios'!C121)</f>
        <v>953.12000000000012</v>
      </c>
      <c r="AN122" s="297">
        <f>IF('Encargos e Benefícios'!C121=0,0,'Encargos e Benefícios'!AD121/'Encargos e Benefícios'!C121)</f>
        <v>3718.6461905555561</v>
      </c>
      <c r="AO122" s="188">
        <v>2046.28</v>
      </c>
      <c r="AP122" s="298">
        <v>1212</v>
      </c>
      <c r="AQ122" s="298">
        <v>2880.55</v>
      </c>
      <c r="AR122" s="299" t="s">
        <v>109</v>
      </c>
      <c r="AS122" s="188"/>
    </row>
    <row r="123" spans="1:45">
      <c r="A123" s="286">
        <v>117</v>
      </c>
      <c r="B123" s="81" t="str">
        <f>'Encargos e Benefícios'!B122</f>
        <v>Socioeducador - DC</v>
      </c>
      <c r="C123" s="287">
        <f>'Encargos e Benefícios'!C122</f>
        <v>2</v>
      </c>
      <c r="D123" s="288" t="s">
        <v>496</v>
      </c>
      <c r="E123" s="300">
        <v>45658</v>
      </c>
      <c r="F123" s="301">
        <v>47058</v>
      </c>
      <c r="G123" s="293"/>
      <c r="H123" s="294"/>
      <c r="I123" s="256"/>
      <c r="J123" s="256"/>
      <c r="K123" s="256"/>
      <c r="L123" s="256"/>
      <c r="M123" s="293">
        <v>45778</v>
      </c>
      <c r="N123" s="294">
        <v>5.8400000000000001E-2</v>
      </c>
      <c r="O123" s="256">
        <f>'Encargos e Benefícios'!W122*5.84%</f>
        <v>61.810560000000002</v>
      </c>
      <c r="P123" s="256">
        <f>('Encargos e Benefícios'!X122+'Encargos e Benefícios'!Y122+'Encargos e Benefícios'!Z122+'Encargos e Benefícios'!AA122+'Encargos e Benefícios'!AB122)*5.84%</f>
        <v>36.470799999999997</v>
      </c>
      <c r="Q123" s="256">
        <f>'Encargos e Benefícios'!V122*5.84%</f>
        <v>8.8931520000000006</v>
      </c>
      <c r="R123" s="256"/>
      <c r="S123" s="293">
        <v>46143</v>
      </c>
      <c r="T123" s="294">
        <v>5.8400000000000001E-2</v>
      </c>
      <c r="U123" s="256">
        <f>('Encargos e Benefícios'!W122+'Gastos com Pessoal'!O123)*5.84%</f>
        <v>65.420296703999995</v>
      </c>
      <c r="V123" s="256">
        <f>('Encargos e Benefícios'!X122+'Encargos e Benefícios'!Y122+'Encargos e Benefícios'!Z122+'Encargos e Benefícios'!AA122+'Encargos e Benefícios'!AB122+'Gastos com Pessoal'!P123)*5.84%</f>
        <v>38.600694720000007</v>
      </c>
      <c r="W123" s="256">
        <f>('Encargos e Benefícios'!V122+'Gastos com Pessoal'!Q123)*5.84%</f>
        <v>9.4125120768000006</v>
      </c>
      <c r="X123" s="256"/>
      <c r="Y123" s="293">
        <v>46508</v>
      </c>
      <c r="Z123" s="294">
        <v>5.8400000000000001E-2</v>
      </c>
      <c r="AA123" s="256">
        <f>('Encargos e Benefícios'!W122+'Gastos com Pessoal'!O123+'Gastos com Pessoal'!U123)*5.84%</f>
        <v>69.240842031513608</v>
      </c>
      <c r="AB123" s="256">
        <f>('Encargos e Benefícios'!X122+'Encargos e Benefícios'!Y122+'Encargos e Benefícios'!Z122+'Encargos e Benefícios'!AA122+'Encargos e Benefícios'!AB122+'Gastos com Pessoal'!P123+'Gastos com Pessoal'!V123)*5.84%</f>
        <v>40.854975291648003</v>
      </c>
      <c r="AC123" s="256">
        <f>('Encargos e Benefícios'!V122+'Gastos com Pessoal'!Q123+'Gastos com Pessoal'!W123)*5.84%</f>
        <v>9.9622027820851216</v>
      </c>
      <c r="AD123" s="256"/>
      <c r="AE123" s="293">
        <v>46874</v>
      </c>
      <c r="AF123" s="294">
        <v>5.8400000000000001E-2</v>
      </c>
      <c r="AG123" s="256">
        <f>('Encargos e Benefícios'!W122+'Gastos com Pessoal'!O123+'Gastos com Pessoal'!U123+'Gastos com Pessoal'!AA123)*5.84%</f>
        <v>73.284507206154004</v>
      </c>
      <c r="AH123" s="256">
        <f>('Encargos e Benefícios'!X122+'Encargos e Benefícios'!Y122+'Encargos e Benefícios'!Z122+'Encargos e Benefícios'!AA122+'Encargos e Benefícios'!AB122+'Gastos com Pessoal'!P123+'Gastos com Pessoal'!V123+'Gastos com Pessoal'!AB123)*5.84%</f>
        <v>43.240905848680242</v>
      </c>
      <c r="AI123" s="256">
        <f>('Encargos e Benefícios'!V122+'Gastos com Pessoal'!Q123+'Gastos com Pessoal'!W123+'Gastos com Pessoal'!AC123)*5.84%</f>
        <v>10.543995424558892</v>
      </c>
      <c r="AJ123" s="257"/>
      <c r="AK123" s="296">
        <f>'Encargos e Benefícios'!D122</f>
        <v>2010.96</v>
      </c>
      <c r="AL123" s="296">
        <f>IF('Encargos e Benefícios'!C122=0,0,'Encargos e Benefícios'!U122/'Encargos e Benefícios'!C122)</f>
        <v>2942.4053904000002</v>
      </c>
      <c r="AM123" s="296">
        <f>IF('Encargos e Benefícios'!C122=0,0,'Encargos e Benefícios'!AC122/'Encargos e Benefícios'!C122)</f>
        <v>917.59000000000015</v>
      </c>
      <c r="AN123" s="297">
        <f>IF('Encargos e Benefícios'!C122=0,0,'Encargos e Benefícios'!AD122/'Encargos e Benefícios'!C122)</f>
        <v>5870.9553904000004</v>
      </c>
      <c r="AO123" s="188">
        <v>2752.21</v>
      </c>
      <c r="AP123" s="298">
        <v>1764.5</v>
      </c>
      <c r="AQ123" s="298">
        <v>3739.92</v>
      </c>
      <c r="AR123" s="299" t="s">
        <v>109</v>
      </c>
      <c r="AS123" s="188"/>
    </row>
    <row r="124" spans="1:45">
      <c r="A124" s="286">
        <v>118</v>
      </c>
      <c r="B124" s="81" t="str">
        <f>'Encargos e Benefícios'!B123</f>
        <v>Socioeducador - D</v>
      </c>
      <c r="C124" s="287">
        <f>'Encargos e Benefícios'!C123</f>
        <v>12</v>
      </c>
      <c r="D124" s="288" t="s">
        <v>496</v>
      </c>
      <c r="E124" s="300">
        <v>45658</v>
      </c>
      <c r="F124" s="301">
        <v>47058</v>
      </c>
      <c r="G124" s="293"/>
      <c r="H124" s="294"/>
      <c r="I124" s="256"/>
      <c r="J124" s="256"/>
      <c r="K124" s="256"/>
      <c r="L124" s="256"/>
      <c r="M124" s="293">
        <v>45778</v>
      </c>
      <c r="N124" s="294">
        <v>5.8400000000000001E-2</v>
      </c>
      <c r="O124" s="256">
        <f>'Encargos e Benefícios'!W123*5.84%</f>
        <v>370.86336000000006</v>
      </c>
      <c r="P124" s="256">
        <f>('Encargos e Benefícios'!X123+'Encargos e Benefícios'!Y123+'Encargos e Benefícios'!Z123+'Encargos e Benefícios'!AA123+'Encargos e Benefícios'!AB123)*5.84%</f>
        <v>218.82480000000001</v>
      </c>
      <c r="Q124" s="256">
        <f>'Encargos e Benefícios'!V123*5.84%</f>
        <v>53.358912000000004</v>
      </c>
      <c r="R124" s="256"/>
      <c r="S124" s="293">
        <v>46143</v>
      </c>
      <c r="T124" s="294">
        <v>5.8400000000000001E-2</v>
      </c>
      <c r="U124" s="256">
        <f>('Encargos e Benefícios'!W123+'Gastos com Pessoal'!O124)*5.84%</f>
        <v>392.52178022400005</v>
      </c>
      <c r="V124" s="256">
        <f>('Encargos e Benefícios'!X123+'Encargos e Benefícios'!Y123+'Encargos e Benefícios'!Z123+'Encargos e Benefícios'!AA123+'Encargos e Benefícios'!AB123+'Gastos com Pessoal'!P124)*5.84%</f>
        <v>231.60416831999999</v>
      </c>
      <c r="W124" s="256">
        <f>('Encargos e Benefícios'!V123+'Gastos com Pessoal'!Q124)*5.84%</f>
        <v>56.475072460800007</v>
      </c>
      <c r="X124" s="256"/>
      <c r="Y124" s="293">
        <v>46508</v>
      </c>
      <c r="Z124" s="294">
        <v>5.8400000000000001E-2</v>
      </c>
      <c r="AA124" s="256">
        <f>('Encargos e Benefícios'!W123+'Gastos com Pessoal'!O124+'Gastos com Pessoal'!U124)*5.84%</f>
        <v>415.44505218908165</v>
      </c>
      <c r="AB124" s="256">
        <f>('Encargos e Benefícios'!X123+'Encargos e Benefícios'!Y123+'Encargos e Benefícios'!Z123+'Encargos e Benefícios'!AA123+'Encargos e Benefícios'!AB123+'Gastos com Pessoal'!P124+'Gastos com Pessoal'!V124)*5.84%</f>
        <v>245.12985174988796</v>
      </c>
      <c r="AC124" s="256">
        <f>('Encargos e Benefícios'!V123+'Gastos com Pessoal'!Q124+'Gastos com Pessoal'!W124)*5.84%</f>
        <v>59.773216692510722</v>
      </c>
      <c r="AD124" s="256"/>
      <c r="AE124" s="293">
        <v>46874</v>
      </c>
      <c r="AF124" s="294">
        <v>5.8400000000000001E-2</v>
      </c>
      <c r="AG124" s="256">
        <f>('Encargos e Benefícios'!W123+'Gastos com Pessoal'!O124+'Gastos com Pessoal'!U124+'Gastos com Pessoal'!AA124)*5.84%</f>
        <v>439.70704323692399</v>
      </c>
      <c r="AH124" s="256">
        <f>('Encargos e Benefícios'!X123+'Encargos e Benefícios'!Y123+'Encargos e Benefícios'!Z123+'Encargos e Benefícios'!AA123+'Encargos e Benefícios'!AB123+'Gastos com Pessoal'!P124+'Gastos com Pessoal'!V124+'Gastos com Pessoal'!AB124)*5.84%</f>
        <v>259.44543509208142</v>
      </c>
      <c r="AI124" s="256">
        <f>('Encargos e Benefícios'!V123+'Gastos com Pessoal'!Q124+'Gastos com Pessoal'!W124+'Gastos com Pessoal'!AC124)*5.84%</f>
        <v>63.263972547353355</v>
      </c>
      <c r="AJ124" s="257"/>
      <c r="AK124" s="296">
        <f>'Encargos e Benefícios'!D123</f>
        <v>2010.96</v>
      </c>
      <c r="AL124" s="296">
        <f>IF('Encargos e Benefícios'!C123=0,0,'Encargos e Benefícios'!U123/'Encargos e Benefícios'!C123)</f>
        <v>2591.2415003999999</v>
      </c>
      <c r="AM124" s="296">
        <f>IF('Encargos e Benefícios'!C123=0,0,'Encargos e Benefícios'!AC123/'Encargos e Benefícios'!C123)</f>
        <v>917.59</v>
      </c>
      <c r="AN124" s="297">
        <f>IF('Encargos e Benefícios'!C123=0,0,'Encargos e Benefícios'!AD123/'Encargos e Benefícios'!C123)</f>
        <v>5519.7915003999997</v>
      </c>
      <c r="AO124" s="188">
        <v>2752.21</v>
      </c>
      <c r="AP124" s="298">
        <v>1764.5</v>
      </c>
      <c r="AQ124" s="298">
        <v>3739.92</v>
      </c>
      <c r="AR124" s="299" t="s">
        <v>109</v>
      </c>
      <c r="AS124" s="188"/>
    </row>
    <row r="125" spans="1:45">
      <c r="A125" s="286">
        <v>119</v>
      </c>
      <c r="B125" s="81" t="str">
        <f>'Encargos e Benefícios'!B124</f>
        <v>Socioeducador - NC</v>
      </c>
      <c r="C125" s="287">
        <f>'Encargos e Benefícios'!C124</f>
        <v>2</v>
      </c>
      <c r="D125" s="288" t="s">
        <v>496</v>
      </c>
      <c r="E125" s="300">
        <v>45658</v>
      </c>
      <c r="F125" s="301">
        <v>47058</v>
      </c>
      <c r="G125" s="293"/>
      <c r="H125" s="294"/>
      <c r="I125" s="256"/>
      <c r="J125" s="256"/>
      <c r="K125" s="256"/>
      <c r="L125" s="256"/>
      <c r="M125" s="293">
        <v>45778</v>
      </c>
      <c r="N125" s="294">
        <v>5.8400000000000001E-2</v>
      </c>
      <c r="O125" s="256">
        <f>'Encargos e Benefícios'!W124*5.84%</f>
        <v>61.810560000000002</v>
      </c>
      <c r="P125" s="256">
        <f>('Encargos e Benefícios'!X124+'Encargos e Benefícios'!Y124+'Encargos e Benefícios'!Z124+'Encargos e Benefícios'!AA124+'Encargos e Benefícios'!AB124)*5.84%</f>
        <v>36.470799999999997</v>
      </c>
      <c r="Q125" s="256">
        <f>'Encargos e Benefícios'!V124*5.84%</f>
        <v>8.8931520000000006</v>
      </c>
      <c r="R125" s="256"/>
      <c r="S125" s="293">
        <v>46143</v>
      </c>
      <c r="T125" s="294">
        <v>5.8400000000000001E-2</v>
      </c>
      <c r="U125" s="256">
        <f>('Encargos e Benefícios'!W124+'Gastos com Pessoal'!O125)*5.84%</f>
        <v>65.420296703999995</v>
      </c>
      <c r="V125" s="256">
        <f>('Encargos e Benefícios'!X124+'Encargos e Benefícios'!Y124+'Encargos e Benefícios'!Z124+'Encargos e Benefícios'!AA124+'Encargos e Benefícios'!AB124+'Gastos com Pessoal'!P125)*5.84%</f>
        <v>38.600694720000007</v>
      </c>
      <c r="W125" s="256">
        <f>('Encargos e Benefícios'!V124+'Gastos com Pessoal'!Q125)*5.84%</f>
        <v>9.4125120768000006</v>
      </c>
      <c r="X125" s="256"/>
      <c r="Y125" s="293">
        <v>46508</v>
      </c>
      <c r="Z125" s="294">
        <v>5.8400000000000001E-2</v>
      </c>
      <c r="AA125" s="256">
        <f>('Encargos e Benefícios'!W124+'Gastos com Pessoal'!O125+'Gastos com Pessoal'!U125)*5.84%</f>
        <v>69.240842031513608</v>
      </c>
      <c r="AB125" s="256">
        <f>('Encargos e Benefícios'!X124+'Encargos e Benefícios'!Y124+'Encargos e Benefícios'!Z124+'Encargos e Benefícios'!AA124+'Encargos e Benefícios'!AB124+'Gastos com Pessoal'!P125+'Gastos com Pessoal'!V125)*5.84%</f>
        <v>40.854975291648003</v>
      </c>
      <c r="AC125" s="256">
        <f>('Encargos e Benefícios'!V124+'Gastos com Pessoal'!Q125+'Gastos com Pessoal'!W125)*5.84%</f>
        <v>9.9622027820851216</v>
      </c>
      <c r="AD125" s="256"/>
      <c r="AE125" s="293">
        <v>46874</v>
      </c>
      <c r="AF125" s="294">
        <v>5.8400000000000001E-2</v>
      </c>
      <c r="AG125" s="256">
        <f>('Encargos e Benefícios'!W124+'Gastos com Pessoal'!O125+'Gastos com Pessoal'!U125+'Gastos com Pessoal'!AA125)*5.84%</f>
        <v>73.284507206154004</v>
      </c>
      <c r="AH125" s="256">
        <f>('Encargos e Benefícios'!X124+'Encargos e Benefícios'!Y124+'Encargos e Benefícios'!Z124+'Encargos e Benefícios'!AA124+'Encargos e Benefícios'!AB124+'Gastos com Pessoal'!P125+'Gastos com Pessoal'!V125+'Gastos com Pessoal'!AB125)*5.84%</f>
        <v>43.240905848680242</v>
      </c>
      <c r="AI125" s="256">
        <f>('Encargos e Benefícios'!V124+'Gastos com Pessoal'!Q125+'Gastos com Pessoal'!W125+'Gastos com Pessoal'!AC125)*5.84%</f>
        <v>10.543995424558892</v>
      </c>
      <c r="AJ125" s="257"/>
      <c r="AK125" s="296">
        <f>'Encargos e Benefícios'!D124</f>
        <v>2010.96</v>
      </c>
      <c r="AL125" s="296">
        <f>IF('Encargos e Benefícios'!C124=0,0,'Encargos e Benefícios'!U124/'Encargos e Benefícios'!C124)</f>
        <v>3553.5688062933345</v>
      </c>
      <c r="AM125" s="296">
        <f>IF('Encargos e Benefícios'!C124=0,0,'Encargos e Benefícios'!AC124/'Encargos e Benefícios'!C124)</f>
        <v>917.59000000000015</v>
      </c>
      <c r="AN125" s="297">
        <f>IF('Encargos e Benefícios'!C124=0,0,'Encargos e Benefícios'!AD124/'Encargos e Benefícios'!C124)</f>
        <v>6482.1188062933343</v>
      </c>
      <c r="AO125" s="188">
        <v>2752.21</v>
      </c>
      <c r="AP125" s="298">
        <v>1764.5</v>
      </c>
      <c r="AQ125" s="298">
        <v>3739.92</v>
      </c>
      <c r="AR125" s="299" t="s">
        <v>109</v>
      </c>
      <c r="AS125" s="188"/>
    </row>
    <row r="126" spans="1:45" ht="13" thickBot="1">
      <c r="A126" s="286">
        <v>120</v>
      </c>
      <c r="B126" s="81" t="str">
        <f>'Encargos e Benefícios'!B125</f>
        <v>Socioeducador - N</v>
      </c>
      <c r="C126" s="287">
        <f>'Encargos e Benefícios'!C125</f>
        <v>6</v>
      </c>
      <c r="D126" s="288" t="s">
        <v>496</v>
      </c>
      <c r="E126" s="300">
        <v>45658</v>
      </c>
      <c r="F126" s="301">
        <v>47058</v>
      </c>
      <c r="G126" s="293"/>
      <c r="H126" s="294"/>
      <c r="I126" s="256"/>
      <c r="J126" s="256"/>
      <c r="K126" s="256"/>
      <c r="L126" s="256"/>
      <c r="M126" s="293">
        <v>45778</v>
      </c>
      <c r="N126" s="294">
        <v>5.8400000000000001E-2</v>
      </c>
      <c r="O126" s="256">
        <f>'Encargos e Benefícios'!W125*5.84%</f>
        <v>185.43168000000003</v>
      </c>
      <c r="P126" s="256">
        <f>('Encargos e Benefícios'!X125+'Encargos e Benefícios'!Y125+'Encargos e Benefícios'!Z125+'Encargos e Benefícios'!AA125+'Encargos e Benefícios'!AB125)*5.84%</f>
        <v>109.41240000000001</v>
      </c>
      <c r="Q126" s="256">
        <f>'Encargos e Benefícios'!V125*5.84%</f>
        <v>26.679456000000002</v>
      </c>
      <c r="R126" s="256"/>
      <c r="S126" s="293">
        <v>46143</v>
      </c>
      <c r="T126" s="294">
        <v>5.8400000000000001E-2</v>
      </c>
      <c r="U126" s="256">
        <f>('Encargos e Benefícios'!W125+'Gastos com Pessoal'!O126)*5.84%</f>
        <v>196.26089011200003</v>
      </c>
      <c r="V126" s="256">
        <f>('Encargos e Benefícios'!X125+'Encargos e Benefícios'!Y125+'Encargos e Benefícios'!Z125+'Encargos e Benefícios'!AA125+'Encargos e Benefícios'!AB125+'Gastos com Pessoal'!P126)*5.84%</f>
        <v>115.80208415999999</v>
      </c>
      <c r="W126" s="256">
        <f>('Encargos e Benefícios'!V125+'Gastos com Pessoal'!Q126)*5.84%</f>
        <v>28.237536230400003</v>
      </c>
      <c r="X126" s="256"/>
      <c r="Y126" s="293">
        <v>46508</v>
      </c>
      <c r="Z126" s="294">
        <v>5.8400000000000001E-2</v>
      </c>
      <c r="AA126" s="256">
        <f>('Encargos e Benefícios'!W125+'Gastos com Pessoal'!O126+'Gastos com Pessoal'!U126)*5.84%</f>
        <v>207.72252609454083</v>
      </c>
      <c r="AB126" s="256">
        <f>('Encargos e Benefícios'!X125+'Encargos e Benefícios'!Y125+'Encargos e Benefícios'!Z125+'Encargos e Benefícios'!AA125+'Encargos e Benefícios'!AB125+'Gastos com Pessoal'!P126+'Gastos com Pessoal'!V126)*5.84%</f>
        <v>122.56492587494398</v>
      </c>
      <c r="AC126" s="256">
        <f>('Encargos e Benefícios'!V125+'Gastos com Pessoal'!Q126+'Gastos com Pessoal'!W126)*5.84%</f>
        <v>29.886608346255361</v>
      </c>
      <c r="AD126" s="256"/>
      <c r="AE126" s="293">
        <v>46874</v>
      </c>
      <c r="AF126" s="294">
        <v>5.8400000000000001E-2</v>
      </c>
      <c r="AG126" s="256">
        <f>('Encargos e Benefícios'!W125+'Gastos com Pessoal'!O126+'Gastos com Pessoal'!U126+'Gastos com Pessoal'!AA126)*5.84%</f>
        <v>219.853521618462</v>
      </c>
      <c r="AH126" s="256">
        <f>('Encargos e Benefícios'!X125+'Encargos e Benefícios'!Y125+'Encargos e Benefícios'!Z125+'Encargos e Benefícios'!AA125+'Encargos e Benefícios'!AB125+'Gastos com Pessoal'!P126+'Gastos com Pessoal'!V126+'Gastos com Pessoal'!AB126)*5.84%</f>
        <v>129.72271754604071</v>
      </c>
      <c r="AI126" s="256">
        <f>('Encargos e Benefícios'!V125+'Gastos com Pessoal'!Q126+'Gastos com Pessoal'!W126+'Gastos com Pessoal'!AC126)*5.84%</f>
        <v>31.631986273676677</v>
      </c>
      <c r="AJ126" s="257"/>
      <c r="AK126" s="296">
        <f>'Encargos e Benefícios'!D125</f>
        <v>2010.96</v>
      </c>
      <c r="AL126" s="296">
        <f>IF('Encargos e Benefícios'!C125=0,0,'Encargos e Benefícios'!U125/'Encargos e Benefícios'!C125)</f>
        <v>3202.4049162933329</v>
      </c>
      <c r="AM126" s="296">
        <f>IF('Encargos e Benefícios'!C125=0,0,'Encargos e Benefícios'!AC125/'Encargos e Benefícios'!C125)</f>
        <v>917.59</v>
      </c>
      <c r="AN126" s="297">
        <f>IF('Encargos e Benefícios'!C125=0,0,'Encargos e Benefícios'!AD125/'Encargos e Benefícios'!C125)</f>
        <v>6130.9549162933326</v>
      </c>
      <c r="AO126" s="188">
        <v>2752.21</v>
      </c>
      <c r="AP126" s="298">
        <v>1764.5</v>
      </c>
      <c r="AQ126" s="298">
        <v>3739.92</v>
      </c>
      <c r="AR126" s="299" t="s">
        <v>109</v>
      </c>
      <c r="AS126" s="188"/>
    </row>
    <row r="127" spans="1:45">
      <c r="A127" s="286">
        <v>121</v>
      </c>
      <c r="B127" s="81" t="str">
        <f>'Encargos e Benefícios'!B126</f>
        <v>Diretor Geral de Unidade Socioeducativa</v>
      </c>
      <c r="C127" s="287">
        <f>'Encargos e Benefícios'!C126</f>
        <v>1</v>
      </c>
      <c r="D127" s="288">
        <v>40</v>
      </c>
      <c r="E127" s="289">
        <v>45658</v>
      </c>
      <c r="F127" s="290">
        <v>47058</v>
      </c>
      <c r="G127" s="293"/>
      <c r="H127" s="294"/>
      <c r="I127" s="256"/>
      <c r="J127" s="256"/>
      <c r="K127" s="256"/>
      <c r="L127" s="256"/>
      <c r="M127" s="293">
        <v>45778</v>
      </c>
      <c r="N127" s="294">
        <v>5.8400000000000001E-2</v>
      </c>
      <c r="O127" s="256">
        <f>'Encargos e Benefícios'!W126*5.84%</f>
        <v>30.905280000000001</v>
      </c>
      <c r="P127" s="256">
        <f>('Encargos e Benefícios'!X126+'Encargos e Benefícios'!Y126+'Encargos e Benefícios'!Z126+'Encargos e Benefícios'!AA126+'Encargos e Benefícios'!AB126)*5.84%</f>
        <v>18.235399999999998</v>
      </c>
      <c r="Q127" s="256">
        <f>'Encargos e Benefícios'!V126*5.84%</f>
        <v>0</v>
      </c>
      <c r="R127" s="256"/>
      <c r="S127" s="293">
        <v>46143</v>
      </c>
      <c r="T127" s="294">
        <v>5.8400000000000001E-2</v>
      </c>
      <c r="U127" s="256">
        <f>('Encargos e Benefícios'!W126+'Gastos com Pessoal'!O127)*5.84%</f>
        <v>32.710148351999997</v>
      </c>
      <c r="V127" s="256">
        <f>('Encargos e Benefícios'!X126+'Encargos e Benefícios'!Y126+'Encargos e Benefícios'!Z126+'Encargos e Benefícios'!AA126+'Encargos e Benefícios'!AB126+'Gastos com Pessoal'!P127)*5.84%</f>
        <v>19.300347360000004</v>
      </c>
      <c r="W127" s="256">
        <f>('Encargos e Benefícios'!V126+'Gastos com Pessoal'!Q127)*5.84%</f>
        <v>0</v>
      </c>
      <c r="X127" s="256"/>
      <c r="Y127" s="293">
        <v>46508</v>
      </c>
      <c r="Z127" s="294">
        <v>5.8400000000000001E-2</v>
      </c>
      <c r="AA127" s="256">
        <f>('Encargos e Benefícios'!W126+'Gastos com Pessoal'!O127+'Gastos com Pessoal'!U127)*5.84%</f>
        <v>34.620421015756804</v>
      </c>
      <c r="AB127" s="256">
        <f>('Encargos e Benefícios'!X126+'Encargos e Benefícios'!Y126+'Encargos e Benefícios'!Z126+'Encargos e Benefícios'!AA126+'Encargos e Benefícios'!AB126+'Gastos com Pessoal'!P127+'Gastos com Pessoal'!V127)*5.84%</f>
        <v>20.427487645824002</v>
      </c>
      <c r="AC127" s="256">
        <f>('Encargos e Benefícios'!V126+'Gastos com Pessoal'!Q127+'Gastos com Pessoal'!W127)*5.84%</f>
        <v>0</v>
      </c>
      <c r="AD127" s="256"/>
      <c r="AE127" s="293">
        <v>46874</v>
      </c>
      <c r="AF127" s="294">
        <v>5.8400000000000001E-2</v>
      </c>
      <c r="AG127" s="256">
        <f>('Encargos e Benefícios'!W126+'Gastos com Pessoal'!O127+'Gastos com Pessoal'!U127+'Gastos com Pessoal'!AA127)*5.84%</f>
        <v>36.642253603077002</v>
      </c>
      <c r="AH127" s="256">
        <f>('Encargos e Benefícios'!X126+'Encargos e Benefícios'!Y126+'Encargos e Benefícios'!Z126+'Encargos e Benefícios'!AA126+'Encargos e Benefícios'!AB126+'Gastos com Pessoal'!P127+'Gastos com Pessoal'!V127+'Gastos com Pessoal'!AB127)*5.84%</f>
        <v>21.620452924340121</v>
      </c>
      <c r="AI127" s="256">
        <f>('Encargos e Benefícios'!V126+'Gastos com Pessoal'!Q127+'Gastos com Pessoal'!W127+'Gastos com Pessoal'!AC127)*5.84%</f>
        <v>0</v>
      </c>
      <c r="AJ127" s="257"/>
      <c r="AK127" s="296">
        <f>'Encargos e Benefícios'!D126</f>
        <v>6879.6</v>
      </c>
      <c r="AL127" s="296">
        <f>IF('Encargos e Benefícios'!C126=0,0,'Encargos e Benefícios'!U126/'Encargos e Benefícios'!C126)</f>
        <v>5400.8682000000008</v>
      </c>
      <c r="AM127" s="296">
        <f>IF('Encargos e Benefícios'!C126=0,0,'Encargos e Benefícios'!AC126/'Encargos e Benefícios'!C126)</f>
        <v>841.45</v>
      </c>
      <c r="AN127" s="297">
        <f>IF('Encargos e Benefícios'!C126=0,0,'Encargos e Benefícios'!AD126/'Encargos e Benefícios'!C126)</f>
        <v>13121.918200000002</v>
      </c>
      <c r="AO127" s="188">
        <v>6052.24</v>
      </c>
      <c r="AP127" s="298">
        <v>4239.6899999999996</v>
      </c>
      <c r="AQ127" s="298">
        <v>7864.78</v>
      </c>
      <c r="AR127" s="299" t="s">
        <v>110</v>
      </c>
      <c r="AS127" s="188"/>
    </row>
    <row r="128" spans="1:45">
      <c r="A128" s="286">
        <v>122</v>
      </c>
      <c r="B128" s="81" t="str">
        <f>'Encargos e Benefícios'!B127</f>
        <v>Subdiretor de Segurança</v>
      </c>
      <c r="C128" s="287">
        <f>'Encargos e Benefícios'!C127</f>
        <v>1</v>
      </c>
      <c r="D128" s="288">
        <v>40</v>
      </c>
      <c r="E128" s="300">
        <v>45658</v>
      </c>
      <c r="F128" s="301">
        <v>47058</v>
      </c>
      <c r="G128" s="293"/>
      <c r="H128" s="294"/>
      <c r="I128" s="256"/>
      <c r="J128" s="256"/>
      <c r="K128" s="256"/>
      <c r="L128" s="256"/>
      <c r="M128" s="293">
        <v>45778</v>
      </c>
      <c r="N128" s="294">
        <v>5.8400000000000001E-2</v>
      </c>
      <c r="O128" s="256">
        <f>'Encargos e Benefícios'!W127*5.84%</f>
        <v>30.905280000000001</v>
      </c>
      <c r="P128" s="256">
        <f>('Encargos e Benefícios'!X127+'Encargos e Benefícios'!Y127+'Encargos e Benefícios'!Z127+'Encargos e Benefícios'!AA127+'Encargos e Benefícios'!AB127)*5.84%</f>
        <v>18.235399999999998</v>
      </c>
      <c r="Q128" s="256">
        <f>'Encargos e Benefícios'!V127*5.84%</f>
        <v>0</v>
      </c>
      <c r="R128" s="256"/>
      <c r="S128" s="293">
        <v>46143</v>
      </c>
      <c r="T128" s="294">
        <v>5.8400000000000001E-2</v>
      </c>
      <c r="U128" s="256">
        <f>('Encargos e Benefícios'!W127+'Gastos com Pessoal'!O128)*5.84%</f>
        <v>32.710148351999997</v>
      </c>
      <c r="V128" s="256">
        <f>('Encargos e Benefícios'!X127+'Encargos e Benefícios'!Y127+'Encargos e Benefícios'!Z127+'Encargos e Benefícios'!AA127+'Encargos e Benefícios'!AB127+'Gastos com Pessoal'!P128)*5.84%</f>
        <v>19.300347360000004</v>
      </c>
      <c r="W128" s="256">
        <f>('Encargos e Benefícios'!V127+'Gastos com Pessoal'!Q128)*5.84%</f>
        <v>0</v>
      </c>
      <c r="X128" s="256"/>
      <c r="Y128" s="293">
        <v>46508</v>
      </c>
      <c r="Z128" s="294">
        <v>5.8400000000000001E-2</v>
      </c>
      <c r="AA128" s="256">
        <f>('Encargos e Benefícios'!W127+'Gastos com Pessoal'!O128+'Gastos com Pessoal'!U128)*5.84%</f>
        <v>34.620421015756804</v>
      </c>
      <c r="AB128" s="256">
        <f>('Encargos e Benefícios'!X127+'Encargos e Benefícios'!Y127+'Encargos e Benefícios'!Z127+'Encargos e Benefícios'!AA127+'Encargos e Benefícios'!AB127+'Gastos com Pessoal'!P128+'Gastos com Pessoal'!V128)*5.84%</f>
        <v>20.427487645824002</v>
      </c>
      <c r="AC128" s="256">
        <f>('Encargos e Benefícios'!V127+'Gastos com Pessoal'!Q128+'Gastos com Pessoal'!W128)*5.84%</f>
        <v>0</v>
      </c>
      <c r="AD128" s="256"/>
      <c r="AE128" s="293">
        <v>46874</v>
      </c>
      <c r="AF128" s="294">
        <v>5.8400000000000001E-2</v>
      </c>
      <c r="AG128" s="256">
        <f>('Encargos e Benefícios'!W127+'Gastos com Pessoal'!O128+'Gastos com Pessoal'!U128+'Gastos com Pessoal'!AA128)*5.84%</f>
        <v>36.642253603077002</v>
      </c>
      <c r="AH128" s="256">
        <f>('Encargos e Benefícios'!X127+'Encargos e Benefícios'!Y127+'Encargos e Benefícios'!Z127+'Encargos e Benefícios'!AA127+'Encargos e Benefícios'!AB127+'Gastos com Pessoal'!P128+'Gastos com Pessoal'!V128+'Gastos com Pessoal'!AB128)*5.84%</f>
        <v>21.620452924340121</v>
      </c>
      <c r="AI128" s="256">
        <f>('Encargos e Benefícios'!V127+'Gastos com Pessoal'!Q128+'Gastos com Pessoal'!W128+'Gastos com Pessoal'!AC128)*5.84%</f>
        <v>0</v>
      </c>
      <c r="AJ128" s="257"/>
      <c r="AK128" s="296">
        <f>'Encargos e Benefícios'!D127</f>
        <v>3993.98</v>
      </c>
      <c r="AL128" s="296">
        <f>IF('Encargos e Benefícios'!C127=0,0,'Encargos e Benefícios'!U127/'Encargos e Benefícios'!C127)</f>
        <v>4659.1662746111106</v>
      </c>
      <c r="AM128" s="296">
        <f>IF('Encargos e Benefícios'!C127=0,0,'Encargos e Benefícios'!AC127/'Encargos e Benefícios'!C127)</f>
        <v>841.45</v>
      </c>
      <c r="AN128" s="297">
        <f>IF('Encargos e Benefícios'!C127=0,0,'Encargos e Benefícios'!AD127/'Encargos e Benefícios'!C127)</f>
        <v>9494.5962746111109</v>
      </c>
      <c r="AO128" s="188">
        <v>4968.99</v>
      </c>
      <c r="AP128" s="298">
        <v>3773.6</v>
      </c>
      <c r="AQ128" s="298">
        <v>6164.38</v>
      </c>
      <c r="AR128" s="299" t="s">
        <v>110</v>
      </c>
      <c r="AS128" s="188"/>
    </row>
    <row r="129" spans="1:45">
      <c r="A129" s="286">
        <v>123</v>
      </c>
      <c r="B129" s="81" t="str">
        <f>'Encargos e Benefícios'!B128</f>
        <v>Advogado</v>
      </c>
      <c r="C129" s="287">
        <f>'Encargos e Benefícios'!C128</f>
        <v>1</v>
      </c>
      <c r="D129" s="288">
        <v>30</v>
      </c>
      <c r="E129" s="300">
        <v>45658</v>
      </c>
      <c r="F129" s="301">
        <v>47058</v>
      </c>
      <c r="G129" s="293"/>
      <c r="H129" s="294"/>
      <c r="I129" s="256"/>
      <c r="J129" s="256"/>
      <c r="K129" s="256"/>
      <c r="L129" s="256"/>
      <c r="M129" s="293">
        <v>45778</v>
      </c>
      <c r="N129" s="294">
        <v>5.8400000000000001E-2</v>
      </c>
      <c r="O129" s="256">
        <f>'Encargos e Benefícios'!W128*5.84%</f>
        <v>30.905280000000001</v>
      </c>
      <c r="P129" s="256">
        <f>('Encargos e Benefícios'!X128+'Encargos e Benefícios'!Y128+'Encargos e Benefícios'!Z128+'Encargos e Benefícios'!AA128+'Encargos e Benefícios'!AB128)*5.84%</f>
        <v>18.235399999999998</v>
      </c>
      <c r="Q129" s="256">
        <f>'Encargos e Benefícios'!V128*5.84%</f>
        <v>6.521528</v>
      </c>
      <c r="R129" s="256"/>
      <c r="S129" s="293">
        <v>46143</v>
      </c>
      <c r="T129" s="294">
        <v>5.8400000000000001E-2</v>
      </c>
      <c r="U129" s="256">
        <f>('Encargos e Benefícios'!W128+'Gastos com Pessoal'!O129)*5.84%</f>
        <v>32.710148351999997</v>
      </c>
      <c r="V129" s="256">
        <f>('Encargos e Benefícios'!X128+'Encargos e Benefícios'!Y128+'Encargos e Benefícios'!Z128+'Encargos e Benefícios'!AA128+'Encargos e Benefícios'!AB128+'Gastos com Pessoal'!P129)*5.84%</f>
        <v>19.300347360000004</v>
      </c>
      <c r="W129" s="256">
        <f>('Encargos e Benefícios'!V128+'Gastos com Pessoal'!Q129)*5.84%</f>
        <v>6.9023852352000006</v>
      </c>
      <c r="X129" s="256"/>
      <c r="Y129" s="293">
        <v>46508</v>
      </c>
      <c r="Z129" s="294">
        <v>5.8400000000000001E-2</v>
      </c>
      <c r="AA129" s="256">
        <f>('Encargos e Benefícios'!W128+'Gastos com Pessoal'!O129+'Gastos com Pessoal'!U129)*5.84%</f>
        <v>34.620421015756804</v>
      </c>
      <c r="AB129" s="256">
        <f>('Encargos e Benefícios'!X128+'Encargos e Benefícios'!Y128+'Encargos e Benefícios'!Z128+'Encargos e Benefícios'!AA128+'Encargos e Benefícios'!AB128+'Gastos com Pessoal'!P129+'Gastos com Pessoal'!V129)*5.84%</f>
        <v>20.427487645824002</v>
      </c>
      <c r="AC129" s="256">
        <f>('Encargos e Benefícios'!V128+'Gastos com Pessoal'!Q129+'Gastos com Pessoal'!W129)*5.84%</f>
        <v>7.3054845329356803</v>
      </c>
      <c r="AD129" s="256"/>
      <c r="AE129" s="293">
        <v>46874</v>
      </c>
      <c r="AF129" s="294">
        <v>5.8400000000000001E-2</v>
      </c>
      <c r="AG129" s="256">
        <f>('Encargos e Benefícios'!W128+'Gastos com Pessoal'!O129+'Gastos com Pessoal'!U129+'Gastos com Pessoal'!AA129)*5.84%</f>
        <v>36.642253603077002</v>
      </c>
      <c r="AH129" s="256">
        <f>('Encargos e Benefícios'!X128+'Encargos e Benefícios'!Y128+'Encargos e Benefícios'!Z128+'Encargos e Benefícios'!AA128+'Encargos e Benefícios'!AB128+'Gastos com Pessoal'!P129+'Gastos com Pessoal'!V129+'Gastos com Pessoal'!AB129)*5.84%</f>
        <v>21.620452924340121</v>
      </c>
      <c r="AI129" s="256">
        <f>('Encargos e Benefícios'!V128+'Gastos com Pessoal'!Q129+'Gastos com Pessoal'!W129+'Gastos com Pessoal'!AC129)*5.84%</f>
        <v>7.7321248296591243</v>
      </c>
      <c r="AJ129" s="257"/>
      <c r="AK129" s="296">
        <f>'Encargos e Benefícios'!D128</f>
        <v>2751.84</v>
      </c>
      <c r="AL129" s="296">
        <f>IF('Encargos e Benefícios'!C128=0,0,'Encargos e Benefícios'!U128/'Encargos e Benefícios'!C128)</f>
        <v>2198.8730400000004</v>
      </c>
      <c r="AM129" s="296">
        <f>IF('Encargos e Benefícios'!C128=0,0,'Encargos e Benefícios'!AC128/'Encargos e Benefícios'!C128)</f>
        <v>953.12000000000012</v>
      </c>
      <c r="AN129" s="297">
        <f>IF('Encargos e Benefícios'!C128=0,0,'Encargos e Benefícios'!AD128/'Encargos e Benefícios'!C128)</f>
        <v>5903.8330400000004</v>
      </c>
      <c r="AO129" s="188">
        <v>2767.69</v>
      </c>
      <c r="AP129" s="298">
        <v>2500</v>
      </c>
      <c r="AQ129" s="298">
        <v>3035.37</v>
      </c>
      <c r="AR129" s="299" t="s">
        <v>110</v>
      </c>
      <c r="AS129" s="188"/>
    </row>
    <row r="130" spans="1:45">
      <c r="A130" s="286">
        <v>124</v>
      </c>
      <c r="B130" s="81" t="str">
        <f>'Encargos e Benefícios'!B129</f>
        <v>Assistente Social</v>
      </c>
      <c r="C130" s="287">
        <f>'Encargos e Benefícios'!C129</f>
        <v>1</v>
      </c>
      <c r="D130" s="288">
        <v>30</v>
      </c>
      <c r="E130" s="300">
        <v>45658</v>
      </c>
      <c r="F130" s="301">
        <v>47058</v>
      </c>
      <c r="G130" s="293"/>
      <c r="H130" s="294"/>
      <c r="I130" s="256"/>
      <c r="J130" s="256"/>
      <c r="K130" s="256"/>
      <c r="L130" s="256"/>
      <c r="M130" s="293">
        <v>45778</v>
      </c>
      <c r="N130" s="294">
        <v>5.8400000000000001E-2</v>
      </c>
      <c r="O130" s="256">
        <f>'Encargos e Benefícios'!W129*5.84%</f>
        <v>30.905280000000001</v>
      </c>
      <c r="P130" s="256">
        <f>('Encargos e Benefícios'!X129+'Encargos e Benefícios'!Y129+'Encargos e Benefícios'!Z129+'Encargos e Benefícios'!AA129+'Encargos e Benefícios'!AB129)*5.84%</f>
        <v>18.235399999999998</v>
      </c>
      <c r="Q130" s="256">
        <f>'Encargos e Benefícios'!V129*5.84%</f>
        <v>6.521528</v>
      </c>
      <c r="R130" s="256"/>
      <c r="S130" s="293">
        <v>46143</v>
      </c>
      <c r="T130" s="294">
        <v>5.8400000000000001E-2</v>
      </c>
      <c r="U130" s="256">
        <f>('Encargos e Benefícios'!W129+'Gastos com Pessoal'!O130)*5.84%</f>
        <v>32.710148351999997</v>
      </c>
      <c r="V130" s="256">
        <f>('Encargos e Benefícios'!X129+'Encargos e Benefícios'!Y129+'Encargos e Benefícios'!Z129+'Encargos e Benefícios'!AA129+'Encargos e Benefícios'!AB129+'Gastos com Pessoal'!P130)*5.84%</f>
        <v>19.300347360000004</v>
      </c>
      <c r="W130" s="256">
        <f>('Encargos e Benefícios'!V129+'Gastos com Pessoal'!Q130)*5.84%</f>
        <v>6.9023852352000006</v>
      </c>
      <c r="X130" s="256"/>
      <c r="Y130" s="293">
        <v>46508</v>
      </c>
      <c r="Z130" s="294">
        <v>5.8400000000000001E-2</v>
      </c>
      <c r="AA130" s="256">
        <f>('Encargos e Benefícios'!W129+'Gastos com Pessoal'!O130+'Gastos com Pessoal'!U130)*5.84%</f>
        <v>34.620421015756804</v>
      </c>
      <c r="AB130" s="256">
        <f>('Encargos e Benefícios'!X129+'Encargos e Benefícios'!Y129+'Encargos e Benefícios'!Z129+'Encargos e Benefícios'!AA129+'Encargos e Benefícios'!AB129+'Gastos com Pessoal'!P130+'Gastos com Pessoal'!V130)*5.84%</f>
        <v>20.427487645824002</v>
      </c>
      <c r="AC130" s="256">
        <f>('Encargos e Benefícios'!V129+'Gastos com Pessoal'!Q130+'Gastos com Pessoal'!W130)*5.84%</f>
        <v>7.3054845329356803</v>
      </c>
      <c r="AD130" s="256"/>
      <c r="AE130" s="293">
        <v>46874</v>
      </c>
      <c r="AF130" s="294">
        <v>5.8400000000000001E-2</v>
      </c>
      <c r="AG130" s="256">
        <f>('Encargos e Benefícios'!W129+'Gastos com Pessoal'!O130+'Gastos com Pessoal'!U130+'Gastos com Pessoal'!AA130)*5.84%</f>
        <v>36.642253603077002</v>
      </c>
      <c r="AH130" s="256">
        <f>('Encargos e Benefícios'!X129+'Encargos e Benefícios'!Y129+'Encargos e Benefícios'!Z129+'Encargos e Benefícios'!AA129+'Encargos e Benefícios'!AB129+'Gastos com Pessoal'!P130+'Gastos com Pessoal'!V130+'Gastos com Pessoal'!AB130)*5.84%</f>
        <v>21.620452924340121</v>
      </c>
      <c r="AI130" s="256">
        <f>('Encargos e Benefícios'!V129+'Gastos com Pessoal'!Q130+'Gastos com Pessoal'!W130+'Gastos com Pessoal'!AC130)*5.84%</f>
        <v>7.7321248296591243</v>
      </c>
      <c r="AJ130" s="257"/>
      <c r="AK130" s="296">
        <f>'Encargos e Benefícios'!D129</f>
        <v>2751.84</v>
      </c>
      <c r="AL130" s="296">
        <f>IF('Encargos e Benefícios'!C129=0,0,'Encargos e Benefícios'!U129/'Encargos e Benefícios'!C129)</f>
        <v>2198.8730400000004</v>
      </c>
      <c r="AM130" s="296">
        <f>IF('Encargos e Benefícios'!C129=0,0,'Encargos e Benefícios'!AC129/'Encargos e Benefícios'!C129)</f>
        <v>953.12000000000012</v>
      </c>
      <c r="AN130" s="297">
        <f>IF('Encargos e Benefícios'!C129=0,0,'Encargos e Benefícios'!AD129/'Encargos e Benefícios'!C129)</f>
        <v>5903.8330400000004</v>
      </c>
      <c r="AO130" s="188">
        <v>3277.91</v>
      </c>
      <c r="AP130" s="298">
        <v>2500</v>
      </c>
      <c r="AQ130" s="298">
        <v>4055.81</v>
      </c>
      <c r="AR130" s="299" t="s">
        <v>110</v>
      </c>
      <c r="AS130" s="188"/>
    </row>
    <row r="131" spans="1:45">
      <c r="A131" s="286">
        <v>125</v>
      </c>
      <c r="B131" s="81" t="str">
        <f>'Encargos e Benefícios'!B130</f>
        <v>Pedagogo</v>
      </c>
      <c r="C131" s="287">
        <f>'Encargos e Benefícios'!C130</f>
        <v>1</v>
      </c>
      <c r="D131" s="288">
        <v>30</v>
      </c>
      <c r="E131" s="300">
        <v>45658</v>
      </c>
      <c r="F131" s="301">
        <v>47058</v>
      </c>
      <c r="G131" s="293"/>
      <c r="H131" s="294"/>
      <c r="I131" s="256"/>
      <c r="J131" s="256"/>
      <c r="K131" s="256"/>
      <c r="L131" s="256"/>
      <c r="M131" s="293">
        <v>45778</v>
      </c>
      <c r="N131" s="294">
        <v>5.8400000000000001E-2</v>
      </c>
      <c r="O131" s="256">
        <f>'Encargos e Benefícios'!W130*5.84%</f>
        <v>30.905280000000001</v>
      </c>
      <c r="P131" s="256">
        <f>('Encargos e Benefícios'!X130+'Encargos e Benefícios'!Y130+'Encargos e Benefícios'!Z130+'Encargos e Benefícios'!AA130+'Encargos e Benefícios'!AB130)*5.84%</f>
        <v>18.235399999999998</v>
      </c>
      <c r="Q131" s="256">
        <f>'Encargos e Benefícios'!V130*5.84%</f>
        <v>6.521528</v>
      </c>
      <c r="R131" s="256"/>
      <c r="S131" s="293">
        <v>46143</v>
      </c>
      <c r="T131" s="294">
        <v>5.8400000000000001E-2</v>
      </c>
      <c r="U131" s="256">
        <f>('Encargos e Benefícios'!W130+'Gastos com Pessoal'!O131)*5.84%</f>
        <v>32.710148351999997</v>
      </c>
      <c r="V131" s="256">
        <f>('Encargos e Benefícios'!X130+'Encargos e Benefícios'!Y130+'Encargos e Benefícios'!Z130+'Encargos e Benefícios'!AA130+'Encargos e Benefícios'!AB130+'Gastos com Pessoal'!P131)*5.84%</f>
        <v>19.300347360000004</v>
      </c>
      <c r="W131" s="256">
        <f>('Encargos e Benefícios'!V130+'Gastos com Pessoal'!Q131)*5.84%</f>
        <v>6.9023852352000006</v>
      </c>
      <c r="X131" s="256"/>
      <c r="Y131" s="293">
        <v>46508</v>
      </c>
      <c r="Z131" s="294">
        <v>5.8400000000000001E-2</v>
      </c>
      <c r="AA131" s="256">
        <f>('Encargos e Benefícios'!W130+'Gastos com Pessoal'!O131+'Gastos com Pessoal'!U131)*5.84%</f>
        <v>34.620421015756804</v>
      </c>
      <c r="AB131" s="256">
        <f>('Encargos e Benefícios'!X130+'Encargos e Benefícios'!Y130+'Encargos e Benefícios'!Z130+'Encargos e Benefícios'!AA130+'Encargos e Benefícios'!AB130+'Gastos com Pessoal'!P131+'Gastos com Pessoal'!V131)*5.84%</f>
        <v>20.427487645824002</v>
      </c>
      <c r="AC131" s="256">
        <f>('Encargos e Benefícios'!V130+'Gastos com Pessoal'!Q131+'Gastos com Pessoal'!W131)*5.84%</f>
        <v>7.3054845329356803</v>
      </c>
      <c r="AD131" s="256"/>
      <c r="AE131" s="293">
        <v>46874</v>
      </c>
      <c r="AF131" s="294">
        <v>5.8400000000000001E-2</v>
      </c>
      <c r="AG131" s="256">
        <f>('Encargos e Benefícios'!W130+'Gastos com Pessoal'!O131+'Gastos com Pessoal'!U131+'Gastos com Pessoal'!AA131)*5.84%</f>
        <v>36.642253603077002</v>
      </c>
      <c r="AH131" s="256">
        <f>('Encargos e Benefícios'!X130+'Encargos e Benefícios'!Y130+'Encargos e Benefícios'!Z130+'Encargos e Benefícios'!AA130+'Encargos e Benefícios'!AB130+'Gastos com Pessoal'!P131+'Gastos com Pessoal'!V131+'Gastos com Pessoal'!AB131)*5.84%</f>
        <v>21.620452924340121</v>
      </c>
      <c r="AI131" s="256">
        <f>('Encargos e Benefícios'!V130+'Gastos com Pessoal'!Q131+'Gastos com Pessoal'!W131+'Gastos com Pessoal'!AC131)*5.84%</f>
        <v>7.7321248296591243</v>
      </c>
      <c r="AJ131" s="257"/>
      <c r="AK131" s="296">
        <f>'Encargos e Benefícios'!D130</f>
        <v>2751.84</v>
      </c>
      <c r="AL131" s="296">
        <f>IF('Encargos e Benefícios'!C130=0,0,'Encargos e Benefícios'!U130/'Encargos e Benefícios'!C130)</f>
        <v>2198.8730400000004</v>
      </c>
      <c r="AM131" s="296">
        <f>IF('Encargos e Benefícios'!C130=0,0,'Encargos e Benefícios'!AC130/'Encargos e Benefícios'!C130)</f>
        <v>953.12000000000012</v>
      </c>
      <c r="AN131" s="297">
        <f>IF('Encargos e Benefícios'!C130=0,0,'Encargos e Benefícios'!AD130/'Encargos e Benefícios'!C130)</f>
        <v>5903.8330400000004</v>
      </c>
      <c r="AO131" s="188">
        <v>2894.94</v>
      </c>
      <c r="AP131" s="298">
        <v>2489.87</v>
      </c>
      <c r="AQ131" s="298">
        <v>3300</v>
      </c>
      <c r="AR131" s="299" t="s">
        <v>110</v>
      </c>
      <c r="AS131" s="188"/>
    </row>
    <row r="132" spans="1:45">
      <c r="A132" s="286">
        <v>126</v>
      </c>
      <c r="B132" s="81" t="str">
        <f>'Encargos e Benefícios'!B131</f>
        <v>Psicologo</v>
      </c>
      <c r="C132" s="287">
        <f>'Encargos e Benefícios'!C131</f>
        <v>1</v>
      </c>
      <c r="D132" s="288">
        <v>30</v>
      </c>
      <c r="E132" s="300">
        <v>45658</v>
      </c>
      <c r="F132" s="301">
        <v>47058</v>
      </c>
      <c r="G132" s="293"/>
      <c r="H132" s="294"/>
      <c r="I132" s="256"/>
      <c r="J132" s="256"/>
      <c r="K132" s="256"/>
      <c r="L132" s="256"/>
      <c r="M132" s="293">
        <v>45778</v>
      </c>
      <c r="N132" s="294">
        <v>5.8400000000000001E-2</v>
      </c>
      <c r="O132" s="256">
        <f>'Encargos e Benefícios'!W131*5.84%</f>
        <v>30.905280000000001</v>
      </c>
      <c r="P132" s="256">
        <f>('Encargos e Benefícios'!X131+'Encargos e Benefícios'!Y131+'Encargos e Benefícios'!Z131+'Encargos e Benefícios'!AA131+'Encargos e Benefícios'!AB131)*5.84%</f>
        <v>18.235399999999998</v>
      </c>
      <c r="Q132" s="256">
        <f>'Encargos e Benefícios'!V131*5.84%</f>
        <v>6.521528</v>
      </c>
      <c r="R132" s="256"/>
      <c r="S132" s="293">
        <v>46143</v>
      </c>
      <c r="T132" s="294">
        <v>5.8400000000000001E-2</v>
      </c>
      <c r="U132" s="256">
        <f>('Encargos e Benefícios'!W131+'Gastos com Pessoal'!O132)*5.84%</f>
        <v>32.710148351999997</v>
      </c>
      <c r="V132" s="256">
        <f>('Encargos e Benefícios'!X131+'Encargos e Benefícios'!Y131+'Encargos e Benefícios'!Z131+'Encargos e Benefícios'!AA131+'Encargos e Benefícios'!AB131+'Gastos com Pessoal'!P132)*5.84%</f>
        <v>19.300347360000004</v>
      </c>
      <c r="W132" s="256">
        <f>('Encargos e Benefícios'!V131+'Gastos com Pessoal'!Q132)*5.84%</f>
        <v>6.9023852352000006</v>
      </c>
      <c r="X132" s="256"/>
      <c r="Y132" s="293">
        <v>46508</v>
      </c>
      <c r="Z132" s="294">
        <v>5.8400000000000001E-2</v>
      </c>
      <c r="AA132" s="256">
        <f>('Encargos e Benefícios'!W131+'Gastos com Pessoal'!O132+'Gastos com Pessoal'!U132)*5.84%</f>
        <v>34.620421015756804</v>
      </c>
      <c r="AB132" s="256">
        <f>('Encargos e Benefícios'!X131+'Encargos e Benefícios'!Y131+'Encargos e Benefícios'!Z131+'Encargos e Benefícios'!AA131+'Encargos e Benefícios'!AB131+'Gastos com Pessoal'!P132+'Gastos com Pessoal'!V132)*5.84%</f>
        <v>20.427487645824002</v>
      </c>
      <c r="AC132" s="256">
        <f>('Encargos e Benefícios'!V131+'Gastos com Pessoal'!Q132+'Gastos com Pessoal'!W132)*5.84%</f>
        <v>7.3054845329356803</v>
      </c>
      <c r="AD132" s="256"/>
      <c r="AE132" s="293">
        <v>46874</v>
      </c>
      <c r="AF132" s="294">
        <v>5.8400000000000001E-2</v>
      </c>
      <c r="AG132" s="256">
        <f>('Encargos e Benefícios'!W131+'Gastos com Pessoal'!O132+'Gastos com Pessoal'!U132+'Gastos com Pessoal'!AA132)*5.84%</f>
        <v>36.642253603077002</v>
      </c>
      <c r="AH132" s="256">
        <f>('Encargos e Benefícios'!X131+'Encargos e Benefícios'!Y131+'Encargos e Benefícios'!Z131+'Encargos e Benefícios'!AA131+'Encargos e Benefícios'!AB131+'Gastos com Pessoal'!P132+'Gastos com Pessoal'!V132+'Gastos com Pessoal'!AB132)*5.84%</f>
        <v>21.620452924340121</v>
      </c>
      <c r="AI132" s="256">
        <f>('Encargos e Benefícios'!V131+'Gastos com Pessoal'!Q132+'Gastos com Pessoal'!W132+'Gastos com Pessoal'!AC132)*5.84%</f>
        <v>7.7321248296591243</v>
      </c>
      <c r="AJ132" s="257"/>
      <c r="AK132" s="296">
        <f>'Encargos e Benefícios'!D131</f>
        <v>2751.84</v>
      </c>
      <c r="AL132" s="296">
        <f>IF('Encargos e Benefícios'!C131=0,0,'Encargos e Benefícios'!U131/'Encargos e Benefícios'!C131)</f>
        <v>2198.8730400000004</v>
      </c>
      <c r="AM132" s="296">
        <f>IF('Encargos e Benefícios'!C131=0,0,'Encargos e Benefícios'!AC131/'Encargos e Benefícios'!C131)</f>
        <v>953.12000000000012</v>
      </c>
      <c r="AN132" s="297">
        <f>IF('Encargos e Benefícios'!C131=0,0,'Encargos e Benefícios'!AD131/'Encargos e Benefícios'!C131)</f>
        <v>5903.8330400000004</v>
      </c>
      <c r="AO132" s="188">
        <v>3953.69</v>
      </c>
      <c r="AP132" s="298">
        <v>2500</v>
      </c>
      <c r="AQ132" s="298">
        <v>5407.37</v>
      </c>
      <c r="AR132" s="299" t="s">
        <v>110</v>
      </c>
      <c r="AS132" s="188"/>
    </row>
    <row r="133" spans="1:45">
      <c r="A133" s="286">
        <v>127</v>
      </c>
      <c r="B133" s="81" t="str">
        <f>'Encargos e Benefícios'!B132</f>
        <v>Terapeuta Ocupacional</v>
      </c>
      <c r="C133" s="287">
        <f>'Encargos e Benefícios'!C132</f>
        <v>1</v>
      </c>
      <c r="D133" s="288">
        <v>30</v>
      </c>
      <c r="E133" s="300">
        <v>45658</v>
      </c>
      <c r="F133" s="301">
        <v>47058</v>
      </c>
      <c r="G133" s="293"/>
      <c r="H133" s="294"/>
      <c r="I133" s="256"/>
      <c r="J133" s="256"/>
      <c r="K133" s="256"/>
      <c r="L133" s="256"/>
      <c r="M133" s="293">
        <v>45778</v>
      </c>
      <c r="N133" s="294">
        <v>5.8400000000000001E-2</v>
      </c>
      <c r="O133" s="256">
        <f>'Encargos e Benefícios'!W132*5.84%</f>
        <v>30.905280000000001</v>
      </c>
      <c r="P133" s="256">
        <f>('Encargos e Benefícios'!X132+'Encargos e Benefícios'!Y132+'Encargos e Benefícios'!Z132+'Encargos e Benefícios'!AA132+'Encargos e Benefícios'!AB132)*5.84%</f>
        <v>18.235399999999998</v>
      </c>
      <c r="Q133" s="256">
        <f>'Encargos e Benefícios'!V132*5.84%</f>
        <v>6.521528</v>
      </c>
      <c r="R133" s="256"/>
      <c r="S133" s="293">
        <v>46143</v>
      </c>
      <c r="T133" s="294">
        <v>5.8400000000000001E-2</v>
      </c>
      <c r="U133" s="256">
        <f>('Encargos e Benefícios'!W132+'Gastos com Pessoal'!O133)*5.84%</f>
        <v>32.710148351999997</v>
      </c>
      <c r="V133" s="256">
        <f>('Encargos e Benefícios'!X132+'Encargos e Benefícios'!Y132+'Encargos e Benefícios'!Z132+'Encargos e Benefícios'!AA132+'Encargos e Benefícios'!AB132+'Gastos com Pessoal'!P133)*5.84%</f>
        <v>19.300347360000004</v>
      </c>
      <c r="W133" s="256">
        <f>('Encargos e Benefícios'!V132+'Gastos com Pessoal'!Q133)*5.84%</f>
        <v>6.9023852352000006</v>
      </c>
      <c r="X133" s="256"/>
      <c r="Y133" s="293">
        <v>46508</v>
      </c>
      <c r="Z133" s="294">
        <v>5.8400000000000001E-2</v>
      </c>
      <c r="AA133" s="256">
        <f>('Encargos e Benefícios'!W132+'Gastos com Pessoal'!O133+'Gastos com Pessoal'!U133)*5.84%</f>
        <v>34.620421015756804</v>
      </c>
      <c r="AB133" s="256">
        <f>('Encargos e Benefícios'!X132+'Encargos e Benefícios'!Y132+'Encargos e Benefícios'!Z132+'Encargos e Benefícios'!AA132+'Encargos e Benefícios'!AB132+'Gastos com Pessoal'!P133+'Gastos com Pessoal'!V133)*5.84%</f>
        <v>20.427487645824002</v>
      </c>
      <c r="AC133" s="256">
        <f>('Encargos e Benefícios'!V132+'Gastos com Pessoal'!Q133+'Gastos com Pessoal'!W133)*5.84%</f>
        <v>7.3054845329356803</v>
      </c>
      <c r="AD133" s="256"/>
      <c r="AE133" s="293">
        <v>46874</v>
      </c>
      <c r="AF133" s="294">
        <v>5.8400000000000001E-2</v>
      </c>
      <c r="AG133" s="256">
        <f>('Encargos e Benefícios'!W132+'Gastos com Pessoal'!O133+'Gastos com Pessoal'!U133+'Gastos com Pessoal'!AA133)*5.84%</f>
        <v>36.642253603077002</v>
      </c>
      <c r="AH133" s="256">
        <f>('Encargos e Benefícios'!X132+'Encargos e Benefícios'!Y132+'Encargos e Benefícios'!Z132+'Encargos e Benefícios'!AA132+'Encargos e Benefícios'!AB132+'Gastos com Pessoal'!P133+'Gastos com Pessoal'!V133+'Gastos com Pessoal'!AB133)*5.84%</f>
        <v>21.620452924340121</v>
      </c>
      <c r="AI133" s="256">
        <f>('Encargos e Benefícios'!V132+'Gastos com Pessoal'!Q133+'Gastos com Pessoal'!W133+'Gastos com Pessoal'!AC133)*5.84%</f>
        <v>7.7321248296591243</v>
      </c>
      <c r="AJ133" s="257"/>
      <c r="AK133" s="296">
        <f>'Encargos e Benefícios'!D132</f>
        <v>2751.84</v>
      </c>
      <c r="AL133" s="296">
        <f>IF('Encargos e Benefícios'!C132=0,0,'Encargos e Benefícios'!U132/'Encargos e Benefícios'!C132)</f>
        <v>2198.8730400000004</v>
      </c>
      <c r="AM133" s="296">
        <f>IF('Encargos e Benefícios'!C132=0,0,'Encargos e Benefícios'!AC132/'Encargos e Benefícios'!C132)</f>
        <v>953.12000000000012</v>
      </c>
      <c r="AN133" s="297">
        <f>IF('Encargos e Benefícios'!C132=0,0,'Encargos e Benefícios'!AD132/'Encargos e Benefícios'!C132)</f>
        <v>5903.8330400000004</v>
      </c>
      <c r="AO133" s="188">
        <v>2422.3000000000002</v>
      </c>
      <c r="AP133" s="298">
        <v>1932.61</v>
      </c>
      <c r="AQ133" s="298">
        <v>2911.99</v>
      </c>
      <c r="AR133" s="299" t="s">
        <v>110</v>
      </c>
      <c r="AS133" s="188"/>
    </row>
    <row r="134" spans="1:45">
      <c r="A134" s="286">
        <v>128</v>
      </c>
      <c r="B134" s="81" t="str">
        <f>'Encargos e Benefícios'!B133</f>
        <v>Administrativo</v>
      </c>
      <c r="C134" s="287">
        <f>'Encargos e Benefícios'!C133</f>
        <v>1</v>
      </c>
      <c r="D134" s="288">
        <v>40</v>
      </c>
      <c r="E134" s="300">
        <v>45658</v>
      </c>
      <c r="F134" s="301">
        <v>47058</v>
      </c>
      <c r="G134" s="293"/>
      <c r="H134" s="294"/>
      <c r="I134" s="256"/>
      <c r="J134" s="256"/>
      <c r="K134" s="256"/>
      <c r="L134" s="256"/>
      <c r="M134" s="293">
        <v>45778</v>
      </c>
      <c r="N134" s="294">
        <v>5.8400000000000001E-2</v>
      </c>
      <c r="O134" s="256">
        <f>'Encargos e Benefícios'!W133*5.84%</f>
        <v>30.905280000000001</v>
      </c>
      <c r="P134" s="256">
        <f>('Encargos e Benefícios'!X133+'Encargos e Benefícios'!Y133+'Encargos e Benefícios'!Z133+'Encargos e Benefícios'!AA133+'Encargos e Benefícios'!AB133)*5.84%</f>
        <v>18.235399999999998</v>
      </c>
      <c r="Q134" s="256">
        <f>'Encargos e Benefícios'!V133*5.84%</f>
        <v>6.521528</v>
      </c>
      <c r="R134" s="256"/>
      <c r="S134" s="293">
        <v>46143</v>
      </c>
      <c r="T134" s="294">
        <v>5.8400000000000001E-2</v>
      </c>
      <c r="U134" s="256">
        <f>('Encargos e Benefícios'!W133+'Gastos com Pessoal'!O134)*5.84%</f>
        <v>32.710148351999997</v>
      </c>
      <c r="V134" s="256">
        <f>('Encargos e Benefícios'!X133+'Encargos e Benefícios'!Y133+'Encargos e Benefícios'!Z133+'Encargos e Benefícios'!AA133+'Encargos e Benefícios'!AB133+'Gastos com Pessoal'!P134)*5.84%</f>
        <v>19.300347360000004</v>
      </c>
      <c r="W134" s="256">
        <f>('Encargos e Benefícios'!V133+'Gastos com Pessoal'!Q134)*5.84%</f>
        <v>6.9023852352000006</v>
      </c>
      <c r="X134" s="256"/>
      <c r="Y134" s="293">
        <v>46508</v>
      </c>
      <c r="Z134" s="294">
        <v>5.8400000000000001E-2</v>
      </c>
      <c r="AA134" s="256">
        <f>('Encargos e Benefícios'!W133+'Gastos com Pessoal'!O134+'Gastos com Pessoal'!U134)*5.84%</f>
        <v>34.620421015756804</v>
      </c>
      <c r="AB134" s="256">
        <f>('Encargos e Benefícios'!X133+'Encargos e Benefícios'!Y133+'Encargos e Benefícios'!Z133+'Encargos e Benefícios'!AA133+'Encargos e Benefícios'!AB133+'Gastos com Pessoal'!P134+'Gastos com Pessoal'!V134)*5.84%</f>
        <v>20.427487645824002</v>
      </c>
      <c r="AC134" s="256">
        <f>('Encargos e Benefícios'!V133+'Gastos com Pessoal'!Q134+'Gastos com Pessoal'!W134)*5.84%</f>
        <v>7.3054845329356803</v>
      </c>
      <c r="AD134" s="256"/>
      <c r="AE134" s="293">
        <v>46874</v>
      </c>
      <c r="AF134" s="294">
        <v>5.8400000000000001E-2</v>
      </c>
      <c r="AG134" s="256">
        <f>('Encargos e Benefícios'!W133+'Gastos com Pessoal'!O134+'Gastos com Pessoal'!U134+'Gastos com Pessoal'!AA134)*5.84%</f>
        <v>36.642253603077002</v>
      </c>
      <c r="AH134" s="256">
        <f>('Encargos e Benefícios'!X133+'Encargos e Benefícios'!Y133+'Encargos e Benefícios'!Z133+'Encargos e Benefícios'!AA133+'Encargos e Benefícios'!AB133+'Gastos com Pessoal'!P134+'Gastos com Pessoal'!V134+'Gastos com Pessoal'!AB134)*5.84%</f>
        <v>21.620452924340121</v>
      </c>
      <c r="AI134" s="256">
        <f>('Encargos e Benefícios'!V133+'Gastos com Pessoal'!Q134+'Gastos com Pessoal'!W134+'Gastos com Pessoal'!AC134)*5.84%</f>
        <v>7.7321248296591243</v>
      </c>
      <c r="AJ134" s="257"/>
      <c r="AK134" s="296">
        <f>'Encargos e Benefícios'!D133</f>
        <v>1852.2</v>
      </c>
      <c r="AL134" s="296">
        <f>IF('Encargos e Benefícios'!C133=0,0,'Encargos e Benefícios'!U133/'Encargos e Benefícios'!C133)</f>
        <v>1480.0106999999996</v>
      </c>
      <c r="AM134" s="296">
        <f>IF('Encargos e Benefícios'!C133=0,0,'Encargos e Benefícios'!AC133/'Encargos e Benefícios'!C133)</f>
        <v>953.12000000000012</v>
      </c>
      <c r="AN134" s="297">
        <f>IF('Encargos e Benefícios'!C133=0,0,'Encargos e Benefícios'!AD133/'Encargos e Benefícios'!C133)</f>
        <v>4285.3306999999995</v>
      </c>
      <c r="AO134" s="188">
        <v>2097.83</v>
      </c>
      <c r="AP134" s="298">
        <v>1500</v>
      </c>
      <c r="AQ134" s="298">
        <v>2695.66</v>
      </c>
      <c r="AR134" s="299" t="s">
        <v>110</v>
      </c>
      <c r="AS134" s="188"/>
    </row>
    <row r="135" spans="1:45">
      <c r="A135" s="286">
        <v>129</v>
      </c>
      <c r="B135" s="81" t="str">
        <f>'Encargos e Benefícios'!B134</f>
        <v>Auxiliar Educacional</v>
      </c>
      <c r="C135" s="287">
        <f>'Encargos e Benefícios'!C134</f>
        <v>1</v>
      </c>
      <c r="D135" s="288">
        <v>30</v>
      </c>
      <c r="E135" s="300">
        <v>45658</v>
      </c>
      <c r="F135" s="301">
        <v>47058</v>
      </c>
      <c r="G135" s="293"/>
      <c r="H135" s="294"/>
      <c r="I135" s="256"/>
      <c r="J135" s="256"/>
      <c r="K135" s="256"/>
      <c r="L135" s="256"/>
      <c r="M135" s="293">
        <v>45778</v>
      </c>
      <c r="N135" s="294">
        <v>5.8400000000000001E-2</v>
      </c>
      <c r="O135" s="256">
        <f>'Encargos e Benefícios'!W134*5.84%</f>
        <v>30.905280000000001</v>
      </c>
      <c r="P135" s="256">
        <f>('Encargos e Benefícios'!X134+'Encargos e Benefícios'!Y134+'Encargos e Benefícios'!Z134+'Encargos e Benefícios'!AA134+'Encargos e Benefícios'!AB134)*5.84%</f>
        <v>18.235399999999998</v>
      </c>
      <c r="Q135" s="256">
        <f>'Encargos e Benefícios'!V134*5.84%</f>
        <v>6.521528</v>
      </c>
      <c r="R135" s="256"/>
      <c r="S135" s="293">
        <v>46143</v>
      </c>
      <c r="T135" s="294">
        <v>5.8400000000000001E-2</v>
      </c>
      <c r="U135" s="256">
        <f>('Encargos e Benefícios'!W134+'Gastos com Pessoal'!O135)*5.84%</f>
        <v>32.710148351999997</v>
      </c>
      <c r="V135" s="256">
        <f>('Encargos e Benefícios'!X134+'Encargos e Benefícios'!Y134+'Encargos e Benefícios'!Z134+'Encargos e Benefícios'!AA134+'Encargos e Benefícios'!AB134+'Gastos com Pessoal'!P135)*5.84%</f>
        <v>19.300347360000004</v>
      </c>
      <c r="W135" s="256">
        <f>('Encargos e Benefícios'!V134+'Gastos com Pessoal'!Q135)*5.84%</f>
        <v>6.9023852352000006</v>
      </c>
      <c r="X135" s="256"/>
      <c r="Y135" s="293">
        <v>46508</v>
      </c>
      <c r="Z135" s="294">
        <v>5.8400000000000001E-2</v>
      </c>
      <c r="AA135" s="256">
        <f>('Encargos e Benefícios'!W134+'Gastos com Pessoal'!O135+'Gastos com Pessoal'!U135)*5.84%</f>
        <v>34.620421015756804</v>
      </c>
      <c r="AB135" s="256">
        <f>('Encargos e Benefícios'!X134+'Encargos e Benefícios'!Y134+'Encargos e Benefícios'!Z134+'Encargos e Benefícios'!AA134+'Encargos e Benefícios'!AB134+'Gastos com Pessoal'!P135+'Gastos com Pessoal'!V135)*5.84%</f>
        <v>20.427487645824002</v>
      </c>
      <c r="AC135" s="256">
        <f>('Encargos e Benefícios'!V134+'Gastos com Pessoal'!Q135+'Gastos com Pessoal'!W135)*5.84%</f>
        <v>7.3054845329356803</v>
      </c>
      <c r="AD135" s="256"/>
      <c r="AE135" s="293">
        <v>46874</v>
      </c>
      <c r="AF135" s="294">
        <v>5.8400000000000001E-2</v>
      </c>
      <c r="AG135" s="256">
        <f>('Encargos e Benefícios'!W134+'Gastos com Pessoal'!O135+'Gastos com Pessoal'!U135+'Gastos com Pessoal'!AA135)*5.84%</f>
        <v>36.642253603077002</v>
      </c>
      <c r="AH135" s="256">
        <f>('Encargos e Benefícios'!X134+'Encargos e Benefícios'!Y134+'Encargos e Benefícios'!Z134+'Encargos e Benefícios'!AA134+'Encargos e Benefícios'!AB134+'Gastos com Pessoal'!P135+'Gastos com Pessoal'!V135+'Gastos com Pessoal'!AB135)*5.84%</f>
        <v>21.620452924340121</v>
      </c>
      <c r="AI135" s="256">
        <f>('Encargos e Benefícios'!V134+'Gastos com Pessoal'!Q135+'Gastos com Pessoal'!W135+'Gastos com Pessoal'!AC135)*5.84%</f>
        <v>7.7321248296591243</v>
      </c>
      <c r="AJ135" s="257"/>
      <c r="AK135" s="296">
        <f>'Encargos e Benefícios'!D134</f>
        <v>1737.89</v>
      </c>
      <c r="AL135" s="296">
        <f>IF('Encargos e Benefícios'!C134=0,0,'Encargos e Benefícios'!U134/'Encargos e Benefícios'!C134)</f>
        <v>1388.6706594444449</v>
      </c>
      <c r="AM135" s="296">
        <f>IF('Encargos e Benefícios'!C134=0,0,'Encargos e Benefícios'!AC134/'Encargos e Benefícios'!C134)</f>
        <v>953.12000000000012</v>
      </c>
      <c r="AN135" s="297">
        <f>IF('Encargos e Benefícios'!C134=0,0,'Encargos e Benefícios'!AD134/'Encargos e Benefícios'!C134)</f>
        <v>4079.6806594444452</v>
      </c>
      <c r="AO135" s="188">
        <v>1750.23</v>
      </c>
      <c r="AP135" s="298">
        <v>1500</v>
      </c>
      <c r="AQ135" s="298">
        <v>2000.45</v>
      </c>
      <c r="AR135" s="299" t="s">
        <v>110</v>
      </c>
      <c r="AS135" s="188"/>
    </row>
    <row r="136" spans="1:45">
      <c r="A136" s="286">
        <v>130</v>
      </c>
      <c r="B136" s="81" t="str">
        <f>'Encargos e Benefícios'!B135</f>
        <v>Auxiliar de Serviços Gerais</v>
      </c>
      <c r="C136" s="287">
        <f>'Encargos e Benefícios'!C135</f>
        <v>1</v>
      </c>
      <c r="D136" s="288">
        <v>30</v>
      </c>
      <c r="E136" s="300">
        <v>45658</v>
      </c>
      <c r="F136" s="301">
        <v>47058</v>
      </c>
      <c r="G136" s="293"/>
      <c r="H136" s="294"/>
      <c r="I136" s="256"/>
      <c r="J136" s="256"/>
      <c r="K136" s="256"/>
      <c r="L136" s="256"/>
      <c r="M136" s="293">
        <v>45778</v>
      </c>
      <c r="N136" s="294">
        <v>5.8400000000000001E-2</v>
      </c>
      <c r="O136" s="256">
        <f>'Encargos e Benefícios'!W135*5.84%</f>
        <v>30.905280000000001</v>
      </c>
      <c r="P136" s="256">
        <f>('Encargos e Benefícios'!X135+'Encargos e Benefícios'!Y135+'Encargos e Benefícios'!Z135+'Encargos e Benefícios'!AA135+'Encargos e Benefícios'!AB135)*5.84%</f>
        <v>18.235399999999998</v>
      </c>
      <c r="Q136" s="256">
        <f>'Encargos e Benefícios'!V135*5.84%</f>
        <v>6.521528</v>
      </c>
      <c r="R136" s="256"/>
      <c r="S136" s="293">
        <v>46143</v>
      </c>
      <c r="T136" s="294">
        <v>5.8400000000000001E-2</v>
      </c>
      <c r="U136" s="256">
        <f>('Encargos e Benefícios'!W135+'Gastos com Pessoal'!O136)*5.84%</f>
        <v>32.710148351999997</v>
      </c>
      <c r="V136" s="256">
        <f>('Encargos e Benefícios'!X135+'Encargos e Benefícios'!Y135+'Encargos e Benefícios'!Z135+'Encargos e Benefícios'!AA135+'Encargos e Benefícios'!AB135+'Gastos com Pessoal'!P136)*5.84%</f>
        <v>19.300347360000004</v>
      </c>
      <c r="W136" s="256">
        <f>('Encargos e Benefícios'!V135+'Gastos com Pessoal'!Q136)*5.84%</f>
        <v>6.9023852352000006</v>
      </c>
      <c r="X136" s="256"/>
      <c r="Y136" s="293">
        <v>46508</v>
      </c>
      <c r="Z136" s="294">
        <v>5.8400000000000001E-2</v>
      </c>
      <c r="AA136" s="256">
        <f>('Encargos e Benefícios'!W135+'Gastos com Pessoal'!O136+'Gastos com Pessoal'!U136)*5.84%</f>
        <v>34.620421015756804</v>
      </c>
      <c r="AB136" s="256">
        <f>('Encargos e Benefícios'!X135+'Encargos e Benefícios'!Y135+'Encargos e Benefícios'!Z135+'Encargos e Benefícios'!AA135+'Encargos e Benefícios'!AB135+'Gastos com Pessoal'!P136+'Gastos com Pessoal'!V136)*5.84%</f>
        <v>20.427487645824002</v>
      </c>
      <c r="AC136" s="256">
        <f>('Encargos e Benefícios'!V135+'Gastos com Pessoal'!Q136+'Gastos com Pessoal'!W136)*5.84%</f>
        <v>7.3054845329356803</v>
      </c>
      <c r="AD136" s="256"/>
      <c r="AE136" s="293">
        <v>46874</v>
      </c>
      <c r="AF136" s="294">
        <v>5.8400000000000001E-2</v>
      </c>
      <c r="AG136" s="256">
        <f>('Encargos e Benefícios'!W135+'Gastos com Pessoal'!O136+'Gastos com Pessoal'!U136+'Gastos com Pessoal'!AA136)*5.84%</f>
        <v>36.642253603077002</v>
      </c>
      <c r="AH136" s="256">
        <f>('Encargos e Benefícios'!X135+'Encargos e Benefícios'!Y135+'Encargos e Benefícios'!Z135+'Encargos e Benefícios'!AA135+'Encargos e Benefícios'!AB135+'Gastos com Pessoal'!P136+'Gastos com Pessoal'!V136+'Gastos com Pessoal'!AB136)*5.84%</f>
        <v>21.620452924340121</v>
      </c>
      <c r="AI136" s="256">
        <f>('Encargos e Benefícios'!V135+'Gastos com Pessoal'!Q136+'Gastos com Pessoal'!W136+'Gastos com Pessoal'!AC136)*5.84%</f>
        <v>7.7321248296591243</v>
      </c>
      <c r="AJ136" s="257"/>
      <c r="AK136" s="296">
        <f>'Encargos e Benefícios'!D135</f>
        <v>1465.88</v>
      </c>
      <c r="AL136" s="296">
        <f>IF('Encargos e Benefícios'!C135=0,0,'Encargos e Benefícios'!U135/'Encargos e Benefícios'!C135)</f>
        <v>1171.3195577777778</v>
      </c>
      <c r="AM136" s="296">
        <f>IF('Encargos e Benefícios'!C135=0,0,'Encargos e Benefícios'!AC135/'Encargos e Benefícios'!C135)</f>
        <v>953.12000000000012</v>
      </c>
      <c r="AN136" s="297">
        <f>IF('Encargos e Benefícios'!C135=0,0,'Encargos e Benefícios'!AD135/'Encargos e Benefícios'!C135)</f>
        <v>3590.3195577777778</v>
      </c>
      <c r="AO136" s="188">
        <v>1437.37</v>
      </c>
      <c r="AP136" s="298">
        <v>1302</v>
      </c>
      <c r="AQ136" s="298">
        <v>1572.74</v>
      </c>
      <c r="AR136" s="299" t="s">
        <v>110</v>
      </c>
      <c r="AS136" s="188"/>
    </row>
    <row r="137" spans="1:45">
      <c r="A137" s="286">
        <v>131</v>
      </c>
      <c r="B137" s="81" t="str">
        <f>'Encargos e Benefícios'!B136</f>
        <v>Motorista</v>
      </c>
      <c r="C137" s="287">
        <f>'Encargos e Benefícios'!C136</f>
        <v>1</v>
      </c>
      <c r="D137" s="288">
        <v>40</v>
      </c>
      <c r="E137" s="300">
        <v>45658</v>
      </c>
      <c r="F137" s="301">
        <v>47058</v>
      </c>
      <c r="G137" s="293"/>
      <c r="H137" s="294"/>
      <c r="I137" s="256"/>
      <c r="J137" s="256"/>
      <c r="K137" s="256"/>
      <c r="L137" s="256"/>
      <c r="M137" s="293">
        <v>45778</v>
      </c>
      <c r="N137" s="294">
        <v>5.8400000000000001E-2</v>
      </c>
      <c r="O137" s="256">
        <f>'Encargos e Benefícios'!W136*5.84%</f>
        <v>30.905280000000001</v>
      </c>
      <c r="P137" s="256">
        <f>('Encargos e Benefícios'!X136+'Encargos e Benefícios'!Y136+'Encargos e Benefícios'!Z136+'Encargos e Benefícios'!AA136+'Encargos e Benefícios'!AB136)*5.84%</f>
        <v>18.235399999999998</v>
      </c>
      <c r="Q137" s="256">
        <f>'Encargos e Benefícios'!V136*5.84%</f>
        <v>6.521528</v>
      </c>
      <c r="R137" s="256"/>
      <c r="S137" s="293">
        <v>46143</v>
      </c>
      <c r="T137" s="294">
        <v>5.8400000000000001E-2</v>
      </c>
      <c r="U137" s="256">
        <f>('Encargos e Benefícios'!W136+'Gastos com Pessoal'!O137)*5.84%</f>
        <v>32.710148351999997</v>
      </c>
      <c r="V137" s="256">
        <f>('Encargos e Benefícios'!X136+'Encargos e Benefícios'!Y136+'Encargos e Benefícios'!Z136+'Encargos e Benefícios'!AA136+'Encargos e Benefícios'!AB136+'Gastos com Pessoal'!P137)*5.84%</f>
        <v>19.300347360000004</v>
      </c>
      <c r="W137" s="256">
        <f>('Encargos e Benefícios'!V136+'Gastos com Pessoal'!Q137)*5.84%</f>
        <v>6.9023852352000006</v>
      </c>
      <c r="X137" s="256"/>
      <c r="Y137" s="293">
        <v>46508</v>
      </c>
      <c r="Z137" s="294">
        <v>5.8400000000000001E-2</v>
      </c>
      <c r="AA137" s="256">
        <f>('Encargos e Benefícios'!W136+'Gastos com Pessoal'!O137+'Gastos com Pessoal'!U137)*5.84%</f>
        <v>34.620421015756804</v>
      </c>
      <c r="AB137" s="256">
        <f>('Encargos e Benefícios'!X136+'Encargos e Benefícios'!Y136+'Encargos e Benefícios'!Z136+'Encargos e Benefícios'!AA136+'Encargos e Benefícios'!AB136+'Gastos com Pessoal'!P137+'Gastos com Pessoal'!V137)*5.84%</f>
        <v>20.427487645824002</v>
      </c>
      <c r="AC137" s="256">
        <f>('Encargos e Benefícios'!V136+'Gastos com Pessoal'!Q137+'Gastos com Pessoal'!W137)*5.84%</f>
        <v>7.3054845329356803</v>
      </c>
      <c r="AD137" s="256"/>
      <c r="AE137" s="293">
        <v>46874</v>
      </c>
      <c r="AF137" s="294">
        <v>5.8400000000000001E-2</v>
      </c>
      <c r="AG137" s="256">
        <f>('Encargos e Benefícios'!W136+'Gastos com Pessoal'!O137+'Gastos com Pessoal'!U137+'Gastos com Pessoal'!AA137)*5.84%</f>
        <v>36.642253603077002</v>
      </c>
      <c r="AH137" s="256">
        <f>('Encargos e Benefícios'!X136+'Encargos e Benefícios'!Y136+'Encargos e Benefícios'!Z136+'Encargos e Benefícios'!AA136+'Encargos e Benefícios'!AB136+'Gastos com Pessoal'!P137+'Gastos com Pessoal'!V137+'Gastos com Pessoal'!AB137)*5.84%</f>
        <v>21.620452924340121</v>
      </c>
      <c r="AI137" s="256">
        <f>('Encargos e Benefícios'!V136+'Gastos com Pessoal'!Q137+'Gastos com Pessoal'!W137+'Gastos com Pessoal'!AC137)*5.84%</f>
        <v>7.7321248296591243</v>
      </c>
      <c r="AJ137" s="257"/>
      <c r="AK137" s="296">
        <f>'Encargos e Benefícios'!D136</f>
        <v>1537.21</v>
      </c>
      <c r="AL137" s="296">
        <f>IF('Encargos e Benefícios'!C136=0,0,'Encargos e Benefícios'!U136/'Encargos e Benefícios'!C136)</f>
        <v>1228.3161905555557</v>
      </c>
      <c r="AM137" s="296">
        <f>IF('Encargos e Benefícios'!C136=0,0,'Encargos e Benefícios'!AC136/'Encargos e Benefícios'!C136)</f>
        <v>953.12000000000012</v>
      </c>
      <c r="AN137" s="297">
        <f>IF('Encargos e Benefícios'!C136=0,0,'Encargos e Benefícios'!AD136/'Encargos e Benefícios'!C136)</f>
        <v>3718.6461905555561</v>
      </c>
      <c r="AO137" s="188">
        <v>2046.28</v>
      </c>
      <c r="AP137" s="298">
        <v>1212</v>
      </c>
      <c r="AQ137" s="298">
        <v>2880.55</v>
      </c>
      <c r="AR137" s="299" t="s">
        <v>110</v>
      </c>
      <c r="AS137" s="188"/>
    </row>
    <row r="138" spans="1:45">
      <c r="A138" s="286">
        <v>132</v>
      </c>
      <c r="B138" s="81" t="str">
        <f>'Encargos e Benefícios'!B137</f>
        <v>Socioeducador - DC</v>
      </c>
      <c r="C138" s="287">
        <f>'Encargos e Benefícios'!C137</f>
        <v>2</v>
      </c>
      <c r="D138" s="288" t="s">
        <v>496</v>
      </c>
      <c r="E138" s="300">
        <v>45658</v>
      </c>
      <c r="F138" s="301">
        <v>47058</v>
      </c>
      <c r="G138" s="293"/>
      <c r="H138" s="294"/>
      <c r="I138" s="256"/>
      <c r="J138" s="256"/>
      <c r="K138" s="256"/>
      <c r="L138" s="256"/>
      <c r="M138" s="293">
        <v>45778</v>
      </c>
      <c r="N138" s="294">
        <v>5.8400000000000001E-2</v>
      </c>
      <c r="O138" s="256">
        <f>'Encargos e Benefícios'!W137*5.84%</f>
        <v>61.810560000000002</v>
      </c>
      <c r="P138" s="256">
        <f>('Encargos e Benefícios'!X137+'Encargos e Benefícios'!Y137+'Encargos e Benefícios'!Z137+'Encargos e Benefícios'!AA137+'Encargos e Benefícios'!AB137)*5.84%</f>
        <v>36.470799999999997</v>
      </c>
      <c r="Q138" s="256">
        <f>'Encargos e Benefícios'!V137*5.84%</f>
        <v>8.8931520000000006</v>
      </c>
      <c r="R138" s="256"/>
      <c r="S138" s="293">
        <v>46143</v>
      </c>
      <c r="T138" s="294">
        <v>5.8400000000000001E-2</v>
      </c>
      <c r="U138" s="256">
        <f>('Encargos e Benefícios'!W137+'Gastos com Pessoal'!O138)*5.84%</f>
        <v>65.420296703999995</v>
      </c>
      <c r="V138" s="256">
        <f>('Encargos e Benefícios'!X137+'Encargos e Benefícios'!Y137+'Encargos e Benefícios'!Z137+'Encargos e Benefícios'!AA137+'Encargos e Benefícios'!AB137+'Gastos com Pessoal'!P138)*5.84%</f>
        <v>38.600694720000007</v>
      </c>
      <c r="W138" s="256">
        <f>('Encargos e Benefícios'!V137+'Gastos com Pessoal'!Q138)*5.84%</f>
        <v>9.4125120768000006</v>
      </c>
      <c r="X138" s="256"/>
      <c r="Y138" s="293">
        <v>46508</v>
      </c>
      <c r="Z138" s="294">
        <v>5.8400000000000001E-2</v>
      </c>
      <c r="AA138" s="256">
        <f>('Encargos e Benefícios'!W137+'Gastos com Pessoal'!O138+'Gastos com Pessoal'!U138)*5.84%</f>
        <v>69.240842031513608</v>
      </c>
      <c r="AB138" s="256">
        <f>('Encargos e Benefícios'!X137+'Encargos e Benefícios'!Y137+'Encargos e Benefícios'!Z137+'Encargos e Benefícios'!AA137+'Encargos e Benefícios'!AB137+'Gastos com Pessoal'!P138+'Gastos com Pessoal'!V138)*5.84%</f>
        <v>40.854975291648003</v>
      </c>
      <c r="AC138" s="256">
        <f>('Encargos e Benefícios'!V137+'Gastos com Pessoal'!Q138+'Gastos com Pessoal'!W138)*5.84%</f>
        <v>9.9622027820851216</v>
      </c>
      <c r="AD138" s="256"/>
      <c r="AE138" s="293">
        <v>46874</v>
      </c>
      <c r="AF138" s="294">
        <v>5.8400000000000001E-2</v>
      </c>
      <c r="AG138" s="256">
        <f>('Encargos e Benefícios'!W137+'Gastos com Pessoal'!O138+'Gastos com Pessoal'!U138+'Gastos com Pessoal'!AA138)*5.84%</f>
        <v>73.284507206154004</v>
      </c>
      <c r="AH138" s="256">
        <f>('Encargos e Benefícios'!X137+'Encargos e Benefícios'!Y137+'Encargos e Benefícios'!Z137+'Encargos e Benefícios'!AA137+'Encargos e Benefícios'!AB137+'Gastos com Pessoal'!P138+'Gastos com Pessoal'!V138+'Gastos com Pessoal'!AB138)*5.84%</f>
        <v>43.240905848680242</v>
      </c>
      <c r="AI138" s="256">
        <f>('Encargos e Benefícios'!V137+'Gastos com Pessoal'!Q138+'Gastos com Pessoal'!W138+'Gastos com Pessoal'!AC138)*5.84%</f>
        <v>10.543995424558892</v>
      </c>
      <c r="AJ138" s="257"/>
      <c r="AK138" s="296">
        <f>'Encargos e Benefícios'!D137</f>
        <v>2010.96</v>
      </c>
      <c r="AL138" s="296">
        <f>IF('Encargos e Benefícios'!C137=0,0,'Encargos e Benefícios'!U137/'Encargos e Benefícios'!C137)</f>
        <v>2942.4053904000002</v>
      </c>
      <c r="AM138" s="296">
        <f>IF('Encargos e Benefícios'!C137=0,0,'Encargos e Benefícios'!AC137/'Encargos e Benefícios'!C137)</f>
        <v>917.59000000000015</v>
      </c>
      <c r="AN138" s="297">
        <f>IF('Encargos e Benefícios'!C137=0,0,'Encargos e Benefícios'!AD137/'Encargos e Benefícios'!C137)</f>
        <v>5870.9553904000004</v>
      </c>
      <c r="AO138" s="188">
        <v>2752.21</v>
      </c>
      <c r="AP138" s="298">
        <v>1764.5</v>
      </c>
      <c r="AQ138" s="298">
        <v>3739.92</v>
      </c>
      <c r="AR138" s="299" t="s">
        <v>110</v>
      </c>
      <c r="AS138" s="188"/>
    </row>
    <row r="139" spans="1:45">
      <c r="A139" s="286">
        <v>133</v>
      </c>
      <c r="B139" s="81" t="str">
        <f>'Encargos e Benefícios'!B138</f>
        <v>Socioeducador - D</v>
      </c>
      <c r="C139" s="287">
        <f>'Encargos e Benefícios'!C138</f>
        <v>12</v>
      </c>
      <c r="D139" s="288" t="s">
        <v>496</v>
      </c>
      <c r="E139" s="300">
        <v>45658</v>
      </c>
      <c r="F139" s="301">
        <v>47058</v>
      </c>
      <c r="G139" s="293"/>
      <c r="H139" s="294"/>
      <c r="I139" s="256"/>
      <c r="J139" s="256"/>
      <c r="K139" s="256"/>
      <c r="L139" s="256"/>
      <c r="M139" s="293">
        <v>45778</v>
      </c>
      <c r="N139" s="294">
        <v>5.8400000000000001E-2</v>
      </c>
      <c r="O139" s="256">
        <f>'Encargos e Benefícios'!W138*5.84%</f>
        <v>370.86336000000006</v>
      </c>
      <c r="P139" s="256">
        <f>('Encargos e Benefícios'!X138+'Encargos e Benefícios'!Y138+'Encargos e Benefícios'!Z138+'Encargos e Benefícios'!AA138+'Encargos e Benefícios'!AB138)*5.84%</f>
        <v>218.82480000000001</v>
      </c>
      <c r="Q139" s="256">
        <f>'Encargos e Benefícios'!V138*5.84%</f>
        <v>53.358912000000004</v>
      </c>
      <c r="R139" s="256"/>
      <c r="S139" s="293">
        <v>46143</v>
      </c>
      <c r="T139" s="294">
        <v>5.8400000000000001E-2</v>
      </c>
      <c r="U139" s="256">
        <f>('Encargos e Benefícios'!W138+'Gastos com Pessoal'!O139)*5.84%</f>
        <v>392.52178022400005</v>
      </c>
      <c r="V139" s="256">
        <f>('Encargos e Benefícios'!X138+'Encargos e Benefícios'!Y138+'Encargos e Benefícios'!Z138+'Encargos e Benefícios'!AA138+'Encargos e Benefícios'!AB138+'Gastos com Pessoal'!P139)*5.84%</f>
        <v>231.60416831999999</v>
      </c>
      <c r="W139" s="256">
        <f>('Encargos e Benefícios'!V138+'Gastos com Pessoal'!Q139)*5.84%</f>
        <v>56.475072460800007</v>
      </c>
      <c r="X139" s="256"/>
      <c r="Y139" s="293">
        <v>46508</v>
      </c>
      <c r="Z139" s="294">
        <v>5.8400000000000001E-2</v>
      </c>
      <c r="AA139" s="256">
        <f>('Encargos e Benefícios'!W138+'Gastos com Pessoal'!O139+'Gastos com Pessoal'!U139)*5.84%</f>
        <v>415.44505218908165</v>
      </c>
      <c r="AB139" s="256">
        <f>('Encargos e Benefícios'!X138+'Encargos e Benefícios'!Y138+'Encargos e Benefícios'!Z138+'Encargos e Benefícios'!AA138+'Encargos e Benefícios'!AB138+'Gastos com Pessoal'!P139+'Gastos com Pessoal'!V139)*5.84%</f>
        <v>245.12985174988796</v>
      </c>
      <c r="AC139" s="256">
        <f>('Encargos e Benefícios'!V138+'Gastos com Pessoal'!Q139+'Gastos com Pessoal'!W139)*5.84%</f>
        <v>59.773216692510722</v>
      </c>
      <c r="AD139" s="256"/>
      <c r="AE139" s="293">
        <v>46874</v>
      </c>
      <c r="AF139" s="294">
        <v>5.8400000000000001E-2</v>
      </c>
      <c r="AG139" s="256">
        <f>('Encargos e Benefícios'!W138+'Gastos com Pessoal'!O139+'Gastos com Pessoal'!U139+'Gastos com Pessoal'!AA139)*5.84%</f>
        <v>439.70704323692399</v>
      </c>
      <c r="AH139" s="256">
        <f>('Encargos e Benefícios'!X138+'Encargos e Benefícios'!Y138+'Encargos e Benefícios'!Z138+'Encargos e Benefícios'!AA138+'Encargos e Benefícios'!AB138+'Gastos com Pessoal'!P139+'Gastos com Pessoal'!V139+'Gastos com Pessoal'!AB139)*5.84%</f>
        <v>259.44543509208142</v>
      </c>
      <c r="AI139" s="256">
        <f>('Encargos e Benefícios'!V138+'Gastos com Pessoal'!Q139+'Gastos com Pessoal'!W139+'Gastos com Pessoal'!AC139)*5.84%</f>
        <v>63.263972547353355</v>
      </c>
      <c r="AJ139" s="257"/>
      <c r="AK139" s="296">
        <f>'Encargos e Benefícios'!D138</f>
        <v>2010.96</v>
      </c>
      <c r="AL139" s="296">
        <f>IF('Encargos e Benefícios'!C138=0,0,'Encargos e Benefícios'!U138/'Encargos e Benefícios'!C138)</f>
        <v>2591.2415003999999</v>
      </c>
      <c r="AM139" s="296">
        <f>IF('Encargos e Benefícios'!C138=0,0,'Encargos e Benefícios'!AC138/'Encargos e Benefícios'!C138)</f>
        <v>917.59</v>
      </c>
      <c r="AN139" s="297">
        <f>IF('Encargos e Benefícios'!C138=0,0,'Encargos e Benefícios'!AD138/'Encargos e Benefícios'!C138)</f>
        <v>5519.7915003999997</v>
      </c>
      <c r="AO139" s="188">
        <v>2752.21</v>
      </c>
      <c r="AP139" s="298">
        <v>1764.5</v>
      </c>
      <c r="AQ139" s="298">
        <v>3739.92</v>
      </c>
      <c r="AR139" s="299" t="s">
        <v>110</v>
      </c>
      <c r="AS139" s="188"/>
    </row>
    <row r="140" spans="1:45">
      <c r="A140" s="286">
        <v>134</v>
      </c>
      <c r="B140" s="81" t="str">
        <f>'Encargos e Benefícios'!B139</f>
        <v>Socioeducador - NC</v>
      </c>
      <c r="C140" s="287">
        <f>'Encargos e Benefícios'!C139</f>
        <v>2</v>
      </c>
      <c r="D140" s="288" t="s">
        <v>496</v>
      </c>
      <c r="E140" s="300">
        <v>45658</v>
      </c>
      <c r="F140" s="301">
        <v>47058</v>
      </c>
      <c r="G140" s="293"/>
      <c r="H140" s="294"/>
      <c r="I140" s="256"/>
      <c r="J140" s="256"/>
      <c r="K140" s="256"/>
      <c r="L140" s="256"/>
      <c r="M140" s="293">
        <v>45778</v>
      </c>
      <c r="N140" s="294">
        <v>5.8400000000000001E-2</v>
      </c>
      <c r="O140" s="256">
        <f>'Encargos e Benefícios'!W139*5.84%</f>
        <v>61.810560000000002</v>
      </c>
      <c r="P140" s="256">
        <f>('Encargos e Benefícios'!X139+'Encargos e Benefícios'!Y139+'Encargos e Benefícios'!Z139+'Encargos e Benefícios'!AA139+'Encargos e Benefícios'!AB139)*5.84%</f>
        <v>36.470799999999997</v>
      </c>
      <c r="Q140" s="256">
        <f>'Encargos e Benefícios'!V139*5.84%</f>
        <v>8.8931520000000006</v>
      </c>
      <c r="R140" s="256"/>
      <c r="S140" s="293">
        <v>46143</v>
      </c>
      <c r="T140" s="294">
        <v>5.8400000000000001E-2</v>
      </c>
      <c r="U140" s="256">
        <f>('Encargos e Benefícios'!W139+'Gastos com Pessoal'!O140)*5.84%</f>
        <v>65.420296703999995</v>
      </c>
      <c r="V140" s="256">
        <f>('Encargos e Benefícios'!X139+'Encargos e Benefícios'!Y139+'Encargos e Benefícios'!Z139+'Encargos e Benefícios'!AA139+'Encargos e Benefícios'!AB139+'Gastos com Pessoal'!P140)*5.84%</f>
        <v>38.600694720000007</v>
      </c>
      <c r="W140" s="256">
        <f>('Encargos e Benefícios'!V139+'Gastos com Pessoal'!Q140)*5.84%</f>
        <v>9.4125120768000006</v>
      </c>
      <c r="X140" s="256"/>
      <c r="Y140" s="293">
        <v>46508</v>
      </c>
      <c r="Z140" s="294">
        <v>5.8400000000000001E-2</v>
      </c>
      <c r="AA140" s="256">
        <f>('Encargos e Benefícios'!W139+'Gastos com Pessoal'!O140+'Gastos com Pessoal'!U140)*5.84%</f>
        <v>69.240842031513608</v>
      </c>
      <c r="AB140" s="256">
        <f>('Encargos e Benefícios'!X139+'Encargos e Benefícios'!Y139+'Encargos e Benefícios'!Z139+'Encargos e Benefícios'!AA139+'Encargos e Benefícios'!AB139+'Gastos com Pessoal'!P140+'Gastos com Pessoal'!V140)*5.84%</f>
        <v>40.854975291648003</v>
      </c>
      <c r="AC140" s="256">
        <f>('Encargos e Benefícios'!V139+'Gastos com Pessoal'!Q140+'Gastos com Pessoal'!W140)*5.84%</f>
        <v>9.9622027820851216</v>
      </c>
      <c r="AD140" s="256"/>
      <c r="AE140" s="293">
        <v>46874</v>
      </c>
      <c r="AF140" s="294">
        <v>5.8400000000000001E-2</v>
      </c>
      <c r="AG140" s="256">
        <f>('Encargos e Benefícios'!W139+'Gastos com Pessoal'!O140+'Gastos com Pessoal'!U140+'Gastos com Pessoal'!AA140)*5.84%</f>
        <v>73.284507206154004</v>
      </c>
      <c r="AH140" s="256">
        <f>('Encargos e Benefícios'!X139+'Encargos e Benefícios'!Y139+'Encargos e Benefícios'!Z139+'Encargos e Benefícios'!AA139+'Encargos e Benefícios'!AB139+'Gastos com Pessoal'!P140+'Gastos com Pessoal'!V140+'Gastos com Pessoal'!AB140)*5.84%</f>
        <v>43.240905848680242</v>
      </c>
      <c r="AI140" s="256">
        <f>('Encargos e Benefícios'!V139+'Gastos com Pessoal'!Q140+'Gastos com Pessoal'!W140+'Gastos com Pessoal'!AC140)*5.84%</f>
        <v>10.543995424558892</v>
      </c>
      <c r="AJ140" s="257"/>
      <c r="AK140" s="296">
        <f>'Encargos e Benefícios'!D139</f>
        <v>2010.96</v>
      </c>
      <c r="AL140" s="296">
        <f>IF('Encargos e Benefícios'!C139=0,0,'Encargos e Benefícios'!U139/'Encargos e Benefícios'!C139)</f>
        <v>3553.5688062933345</v>
      </c>
      <c r="AM140" s="296">
        <f>IF('Encargos e Benefícios'!C139=0,0,'Encargos e Benefícios'!AC139/'Encargos e Benefícios'!C139)</f>
        <v>917.59000000000015</v>
      </c>
      <c r="AN140" s="297">
        <f>IF('Encargos e Benefícios'!C139=0,0,'Encargos e Benefícios'!AD139/'Encargos e Benefícios'!C139)</f>
        <v>6482.1188062933343</v>
      </c>
      <c r="AO140" s="188">
        <v>2752.21</v>
      </c>
      <c r="AP140" s="298">
        <v>1764.5</v>
      </c>
      <c r="AQ140" s="298">
        <v>3739.92</v>
      </c>
      <c r="AR140" s="299" t="s">
        <v>110</v>
      </c>
      <c r="AS140" s="188"/>
    </row>
    <row r="141" spans="1:45" ht="13" thickBot="1">
      <c r="A141" s="286">
        <v>135</v>
      </c>
      <c r="B141" s="81" t="str">
        <f>'Encargos e Benefícios'!B140</f>
        <v>Socioeducador - N</v>
      </c>
      <c r="C141" s="287">
        <f>'Encargos e Benefícios'!C140</f>
        <v>6</v>
      </c>
      <c r="D141" s="288" t="s">
        <v>496</v>
      </c>
      <c r="E141" s="300">
        <v>45658</v>
      </c>
      <c r="F141" s="301">
        <v>47058</v>
      </c>
      <c r="G141" s="293"/>
      <c r="H141" s="294"/>
      <c r="I141" s="256"/>
      <c r="J141" s="256"/>
      <c r="K141" s="256"/>
      <c r="L141" s="256"/>
      <c r="M141" s="293">
        <v>45778</v>
      </c>
      <c r="N141" s="294">
        <v>5.8400000000000001E-2</v>
      </c>
      <c r="O141" s="256">
        <f>'Encargos e Benefícios'!W140*5.84%</f>
        <v>185.43168000000003</v>
      </c>
      <c r="P141" s="256">
        <f>('Encargos e Benefícios'!X140+'Encargos e Benefícios'!Y140+'Encargos e Benefícios'!Z140+'Encargos e Benefícios'!AA140+'Encargos e Benefícios'!AB140)*5.84%</f>
        <v>109.41240000000001</v>
      </c>
      <c r="Q141" s="256">
        <f>'Encargos e Benefícios'!V140*5.84%</f>
        <v>26.679456000000002</v>
      </c>
      <c r="R141" s="256"/>
      <c r="S141" s="293">
        <v>46143</v>
      </c>
      <c r="T141" s="294">
        <v>5.8400000000000001E-2</v>
      </c>
      <c r="U141" s="256">
        <f>('Encargos e Benefícios'!W140+'Gastos com Pessoal'!O141)*5.84%</f>
        <v>196.26089011200003</v>
      </c>
      <c r="V141" s="256">
        <f>('Encargos e Benefícios'!X140+'Encargos e Benefícios'!Y140+'Encargos e Benefícios'!Z140+'Encargos e Benefícios'!AA140+'Encargos e Benefícios'!AB140+'Gastos com Pessoal'!P141)*5.84%</f>
        <v>115.80208415999999</v>
      </c>
      <c r="W141" s="256">
        <f>('Encargos e Benefícios'!V140+'Gastos com Pessoal'!Q141)*5.84%</f>
        <v>28.237536230400003</v>
      </c>
      <c r="X141" s="256"/>
      <c r="Y141" s="293">
        <v>46508</v>
      </c>
      <c r="Z141" s="294">
        <v>5.8400000000000001E-2</v>
      </c>
      <c r="AA141" s="256">
        <f>('Encargos e Benefícios'!W140+'Gastos com Pessoal'!O141+'Gastos com Pessoal'!U141)*5.84%</f>
        <v>207.72252609454083</v>
      </c>
      <c r="AB141" s="256">
        <f>('Encargos e Benefícios'!X140+'Encargos e Benefícios'!Y140+'Encargos e Benefícios'!Z140+'Encargos e Benefícios'!AA140+'Encargos e Benefícios'!AB140+'Gastos com Pessoal'!P141+'Gastos com Pessoal'!V141)*5.84%</f>
        <v>122.56492587494398</v>
      </c>
      <c r="AC141" s="256">
        <f>('Encargos e Benefícios'!V140+'Gastos com Pessoal'!Q141+'Gastos com Pessoal'!W141)*5.84%</f>
        <v>29.886608346255361</v>
      </c>
      <c r="AD141" s="256"/>
      <c r="AE141" s="293">
        <v>46874</v>
      </c>
      <c r="AF141" s="294">
        <v>5.8400000000000001E-2</v>
      </c>
      <c r="AG141" s="256">
        <f>('Encargos e Benefícios'!W140+'Gastos com Pessoal'!O141+'Gastos com Pessoal'!U141+'Gastos com Pessoal'!AA141)*5.84%</f>
        <v>219.853521618462</v>
      </c>
      <c r="AH141" s="256">
        <f>('Encargos e Benefícios'!X140+'Encargos e Benefícios'!Y140+'Encargos e Benefícios'!Z140+'Encargos e Benefícios'!AA140+'Encargos e Benefícios'!AB140+'Gastos com Pessoal'!P141+'Gastos com Pessoal'!V141+'Gastos com Pessoal'!AB141)*5.84%</f>
        <v>129.72271754604071</v>
      </c>
      <c r="AI141" s="256">
        <f>('Encargos e Benefícios'!V140+'Gastos com Pessoal'!Q141+'Gastos com Pessoal'!W141+'Gastos com Pessoal'!AC141)*5.84%</f>
        <v>31.631986273676677</v>
      </c>
      <c r="AJ141" s="257"/>
      <c r="AK141" s="296">
        <f>'Encargos e Benefícios'!D140</f>
        <v>2010.96</v>
      </c>
      <c r="AL141" s="296">
        <f>IF('Encargos e Benefícios'!C140=0,0,'Encargos e Benefícios'!U140/'Encargos e Benefícios'!C140)</f>
        <v>3202.4049162933329</v>
      </c>
      <c r="AM141" s="296">
        <f>IF('Encargos e Benefícios'!C140=0,0,'Encargos e Benefícios'!AC140/'Encargos e Benefícios'!C140)</f>
        <v>917.59</v>
      </c>
      <c r="AN141" s="297">
        <f>IF('Encargos e Benefícios'!C140=0,0,'Encargos e Benefícios'!AD140/'Encargos e Benefícios'!C140)</f>
        <v>6130.9549162933326</v>
      </c>
      <c r="AO141" s="188">
        <v>2752.21</v>
      </c>
      <c r="AP141" s="298">
        <v>1764.5</v>
      </c>
      <c r="AQ141" s="298">
        <v>3739.92</v>
      </c>
      <c r="AR141" s="299" t="s">
        <v>110</v>
      </c>
      <c r="AS141" s="188"/>
    </row>
    <row r="142" spans="1:45">
      <c r="A142" s="286">
        <v>136</v>
      </c>
      <c r="B142" s="81" t="str">
        <f>'Encargos e Benefícios'!B141</f>
        <v>Diretor Geral de Unidade Socioeducativa</v>
      </c>
      <c r="C142" s="287">
        <f>'Encargos e Benefícios'!C141</f>
        <v>1</v>
      </c>
      <c r="D142" s="288">
        <v>40</v>
      </c>
      <c r="E142" s="289">
        <v>45658</v>
      </c>
      <c r="F142" s="290">
        <v>47058</v>
      </c>
      <c r="G142" s="293"/>
      <c r="H142" s="294"/>
      <c r="I142" s="256"/>
      <c r="J142" s="256"/>
      <c r="K142" s="256"/>
      <c r="L142" s="256"/>
      <c r="M142" s="293">
        <v>45778</v>
      </c>
      <c r="N142" s="294">
        <v>5.8400000000000001E-2</v>
      </c>
      <c r="O142" s="256">
        <f>'Encargos e Benefícios'!W141*5.84%</f>
        <v>30.905280000000001</v>
      </c>
      <c r="P142" s="256">
        <f>('Encargos e Benefícios'!X141+'Encargos e Benefícios'!Y141+'Encargos e Benefícios'!Z141+'Encargos e Benefícios'!AA141+'Encargos e Benefícios'!AB141)*5.84%</f>
        <v>18.235399999999998</v>
      </c>
      <c r="Q142" s="256">
        <f>'Encargos e Benefícios'!V141*5.84%</f>
        <v>0</v>
      </c>
      <c r="R142" s="256"/>
      <c r="S142" s="293">
        <v>46143</v>
      </c>
      <c r="T142" s="294">
        <v>5.8400000000000001E-2</v>
      </c>
      <c r="U142" s="256">
        <f>('Encargos e Benefícios'!W141+'Gastos com Pessoal'!O142)*5.84%</f>
        <v>32.710148351999997</v>
      </c>
      <c r="V142" s="256">
        <f>('Encargos e Benefícios'!X141+'Encargos e Benefícios'!Y141+'Encargos e Benefícios'!Z141+'Encargos e Benefícios'!AA141+'Encargos e Benefícios'!AB141+'Gastos com Pessoal'!P142)*5.84%</f>
        <v>19.300347360000004</v>
      </c>
      <c r="W142" s="256">
        <f>('Encargos e Benefícios'!V141+'Gastos com Pessoal'!Q142)*5.84%</f>
        <v>0</v>
      </c>
      <c r="X142" s="256"/>
      <c r="Y142" s="293">
        <v>46508</v>
      </c>
      <c r="Z142" s="294">
        <v>5.8400000000000001E-2</v>
      </c>
      <c r="AA142" s="256">
        <f>('Encargos e Benefícios'!W141+'Gastos com Pessoal'!O142+'Gastos com Pessoal'!U142)*5.84%</f>
        <v>34.620421015756804</v>
      </c>
      <c r="AB142" s="256">
        <f>('Encargos e Benefícios'!X141+'Encargos e Benefícios'!Y141+'Encargos e Benefícios'!Z141+'Encargos e Benefícios'!AA141+'Encargos e Benefícios'!AB141+'Gastos com Pessoal'!P142+'Gastos com Pessoal'!V142)*5.84%</f>
        <v>20.427487645824002</v>
      </c>
      <c r="AC142" s="256">
        <f>('Encargos e Benefícios'!V141+'Gastos com Pessoal'!Q142+'Gastos com Pessoal'!W142)*5.84%</f>
        <v>0</v>
      </c>
      <c r="AD142" s="256"/>
      <c r="AE142" s="293">
        <v>46874</v>
      </c>
      <c r="AF142" s="294">
        <v>5.8400000000000001E-2</v>
      </c>
      <c r="AG142" s="256">
        <f>('Encargos e Benefícios'!W141+'Gastos com Pessoal'!O142+'Gastos com Pessoal'!U142+'Gastos com Pessoal'!AA142)*5.84%</f>
        <v>36.642253603077002</v>
      </c>
      <c r="AH142" s="256">
        <f>('Encargos e Benefícios'!X141+'Encargos e Benefícios'!Y141+'Encargos e Benefícios'!Z141+'Encargos e Benefícios'!AA141+'Encargos e Benefícios'!AB141+'Gastos com Pessoal'!P142+'Gastos com Pessoal'!V142+'Gastos com Pessoal'!AB142)*5.84%</f>
        <v>21.620452924340121</v>
      </c>
      <c r="AI142" s="256">
        <f>('Encargos e Benefícios'!V141+'Gastos com Pessoal'!Q142+'Gastos com Pessoal'!W142+'Gastos com Pessoal'!AC142)*5.84%</f>
        <v>0</v>
      </c>
      <c r="AJ142" s="257"/>
      <c r="AK142" s="296">
        <f>'Encargos e Benefícios'!D141</f>
        <v>6879.6</v>
      </c>
      <c r="AL142" s="296">
        <f>IF('Encargos e Benefícios'!C141=0,0,'Encargos e Benefícios'!U141/'Encargos e Benefícios'!C141)</f>
        <v>5400.8682000000008</v>
      </c>
      <c r="AM142" s="296">
        <f>IF('Encargos e Benefícios'!C141=0,0,'Encargos e Benefícios'!AC141/'Encargos e Benefícios'!C141)</f>
        <v>841.45</v>
      </c>
      <c r="AN142" s="297">
        <f>IF('Encargos e Benefícios'!C141=0,0,'Encargos e Benefícios'!AD141/'Encargos e Benefícios'!C141)</f>
        <v>13121.918200000002</v>
      </c>
      <c r="AO142" s="188">
        <v>6052.24</v>
      </c>
      <c r="AP142" s="298">
        <v>4239.6899999999996</v>
      </c>
      <c r="AQ142" s="298">
        <v>7864.78</v>
      </c>
      <c r="AR142" s="299" t="s">
        <v>111</v>
      </c>
      <c r="AS142" s="188"/>
    </row>
    <row r="143" spans="1:45">
      <c r="A143" s="286">
        <v>137</v>
      </c>
      <c r="B143" s="81" t="str">
        <f>'Encargos e Benefícios'!B142</f>
        <v>Subdiretor de Segurança</v>
      </c>
      <c r="C143" s="287">
        <f>'Encargos e Benefícios'!C142</f>
        <v>1</v>
      </c>
      <c r="D143" s="288">
        <v>40</v>
      </c>
      <c r="E143" s="300">
        <v>45658</v>
      </c>
      <c r="F143" s="301">
        <v>47058</v>
      </c>
      <c r="G143" s="293"/>
      <c r="H143" s="294"/>
      <c r="I143" s="256"/>
      <c r="J143" s="256"/>
      <c r="K143" s="256"/>
      <c r="L143" s="256"/>
      <c r="M143" s="293">
        <v>45778</v>
      </c>
      <c r="N143" s="294">
        <v>5.8400000000000001E-2</v>
      </c>
      <c r="O143" s="256">
        <f>'Encargos e Benefícios'!W142*5.84%</f>
        <v>30.905280000000001</v>
      </c>
      <c r="P143" s="256">
        <f>('Encargos e Benefícios'!X142+'Encargos e Benefícios'!Y142+'Encargos e Benefícios'!Z142+'Encargos e Benefícios'!AA142+'Encargos e Benefícios'!AB142)*5.84%</f>
        <v>18.235399999999998</v>
      </c>
      <c r="Q143" s="256">
        <f>'Encargos e Benefícios'!V142*5.84%</f>
        <v>0</v>
      </c>
      <c r="R143" s="256"/>
      <c r="S143" s="293">
        <v>46143</v>
      </c>
      <c r="T143" s="294">
        <v>5.8400000000000001E-2</v>
      </c>
      <c r="U143" s="256">
        <f>('Encargos e Benefícios'!W142+'Gastos com Pessoal'!O143)*5.84%</f>
        <v>32.710148351999997</v>
      </c>
      <c r="V143" s="256">
        <f>('Encargos e Benefícios'!X142+'Encargos e Benefícios'!Y142+'Encargos e Benefícios'!Z142+'Encargos e Benefícios'!AA142+'Encargos e Benefícios'!AB142+'Gastos com Pessoal'!P143)*5.84%</f>
        <v>19.300347360000004</v>
      </c>
      <c r="W143" s="256">
        <f>('Encargos e Benefícios'!V142+'Gastos com Pessoal'!Q143)*5.84%</f>
        <v>0</v>
      </c>
      <c r="X143" s="256"/>
      <c r="Y143" s="293">
        <v>46508</v>
      </c>
      <c r="Z143" s="294">
        <v>5.8400000000000001E-2</v>
      </c>
      <c r="AA143" s="256">
        <f>('Encargos e Benefícios'!W142+'Gastos com Pessoal'!O143+'Gastos com Pessoal'!U143)*5.84%</f>
        <v>34.620421015756804</v>
      </c>
      <c r="AB143" s="256">
        <f>('Encargos e Benefícios'!X142+'Encargos e Benefícios'!Y142+'Encargos e Benefícios'!Z142+'Encargos e Benefícios'!AA142+'Encargos e Benefícios'!AB142+'Gastos com Pessoal'!P143+'Gastos com Pessoal'!V143)*5.84%</f>
        <v>20.427487645824002</v>
      </c>
      <c r="AC143" s="256">
        <f>('Encargos e Benefícios'!V142+'Gastos com Pessoal'!Q143+'Gastos com Pessoal'!W143)*5.84%</f>
        <v>0</v>
      </c>
      <c r="AD143" s="256"/>
      <c r="AE143" s="293">
        <v>46874</v>
      </c>
      <c r="AF143" s="294">
        <v>5.8400000000000001E-2</v>
      </c>
      <c r="AG143" s="256">
        <f>('Encargos e Benefícios'!W142+'Gastos com Pessoal'!O143+'Gastos com Pessoal'!U143+'Gastos com Pessoal'!AA143)*5.84%</f>
        <v>36.642253603077002</v>
      </c>
      <c r="AH143" s="256">
        <f>('Encargos e Benefícios'!X142+'Encargos e Benefícios'!Y142+'Encargos e Benefícios'!Z142+'Encargos e Benefícios'!AA142+'Encargos e Benefícios'!AB142+'Gastos com Pessoal'!P143+'Gastos com Pessoal'!V143+'Gastos com Pessoal'!AB143)*5.84%</f>
        <v>21.620452924340121</v>
      </c>
      <c r="AI143" s="256">
        <f>('Encargos e Benefícios'!V142+'Gastos com Pessoal'!Q143+'Gastos com Pessoal'!W143+'Gastos com Pessoal'!AC143)*5.84%</f>
        <v>0</v>
      </c>
      <c r="AJ143" s="257"/>
      <c r="AK143" s="296">
        <f>'Encargos e Benefícios'!D142</f>
        <v>3993.98</v>
      </c>
      <c r="AL143" s="296">
        <f>IF('Encargos e Benefícios'!C142=0,0,'Encargos e Benefícios'!U142/'Encargos e Benefícios'!C142)</f>
        <v>4659.1662746111106</v>
      </c>
      <c r="AM143" s="296">
        <f>IF('Encargos e Benefícios'!C142=0,0,'Encargos e Benefícios'!AC142/'Encargos e Benefícios'!C142)</f>
        <v>841.45</v>
      </c>
      <c r="AN143" s="297">
        <f>IF('Encargos e Benefícios'!C142=0,0,'Encargos e Benefícios'!AD142/'Encargos e Benefícios'!C142)</f>
        <v>9494.5962746111109</v>
      </c>
      <c r="AO143" s="188">
        <v>4968.99</v>
      </c>
      <c r="AP143" s="298">
        <v>3773.6</v>
      </c>
      <c r="AQ143" s="298">
        <v>6164.38</v>
      </c>
      <c r="AR143" s="299" t="s">
        <v>111</v>
      </c>
      <c r="AS143" s="188"/>
    </row>
    <row r="144" spans="1:45">
      <c r="A144" s="286">
        <v>138</v>
      </c>
      <c r="B144" s="81" t="str">
        <f>'Encargos e Benefícios'!B143</f>
        <v>Advogado</v>
      </c>
      <c r="C144" s="287">
        <f>'Encargos e Benefícios'!C143</f>
        <v>1</v>
      </c>
      <c r="D144" s="288">
        <v>30</v>
      </c>
      <c r="E144" s="300">
        <v>45658</v>
      </c>
      <c r="F144" s="301">
        <v>47058</v>
      </c>
      <c r="G144" s="293"/>
      <c r="H144" s="294"/>
      <c r="I144" s="256"/>
      <c r="J144" s="256"/>
      <c r="K144" s="256"/>
      <c r="L144" s="256"/>
      <c r="M144" s="293">
        <v>45778</v>
      </c>
      <c r="N144" s="294">
        <v>5.8400000000000001E-2</v>
      </c>
      <c r="O144" s="256">
        <f>'Encargos e Benefícios'!W143*5.84%</f>
        <v>30.905280000000001</v>
      </c>
      <c r="P144" s="256">
        <f>('Encargos e Benefícios'!X143+'Encargos e Benefícios'!Y143+'Encargos e Benefícios'!Z143+'Encargos e Benefícios'!AA143+'Encargos e Benefícios'!AB143)*5.84%</f>
        <v>18.235399999999998</v>
      </c>
      <c r="Q144" s="256">
        <f>'Encargos e Benefícios'!V143*5.84%</f>
        <v>6.521528</v>
      </c>
      <c r="R144" s="256"/>
      <c r="S144" s="293">
        <v>46143</v>
      </c>
      <c r="T144" s="294">
        <v>5.8400000000000001E-2</v>
      </c>
      <c r="U144" s="256">
        <f>('Encargos e Benefícios'!W143+'Gastos com Pessoal'!O144)*5.84%</f>
        <v>32.710148351999997</v>
      </c>
      <c r="V144" s="256">
        <f>('Encargos e Benefícios'!X143+'Encargos e Benefícios'!Y143+'Encargos e Benefícios'!Z143+'Encargos e Benefícios'!AA143+'Encargos e Benefícios'!AB143+'Gastos com Pessoal'!P144)*5.84%</f>
        <v>19.300347360000004</v>
      </c>
      <c r="W144" s="256">
        <f>('Encargos e Benefícios'!V143+'Gastos com Pessoal'!Q144)*5.84%</f>
        <v>6.9023852352000006</v>
      </c>
      <c r="X144" s="256"/>
      <c r="Y144" s="293">
        <v>46508</v>
      </c>
      <c r="Z144" s="294">
        <v>5.8400000000000001E-2</v>
      </c>
      <c r="AA144" s="256">
        <f>('Encargos e Benefícios'!W143+'Gastos com Pessoal'!O144+'Gastos com Pessoal'!U144)*5.84%</f>
        <v>34.620421015756804</v>
      </c>
      <c r="AB144" s="256">
        <f>('Encargos e Benefícios'!X143+'Encargos e Benefícios'!Y143+'Encargos e Benefícios'!Z143+'Encargos e Benefícios'!AA143+'Encargos e Benefícios'!AB143+'Gastos com Pessoal'!P144+'Gastos com Pessoal'!V144)*5.84%</f>
        <v>20.427487645824002</v>
      </c>
      <c r="AC144" s="256">
        <f>('Encargos e Benefícios'!V143+'Gastos com Pessoal'!Q144+'Gastos com Pessoal'!W144)*5.84%</f>
        <v>7.3054845329356803</v>
      </c>
      <c r="AD144" s="256"/>
      <c r="AE144" s="293">
        <v>46874</v>
      </c>
      <c r="AF144" s="294">
        <v>5.8400000000000001E-2</v>
      </c>
      <c r="AG144" s="256">
        <f>('Encargos e Benefícios'!W143+'Gastos com Pessoal'!O144+'Gastos com Pessoal'!U144+'Gastos com Pessoal'!AA144)*5.84%</f>
        <v>36.642253603077002</v>
      </c>
      <c r="AH144" s="256">
        <f>('Encargos e Benefícios'!X143+'Encargos e Benefícios'!Y143+'Encargos e Benefícios'!Z143+'Encargos e Benefícios'!AA143+'Encargos e Benefícios'!AB143+'Gastos com Pessoal'!P144+'Gastos com Pessoal'!V144+'Gastos com Pessoal'!AB144)*5.84%</f>
        <v>21.620452924340121</v>
      </c>
      <c r="AI144" s="256">
        <f>('Encargos e Benefícios'!V143+'Gastos com Pessoal'!Q144+'Gastos com Pessoal'!W144+'Gastos com Pessoal'!AC144)*5.84%</f>
        <v>7.7321248296591243</v>
      </c>
      <c r="AJ144" s="257"/>
      <c r="AK144" s="296">
        <f>'Encargos e Benefícios'!D143</f>
        <v>2751.84</v>
      </c>
      <c r="AL144" s="296">
        <f>IF('Encargos e Benefícios'!C143=0,0,'Encargos e Benefícios'!U143/'Encargos e Benefícios'!C143)</f>
        <v>2198.8730400000004</v>
      </c>
      <c r="AM144" s="296">
        <f>IF('Encargos e Benefícios'!C143=0,0,'Encargos e Benefícios'!AC143/'Encargos e Benefícios'!C143)</f>
        <v>953.12000000000012</v>
      </c>
      <c r="AN144" s="297">
        <f>IF('Encargos e Benefícios'!C143=0,0,'Encargos e Benefícios'!AD143/'Encargos e Benefícios'!C143)</f>
        <v>5903.8330400000004</v>
      </c>
      <c r="AO144" s="188">
        <v>2767.69</v>
      </c>
      <c r="AP144" s="298">
        <v>2500</v>
      </c>
      <c r="AQ144" s="298">
        <v>3035.37</v>
      </c>
      <c r="AR144" s="299" t="s">
        <v>111</v>
      </c>
      <c r="AS144" s="188"/>
    </row>
    <row r="145" spans="1:45">
      <c r="A145" s="286">
        <v>139</v>
      </c>
      <c r="B145" s="81" t="str">
        <f>'Encargos e Benefícios'!B144</f>
        <v>Assistente Social</v>
      </c>
      <c r="C145" s="287">
        <f>'Encargos e Benefícios'!C144</f>
        <v>1</v>
      </c>
      <c r="D145" s="288">
        <v>30</v>
      </c>
      <c r="E145" s="300">
        <v>45658</v>
      </c>
      <c r="F145" s="301">
        <v>47058</v>
      </c>
      <c r="G145" s="293"/>
      <c r="H145" s="294"/>
      <c r="I145" s="256"/>
      <c r="J145" s="256"/>
      <c r="K145" s="256"/>
      <c r="L145" s="256"/>
      <c r="M145" s="293">
        <v>45778</v>
      </c>
      <c r="N145" s="294">
        <v>5.8400000000000001E-2</v>
      </c>
      <c r="O145" s="256">
        <f>'Encargos e Benefícios'!W144*5.84%</f>
        <v>30.905280000000001</v>
      </c>
      <c r="P145" s="256">
        <f>('Encargos e Benefícios'!X144+'Encargos e Benefícios'!Y144+'Encargos e Benefícios'!Z144+'Encargos e Benefícios'!AA144+'Encargos e Benefícios'!AB144)*5.84%</f>
        <v>18.235399999999998</v>
      </c>
      <c r="Q145" s="256">
        <f>'Encargos e Benefícios'!V144*5.84%</f>
        <v>6.521528</v>
      </c>
      <c r="R145" s="256"/>
      <c r="S145" s="293">
        <v>46143</v>
      </c>
      <c r="T145" s="294">
        <v>5.8400000000000001E-2</v>
      </c>
      <c r="U145" s="256">
        <f>('Encargos e Benefícios'!W144+'Gastos com Pessoal'!O145)*5.84%</f>
        <v>32.710148351999997</v>
      </c>
      <c r="V145" s="256">
        <f>('Encargos e Benefícios'!X144+'Encargos e Benefícios'!Y144+'Encargos e Benefícios'!Z144+'Encargos e Benefícios'!AA144+'Encargos e Benefícios'!AB144+'Gastos com Pessoal'!P145)*5.84%</f>
        <v>19.300347360000004</v>
      </c>
      <c r="W145" s="256">
        <f>('Encargos e Benefícios'!V144+'Gastos com Pessoal'!Q145)*5.84%</f>
        <v>6.9023852352000006</v>
      </c>
      <c r="X145" s="256"/>
      <c r="Y145" s="293">
        <v>46508</v>
      </c>
      <c r="Z145" s="294">
        <v>5.8400000000000001E-2</v>
      </c>
      <c r="AA145" s="256">
        <f>('Encargos e Benefícios'!W144+'Gastos com Pessoal'!O145+'Gastos com Pessoal'!U145)*5.84%</f>
        <v>34.620421015756804</v>
      </c>
      <c r="AB145" s="256">
        <f>('Encargos e Benefícios'!X144+'Encargos e Benefícios'!Y144+'Encargos e Benefícios'!Z144+'Encargos e Benefícios'!AA144+'Encargos e Benefícios'!AB144+'Gastos com Pessoal'!P145+'Gastos com Pessoal'!V145)*5.84%</f>
        <v>20.427487645824002</v>
      </c>
      <c r="AC145" s="256">
        <f>('Encargos e Benefícios'!V144+'Gastos com Pessoal'!Q145+'Gastos com Pessoal'!W145)*5.84%</f>
        <v>7.3054845329356803</v>
      </c>
      <c r="AD145" s="256"/>
      <c r="AE145" s="293">
        <v>46874</v>
      </c>
      <c r="AF145" s="294">
        <v>5.8400000000000001E-2</v>
      </c>
      <c r="AG145" s="256">
        <f>('Encargos e Benefícios'!W144+'Gastos com Pessoal'!O145+'Gastos com Pessoal'!U145+'Gastos com Pessoal'!AA145)*5.84%</f>
        <v>36.642253603077002</v>
      </c>
      <c r="AH145" s="256">
        <f>('Encargos e Benefícios'!X144+'Encargos e Benefícios'!Y144+'Encargos e Benefícios'!Z144+'Encargos e Benefícios'!AA144+'Encargos e Benefícios'!AB144+'Gastos com Pessoal'!P145+'Gastos com Pessoal'!V145+'Gastos com Pessoal'!AB145)*5.84%</f>
        <v>21.620452924340121</v>
      </c>
      <c r="AI145" s="256">
        <f>('Encargos e Benefícios'!V144+'Gastos com Pessoal'!Q145+'Gastos com Pessoal'!W145+'Gastos com Pessoal'!AC145)*5.84%</f>
        <v>7.7321248296591243</v>
      </c>
      <c r="AJ145" s="257"/>
      <c r="AK145" s="296">
        <f>'Encargos e Benefícios'!D144</f>
        <v>2751.84</v>
      </c>
      <c r="AL145" s="296">
        <f>IF('Encargos e Benefícios'!C144=0,0,'Encargos e Benefícios'!U144/'Encargos e Benefícios'!C144)</f>
        <v>2198.8730400000004</v>
      </c>
      <c r="AM145" s="296">
        <f>IF('Encargos e Benefícios'!C144=0,0,'Encargos e Benefícios'!AC144/'Encargos e Benefícios'!C144)</f>
        <v>953.12000000000012</v>
      </c>
      <c r="AN145" s="297">
        <f>IF('Encargos e Benefícios'!C144=0,0,'Encargos e Benefícios'!AD144/'Encargos e Benefícios'!C144)</f>
        <v>5903.8330400000004</v>
      </c>
      <c r="AO145" s="188">
        <v>3277.91</v>
      </c>
      <c r="AP145" s="298">
        <v>2500</v>
      </c>
      <c r="AQ145" s="298">
        <v>4055.81</v>
      </c>
      <c r="AR145" s="299" t="s">
        <v>111</v>
      </c>
      <c r="AS145" s="188"/>
    </row>
    <row r="146" spans="1:45">
      <c r="A146" s="286">
        <v>140</v>
      </c>
      <c r="B146" s="81" t="str">
        <f>'Encargos e Benefícios'!B145</f>
        <v>Pedagogo</v>
      </c>
      <c r="C146" s="287">
        <f>'Encargos e Benefícios'!C145</f>
        <v>1</v>
      </c>
      <c r="D146" s="288">
        <v>30</v>
      </c>
      <c r="E146" s="300">
        <v>45658</v>
      </c>
      <c r="F146" s="301">
        <v>47058</v>
      </c>
      <c r="G146" s="293"/>
      <c r="H146" s="294"/>
      <c r="I146" s="256"/>
      <c r="J146" s="256"/>
      <c r="K146" s="256"/>
      <c r="L146" s="256"/>
      <c r="M146" s="293">
        <v>45778</v>
      </c>
      <c r="N146" s="294">
        <v>5.8400000000000001E-2</v>
      </c>
      <c r="O146" s="256">
        <f>'Encargos e Benefícios'!W145*5.84%</f>
        <v>30.905280000000001</v>
      </c>
      <c r="P146" s="256">
        <f>('Encargos e Benefícios'!X145+'Encargos e Benefícios'!Y145+'Encargos e Benefícios'!Z145+'Encargos e Benefícios'!AA145+'Encargos e Benefícios'!AB145)*5.84%</f>
        <v>18.235399999999998</v>
      </c>
      <c r="Q146" s="256">
        <f>'Encargos e Benefícios'!V145*5.84%</f>
        <v>6.521528</v>
      </c>
      <c r="R146" s="256"/>
      <c r="S146" s="293">
        <v>46143</v>
      </c>
      <c r="T146" s="294">
        <v>5.8400000000000001E-2</v>
      </c>
      <c r="U146" s="256">
        <f>('Encargos e Benefícios'!W145+'Gastos com Pessoal'!O146)*5.84%</f>
        <v>32.710148351999997</v>
      </c>
      <c r="V146" s="256">
        <f>('Encargos e Benefícios'!X145+'Encargos e Benefícios'!Y145+'Encargos e Benefícios'!Z145+'Encargos e Benefícios'!AA145+'Encargos e Benefícios'!AB145+'Gastos com Pessoal'!P146)*5.84%</f>
        <v>19.300347360000004</v>
      </c>
      <c r="W146" s="256">
        <f>('Encargos e Benefícios'!V145+'Gastos com Pessoal'!Q146)*5.84%</f>
        <v>6.9023852352000006</v>
      </c>
      <c r="X146" s="256"/>
      <c r="Y146" s="293">
        <v>46508</v>
      </c>
      <c r="Z146" s="294">
        <v>5.8400000000000001E-2</v>
      </c>
      <c r="AA146" s="256">
        <f>('Encargos e Benefícios'!W145+'Gastos com Pessoal'!O146+'Gastos com Pessoal'!U146)*5.84%</f>
        <v>34.620421015756804</v>
      </c>
      <c r="AB146" s="256">
        <f>('Encargos e Benefícios'!X145+'Encargos e Benefícios'!Y145+'Encargos e Benefícios'!Z145+'Encargos e Benefícios'!AA145+'Encargos e Benefícios'!AB145+'Gastos com Pessoal'!P146+'Gastos com Pessoal'!V146)*5.84%</f>
        <v>20.427487645824002</v>
      </c>
      <c r="AC146" s="256">
        <f>('Encargos e Benefícios'!V145+'Gastos com Pessoal'!Q146+'Gastos com Pessoal'!W146)*5.84%</f>
        <v>7.3054845329356803</v>
      </c>
      <c r="AD146" s="256"/>
      <c r="AE146" s="293">
        <v>46874</v>
      </c>
      <c r="AF146" s="294">
        <v>5.8400000000000001E-2</v>
      </c>
      <c r="AG146" s="256">
        <f>('Encargos e Benefícios'!W145+'Gastos com Pessoal'!O146+'Gastos com Pessoal'!U146+'Gastos com Pessoal'!AA146)*5.84%</f>
        <v>36.642253603077002</v>
      </c>
      <c r="AH146" s="256">
        <f>('Encargos e Benefícios'!X145+'Encargos e Benefícios'!Y145+'Encargos e Benefícios'!Z145+'Encargos e Benefícios'!AA145+'Encargos e Benefícios'!AB145+'Gastos com Pessoal'!P146+'Gastos com Pessoal'!V146+'Gastos com Pessoal'!AB146)*5.84%</f>
        <v>21.620452924340121</v>
      </c>
      <c r="AI146" s="256">
        <f>('Encargos e Benefícios'!V145+'Gastos com Pessoal'!Q146+'Gastos com Pessoal'!W146+'Gastos com Pessoal'!AC146)*5.84%</f>
        <v>7.7321248296591243</v>
      </c>
      <c r="AJ146" s="257"/>
      <c r="AK146" s="296">
        <f>'Encargos e Benefícios'!D145</f>
        <v>2751.84</v>
      </c>
      <c r="AL146" s="296">
        <f>IF('Encargos e Benefícios'!C145=0,0,'Encargos e Benefícios'!U145/'Encargos e Benefícios'!C145)</f>
        <v>2198.8730400000004</v>
      </c>
      <c r="AM146" s="296">
        <f>IF('Encargos e Benefícios'!C145=0,0,'Encargos e Benefícios'!AC145/'Encargos e Benefícios'!C145)</f>
        <v>953.12000000000012</v>
      </c>
      <c r="AN146" s="297">
        <f>IF('Encargos e Benefícios'!C145=0,0,'Encargos e Benefícios'!AD145/'Encargos e Benefícios'!C145)</f>
        <v>5903.8330400000004</v>
      </c>
      <c r="AO146" s="188">
        <v>2894.94</v>
      </c>
      <c r="AP146" s="298">
        <v>2489.87</v>
      </c>
      <c r="AQ146" s="298">
        <v>3300</v>
      </c>
      <c r="AR146" s="299" t="s">
        <v>111</v>
      </c>
      <c r="AS146" s="188"/>
    </row>
    <row r="147" spans="1:45">
      <c r="A147" s="286">
        <v>141</v>
      </c>
      <c r="B147" s="81" t="str">
        <f>'Encargos e Benefícios'!B146</f>
        <v>Psicologo</v>
      </c>
      <c r="C147" s="287">
        <f>'Encargos e Benefícios'!C146</f>
        <v>1</v>
      </c>
      <c r="D147" s="288">
        <v>30</v>
      </c>
      <c r="E147" s="300">
        <v>45658</v>
      </c>
      <c r="F147" s="301">
        <v>47058</v>
      </c>
      <c r="G147" s="293"/>
      <c r="H147" s="294"/>
      <c r="I147" s="256"/>
      <c r="J147" s="256"/>
      <c r="K147" s="256"/>
      <c r="L147" s="256"/>
      <c r="M147" s="293">
        <v>45778</v>
      </c>
      <c r="N147" s="294">
        <v>5.8400000000000001E-2</v>
      </c>
      <c r="O147" s="256">
        <f>'Encargos e Benefícios'!W146*5.84%</f>
        <v>30.905280000000001</v>
      </c>
      <c r="P147" s="256">
        <f>('Encargos e Benefícios'!X146+'Encargos e Benefícios'!Y146+'Encargos e Benefícios'!Z146+'Encargos e Benefícios'!AA146+'Encargos e Benefícios'!AB146)*5.84%</f>
        <v>18.235399999999998</v>
      </c>
      <c r="Q147" s="256">
        <f>'Encargos e Benefícios'!V146*5.84%</f>
        <v>6.521528</v>
      </c>
      <c r="R147" s="256"/>
      <c r="S147" s="293">
        <v>46143</v>
      </c>
      <c r="T147" s="294">
        <v>5.8400000000000001E-2</v>
      </c>
      <c r="U147" s="256">
        <f>('Encargos e Benefícios'!W146+'Gastos com Pessoal'!O147)*5.84%</f>
        <v>32.710148351999997</v>
      </c>
      <c r="V147" s="256">
        <f>('Encargos e Benefícios'!X146+'Encargos e Benefícios'!Y146+'Encargos e Benefícios'!Z146+'Encargos e Benefícios'!AA146+'Encargos e Benefícios'!AB146+'Gastos com Pessoal'!P147)*5.84%</f>
        <v>19.300347360000004</v>
      </c>
      <c r="W147" s="256">
        <f>('Encargos e Benefícios'!V146+'Gastos com Pessoal'!Q147)*5.84%</f>
        <v>6.9023852352000006</v>
      </c>
      <c r="X147" s="256"/>
      <c r="Y147" s="293">
        <v>46508</v>
      </c>
      <c r="Z147" s="294">
        <v>5.8400000000000001E-2</v>
      </c>
      <c r="AA147" s="256">
        <f>('Encargos e Benefícios'!W146+'Gastos com Pessoal'!O147+'Gastos com Pessoal'!U147)*5.84%</f>
        <v>34.620421015756804</v>
      </c>
      <c r="AB147" s="256">
        <f>('Encargos e Benefícios'!X146+'Encargos e Benefícios'!Y146+'Encargos e Benefícios'!Z146+'Encargos e Benefícios'!AA146+'Encargos e Benefícios'!AB146+'Gastos com Pessoal'!P147+'Gastos com Pessoal'!V147)*5.84%</f>
        <v>20.427487645824002</v>
      </c>
      <c r="AC147" s="256">
        <f>('Encargos e Benefícios'!V146+'Gastos com Pessoal'!Q147+'Gastos com Pessoal'!W147)*5.84%</f>
        <v>7.3054845329356803</v>
      </c>
      <c r="AD147" s="256"/>
      <c r="AE147" s="293">
        <v>46874</v>
      </c>
      <c r="AF147" s="294">
        <v>5.8400000000000001E-2</v>
      </c>
      <c r="AG147" s="256">
        <f>('Encargos e Benefícios'!W146+'Gastos com Pessoal'!O147+'Gastos com Pessoal'!U147+'Gastos com Pessoal'!AA147)*5.84%</f>
        <v>36.642253603077002</v>
      </c>
      <c r="AH147" s="256">
        <f>('Encargos e Benefícios'!X146+'Encargos e Benefícios'!Y146+'Encargos e Benefícios'!Z146+'Encargos e Benefícios'!AA146+'Encargos e Benefícios'!AB146+'Gastos com Pessoal'!P147+'Gastos com Pessoal'!V147+'Gastos com Pessoal'!AB147)*5.84%</f>
        <v>21.620452924340121</v>
      </c>
      <c r="AI147" s="256">
        <f>('Encargos e Benefícios'!V146+'Gastos com Pessoal'!Q147+'Gastos com Pessoal'!W147+'Gastos com Pessoal'!AC147)*5.84%</f>
        <v>7.7321248296591243</v>
      </c>
      <c r="AJ147" s="257"/>
      <c r="AK147" s="296">
        <f>'Encargos e Benefícios'!D146</f>
        <v>2751.84</v>
      </c>
      <c r="AL147" s="296">
        <f>IF('Encargos e Benefícios'!C146=0,0,'Encargos e Benefícios'!U146/'Encargos e Benefícios'!C146)</f>
        <v>2198.8730400000004</v>
      </c>
      <c r="AM147" s="296">
        <f>IF('Encargos e Benefícios'!C146=0,0,'Encargos e Benefícios'!AC146/'Encargos e Benefícios'!C146)</f>
        <v>953.12000000000012</v>
      </c>
      <c r="AN147" s="297">
        <f>IF('Encargos e Benefícios'!C146=0,0,'Encargos e Benefícios'!AD146/'Encargos e Benefícios'!C146)</f>
        <v>5903.8330400000004</v>
      </c>
      <c r="AO147" s="188">
        <v>3953.69</v>
      </c>
      <c r="AP147" s="298">
        <v>2500</v>
      </c>
      <c r="AQ147" s="298">
        <v>5407.37</v>
      </c>
      <c r="AR147" s="299" t="s">
        <v>111</v>
      </c>
      <c r="AS147" s="188"/>
    </row>
    <row r="148" spans="1:45">
      <c r="A148" s="286">
        <v>142</v>
      </c>
      <c r="B148" s="81" t="str">
        <f>'Encargos e Benefícios'!B147</f>
        <v>Terapeuta Ocupacional</v>
      </c>
      <c r="C148" s="287">
        <f>'Encargos e Benefícios'!C147</f>
        <v>1</v>
      </c>
      <c r="D148" s="288">
        <v>30</v>
      </c>
      <c r="E148" s="300">
        <v>45658</v>
      </c>
      <c r="F148" s="301">
        <v>47058</v>
      </c>
      <c r="G148" s="293"/>
      <c r="H148" s="294"/>
      <c r="I148" s="256"/>
      <c r="J148" s="256"/>
      <c r="K148" s="256"/>
      <c r="L148" s="256"/>
      <c r="M148" s="293">
        <v>45778</v>
      </c>
      <c r="N148" s="294">
        <v>5.8400000000000001E-2</v>
      </c>
      <c r="O148" s="256">
        <f>'Encargos e Benefícios'!W147*5.84%</f>
        <v>30.905280000000001</v>
      </c>
      <c r="P148" s="256">
        <f>('Encargos e Benefícios'!X147+'Encargos e Benefícios'!Y147+'Encargos e Benefícios'!Z147+'Encargos e Benefícios'!AA147+'Encargos e Benefícios'!AB147)*5.84%</f>
        <v>18.235399999999998</v>
      </c>
      <c r="Q148" s="256">
        <f>'Encargos e Benefícios'!V147*5.84%</f>
        <v>6.521528</v>
      </c>
      <c r="R148" s="256"/>
      <c r="S148" s="293">
        <v>46143</v>
      </c>
      <c r="T148" s="294">
        <v>5.8400000000000001E-2</v>
      </c>
      <c r="U148" s="256">
        <f>('Encargos e Benefícios'!W147+'Gastos com Pessoal'!O148)*5.84%</f>
        <v>32.710148351999997</v>
      </c>
      <c r="V148" s="256">
        <f>('Encargos e Benefícios'!X147+'Encargos e Benefícios'!Y147+'Encargos e Benefícios'!Z147+'Encargos e Benefícios'!AA147+'Encargos e Benefícios'!AB147+'Gastos com Pessoal'!P148)*5.84%</f>
        <v>19.300347360000004</v>
      </c>
      <c r="W148" s="256">
        <f>('Encargos e Benefícios'!V147+'Gastos com Pessoal'!Q148)*5.84%</f>
        <v>6.9023852352000006</v>
      </c>
      <c r="X148" s="256"/>
      <c r="Y148" s="293">
        <v>46508</v>
      </c>
      <c r="Z148" s="294">
        <v>5.8400000000000001E-2</v>
      </c>
      <c r="AA148" s="256">
        <f>('Encargos e Benefícios'!W147+'Gastos com Pessoal'!O148+'Gastos com Pessoal'!U148)*5.84%</f>
        <v>34.620421015756804</v>
      </c>
      <c r="AB148" s="256">
        <f>('Encargos e Benefícios'!X147+'Encargos e Benefícios'!Y147+'Encargos e Benefícios'!Z147+'Encargos e Benefícios'!AA147+'Encargos e Benefícios'!AB147+'Gastos com Pessoal'!P148+'Gastos com Pessoal'!V148)*5.84%</f>
        <v>20.427487645824002</v>
      </c>
      <c r="AC148" s="256">
        <f>('Encargos e Benefícios'!V147+'Gastos com Pessoal'!Q148+'Gastos com Pessoal'!W148)*5.84%</f>
        <v>7.3054845329356803</v>
      </c>
      <c r="AD148" s="256"/>
      <c r="AE148" s="293">
        <v>46874</v>
      </c>
      <c r="AF148" s="294">
        <v>5.8400000000000001E-2</v>
      </c>
      <c r="AG148" s="256">
        <f>('Encargos e Benefícios'!W147+'Gastos com Pessoal'!O148+'Gastos com Pessoal'!U148+'Gastos com Pessoal'!AA148)*5.84%</f>
        <v>36.642253603077002</v>
      </c>
      <c r="AH148" s="256">
        <f>('Encargos e Benefícios'!X147+'Encargos e Benefícios'!Y147+'Encargos e Benefícios'!Z147+'Encargos e Benefícios'!AA147+'Encargos e Benefícios'!AB147+'Gastos com Pessoal'!P148+'Gastos com Pessoal'!V148+'Gastos com Pessoal'!AB148)*5.84%</f>
        <v>21.620452924340121</v>
      </c>
      <c r="AI148" s="256">
        <f>('Encargos e Benefícios'!V147+'Gastos com Pessoal'!Q148+'Gastos com Pessoal'!W148+'Gastos com Pessoal'!AC148)*5.84%</f>
        <v>7.7321248296591243</v>
      </c>
      <c r="AJ148" s="257"/>
      <c r="AK148" s="296">
        <f>'Encargos e Benefícios'!D147</f>
        <v>2751.84</v>
      </c>
      <c r="AL148" s="296">
        <f>IF('Encargos e Benefícios'!C147=0,0,'Encargos e Benefícios'!U147/'Encargos e Benefícios'!C147)</f>
        <v>2198.8730400000004</v>
      </c>
      <c r="AM148" s="296">
        <f>IF('Encargos e Benefícios'!C147=0,0,'Encargos e Benefícios'!AC147/'Encargos e Benefícios'!C147)</f>
        <v>953.12000000000012</v>
      </c>
      <c r="AN148" s="297">
        <f>IF('Encargos e Benefícios'!C147=0,0,'Encargos e Benefícios'!AD147/'Encargos e Benefícios'!C147)</f>
        <v>5903.8330400000004</v>
      </c>
      <c r="AO148" s="188">
        <v>2422.3000000000002</v>
      </c>
      <c r="AP148" s="298">
        <v>1932.61</v>
      </c>
      <c r="AQ148" s="298">
        <v>2911.99</v>
      </c>
      <c r="AR148" s="299" t="s">
        <v>111</v>
      </c>
      <c r="AS148" s="188"/>
    </row>
    <row r="149" spans="1:45">
      <c r="A149" s="286">
        <v>143</v>
      </c>
      <c r="B149" s="81" t="str">
        <f>'Encargos e Benefícios'!B148</f>
        <v>Administrativo</v>
      </c>
      <c r="C149" s="287">
        <f>'Encargos e Benefícios'!C148</f>
        <v>1</v>
      </c>
      <c r="D149" s="288">
        <v>40</v>
      </c>
      <c r="E149" s="300">
        <v>45658</v>
      </c>
      <c r="F149" s="301">
        <v>47058</v>
      </c>
      <c r="G149" s="293"/>
      <c r="H149" s="294"/>
      <c r="I149" s="256"/>
      <c r="J149" s="256"/>
      <c r="K149" s="256"/>
      <c r="L149" s="256"/>
      <c r="M149" s="293">
        <v>45778</v>
      </c>
      <c r="N149" s="294">
        <v>5.8400000000000001E-2</v>
      </c>
      <c r="O149" s="256">
        <f>'Encargos e Benefícios'!W148*5.84%</f>
        <v>30.905280000000001</v>
      </c>
      <c r="P149" s="256">
        <f>('Encargos e Benefícios'!X148+'Encargos e Benefícios'!Y148+'Encargos e Benefícios'!Z148+'Encargos e Benefícios'!AA148+'Encargos e Benefícios'!AB148)*5.84%</f>
        <v>18.235399999999998</v>
      </c>
      <c r="Q149" s="256">
        <f>'Encargos e Benefícios'!V148*5.84%</f>
        <v>6.521528</v>
      </c>
      <c r="R149" s="256"/>
      <c r="S149" s="293">
        <v>46143</v>
      </c>
      <c r="T149" s="294">
        <v>5.8400000000000001E-2</v>
      </c>
      <c r="U149" s="256">
        <f>('Encargos e Benefícios'!W148+'Gastos com Pessoal'!O149)*5.84%</f>
        <v>32.710148351999997</v>
      </c>
      <c r="V149" s="256">
        <f>('Encargos e Benefícios'!X148+'Encargos e Benefícios'!Y148+'Encargos e Benefícios'!Z148+'Encargos e Benefícios'!AA148+'Encargos e Benefícios'!AB148+'Gastos com Pessoal'!P149)*5.84%</f>
        <v>19.300347360000004</v>
      </c>
      <c r="W149" s="256">
        <f>('Encargos e Benefícios'!V148+'Gastos com Pessoal'!Q149)*5.84%</f>
        <v>6.9023852352000006</v>
      </c>
      <c r="X149" s="256"/>
      <c r="Y149" s="293">
        <v>46508</v>
      </c>
      <c r="Z149" s="294">
        <v>5.8400000000000001E-2</v>
      </c>
      <c r="AA149" s="256">
        <f>('Encargos e Benefícios'!W148+'Gastos com Pessoal'!O149+'Gastos com Pessoal'!U149)*5.84%</f>
        <v>34.620421015756804</v>
      </c>
      <c r="AB149" s="256">
        <f>('Encargos e Benefícios'!X148+'Encargos e Benefícios'!Y148+'Encargos e Benefícios'!Z148+'Encargos e Benefícios'!AA148+'Encargos e Benefícios'!AB148+'Gastos com Pessoal'!P149+'Gastos com Pessoal'!V149)*5.84%</f>
        <v>20.427487645824002</v>
      </c>
      <c r="AC149" s="256">
        <f>('Encargos e Benefícios'!V148+'Gastos com Pessoal'!Q149+'Gastos com Pessoal'!W149)*5.84%</f>
        <v>7.3054845329356803</v>
      </c>
      <c r="AD149" s="256"/>
      <c r="AE149" s="293">
        <v>46874</v>
      </c>
      <c r="AF149" s="294">
        <v>5.8400000000000001E-2</v>
      </c>
      <c r="AG149" s="256">
        <f>('Encargos e Benefícios'!W148+'Gastos com Pessoal'!O149+'Gastos com Pessoal'!U149+'Gastos com Pessoal'!AA149)*5.84%</f>
        <v>36.642253603077002</v>
      </c>
      <c r="AH149" s="256">
        <f>('Encargos e Benefícios'!X148+'Encargos e Benefícios'!Y148+'Encargos e Benefícios'!Z148+'Encargos e Benefícios'!AA148+'Encargos e Benefícios'!AB148+'Gastos com Pessoal'!P149+'Gastos com Pessoal'!V149+'Gastos com Pessoal'!AB149)*5.84%</f>
        <v>21.620452924340121</v>
      </c>
      <c r="AI149" s="256">
        <f>('Encargos e Benefícios'!V148+'Gastos com Pessoal'!Q149+'Gastos com Pessoal'!W149+'Gastos com Pessoal'!AC149)*5.84%</f>
        <v>7.7321248296591243</v>
      </c>
      <c r="AJ149" s="257"/>
      <c r="AK149" s="296">
        <f>'Encargos e Benefícios'!D148</f>
        <v>1852.2</v>
      </c>
      <c r="AL149" s="296">
        <f>IF('Encargos e Benefícios'!C148=0,0,'Encargos e Benefícios'!U148/'Encargos e Benefícios'!C148)</f>
        <v>1480.0106999999996</v>
      </c>
      <c r="AM149" s="296">
        <f>IF('Encargos e Benefícios'!C148=0,0,'Encargos e Benefícios'!AC148/'Encargos e Benefícios'!C148)</f>
        <v>953.12000000000012</v>
      </c>
      <c r="AN149" s="297">
        <f>IF('Encargos e Benefícios'!C148=0,0,'Encargos e Benefícios'!AD148/'Encargos e Benefícios'!C148)</f>
        <v>4285.3306999999995</v>
      </c>
      <c r="AO149" s="188">
        <v>2097.83</v>
      </c>
      <c r="AP149" s="298">
        <v>1500</v>
      </c>
      <c r="AQ149" s="298">
        <v>2695.66</v>
      </c>
      <c r="AR149" s="299" t="s">
        <v>111</v>
      </c>
      <c r="AS149" s="188"/>
    </row>
    <row r="150" spans="1:45">
      <c r="A150" s="286">
        <v>144</v>
      </c>
      <c r="B150" s="81" t="str">
        <f>'Encargos e Benefícios'!B149</f>
        <v>Auxiliar Educacional</v>
      </c>
      <c r="C150" s="287">
        <f>'Encargos e Benefícios'!C149</f>
        <v>1</v>
      </c>
      <c r="D150" s="288">
        <v>30</v>
      </c>
      <c r="E150" s="300">
        <v>45658</v>
      </c>
      <c r="F150" s="301">
        <v>47058</v>
      </c>
      <c r="G150" s="293"/>
      <c r="H150" s="294"/>
      <c r="I150" s="256"/>
      <c r="J150" s="256"/>
      <c r="K150" s="256"/>
      <c r="L150" s="256"/>
      <c r="M150" s="293">
        <v>45778</v>
      </c>
      <c r="N150" s="294">
        <v>5.8400000000000001E-2</v>
      </c>
      <c r="O150" s="256">
        <f>'Encargos e Benefícios'!W149*5.84%</f>
        <v>30.905280000000001</v>
      </c>
      <c r="P150" s="256">
        <f>('Encargos e Benefícios'!X149+'Encargos e Benefícios'!Y149+'Encargos e Benefícios'!Z149+'Encargos e Benefícios'!AA149+'Encargos e Benefícios'!AB149)*5.84%</f>
        <v>18.235399999999998</v>
      </c>
      <c r="Q150" s="256">
        <f>'Encargos e Benefícios'!V149*5.84%</f>
        <v>6.521528</v>
      </c>
      <c r="R150" s="256"/>
      <c r="S150" s="293">
        <v>46143</v>
      </c>
      <c r="T150" s="294">
        <v>5.8400000000000001E-2</v>
      </c>
      <c r="U150" s="256">
        <f>('Encargos e Benefícios'!W149+'Gastos com Pessoal'!O150)*5.84%</f>
        <v>32.710148351999997</v>
      </c>
      <c r="V150" s="256">
        <f>('Encargos e Benefícios'!X149+'Encargos e Benefícios'!Y149+'Encargos e Benefícios'!Z149+'Encargos e Benefícios'!AA149+'Encargos e Benefícios'!AB149+'Gastos com Pessoal'!P150)*5.84%</f>
        <v>19.300347360000004</v>
      </c>
      <c r="W150" s="256">
        <f>('Encargos e Benefícios'!V149+'Gastos com Pessoal'!Q150)*5.84%</f>
        <v>6.9023852352000006</v>
      </c>
      <c r="X150" s="256"/>
      <c r="Y150" s="293">
        <v>46508</v>
      </c>
      <c r="Z150" s="294">
        <v>5.8400000000000001E-2</v>
      </c>
      <c r="AA150" s="256">
        <f>('Encargos e Benefícios'!W149+'Gastos com Pessoal'!O150+'Gastos com Pessoal'!U150)*5.84%</f>
        <v>34.620421015756804</v>
      </c>
      <c r="AB150" s="256">
        <f>('Encargos e Benefícios'!X149+'Encargos e Benefícios'!Y149+'Encargos e Benefícios'!Z149+'Encargos e Benefícios'!AA149+'Encargos e Benefícios'!AB149+'Gastos com Pessoal'!P150+'Gastos com Pessoal'!V150)*5.84%</f>
        <v>20.427487645824002</v>
      </c>
      <c r="AC150" s="256">
        <f>('Encargos e Benefícios'!V149+'Gastos com Pessoal'!Q150+'Gastos com Pessoal'!W150)*5.84%</f>
        <v>7.3054845329356803</v>
      </c>
      <c r="AD150" s="256"/>
      <c r="AE150" s="293">
        <v>46874</v>
      </c>
      <c r="AF150" s="294">
        <v>5.8400000000000001E-2</v>
      </c>
      <c r="AG150" s="256">
        <f>('Encargos e Benefícios'!W149+'Gastos com Pessoal'!O150+'Gastos com Pessoal'!U150+'Gastos com Pessoal'!AA150)*5.84%</f>
        <v>36.642253603077002</v>
      </c>
      <c r="AH150" s="256">
        <f>('Encargos e Benefícios'!X149+'Encargos e Benefícios'!Y149+'Encargos e Benefícios'!Z149+'Encargos e Benefícios'!AA149+'Encargos e Benefícios'!AB149+'Gastos com Pessoal'!P150+'Gastos com Pessoal'!V150+'Gastos com Pessoal'!AB150)*5.84%</f>
        <v>21.620452924340121</v>
      </c>
      <c r="AI150" s="256">
        <f>('Encargos e Benefícios'!V149+'Gastos com Pessoal'!Q150+'Gastos com Pessoal'!W150+'Gastos com Pessoal'!AC150)*5.84%</f>
        <v>7.7321248296591243</v>
      </c>
      <c r="AJ150" s="257"/>
      <c r="AK150" s="296">
        <f>'Encargos e Benefícios'!D149</f>
        <v>1737.89</v>
      </c>
      <c r="AL150" s="296">
        <f>IF('Encargos e Benefícios'!C149=0,0,'Encargos e Benefícios'!U149/'Encargos e Benefícios'!C149)</f>
        <v>1388.6706594444449</v>
      </c>
      <c r="AM150" s="296">
        <f>IF('Encargos e Benefícios'!C149=0,0,'Encargos e Benefícios'!AC149/'Encargos e Benefícios'!C149)</f>
        <v>953.12000000000012</v>
      </c>
      <c r="AN150" s="297">
        <f>IF('Encargos e Benefícios'!C149=0,0,'Encargos e Benefícios'!AD149/'Encargos e Benefícios'!C149)</f>
        <v>4079.6806594444452</v>
      </c>
      <c r="AO150" s="188">
        <v>1750.23</v>
      </c>
      <c r="AP150" s="298">
        <v>1500</v>
      </c>
      <c r="AQ150" s="298">
        <v>2000.45</v>
      </c>
      <c r="AR150" s="299" t="s">
        <v>111</v>
      </c>
      <c r="AS150" s="188"/>
    </row>
    <row r="151" spans="1:45">
      <c r="A151" s="286">
        <v>145</v>
      </c>
      <c r="B151" s="81" t="str">
        <f>'Encargos e Benefícios'!B150</f>
        <v>Auxiliar de Serviços Gerais</v>
      </c>
      <c r="C151" s="287">
        <f>'Encargos e Benefícios'!C150</f>
        <v>1</v>
      </c>
      <c r="D151" s="288">
        <v>30</v>
      </c>
      <c r="E151" s="300">
        <v>45658</v>
      </c>
      <c r="F151" s="301">
        <v>47058</v>
      </c>
      <c r="G151" s="293"/>
      <c r="H151" s="294"/>
      <c r="I151" s="256"/>
      <c r="J151" s="256"/>
      <c r="K151" s="256"/>
      <c r="L151" s="256"/>
      <c r="M151" s="293">
        <v>45778</v>
      </c>
      <c r="N151" s="294">
        <v>5.8400000000000001E-2</v>
      </c>
      <c r="O151" s="256">
        <f>'Encargos e Benefícios'!W150*5.84%</f>
        <v>30.905280000000001</v>
      </c>
      <c r="P151" s="256">
        <f>('Encargos e Benefícios'!X150+'Encargos e Benefícios'!Y150+'Encargos e Benefícios'!Z150+'Encargos e Benefícios'!AA150+'Encargos e Benefícios'!AB150)*5.84%</f>
        <v>18.235399999999998</v>
      </c>
      <c r="Q151" s="256">
        <f>'Encargos e Benefícios'!V150*5.84%</f>
        <v>6.521528</v>
      </c>
      <c r="R151" s="256"/>
      <c r="S151" s="293">
        <v>46143</v>
      </c>
      <c r="T151" s="294">
        <v>5.8400000000000001E-2</v>
      </c>
      <c r="U151" s="256">
        <f>('Encargos e Benefícios'!W150+'Gastos com Pessoal'!O151)*5.84%</f>
        <v>32.710148351999997</v>
      </c>
      <c r="V151" s="256">
        <f>('Encargos e Benefícios'!X150+'Encargos e Benefícios'!Y150+'Encargos e Benefícios'!Z150+'Encargos e Benefícios'!AA150+'Encargos e Benefícios'!AB150+'Gastos com Pessoal'!P151)*5.84%</f>
        <v>19.300347360000004</v>
      </c>
      <c r="W151" s="256">
        <f>('Encargos e Benefícios'!V150+'Gastos com Pessoal'!Q151)*5.84%</f>
        <v>6.9023852352000006</v>
      </c>
      <c r="X151" s="256"/>
      <c r="Y151" s="293">
        <v>46508</v>
      </c>
      <c r="Z151" s="294">
        <v>5.8400000000000001E-2</v>
      </c>
      <c r="AA151" s="256">
        <f>('Encargos e Benefícios'!W150+'Gastos com Pessoal'!O151+'Gastos com Pessoal'!U151)*5.84%</f>
        <v>34.620421015756804</v>
      </c>
      <c r="AB151" s="256">
        <f>('Encargos e Benefícios'!X150+'Encargos e Benefícios'!Y150+'Encargos e Benefícios'!Z150+'Encargos e Benefícios'!AA150+'Encargos e Benefícios'!AB150+'Gastos com Pessoal'!P151+'Gastos com Pessoal'!V151)*5.84%</f>
        <v>20.427487645824002</v>
      </c>
      <c r="AC151" s="256">
        <f>('Encargos e Benefícios'!V150+'Gastos com Pessoal'!Q151+'Gastos com Pessoal'!W151)*5.84%</f>
        <v>7.3054845329356803</v>
      </c>
      <c r="AD151" s="256"/>
      <c r="AE151" s="293">
        <v>46874</v>
      </c>
      <c r="AF151" s="294">
        <v>5.8400000000000001E-2</v>
      </c>
      <c r="AG151" s="256">
        <f>('Encargos e Benefícios'!W150+'Gastos com Pessoal'!O151+'Gastos com Pessoal'!U151+'Gastos com Pessoal'!AA151)*5.84%</f>
        <v>36.642253603077002</v>
      </c>
      <c r="AH151" s="256">
        <f>('Encargos e Benefícios'!X150+'Encargos e Benefícios'!Y150+'Encargos e Benefícios'!Z150+'Encargos e Benefícios'!AA150+'Encargos e Benefícios'!AB150+'Gastos com Pessoal'!P151+'Gastos com Pessoal'!V151+'Gastos com Pessoal'!AB151)*5.84%</f>
        <v>21.620452924340121</v>
      </c>
      <c r="AI151" s="256">
        <f>('Encargos e Benefícios'!V150+'Gastos com Pessoal'!Q151+'Gastos com Pessoal'!W151+'Gastos com Pessoal'!AC151)*5.84%</f>
        <v>7.7321248296591243</v>
      </c>
      <c r="AJ151" s="257"/>
      <c r="AK151" s="296">
        <f>'Encargos e Benefícios'!D150</f>
        <v>1465.88</v>
      </c>
      <c r="AL151" s="296">
        <f>IF('Encargos e Benefícios'!C150=0,0,'Encargos e Benefícios'!U150/'Encargos e Benefícios'!C150)</f>
        <v>1171.3195577777778</v>
      </c>
      <c r="AM151" s="296">
        <f>IF('Encargos e Benefícios'!C150=0,0,'Encargos e Benefícios'!AC150/'Encargos e Benefícios'!C150)</f>
        <v>953.12000000000012</v>
      </c>
      <c r="AN151" s="297">
        <f>IF('Encargos e Benefícios'!C150=0,0,'Encargos e Benefícios'!AD150/'Encargos e Benefícios'!C150)</f>
        <v>3590.3195577777778</v>
      </c>
      <c r="AO151" s="188">
        <v>1437.37</v>
      </c>
      <c r="AP151" s="298">
        <v>1302</v>
      </c>
      <c r="AQ151" s="298">
        <v>1572.74</v>
      </c>
      <c r="AR151" s="299" t="s">
        <v>111</v>
      </c>
      <c r="AS151" s="188"/>
    </row>
    <row r="152" spans="1:45">
      <c r="A152" s="286">
        <v>146</v>
      </c>
      <c r="B152" s="81" t="str">
        <f>'Encargos e Benefícios'!B151</f>
        <v>Motorista</v>
      </c>
      <c r="C152" s="287">
        <f>'Encargos e Benefícios'!C151</f>
        <v>1</v>
      </c>
      <c r="D152" s="288">
        <v>40</v>
      </c>
      <c r="E152" s="300">
        <v>45658</v>
      </c>
      <c r="F152" s="301">
        <v>47058</v>
      </c>
      <c r="G152" s="293"/>
      <c r="H152" s="294"/>
      <c r="I152" s="256"/>
      <c r="J152" s="256"/>
      <c r="K152" s="256"/>
      <c r="L152" s="256"/>
      <c r="M152" s="293">
        <v>45778</v>
      </c>
      <c r="N152" s="294">
        <v>5.8400000000000001E-2</v>
      </c>
      <c r="O152" s="256">
        <f>'Encargos e Benefícios'!W151*5.84%</f>
        <v>30.905280000000001</v>
      </c>
      <c r="P152" s="256">
        <f>('Encargos e Benefícios'!X151+'Encargos e Benefícios'!Y151+'Encargos e Benefícios'!Z151+'Encargos e Benefícios'!AA151+'Encargos e Benefícios'!AB151)*5.84%</f>
        <v>18.235399999999998</v>
      </c>
      <c r="Q152" s="256">
        <f>'Encargos e Benefícios'!V151*5.84%</f>
        <v>6.521528</v>
      </c>
      <c r="R152" s="256"/>
      <c r="S152" s="293">
        <v>46143</v>
      </c>
      <c r="T152" s="294">
        <v>5.8400000000000001E-2</v>
      </c>
      <c r="U152" s="256">
        <f>('Encargos e Benefícios'!W151+'Gastos com Pessoal'!O152)*5.84%</f>
        <v>32.710148351999997</v>
      </c>
      <c r="V152" s="256">
        <f>('Encargos e Benefícios'!X151+'Encargos e Benefícios'!Y151+'Encargos e Benefícios'!Z151+'Encargos e Benefícios'!AA151+'Encargos e Benefícios'!AB151+'Gastos com Pessoal'!P152)*5.84%</f>
        <v>19.300347360000004</v>
      </c>
      <c r="W152" s="256">
        <f>('Encargos e Benefícios'!V151+'Gastos com Pessoal'!Q152)*5.84%</f>
        <v>6.9023852352000006</v>
      </c>
      <c r="X152" s="256"/>
      <c r="Y152" s="293">
        <v>46508</v>
      </c>
      <c r="Z152" s="294">
        <v>5.8400000000000001E-2</v>
      </c>
      <c r="AA152" s="256">
        <f>('Encargos e Benefícios'!W151+'Gastos com Pessoal'!O152+'Gastos com Pessoal'!U152)*5.84%</f>
        <v>34.620421015756804</v>
      </c>
      <c r="AB152" s="256">
        <f>('Encargos e Benefícios'!X151+'Encargos e Benefícios'!Y151+'Encargos e Benefícios'!Z151+'Encargos e Benefícios'!AA151+'Encargos e Benefícios'!AB151+'Gastos com Pessoal'!P152+'Gastos com Pessoal'!V152)*5.84%</f>
        <v>20.427487645824002</v>
      </c>
      <c r="AC152" s="256">
        <f>('Encargos e Benefícios'!V151+'Gastos com Pessoal'!Q152+'Gastos com Pessoal'!W152)*5.84%</f>
        <v>7.3054845329356803</v>
      </c>
      <c r="AD152" s="256"/>
      <c r="AE152" s="293">
        <v>46874</v>
      </c>
      <c r="AF152" s="294">
        <v>5.8400000000000001E-2</v>
      </c>
      <c r="AG152" s="256">
        <f>('Encargos e Benefícios'!W151+'Gastos com Pessoal'!O152+'Gastos com Pessoal'!U152+'Gastos com Pessoal'!AA152)*5.84%</f>
        <v>36.642253603077002</v>
      </c>
      <c r="AH152" s="256">
        <f>('Encargos e Benefícios'!X151+'Encargos e Benefícios'!Y151+'Encargos e Benefícios'!Z151+'Encargos e Benefícios'!AA151+'Encargos e Benefícios'!AB151+'Gastos com Pessoal'!P152+'Gastos com Pessoal'!V152+'Gastos com Pessoal'!AB152)*5.84%</f>
        <v>21.620452924340121</v>
      </c>
      <c r="AI152" s="256">
        <f>('Encargos e Benefícios'!V151+'Gastos com Pessoal'!Q152+'Gastos com Pessoal'!W152+'Gastos com Pessoal'!AC152)*5.84%</f>
        <v>7.7321248296591243</v>
      </c>
      <c r="AJ152" s="257"/>
      <c r="AK152" s="296">
        <f>'Encargos e Benefícios'!D151</f>
        <v>1537.21</v>
      </c>
      <c r="AL152" s="296">
        <f>IF('Encargos e Benefícios'!C151=0,0,'Encargos e Benefícios'!U151/'Encargos e Benefícios'!C151)</f>
        <v>1228.3161905555557</v>
      </c>
      <c r="AM152" s="296">
        <f>IF('Encargos e Benefícios'!C151=0,0,'Encargos e Benefícios'!AC151/'Encargos e Benefícios'!C151)</f>
        <v>953.12000000000012</v>
      </c>
      <c r="AN152" s="297">
        <f>IF('Encargos e Benefícios'!C151=0,0,'Encargos e Benefícios'!AD151/'Encargos e Benefícios'!C151)</f>
        <v>3718.6461905555561</v>
      </c>
      <c r="AO152" s="188">
        <v>2046.28</v>
      </c>
      <c r="AP152" s="298">
        <v>1212</v>
      </c>
      <c r="AQ152" s="298">
        <v>2880.55</v>
      </c>
      <c r="AR152" s="299" t="s">
        <v>111</v>
      </c>
      <c r="AS152" s="188"/>
    </row>
    <row r="153" spans="1:45">
      <c r="A153" s="286">
        <v>147</v>
      </c>
      <c r="B153" s="81" t="str">
        <f>'Encargos e Benefícios'!B152</f>
        <v>Socioeducador - DC</v>
      </c>
      <c r="C153" s="287">
        <f>'Encargos e Benefícios'!C152</f>
        <v>2</v>
      </c>
      <c r="D153" s="288" t="s">
        <v>496</v>
      </c>
      <c r="E153" s="300">
        <v>45658</v>
      </c>
      <c r="F153" s="301">
        <v>47058</v>
      </c>
      <c r="G153" s="293"/>
      <c r="H153" s="294"/>
      <c r="I153" s="256"/>
      <c r="J153" s="256"/>
      <c r="K153" s="256"/>
      <c r="L153" s="256"/>
      <c r="M153" s="293">
        <v>45778</v>
      </c>
      <c r="N153" s="294">
        <v>5.8400000000000001E-2</v>
      </c>
      <c r="O153" s="256">
        <f>'Encargos e Benefícios'!W152*5.84%</f>
        <v>61.810560000000002</v>
      </c>
      <c r="P153" s="256">
        <f>('Encargos e Benefícios'!X152+'Encargos e Benefícios'!Y152+'Encargos e Benefícios'!Z152+'Encargos e Benefícios'!AA152+'Encargos e Benefícios'!AB152)*5.84%</f>
        <v>36.470799999999997</v>
      </c>
      <c r="Q153" s="256">
        <f>'Encargos e Benefícios'!V152*5.84%</f>
        <v>8.8931520000000006</v>
      </c>
      <c r="R153" s="256"/>
      <c r="S153" s="293">
        <v>46143</v>
      </c>
      <c r="T153" s="294">
        <v>5.8400000000000001E-2</v>
      </c>
      <c r="U153" s="256">
        <f>('Encargos e Benefícios'!W152+'Gastos com Pessoal'!O153)*5.84%</f>
        <v>65.420296703999995</v>
      </c>
      <c r="V153" s="256">
        <f>('Encargos e Benefícios'!X152+'Encargos e Benefícios'!Y152+'Encargos e Benefícios'!Z152+'Encargos e Benefícios'!AA152+'Encargos e Benefícios'!AB152+'Gastos com Pessoal'!P153)*5.84%</f>
        <v>38.600694720000007</v>
      </c>
      <c r="W153" s="256">
        <f>('Encargos e Benefícios'!V152+'Gastos com Pessoal'!Q153)*5.84%</f>
        <v>9.4125120768000006</v>
      </c>
      <c r="X153" s="256"/>
      <c r="Y153" s="293">
        <v>46508</v>
      </c>
      <c r="Z153" s="294">
        <v>5.8400000000000001E-2</v>
      </c>
      <c r="AA153" s="256">
        <f>('Encargos e Benefícios'!W152+'Gastos com Pessoal'!O153+'Gastos com Pessoal'!U153)*5.84%</f>
        <v>69.240842031513608</v>
      </c>
      <c r="AB153" s="256">
        <f>('Encargos e Benefícios'!X152+'Encargos e Benefícios'!Y152+'Encargos e Benefícios'!Z152+'Encargos e Benefícios'!AA152+'Encargos e Benefícios'!AB152+'Gastos com Pessoal'!P153+'Gastos com Pessoal'!V153)*5.84%</f>
        <v>40.854975291648003</v>
      </c>
      <c r="AC153" s="256">
        <f>('Encargos e Benefícios'!V152+'Gastos com Pessoal'!Q153+'Gastos com Pessoal'!W153)*5.84%</f>
        <v>9.9622027820851216</v>
      </c>
      <c r="AD153" s="256"/>
      <c r="AE153" s="293">
        <v>46874</v>
      </c>
      <c r="AF153" s="294">
        <v>5.8400000000000001E-2</v>
      </c>
      <c r="AG153" s="256">
        <f>('Encargos e Benefícios'!W152+'Gastos com Pessoal'!O153+'Gastos com Pessoal'!U153+'Gastos com Pessoal'!AA153)*5.84%</f>
        <v>73.284507206154004</v>
      </c>
      <c r="AH153" s="256">
        <f>('Encargos e Benefícios'!X152+'Encargos e Benefícios'!Y152+'Encargos e Benefícios'!Z152+'Encargos e Benefícios'!AA152+'Encargos e Benefícios'!AB152+'Gastos com Pessoal'!P153+'Gastos com Pessoal'!V153+'Gastos com Pessoal'!AB153)*5.84%</f>
        <v>43.240905848680242</v>
      </c>
      <c r="AI153" s="256">
        <f>('Encargos e Benefícios'!V152+'Gastos com Pessoal'!Q153+'Gastos com Pessoal'!W153+'Gastos com Pessoal'!AC153)*5.84%</f>
        <v>10.543995424558892</v>
      </c>
      <c r="AJ153" s="257"/>
      <c r="AK153" s="296">
        <f>'Encargos e Benefícios'!D152</f>
        <v>2010.96</v>
      </c>
      <c r="AL153" s="296">
        <f>IF('Encargos e Benefícios'!C152=0,0,'Encargos e Benefícios'!U152/'Encargos e Benefícios'!C152)</f>
        <v>2942.4053904000002</v>
      </c>
      <c r="AM153" s="296">
        <f>IF('Encargos e Benefícios'!C152=0,0,'Encargos e Benefícios'!AC152/'Encargos e Benefícios'!C152)</f>
        <v>917.59000000000015</v>
      </c>
      <c r="AN153" s="297">
        <f>IF('Encargos e Benefícios'!C152=0,0,'Encargos e Benefícios'!AD152/'Encargos e Benefícios'!C152)</f>
        <v>5870.9553904000004</v>
      </c>
      <c r="AO153" s="188">
        <v>2752.21</v>
      </c>
      <c r="AP153" s="298">
        <v>1764.5</v>
      </c>
      <c r="AQ153" s="298">
        <v>3739.92</v>
      </c>
      <c r="AR153" s="299" t="s">
        <v>111</v>
      </c>
      <c r="AS153" s="188"/>
    </row>
    <row r="154" spans="1:45">
      <c r="A154" s="286">
        <v>148</v>
      </c>
      <c r="B154" s="81" t="str">
        <f>'Encargos e Benefícios'!B153</f>
        <v>Socioeducador - D</v>
      </c>
      <c r="C154" s="287">
        <f>'Encargos e Benefícios'!C153</f>
        <v>12</v>
      </c>
      <c r="D154" s="288" t="s">
        <v>496</v>
      </c>
      <c r="E154" s="300">
        <v>45658</v>
      </c>
      <c r="F154" s="301">
        <v>47058</v>
      </c>
      <c r="G154" s="293"/>
      <c r="H154" s="294"/>
      <c r="I154" s="256"/>
      <c r="J154" s="256"/>
      <c r="K154" s="256"/>
      <c r="L154" s="256"/>
      <c r="M154" s="293">
        <v>45778</v>
      </c>
      <c r="N154" s="294">
        <v>5.8400000000000001E-2</v>
      </c>
      <c r="O154" s="256">
        <f>'Encargos e Benefícios'!W153*5.84%</f>
        <v>370.86336000000006</v>
      </c>
      <c r="P154" s="256">
        <f>('Encargos e Benefícios'!X153+'Encargos e Benefícios'!Y153+'Encargos e Benefícios'!Z153+'Encargos e Benefícios'!AA153+'Encargos e Benefícios'!AB153)*5.84%</f>
        <v>218.82480000000001</v>
      </c>
      <c r="Q154" s="256">
        <f>'Encargos e Benefícios'!V153*5.84%</f>
        <v>53.358912000000004</v>
      </c>
      <c r="R154" s="256"/>
      <c r="S154" s="293">
        <v>46143</v>
      </c>
      <c r="T154" s="294">
        <v>5.8400000000000001E-2</v>
      </c>
      <c r="U154" s="256">
        <f>('Encargos e Benefícios'!W153+'Gastos com Pessoal'!O154)*5.84%</f>
        <v>392.52178022400005</v>
      </c>
      <c r="V154" s="256">
        <f>('Encargos e Benefícios'!X153+'Encargos e Benefícios'!Y153+'Encargos e Benefícios'!Z153+'Encargos e Benefícios'!AA153+'Encargos e Benefícios'!AB153+'Gastos com Pessoal'!P154)*5.84%</f>
        <v>231.60416831999999</v>
      </c>
      <c r="W154" s="256">
        <f>('Encargos e Benefícios'!V153+'Gastos com Pessoal'!Q154)*5.84%</f>
        <v>56.475072460800007</v>
      </c>
      <c r="X154" s="256"/>
      <c r="Y154" s="293">
        <v>46508</v>
      </c>
      <c r="Z154" s="294">
        <v>5.8400000000000001E-2</v>
      </c>
      <c r="AA154" s="256">
        <f>('Encargos e Benefícios'!W153+'Gastos com Pessoal'!O154+'Gastos com Pessoal'!U154)*5.84%</f>
        <v>415.44505218908165</v>
      </c>
      <c r="AB154" s="256">
        <f>('Encargos e Benefícios'!X153+'Encargos e Benefícios'!Y153+'Encargos e Benefícios'!Z153+'Encargos e Benefícios'!AA153+'Encargos e Benefícios'!AB153+'Gastos com Pessoal'!P154+'Gastos com Pessoal'!V154)*5.84%</f>
        <v>245.12985174988796</v>
      </c>
      <c r="AC154" s="256">
        <f>('Encargos e Benefícios'!V153+'Gastos com Pessoal'!Q154+'Gastos com Pessoal'!W154)*5.84%</f>
        <v>59.773216692510722</v>
      </c>
      <c r="AD154" s="256"/>
      <c r="AE154" s="293">
        <v>46874</v>
      </c>
      <c r="AF154" s="294">
        <v>5.8400000000000001E-2</v>
      </c>
      <c r="AG154" s="256">
        <f>('Encargos e Benefícios'!W153+'Gastos com Pessoal'!O154+'Gastos com Pessoal'!U154+'Gastos com Pessoal'!AA154)*5.84%</f>
        <v>439.70704323692399</v>
      </c>
      <c r="AH154" s="256">
        <f>('Encargos e Benefícios'!X153+'Encargos e Benefícios'!Y153+'Encargos e Benefícios'!Z153+'Encargos e Benefícios'!AA153+'Encargos e Benefícios'!AB153+'Gastos com Pessoal'!P154+'Gastos com Pessoal'!V154+'Gastos com Pessoal'!AB154)*5.84%</f>
        <v>259.44543509208142</v>
      </c>
      <c r="AI154" s="256">
        <f>('Encargos e Benefícios'!V153+'Gastos com Pessoal'!Q154+'Gastos com Pessoal'!W154+'Gastos com Pessoal'!AC154)*5.84%</f>
        <v>63.263972547353355</v>
      </c>
      <c r="AJ154" s="257"/>
      <c r="AK154" s="296">
        <f>'Encargos e Benefícios'!D153</f>
        <v>2010.96</v>
      </c>
      <c r="AL154" s="296">
        <f>IF('Encargos e Benefícios'!C153=0,0,'Encargos e Benefícios'!U153/'Encargos e Benefícios'!C153)</f>
        <v>2591.2415003999999</v>
      </c>
      <c r="AM154" s="296">
        <f>IF('Encargos e Benefícios'!C153=0,0,'Encargos e Benefícios'!AC153/'Encargos e Benefícios'!C153)</f>
        <v>917.59</v>
      </c>
      <c r="AN154" s="297">
        <f>IF('Encargos e Benefícios'!C153=0,0,'Encargos e Benefícios'!AD153/'Encargos e Benefícios'!C153)</f>
        <v>5519.7915003999997</v>
      </c>
      <c r="AO154" s="188">
        <v>2752.21</v>
      </c>
      <c r="AP154" s="298">
        <v>1764.5</v>
      </c>
      <c r="AQ154" s="298">
        <v>3739.92</v>
      </c>
      <c r="AR154" s="299" t="s">
        <v>111</v>
      </c>
      <c r="AS154" s="188"/>
    </row>
    <row r="155" spans="1:45">
      <c r="A155" s="286">
        <v>149</v>
      </c>
      <c r="B155" s="81" t="str">
        <f>'Encargos e Benefícios'!B154</f>
        <v>Socioeducador - NC</v>
      </c>
      <c r="C155" s="287">
        <f>'Encargos e Benefícios'!C154</f>
        <v>2</v>
      </c>
      <c r="D155" s="288" t="s">
        <v>496</v>
      </c>
      <c r="E155" s="300">
        <v>45658</v>
      </c>
      <c r="F155" s="301">
        <v>47058</v>
      </c>
      <c r="G155" s="293"/>
      <c r="H155" s="294"/>
      <c r="I155" s="256"/>
      <c r="J155" s="256"/>
      <c r="K155" s="256"/>
      <c r="L155" s="256"/>
      <c r="M155" s="293">
        <v>45778</v>
      </c>
      <c r="N155" s="294">
        <v>5.8400000000000001E-2</v>
      </c>
      <c r="O155" s="256">
        <f>'Encargos e Benefícios'!W154*5.84%</f>
        <v>61.810560000000002</v>
      </c>
      <c r="P155" s="256">
        <f>('Encargos e Benefícios'!X154+'Encargos e Benefícios'!Y154+'Encargos e Benefícios'!Z154+'Encargos e Benefícios'!AA154+'Encargos e Benefícios'!AB154)*5.84%</f>
        <v>36.470799999999997</v>
      </c>
      <c r="Q155" s="256">
        <f>'Encargos e Benefícios'!V154*5.84%</f>
        <v>8.8931520000000006</v>
      </c>
      <c r="R155" s="256"/>
      <c r="S155" s="293">
        <v>46143</v>
      </c>
      <c r="T155" s="294">
        <v>5.8400000000000001E-2</v>
      </c>
      <c r="U155" s="256">
        <f>('Encargos e Benefícios'!W154+'Gastos com Pessoal'!O155)*5.84%</f>
        <v>65.420296703999995</v>
      </c>
      <c r="V155" s="256">
        <f>('Encargos e Benefícios'!X154+'Encargos e Benefícios'!Y154+'Encargos e Benefícios'!Z154+'Encargos e Benefícios'!AA154+'Encargos e Benefícios'!AB154+'Gastos com Pessoal'!P155)*5.84%</f>
        <v>38.600694720000007</v>
      </c>
      <c r="W155" s="256">
        <f>('Encargos e Benefícios'!V154+'Gastos com Pessoal'!Q155)*5.84%</f>
        <v>9.4125120768000006</v>
      </c>
      <c r="X155" s="256"/>
      <c r="Y155" s="293">
        <v>46508</v>
      </c>
      <c r="Z155" s="294">
        <v>5.8400000000000001E-2</v>
      </c>
      <c r="AA155" s="256">
        <f>('Encargos e Benefícios'!W154+'Gastos com Pessoal'!O155+'Gastos com Pessoal'!U155)*5.84%</f>
        <v>69.240842031513608</v>
      </c>
      <c r="AB155" s="256">
        <f>('Encargos e Benefícios'!X154+'Encargos e Benefícios'!Y154+'Encargos e Benefícios'!Z154+'Encargos e Benefícios'!AA154+'Encargos e Benefícios'!AB154+'Gastos com Pessoal'!P155+'Gastos com Pessoal'!V155)*5.84%</f>
        <v>40.854975291648003</v>
      </c>
      <c r="AC155" s="256">
        <f>('Encargos e Benefícios'!V154+'Gastos com Pessoal'!Q155+'Gastos com Pessoal'!W155)*5.84%</f>
        <v>9.9622027820851216</v>
      </c>
      <c r="AD155" s="256"/>
      <c r="AE155" s="293">
        <v>46874</v>
      </c>
      <c r="AF155" s="294">
        <v>5.8400000000000001E-2</v>
      </c>
      <c r="AG155" s="256">
        <f>('Encargos e Benefícios'!W154+'Gastos com Pessoal'!O155+'Gastos com Pessoal'!U155+'Gastos com Pessoal'!AA155)*5.84%</f>
        <v>73.284507206154004</v>
      </c>
      <c r="AH155" s="256">
        <f>('Encargos e Benefícios'!X154+'Encargos e Benefícios'!Y154+'Encargos e Benefícios'!Z154+'Encargos e Benefícios'!AA154+'Encargos e Benefícios'!AB154+'Gastos com Pessoal'!P155+'Gastos com Pessoal'!V155+'Gastos com Pessoal'!AB155)*5.84%</f>
        <v>43.240905848680242</v>
      </c>
      <c r="AI155" s="256">
        <f>('Encargos e Benefícios'!V154+'Gastos com Pessoal'!Q155+'Gastos com Pessoal'!W155+'Gastos com Pessoal'!AC155)*5.84%</f>
        <v>10.543995424558892</v>
      </c>
      <c r="AJ155" s="257"/>
      <c r="AK155" s="296">
        <f>'Encargos e Benefícios'!D154</f>
        <v>2010.96</v>
      </c>
      <c r="AL155" s="296">
        <f>IF('Encargos e Benefícios'!C154=0,0,'Encargos e Benefícios'!U154/'Encargos e Benefícios'!C154)</f>
        <v>3553.5688062933345</v>
      </c>
      <c r="AM155" s="296">
        <f>IF('Encargos e Benefícios'!C154=0,0,'Encargos e Benefícios'!AC154/'Encargos e Benefícios'!C154)</f>
        <v>917.59000000000015</v>
      </c>
      <c r="AN155" s="297">
        <f>IF('Encargos e Benefícios'!C154=0,0,'Encargos e Benefícios'!AD154/'Encargos e Benefícios'!C154)</f>
        <v>6482.1188062933343</v>
      </c>
      <c r="AO155" s="188">
        <v>2752.21</v>
      </c>
      <c r="AP155" s="298">
        <v>1764.5</v>
      </c>
      <c r="AQ155" s="298">
        <v>3739.92</v>
      </c>
      <c r="AR155" s="299" t="s">
        <v>111</v>
      </c>
      <c r="AS155" s="188"/>
    </row>
    <row r="156" spans="1:45" ht="13" thickBot="1">
      <c r="A156" s="286">
        <v>150</v>
      </c>
      <c r="B156" s="81" t="str">
        <f>'Encargos e Benefícios'!B155</f>
        <v>Socioeducador - N</v>
      </c>
      <c r="C156" s="287">
        <f>'Encargos e Benefícios'!C155</f>
        <v>6</v>
      </c>
      <c r="D156" s="288" t="s">
        <v>496</v>
      </c>
      <c r="E156" s="300">
        <v>45658</v>
      </c>
      <c r="F156" s="301">
        <v>47058</v>
      </c>
      <c r="G156" s="293"/>
      <c r="H156" s="294"/>
      <c r="I156" s="256"/>
      <c r="J156" s="256"/>
      <c r="K156" s="256"/>
      <c r="L156" s="256"/>
      <c r="M156" s="293">
        <v>45778</v>
      </c>
      <c r="N156" s="294">
        <v>5.8400000000000001E-2</v>
      </c>
      <c r="O156" s="256">
        <f>'Encargos e Benefícios'!W155*5.84%</f>
        <v>185.43168000000003</v>
      </c>
      <c r="P156" s="256">
        <f>('Encargos e Benefícios'!X155+'Encargos e Benefícios'!Y155+'Encargos e Benefícios'!Z155+'Encargos e Benefícios'!AA155+'Encargos e Benefícios'!AB155)*5.84%</f>
        <v>109.41240000000001</v>
      </c>
      <c r="Q156" s="256">
        <f>'Encargos e Benefícios'!V155*5.84%</f>
        <v>26.679456000000002</v>
      </c>
      <c r="R156" s="256"/>
      <c r="S156" s="293">
        <v>46143</v>
      </c>
      <c r="T156" s="294">
        <v>5.8400000000000001E-2</v>
      </c>
      <c r="U156" s="256">
        <f>('Encargos e Benefícios'!W155+'Gastos com Pessoal'!O156)*5.84%</f>
        <v>196.26089011200003</v>
      </c>
      <c r="V156" s="256">
        <f>('Encargos e Benefícios'!X155+'Encargos e Benefícios'!Y155+'Encargos e Benefícios'!Z155+'Encargos e Benefícios'!AA155+'Encargos e Benefícios'!AB155+'Gastos com Pessoal'!P156)*5.84%</f>
        <v>115.80208415999999</v>
      </c>
      <c r="W156" s="256">
        <f>('Encargos e Benefícios'!V155+'Gastos com Pessoal'!Q156)*5.84%</f>
        <v>28.237536230400003</v>
      </c>
      <c r="X156" s="256"/>
      <c r="Y156" s="293">
        <v>46508</v>
      </c>
      <c r="Z156" s="294">
        <v>5.8400000000000001E-2</v>
      </c>
      <c r="AA156" s="256">
        <f>('Encargos e Benefícios'!W155+'Gastos com Pessoal'!O156+'Gastos com Pessoal'!U156)*5.84%</f>
        <v>207.72252609454083</v>
      </c>
      <c r="AB156" s="256">
        <f>('Encargos e Benefícios'!X155+'Encargos e Benefícios'!Y155+'Encargos e Benefícios'!Z155+'Encargos e Benefícios'!AA155+'Encargos e Benefícios'!AB155+'Gastos com Pessoal'!P156+'Gastos com Pessoal'!V156)*5.84%</f>
        <v>122.56492587494398</v>
      </c>
      <c r="AC156" s="256">
        <f>('Encargos e Benefícios'!V155+'Gastos com Pessoal'!Q156+'Gastos com Pessoal'!W156)*5.84%</f>
        <v>29.886608346255361</v>
      </c>
      <c r="AD156" s="256"/>
      <c r="AE156" s="293">
        <v>46874</v>
      </c>
      <c r="AF156" s="294">
        <v>5.8400000000000001E-2</v>
      </c>
      <c r="AG156" s="256">
        <f>('Encargos e Benefícios'!W155+'Gastos com Pessoal'!O156+'Gastos com Pessoal'!U156+'Gastos com Pessoal'!AA156)*5.84%</f>
        <v>219.853521618462</v>
      </c>
      <c r="AH156" s="256">
        <f>('Encargos e Benefícios'!X155+'Encargos e Benefícios'!Y155+'Encargos e Benefícios'!Z155+'Encargos e Benefícios'!AA155+'Encargos e Benefícios'!AB155+'Gastos com Pessoal'!P156+'Gastos com Pessoal'!V156+'Gastos com Pessoal'!AB156)*5.84%</f>
        <v>129.72271754604071</v>
      </c>
      <c r="AI156" s="256">
        <f>('Encargos e Benefícios'!V155+'Gastos com Pessoal'!Q156+'Gastos com Pessoal'!W156+'Gastos com Pessoal'!AC156)*5.84%</f>
        <v>31.631986273676677</v>
      </c>
      <c r="AJ156" s="257"/>
      <c r="AK156" s="296">
        <f>'Encargos e Benefícios'!D155</f>
        <v>2010.96</v>
      </c>
      <c r="AL156" s="296">
        <f>IF('Encargos e Benefícios'!C155=0,0,'Encargos e Benefícios'!U155/'Encargos e Benefícios'!C155)</f>
        <v>3202.4049162933329</v>
      </c>
      <c r="AM156" s="296">
        <f>IF('Encargos e Benefícios'!C155=0,0,'Encargos e Benefícios'!AC155/'Encargos e Benefícios'!C155)</f>
        <v>917.59</v>
      </c>
      <c r="AN156" s="297">
        <f>IF('Encargos e Benefícios'!C155=0,0,'Encargos e Benefícios'!AD155/'Encargos e Benefícios'!C155)</f>
        <v>6130.9549162933326</v>
      </c>
      <c r="AO156" s="188">
        <v>2752.21</v>
      </c>
      <c r="AP156" s="298">
        <v>1764.5</v>
      </c>
      <c r="AQ156" s="298">
        <v>3739.92</v>
      </c>
      <c r="AR156" s="299" t="s">
        <v>111</v>
      </c>
      <c r="AS156" s="188"/>
    </row>
    <row r="157" spans="1:45">
      <c r="A157" s="286">
        <v>151</v>
      </c>
      <c r="B157" s="81" t="str">
        <f>'Encargos e Benefícios'!B156</f>
        <v>Diretor Geral de Unidade Socioeducativa</v>
      </c>
      <c r="C157" s="287">
        <f>'Encargos e Benefícios'!C156</f>
        <v>1</v>
      </c>
      <c r="D157" s="288">
        <v>40</v>
      </c>
      <c r="E157" s="289">
        <v>45658</v>
      </c>
      <c r="F157" s="290">
        <v>47058</v>
      </c>
      <c r="G157" s="293"/>
      <c r="H157" s="294"/>
      <c r="I157" s="256"/>
      <c r="J157" s="256"/>
      <c r="K157" s="256"/>
      <c r="L157" s="256"/>
      <c r="M157" s="293">
        <v>45778</v>
      </c>
      <c r="N157" s="294">
        <v>5.8400000000000001E-2</v>
      </c>
      <c r="O157" s="256">
        <f>'Encargos e Benefícios'!W156*5.84%</f>
        <v>30.905280000000001</v>
      </c>
      <c r="P157" s="256">
        <f>('Encargos e Benefícios'!X156+'Encargos e Benefícios'!Y156+'Encargos e Benefícios'!Z156+'Encargos e Benefícios'!AA156+'Encargos e Benefícios'!AB156)*5.84%</f>
        <v>18.235399999999998</v>
      </c>
      <c r="Q157" s="256">
        <f>'Encargos e Benefícios'!V156*5.84%</f>
        <v>0</v>
      </c>
      <c r="R157" s="256"/>
      <c r="S157" s="293">
        <v>46143</v>
      </c>
      <c r="T157" s="294">
        <v>5.8400000000000001E-2</v>
      </c>
      <c r="U157" s="256">
        <f>('Encargos e Benefícios'!W156+'Gastos com Pessoal'!O157)*5.84%</f>
        <v>32.710148351999997</v>
      </c>
      <c r="V157" s="256">
        <f>('Encargos e Benefícios'!X156+'Encargos e Benefícios'!Y156+'Encargos e Benefícios'!Z156+'Encargos e Benefícios'!AA156+'Encargos e Benefícios'!AB156+'Gastos com Pessoal'!P157)*5.84%</f>
        <v>19.300347360000004</v>
      </c>
      <c r="W157" s="256">
        <f>('Encargos e Benefícios'!V156+'Gastos com Pessoal'!Q157)*5.84%</f>
        <v>0</v>
      </c>
      <c r="X157" s="256"/>
      <c r="Y157" s="293">
        <v>46508</v>
      </c>
      <c r="Z157" s="294">
        <v>5.8400000000000001E-2</v>
      </c>
      <c r="AA157" s="256">
        <f>('Encargos e Benefícios'!W156+'Gastos com Pessoal'!O157+'Gastos com Pessoal'!U157)*5.84%</f>
        <v>34.620421015756804</v>
      </c>
      <c r="AB157" s="256">
        <f>('Encargos e Benefícios'!X156+'Encargos e Benefícios'!Y156+'Encargos e Benefícios'!Z156+'Encargos e Benefícios'!AA156+'Encargos e Benefícios'!AB156+'Gastos com Pessoal'!P157+'Gastos com Pessoal'!V157)*5.84%</f>
        <v>20.427487645824002</v>
      </c>
      <c r="AC157" s="256">
        <f>('Encargos e Benefícios'!V156+'Gastos com Pessoal'!Q157+'Gastos com Pessoal'!W157)*5.84%</f>
        <v>0</v>
      </c>
      <c r="AD157" s="256"/>
      <c r="AE157" s="293">
        <v>46874</v>
      </c>
      <c r="AF157" s="294">
        <v>5.8400000000000001E-2</v>
      </c>
      <c r="AG157" s="256">
        <f>('Encargos e Benefícios'!W156+'Gastos com Pessoal'!O157+'Gastos com Pessoal'!U157+'Gastos com Pessoal'!AA157)*5.84%</f>
        <v>36.642253603077002</v>
      </c>
      <c r="AH157" s="256">
        <f>('Encargos e Benefícios'!X156+'Encargos e Benefícios'!Y156+'Encargos e Benefícios'!Z156+'Encargos e Benefícios'!AA156+'Encargos e Benefícios'!AB156+'Gastos com Pessoal'!P157+'Gastos com Pessoal'!V157+'Gastos com Pessoal'!AB157)*5.84%</f>
        <v>21.620452924340121</v>
      </c>
      <c r="AI157" s="256">
        <f>('Encargos e Benefícios'!V156+'Gastos com Pessoal'!Q157+'Gastos com Pessoal'!W157+'Gastos com Pessoal'!AC157)*5.84%</f>
        <v>0</v>
      </c>
      <c r="AJ157" s="257"/>
      <c r="AK157" s="296">
        <f>'Encargos e Benefícios'!D156</f>
        <v>6879.6</v>
      </c>
      <c r="AL157" s="296">
        <f>IF('Encargos e Benefícios'!C156=0,0,'Encargos e Benefícios'!U156/'Encargos e Benefícios'!C156)</f>
        <v>5400.8682000000008</v>
      </c>
      <c r="AM157" s="296">
        <f>IF('Encargos e Benefícios'!C156=0,0,'Encargos e Benefícios'!AC156/'Encargos e Benefícios'!C156)</f>
        <v>841.45</v>
      </c>
      <c r="AN157" s="297">
        <f>IF('Encargos e Benefícios'!C156=0,0,'Encargos e Benefícios'!AD156/'Encargos e Benefícios'!C156)</f>
        <v>13121.918200000002</v>
      </c>
      <c r="AO157" s="188">
        <v>6052.24</v>
      </c>
      <c r="AP157" s="298">
        <v>4239.6899999999996</v>
      </c>
      <c r="AQ157" s="298">
        <v>7864.78</v>
      </c>
      <c r="AR157" s="299" t="s">
        <v>112</v>
      </c>
      <c r="AS157" s="188"/>
    </row>
    <row r="158" spans="1:45">
      <c r="A158" s="286">
        <v>152</v>
      </c>
      <c r="B158" s="81" t="str">
        <f>'Encargos e Benefícios'!B157</f>
        <v>Subdiretor de Segurança</v>
      </c>
      <c r="C158" s="287">
        <f>'Encargos e Benefícios'!C157</f>
        <v>1</v>
      </c>
      <c r="D158" s="288">
        <v>40</v>
      </c>
      <c r="E158" s="300">
        <v>45658</v>
      </c>
      <c r="F158" s="301">
        <v>47058</v>
      </c>
      <c r="G158" s="293"/>
      <c r="H158" s="294"/>
      <c r="I158" s="256"/>
      <c r="J158" s="256"/>
      <c r="K158" s="256"/>
      <c r="L158" s="256"/>
      <c r="M158" s="293">
        <v>45778</v>
      </c>
      <c r="N158" s="294">
        <v>5.8400000000000001E-2</v>
      </c>
      <c r="O158" s="256">
        <f>'Encargos e Benefícios'!W157*5.84%</f>
        <v>30.905280000000001</v>
      </c>
      <c r="P158" s="256">
        <f>('Encargos e Benefícios'!X157+'Encargos e Benefícios'!Y157+'Encargos e Benefícios'!Z157+'Encargos e Benefícios'!AA157+'Encargos e Benefícios'!AB157)*5.84%</f>
        <v>18.235399999999998</v>
      </c>
      <c r="Q158" s="256">
        <f>'Encargos e Benefícios'!V157*5.84%</f>
        <v>0</v>
      </c>
      <c r="R158" s="256"/>
      <c r="S158" s="293">
        <v>46143</v>
      </c>
      <c r="T158" s="294">
        <v>5.8400000000000001E-2</v>
      </c>
      <c r="U158" s="256">
        <f>('Encargos e Benefícios'!W157+'Gastos com Pessoal'!O158)*5.84%</f>
        <v>32.710148351999997</v>
      </c>
      <c r="V158" s="256">
        <f>('Encargos e Benefícios'!X157+'Encargos e Benefícios'!Y157+'Encargos e Benefícios'!Z157+'Encargos e Benefícios'!AA157+'Encargos e Benefícios'!AB157+'Gastos com Pessoal'!P158)*5.84%</f>
        <v>19.300347360000004</v>
      </c>
      <c r="W158" s="256">
        <f>('Encargos e Benefícios'!V157+'Gastos com Pessoal'!Q158)*5.84%</f>
        <v>0</v>
      </c>
      <c r="X158" s="256"/>
      <c r="Y158" s="293">
        <v>46508</v>
      </c>
      <c r="Z158" s="294">
        <v>5.8400000000000001E-2</v>
      </c>
      <c r="AA158" s="256">
        <f>('Encargos e Benefícios'!W157+'Gastos com Pessoal'!O158+'Gastos com Pessoal'!U158)*5.84%</f>
        <v>34.620421015756804</v>
      </c>
      <c r="AB158" s="256">
        <f>('Encargos e Benefícios'!X157+'Encargos e Benefícios'!Y157+'Encargos e Benefícios'!Z157+'Encargos e Benefícios'!AA157+'Encargos e Benefícios'!AB157+'Gastos com Pessoal'!P158+'Gastos com Pessoal'!V158)*5.84%</f>
        <v>20.427487645824002</v>
      </c>
      <c r="AC158" s="256">
        <f>('Encargos e Benefícios'!V157+'Gastos com Pessoal'!Q158+'Gastos com Pessoal'!W158)*5.84%</f>
        <v>0</v>
      </c>
      <c r="AD158" s="256"/>
      <c r="AE158" s="293">
        <v>46874</v>
      </c>
      <c r="AF158" s="294">
        <v>5.8400000000000001E-2</v>
      </c>
      <c r="AG158" s="256">
        <f>('Encargos e Benefícios'!W157+'Gastos com Pessoal'!O158+'Gastos com Pessoal'!U158+'Gastos com Pessoal'!AA158)*5.84%</f>
        <v>36.642253603077002</v>
      </c>
      <c r="AH158" s="256">
        <f>('Encargos e Benefícios'!X157+'Encargos e Benefícios'!Y157+'Encargos e Benefícios'!Z157+'Encargos e Benefícios'!AA157+'Encargos e Benefícios'!AB157+'Gastos com Pessoal'!P158+'Gastos com Pessoal'!V158+'Gastos com Pessoal'!AB158)*5.84%</f>
        <v>21.620452924340121</v>
      </c>
      <c r="AI158" s="256">
        <f>('Encargos e Benefícios'!V157+'Gastos com Pessoal'!Q158+'Gastos com Pessoal'!W158+'Gastos com Pessoal'!AC158)*5.84%</f>
        <v>0</v>
      </c>
      <c r="AJ158" s="257"/>
      <c r="AK158" s="296">
        <f>'Encargos e Benefícios'!D157</f>
        <v>3993.98</v>
      </c>
      <c r="AL158" s="296">
        <f>IF('Encargos e Benefícios'!C157=0,0,'Encargos e Benefícios'!U157/'Encargos e Benefícios'!C157)</f>
        <v>4659.1662746111106</v>
      </c>
      <c r="AM158" s="296">
        <f>IF('Encargos e Benefícios'!C157=0,0,'Encargos e Benefícios'!AC157/'Encargos e Benefícios'!C157)</f>
        <v>841.45</v>
      </c>
      <c r="AN158" s="297">
        <f>IF('Encargos e Benefícios'!C157=0,0,'Encargos e Benefícios'!AD157/'Encargos e Benefícios'!C157)</f>
        <v>9494.5962746111109</v>
      </c>
      <c r="AO158" s="188">
        <v>4968.99</v>
      </c>
      <c r="AP158" s="298">
        <v>3773.6</v>
      </c>
      <c r="AQ158" s="298">
        <v>6164.38</v>
      </c>
      <c r="AR158" s="299" t="s">
        <v>112</v>
      </c>
      <c r="AS158" s="188"/>
    </row>
    <row r="159" spans="1:45">
      <c r="A159" s="286">
        <v>153</v>
      </c>
      <c r="B159" s="81" t="str">
        <f>'Encargos e Benefícios'!B158</f>
        <v>Advogado</v>
      </c>
      <c r="C159" s="287">
        <f>'Encargos e Benefícios'!C158</f>
        <v>1</v>
      </c>
      <c r="D159" s="288">
        <v>30</v>
      </c>
      <c r="E159" s="300">
        <v>45658</v>
      </c>
      <c r="F159" s="301">
        <v>47058</v>
      </c>
      <c r="G159" s="293"/>
      <c r="H159" s="294"/>
      <c r="I159" s="256"/>
      <c r="J159" s="256"/>
      <c r="K159" s="256"/>
      <c r="L159" s="256"/>
      <c r="M159" s="293">
        <v>45778</v>
      </c>
      <c r="N159" s="294">
        <v>5.8400000000000001E-2</v>
      </c>
      <c r="O159" s="256">
        <f>'Encargos e Benefícios'!W158*5.84%</f>
        <v>30.905280000000001</v>
      </c>
      <c r="P159" s="256">
        <f>('Encargos e Benefícios'!X158+'Encargos e Benefícios'!Y158+'Encargos e Benefícios'!Z158+'Encargos e Benefícios'!AA158+'Encargos e Benefícios'!AB158)*5.84%</f>
        <v>18.235399999999998</v>
      </c>
      <c r="Q159" s="256">
        <f>'Encargos e Benefícios'!V158*5.84%</f>
        <v>6.521528</v>
      </c>
      <c r="R159" s="256"/>
      <c r="S159" s="293">
        <v>46143</v>
      </c>
      <c r="T159" s="294">
        <v>5.8400000000000001E-2</v>
      </c>
      <c r="U159" s="256">
        <f>('Encargos e Benefícios'!W158+'Gastos com Pessoal'!O159)*5.84%</f>
        <v>32.710148351999997</v>
      </c>
      <c r="V159" s="256">
        <f>('Encargos e Benefícios'!X158+'Encargos e Benefícios'!Y158+'Encargos e Benefícios'!Z158+'Encargos e Benefícios'!AA158+'Encargos e Benefícios'!AB158+'Gastos com Pessoal'!P159)*5.84%</f>
        <v>19.300347360000004</v>
      </c>
      <c r="W159" s="256">
        <f>('Encargos e Benefícios'!V158+'Gastos com Pessoal'!Q159)*5.84%</f>
        <v>6.9023852352000006</v>
      </c>
      <c r="X159" s="256"/>
      <c r="Y159" s="293">
        <v>46508</v>
      </c>
      <c r="Z159" s="294">
        <v>5.8400000000000001E-2</v>
      </c>
      <c r="AA159" s="256">
        <f>('Encargos e Benefícios'!W158+'Gastos com Pessoal'!O159+'Gastos com Pessoal'!U159)*5.84%</f>
        <v>34.620421015756804</v>
      </c>
      <c r="AB159" s="256">
        <f>('Encargos e Benefícios'!X158+'Encargos e Benefícios'!Y158+'Encargos e Benefícios'!Z158+'Encargos e Benefícios'!AA158+'Encargos e Benefícios'!AB158+'Gastos com Pessoal'!P159+'Gastos com Pessoal'!V159)*5.84%</f>
        <v>20.427487645824002</v>
      </c>
      <c r="AC159" s="256">
        <f>('Encargos e Benefícios'!V158+'Gastos com Pessoal'!Q159+'Gastos com Pessoal'!W159)*5.84%</f>
        <v>7.3054845329356803</v>
      </c>
      <c r="AD159" s="256"/>
      <c r="AE159" s="293">
        <v>46874</v>
      </c>
      <c r="AF159" s="294">
        <v>5.8400000000000001E-2</v>
      </c>
      <c r="AG159" s="256">
        <f>('Encargos e Benefícios'!W158+'Gastos com Pessoal'!O159+'Gastos com Pessoal'!U159+'Gastos com Pessoal'!AA159)*5.84%</f>
        <v>36.642253603077002</v>
      </c>
      <c r="AH159" s="256">
        <f>('Encargos e Benefícios'!X158+'Encargos e Benefícios'!Y158+'Encargos e Benefícios'!Z158+'Encargos e Benefícios'!AA158+'Encargos e Benefícios'!AB158+'Gastos com Pessoal'!P159+'Gastos com Pessoal'!V159+'Gastos com Pessoal'!AB159)*5.84%</f>
        <v>21.620452924340121</v>
      </c>
      <c r="AI159" s="256">
        <f>('Encargos e Benefícios'!V158+'Gastos com Pessoal'!Q159+'Gastos com Pessoal'!W159+'Gastos com Pessoal'!AC159)*5.84%</f>
        <v>7.7321248296591243</v>
      </c>
      <c r="AJ159" s="257"/>
      <c r="AK159" s="296">
        <f>'Encargos e Benefícios'!D158</f>
        <v>2751.84</v>
      </c>
      <c r="AL159" s="296">
        <f>IF('Encargos e Benefícios'!C158=0,0,'Encargos e Benefícios'!U158/'Encargos e Benefícios'!C158)</f>
        <v>2198.8730400000004</v>
      </c>
      <c r="AM159" s="296">
        <f>IF('Encargos e Benefícios'!C158=0,0,'Encargos e Benefícios'!AC158/'Encargos e Benefícios'!C158)</f>
        <v>953.12000000000012</v>
      </c>
      <c r="AN159" s="297">
        <f>IF('Encargos e Benefícios'!C158=0,0,'Encargos e Benefícios'!AD158/'Encargos e Benefícios'!C158)</f>
        <v>5903.8330400000004</v>
      </c>
      <c r="AO159" s="188">
        <v>2767.69</v>
      </c>
      <c r="AP159" s="298">
        <v>2500</v>
      </c>
      <c r="AQ159" s="298">
        <v>3035.37</v>
      </c>
      <c r="AR159" s="299" t="s">
        <v>112</v>
      </c>
      <c r="AS159" s="188"/>
    </row>
    <row r="160" spans="1:45">
      <c r="A160" s="286">
        <v>154</v>
      </c>
      <c r="B160" s="81" t="str">
        <f>'Encargos e Benefícios'!B159</f>
        <v>Assistente Social</v>
      </c>
      <c r="C160" s="287">
        <f>'Encargos e Benefícios'!C159</f>
        <v>1</v>
      </c>
      <c r="D160" s="288">
        <v>30</v>
      </c>
      <c r="E160" s="300">
        <v>45658</v>
      </c>
      <c r="F160" s="301">
        <v>47058</v>
      </c>
      <c r="G160" s="293"/>
      <c r="H160" s="294"/>
      <c r="I160" s="256"/>
      <c r="J160" s="256"/>
      <c r="K160" s="256"/>
      <c r="L160" s="256"/>
      <c r="M160" s="293">
        <v>45778</v>
      </c>
      <c r="N160" s="294">
        <v>5.8400000000000001E-2</v>
      </c>
      <c r="O160" s="256">
        <f>'Encargos e Benefícios'!W159*5.84%</f>
        <v>30.905280000000001</v>
      </c>
      <c r="P160" s="256">
        <f>('Encargos e Benefícios'!X159+'Encargos e Benefícios'!Y159+'Encargos e Benefícios'!Z159+'Encargos e Benefícios'!AA159+'Encargos e Benefícios'!AB159)*5.84%</f>
        <v>18.235399999999998</v>
      </c>
      <c r="Q160" s="256">
        <f>'Encargos e Benefícios'!V159*5.84%</f>
        <v>6.521528</v>
      </c>
      <c r="R160" s="256"/>
      <c r="S160" s="293">
        <v>46143</v>
      </c>
      <c r="T160" s="294">
        <v>5.8400000000000001E-2</v>
      </c>
      <c r="U160" s="256">
        <f>('Encargos e Benefícios'!W159+'Gastos com Pessoal'!O160)*5.84%</f>
        <v>32.710148351999997</v>
      </c>
      <c r="V160" s="256">
        <f>('Encargos e Benefícios'!X159+'Encargos e Benefícios'!Y159+'Encargos e Benefícios'!Z159+'Encargos e Benefícios'!AA159+'Encargos e Benefícios'!AB159+'Gastos com Pessoal'!P160)*5.84%</f>
        <v>19.300347360000004</v>
      </c>
      <c r="W160" s="256">
        <f>('Encargos e Benefícios'!V159+'Gastos com Pessoal'!Q160)*5.84%</f>
        <v>6.9023852352000006</v>
      </c>
      <c r="X160" s="256"/>
      <c r="Y160" s="293">
        <v>46508</v>
      </c>
      <c r="Z160" s="294">
        <v>5.8400000000000001E-2</v>
      </c>
      <c r="AA160" s="256">
        <f>('Encargos e Benefícios'!W159+'Gastos com Pessoal'!O160+'Gastos com Pessoal'!U160)*5.84%</f>
        <v>34.620421015756804</v>
      </c>
      <c r="AB160" s="256">
        <f>('Encargos e Benefícios'!X159+'Encargos e Benefícios'!Y159+'Encargos e Benefícios'!Z159+'Encargos e Benefícios'!AA159+'Encargos e Benefícios'!AB159+'Gastos com Pessoal'!P160+'Gastos com Pessoal'!V160)*5.84%</f>
        <v>20.427487645824002</v>
      </c>
      <c r="AC160" s="256">
        <f>('Encargos e Benefícios'!V159+'Gastos com Pessoal'!Q160+'Gastos com Pessoal'!W160)*5.84%</f>
        <v>7.3054845329356803</v>
      </c>
      <c r="AD160" s="256"/>
      <c r="AE160" s="293">
        <v>46874</v>
      </c>
      <c r="AF160" s="294">
        <v>5.8400000000000001E-2</v>
      </c>
      <c r="AG160" s="256">
        <f>('Encargos e Benefícios'!W159+'Gastos com Pessoal'!O160+'Gastos com Pessoal'!U160+'Gastos com Pessoal'!AA160)*5.84%</f>
        <v>36.642253603077002</v>
      </c>
      <c r="AH160" s="256">
        <f>('Encargos e Benefícios'!X159+'Encargos e Benefícios'!Y159+'Encargos e Benefícios'!Z159+'Encargos e Benefícios'!AA159+'Encargos e Benefícios'!AB159+'Gastos com Pessoal'!P160+'Gastos com Pessoal'!V160+'Gastos com Pessoal'!AB160)*5.84%</f>
        <v>21.620452924340121</v>
      </c>
      <c r="AI160" s="256">
        <f>('Encargos e Benefícios'!V159+'Gastos com Pessoal'!Q160+'Gastos com Pessoal'!W160+'Gastos com Pessoal'!AC160)*5.84%</f>
        <v>7.7321248296591243</v>
      </c>
      <c r="AJ160" s="257"/>
      <c r="AK160" s="296">
        <f>'Encargos e Benefícios'!D159</f>
        <v>2751.84</v>
      </c>
      <c r="AL160" s="296">
        <f>IF('Encargos e Benefícios'!C159=0,0,'Encargos e Benefícios'!U159/'Encargos e Benefícios'!C159)</f>
        <v>2198.8730400000004</v>
      </c>
      <c r="AM160" s="296">
        <f>IF('Encargos e Benefícios'!C159=0,0,'Encargos e Benefícios'!AC159/'Encargos e Benefícios'!C159)</f>
        <v>953.12000000000012</v>
      </c>
      <c r="AN160" s="297">
        <f>IF('Encargos e Benefícios'!C159=0,0,'Encargos e Benefícios'!AD159/'Encargos e Benefícios'!C159)</f>
        <v>5903.8330400000004</v>
      </c>
      <c r="AO160" s="188">
        <v>3277.91</v>
      </c>
      <c r="AP160" s="298">
        <v>2500</v>
      </c>
      <c r="AQ160" s="298">
        <v>4055.81</v>
      </c>
      <c r="AR160" s="299" t="s">
        <v>112</v>
      </c>
      <c r="AS160" s="188"/>
    </row>
    <row r="161" spans="1:45">
      <c r="A161" s="286">
        <v>155</v>
      </c>
      <c r="B161" s="81" t="str">
        <f>'Encargos e Benefícios'!B160</f>
        <v>Pedagogo</v>
      </c>
      <c r="C161" s="287">
        <f>'Encargos e Benefícios'!C160</f>
        <v>1</v>
      </c>
      <c r="D161" s="288">
        <v>30</v>
      </c>
      <c r="E161" s="300">
        <v>45658</v>
      </c>
      <c r="F161" s="301">
        <v>47058</v>
      </c>
      <c r="G161" s="293"/>
      <c r="H161" s="294"/>
      <c r="I161" s="256"/>
      <c r="J161" s="256"/>
      <c r="K161" s="256"/>
      <c r="L161" s="256"/>
      <c r="M161" s="293">
        <v>45778</v>
      </c>
      <c r="N161" s="294">
        <v>5.8400000000000001E-2</v>
      </c>
      <c r="O161" s="256">
        <f>'Encargos e Benefícios'!W160*5.84%</f>
        <v>30.905280000000001</v>
      </c>
      <c r="P161" s="256">
        <f>('Encargos e Benefícios'!X160+'Encargos e Benefícios'!Y160+'Encargos e Benefícios'!Z160+'Encargos e Benefícios'!AA160+'Encargos e Benefícios'!AB160)*5.84%</f>
        <v>18.235399999999998</v>
      </c>
      <c r="Q161" s="256">
        <f>'Encargos e Benefícios'!V160*5.84%</f>
        <v>6.521528</v>
      </c>
      <c r="R161" s="256"/>
      <c r="S161" s="293">
        <v>46143</v>
      </c>
      <c r="T161" s="294">
        <v>5.8400000000000001E-2</v>
      </c>
      <c r="U161" s="256">
        <f>('Encargos e Benefícios'!W160+'Gastos com Pessoal'!O161)*5.84%</f>
        <v>32.710148351999997</v>
      </c>
      <c r="V161" s="256">
        <f>('Encargos e Benefícios'!X160+'Encargos e Benefícios'!Y160+'Encargos e Benefícios'!Z160+'Encargos e Benefícios'!AA160+'Encargos e Benefícios'!AB160+'Gastos com Pessoal'!P161)*5.84%</f>
        <v>19.300347360000004</v>
      </c>
      <c r="W161" s="256">
        <f>('Encargos e Benefícios'!V160+'Gastos com Pessoal'!Q161)*5.84%</f>
        <v>6.9023852352000006</v>
      </c>
      <c r="X161" s="256"/>
      <c r="Y161" s="293">
        <v>46508</v>
      </c>
      <c r="Z161" s="294">
        <v>5.8400000000000001E-2</v>
      </c>
      <c r="AA161" s="256">
        <f>('Encargos e Benefícios'!W160+'Gastos com Pessoal'!O161+'Gastos com Pessoal'!U161)*5.84%</f>
        <v>34.620421015756804</v>
      </c>
      <c r="AB161" s="256">
        <f>('Encargos e Benefícios'!X160+'Encargos e Benefícios'!Y160+'Encargos e Benefícios'!Z160+'Encargos e Benefícios'!AA160+'Encargos e Benefícios'!AB160+'Gastos com Pessoal'!P161+'Gastos com Pessoal'!V161)*5.84%</f>
        <v>20.427487645824002</v>
      </c>
      <c r="AC161" s="256">
        <f>('Encargos e Benefícios'!V160+'Gastos com Pessoal'!Q161+'Gastos com Pessoal'!W161)*5.84%</f>
        <v>7.3054845329356803</v>
      </c>
      <c r="AD161" s="256"/>
      <c r="AE161" s="293">
        <v>46874</v>
      </c>
      <c r="AF161" s="294">
        <v>5.8400000000000001E-2</v>
      </c>
      <c r="AG161" s="256">
        <f>('Encargos e Benefícios'!W160+'Gastos com Pessoal'!O161+'Gastos com Pessoal'!U161+'Gastos com Pessoal'!AA161)*5.84%</f>
        <v>36.642253603077002</v>
      </c>
      <c r="AH161" s="256">
        <f>('Encargos e Benefícios'!X160+'Encargos e Benefícios'!Y160+'Encargos e Benefícios'!Z160+'Encargos e Benefícios'!AA160+'Encargos e Benefícios'!AB160+'Gastos com Pessoal'!P161+'Gastos com Pessoal'!V161+'Gastos com Pessoal'!AB161)*5.84%</f>
        <v>21.620452924340121</v>
      </c>
      <c r="AI161" s="256">
        <f>('Encargos e Benefícios'!V160+'Gastos com Pessoal'!Q161+'Gastos com Pessoal'!W161+'Gastos com Pessoal'!AC161)*5.84%</f>
        <v>7.7321248296591243</v>
      </c>
      <c r="AJ161" s="257"/>
      <c r="AK161" s="296">
        <f>'Encargos e Benefícios'!D160</f>
        <v>2751.84</v>
      </c>
      <c r="AL161" s="296">
        <f>IF('Encargos e Benefícios'!C160=0,0,'Encargos e Benefícios'!U160/'Encargos e Benefícios'!C160)</f>
        <v>2198.8730400000004</v>
      </c>
      <c r="AM161" s="296">
        <f>IF('Encargos e Benefícios'!C160=0,0,'Encargos e Benefícios'!AC160/'Encargos e Benefícios'!C160)</f>
        <v>953.12000000000012</v>
      </c>
      <c r="AN161" s="297">
        <f>IF('Encargos e Benefícios'!C160=0,0,'Encargos e Benefícios'!AD160/'Encargos e Benefícios'!C160)</f>
        <v>5903.8330400000004</v>
      </c>
      <c r="AO161" s="188">
        <v>2894.94</v>
      </c>
      <c r="AP161" s="298">
        <v>2489.87</v>
      </c>
      <c r="AQ161" s="298">
        <v>3300</v>
      </c>
      <c r="AR161" s="299" t="s">
        <v>112</v>
      </c>
      <c r="AS161" s="188"/>
    </row>
    <row r="162" spans="1:45">
      <c r="A162" s="286">
        <v>156</v>
      </c>
      <c r="B162" s="81" t="str">
        <f>'Encargos e Benefícios'!B161</f>
        <v>Psicologo</v>
      </c>
      <c r="C162" s="287">
        <f>'Encargos e Benefícios'!C161</f>
        <v>1</v>
      </c>
      <c r="D162" s="288">
        <v>30</v>
      </c>
      <c r="E162" s="300">
        <v>45658</v>
      </c>
      <c r="F162" s="301">
        <v>47058</v>
      </c>
      <c r="G162" s="293"/>
      <c r="H162" s="294"/>
      <c r="I162" s="256"/>
      <c r="J162" s="256"/>
      <c r="K162" s="256"/>
      <c r="L162" s="256"/>
      <c r="M162" s="293">
        <v>45778</v>
      </c>
      <c r="N162" s="294">
        <v>5.8400000000000001E-2</v>
      </c>
      <c r="O162" s="256">
        <f>'Encargos e Benefícios'!W161*5.84%</f>
        <v>30.905280000000001</v>
      </c>
      <c r="P162" s="256">
        <f>('Encargos e Benefícios'!X161+'Encargos e Benefícios'!Y161+'Encargos e Benefícios'!Z161+'Encargos e Benefícios'!AA161+'Encargos e Benefícios'!AB161)*5.84%</f>
        <v>18.235399999999998</v>
      </c>
      <c r="Q162" s="256">
        <f>'Encargos e Benefícios'!V161*5.84%</f>
        <v>6.521528</v>
      </c>
      <c r="R162" s="256"/>
      <c r="S162" s="293">
        <v>46143</v>
      </c>
      <c r="T162" s="294">
        <v>5.8400000000000001E-2</v>
      </c>
      <c r="U162" s="256">
        <f>('Encargos e Benefícios'!W161+'Gastos com Pessoal'!O162)*5.84%</f>
        <v>32.710148351999997</v>
      </c>
      <c r="V162" s="256">
        <f>('Encargos e Benefícios'!X161+'Encargos e Benefícios'!Y161+'Encargos e Benefícios'!Z161+'Encargos e Benefícios'!AA161+'Encargos e Benefícios'!AB161+'Gastos com Pessoal'!P162)*5.84%</f>
        <v>19.300347360000004</v>
      </c>
      <c r="W162" s="256">
        <f>('Encargos e Benefícios'!V161+'Gastos com Pessoal'!Q162)*5.84%</f>
        <v>6.9023852352000006</v>
      </c>
      <c r="X162" s="256"/>
      <c r="Y162" s="293">
        <v>46508</v>
      </c>
      <c r="Z162" s="294">
        <v>5.8400000000000001E-2</v>
      </c>
      <c r="AA162" s="256">
        <f>('Encargos e Benefícios'!W161+'Gastos com Pessoal'!O162+'Gastos com Pessoal'!U162)*5.84%</f>
        <v>34.620421015756804</v>
      </c>
      <c r="AB162" s="256">
        <f>('Encargos e Benefícios'!X161+'Encargos e Benefícios'!Y161+'Encargos e Benefícios'!Z161+'Encargos e Benefícios'!AA161+'Encargos e Benefícios'!AB161+'Gastos com Pessoal'!P162+'Gastos com Pessoal'!V162)*5.84%</f>
        <v>20.427487645824002</v>
      </c>
      <c r="AC162" s="256">
        <f>('Encargos e Benefícios'!V161+'Gastos com Pessoal'!Q162+'Gastos com Pessoal'!W162)*5.84%</f>
        <v>7.3054845329356803</v>
      </c>
      <c r="AD162" s="256"/>
      <c r="AE162" s="293">
        <v>46874</v>
      </c>
      <c r="AF162" s="294">
        <v>5.8400000000000001E-2</v>
      </c>
      <c r="AG162" s="256">
        <f>('Encargos e Benefícios'!W161+'Gastos com Pessoal'!O162+'Gastos com Pessoal'!U162+'Gastos com Pessoal'!AA162)*5.84%</f>
        <v>36.642253603077002</v>
      </c>
      <c r="AH162" s="256">
        <f>('Encargos e Benefícios'!X161+'Encargos e Benefícios'!Y161+'Encargos e Benefícios'!Z161+'Encargos e Benefícios'!AA161+'Encargos e Benefícios'!AB161+'Gastos com Pessoal'!P162+'Gastos com Pessoal'!V162+'Gastos com Pessoal'!AB162)*5.84%</f>
        <v>21.620452924340121</v>
      </c>
      <c r="AI162" s="256">
        <f>('Encargos e Benefícios'!V161+'Gastos com Pessoal'!Q162+'Gastos com Pessoal'!W162+'Gastos com Pessoal'!AC162)*5.84%</f>
        <v>7.7321248296591243</v>
      </c>
      <c r="AJ162" s="257"/>
      <c r="AK162" s="296">
        <f>'Encargos e Benefícios'!D161</f>
        <v>2751.84</v>
      </c>
      <c r="AL162" s="296">
        <f>IF('Encargos e Benefícios'!C161=0,0,'Encargos e Benefícios'!U161/'Encargos e Benefícios'!C161)</f>
        <v>2198.8730400000004</v>
      </c>
      <c r="AM162" s="296">
        <f>IF('Encargos e Benefícios'!C161=0,0,'Encargos e Benefícios'!AC161/'Encargos e Benefícios'!C161)</f>
        <v>953.12000000000012</v>
      </c>
      <c r="AN162" s="297">
        <f>IF('Encargos e Benefícios'!C161=0,0,'Encargos e Benefícios'!AD161/'Encargos e Benefícios'!C161)</f>
        <v>5903.8330400000004</v>
      </c>
      <c r="AO162" s="188">
        <v>3953.69</v>
      </c>
      <c r="AP162" s="298">
        <v>2500</v>
      </c>
      <c r="AQ162" s="298">
        <v>5407.37</v>
      </c>
      <c r="AR162" s="299" t="s">
        <v>112</v>
      </c>
      <c r="AS162" s="188"/>
    </row>
    <row r="163" spans="1:45">
      <c r="A163" s="286">
        <v>157</v>
      </c>
      <c r="B163" s="81" t="str">
        <f>'Encargos e Benefícios'!B162</f>
        <v>Terapeuta Ocupacional</v>
      </c>
      <c r="C163" s="287">
        <f>'Encargos e Benefícios'!C162</f>
        <v>1</v>
      </c>
      <c r="D163" s="288">
        <v>30</v>
      </c>
      <c r="E163" s="300">
        <v>45658</v>
      </c>
      <c r="F163" s="301">
        <v>47058</v>
      </c>
      <c r="G163" s="293"/>
      <c r="H163" s="294"/>
      <c r="I163" s="256"/>
      <c r="J163" s="256"/>
      <c r="K163" s="256"/>
      <c r="L163" s="256"/>
      <c r="M163" s="293">
        <v>45778</v>
      </c>
      <c r="N163" s="294">
        <v>5.8400000000000001E-2</v>
      </c>
      <c r="O163" s="256">
        <f>'Encargos e Benefícios'!W162*5.84%</f>
        <v>30.905280000000001</v>
      </c>
      <c r="P163" s="256">
        <f>('Encargos e Benefícios'!X162+'Encargos e Benefícios'!Y162+'Encargos e Benefícios'!Z162+'Encargos e Benefícios'!AA162+'Encargos e Benefícios'!AB162)*5.84%</f>
        <v>18.235399999999998</v>
      </c>
      <c r="Q163" s="256">
        <f>'Encargos e Benefícios'!V162*5.84%</f>
        <v>6.521528</v>
      </c>
      <c r="R163" s="256"/>
      <c r="S163" s="293">
        <v>46143</v>
      </c>
      <c r="T163" s="294">
        <v>5.8400000000000001E-2</v>
      </c>
      <c r="U163" s="256">
        <f>('Encargos e Benefícios'!W162+'Gastos com Pessoal'!O163)*5.84%</f>
        <v>32.710148351999997</v>
      </c>
      <c r="V163" s="256">
        <f>('Encargos e Benefícios'!X162+'Encargos e Benefícios'!Y162+'Encargos e Benefícios'!Z162+'Encargos e Benefícios'!AA162+'Encargos e Benefícios'!AB162+'Gastos com Pessoal'!P163)*5.84%</f>
        <v>19.300347360000004</v>
      </c>
      <c r="W163" s="256">
        <f>('Encargos e Benefícios'!V162+'Gastos com Pessoal'!Q163)*5.84%</f>
        <v>6.9023852352000006</v>
      </c>
      <c r="X163" s="256"/>
      <c r="Y163" s="293">
        <v>46508</v>
      </c>
      <c r="Z163" s="294">
        <v>5.8400000000000001E-2</v>
      </c>
      <c r="AA163" s="256">
        <f>('Encargos e Benefícios'!W162+'Gastos com Pessoal'!O163+'Gastos com Pessoal'!U163)*5.84%</f>
        <v>34.620421015756804</v>
      </c>
      <c r="AB163" s="256">
        <f>('Encargos e Benefícios'!X162+'Encargos e Benefícios'!Y162+'Encargos e Benefícios'!Z162+'Encargos e Benefícios'!AA162+'Encargos e Benefícios'!AB162+'Gastos com Pessoal'!P163+'Gastos com Pessoal'!V163)*5.84%</f>
        <v>20.427487645824002</v>
      </c>
      <c r="AC163" s="256">
        <f>('Encargos e Benefícios'!V162+'Gastos com Pessoal'!Q163+'Gastos com Pessoal'!W163)*5.84%</f>
        <v>7.3054845329356803</v>
      </c>
      <c r="AD163" s="256"/>
      <c r="AE163" s="293">
        <v>46874</v>
      </c>
      <c r="AF163" s="294">
        <v>5.8400000000000001E-2</v>
      </c>
      <c r="AG163" s="256">
        <f>('Encargos e Benefícios'!W162+'Gastos com Pessoal'!O163+'Gastos com Pessoal'!U163+'Gastos com Pessoal'!AA163)*5.84%</f>
        <v>36.642253603077002</v>
      </c>
      <c r="AH163" s="256">
        <f>('Encargos e Benefícios'!X162+'Encargos e Benefícios'!Y162+'Encargos e Benefícios'!Z162+'Encargos e Benefícios'!AA162+'Encargos e Benefícios'!AB162+'Gastos com Pessoal'!P163+'Gastos com Pessoal'!V163+'Gastos com Pessoal'!AB163)*5.84%</f>
        <v>21.620452924340121</v>
      </c>
      <c r="AI163" s="256">
        <f>('Encargos e Benefícios'!V162+'Gastos com Pessoal'!Q163+'Gastos com Pessoal'!W163+'Gastos com Pessoal'!AC163)*5.84%</f>
        <v>7.7321248296591243</v>
      </c>
      <c r="AJ163" s="257"/>
      <c r="AK163" s="296">
        <f>'Encargos e Benefícios'!D162</f>
        <v>2751.84</v>
      </c>
      <c r="AL163" s="296">
        <f>IF('Encargos e Benefícios'!C162=0,0,'Encargos e Benefícios'!U162/'Encargos e Benefícios'!C162)</f>
        <v>2198.8730400000004</v>
      </c>
      <c r="AM163" s="296">
        <f>IF('Encargos e Benefícios'!C162=0,0,'Encargos e Benefícios'!AC162/'Encargos e Benefícios'!C162)</f>
        <v>953.12000000000012</v>
      </c>
      <c r="AN163" s="297">
        <f>IF('Encargos e Benefícios'!C162=0,0,'Encargos e Benefícios'!AD162/'Encargos e Benefícios'!C162)</f>
        <v>5903.8330400000004</v>
      </c>
      <c r="AO163" s="188">
        <v>2422.3000000000002</v>
      </c>
      <c r="AP163" s="298">
        <v>1932.61</v>
      </c>
      <c r="AQ163" s="298">
        <v>2911.99</v>
      </c>
      <c r="AR163" s="299" t="s">
        <v>112</v>
      </c>
      <c r="AS163" s="188"/>
    </row>
    <row r="164" spans="1:45">
      <c r="A164" s="286">
        <v>158</v>
      </c>
      <c r="B164" s="81" t="str">
        <f>'Encargos e Benefícios'!B163</f>
        <v>Administrativo</v>
      </c>
      <c r="C164" s="287">
        <f>'Encargos e Benefícios'!C163</f>
        <v>1</v>
      </c>
      <c r="D164" s="288">
        <v>40</v>
      </c>
      <c r="E164" s="300">
        <v>45658</v>
      </c>
      <c r="F164" s="301">
        <v>47058</v>
      </c>
      <c r="G164" s="293"/>
      <c r="H164" s="294"/>
      <c r="I164" s="256"/>
      <c r="J164" s="256"/>
      <c r="K164" s="256"/>
      <c r="L164" s="256"/>
      <c r="M164" s="293">
        <v>45778</v>
      </c>
      <c r="N164" s="294">
        <v>5.8400000000000001E-2</v>
      </c>
      <c r="O164" s="256">
        <f>'Encargos e Benefícios'!W163*5.84%</f>
        <v>30.905280000000001</v>
      </c>
      <c r="P164" s="256">
        <f>('Encargos e Benefícios'!X163+'Encargos e Benefícios'!Y163+'Encargos e Benefícios'!Z163+'Encargos e Benefícios'!AA163+'Encargos e Benefícios'!AB163)*5.84%</f>
        <v>18.235399999999998</v>
      </c>
      <c r="Q164" s="256">
        <f>'Encargos e Benefícios'!V163*5.84%</f>
        <v>6.521528</v>
      </c>
      <c r="R164" s="256"/>
      <c r="S164" s="293">
        <v>46143</v>
      </c>
      <c r="T164" s="294">
        <v>5.8400000000000001E-2</v>
      </c>
      <c r="U164" s="256">
        <f>('Encargos e Benefícios'!W163+'Gastos com Pessoal'!O164)*5.84%</f>
        <v>32.710148351999997</v>
      </c>
      <c r="V164" s="256">
        <f>('Encargos e Benefícios'!X163+'Encargos e Benefícios'!Y163+'Encargos e Benefícios'!Z163+'Encargos e Benefícios'!AA163+'Encargos e Benefícios'!AB163+'Gastos com Pessoal'!P164)*5.84%</f>
        <v>19.300347360000004</v>
      </c>
      <c r="W164" s="256">
        <f>('Encargos e Benefícios'!V163+'Gastos com Pessoal'!Q164)*5.84%</f>
        <v>6.9023852352000006</v>
      </c>
      <c r="X164" s="256"/>
      <c r="Y164" s="293">
        <v>46508</v>
      </c>
      <c r="Z164" s="294">
        <v>5.8400000000000001E-2</v>
      </c>
      <c r="AA164" s="256">
        <f>('Encargos e Benefícios'!W163+'Gastos com Pessoal'!O164+'Gastos com Pessoal'!U164)*5.84%</f>
        <v>34.620421015756804</v>
      </c>
      <c r="AB164" s="256">
        <f>('Encargos e Benefícios'!X163+'Encargos e Benefícios'!Y163+'Encargos e Benefícios'!Z163+'Encargos e Benefícios'!AA163+'Encargos e Benefícios'!AB163+'Gastos com Pessoal'!P164+'Gastos com Pessoal'!V164)*5.84%</f>
        <v>20.427487645824002</v>
      </c>
      <c r="AC164" s="256">
        <f>('Encargos e Benefícios'!V163+'Gastos com Pessoal'!Q164+'Gastos com Pessoal'!W164)*5.84%</f>
        <v>7.3054845329356803</v>
      </c>
      <c r="AD164" s="256"/>
      <c r="AE164" s="293">
        <v>46874</v>
      </c>
      <c r="AF164" s="294">
        <v>5.8400000000000001E-2</v>
      </c>
      <c r="AG164" s="256">
        <f>('Encargos e Benefícios'!W163+'Gastos com Pessoal'!O164+'Gastos com Pessoal'!U164+'Gastos com Pessoal'!AA164)*5.84%</f>
        <v>36.642253603077002</v>
      </c>
      <c r="AH164" s="256">
        <f>('Encargos e Benefícios'!X163+'Encargos e Benefícios'!Y163+'Encargos e Benefícios'!Z163+'Encargos e Benefícios'!AA163+'Encargos e Benefícios'!AB163+'Gastos com Pessoal'!P164+'Gastos com Pessoal'!V164+'Gastos com Pessoal'!AB164)*5.84%</f>
        <v>21.620452924340121</v>
      </c>
      <c r="AI164" s="256">
        <f>('Encargos e Benefícios'!V163+'Gastos com Pessoal'!Q164+'Gastos com Pessoal'!W164+'Gastos com Pessoal'!AC164)*5.84%</f>
        <v>7.7321248296591243</v>
      </c>
      <c r="AJ164" s="257"/>
      <c r="AK164" s="296">
        <f>'Encargos e Benefícios'!D163</f>
        <v>1852.2</v>
      </c>
      <c r="AL164" s="296">
        <f>IF('Encargos e Benefícios'!C163=0,0,'Encargos e Benefícios'!U163/'Encargos e Benefícios'!C163)</f>
        <v>1480.0106999999996</v>
      </c>
      <c r="AM164" s="296">
        <f>IF('Encargos e Benefícios'!C163=0,0,'Encargos e Benefícios'!AC163/'Encargos e Benefícios'!C163)</f>
        <v>953.12000000000012</v>
      </c>
      <c r="AN164" s="297">
        <f>IF('Encargos e Benefícios'!C163=0,0,'Encargos e Benefícios'!AD163/'Encargos e Benefícios'!C163)</f>
        <v>4285.3306999999995</v>
      </c>
      <c r="AO164" s="188">
        <v>2097.83</v>
      </c>
      <c r="AP164" s="298">
        <v>1500</v>
      </c>
      <c r="AQ164" s="298">
        <v>2695.66</v>
      </c>
      <c r="AR164" s="299" t="s">
        <v>112</v>
      </c>
      <c r="AS164" s="188"/>
    </row>
    <row r="165" spans="1:45">
      <c r="A165" s="286">
        <v>159</v>
      </c>
      <c r="B165" s="81" t="str">
        <f>'Encargos e Benefícios'!B164</f>
        <v>Auxiliar Educacional</v>
      </c>
      <c r="C165" s="287">
        <f>'Encargos e Benefícios'!C164</f>
        <v>1</v>
      </c>
      <c r="D165" s="288">
        <v>30</v>
      </c>
      <c r="E165" s="300">
        <v>45658</v>
      </c>
      <c r="F165" s="301">
        <v>47058</v>
      </c>
      <c r="G165" s="293"/>
      <c r="H165" s="294"/>
      <c r="I165" s="256"/>
      <c r="J165" s="256"/>
      <c r="K165" s="256"/>
      <c r="L165" s="256"/>
      <c r="M165" s="293">
        <v>45778</v>
      </c>
      <c r="N165" s="294">
        <v>5.8400000000000001E-2</v>
      </c>
      <c r="O165" s="256">
        <f>'Encargos e Benefícios'!W164*5.84%</f>
        <v>30.905280000000001</v>
      </c>
      <c r="P165" s="256">
        <f>('Encargos e Benefícios'!X164+'Encargos e Benefícios'!Y164+'Encargos e Benefícios'!Z164+'Encargos e Benefícios'!AA164+'Encargos e Benefícios'!AB164)*5.84%</f>
        <v>18.235399999999998</v>
      </c>
      <c r="Q165" s="256">
        <f>'Encargos e Benefícios'!V164*5.84%</f>
        <v>6.521528</v>
      </c>
      <c r="R165" s="256"/>
      <c r="S165" s="293">
        <v>46143</v>
      </c>
      <c r="T165" s="294">
        <v>5.8400000000000001E-2</v>
      </c>
      <c r="U165" s="256">
        <f>('Encargos e Benefícios'!W164+'Gastos com Pessoal'!O165)*5.84%</f>
        <v>32.710148351999997</v>
      </c>
      <c r="V165" s="256">
        <f>('Encargos e Benefícios'!X164+'Encargos e Benefícios'!Y164+'Encargos e Benefícios'!Z164+'Encargos e Benefícios'!AA164+'Encargos e Benefícios'!AB164+'Gastos com Pessoal'!P165)*5.84%</f>
        <v>19.300347360000004</v>
      </c>
      <c r="W165" s="256">
        <f>('Encargos e Benefícios'!V164+'Gastos com Pessoal'!Q165)*5.84%</f>
        <v>6.9023852352000006</v>
      </c>
      <c r="X165" s="256"/>
      <c r="Y165" s="293">
        <v>46508</v>
      </c>
      <c r="Z165" s="294">
        <v>5.8400000000000001E-2</v>
      </c>
      <c r="AA165" s="256">
        <f>('Encargos e Benefícios'!W164+'Gastos com Pessoal'!O165+'Gastos com Pessoal'!U165)*5.84%</f>
        <v>34.620421015756804</v>
      </c>
      <c r="AB165" s="256">
        <f>('Encargos e Benefícios'!X164+'Encargos e Benefícios'!Y164+'Encargos e Benefícios'!Z164+'Encargos e Benefícios'!AA164+'Encargos e Benefícios'!AB164+'Gastos com Pessoal'!P165+'Gastos com Pessoal'!V165)*5.84%</f>
        <v>20.427487645824002</v>
      </c>
      <c r="AC165" s="256">
        <f>('Encargos e Benefícios'!V164+'Gastos com Pessoal'!Q165+'Gastos com Pessoal'!W165)*5.84%</f>
        <v>7.3054845329356803</v>
      </c>
      <c r="AD165" s="256"/>
      <c r="AE165" s="293">
        <v>46874</v>
      </c>
      <c r="AF165" s="294">
        <v>5.8400000000000001E-2</v>
      </c>
      <c r="AG165" s="256">
        <f>('Encargos e Benefícios'!W164+'Gastos com Pessoal'!O165+'Gastos com Pessoal'!U165+'Gastos com Pessoal'!AA165)*5.84%</f>
        <v>36.642253603077002</v>
      </c>
      <c r="AH165" s="256">
        <f>('Encargos e Benefícios'!X164+'Encargos e Benefícios'!Y164+'Encargos e Benefícios'!Z164+'Encargos e Benefícios'!AA164+'Encargos e Benefícios'!AB164+'Gastos com Pessoal'!P165+'Gastos com Pessoal'!V165+'Gastos com Pessoal'!AB165)*5.84%</f>
        <v>21.620452924340121</v>
      </c>
      <c r="AI165" s="256">
        <f>('Encargos e Benefícios'!V164+'Gastos com Pessoal'!Q165+'Gastos com Pessoal'!W165+'Gastos com Pessoal'!AC165)*5.84%</f>
        <v>7.7321248296591243</v>
      </c>
      <c r="AJ165" s="257"/>
      <c r="AK165" s="296">
        <f>'Encargos e Benefícios'!D164</f>
        <v>1737.89</v>
      </c>
      <c r="AL165" s="296">
        <f>IF('Encargos e Benefícios'!C164=0,0,'Encargos e Benefícios'!U164/'Encargos e Benefícios'!C164)</f>
        <v>1388.6706594444449</v>
      </c>
      <c r="AM165" s="296">
        <f>IF('Encargos e Benefícios'!C164=0,0,'Encargos e Benefícios'!AC164/'Encargos e Benefícios'!C164)</f>
        <v>953.12000000000012</v>
      </c>
      <c r="AN165" s="297">
        <f>IF('Encargos e Benefícios'!C164=0,0,'Encargos e Benefícios'!AD164/'Encargos e Benefícios'!C164)</f>
        <v>4079.6806594444452</v>
      </c>
      <c r="AO165" s="188">
        <v>1750.23</v>
      </c>
      <c r="AP165" s="298">
        <v>1500</v>
      </c>
      <c r="AQ165" s="298">
        <v>2000.45</v>
      </c>
      <c r="AR165" s="299" t="s">
        <v>112</v>
      </c>
      <c r="AS165" s="188"/>
    </row>
    <row r="166" spans="1:45">
      <c r="A166" s="286">
        <v>160</v>
      </c>
      <c r="B166" s="81" t="str">
        <f>'Encargos e Benefícios'!B165</f>
        <v>Auxiliar de Serviços Gerais</v>
      </c>
      <c r="C166" s="287">
        <f>'Encargos e Benefícios'!C165</f>
        <v>1</v>
      </c>
      <c r="D166" s="288">
        <v>30</v>
      </c>
      <c r="E166" s="300">
        <v>45658</v>
      </c>
      <c r="F166" s="301">
        <v>47058</v>
      </c>
      <c r="G166" s="293"/>
      <c r="H166" s="294"/>
      <c r="I166" s="256"/>
      <c r="J166" s="256"/>
      <c r="K166" s="256"/>
      <c r="L166" s="256"/>
      <c r="M166" s="293">
        <v>45778</v>
      </c>
      <c r="N166" s="294">
        <v>5.8400000000000001E-2</v>
      </c>
      <c r="O166" s="256">
        <f>'Encargos e Benefícios'!W165*5.84%</f>
        <v>30.905280000000001</v>
      </c>
      <c r="P166" s="256">
        <f>('Encargos e Benefícios'!X165+'Encargos e Benefícios'!Y165+'Encargos e Benefícios'!Z165+'Encargos e Benefícios'!AA165+'Encargos e Benefícios'!AB165)*5.84%</f>
        <v>18.235399999999998</v>
      </c>
      <c r="Q166" s="256">
        <f>'Encargos e Benefícios'!V165*5.84%</f>
        <v>6.521528</v>
      </c>
      <c r="R166" s="256"/>
      <c r="S166" s="293">
        <v>46143</v>
      </c>
      <c r="T166" s="294">
        <v>5.8400000000000001E-2</v>
      </c>
      <c r="U166" s="256">
        <f>('Encargos e Benefícios'!W165+'Gastos com Pessoal'!O166)*5.84%</f>
        <v>32.710148351999997</v>
      </c>
      <c r="V166" s="256">
        <f>('Encargos e Benefícios'!X165+'Encargos e Benefícios'!Y165+'Encargos e Benefícios'!Z165+'Encargos e Benefícios'!AA165+'Encargos e Benefícios'!AB165+'Gastos com Pessoal'!P166)*5.84%</f>
        <v>19.300347360000004</v>
      </c>
      <c r="W166" s="256">
        <f>('Encargos e Benefícios'!V165+'Gastos com Pessoal'!Q166)*5.84%</f>
        <v>6.9023852352000006</v>
      </c>
      <c r="X166" s="256"/>
      <c r="Y166" s="293">
        <v>46508</v>
      </c>
      <c r="Z166" s="294">
        <v>5.8400000000000001E-2</v>
      </c>
      <c r="AA166" s="256">
        <f>('Encargos e Benefícios'!W165+'Gastos com Pessoal'!O166+'Gastos com Pessoal'!U166)*5.84%</f>
        <v>34.620421015756804</v>
      </c>
      <c r="AB166" s="256">
        <f>('Encargos e Benefícios'!X165+'Encargos e Benefícios'!Y165+'Encargos e Benefícios'!Z165+'Encargos e Benefícios'!AA165+'Encargos e Benefícios'!AB165+'Gastos com Pessoal'!P166+'Gastos com Pessoal'!V166)*5.84%</f>
        <v>20.427487645824002</v>
      </c>
      <c r="AC166" s="256">
        <f>('Encargos e Benefícios'!V165+'Gastos com Pessoal'!Q166+'Gastos com Pessoal'!W166)*5.84%</f>
        <v>7.3054845329356803</v>
      </c>
      <c r="AD166" s="256"/>
      <c r="AE166" s="293">
        <v>46874</v>
      </c>
      <c r="AF166" s="294">
        <v>5.8400000000000001E-2</v>
      </c>
      <c r="AG166" s="256">
        <f>('Encargos e Benefícios'!W165+'Gastos com Pessoal'!O166+'Gastos com Pessoal'!U166+'Gastos com Pessoal'!AA166)*5.84%</f>
        <v>36.642253603077002</v>
      </c>
      <c r="AH166" s="256">
        <f>('Encargos e Benefícios'!X165+'Encargos e Benefícios'!Y165+'Encargos e Benefícios'!Z165+'Encargos e Benefícios'!AA165+'Encargos e Benefícios'!AB165+'Gastos com Pessoal'!P166+'Gastos com Pessoal'!V166+'Gastos com Pessoal'!AB166)*5.84%</f>
        <v>21.620452924340121</v>
      </c>
      <c r="AI166" s="256">
        <f>('Encargos e Benefícios'!V165+'Gastos com Pessoal'!Q166+'Gastos com Pessoal'!W166+'Gastos com Pessoal'!AC166)*5.84%</f>
        <v>7.7321248296591243</v>
      </c>
      <c r="AJ166" s="257"/>
      <c r="AK166" s="296">
        <f>'Encargos e Benefícios'!D165</f>
        <v>1465.88</v>
      </c>
      <c r="AL166" s="296">
        <f>IF('Encargos e Benefícios'!C165=0,0,'Encargos e Benefícios'!U165/'Encargos e Benefícios'!C165)</f>
        <v>1171.3195577777778</v>
      </c>
      <c r="AM166" s="296">
        <f>IF('Encargos e Benefícios'!C165=0,0,'Encargos e Benefícios'!AC165/'Encargos e Benefícios'!C165)</f>
        <v>953.12000000000012</v>
      </c>
      <c r="AN166" s="297">
        <f>IF('Encargos e Benefícios'!C165=0,0,'Encargos e Benefícios'!AD165/'Encargos e Benefícios'!C165)</f>
        <v>3590.3195577777778</v>
      </c>
      <c r="AO166" s="188">
        <v>1437.37</v>
      </c>
      <c r="AP166" s="298">
        <v>1302</v>
      </c>
      <c r="AQ166" s="298">
        <v>1572.74</v>
      </c>
      <c r="AR166" s="299" t="s">
        <v>112</v>
      </c>
      <c r="AS166" s="188"/>
    </row>
    <row r="167" spans="1:45">
      <c r="A167" s="286">
        <v>161</v>
      </c>
      <c r="B167" s="81" t="str">
        <f>'Encargos e Benefícios'!B166</f>
        <v>Motorista</v>
      </c>
      <c r="C167" s="287">
        <f>'Encargos e Benefícios'!C166</f>
        <v>1</v>
      </c>
      <c r="D167" s="288">
        <v>40</v>
      </c>
      <c r="E167" s="300">
        <v>45658</v>
      </c>
      <c r="F167" s="301">
        <v>47058</v>
      </c>
      <c r="G167" s="293"/>
      <c r="H167" s="294"/>
      <c r="I167" s="256"/>
      <c r="J167" s="256"/>
      <c r="K167" s="256"/>
      <c r="L167" s="256"/>
      <c r="M167" s="293">
        <v>45778</v>
      </c>
      <c r="N167" s="294">
        <v>5.8400000000000001E-2</v>
      </c>
      <c r="O167" s="256">
        <f>'Encargos e Benefícios'!W166*5.84%</f>
        <v>30.905280000000001</v>
      </c>
      <c r="P167" s="256">
        <f>('Encargos e Benefícios'!X166+'Encargos e Benefícios'!Y166+'Encargos e Benefícios'!Z166+'Encargos e Benefícios'!AA166+'Encargos e Benefícios'!AB166)*5.84%</f>
        <v>18.235399999999998</v>
      </c>
      <c r="Q167" s="256">
        <f>'Encargos e Benefícios'!V166*5.84%</f>
        <v>6.521528</v>
      </c>
      <c r="R167" s="256"/>
      <c r="S167" s="293">
        <v>46143</v>
      </c>
      <c r="T167" s="294">
        <v>5.8400000000000001E-2</v>
      </c>
      <c r="U167" s="256">
        <f>('Encargos e Benefícios'!W166+'Gastos com Pessoal'!O167)*5.84%</f>
        <v>32.710148351999997</v>
      </c>
      <c r="V167" s="256">
        <f>('Encargos e Benefícios'!X166+'Encargos e Benefícios'!Y166+'Encargos e Benefícios'!Z166+'Encargos e Benefícios'!AA166+'Encargos e Benefícios'!AB166+'Gastos com Pessoal'!P167)*5.84%</f>
        <v>19.300347360000004</v>
      </c>
      <c r="W167" s="256">
        <f>('Encargos e Benefícios'!V166+'Gastos com Pessoal'!Q167)*5.84%</f>
        <v>6.9023852352000006</v>
      </c>
      <c r="X167" s="256"/>
      <c r="Y167" s="293">
        <v>46508</v>
      </c>
      <c r="Z167" s="294">
        <v>5.8400000000000001E-2</v>
      </c>
      <c r="AA167" s="256">
        <f>('Encargos e Benefícios'!W166+'Gastos com Pessoal'!O167+'Gastos com Pessoal'!U167)*5.84%</f>
        <v>34.620421015756804</v>
      </c>
      <c r="AB167" s="256">
        <f>('Encargos e Benefícios'!X166+'Encargos e Benefícios'!Y166+'Encargos e Benefícios'!Z166+'Encargos e Benefícios'!AA166+'Encargos e Benefícios'!AB166+'Gastos com Pessoal'!P167+'Gastos com Pessoal'!V167)*5.84%</f>
        <v>20.427487645824002</v>
      </c>
      <c r="AC167" s="256">
        <f>('Encargos e Benefícios'!V166+'Gastos com Pessoal'!Q167+'Gastos com Pessoal'!W167)*5.84%</f>
        <v>7.3054845329356803</v>
      </c>
      <c r="AD167" s="256"/>
      <c r="AE167" s="293">
        <v>46874</v>
      </c>
      <c r="AF167" s="294">
        <v>5.8400000000000001E-2</v>
      </c>
      <c r="AG167" s="256">
        <f>('Encargos e Benefícios'!W166+'Gastos com Pessoal'!O167+'Gastos com Pessoal'!U167+'Gastos com Pessoal'!AA167)*5.84%</f>
        <v>36.642253603077002</v>
      </c>
      <c r="AH167" s="256">
        <f>('Encargos e Benefícios'!X166+'Encargos e Benefícios'!Y166+'Encargos e Benefícios'!Z166+'Encargos e Benefícios'!AA166+'Encargos e Benefícios'!AB166+'Gastos com Pessoal'!P167+'Gastos com Pessoal'!V167+'Gastos com Pessoal'!AB167)*5.84%</f>
        <v>21.620452924340121</v>
      </c>
      <c r="AI167" s="256">
        <f>('Encargos e Benefícios'!V166+'Gastos com Pessoal'!Q167+'Gastos com Pessoal'!W167+'Gastos com Pessoal'!AC167)*5.84%</f>
        <v>7.7321248296591243</v>
      </c>
      <c r="AJ167" s="257"/>
      <c r="AK167" s="296">
        <f>'Encargos e Benefícios'!D166</f>
        <v>1537.21</v>
      </c>
      <c r="AL167" s="296">
        <f>IF('Encargos e Benefícios'!C166=0,0,'Encargos e Benefícios'!U166/'Encargos e Benefícios'!C166)</f>
        <v>1228.3161905555557</v>
      </c>
      <c r="AM167" s="296">
        <f>IF('Encargos e Benefícios'!C166=0,0,'Encargos e Benefícios'!AC166/'Encargos e Benefícios'!C166)</f>
        <v>953.12000000000012</v>
      </c>
      <c r="AN167" s="297">
        <f>IF('Encargos e Benefícios'!C166=0,0,'Encargos e Benefícios'!AD166/'Encargos e Benefícios'!C166)</f>
        <v>3718.6461905555561</v>
      </c>
      <c r="AO167" s="188">
        <v>2046.28</v>
      </c>
      <c r="AP167" s="298">
        <v>1212</v>
      </c>
      <c r="AQ167" s="298">
        <v>2880.55</v>
      </c>
      <c r="AR167" s="299" t="s">
        <v>112</v>
      </c>
      <c r="AS167" s="188"/>
    </row>
    <row r="168" spans="1:45">
      <c r="A168" s="286">
        <v>162</v>
      </c>
      <c r="B168" s="81" t="str">
        <f>'Encargos e Benefícios'!B167</f>
        <v>Socioeducador - DC</v>
      </c>
      <c r="C168" s="287">
        <f>'Encargos e Benefícios'!C167</f>
        <v>2</v>
      </c>
      <c r="D168" s="288" t="s">
        <v>496</v>
      </c>
      <c r="E168" s="300">
        <v>45658</v>
      </c>
      <c r="F168" s="301">
        <v>47058</v>
      </c>
      <c r="G168" s="293"/>
      <c r="H168" s="294"/>
      <c r="I168" s="256"/>
      <c r="J168" s="256"/>
      <c r="K168" s="256"/>
      <c r="L168" s="256"/>
      <c r="M168" s="293">
        <v>45778</v>
      </c>
      <c r="N168" s="294">
        <v>5.8400000000000001E-2</v>
      </c>
      <c r="O168" s="256">
        <f>'Encargos e Benefícios'!W167*5.84%</f>
        <v>61.810560000000002</v>
      </c>
      <c r="P168" s="256">
        <f>('Encargos e Benefícios'!X167+'Encargos e Benefícios'!Y167+'Encargos e Benefícios'!Z167+'Encargos e Benefícios'!AA167+'Encargos e Benefícios'!AB167)*5.84%</f>
        <v>36.470799999999997</v>
      </c>
      <c r="Q168" s="256">
        <f>'Encargos e Benefícios'!V167*5.84%</f>
        <v>8.8931520000000006</v>
      </c>
      <c r="R168" s="256"/>
      <c r="S168" s="293">
        <v>46143</v>
      </c>
      <c r="T168" s="294">
        <v>5.8400000000000001E-2</v>
      </c>
      <c r="U168" s="256">
        <f>('Encargos e Benefícios'!W167+'Gastos com Pessoal'!O168)*5.84%</f>
        <v>65.420296703999995</v>
      </c>
      <c r="V168" s="256">
        <f>('Encargos e Benefícios'!X167+'Encargos e Benefícios'!Y167+'Encargos e Benefícios'!Z167+'Encargos e Benefícios'!AA167+'Encargos e Benefícios'!AB167+'Gastos com Pessoal'!P168)*5.84%</f>
        <v>38.600694720000007</v>
      </c>
      <c r="W168" s="256">
        <f>('Encargos e Benefícios'!V167+'Gastos com Pessoal'!Q168)*5.84%</f>
        <v>9.4125120768000006</v>
      </c>
      <c r="X168" s="256"/>
      <c r="Y168" s="293">
        <v>46508</v>
      </c>
      <c r="Z168" s="294">
        <v>5.8400000000000001E-2</v>
      </c>
      <c r="AA168" s="256">
        <f>('Encargos e Benefícios'!W167+'Gastos com Pessoal'!O168+'Gastos com Pessoal'!U168)*5.84%</f>
        <v>69.240842031513608</v>
      </c>
      <c r="AB168" s="256">
        <f>('Encargos e Benefícios'!X167+'Encargos e Benefícios'!Y167+'Encargos e Benefícios'!Z167+'Encargos e Benefícios'!AA167+'Encargos e Benefícios'!AB167+'Gastos com Pessoal'!P168+'Gastos com Pessoal'!V168)*5.84%</f>
        <v>40.854975291648003</v>
      </c>
      <c r="AC168" s="256">
        <f>('Encargos e Benefícios'!V167+'Gastos com Pessoal'!Q168+'Gastos com Pessoal'!W168)*5.84%</f>
        <v>9.9622027820851216</v>
      </c>
      <c r="AD168" s="256"/>
      <c r="AE168" s="293">
        <v>46874</v>
      </c>
      <c r="AF168" s="294">
        <v>5.8400000000000001E-2</v>
      </c>
      <c r="AG168" s="256">
        <f>('Encargos e Benefícios'!W167+'Gastos com Pessoal'!O168+'Gastos com Pessoal'!U168+'Gastos com Pessoal'!AA168)*5.84%</f>
        <v>73.284507206154004</v>
      </c>
      <c r="AH168" s="256">
        <f>('Encargos e Benefícios'!X167+'Encargos e Benefícios'!Y167+'Encargos e Benefícios'!Z167+'Encargos e Benefícios'!AA167+'Encargos e Benefícios'!AB167+'Gastos com Pessoal'!P168+'Gastos com Pessoal'!V168+'Gastos com Pessoal'!AB168)*5.84%</f>
        <v>43.240905848680242</v>
      </c>
      <c r="AI168" s="256">
        <f>('Encargos e Benefícios'!V167+'Gastos com Pessoal'!Q168+'Gastos com Pessoal'!W168+'Gastos com Pessoal'!AC168)*5.84%</f>
        <v>10.543995424558892</v>
      </c>
      <c r="AJ168" s="257"/>
      <c r="AK168" s="296">
        <f>'Encargos e Benefícios'!D167</f>
        <v>2010.96</v>
      </c>
      <c r="AL168" s="296">
        <f>IF('Encargos e Benefícios'!C167=0,0,'Encargos e Benefícios'!U167/'Encargos e Benefícios'!C167)</f>
        <v>2942.4053904000002</v>
      </c>
      <c r="AM168" s="296">
        <f>IF('Encargos e Benefícios'!C167=0,0,'Encargos e Benefícios'!AC167/'Encargos e Benefícios'!C167)</f>
        <v>917.59000000000015</v>
      </c>
      <c r="AN168" s="297">
        <f>IF('Encargos e Benefícios'!C167=0,0,'Encargos e Benefícios'!AD167/'Encargos e Benefícios'!C167)</f>
        <v>5870.9553904000004</v>
      </c>
      <c r="AO168" s="188">
        <v>2752.21</v>
      </c>
      <c r="AP168" s="298">
        <v>1764.5</v>
      </c>
      <c r="AQ168" s="298">
        <v>3739.92</v>
      </c>
      <c r="AR168" s="299" t="s">
        <v>112</v>
      </c>
      <c r="AS168" s="188"/>
    </row>
    <row r="169" spans="1:45">
      <c r="A169" s="286">
        <v>163</v>
      </c>
      <c r="B169" s="81" t="str">
        <f>'Encargos e Benefícios'!B168</f>
        <v>Socioeducador - D</v>
      </c>
      <c r="C169" s="287">
        <f>'Encargos e Benefícios'!C168</f>
        <v>12</v>
      </c>
      <c r="D169" s="288" t="s">
        <v>496</v>
      </c>
      <c r="E169" s="300">
        <v>45658</v>
      </c>
      <c r="F169" s="301">
        <v>47058</v>
      </c>
      <c r="G169" s="293"/>
      <c r="H169" s="294"/>
      <c r="I169" s="256"/>
      <c r="J169" s="256"/>
      <c r="K169" s="256"/>
      <c r="L169" s="256"/>
      <c r="M169" s="293">
        <v>45778</v>
      </c>
      <c r="N169" s="294">
        <v>5.8400000000000001E-2</v>
      </c>
      <c r="O169" s="256">
        <f>'Encargos e Benefícios'!W168*5.84%</f>
        <v>370.86336000000006</v>
      </c>
      <c r="P169" s="256">
        <f>('Encargos e Benefícios'!X168+'Encargos e Benefícios'!Y168+'Encargos e Benefícios'!Z168+'Encargos e Benefícios'!AA168+'Encargos e Benefícios'!AB168)*5.84%</f>
        <v>218.82480000000001</v>
      </c>
      <c r="Q169" s="256">
        <f>'Encargos e Benefícios'!V168*5.84%</f>
        <v>53.358912000000004</v>
      </c>
      <c r="R169" s="256"/>
      <c r="S169" s="293">
        <v>46143</v>
      </c>
      <c r="T169" s="294">
        <v>5.8400000000000001E-2</v>
      </c>
      <c r="U169" s="256">
        <f>('Encargos e Benefícios'!W168+'Gastos com Pessoal'!O169)*5.84%</f>
        <v>392.52178022400005</v>
      </c>
      <c r="V169" s="256">
        <f>('Encargos e Benefícios'!X168+'Encargos e Benefícios'!Y168+'Encargos e Benefícios'!Z168+'Encargos e Benefícios'!AA168+'Encargos e Benefícios'!AB168+'Gastos com Pessoal'!P169)*5.84%</f>
        <v>231.60416831999999</v>
      </c>
      <c r="W169" s="256">
        <f>('Encargos e Benefícios'!V168+'Gastos com Pessoal'!Q169)*5.84%</f>
        <v>56.475072460800007</v>
      </c>
      <c r="X169" s="256"/>
      <c r="Y169" s="293">
        <v>46508</v>
      </c>
      <c r="Z169" s="294">
        <v>5.8400000000000001E-2</v>
      </c>
      <c r="AA169" s="256">
        <f>('Encargos e Benefícios'!W168+'Gastos com Pessoal'!O169+'Gastos com Pessoal'!U169)*5.84%</f>
        <v>415.44505218908165</v>
      </c>
      <c r="AB169" s="256">
        <f>('Encargos e Benefícios'!X168+'Encargos e Benefícios'!Y168+'Encargos e Benefícios'!Z168+'Encargos e Benefícios'!AA168+'Encargos e Benefícios'!AB168+'Gastos com Pessoal'!P169+'Gastos com Pessoal'!V169)*5.84%</f>
        <v>245.12985174988796</v>
      </c>
      <c r="AC169" s="256">
        <f>('Encargos e Benefícios'!V168+'Gastos com Pessoal'!Q169+'Gastos com Pessoal'!W169)*5.84%</f>
        <v>59.773216692510722</v>
      </c>
      <c r="AD169" s="256"/>
      <c r="AE169" s="293">
        <v>46874</v>
      </c>
      <c r="AF169" s="294">
        <v>5.8400000000000001E-2</v>
      </c>
      <c r="AG169" s="256">
        <f>('Encargos e Benefícios'!W168+'Gastos com Pessoal'!O169+'Gastos com Pessoal'!U169+'Gastos com Pessoal'!AA169)*5.84%</f>
        <v>439.70704323692399</v>
      </c>
      <c r="AH169" s="256">
        <f>('Encargos e Benefícios'!X168+'Encargos e Benefícios'!Y168+'Encargos e Benefícios'!Z168+'Encargos e Benefícios'!AA168+'Encargos e Benefícios'!AB168+'Gastos com Pessoal'!P169+'Gastos com Pessoal'!V169+'Gastos com Pessoal'!AB169)*5.84%</f>
        <v>259.44543509208142</v>
      </c>
      <c r="AI169" s="256">
        <f>('Encargos e Benefícios'!V168+'Gastos com Pessoal'!Q169+'Gastos com Pessoal'!W169+'Gastos com Pessoal'!AC169)*5.84%</f>
        <v>63.263972547353355</v>
      </c>
      <c r="AJ169" s="257"/>
      <c r="AK169" s="296">
        <f>'Encargos e Benefícios'!D168</f>
        <v>2010.96</v>
      </c>
      <c r="AL169" s="296">
        <f>IF('Encargos e Benefícios'!C168=0,0,'Encargos e Benefícios'!U168/'Encargos e Benefícios'!C168)</f>
        <v>2591.2415003999999</v>
      </c>
      <c r="AM169" s="296">
        <f>IF('Encargos e Benefícios'!C168=0,0,'Encargos e Benefícios'!AC168/'Encargos e Benefícios'!C168)</f>
        <v>917.59</v>
      </c>
      <c r="AN169" s="297">
        <f>IF('Encargos e Benefícios'!C168=0,0,'Encargos e Benefícios'!AD168/'Encargos e Benefícios'!C168)</f>
        <v>5519.7915003999997</v>
      </c>
      <c r="AO169" s="188">
        <v>2752.21</v>
      </c>
      <c r="AP169" s="298">
        <v>1764.5</v>
      </c>
      <c r="AQ169" s="298">
        <v>3739.92</v>
      </c>
      <c r="AR169" s="299" t="s">
        <v>112</v>
      </c>
      <c r="AS169" s="188"/>
    </row>
    <row r="170" spans="1:45">
      <c r="A170" s="286">
        <v>164</v>
      </c>
      <c r="B170" s="81" t="str">
        <f>'Encargos e Benefícios'!B169</f>
        <v>Socioeducador - NC</v>
      </c>
      <c r="C170" s="287">
        <f>'Encargos e Benefícios'!C169</f>
        <v>2</v>
      </c>
      <c r="D170" s="288" t="s">
        <v>496</v>
      </c>
      <c r="E170" s="300">
        <v>45658</v>
      </c>
      <c r="F170" s="301">
        <v>47058</v>
      </c>
      <c r="G170" s="293"/>
      <c r="H170" s="294"/>
      <c r="I170" s="256"/>
      <c r="J170" s="256"/>
      <c r="K170" s="256"/>
      <c r="L170" s="256"/>
      <c r="M170" s="293">
        <v>45778</v>
      </c>
      <c r="N170" s="294">
        <v>5.8400000000000001E-2</v>
      </c>
      <c r="O170" s="256">
        <f>'Encargos e Benefícios'!W169*5.84%</f>
        <v>61.810560000000002</v>
      </c>
      <c r="P170" s="256">
        <f>('Encargos e Benefícios'!X169+'Encargos e Benefícios'!Y169+'Encargos e Benefícios'!Z169+'Encargos e Benefícios'!AA169+'Encargos e Benefícios'!AB169)*5.84%</f>
        <v>36.470799999999997</v>
      </c>
      <c r="Q170" s="256">
        <f>'Encargos e Benefícios'!V169*5.84%</f>
        <v>8.8931520000000006</v>
      </c>
      <c r="R170" s="256"/>
      <c r="S170" s="293">
        <v>46143</v>
      </c>
      <c r="T170" s="294">
        <v>5.8400000000000001E-2</v>
      </c>
      <c r="U170" s="256">
        <f>('Encargos e Benefícios'!W169+'Gastos com Pessoal'!O170)*5.84%</f>
        <v>65.420296703999995</v>
      </c>
      <c r="V170" s="256">
        <f>('Encargos e Benefícios'!X169+'Encargos e Benefícios'!Y169+'Encargos e Benefícios'!Z169+'Encargos e Benefícios'!AA169+'Encargos e Benefícios'!AB169+'Gastos com Pessoal'!P170)*5.84%</f>
        <v>38.600694720000007</v>
      </c>
      <c r="W170" s="256">
        <f>('Encargos e Benefícios'!V169+'Gastos com Pessoal'!Q170)*5.84%</f>
        <v>9.4125120768000006</v>
      </c>
      <c r="X170" s="256"/>
      <c r="Y170" s="293">
        <v>46508</v>
      </c>
      <c r="Z170" s="294">
        <v>5.8400000000000001E-2</v>
      </c>
      <c r="AA170" s="256">
        <f>('Encargos e Benefícios'!W169+'Gastos com Pessoal'!O170+'Gastos com Pessoal'!U170)*5.84%</f>
        <v>69.240842031513608</v>
      </c>
      <c r="AB170" s="256">
        <f>('Encargos e Benefícios'!X169+'Encargos e Benefícios'!Y169+'Encargos e Benefícios'!Z169+'Encargos e Benefícios'!AA169+'Encargos e Benefícios'!AB169+'Gastos com Pessoal'!P170+'Gastos com Pessoal'!V170)*5.84%</f>
        <v>40.854975291648003</v>
      </c>
      <c r="AC170" s="256">
        <f>('Encargos e Benefícios'!V169+'Gastos com Pessoal'!Q170+'Gastos com Pessoal'!W170)*5.84%</f>
        <v>9.9622027820851216</v>
      </c>
      <c r="AD170" s="256"/>
      <c r="AE170" s="293">
        <v>46874</v>
      </c>
      <c r="AF170" s="294">
        <v>5.8400000000000001E-2</v>
      </c>
      <c r="AG170" s="256">
        <f>('Encargos e Benefícios'!W169+'Gastos com Pessoal'!O170+'Gastos com Pessoal'!U170+'Gastos com Pessoal'!AA170)*5.84%</f>
        <v>73.284507206154004</v>
      </c>
      <c r="AH170" s="256">
        <f>('Encargos e Benefícios'!X169+'Encargos e Benefícios'!Y169+'Encargos e Benefícios'!Z169+'Encargos e Benefícios'!AA169+'Encargos e Benefícios'!AB169+'Gastos com Pessoal'!P170+'Gastos com Pessoal'!V170+'Gastos com Pessoal'!AB170)*5.84%</f>
        <v>43.240905848680242</v>
      </c>
      <c r="AI170" s="256">
        <f>('Encargos e Benefícios'!V169+'Gastos com Pessoal'!Q170+'Gastos com Pessoal'!W170+'Gastos com Pessoal'!AC170)*5.84%</f>
        <v>10.543995424558892</v>
      </c>
      <c r="AJ170" s="257"/>
      <c r="AK170" s="296">
        <f>'Encargos e Benefícios'!D169</f>
        <v>2010.96</v>
      </c>
      <c r="AL170" s="296">
        <f>IF('Encargos e Benefícios'!C169=0,0,'Encargos e Benefícios'!U169/'Encargos e Benefícios'!C169)</f>
        <v>3553.5688062933345</v>
      </c>
      <c r="AM170" s="296">
        <f>IF('Encargos e Benefícios'!C169=0,0,'Encargos e Benefícios'!AC169/'Encargos e Benefícios'!C169)</f>
        <v>917.59000000000015</v>
      </c>
      <c r="AN170" s="297">
        <f>IF('Encargos e Benefícios'!C169=0,0,'Encargos e Benefícios'!AD169/'Encargos e Benefícios'!C169)</f>
        <v>6482.1188062933343</v>
      </c>
      <c r="AO170" s="188">
        <v>2752.21</v>
      </c>
      <c r="AP170" s="298">
        <v>1764.5</v>
      </c>
      <c r="AQ170" s="298">
        <v>3739.92</v>
      </c>
      <c r="AR170" s="299" t="s">
        <v>112</v>
      </c>
      <c r="AS170" s="188"/>
    </row>
    <row r="171" spans="1:45" ht="13" thickBot="1">
      <c r="A171" s="286">
        <v>165</v>
      </c>
      <c r="B171" s="81" t="str">
        <f>'Encargos e Benefícios'!B170</f>
        <v>Socioeducador - N</v>
      </c>
      <c r="C171" s="287">
        <f>'Encargos e Benefícios'!C170</f>
        <v>6</v>
      </c>
      <c r="D171" s="288" t="s">
        <v>496</v>
      </c>
      <c r="E171" s="300">
        <v>45658</v>
      </c>
      <c r="F171" s="301">
        <v>47058</v>
      </c>
      <c r="G171" s="293"/>
      <c r="H171" s="294"/>
      <c r="I171" s="256"/>
      <c r="J171" s="256"/>
      <c r="K171" s="256"/>
      <c r="L171" s="256"/>
      <c r="M171" s="293">
        <v>45778</v>
      </c>
      <c r="N171" s="294">
        <v>5.8400000000000001E-2</v>
      </c>
      <c r="O171" s="256">
        <f>'Encargos e Benefícios'!W170*5.84%</f>
        <v>185.43168000000003</v>
      </c>
      <c r="P171" s="256">
        <f>('Encargos e Benefícios'!X170+'Encargos e Benefícios'!Y170+'Encargos e Benefícios'!Z170+'Encargos e Benefícios'!AA170+'Encargos e Benefícios'!AB170)*5.84%</f>
        <v>109.41240000000001</v>
      </c>
      <c r="Q171" s="256">
        <f>'Encargos e Benefícios'!V170*5.84%</f>
        <v>26.679456000000002</v>
      </c>
      <c r="R171" s="256"/>
      <c r="S171" s="293">
        <v>46143</v>
      </c>
      <c r="T171" s="294">
        <v>5.8400000000000001E-2</v>
      </c>
      <c r="U171" s="256">
        <f>('Encargos e Benefícios'!W170+'Gastos com Pessoal'!O171)*5.84%</f>
        <v>196.26089011200003</v>
      </c>
      <c r="V171" s="256">
        <f>('Encargos e Benefícios'!X170+'Encargos e Benefícios'!Y170+'Encargos e Benefícios'!Z170+'Encargos e Benefícios'!AA170+'Encargos e Benefícios'!AB170+'Gastos com Pessoal'!P171)*5.84%</f>
        <v>115.80208415999999</v>
      </c>
      <c r="W171" s="256">
        <f>('Encargos e Benefícios'!V170+'Gastos com Pessoal'!Q171)*5.84%</f>
        <v>28.237536230400003</v>
      </c>
      <c r="X171" s="256"/>
      <c r="Y171" s="293">
        <v>46508</v>
      </c>
      <c r="Z171" s="294">
        <v>5.8400000000000001E-2</v>
      </c>
      <c r="AA171" s="256">
        <f>('Encargos e Benefícios'!W170+'Gastos com Pessoal'!O171+'Gastos com Pessoal'!U171)*5.84%</f>
        <v>207.72252609454083</v>
      </c>
      <c r="AB171" s="256">
        <f>('Encargos e Benefícios'!X170+'Encargos e Benefícios'!Y170+'Encargos e Benefícios'!Z170+'Encargos e Benefícios'!AA170+'Encargos e Benefícios'!AB170+'Gastos com Pessoal'!P171+'Gastos com Pessoal'!V171)*5.84%</f>
        <v>122.56492587494398</v>
      </c>
      <c r="AC171" s="256">
        <f>('Encargos e Benefícios'!V170+'Gastos com Pessoal'!Q171+'Gastos com Pessoal'!W171)*5.84%</f>
        <v>29.886608346255361</v>
      </c>
      <c r="AD171" s="256"/>
      <c r="AE171" s="293">
        <v>46874</v>
      </c>
      <c r="AF171" s="294">
        <v>5.8400000000000001E-2</v>
      </c>
      <c r="AG171" s="256">
        <f>('Encargos e Benefícios'!W170+'Gastos com Pessoal'!O171+'Gastos com Pessoal'!U171+'Gastos com Pessoal'!AA171)*5.84%</f>
        <v>219.853521618462</v>
      </c>
      <c r="AH171" s="256">
        <f>('Encargos e Benefícios'!X170+'Encargos e Benefícios'!Y170+'Encargos e Benefícios'!Z170+'Encargos e Benefícios'!AA170+'Encargos e Benefícios'!AB170+'Gastos com Pessoal'!P171+'Gastos com Pessoal'!V171+'Gastos com Pessoal'!AB171)*5.84%</f>
        <v>129.72271754604071</v>
      </c>
      <c r="AI171" s="256">
        <f>('Encargos e Benefícios'!V170+'Gastos com Pessoal'!Q171+'Gastos com Pessoal'!W171+'Gastos com Pessoal'!AC171)*5.84%</f>
        <v>31.631986273676677</v>
      </c>
      <c r="AJ171" s="257"/>
      <c r="AK171" s="296">
        <f>'Encargos e Benefícios'!D170</f>
        <v>2010.96</v>
      </c>
      <c r="AL171" s="296">
        <f>IF('Encargos e Benefícios'!C170=0,0,'Encargos e Benefícios'!U170/'Encargos e Benefícios'!C170)</f>
        <v>3202.4049162933329</v>
      </c>
      <c r="AM171" s="296">
        <f>IF('Encargos e Benefícios'!C170=0,0,'Encargos e Benefícios'!AC170/'Encargos e Benefícios'!C170)</f>
        <v>917.59</v>
      </c>
      <c r="AN171" s="297">
        <f>IF('Encargos e Benefícios'!C170=0,0,'Encargos e Benefícios'!AD170/'Encargos e Benefícios'!C170)</f>
        <v>6130.9549162933326</v>
      </c>
      <c r="AO171" s="188">
        <v>2752.21</v>
      </c>
      <c r="AP171" s="298">
        <v>1764.5</v>
      </c>
      <c r="AQ171" s="298">
        <v>3739.92</v>
      </c>
      <c r="AR171" s="299" t="s">
        <v>112</v>
      </c>
      <c r="AS171" s="188"/>
    </row>
    <row r="172" spans="1:45">
      <c r="A172" s="286">
        <v>166</v>
      </c>
      <c r="B172" s="81" t="str">
        <f>'Encargos e Benefícios'!B171</f>
        <v>Diretor Geral de Unidade Socioeducativa</v>
      </c>
      <c r="C172" s="287">
        <f>'Encargos e Benefícios'!C171</f>
        <v>1</v>
      </c>
      <c r="D172" s="288">
        <v>40</v>
      </c>
      <c r="E172" s="300">
        <v>45658</v>
      </c>
      <c r="F172" s="290">
        <v>47058</v>
      </c>
      <c r="G172" s="293"/>
      <c r="H172" s="294"/>
      <c r="I172" s="256"/>
      <c r="J172" s="256"/>
      <c r="K172" s="256"/>
      <c r="L172" s="256"/>
      <c r="M172" s="293">
        <v>45778</v>
      </c>
      <c r="N172" s="294">
        <v>5.8400000000000001E-2</v>
      </c>
      <c r="O172" s="256">
        <f>'Encargos e Benefícios'!W171*5.84%</f>
        <v>30.905280000000001</v>
      </c>
      <c r="P172" s="256">
        <f>('Encargos e Benefícios'!X171+'Encargos e Benefícios'!Y171+'Encargos e Benefícios'!Z171+'Encargos e Benefícios'!AA171+'Encargos e Benefícios'!AB171)*5.84%</f>
        <v>18.235399999999998</v>
      </c>
      <c r="Q172" s="256">
        <f>'Encargos e Benefícios'!V171*5.84%</f>
        <v>0</v>
      </c>
      <c r="R172" s="256"/>
      <c r="S172" s="293">
        <v>46143</v>
      </c>
      <c r="T172" s="294">
        <v>5.8400000000000001E-2</v>
      </c>
      <c r="U172" s="256">
        <f>('Encargos e Benefícios'!W171+'Gastos com Pessoal'!O172)*5.84%</f>
        <v>32.710148351999997</v>
      </c>
      <c r="V172" s="256">
        <f>('Encargos e Benefícios'!X171+'Encargos e Benefícios'!Y171+'Encargos e Benefícios'!Z171+'Encargos e Benefícios'!AA171+'Encargos e Benefícios'!AB171+'Gastos com Pessoal'!P172)*5.84%</f>
        <v>19.300347360000004</v>
      </c>
      <c r="W172" s="256">
        <f>('Encargos e Benefícios'!V171+'Gastos com Pessoal'!Q172)*5.84%</f>
        <v>0</v>
      </c>
      <c r="X172" s="256"/>
      <c r="Y172" s="293">
        <v>46508</v>
      </c>
      <c r="Z172" s="294">
        <v>5.8400000000000001E-2</v>
      </c>
      <c r="AA172" s="256">
        <f>('Encargos e Benefícios'!W171+'Gastos com Pessoal'!O172+'Gastos com Pessoal'!U172)*5.84%</f>
        <v>34.620421015756804</v>
      </c>
      <c r="AB172" s="256">
        <f>('Encargos e Benefícios'!X171+'Encargos e Benefícios'!Y171+'Encargos e Benefícios'!Z171+'Encargos e Benefícios'!AA171+'Encargos e Benefícios'!AB171+'Gastos com Pessoal'!P172+'Gastos com Pessoal'!V172)*5.84%</f>
        <v>20.427487645824002</v>
      </c>
      <c r="AC172" s="256">
        <f>('Encargos e Benefícios'!V171+'Gastos com Pessoal'!Q172+'Gastos com Pessoal'!W172)*5.84%</f>
        <v>0</v>
      </c>
      <c r="AD172" s="256"/>
      <c r="AE172" s="293">
        <v>46874</v>
      </c>
      <c r="AF172" s="294">
        <v>5.8400000000000001E-2</v>
      </c>
      <c r="AG172" s="256">
        <f>('Encargos e Benefícios'!W171+'Gastos com Pessoal'!O172+'Gastos com Pessoal'!U172+'Gastos com Pessoal'!AA172)*5.84%</f>
        <v>36.642253603077002</v>
      </c>
      <c r="AH172" s="256">
        <f>('Encargos e Benefícios'!X171+'Encargos e Benefícios'!Y171+'Encargos e Benefícios'!Z171+'Encargos e Benefícios'!AA171+'Encargos e Benefícios'!AB171+'Gastos com Pessoal'!P172+'Gastos com Pessoal'!V172+'Gastos com Pessoal'!AB172)*5.84%</f>
        <v>21.620452924340121</v>
      </c>
      <c r="AI172" s="256">
        <f>('Encargos e Benefícios'!V171+'Gastos com Pessoal'!Q172+'Gastos com Pessoal'!W172+'Gastos com Pessoal'!AC172)*5.84%</f>
        <v>0</v>
      </c>
      <c r="AJ172" s="257"/>
      <c r="AK172" s="296">
        <f>'Encargos e Benefícios'!D171</f>
        <v>6879.6</v>
      </c>
      <c r="AL172" s="296">
        <f>IF('Encargos e Benefícios'!C171=0,0,'Encargos e Benefícios'!U171/'Encargos e Benefícios'!C171)</f>
        <v>5400.8682000000008</v>
      </c>
      <c r="AM172" s="296">
        <f>IF('Encargos e Benefícios'!C171=0,0,'Encargos e Benefícios'!AC171/'Encargos e Benefícios'!C171)</f>
        <v>841.45</v>
      </c>
      <c r="AN172" s="297">
        <f>IF('Encargos e Benefícios'!C171=0,0,'Encargos e Benefícios'!AD171/'Encargos e Benefícios'!C171)</f>
        <v>13121.918200000002</v>
      </c>
      <c r="AO172" s="188">
        <v>6052.24</v>
      </c>
      <c r="AP172" s="298">
        <v>4239.6899999999996</v>
      </c>
      <c r="AQ172" s="298">
        <v>7864.78</v>
      </c>
      <c r="AR172" s="299" t="s">
        <v>113</v>
      </c>
      <c r="AS172" s="188"/>
    </row>
    <row r="173" spans="1:45">
      <c r="A173" s="286">
        <v>167</v>
      </c>
      <c r="B173" s="81" t="str">
        <f>'Encargos e Benefícios'!B172</f>
        <v>Subdiretor de Segurança</v>
      </c>
      <c r="C173" s="287">
        <f>'Encargos e Benefícios'!C172</f>
        <v>1</v>
      </c>
      <c r="D173" s="288">
        <v>40</v>
      </c>
      <c r="E173" s="300">
        <v>45658</v>
      </c>
      <c r="F173" s="301">
        <v>47058</v>
      </c>
      <c r="G173" s="293"/>
      <c r="H173" s="294"/>
      <c r="I173" s="256"/>
      <c r="J173" s="256"/>
      <c r="K173" s="256"/>
      <c r="L173" s="256"/>
      <c r="M173" s="293">
        <v>45778</v>
      </c>
      <c r="N173" s="294">
        <v>5.8400000000000001E-2</v>
      </c>
      <c r="O173" s="256">
        <f>'Encargos e Benefícios'!W172*5.84%</f>
        <v>30.905280000000001</v>
      </c>
      <c r="P173" s="256">
        <f>('Encargos e Benefícios'!X172+'Encargos e Benefícios'!Y172+'Encargos e Benefícios'!Z172+'Encargos e Benefícios'!AA172+'Encargos e Benefícios'!AB172)*5.84%</f>
        <v>18.235399999999998</v>
      </c>
      <c r="Q173" s="256">
        <f>'Encargos e Benefícios'!V172*5.84%</f>
        <v>0</v>
      </c>
      <c r="R173" s="256"/>
      <c r="S173" s="293">
        <v>46143</v>
      </c>
      <c r="T173" s="294">
        <v>5.8400000000000001E-2</v>
      </c>
      <c r="U173" s="256">
        <f>('Encargos e Benefícios'!W172+'Gastos com Pessoal'!O173)*5.84%</f>
        <v>32.710148351999997</v>
      </c>
      <c r="V173" s="256">
        <f>('Encargos e Benefícios'!X172+'Encargos e Benefícios'!Y172+'Encargos e Benefícios'!Z172+'Encargos e Benefícios'!AA172+'Encargos e Benefícios'!AB172+'Gastos com Pessoal'!P173)*5.84%</f>
        <v>19.300347360000004</v>
      </c>
      <c r="W173" s="256">
        <f>('Encargos e Benefícios'!V172+'Gastos com Pessoal'!Q173)*5.84%</f>
        <v>0</v>
      </c>
      <c r="X173" s="256"/>
      <c r="Y173" s="293">
        <v>46508</v>
      </c>
      <c r="Z173" s="294">
        <v>5.8400000000000001E-2</v>
      </c>
      <c r="AA173" s="256">
        <f>('Encargos e Benefícios'!W172+'Gastos com Pessoal'!O173+'Gastos com Pessoal'!U173)*5.84%</f>
        <v>34.620421015756804</v>
      </c>
      <c r="AB173" s="256">
        <f>('Encargos e Benefícios'!X172+'Encargos e Benefícios'!Y172+'Encargos e Benefícios'!Z172+'Encargos e Benefícios'!AA172+'Encargos e Benefícios'!AB172+'Gastos com Pessoal'!P173+'Gastos com Pessoal'!V173)*5.84%</f>
        <v>20.427487645824002</v>
      </c>
      <c r="AC173" s="256">
        <f>('Encargos e Benefícios'!V172+'Gastos com Pessoal'!Q173+'Gastos com Pessoal'!W173)*5.84%</f>
        <v>0</v>
      </c>
      <c r="AD173" s="256"/>
      <c r="AE173" s="293">
        <v>46874</v>
      </c>
      <c r="AF173" s="294">
        <v>5.8400000000000001E-2</v>
      </c>
      <c r="AG173" s="256">
        <f>('Encargos e Benefícios'!W172+'Gastos com Pessoal'!O173+'Gastos com Pessoal'!U173+'Gastos com Pessoal'!AA173)*5.84%</f>
        <v>36.642253603077002</v>
      </c>
      <c r="AH173" s="256">
        <f>('Encargos e Benefícios'!X172+'Encargos e Benefícios'!Y172+'Encargos e Benefícios'!Z172+'Encargos e Benefícios'!AA172+'Encargos e Benefícios'!AB172+'Gastos com Pessoal'!P173+'Gastos com Pessoal'!V173+'Gastos com Pessoal'!AB173)*5.84%</f>
        <v>21.620452924340121</v>
      </c>
      <c r="AI173" s="256">
        <f>('Encargos e Benefícios'!V172+'Gastos com Pessoal'!Q173+'Gastos com Pessoal'!W173+'Gastos com Pessoal'!AC173)*5.84%</f>
        <v>0</v>
      </c>
      <c r="AJ173" s="257"/>
      <c r="AK173" s="296">
        <f>'Encargos e Benefícios'!D172</f>
        <v>3993.98</v>
      </c>
      <c r="AL173" s="296">
        <f>IF('Encargos e Benefícios'!C172=0,0,'Encargos e Benefícios'!U172/'Encargos e Benefícios'!C172)</f>
        <v>4659.1662746111106</v>
      </c>
      <c r="AM173" s="296">
        <f>IF('Encargos e Benefícios'!C172=0,0,'Encargos e Benefícios'!AC172/'Encargos e Benefícios'!C172)</f>
        <v>841.45</v>
      </c>
      <c r="AN173" s="297">
        <f>IF('Encargos e Benefícios'!C172=0,0,'Encargos e Benefícios'!AD172/'Encargos e Benefícios'!C172)</f>
        <v>9494.5962746111109</v>
      </c>
      <c r="AO173" s="188">
        <v>4968.99</v>
      </c>
      <c r="AP173" s="298">
        <v>3773.6</v>
      </c>
      <c r="AQ173" s="298">
        <v>6164.38</v>
      </c>
      <c r="AR173" s="299" t="s">
        <v>113</v>
      </c>
      <c r="AS173" s="188"/>
    </row>
    <row r="174" spans="1:45">
      <c r="A174" s="286">
        <v>168</v>
      </c>
      <c r="B174" s="81" t="str">
        <f>'Encargos e Benefícios'!B173</f>
        <v>Advogado</v>
      </c>
      <c r="C174" s="287">
        <f>'Encargos e Benefícios'!C173</f>
        <v>1</v>
      </c>
      <c r="D174" s="288">
        <v>30</v>
      </c>
      <c r="E174" s="300">
        <v>45658</v>
      </c>
      <c r="F174" s="301">
        <v>47058</v>
      </c>
      <c r="G174" s="293"/>
      <c r="H174" s="294"/>
      <c r="I174" s="256"/>
      <c r="J174" s="256"/>
      <c r="K174" s="256"/>
      <c r="L174" s="256"/>
      <c r="M174" s="293">
        <v>45778</v>
      </c>
      <c r="N174" s="294">
        <v>5.8400000000000001E-2</v>
      </c>
      <c r="O174" s="256">
        <f>'Encargos e Benefícios'!W173*5.84%</f>
        <v>30.905280000000001</v>
      </c>
      <c r="P174" s="256">
        <f>('Encargos e Benefícios'!X173+'Encargos e Benefícios'!Y173+'Encargos e Benefícios'!Z173+'Encargos e Benefícios'!AA173+'Encargos e Benefícios'!AB173)*5.84%</f>
        <v>18.235399999999998</v>
      </c>
      <c r="Q174" s="256">
        <f>'Encargos e Benefícios'!V173*5.84%</f>
        <v>7.9710160000000005</v>
      </c>
      <c r="R174" s="256"/>
      <c r="S174" s="293">
        <v>46143</v>
      </c>
      <c r="T174" s="294">
        <v>5.8400000000000001E-2</v>
      </c>
      <c r="U174" s="256">
        <f>('Encargos e Benefícios'!W173+'Gastos com Pessoal'!O174)*5.84%</f>
        <v>32.710148351999997</v>
      </c>
      <c r="V174" s="256">
        <f>('Encargos e Benefícios'!X173+'Encargos e Benefícios'!Y173+'Encargos e Benefícios'!Z173+'Encargos e Benefícios'!AA173+'Encargos e Benefícios'!AB173+'Gastos com Pessoal'!P174)*5.84%</f>
        <v>19.300347360000004</v>
      </c>
      <c r="W174" s="256">
        <f>('Encargos e Benefícios'!V173+'Gastos com Pessoal'!Q174)*5.84%</f>
        <v>8.4365233344000004</v>
      </c>
      <c r="X174" s="256"/>
      <c r="Y174" s="293">
        <v>46508</v>
      </c>
      <c r="Z174" s="294">
        <v>5.8400000000000001E-2</v>
      </c>
      <c r="AA174" s="256">
        <f>('Encargos e Benefícios'!W173+'Gastos com Pessoal'!O174+'Gastos com Pessoal'!U174)*5.84%</f>
        <v>34.620421015756804</v>
      </c>
      <c r="AB174" s="256">
        <f>('Encargos e Benefícios'!X173+'Encargos e Benefícios'!Y173+'Encargos e Benefícios'!Z173+'Encargos e Benefícios'!AA173+'Encargos e Benefícios'!AB173+'Gastos com Pessoal'!P174+'Gastos com Pessoal'!V174)*5.84%</f>
        <v>20.427487645824002</v>
      </c>
      <c r="AC174" s="256">
        <f>('Encargos e Benefícios'!V173+'Gastos com Pessoal'!Q174+'Gastos com Pessoal'!W174)*5.84%</f>
        <v>8.9292162971289599</v>
      </c>
      <c r="AD174" s="256"/>
      <c r="AE174" s="293">
        <v>46874</v>
      </c>
      <c r="AF174" s="294">
        <v>5.8400000000000001E-2</v>
      </c>
      <c r="AG174" s="256">
        <f>('Encargos e Benefícios'!W173+'Gastos com Pessoal'!O174+'Gastos com Pessoal'!U174+'Gastos com Pessoal'!AA174)*5.84%</f>
        <v>36.642253603077002</v>
      </c>
      <c r="AH174" s="256">
        <f>('Encargos e Benefícios'!X173+'Encargos e Benefícios'!Y173+'Encargos e Benefícios'!Z173+'Encargos e Benefícios'!AA173+'Encargos e Benefícios'!AB173+'Gastos com Pessoal'!P174+'Gastos com Pessoal'!V174+'Gastos com Pessoal'!AB174)*5.84%</f>
        <v>21.620452924340121</v>
      </c>
      <c r="AI174" s="256">
        <f>('Encargos e Benefícios'!V173+'Gastos com Pessoal'!Q174+'Gastos com Pessoal'!W174+'Gastos com Pessoal'!AC174)*5.84%</f>
        <v>9.4506825288812912</v>
      </c>
      <c r="AJ174" s="257"/>
      <c r="AK174" s="296">
        <f>'Encargos e Benefícios'!D173</f>
        <v>2751.84</v>
      </c>
      <c r="AL174" s="296">
        <f>IF('Encargos e Benefícios'!C173=0,0,'Encargos e Benefícios'!U173/'Encargos e Benefícios'!C173)</f>
        <v>2198.8730400000004</v>
      </c>
      <c r="AM174" s="296">
        <f>IF('Encargos e Benefícios'!C173=0,0,'Encargos e Benefícios'!AC173/'Encargos e Benefícios'!C173)</f>
        <v>977.94</v>
      </c>
      <c r="AN174" s="297">
        <f>IF('Encargos e Benefícios'!C173=0,0,'Encargos e Benefícios'!AD173/'Encargos e Benefícios'!C173)</f>
        <v>5928.6530400000011</v>
      </c>
      <c r="AO174" s="188">
        <v>2767.69</v>
      </c>
      <c r="AP174" s="298">
        <v>2500</v>
      </c>
      <c r="AQ174" s="298">
        <v>3035.37</v>
      </c>
      <c r="AR174" s="299" t="s">
        <v>113</v>
      </c>
      <c r="AS174" s="188"/>
    </row>
    <row r="175" spans="1:45">
      <c r="A175" s="286">
        <v>169</v>
      </c>
      <c r="B175" s="81" t="str">
        <f>'Encargos e Benefícios'!B174</f>
        <v>Assistente Social</v>
      </c>
      <c r="C175" s="287">
        <f>'Encargos e Benefícios'!C174</f>
        <v>1</v>
      </c>
      <c r="D175" s="288">
        <v>30</v>
      </c>
      <c r="E175" s="300">
        <v>45658</v>
      </c>
      <c r="F175" s="301">
        <v>47058</v>
      </c>
      <c r="G175" s="293"/>
      <c r="H175" s="294"/>
      <c r="I175" s="256"/>
      <c r="J175" s="256"/>
      <c r="K175" s="256"/>
      <c r="L175" s="256"/>
      <c r="M175" s="293">
        <v>45778</v>
      </c>
      <c r="N175" s="294">
        <v>5.8400000000000001E-2</v>
      </c>
      <c r="O175" s="256">
        <f>'Encargos e Benefícios'!W174*5.84%</f>
        <v>30.905280000000001</v>
      </c>
      <c r="P175" s="256">
        <f>('Encargos e Benefícios'!X174+'Encargos e Benefícios'!Y174+'Encargos e Benefícios'!Z174+'Encargos e Benefícios'!AA174+'Encargos e Benefícios'!AB174)*5.84%</f>
        <v>18.235399999999998</v>
      </c>
      <c r="Q175" s="256">
        <f>'Encargos e Benefícios'!V174*5.84%</f>
        <v>7.9710160000000005</v>
      </c>
      <c r="R175" s="256"/>
      <c r="S175" s="293">
        <v>46143</v>
      </c>
      <c r="T175" s="294">
        <v>5.8400000000000001E-2</v>
      </c>
      <c r="U175" s="256">
        <f>('Encargos e Benefícios'!W174+'Gastos com Pessoal'!O175)*5.84%</f>
        <v>32.710148351999997</v>
      </c>
      <c r="V175" s="256">
        <f>('Encargos e Benefícios'!X174+'Encargos e Benefícios'!Y174+'Encargos e Benefícios'!Z174+'Encargos e Benefícios'!AA174+'Encargos e Benefícios'!AB174+'Gastos com Pessoal'!P175)*5.84%</f>
        <v>19.300347360000004</v>
      </c>
      <c r="W175" s="256">
        <f>('Encargos e Benefícios'!V174+'Gastos com Pessoal'!Q175)*5.84%</f>
        <v>8.4365233344000004</v>
      </c>
      <c r="X175" s="256"/>
      <c r="Y175" s="293">
        <v>46508</v>
      </c>
      <c r="Z175" s="294">
        <v>5.8400000000000001E-2</v>
      </c>
      <c r="AA175" s="256">
        <f>('Encargos e Benefícios'!W174+'Gastos com Pessoal'!O175+'Gastos com Pessoal'!U175)*5.84%</f>
        <v>34.620421015756804</v>
      </c>
      <c r="AB175" s="256">
        <f>('Encargos e Benefícios'!X174+'Encargos e Benefícios'!Y174+'Encargos e Benefícios'!Z174+'Encargos e Benefícios'!AA174+'Encargos e Benefícios'!AB174+'Gastos com Pessoal'!P175+'Gastos com Pessoal'!V175)*5.84%</f>
        <v>20.427487645824002</v>
      </c>
      <c r="AC175" s="256">
        <f>('Encargos e Benefícios'!V174+'Gastos com Pessoal'!Q175+'Gastos com Pessoal'!W175)*5.84%</f>
        <v>8.9292162971289599</v>
      </c>
      <c r="AD175" s="256"/>
      <c r="AE175" s="293">
        <v>46874</v>
      </c>
      <c r="AF175" s="294">
        <v>5.8400000000000001E-2</v>
      </c>
      <c r="AG175" s="256">
        <f>('Encargos e Benefícios'!W174+'Gastos com Pessoal'!O175+'Gastos com Pessoal'!U175+'Gastos com Pessoal'!AA175)*5.84%</f>
        <v>36.642253603077002</v>
      </c>
      <c r="AH175" s="256">
        <f>('Encargos e Benefícios'!X174+'Encargos e Benefícios'!Y174+'Encargos e Benefícios'!Z174+'Encargos e Benefícios'!AA174+'Encargos e Benefícios'!AB174+'Gastos com Pessoal'!P175+'Gastos com Pessoal'!V175+'Gastos com Pessoal'!AB175)*5.84%</f>
        <v>21.620452924340121</v>
      </c>
      <c r="AI175" s="256">
        <f>('Encargos e Benefícios'!V174+'Gastos com Pessoal'!Q175+'Gastos com Pessoal'!W175+'Gastos com Pessoal'!AC175)*5.84%</f>
        <v>9.4506825288812912</v>
      </c>
      <c r="AJ175" s="257"/>
      <c r="AK175" s="296">
        <f>'Encargos e Benefícios'!D174</f>
        <v>2751.84</v>
      </c>
      <c r="AL175" s="296">
        <f>IF('Encargos e Benefícios'!C174=0,0,'Encargos e Benefícios'!U174/'Encargos e Benefícios'!C174)</f>
        <v>2198.8730400000004</v>
      </c>
      <c r="AM175" s="296">
        <f>IF('Encargos e Benefícios'!C174=0,0,'Encargos e Benefícios'!AC174/'Encargos e Benefícios'!C174)</f>
        <v>977.94</v>
      </c>
      <c r="AN175" s="297">
        <f>IF('Encargos e Benefícios'!C174=0,0,'Encargos e Benefícios'!AD174/'Encargos e Benefícios'!C174)</f>
        <v>5928.6530400000011</v>
      </c>
      <c r="AO175" s="188">
        <v>3277.91</v>
      </c>
      <c r="AP175" s="298">
        <v>2500</v>
      </c>
      <c r="AQ175" s="298">
        <v>4055.81</v>
      </c>
      <c r="AR175" s="299" t="s">
        <v>113</v>
      </c>
      <c r="AS175" s="188"/>
    </row>
    <row r="176" spans="1:45">
      <c r="A176" s="286">
        <v>170</v>
      </c>
      <c r="B176" s="81" t="str">
        <f>'Encargos e Benefícios'!B175</f>
        <v>Pedagogo</v>
      </c>
      <c r="C176" s="287">
        <f>'Encargos e Benefícios'!C175</f>
        <v>1</v>
      </c>
      <c r="D176" s="288">
        <v>30</v>
      </c>
      <c r="E176" s="300">
        <v>45658</v>
      </c>
      <c r="F176" s="301">
        <v>47058</v>
      </c>
      <c r="G176" s="293"/>
      <c r="H176" s="294"/>
      <c r="I176" s="256"/>
      <c r="J176" s="256"/>
      <c r="K176" s="256"/>
      <c r="L176" s="256"/>
      <c r="M176" s="293">
        <v>45778</v>
      </c>
      <c r="N176" s="294">
        <v>5.8400000000000001E-2</v>
      </c>
      <c r="O176" s="256">
        <f>'Encargos e Benefícios'!W175*5.84%</f>
        <v>30.905280000000001</v>
      </c>
      <c r="P176" s="256">
        <f>('Encargos e Benefícios'!X175+'Encargos e Benefícios'!Y175+'Encargos e Benefícios'!Z175+'Encargos e Benefícios'!AA175+'Encargos e Benefícios'!AB175)*5.84%</f>
        <v>18.235399999999998</v>
      </c>
      <c r="Q176" s="256">
        <f>'Encargos e Benefícios'!V175*5.84%</f>
        <v>7.9710160000000005</v>
      </c>
      <c r="R176" s="256"/>
      <c r="S176" s="293">
        <v>46143</v>
      </c>
      <c r="T176" s="294">
        <v>5.8400000000000001E-2</v>
      </c>
      <c r="U176" s="256">
        <f>('Encargos e Benefícios'!W175+'Gastos com Pessoal'!O176)*5.84%</f>
        <v>32.710148351999997</v>
      </c>
      <c r="V176" s="256">
        <f>('Encargos e Benefícios'!X175+'Encargos e Benefícios'!Y175+'Encargos e Benefícios'!Z175+'Encargos e Benefícios'!AA175+'Encargos e Benefícios'!AB175+'Gastos com Pessoal'!P176)*5.84%</f>
        <v>19.300347360000004</v>
      </c>
      <c r="W176" s="256">
        <f>('Encargos e Benefícios'!V175+'Gastos com Pessoal'!Q176)*5.84%</f>
        <v>8.4365233344000004</v>
      </c>
      <c r="X176" s="256"/>
      <c r="Y176" s="293">
        <v>46508</v>
      </c>
      <c r="Z176" s="294">
        <v>5.8400000000000001E-2</v>
      </c>
      <c r="AA176" s="256">
        <f>('Encargos e Benefícios'!W175+'Gastos com Pessoal'!O176+'Gastos com Pessoal'!U176)*5.84%</f>
        <v>34.620421015756804</v>
      </c>
      <c r="AB176" s="256">
        <f>('Encargos e Benefícios'!X175+'Encargos e Benefícios'!Y175+'Encargos e Benefícios'!Z175+'Encargos e Benefícios'!AA175+'Encargos e Benefícios'!AB175+'Gastos com Pessoal'!P176+'Gastos com Pessoal'!V176)*5.84%</f>
        <v>20.427487645824002</v>
      </c>
      <c r="AC176" s="256">
        <f>('Encargos e Benefícios'!V175+'Gastos com Pessoal'!Q176+'Gastos com Pessoal'!W176)*5.84%</f>
        <v>8.9292162971289599</v>
      </c>
      <c r="AD176" s="256"/>
      <c r="AE176" s="293">
        <v>46874</v>
      </c>
      <c r="AF176" s="294">
        <v>5.8400000000000001E-2</v>
      </c>
      <c r="AG176" s="256">
        <f>('Encargos e Benefícios'!W175+'Gastos com Pessoal'!O176+'Gastos com Pessoal'!U176+'Gastos com Pessoal'!AA176)*5.84%</f>
        <v>36.642253603077002</v>
      </c>
      <c r="AH176" s="256">
        <f>('Encargos e Benefícios'!X175+'Encargos e Benefícios'!Y175+'Encargos e Benefícios'!Z175+'Encargos e Benefícios'!AA175+'Encargos e Benefícios'!AB175+'Gastos com Pessoal'!P176+'Gastos com Pessoal'!V176+'Gastos com Pessoal'!AB176)*5.84%</f>
        <v>21.620452924340121</v>
      </c>
      <c r="AI176" s="256">
        <f>('Encargos e Benefícios'!V175+'Gastos com Pessoal'!Q176+'Gastos com Pessoal'!W176+'Gastos com Pessoal'!AC176)*5.84%</f>
        <v>9.4506825288812912</v>
      </c>
      <c r="AJ176" s="257"/>
      <c r="AK176" s="296">
        <f>'Encargos e Benefícios'!D175</f>
        <v>2751.84</v>
      </c>
      <c r="AL176" s="296">
        <f>IF('Encargos e Benefícios'!C175=0,0,'Encargos e Benefícios'!U175/'Encargos e Benefícios'!C175)</f>
        <v>2198.8730400000004</v>
      </c>
      <c r="AM176" s="296">
        <f>IF('Encargos e Benefícios'!C175=0,0,'Encargos e Benefícios'!AC175/'Encargos e Benefícios'!C175)</f>
        <v>977.94</v>
      </c>
      <c r="AN176" s="297">
        <f>IF('Encargos e Benefícios'!C175=0,0,'Encargos e Benefícios'!AD175/'Encargos e Benefícios'!C175)</f>
        <v>5928.6530400000011</v>
      </c>
      <c r="AO176" s="188">
        <v>2894.94</v>
      </c>
      <c r="AP176" s="298">
        <v>2489.87</v>
      </c>
      <c r="AQ176" s="298">
        <v>3300</v>
      </c>
      <c r="AR176" s="299" t="s">
        <v>113</v>
      </c>
      <c r="AS176" s="188"/>
    </row>
    <row r="177" spans="1:45">
      <c r="A177" s="286">
        <v>171</v>
      </c>
      <c r="B177" s="81" t="str">
        <f>'Encargos e Benefícios'!B176</f>
        <v>Psicologo</v>
      </c>
      <c r="C177" s="287">
        <f>'Encargos e Benefícios'!C176</f>
        <v>1</v>
      </c>
      <c r="D177" s="288">
        <v>30</v>
      </c>
      <c r="E177" s="300">
        <v>45658</v>
      </c>
      <c r="F177" s="301">
        <v>47058</v>
      </c>
      <c r="G177" s="293"/>
      <c r="H177" s="294"/>
      <c r="I177" s="256"/>
      <c r="J177" s="256"/>
      <c r="K177" s="256"/>
      <c r="L177" s="256"/>
      <c r="M177" s="293">
        <v>45778</v>
      </c>
      <c r="N177" s="294">
        <v>5.8400000000000001E-2</v>
      </c>
      <c r="O177" s="256">
        <f>'Encargos e Benefícios'!W176*5.84%</f>
        <v>30.905280000000001</v>
      </c>
      <c r="P177" s="256">
        <f>('Encargos e Benefícios'!X176+'Encargos e Benefícios'!Y176+'Encargos e Benefícios'!Z176+'Encargos e Benefícios'!AA176+'Encargos e Benefícios'!AB176)*5.84%</f>
        <v>18.235399999999998</v>
      </c>
      <c r="Q177" s="256">
        <f>'Encargos e Benefícios'!V176*5.84%</f>
        <v>7.9710160000000005</v>
      </c>
      <c r="R177" s="256"/>
      <c r="S177" s="293">
        <v>46143</v>
      </c>
      <c r="T177" s="294">
        <v>5.8400000000000001E-2</v>
      </c>
      <c r="U177" s="256">
        <f>('Encargos e Benefícios'!W176+'Gastos com Pessoal'!O177)*5.84%</f>
        <v>32.710148351999997</v>
      </c>
      <c r="V177" s="256">
        <f>('Encargos e Benefícios'!X176+'Encargos e Benefícios'!Y176+'Encargos e Benefícios'!Z176+'Encargos e Benefícios'!AA176+'Encargos e Benefícios'!AB176+'Gastos com Pessoal'!P177)*5.84%</f>
        <v>19.300347360000004</v>
      </c>
      <c r="W177" s="256">
        <f>('Encargos e Benefícios'!V176+'Gastos com Pessoal'!Q177)*5.84%</f>
        <v>8.4365233344000004</v>
      </c>
      <c r="X177" s="256"/>
      <c r="Y177" s="293">
        <v>46508</v>
      </c>
      <c r="Z177" s="294">
        <v>5.8400000000000001E-2</v>
      </c>
      <c r="AA177" s="256">
        <f>('Encargos e Benefícios'!W176+'Gastos com Pessoal'!O177+'Gastos com Pessoal'!U177)*5.84%</f>
        <v>34.620421015756804</v>
      </c>
      <c r="AB177" s="256">
        <f>('Encargos e Benefícios'!X176+'Encargos e Benefícios'!Y176+'Encargos e Benefícios'!Z176+'Encargos e Benefícios'!AA176+'Encargos e Benefícios'!AB176+'Gastos com Pessoal'!P177+'Gastos com Pessoal'!V177)*5.84%</f>
        <v>20.427487645824002</v>
      </c>
      <c r="AC177" s="256">
        <f>('Encargos e Benefícios'!V176+'Gastos com Pessoal'!Q177+'Gastos com Pessoal'!W177)*5.84%</f>
        <v>8.9292162971289599</v>
      </c>
      <c r="AD177" s="256"/>
      <c r="AE177" s="293">
        <v>46874</v>
      </c>
      <c r="AF177" s="294">
        <v>5.8400000000000001E-2</v>
      </c>
      <c r="AG177" s="256">
        <f>('Encargos e Benefícios'!W176+'Gastos com Pessoal'!O177+'Gastos com Pessoal'!U177+'Gastos com Pessoal'!AA177)*5.84%</f>
        <v>36.642253603077002</v>
      </c>
      <c r="AH177" s="256">
        <f>('Encargos e Benefícios'!X176+'Encargos e Benefícios'!Y176+'Encargos e Benefícios'!Z176+'Encargos e Benefícios'!AA176+'Encargos e Benefícios'!AB176+'Gastos com Pessoal'!P177+'Gastos com Pessoal'!V177+'Gastos com Pessoal'!AB177)*5.84%</f>
        <v>21.620452924340121</v>
      </c>
      <c r="AI177" s="256">
        <f>('Encargos e Benefícios'!V176+'Gastos com Pessoal'!Q177+'Gastos com Pessoal'!W177+'Gastos com Pessoal'!AC177)*5.84%</f>
        <v>9.4506825288812912</v>
      </c>
      <c r="AJ177" s="257"/>
      <c r="AK177" s="296">
        <f>'Encargos e Benefícios'!D176</f>
        <v>2751.84</v>
      </c>
      <c r="AL177" s="296">
        <f>IF('Encargos e Benefícios'!C176=0,0,'Encargos e Benefícios'!U176/'Encargos e Benefícios'!C176)</f>
        <v>2198.8730400000004</v>
      </c>
      <c r="AM177" s="296">
        <f>IF('Encargos e Benefícios'!C176=0,0,'Encargos e Benefícios'!AC176/'Encargos e Benefícios'!C176)</f>
        <v>977.94</v>
      </c>
      <c r="AN177" s="297">
        <f>IF('Encargos e Benefícios'!C176=0,0,'Encargos e Benefícios'!AD176/'Encargos e Benefícios'!C176)</f>
        <v>5928.6530400000011</v>
      </c>
      <c r="AO177" s="188">
        <v>3953.69</v>
      </c>
      <c r="AP177" s="298">
        <v>2500</v>
      </c>
      <c r="AQ177" s="298">
        <v>5407.37</v>
      </c>
      <c r="AR177" s="299" t="s">
        <v>113</v>
      </c>
      <c r="AS177" s="188"/>
    </row>
    <row r="178" spans="1:45">
      <c r="A178" s="286">
        <v>172</v>
      </c>
      <c r="B178" s="81" t="str">
        <f>'Encargos e Benefícios'!B177</f>
        <v>Terapeuta Ocupacional</v>
      </c>
      <c r="C178" s="287">
        <f>'Encargos e Benefícios'!C177</f>
        <v>1</v>
      </c>
      <c r="D178" s="288">
        <v>30</v>
      </c>
      <c r="E178" s="300">
        <v>45658</v>
      </c>
      <c r="F178" s="301">
        <v>47058</v>
      </c>
      <c r="G178" s="293"/>
      <c r="H178" s="294"/>
      <c r="I178" s="256"/>
      <c r="J178" s="256"/>
      <c r="K178" s="256"/>
      <c r="L178" s="256"/>
      <c r="M178" s="293">
        <v>45778</v>
      </c>
      <c r="N178" s="294">
        <v>5.8400000000000001E-2</v>
      </c>
      <c r="O178" s="256">
        <f>'Encargos e Benefícios'!W177*5.84%</f>
        <v>30.905280000000001</v>
      </c>
      <c r="P178" s="256">
        <f>('Encargos e Benefícios'!X177+'Encargos e Benefícios'!Y177+'Encargos e Benefícios'!Z177+'Encargos e Benefícios'!AA177+'Encargos e Benefícios'!AB177)*5.84%</f>
        <v>18.235399999999998</v>
      </c>
      <c r="Q178" s="256">
        <f>'Encargos e Benefícios'!V177*5.84%</f>
        <v>7.9710160000000005</v>
      </c>
      <c r="R178" s="256"/>
      <c r="S178" s="293">
        <v>46143</v>
      </c>
      <c r="T178" s="294">
        <v>5.8400000000000001E-2</v>
      </c>
      <c r="U178" s="256">
        <f>('Encargos e Benefícios'!W177+'Gastos com Pessoal'!O178)*5.84%</f>
        <v>32.710148351999997</v>
      </c>
      <c r="V178" s="256">
        <f>('Encargos e Benefícios'!X177+'Encargos e Benefícios'!Y177+'Encargos e Benefícios'!Z177+'Encargos e Benefícios'!AA177+'Encargos e Benefícios'!AB177+'Gastos com Pessoal'!P178)*5.84%</f>
        <v>19.300347360000004</v>
      </c>
      <c r="W178" s="256">
        <f>('Encargos e Benefícios'!V177+'Gastos com Pessoal'!Q178)*5.84%</f>
        <v>8.4365233344000004</v>
      </c>
      <c r="X178" s="256"/>
      <c r="Y178" s="293">
        <v>46508</v>
      </c>
      <c r="Z178" s="294">
        <v>5.8400000000000001E-2</v>
      </c>
      <c r="AA178" s="256">
        <f>('Encargos e Benefícios'!W177+'Gastos com Pessoal'!O178+'Gastos com Pessoal'!U178)*5.84%</f>
        <v>34.620421015756804</v>
      </c>
      <c r="AB178" s="256">
        <f>('Encargos e Benefícios'!X177+'Encargos e Benefícios'!Y177+'Encargos e Benefícios'!Z177+'Encargos e Benefícios'!AA177+'Encargos e Benefícios'!AB177+'Gastos com Pessoal'!P178+'Gastos com Pessoal'!V178)*5.84%</f>
        <v>20.427487645824002</v>
      </c>
      <c r="AC178" s="256">
        <f>('Encargos e Benefícios'!V177+'Gastos com Pessoal'!Q178+'Gastos com Pessoal'!W178)*5.84%</f>
        <v>8.9292162971289599</v>
      </c>
      <c r="AD178" s="256"/>
      <c r="AE178" s="293">
        <v>46874</v>
      </c>
      <c r="AF178" s="294">
        <v>5.8400000000000001E-2</v>
      </c>
      <c r="AG178" s="256">
        <f>('Encargos e Benefícios'!W177+'Gastos com Pessoal'!O178+'Gastos com Pessoal'!U178+'Gastos com Pessoal'!AA178)*5.84%</f>
        <v>36.642253603077002</v>
      </c>
      <c r="AH178" s="256">
        <f>('Encargos e Benefícios'!X177+'Encargos e Benefícios'!Y177+'Encargos e Benefícios'!Z177+'Encargos e Benefícios'!AA177+'Encargos e Benefícios'!AB177+'Gastos com Pessoal'!P178+'Gastos com Pessoal'!V178+'Gastos com Pessoal'!AB178)*5.84%</f>
        <v>21.620452924340121</v>
      </c>
      <c r="AI178" s="256">
        <f>('Encargos e Benefícios'!V177+'Gastos com Pessoal'!Q178+'Gastos com Pessoal'!W178+'Gastos com Pessoal'!AC178)*5.84%</f>
        <v>9.4506825288812912</v>
      </c>
      <c r="AJ178" s="257"/>
      <c r="AK178" s="296">
        <f>'Encargos e Benefícios'!D177</f>
        <v>2751.84</v>
      </c>
      <c r="AL178" s="296">
        <f>IF('Encargos e Benefícios'!C177=0,0,'Encargos e Benefícios'!U177/'Encargos e Benefícios'!C177)</f>
        <v>2198.8730400000004</v>
      </c>
      <c r="AM178" s="296">
        <f>IF('Encargos e Benefícios'!C177=0,0,'Encargos e Benefícios'!AC177/'Encargos e Benefícios'!C177)</f>
        <v>977.94</v>
      </c>
      <c r="AN178" s="297">
        <f>IF('Encargos e Benefícios'!C177=0,0,'Encargos e Benefícios'!AD177/'Encargos e Benefícios'!C177)</f>
        <v>5928.6530400000011</v>
      </c>
      <c r="AO178" s="188">
        <v>2422.3000000000002</v>
      </c>
      <c r="AP178" s="298">
        <v>1932.61</v>
      </c>
      <c r="AQ178" s="298">
        <v>2911.99</v>
      </c>
      <c r="AR178" s="299" t="s">
        <v>113</v>
      </c>
      <c r="AS178" s="188"/>
    </row>
    <row r="179" spans="1:45">
      <c r="A179" s="286">
        <v>173</v>
      </c>
      <c r="B179" s="81" t="str">
        <f>'Encargos e Benefícios'!B178</f>
        <v>Administrativo</v>
      </c>
      <c r="C179" s="287">
        <f>'Encargos e Benefícios'!C178</f>
        <v>1</v>
      </c>
      <c r="D179" s="288">
        <v>40</v>
      </c>
      <c r="E179" s="300">
        <v>45658</v>
      </c>
      <c r="F179" s="301">
        <v>47058</v>
      </c>
      <c r="G179" s="293"/>
      <c r="H179" s="294"/>
      <c r="I179" s="256"/>
      <c r="J179" s="256"/>
      <c r="K179" s="256"/>
      <c r="L179" s="256"/>
      <c r="M179" s="293">
        <v>45778</v>
      </c>
      <c r="N179" s="294">
        <v>5.8400000000000001E-2</v>
      </c>
      <c r="O179" s="256">
        <f>'Encargos e Benefícios'!W178*5.84%</f>
        <v>30.905280000000001</v>
      </c>
      <c r="P179" s="256">
        <f>('Encargos e Benefícios'!X178+'Encargos e Benefícios'!Y178+'Encargos e Benefícios'!Z178+'Encargos e Benefícios'!AA178+'Encargos e Benefícios'!AB178)*5.84%</f>
        <v>18.235399999999998</v>
      </c>
      <c r="Q179" s="256">
        <f>'Encargos e Benefícios'!V178*5.84%</f>
        <v>7.9710160000000005</v>
      </c>
      <c r="R179" s="256"/>
      <c r="S179" s="293">
        <v>46143</v>
      </c>
      <c r="T179" s="294">
        <v>5.8400000000000001E-2</v>
      </c>
      <c r="U179" s="256">
        <f>('Encargos e Benefícios'!W178+'Gastos com Pessoal'!O179)*5.84%</f>
        <v>32.710148351999997</v>
      </c>
      <c r="V179" s="256">
        <f>('Encargos e Benefícios'!X178+'Encargos e Benefícios'!Y178+'Encargos e Benefícios'!Z178+'Encargos e Benefícios'!AA178+'Encargos e Benefícios'!AB178+'Gastos com Pessoal'!P179)*5.84%</f>
        <v>19.300347360000004</v>
      </c>
      <c r="W179" s="256">
        <f>('Encargos e Benefícios'!V178+'Gastos com Pessoal'!Q179)*5.84%</f>
        <v>8.4365233344000004</v>
      </c>
      <c r="X179" s="256"/>
      <c r="Y179" s="293">
        <v>46508</v>
      </c>
      <c r="Z179" s="294">
        <v>5.8400000000000001E-2</v>
      </c>
      <c r="AA179" s="256">
        <f>('Encargos e Benefícios'!W178+'Gastos com Pessoal'!O179+'Gastos com Pessoal'!U179)*5.84%</f>
        <v>34.620421015756804</v>
      </c>
      <c r="AB179" s="256">
        <f>('Encargos e Benefícios'!X178+'Encargos e Benefícios'!Y178+'Encargos e Benefícios'!Z178+'Encargos e Benefícios'!AA178+'Encargos e Benefícios'!AB178+'Gastos com Pessoal'!P179+'Gastos com Pessoal'!V179)*5.84%</f>
        <v>20.427487645824002</v>
      </c>
      <c r="AC179" s="256">
        <f>('Encargos e Benefícios'!V178+'Gastos com Pessoal'!Q179+'Gastos com Pessoal'!W179)*5.84%</f>
        <v>8.9292162971289599</v>
      </c>
      <c r="AD179" s="256"/>
      <c r="AE179" s="293">
        <v>46874</v>
      </c>
      <c r="AF179" s="294">
        <v>5.8400000000000001E-2</v>
      </c>
      <c r="AG179" s="256">
        <f>('Encargos e Benefícios'!W178+'Gastos com Pessoal'!O179+'Gastos com Pessoal'!U179+'Gastos com Pessoal'!AA179)*5.84%</f>
        <v>36.642253603077002</v>
      </c>
      <c r="AH179" s="256">
        <f>('Encargos e Benefícios'!X178+'Encargos e Benefícios'!Y178+'Encargos e Benefícios'!Z178+'Encargos e Benefícios'!AA178+'Encargos e Benefícios'!AB178+'Gastos com Pessoal'!P179+'Gastos com Pessoal'!V179+'Gastos com Pessoal'!AB179)*5.84%</f>
        <v>21.620452924340121</v>
      </c>
      <c r="AI179" s="256">
        <f>('Encargos e Benefícios'!V178+'Gastos com Pessoal'!Q179+'Gastos com Pessoal'!W179+'Gastos com Pessoal'!AC179)*5.84%</f>
        <v>9.4506825288812912</v>
      </c>
      <c r="AJ179" s="257"/>
      <c r="AK179" s="296">
        <f>'Encargos e Benefícios'!D178</f>
        <v>1852.2</v>
      </c>
      <c r="AL179" s="296">
        <f>IF('Encargos e Benefícios'!C178=0,0,'Encargos e Benefícios'!U178/'Encargos e Benefícios'!C178)</f>
        <v>1480.0106999999996</v>
      </c>
      <c r="AM179" s="296">
        <f>IF('Encargos e Benefícios'!C178=0,0,'Encargos e Benefícios'!AC178/'Encargos e Benefícios'!C178)</f>
        <v>977.94</v>
      </c>
      <c r="AN179" s="297">
        <f>IF('Encargos e Benefícios'!C178=0,0,'Encargos e Benefícios'!AD178/'Encargos e Benefícios'!C178)</f>
        <v>4310.1507000000001</v>
      </c>
      <c r="AO179" s="188">
        <v>2097.83</v>
      </c>
      <c r="AP179" s="298">
        <v>1500</v>
      </c>
      <c r="AQ179" s="298">
        <v>2695.66</v>
      </c>
      <c r="AR179" s="299" t="s">
        <v>113</v>
      </c>
      <c r="AS179" s="188"/>
    </row>
    <row r="180" spans="1:45">
      <c r="A180" s="286">
        <v>174</v>
      </c>
      <c r="B180" s="81" t="str">
        <f>'Encargos e Benefícios'!B179</f>
        <v>Auxiliar Educacional</v>
      </c>
      <c r="C180" s="287">
        <f>'Encargos e Benefícios'!C179</f>
        <v>1</v>
      </c>
      <c r="D180" s="288">
        <v>30</v>
      </c>
      <c r="E180" s="300">
        <v>45658</v>
      </c>
      <c r="F180" s="301">
        <v>47058</v>
      </c>
      <c r="G180" s="293"/>
      <c r="H180" s="294"/>
      <c r="I180" s="256"/>
      <c r="J180" s="256"/>
      <c r="K180" s="256"/>
      <c r="L180" s="256"/>
      <c r="M180" s="293">
        <v>45778</v>
      </c>
      <c r="N180" s="294">
        <v>5.8400000000000001E-2</v>
      </c>
      <c r="O180" s="256">
        <f>'Encargos e Benefícios'!W179*5.84%</f>
        <v>30.905280000000001</v>
      </c>
      <c r="P180" s="256">
        <f>('Encargos e Benefícios'!X179+'Encargos e Benefícios'!Y179+'Encargos e Benefícios'!Z179+'Encargos e Benefícios'!AA179+'Encargos e Benefícios'!AB179)*5.84%</f>
        <v>18.235399999999998</v>
      </c>
      <c r="Q180" s="256">
        <f>'Encargos e Benefícios'!V179*5.84%</f>
        <v>7.9710160000000005</v>
      </c>
      <c r="R180" s="256"/>
      <c r="S180" s="293">
        <v>46143</v>
      </c>
      <c r="T180" s="294">
        <v>5.8400000000000001E-2</v>
      </c>
      <c r="U180" s="256">
        <f>('Encargos e Benefícios'!W179+'Gastos com Pessoal'!O180)*5.84%</f>
        <v>32.710148351999997</v>
      </c>
      <c r="V180" s="256">
        <f>('Encargos e Benefícios'!X179+'Encargos e Benefícios'!Y179+'Encargos e Benefícios'!Z179+'Encargos e Benefícios'!AA179+'Encargos e Benefícios'!AB179+'Gastos com Pessoal'!P180)*5.84%</f>
        <v>19.300347360000004</v>
      </c>
      <c r="W180" s="256">
        <f>('Encargos e Benefícios'!V179+'Gastos com Pessoal'!Q180)*5.84%</f>
        <v>8.4365233344000004</v>
      </c>
      <c r="X180" s="256"/>
      <c r="Y180" s="293">
        <v>46508</v>
      </c>
      <c r="Z180" s="294">
        <v>5.8400000000000001E-2</v>
      </c>
      <c r="AA180" s="256">
        <f>('Encargos e Benefícios'!W179+'Gastos com Pessoal'!O180+'Gastos com Pessoal'!U180)*5.84%</f>
        <v>34.620421015756804</v>
      </c>
      <c r="AB180" s="256">
        <f>('Encargos e Benefícios'!X179+'Encargos e Benefícios'!Y179+'Encargos e Benefícios'!Z179+'Encargos e Benefícios'!AA179+'Encargos e Benefícios'!AB179+'Gastos com Pessoal'!P180+'Gastos com Pessoal'!V180)*5.84%</f>
        <v>20.427487645824002</v>
      </c>
      <c r="AC180" s="256">
        <f>('Encargos e Benefícios'!V179+'Gastos com Pessoal'!Q180+'Gastos com Pessoal'!W180)*5.84%</f>
        <v>8.9292162971289599</v>
      </c>
      <c r="AD180" s="256"/>
      <c r="AE180" s="293">
        <v>46874</v>
      </c>
      <c r="AF180" s="294">
        <v>5.8400000000000001E-2</v>
      </c>
      <c r="AG180" s="256">
        <f>('Encargos e Benefícios'!W179+'Gastos com Pessoal'!O180+'Gastos com Pessoal'!U180+'Gastos com Pessoal'!AA180)*5.84%</f>
        <v>36.642253603077002</v>
      </c>
      <c r="AH180" s="256">
        <f>('Encargos e Benefícios'!X179+'Encargos e Benefícios'!Y179+'Encargos e Benefícios'!Z179+'Encargos e Benefícios'!AA179+'Encargos e Benefícios'!AB179+'Gastos com Pessoal'!P180+'Gastos com Pessoal'!V180+'Gastos com Pessoal'!AB180)*5.84%</f>
        <v>21.620452924340121</v>
      </c>
      <c r="AI180" s="256">
        <f>('Encargos e Benefícios'!V179+'Gastos com Pessoal'!Q180+'Gastos com Pessoal'!W180+'Gastos com Pessoal'!AC180)*5.84%</f>
        <v>9.4506825288812912</v>
      </c>
      <c r="AJ180" s="257"/>
      <c r="AK180" s="296">
        <f>'Encargos e Benefícios'!D179</f>
        <v>1737.89</v>
      </c>
      <c r="AL180" s="296">
        <f>IF('Encargos e Benefícios'!C179=0,0,'Encargos e Benefícios'!U179/'Encargos e Benefícios'!C179)</f>
        <v>1388.6706594444449</v>
      </c>
      <c r="AM180" s="296">
        <f>IF('Encargos e Benefícios'!C179=0,0,'Encargos e Benefícios'!AC179/'Encargos e Benefícios'!C179)</f>
        <v>977.94</v>
      </c>
      <c r="AN180" s="297">
        <f>IF('Encargos e Benefícios'!C179=0,0,'Encargos e Benefícios'!AD179/'Encargos e Benefícios'!C179)</f>
        <v>4104.5006594444458</v>
      </c>
      <c r="AO180" s="188">
        <v>1750.23</v>
      </c>
      <c r="AP180" s="298">
        <v>1500</v>
      </c>
      <c r="AQ180" s="298">
        <v>2000.45</v>
      </c>
      <c r="AR180" s="299" t="s">
        <v>113</v>
      </c>
      <c r="AS180" s="188"/>
    </row>
    <row r="181" spans="1:45">
      <c r="A181" s="286">
        <v>175</v>
      </c>
      <c r="B181" s="81" t="str">
        <f>'Encargos e Benefícios'!B180</f>
        <v>Auxiliar de Serviços Gerais</v>
      </c>
      <c r="C181" s="287">
        <f>'Encargos e Benefícios'!C180</f>
        <v>1</v>
      </c>
      <c r="D181" s="288">
        <v>30</v>
      </c>
      <c r="E181" s="300">
        <v>45658</v>
      </c>
      <c r="F181" s="301">
        <v>47058</v>
      </c>
      <c r="G181" s="293"/>
      <c r="H181" s="294"/>
      <c r="I181" s="256"/>
      <c r="J181" s="256"/>
      <c r="K181" s="256"/>
      <c r="L181" s="256"/>
      <c r="M181" s="293">
        <v>45778</v>
      </c>
      <c r="N181" s="294">
        <v>5.8400000000000001E-2</v>
      </c>
      <c r="O181" s="256">
        <f>'Encargos e Benefícios'!W180*5.84%</f>
        <v>30.905280000000001</v>
      </c>
      <c r="P181" s="256">
        <f>('Encargos e Benefícios'!X180+'Encargos e Benefícios'!Y180+'Encargos e Benefícios'!Z180+'Encargos e Benefícios'!AA180+'Encargos e Benefícios'!AB180)*5.84%</f>
        <v>18.235399999999998</v>
      </c>
      <c r="Q181" s="256">
        <f>'Encargos e Benefícios'!V180*5.84%</f>
        <v>7.9710160000000005</v>
      </c>
      <c r="R181" s="256"/>
      <c r="S181" s="293">
        <v>46143</v>
      </c>
      <c r="T181" s="294">
        <v>5.8400000000000001E-2</v>
      </c>
      <c r="U181" s="256">
        <f>('Encargos e Benefícios'!W180+'Gastos com Pessoal'!O181)*5.84%</f>
        <v>32.710148351999997</v>
      </c>
      <c r="V181" s="256">
        <f>('Encargos e Benefícios'!X180+'Encargos e Benefícios'!Y180+'Encargos e Benefícios'!Z180+'Encargos e Benefícios'!AA180+'Encargos e Benefícios'!AB180+'Gastos com Pessoal'!P181)*5.84%</f>
        <v>19.300347360000004</v>
      </c>
      <c r="W181" s="256">
        <f>('Encargos e Benefícios'!V180+'Gastos com Pessoal'!Q181)*5.84%</f>
        <v>8.4365233344000004</v>
      </c>
      <c r="X181" s="256"/>
      <c r="Y181" s="293">
        <v>46508</v>
      </c>
      <c r="Z181" s="294">
        <v>5.8400000000000001E-2</v>
      </c>
      <c r="AA181" s="256">
        <f>('Encargos e Benefícios'!W180+'Gastos com Pessoal'!O181+'Gastos com Pessoal'!U181)*5.84%</f>
        <v>34.620421015756804</v>
      </c>
      <c r="AB181" s="256">
        <f>('Encargos e Benefícios'!X180+'Encargos e Benefícios'!Y180+'Encargos e Benefícios'!Z180+'Encargos e Benefícios'!AA180+'Encargos e Benefícios'!AB180+'Gastos com Pessoal'!P181+'Gastos com Pessoal'!V181)*5.84%</f>
        <v>20.427487645824002</v>
      </c>
      <c r="AC181" s="256">
        <f>('Encargos e Benefícios'!V180+'Gastos com Pessoal'!Q181+'Gastos com Pessoal'!W181)*5.84%</f>
        <v>8.9292162971289599</v>
      </c>
      <c r="AD181" s="256"/>
      <c r="AE181" s="293">
        <v>46874</v>
      </c>
      <c r="AF181" s="294">
        <v>5.8400000000000001E-2</v>
      </c>
      <c r="AG181" s="256">
        <f>('Encargos e Benefícios'!W180+'Gastos com Pessoal'!O181+'Gastos com Pessoal'!U181+'Gastos com Pessoal'!AA181)*5.84%</f>
        <v>36.642253603077002</v>
      </c>
      <c r="AH181" s="256">
        <f>('Encargos e Benefícios'!X180+'Encargos e Benefícios'!Y180+'Encargos e Benefícios'!Z180+'Encargos e Benefícios'!AA180+'Encargos e Benefícios'!AB180+'Gastos com Pessoal'!P181+'Gastos com Pessoal'!V181+'Gastos com Pessoal'!AB181)*5.84%</f>
        <v>21.620452924340121</v>
      </c>
      <c r="AI181" s="256">
        <f>('Encargos e Benefícios'!V180+'Gastos com Pessoal'!Q181+'Gastos com Pessoal'!W181+'Gastos com Pessoal'!AC181)*5.84%</f>
        <v>9.4506825288812912</v>
      </c>
      <c r="AJ181" s="257"/>
      <c r="AK181" s="296">
        <f>'Encargos e Benefícios'!D180</f>
        <v>1465.88</v>
      </c>
      <c r="AL181" s="296">
        <f>IF('Encargos e Benefícios'!C180=0,0,'Encargos e Benefícios'!U180/'Encargos e Benefícios'!C180)</f>
        <v>1171.3195577777778</v>
      </c>
      <c r="AM181" s="296">
        <f>IF('Encargos e Benefícios'!C180=0,0,'Encargos e Benefícios'!AC180/'Encargos e Benefícios'!C180)</f>
        <v>977.94</v>
      </c>
      <c r="AN181" s="297">
        <f>IF('Encargos e Benefícios'!C180=0,0,'Encargos e Benefícios'!AD180/'Encargos e Benefícios'!C180)</f>
        <v>3615.139557777778</v>
      </c>
      <c r="AO181" s="188">
        <v>1437.37</v>
      </c>
      <c r="AP181" s="298">
        <v>1302</v>
      </c>
      <c r="AQ181" s="298">
        <v>1572.74</v>
      </c>
      <c r="AR181" s="299" t="s">
        <v>113</v>
      </c>
      <c r="AS181" s="188"/>
    </row>
    <row r="182" spans="1:45">
      <c r="A182" s="286">
        <v>176</v>
      </c>
      <c r="B182" s="81" t="str">
        <f>'Encargos e Benefícios'!B181</f>
        <v>Motorista</v>
      </c>
      <c r="C182" s="287">
        <f>'Encargos e Benefícios'!C181</f>
        <v>1</v>
      </c>
      <c r="D182" s="288">
        <v>40</v>
      </c>
      <c r="E182" s="300">
        <v>45658</v>
      </c>
      <c r="F182" s="301">
        <v>47058</v>
      </c>
      <c r="G182" s="293"/>
      <c r="H182" s="294"/>
      <c r="I182" s="256"/>
      <c r="J182" s="256"/>
      <c r="K182" s="256"/>
      <c r="L182" s="256"/>
      <c r="M182" s="293">
        <v>45778</v>
      </c>
      <c r="N182" s="294">
        <v>5.8400000000000001E-2</v>
      </c>
      <c r="O182" s="256">
        <f>'Encargos e Benefícios'!W181*5.84%</f>
        <v>30.905280000000001</v>
      </c>
      <c r="P182" s="256">
        <f>('Encargos e Benefícios'!X181+'Encargos e Benefícios'!Y181+'Encargos e Benefícios'!Z181+'Encargos e Benefícios'!AA181+'Encargos e Benefícios'!AB181)*5.84%</f>
        <v>18.235399999999998</v>
      </c>
      <c r="Q182" s="256">
        <f>'Encargos e Benefícios'!V181*5.84%</f>
        <v>7.9710160000000005</v>
      </c>
      <c r="R182" s="256"/>
      <c r="S182" s="293">
        <v>46143</v>
      </c>
      <c r="T182" s="294">
        <v>5.8400000000000001E-2</v>
      </c>
      <c r="U182" s="256">
        <f>('Encargos e Benefícios'!W181+'Gastos com Pessoal'!O182)*5.84%</f>
        <v>32.710148351999997</v>
      </c>
      <c r="V182" s="256">
        <f>('Encargos e Benefícios'!X181+'Encargos e Benefícios'!Y181+'Encargos e Benefícios'!Z181+'Encargos e Benefícios'!AA181+'Encargos e Benefícios'!AB181+'Gastos com Pessoal'!P182)*5.84%</f>
        <v>19.300347360000004</v>
      </c>
      <c r="W182" s="256">
        <f>('Encargos e Benefícios'!V181+'Gastos com Pessoal'!Q182)*5.84%</f>
        <v>8.4365233344000004</v>
      </c>
      <c r="X182" s="256"/>
      <c r="Y182" s="293">
        <v>46508</v>
      </c>
      <c r="Z182" s="294">
        <v>5.8400000000000001E-2</v>
      </c>
      <c r="AA182" s="256">
        <f>('Encargos e Benefícios'!W181+'Gastos com Pessoal'!O182+'Gastos com Pessoal'!U182)*5.84%</f>
        <v>34.620421015756804</v>
      </c>
      <c r="AB182" s="256">
        <f>('Encargos e Benefícios'!X181+'Encargos e Benefícios'!Y181+'Encargos e Benefícios'!Z181+'Encargos e Benefícios'!AA181+'Encargos e Benefícios'!AB181+'Gastos com Pessoal'!P182+'Gastos com Pessoal'!V182)*5.84%</f>
        <v>20.427487645824002</v>
      </c>
      <c r="AC182" s="256">
        <f>('Encargos e Benefícios'!V181+'Gastos com Pessoal'!Q182+'Gastos com Pessoal'!W182)*5.84%</f>
        <v>8.9292162971289599</v>
      </c>
      <c r="AD182" s="256"/>
      <c r="AE182" s="293">
        <v>46874</v>
      </c>
      <c r="AF182" s="294">
        <v>5.8400000000000001E-2</v>
      </c>
      <c r="AG182" s="256">
        <f>('Encargos e Benefícios'!W181+'Gastos com Pessoal'!O182+'Gastos com Pessoal'!U182+'Gastos com Pessoal'!AA182)*5.84%</f>
        <v>36.642253603077002</v>
      </c>
      <c r="AH182" s="256">
        <f>('Encargos e Benefícios'!X181+'Encargos e Benefícios'!Y181+'Encargos e Benefícios'!Z181+'Encargos e Benefícios'!AA181+'Encargos e Benefícios'!AB181+'Gastos com Pessoal'!P182+'Gastos com Pessoal'!V182+'Gastos com Pessoal'!AB182)*5.84%</f>
        <v>21.620452924340121</v>
      </c>
      <c r="AI182" s="256">
        <f>('Encargos e Benefícios'!V181+'Gastos com Pessoal'!Q182+'Gastos com Pessoal'!W182+'Gastos com Pessoal'!AC182)*5.84%</f>
        <v>9.4506825288812912</v>
      </c>
      <c r="AJ182" s="257"/>
      <c r="AK182" s="296">
        <f>'Encargos e Benefícios'!D181</f>
        <v>1537.21</v>
      </c>
      <c r="AL182" s="296">
        <f>IF('Encargos e Benefícios'!C181=0,0,'Encargos e Benefícios'!U181/'Encargos e Benefícios'!C181)</f>
        <v>1228.3161905555557</v>
      </c>
      <c r="AM182" s="296">
        <f>IF('Encargos e Benefícios'!C181=0,0,'Encargos e Benefícios'!AC181/'Encargos e Benefícios'!C181)</f>
        <v>977.94</v>
      </c>
      <c r="AN182" s="297">
        <f>IF('Encargos e Benefícios'!C181=0,0,'Encargos e Benefícios'!AD181/'Encargos e Benefícios'!C181)</f>
        <v>3743.4661905555558</v>
      </c>
      <c r="AO182" s="188">
        <v>2046.28</v>
      </c>
      <c r="AP182" s="298">
        <v>1212</v>
      </c>
      <c r="AQ182" s="298">
        <v>2880.55</v>
      </c>
      <c r="AR182" s="299" t="s">
        <v>113</v>
      </c>
      <c r="AS182" s="188"/>
    </row>
    <row r="183" spans="1:45">
      <c r="A183" s="286">
        <v>177</v>
      </c>
      <c r="B183" s="81" t="str">
        <f>'Encargos e Benefícios'!B182</f>
        <v>Socioeducador - DC</v>
      </c>
      <c r="C183" s="287">
        <f>'Encargos e Benefícios'!C182</f>
        <v>2</v>
      </c>
      <c r="D183" s="288" t="s">
        <v>496</v>
      </c>
      <c r="E183" s="300">
        <v>45658</v>
      </c>
      <c r="F183" s="301">
        <v>47058</v>
      </c>
      <c r="G183" s="293"/>
      <c r="H183" s="294"/>
      <c r="I183" s="256"/>
      <c r="J183" s="256"/>
      <c r="K183" s="256"/>
      <c r="L183" s="256"/>
      <c r="M183" s="293">
        <v>45778</v>
      </c>
      <c r="N183" s="294">
        <v>5.8400000000000001E-2</v>
      </c>
      <c r="O183" s="256">
        <f>'Encargos e Benefícios'!W182*5.84%</f>
        <v>61.810560000000002</v>
      </c>
      <c r="P183" s="256">
        <f>('Encargos e Benefícios'!X182+'Encargos e Benefícios'!Y182+'Encargos e Benefícios'!Z182+'Encargos e Benefícios'!AA182+'Encargos e Benefícios'!AB182)*5.84%</f>
        <v>36.470799999999997</v>
      </c>
      <c r="Q183" s="256">
        <f>'Encargos e Benefícios'!V182*5.84%</f>
        <v>10.869408</v>
      </c>
      <c r="R183" s="256"/>
      <c r="S183" s="293">
        <v>46143</v>
      </c>
      <c r="T183" s="294">
        <v>5.8400000000000001E-2</v>
      </c>
      <c r="U183" s="256">
        <f>('Encargos e Benefícios'!W182+'Gastos com Pessoal'!O183)*5.84%</f>
        <v>65.420296703999995</v>
      </c>
      <c r="V183" s="256">
        <f>('Encargos e Benefícios'!X182+'Encargos e Benefícios'!Y182+'Encargos e Benefícios'!Z182+'Encargos e Benefícios'!AA182+'Encargos e Benefícios'!AB182+'Gastos com Pessoal'!P183)*5.84%</f>
        <v>38.600694720000007</v>
      </c>
      <c r="W183" s="256">
        <f>('Encargos e Benefícios'!V182+'Gastos com Pessoal'!Q183)*5.84%</f>
        <v>11.504181427200001</v>
      </c>
      <c r="X183" s="256"/>
      <c r="Y183" s="293">
        <v>46508</v>
      </c>
      <c r="Z183" s="294">
        <v>5.8400000000000001E-2</v>
      </c>
      <c r="AA183" s="256">
        <f>('Encargos e Benefícios'!W182+'Gastos com Pessoal'!O183+'Gastos com Pessoal'!U183)*5.84%</f>
        <v>69.240842031513608</v>
      </c>
      <c r="AB183" s="256">
        <f>('Encargos e Benefícios'!X182+'Encargos e Benefícios'!Y182+'Encargos e Benefícios'!Z182+'Encargos e Benefícios'!AA182+'Encargos e Benefícios'!AB182+'Gastos com Pessoal'!P183+'Gastos com Pessoal'!V183)*5.84%</f>
        <v>40.854975291648003</v>
      </c>
      <c r="AC183" s="256">
        <f>('Encargos e Benefícios'!V182+'Gastos com Pessoal'!Q183+'Gastos com Pessoal'!W183)*5.84%</f>
        <v>12.17602562254848</v>
      </c>
      <c r="AD183" s="256"/>
      <c r="AE183" s="293">
        <v>46874</v>
      </c>
      <c r="AF183" s="294">
        <v>5.8400000000000001E-2</v>
      </c>
      <c r="AG183" s="256">
        <f>('Encargos e Benefícios'!W182+'Gastos com Pessoal'!O183+'Gastos com Pessoal'!U183+'Gastos com Pessoal'!AA183)*5.84%</f>
        <v>73.284507206154004</v>
      </c>
      <c r="AH183" s="256">
        <f>('Encargos e Benefícios'!X182+'Encargos e Benefícios'!Y182+'Encargos e Benefícios'!Z182+'Encargos e Benefícios'!AA182+'Encargos e Benefícios'!AB182+'Gastos com Pessoal'!P183+'Gastos com Pessoal'!V183+'Gastos com Pessoal'!AB183)*5.84%</f>
        <v>43.240905848680242</v>
      </c>
      <c r="AI183" s="256">
        <f>('Encargos e Benefícios'!V182+'Gastos com Pessoal'!Q183+'Gastos com Pessoal'!W183+'Gastos com Pessoal'!AC183)*5.84%</f>
        <v>12.887105518905312</v>
      </c>
      <c r="AJ183" s="257"/>
      <c r="AK183" s="296">
        <f>'Encargos e Benefícios'!D182</f>
        <v>2010.96</v>
      </c>
      <c r="AL183" s="296">
        <f>IF('Encargos e Benefícios'!C182=0,0,'Encargos e Benefícios'!U182/'Encargos e Benefícios'!C182)</f>
        <v>2942.4053904000002</v>
      </c>
      <c r="AM183" s="296">
        <f>IF('Encargos e Benefícios'!C182=0,0,'Encargos e Benefícios'!AC182/'Encargos e Benefícios'!C182)</f>
        <v>934.51</v>
      </c>
      <c r="AN183" s="297">
        <f>IF('Encargos e Benefícios'!C182=0,0,'Encargos e Benefícios'!AD182/'Encargos e Benefícios'!C182)</f>
        <v>5887.8753904000005</v>
      </c>
      <c r="AO183" s="188">
        <v>2752.21</v>
      </c>
      <c r="AP183" s="298">
        <v>1764.5</v>
      </c>
      <c r="AQ183" s="298">
        <v>3739.92</v>
      </c>
      <c r="AR183" s="299" t="s">
        <v>113</v>
      </c>
      <c r="AS183" s="188"/>
    </row>
    <row r="184" spans="1:45">
      <c r="A184" s="286">
        <v>178</v>
      </c>
      <c r="B184" s="81" t="str">
        <f>'Encargos e Benefícios'!B183</f>
        <v>Socioeducador - D</v>
      </c>
      <c r="C184" s="287">
        <f>'Encargos e Benefícios'!C183</f>
        <v>12</v>
      </c>
      <c r="D184" s="288" t="s">
        <v>496</v>
      </c>
      <c r="E184" s="300">
        <v>45658</v>
      </c>
      <c r="F184" s="301">
        <v>47058</v>
      </c>
      <c r="G184" s="293"/>
      <c r="H184" s="294"/>
      <c r="I184" s="256"/>
      <c r="J184" s="256"/>
      <c r="K184" s="256"/>
      <c r="L184" s="256"/>
      <c r="M184" s="293">
        <v>45778</v>
      </c>
      <c r="N184" s="294">
        <v>5.8400000000000001E-2</v>
      </c>
      <c r="O184" s="256">
        <f>'Encargos e Benefícios'!W183*5.84%</f>
        <v>370.86336000000006</v>
      </c>
      <c r="P184" s="256">
        <f>('Encargos e Benefícios'!X183+'Encargos e Benefícios'!Y183+'Encargos e Benefícios'!Z183+'Encargos e Benefícios'!AA183+'Encargos e Benefícios'!AB183)*5.84%</f>
        <v>218.82480000000001</v>
      </c>
      <c r="Q184" s="256">
        <f>'Encargos e Benefícios'!V183*5.84%</f>
        <v>65.216448</v>
      </c>
      <c r="R184" s="256"/>
      <c r="S184" s="293">
        <v>46143</v>
      </c>
      <c r="T184" s="294">
        <v>5.8400000000000001E-2</v>
      </c>
      <c r="U184" s="256">
        <f>('Encargos e Benefícios'!W183+'Gastos com Pessoal'!O184)*5.84%</f>
        <v>392.52178022400005</v>
      </c>
      <c r="V184" s="256">
        <f>('Encargos e Benefícios'!X183+'Encargos e Benefícios'!Y183+'Encargos e Benefícios'!Z183+'Encargos e Benefícios'!AA183+'Encargos e Benefícios'!AB183+'Gastos com Pessoal'!P184)*5.84%</f>
        <v>231.60416831999999</v>
      </c>
      <c r="W184" s="256">
        <f>('Encargos e Benefícios'!V183+'Gastos com Pessoal'!Q184)*5.84%</f>
        <v>69.025088563200001</v>
      </c>
      <c r="X184" s="256"/>
      <c r="Y184" s="293">
        <v>46508</v>
      </c>
      <c r="Z184" s="294">
        <v>5.8400000000000001E-2</v>
      </c>
      <c r="AA184" s="256">
        <f>('Encargos e Benefícios'!W183+'Gastos com Pessoal'!O184+'Gastos com Pessoal'!U184)*5.84%</f>
        <v>415.44505218908165</v>
      </c>
      <c r="AB184" s="256">
        <f>('Encargos e Benefícios'!X183+'Encargos e Benefícios'!Y183+'Encargos e Benefícios'!Z183+'Encargos e Benefícios'!AA183+'Encargos e Benefícios'!AB183+'Gastos com Pessoal'!P184+'Gastos com Pessoal'!V184)*5.84%</f>
        <v>245.12985174988796</v>
      </c>
      <c r="AC184" s="256">
        <f>('Encargos e Benefícios'!V183+'Gastos com Pessoal'!Q184+'Gastos com Pessoal'!W184)*5.84%</f>
        <v>73.056153735290877</v>
      </c>
      <c r="AD184" s="256"/>
      <c r="AE184" s="293">
        <v>46874</v>
      </c>
      <c r="AF184" s="294">
        <v>5.8400000000000001E-2</v>
      </c>
      <c r="AG184" s="256">
        <f>('Encargos e Benefícios'!W183+'Gastos com Pessoal'!O184+'Gastos com Pessoal'!U184+'Gastos com Pessoal'!AA184)*5.84%</f>
        <v>439.70704323692399</v>
      </c>
      <c r="AH184" s="256">
        <f>('Encargos e Benefícios'!X183+'Encargos e Benefícios'!Y183+'Encargos e Benefícios'!Z183+'Encargos e Benefícios'!AA183+'Encargos e Benefícios'!AB183+'Gastos com Pessoal'!P184+'Gastos com Pessoal'!V184+'Gastos com Pessoal'!AB184)*5.84%</f>
        <v>259.44543509208142</v>
      </c>
      <c r="AI184" s="256">
        <f>('Encargos e Benefícios'!V183+'Gastos com Pessoal'!Q184+'Gastos com Pessoal'!W184+'Gastos com Pessoal'!AC184)*5.84%</f>
        <v>77.322633113431863</v>
      </c>
      <c r="AJ184" s="257"/>
      <c r="AK184" s="296">
        <f>'Encargos e Benefícios'!D183</f>
        <v>2010.96</v>
      </c>
      <c r="AL184" s="296">
        <f>IF('Encargos e Benefícios'!C183=0,0,'Encargos e Benefícios'!U183/'Encargos e Benefícios'!C183)</f>
        <v>2591.2415003999999</v>
      </c>
      <c r="AM184" s="296">
        <f>IF('Encargos e Benefícios'!C183=0,0,'Encargos e Benefícios'!AC183/'Encargos e Benefícios'!C183)</f>
        <v>934.5100000000001</v>
      </c>
      <c r="AN184" s="297">
        <f>IF('Encargos e Benefícios'!C183=0,0,'Encargos e Benefícios'!AD183/'Encargos e Benefícios'!C183)</f>
        <v>5536.7115003999997</v>
      </c>
      <c r="AO184" s="188">
        <v>2752.21</v>
      </c>
      <c r="AP184" s="298">
        <v>1764.5</v>
      </c>
      <c r="AQ184" s="298">
        <v>3739.92</v>
      </c>
      <c r="AR184" s="299" t="s">
        <v>113</v>
      </c>
      <c r="AS184" s="188"/>
    </row>
    <row r="185" spans="1:45">
      <c r="A185" s="286">
        <v>179</v>
      </c>
      <c r="B185" s="81" t="str">
        <f>'Encargos e Benefícios'!B184</f>
        <v>Socioeducador - NC</v>
      </c>
      <c r="C185" s="287">
        <f>'Encargos e Benefícios'!C184</f>
        <v>2</v>
      </c>
      <c r="D185" s="288" t="s">
        <v>496</v>
      </c>
      <c r="E185" s="300">
        <v>45658</v>
      </c>
      <c r="F185" s="301">
        <v>47058</v>
      </c>
      <c r="G185" s="293"/>
      <c r="H185" s="294"/>
      <c r="I185" s="256"/>
      <c r="J185" s="256"/>
      <c r="K185" s="256"/>
      <c r="L185" s="256"/>
      <c r="M185" s="293">
        <v>45778</v>
      </c>
      <c r="N185" s="294">
        <v>5.8400000000000001E-2</v>
      </c>
      <c r="O185" s="256">
        <f>'Encargos e Benefícios'!W184*5.84%</f>
        <v>61.810560000000002</v>
      </c>
      <c r="P185" s="256">
        <f>('Encargos e Benefícios'!X184+'Encargos e Benefícios'!Y184+'Encargos e Benefícios'!Z184+'Encargos e Benefícios'!AA184+'Encargos e Benefícios'!AB184)*5.84%</f>
        <v>36.470799999999997</v>
      </c>
      <c r="Q185" s="256">
        <f>'Encargos e Benefícios'!V184*5.84%</f>
        <v>10.869408</v>
      </c>
      <c r="R185" s="256"/>
      <c r="S185" s="293">
        <v>46143</v>
      </c>
      <c r="T185" s="294">
        <v>5.8400000000000001E-2</v>
      </c>
      <c r="U185" s="256">
        <f>('Encargos e Benefícios'!W184+'Gastos com Pessoal'!O185)*5.84%</f>
        <v>65.420296703999995</v>
      </c>
      <c r="V185" s="256">
        <f>('Encargos e Benefícios'!X184+'Encargos e Benefícios'!Y184+'Encargos e Benefícios'!Z184+'Encargos e Benefícios'!AA184+'Encargos e Benefícios'!AB184+'Gastos com Pessoal'!P185)*5.84%</f>
        <v>38.600694720000007</v>
      </c>
      <c r="W185" s="256">
        <f>('Encargos e Benefícios'!V184+'Gastos com Pessoal'!Q185)*5.84%</f>
        <v>11.504181427200001</v>
      </c>
      <c r="X185" s="256"/>
      <c r="Y185" s="293">
        <v>46508</v>
      </c>
      <c r="Z185" s="294">
        <v>5.8400000000000001E-2</v>
      </c>
      <c r="AA185" s="256">
        <f>('Encargos e Benefícios'!W184+'Gastos com Pessoal'!O185+'Gastos com Pessoal'!U185)*5.84%</f>
        <v>69.240842031513608</v>
      </c>
      <c r="AB185" s="256">
        <f>('Encargos e Benefícios'!X184+'Encargos e Benefícios'!Y184+'Encargos e Benefícios'!Z184+'Encargos e Benefícios'!AA184+'Encargos e Benefícios'!AB184+'Gastos com Pessoal'!P185+'Gastos com Pessoal'!V185)*5.84%</f>
        <v>40.854975291648003</v>
      </c>
      <c r="AC185" s="256">
        <f>('Encargos e Benefícios'!V184+'Gastos com Pessoal'!Q185+'Gastos com Pessoal'!W185)*5.84%</f>
        <v>12.17602562254848</v>
      </c>
      <c r="AD185" s="256"/>
      <c r="AE185" s="293">
        <v>46874</v>
      </c>
      <c r="AF185" s="294">
        <v>5.8400000000000001E-2</v>
      </c>
      <c r="AG185" s="256">
        <f>('Encargos e Benefícios'!W184+'Gastos com Pessoal'!O185+'Gastos com Pessoal'!U185+'Gastos com Pessoal'!AA185)*5.84%</f>
        <v>73.284507206154004</v>
      </c>
      <c r="AH185" s="256">
        <f>('Encargos e Benefícios'!X184+'Encargos e Benefícios'!Y184+'Encargos e Benefícios'!Z184+'Encargos e Benefícios'!AA184+'Encargos e Benefícios'!AB184+'Gastos com Pessoal'!P185+'Gastos com Pessoal'!V185+'Gastos com Pessoal'!AB185)*5.84%</f>
        <v>43.240905848680242</v>
      </c>
      <c r="AI185" s="256">
        <f>('Encargos e Benefícios'!V184+'Gastos com Pessoal'!Q185+'Gastos com Pessoal'!W185+'Gastos com Pessoal'!AC185)*5.84%</f>
        <v>12.887105518905312</v>
      </c>
      <c r="AJ185" s="257"/>
      <c r="AK185" s="296">
        <f>'Encargos e Benefícios'!D184</f>
        <v>2010.96</v>
      </c>
      <c r="AL185" s="296">
        <f>IF('Encargos e Benefícios'!C184=0,0,'Encargos e Benefícios'!U184/'Encargos e Benefícios'!C184)</f>
        <v>3553.5688062933345</v>
      </c>
      <c r="AM185" s="296">
        <f>IF('Encargos e Benefícios'!C184=0,0,'Encargos e Benefícios'!AC184/'Encargos e Benefícios'!C184)</f>
        <v>934.51</v>
      </c>
      <c r="AN185" s="297">
        <f>IF('Encargos e Benefícios'!C184=0,0,'Encargos e Benefícios'!AD184/'Encargos e Benefícios'!C184)</f>
        <v>6499.0388062933343</v>
      </c>
      <c r="AO185" s="188">
        <v>2752.21</v>
      </c>
      <c r="AP185" s="298">
        <v>1764.5</v>
      </c>
      <c r="AQ185" s="298">
        <v>3739.92</v>
      </c>
      <c r="AR185" s="299" t="s">
        <v>113</v>
      </c>
      <c r="AS185" s="188"/>
    </row>
    <row r="186" spans="1:45" ht="13" thickBot="1">
      <c r="A186" s="286">
        <v>180</v>
      </c>
      <c r="B186" s="81" t="str">
        <f>'Encargos e Benefícios'!B185</f>
        <v>Socioeducador - N</v>
      </c>
      <c r="C186" s="287">
        <f>'Encargos e Benefícios'!C185</f>
        <v>6</v>
      </c>
      <c r="D186" s="288" t="s">
        <v>496</v>
      </c>
      <c r="E186" s="300">
        <v>45658</v>
      </c>
      <c r="F186" s="301">
        <v>47058</v>
      </c>
      <c r="G186" s="293"/>
      <c r="H186" s="294"/>
      <c r="I186" s="256"/>
      <c r="J186" s="256"/>
      <c r="K186" s="256"/>
      <c r="L186" s="256"/>
      <c r="M186" s="293">
        <v>45778</v>
      </c>
      <c r="N186" s="294">
        <v>5.8400000000000001E-2</v>
      </c>
      <c r="O186" s="256">
        <f>'Encargos e Benefícios'!W185*5.84%</f>
        <v>185.43168000000003</v>
      </c>
      <c r="P186" s="256">
        <f>('Encargos e Benefícios'!X185+'Encargos e Benefícios'!Y185+'Encargos e Benefícios'!Z185+'Encargos e Benefícios'!AA185+'Encargos e Benefícios'!AB185)*5.84%</f>
        <v>109.41240000000001</v>
      </c>
      <c r="Q186" s="256">
        <f>'Encargos e Benefícios'!V185*5.84%</f>
        <v>32.608224</v>
      </c>
      <c r="R186" s="256"/>
      <c r="S186" s="293">
        <v>46143</v>
      </c>
      <c r="T186" s="294">
        <v>5.8400000000000001E-2</v>
      </c>
      <c r="U186" s="256">
        <f>('Encargos e Benefícios'!W185+'Gastos com Pessoal'!O186)*5.84%</f>
        <v>196.26089011200003</v>
      </c>
      <c r="V186" s="256">
        <f>('Encargos e Benefícios'!X185+'Encargos e Benefícios'!Y185+'Encargos e Benefícios'!Z185+'Encargos e Benefícios'!AA185+'Encargos e Benefícios'!AB185+'Gastos com Pessoal'!P186)*5.84%</f>
        <v>115.80208415999999</v>
      </c>
      <c r="W186" s="256">
        <f>('Encargos e Benefícios'!V185+'Gastos com Pessoal'!Q186)*5.84%</f>
        <v>34.5125442816</v>
      </c>
      <c r="X186" s="256"/>
      <c r="Y186" s="293">
        <v>46508</v>
      </c>
      <c r="Z186" s="294">
        <v>5.8400000000000001E-2</v>
      </c>
      <c r="AA186" s="256">
        <f>('Encargos e Benefícios'!W185+'Gastos com Pessoal'!O186+'Gastos com Pessoal'!U186)*5.84%</f>
        <v>207.72252609454083</v>
      </c>
      <c r="AB186" s="256">
        <f>('Encargos e Benefícios'!X185+'Encargos e Benefícios'!Y185+'Encargos e Benefícios'!Z185+'Encargos e Benefícios'!AA185+'Encargos e Benefícios'!AB185+'Gastos com Pessoal'!P186+'Gastos com Pessoal'!V186)*5.84%</f>
        <v>122.56492587494398</v>
      </c>
      <c r="AC186" s="256">
        <f>('Encargos e Benefícios'!V185+'Gastos com Pessoal'!Q186+'Gastos com Pessoal'!W186)*5.84%</f>
        <v>36.528076867645439</v>
      </c>
      <c r="AD186" s="256"/>
      <c r="AE186" s="293">
        <v>46874</v>
      </c>
      <c r="AF186" s="294">
        <v>5.8400000000000001E-2</v>
      </c>
      <c r="AG186" s="256">
        <f>('Encargos e Benefícios'!W185+'Gastos com Pessoal'!O186+'Gastos com Pessoal'!U186+'Gastos com Pessoal'!AA186)*5.84%</f>
        <v>219.853521618462</v>
      </c>
      <c r="AH186" s="256">
        <f>('Encargos e Benefícios'!X185+'Encargos e Benefícios'!Y185+'Encargos e Benefícios'!Z185+'Encargos e Benefícios'!AA185+'Encargos e Benefícios'!AB185+'Gastos com Pessoal'!P186+'Gastos com Pessoal'!V186+'Gastos com Pessoal'!AB186)*5.84%</f>
        <v>129.72271754604071</v>
      </c>
      <c r="AI186" s="256">
        <f>('Encargos e Benefícios'!V185+'Gastos com Pessoal'!Q186+'Gastos com Pessoal'!W186+'Gastos com Pessoal'!AC186)*5.84%</f>
        <v>38.661316556715931</v>
      </c>
      <c r="AJ186" s="257"/>
      <c r="AK186" s="296">
        <f>'Encargos e Benefícios'!D185</f>
        <v>2010.96</v>
      </c>
      <c r="AL186" s="296">
        <f>IF('Encargos e Benefícios'!C185=0,0,'Encargos e Benefícios'!U185/'Encargos e Benefícios'!C185)</f>
        <v>3202.4049162933329</v>
      </c>
      <c r="AM186" s="296">
        <f>IF('Encargos e Benefícios'!C185=0,0,'Encargos e Benefícios'!AC185/'Encargos e Benefícios'!C185)</f>
        <v>934.5100000000001</v>
      </c>
      <c r="AN186" s="297">
        <f>IF('Encargos e Benefícios'!C185=0,0,'Encargos e Benefícios'!AD185/'Encargos e Benefícios'!C185)</f>
        <v>6147.8749162933318</v>
      </c>
      <c r="AO186" s="188">
        <v>2752.21</v>
      </c>
      <c r="AP186" s="298">
        <v>1764.5</v>
      </c>
      <c r="AQ186" s="298">
        <v>3739.92</v>
      </c>
      <c r="AR186" s="299" t="s">
        <v>113</v>
      </c>
      <c r="AS186" s="188"/>
    </row>
    <row r="187" spans="1:45">
      <c r="A187" s="286">
        <v>181</v>
      </c>
      <c r="B187" s="81" t="str">
        <f>'Encargos e Benefícios'!B186</f>
        <v>Diretor Geral de Unidade Socioeducativa</v>
      </c>
      <c r="C187" s="287">
        <f>'Encargos e Benefícios'!C186</f>
        <v>1</v>
      </c>
      <c r="D187" s="288">
        <v>40</v>
      </c>
      <c r="E187" s="300">
        <v>45839</v>
      </c>
      <c r="F187" s="290">
        <v>47058</v>
      </c>
      <c r="G187" s="293"/>
      <c r="H187" s="294"/>
      <c r="I187" s="256"/>
      <c r="J187" s="256"/>
      <c r="K187" s="256"/>
      <c r="L187" s="256"/>
      <c r="M187" s="293">
        <v>45778</v>
      </c>
      <c r="N187" s="294">
        <v>5.8400000000000001E-2</v>
      </c>
      <c r="O187" s="256">
        <f>'Encargos e Benefícios'!W186*5.84%</f>
        <v>32.70984</v>
      </c>
      <c r="P187" s="256">
        <f>('Encargos e Benefícios'!X186+'Encargos e Benefícios'!Y186+'Encargos e Benefícios'!Z186+'Encargos e Benefícios'!AA186+'Encargos e Benefícios'!AB186)*5.84%</f>
        <v>19.298863999999998</v>
      </c>
      <c r="Q187" s="256">
        <f>'Encargos e Benefícios'!V186*5.84%</f>
        <v>0</v>
      </c>
      <c r="R187" s="256"/>
      <c r="S187" s="293">
        <v>46143</v>
      </c>
      <c r="T187" s="294">
        <v>5.8400000000000001E-2</v>
      </c>
      <c r="U187" s="256">
        <f>('Encargos e Benefícios'!W186+'Gastos com Pessoal'!O187)*5.84%</f>
        <v>34.620094655999999</v>
      </c>
      <c r="V187" s="256">
        <f>('Encargos e Benefícios'!X186+'Encargos e Benefícios'!Y186+'Encargos e Benefícios'!Z186+'Encargos e Benefícios'!AA186+'Encargos e Benefícios'!AB186+'Gastos com Pessoal'!P187)*5.84%</f>
        <v>20.425917657599999</v>
      </c>
      <c r="W187" s="256">
        <f>('Encargos e Benefícios'!V186+'Gastos com Pessoal'!Q187)*5.84%</f>
        <v>0</v>
      </c>
      <c r="X187" s="256"/>
      <c r="Y187" s="293">
        <v>46508</v>
      </c>
      <c r="Z187" s="294">
        <v>5.8400000000000001E-2</v>
      </c>
      <c r="AA187" s="256">
        <f>('Encargos e Benefícios'!W186+'Gastos com Pessoal'!O187+'Gastos com Pessoal'!U187)*5.84%</f>
        <v>36.641908183910402</v>
      </c>
      <c r="AB187" s="256">
        <f>('Encargos e Benefícios'!X186+'Encargos e Benefícios'!Y186+'Encargos e Benefícios'!Z186+'Encargos e Benefícios'!AA186+'Encargos e Benefícios'!AB186+'Gastos com Pessoal'!P187+'Gastos com Pessoal'!V187)*5.84%</f>
        <v>21.618791248803838</v>
      </c>
      <c r="AC187" s="256">
        <f>('Encargos e Benefícios'!V186+'Gastos com Pessoal'!Q187+'Gastos com Pessoal'!W187)*5.84%</f>
        <v>0</v>
      </c>
      <c r="AD187" s="256"/>
      <c r="AE187" s="293">
        <v>46874</v>
      </c>
      <c r="AF187" s="294">
        <v>5.8400000000000001E-2</v>
      </c>
      <c r="AG187" s="256">
        <f>('Encargos e Benefícios'!W186+'Gastos com Pessoal'!O187+'Gastos com Pessoal'!U187+'Gastos com Pessoal'!AA187)*5.84%</f>
        <v>38.781795621850769</v>
      </c>
      <c r="AH187" s="256">
        <f>('Encargos e Benefícios'!X186+'Encargos e Benefícios'!Y186+'Encargos e Benefícios'!Z186+'Encargos e Benefícios'!AA186+'Encargos e Benefícios'!AB186+'Gastos com Pessoal'!P187+'Gastos com Pessoal'!V187+'Gastos com Pessoal'!AB187)*5.84%</f>
        <v>22.881328657733984</v>
      </c>
      <c r="AI187" s="256">
        <f>('Encargos e Benefícios'!V186+'Gastos com Pessoal'!Q187+'Gastos com Pessoal'!W187+'Gastos com Pessoal'!AC187)*5.84%</f>
        <v>0</v>
      </c>
      <c r="AJ187" s="257"/>
      <c r="AK187" s="296">
        <f>'Encargos e Benefícios'!D186</f>
        <v>7281.36</v>
      </c>
      <c r="AL187" s="296">
        <f>IF('Encargos e Benefícios'!C186=0,0,'Encargos e Benefícios'!U186/'Encargos e Benefícios'!C186)</f>
        <v>5716.2721200000005</v>
      </c>
      <c r="AM187" s="296">
        <f>IF('Encargos e Benefícios'!C186=0,0,'Encargos e Benefícios'!AC186/'Encargos e Benefícios'!C186)</f>
        <v>890.56000000000006</v>
      </c>
      <c r="AN187" s="297">
        <f>IF('Encargos e Benefícios'!C186=0,0,'Encargos e Benefícios'!AD186/'Encargos e Benefícios'!C186)</f>
        <v>13888.19212</v>
      </c>
      <c r="AO187" s="188">
        <v>6052.24</v>
      </c>
      <c r="AP187" s="298">
        <v>4239.6899999999996</v>
      </c>
      <c r="AQ187" s="298">
        <v>7864.78</v>
      </c>
      <c r="AR187" s="299" t="s">
        <v>114</v>
      </c>
      <c r="AS187" s="188"/>
    </row>
    <row r="188" spans="1:45">
      <c r="A188" s="286">
        <v>182</v>
      </c>
      <c r="B188" s="81" t="str">
        <f>'Encargos e Benefícios'!B187</f>
        <v>Subdiretor de Segurança</v>
      </c>
      <c r="C188" s="287">
        <f>'Encargos e Benefícios'!C187</f>
        <v>1</v>
      </c>
      <c r="D188" s="288">
        <v>40</v>
      </c>
      <c r="E188" s="300">
        <v>45839</v>
      </c>
      <c r="F188" s="301">
        <v>47058</v>
      </c>
      <c r="G188" s="293"/>
      <c r="H188" s="294"/>
      <c r="I188" s="256"/>
      <c r="J188" s="256"/>
      <c r="K188" s="256"/>
      <c r="L188" s="256"/>
      <c r="M188" s="293">
        <v>45778</v>
      </c>
      <c r="N188" s="294">
        <v>5.8400000000000001E-2</v>
      </c>
      <c r="O188" s="256">
        <f>'Encargos e Benefícios'!W187*5.84%</f>
        <v>32.70984</v>
      </c>
      <c r="P188" s="256">
        <f>('Encargos e Benefícios'!X187+'Encargos e Benefícios'!Y187+'Encargos e Benefícios'!Z187+'Encargos e Benefícios'!AA187+'Encargos e Benefícios'!AB187)*5.84%</f>
        <v>19.298863999999998</v>
      </c>
      <c r="Q188" s="256">
        <f>'Encargos e Benefícios'!V187*5.84%</f>
        <v>0</v>
      </c>
      <c r="R188" s="256"/>
      <c r="S188" s="293">
        <v>46143</v>
      </c>
      <c r="T188" s="294">
        <v>5.8400000000000001E-2</v>
      </c>
      <c r="U188" s="256">
        <f>('Encargos e Benefícios'!W187+'Gastos com Pessoal'!O188)*5.84%</f>
        <v>34.620094655999999</v>
      </c>
      <c r="V188" s="256">
        <f>('Encargos e Benefícios'!X187+'Encargos e Benefícios'!Y187+'Encargos e Benefícios'!Z187+'Encargos e Benefícios'!AA187+'Encargos e Benefícios'!AB187+'Gastos com Pessoal'!P188)*5.84%</f>
        <v>20.425917657599999</v>
      </c>
      <c r="W188" s="256">
        <f>('Encargos e Benefícios'!V187+'Gastos com Pessoal'!Q188)*5.84%</f>
        <v>0</v>
      </c>
      <c r="X188" s="256"/>
      <c r="Y188" s="293">
        <v>46508</v>
      </c>
      <c r="Z188" s="294">
        <v>5.8400000000000001E-2</v>
      </c>
      <c r="AA188" s="256">
        <f>('Encargos e Benefícios'!W187+'Gastos com Pessoal'!O188+'Gastos com Pessoal'!U188)*5.84%</f>
        <v>36.641908183910402</v>
      </c>
      <c r="AB188" s="256">
        <f>('Encargos e Benefícios'!X187+'Encargos e Benefícios'!Y187+'Encargos e Benefícios'!Z187+'Encargos e Benefícios'!AA187+'Encargos e Benefícios'!AB187+'Gastos com Pessoal'!P188+'Gastos com Pessoal'!V188)*5.84%</f>
        <v>21.618791248803838</v>
      </c>
      <c r="AC188" s="256">
        <f>('Encargos e Benefícios'!V187+'Gastos com Pessoal'!Q188+'Gastos com Pessoal'!W188)*5.84%</f>
        <v>0</v>
      </c>
      <c r="AD188" s="256"/>
      <c r="AE188" s="293">
        <v>46874</v>
      </c>
      <c r="AF188" s="294">
        <v>5.8400000000000001E-2</v>
      </c>
      <c r="AG188" s="256">
        <f>('Encargos e Benefícios'!W187+'Gastos com Pessoal'!O188+'Gastos com Pessoal'!U188+'Gastos com Pessoal'!AA188)*5.84%</f>
        <v>38.781795621850769</v>
      </c>
      <c r="AH188" s="256">
        <f>('Encargos e Benefícios'!X187+'Encargos e Benefícios'!Y187+'Encargos e Benefícios'!Z187+'Encargos e Benefícios'!AA187+'Encargos e Benefícios'!AB187+'Gastos com Pessoal'!P188+'Gastos com Pessoal'!V188+'Gastos com Pessoal'!AB188)*5.84%</f>
        <v>22.881328657733984</v>
      </c>
      <c r="AI188" s="256">
        <f>('Encargos e Benefícios'!V187+'Gastos com Pessoal'!Q188+'Gastos com Pessoal'!W188+'Gastos com Pessoal'!AC188)*5.84%</f>
        <v>0</v>
      </c>
      <c r="AJ188" s="257"/>
      <c r="AK188" s="296">
        <f>'Encargos e Benefícios'!D187</f>
        <v>4227.22</v>
      </c>
      <c r="AL188" s="296">
        <f>IF('Encargos e Benefícios'!C187=0,0,'Encargos e Benefícios'!U187/'Encargos e Benefícios'!C187)</f>
        <v>4931.2517487222221</v>
      </c>
      <c r="AM188" s="296">
        <f>IF('Encargos e Benefícios'!C187=0,0,'Encargos e Benefícios'!AC187/'Encargos e Benefícios'!C187)</f>
        <v>890.56000000000006</v>
      </c>
      <c r="AN188" s="297">
        <f>IF('Encargos e Benefícios'!C187=0,0,'Encargos e Benefícios'!AD187/'Encargos e Benefícios'!C187)</f>
        <v>10049.031748722222</v>
      </c>
      <c r="AO188" s="188">
        <v>4968.99</v>
      </c>
      <c r="AP188" s="298">
        <v>3773.6</v>
      </c>
      <c r="AQ188" s="298">
        <v>6164.38</v>
      </c>
      <c r="AR188" s="299" t="s">
        <v>114</v>
      </c>
      <c r="AS188" s="188"/>
    </row>
    <row r="189" spans="1:45">
      <c r="A189" s="286">
        <v>183</v>
      </c>
      <c r="B189" s="81" t="str">
        <f>'Encargos e Benefícios'!B188</f>
        <v>Advogado</v>
      </c>
      <c r="C189" s="287">
        <f>'Encargos e Benefícios'!C188</f>
        <v>1</v>
      </c>
      <c r="D189" s="288">
        <v>30</v>
      </c>
      <c r="E189" s="300">
        <v>45901</v>
      </c>
      <c r="F189" s="301">
        <v>47058</v>
      </c>
      <c r="G189" s="293"/>
      <c r="H189" s="294"/>
      <c r="I189" s="256"/>
      <c r="J189" s="256"/>
      <c r="K189" s="256"/>
      <c r="L189" s="256"/>
      <c r="M189" s="293"/>
      <c r="N189" s="294"/>
      <c r="O189" s="256"/>
      <c r="P189" s="256"/>
      <c r="Q189" s="256"/>
      <c r="R189" s="256"/>
      <c r="S189" s="293">
        <v>46143</v>
      </c>
      <c r="T189" s="294">
        <v>5.8400000000000001E-2</v>
      </c>
      <c r="U189" s="256">
        <f>('Encargos e Benefícios'!W188+'Gastos com Pessoal'!O189)*5.84%</f>
        <v>32.70984</v>
      </c>
      <c r="V189" s="256">
        <f>('Encargos e Benefícios'!X188+'Encargos e Benefícios'!Y188+'Encargos e Benefícios'!Z188+'Encargos e Benefícios'!AA188+'Encargos e Benefícios'!AB188+'Gastos com Pessoal'!P189)*5.84%</f>
        <v>19.298863999999998</v>
      </c>
      <c r="W189" s="256">
        <f>('Encargos e Benefícios'!V188+'Gastos com Pessoal'!Q189)*5.84%</f>
        <v>12.765656</v>
      </c>
      <c r="X189" s="256"/>
      <c r="Y189" s="293">
        <v>46508</v>
      </c>
      <c r="Z189" s="294">
        <v>5.8400000000000001E-2</v>
      </c>
      <c r="AA189" s="256">
        <f>('Encargos e Benefícios'!W188+'Gastos com Pessoal'!O189+'Gastos com Pessoal'!U189)*5.84%</f>
        <v>34.620094655999999</v>
      </c>
      <c r="AB189" s="256">
        <f>('Encargos e Benefícios'!X188+'Encargos e Benefícios'!Y188+'Encargos e Benefícios'!Z188+'Encargos e Benefícios'!AA188+'Encargos e Benefícios'!AB188+'Gastos com Pessoal'!P189+'Gastos com Pessoal'!V189)*5.84%</f>
        <v>20.425917657599999</v>
      </c>
      <c r="AC189" s="256">
        <f>('Encargos e Benefícios'!V188+'Gastos com Pessoal'!Q189+'Gastos com Pessoal'!W189)*5.84%</f>
        <v>13.511170310400001</v>
      </c>
      <c r="AD189" s="256"/>
      <c r="AE189" s="293">
        <v>46874</v>
      </c>
      <c r="AF189" s="294">
        <v>5.8400000000000001E-2</v>
      </c>
      <c r="AG189" s="256">
        <f>('Encargos e Benefícios'!W188+'Gastos com Pessoal'!O189+'Gastos com Pessoal'!U189+'Gastos com Pessoal'!AA189)*5.84%</f>
        <v>36.641908183910402</v>
      </c>
      <c r="AH189" s="256">
        <f>('Encargos e Benefícios'!X188+'Encargos e Benefícios'!Y188+'Encargos e Benefícios'!Z188+'Encargos e Benefícios'!AA188+'Encargos e Benefícios'!AB188+'Gastos com Pessoal'!P189+'Gastos com Pessoal'!V189+'Gastos com Pessoal'!AB189)*5.84%</f>
        <v>21.618791248803838</v>
      </c>
      <c r="AI189" s="256">
        <f>('Encargos e Benefícios'!V188+'Gastos com Pessoal'!Q189+'Gastos com Pessoal'!W189+'Gastos com Pessoal'!AC189)*5.84%</f>
        <v>14.30022265652736</v>
      </c>
      <c r="AJ189" s="257"/>
      <c r="AK189" s="296">
        <f>'Encargos e Benefícios'!D188</f>
        <v>2912.55</v>
      </c>
      <c r="AL189" s="296">
        <f>IF('Encargos e Benefícios'!C188=0,0,'Encargos e Benefícios'!U188/'Encargos e Benefícios'!C188)</f>
        <v>2327.2892583333341</v>
      </c>
      <c r="AM189" s="296">
        <f>IF('Encargos e Benefícios'!C188=0,0,'Encargos e Benefícios'!AC188/'Encargos e Benefícios'!C188)</f>
        <v>1109.1500000000001</v>
      </c>
      <c r="AN189" s="297">
        <f>IF('Encargos e Benefícios'!C188=0,0,'Encargos e Benefícios'!AD188/'Encargos e Benefícios'!C188)</f>
        <v>6348.9892583333349</v>
      </c>
      <c r="AO189" s="188">
        <v>2767.69</v>
      </c>
      <c r="AP189" s="298">
        <v>2500</v>
      </c>
      <c r="AQ189" s="298">
        <v>3035.37</v>
      </c>
      <c r="AR189" s="299" t="s">
        <v>114</v>
      </c>
      <c r="AS189" s="188"/>
    </row>
    <row r="190" spans="1:45">
      <c r="A190" s="286">
        <v>184</v>
      </c>
      <c r="B190" s="81" t="str">
        <f>'Encargos e Benefícios'!B189</f>
        <v>Assistente Social</v>
      </c>
      <c r="C190" s="287">
        <f>'Encargos e Benefícios'!C189</f>
        <v>1</v>
      </c>
      <c r="D190" s="288">
        <v>30</v>
      </c>
      <c r="E190" s="300">
        <v>45901</v>
      </c>
      <c r="F190" s="301">
        <v>47058</v>
      </c>
      <c r="G190" s="293"/>
      <c r="H190" s="294"/>
      <c r="I190" s="256"/>
      <c r="J190" s="256"/>
      <c r="K190" s="256"/>
      <c r="L190" s="256"/>
      <c r="M190" s="293"/>
      <c r="N190" s="294"/>
      <c r="O190" s="256"/>
      <c r="P190" s="256"/>
      <c r="Q190" s="256"/>
      <c r="R190" s="256"/>
      <c r="S190" s="293">
        <v>46143</v>
      </c>
      <c r="T190" s="294">
        <v>5.8400000000000001E-2</v>
      </c>
      <c r="U190" s="256">
        <f>('Encargos e Benefícios'!W189+'Gastos com Pessoal'!O190)*5.84%</f>
        <v>32.70984</v>
      </c>
      <c r="V190" s="256">
        <f>('Encargos e Benefícios'!X189+'Encargos e Benefícios'!Y189+'Encargos e Benefícios'!Z189+'Encargos e Benefícios'!AA189+'Encargos e Benefícios'!AB189+'Gastos com Pessoal'!P190)*5.84%</f>
        <v>19.298863999999998</v>
      </c>
      <c r="W190" s="256">
        <f>('Encargos e Benefícios'!V189+'Gastos com Pessoal'!Q190)*5.84%</f>
        <v>12.765656</v>
      </c>
      <c r="X190" s="256"/>
      <c r="Y190" s="293">
        <v>46508</v>
      </c>
      <c r="Z190" s="294">
        <v>5.8400000000000001E-2</v>
      </c>
      <c r="AA190" s="256">
        <f>('Encargos e Benefícios'!W189+'Gastos com Pessoal'!O190+'Gastos com Pessoal'!U190)*5.84%</f>
        <v>34.620094655999999</v>
      </c>
      <c r="AB190" s="256">
        <f>('Encargos e Benefícios'!X189+'Encargos e Benefícios'!Y189+'Encargos e Benefícios'!Z189+'Encargos e Benefícios'!AA189+'Encargos e Benefícios'!AB189+'Gastos com Pessoal'!P190+'Gastos com Pessoal'!V190)*5.84%</f>
        <v>20.425917657599999</v>
      </c>
      <c r="AC190" s="256">
        <f>('Encargos e Benefícios'!V189+'Gastos com Pessoal'!Q190+'Gastos com Pessoal'!W190)*5.84%</f>
        <v>13.511170310400001</v>
      </c>
      <c r="AD190" s="256"/>
      <c r="AE190" s="293">
        <v>46874</v>
      </c>
      <c r="AF190" s="294">
        <v>5.8400000000000001E-2</v>
      </c>
      <c r="AG190" s="256">
        <f>('Encargos e Benefícios'!W189+'Gastos com Pessoal'!O190+'Gastos com Pessoal'!U190+'Gastos com Pessoal'!AA190)*5.84%</f>
        <v>36.641908183910402</v>
      </c>
      <c r="AH190" s="256">
        <f>('Encargos e Benefícios'!X189+'Encargos e Benefícios'!Y189+'Encargos e Benefícios'!Z189+'Encargos e Benefícios'!AA189+'Encargos e Benefícios'!AB189+'Gastos com Pessoal'!P190+'Gastos com Pessoal'!V190+'Gastos com Pessoal'!AB190)*5.84%</f>
        <v>21.618791248803838</v>
      </c>
      <c r="AI190" s="256">
        <f>('Encargos e Benefícios'!V189+'Gastos com Pessoal'!Q190+'Gastos com Pessoal'!W190+'Gastos com Pessoal'!AC190)*5.84%</f>
        <v>14.30022265652736</v>
      </c>
      <c r="AJ190" s="257"/>
      <c r="AK190" s="296">
        <f>'Encargos e Benefícios'!D189</f>
        <v>2912.55</v>
      </c>
      <c r="AL190" s="296">
        <f>IF('Encargos e Benefícios'!C189=0,0,'Encargos e Benefícios'!U189/'Encargos e Benefícios'!C189)</f>
        <v>2327.2892583333341</v>
      </c>
      <c r="AM190" s="296">
        <f>IF('Encargos e Benefícios'!C189=0,0,'Encargos e Benefícios'!AC189/'Encargos e Benefícios'!C189)</f>
        <v>1109.1500000000001</v>
      </c>
      <c r="AN190" s="297">
        <f>IF('Encargos e Benefícios'!C189=0,0,'Encargos e Benefícios'!AD189/'Encargos e Benefícios'!C189)</f>
        <v>6348.9892583333349</v>
      </c>
      <c r="AO190" s="188">
        <v>3277.91</v>
      </c>
      <c r="AP190" s="298">
        <v>2500</v>
      </c>
      <c r="AQ190" s="298">
        <v>4055.81</v>
      </c>
      <c r="AR190" s="299" t="s">
        <v>114</v>
      </c>
      <c r="AS190" s="188"/>
    </row>
    <row r="191" spans="1:45">
      <c r="A191" s="286">
        <v>185</v>
      </c>
      <c r="B191" s="81" t="str">
        <f>'Encargos e Benefícios'!B190</f>
        <v>Pedagogo</v>
      </c>
      <c r="C191" s="287">
        <f>'Encargos e Benefícios'!C190</f>
        <v>1</v>
      </c>
      <c r="D191" s="288">
        <v>30</v>
      </c>
      <c r="E191" s="300">
        <v>45901</v>
      </c>
      <c r="F191" s="301">
        <v>47058</v>
      </c>
      <c r="G191" s="293"/>
      <c r="H191" s="294"/>
      <c r="I191" s="256"/>
      <c r="J191" s="256"/>
      <c r="K191" s="256"/>
      <c r="L191" s="256"/>
      <c r="M191" s="293"/>
      <c r="N191" s="294"/>
      <c r="O191" s="256"/>
      <c r="P191" s="256"/>
      <c r="Q191" s="256"/>
      <c r="R191" s="256"/>
      <c r="S191" s="293">
        <v>46143</v>
      </c>
      <c r="T191" s="294">
        <v>5.8400000000000001E-2</v>
      </c>
      <c r="U191" s="256">
        <f>('Encargos e Benefícios'!W190+'Gastos com Pessoal'!O191)*5.84%</f>
        <v>32.70984</v>
      </c>
      <c r="V191" s="256">
        <f>('Encargos e Benefícios'!X190+'Encargos e Benefícios'!Y190+'Encargos e Benefícios'!Z190+'Encargos e Benefícios'!AA190+'Encargos e Benefícios'!AB190+'Gastos com Pessoal'!P191)*5.84%</f>
        <v>19.298863999999998</v>
      </c>
      <c r="W191" s="256">
        <f>('Encargos e Benefícios'!V190+'Gastos com Pessoal'!Q191)*5.84%</f>
        <v>12.765656</v>
      </c>
      <c r="X191" s="256"/>
      <c r="Y191" s="293">
        <v>46508</v>
      </c>
      <c r="Z191" s="294">
        <v>5.8400000000000001E-2</v>
      </c>
      <c r="AA191" s="256">
        <f>('Encargos e Benefícios'!W190+'Gastos com Pessoal'!O191+'Gastos com Pessoal'!U191)*5.84%</f>
        <v>34.620094655999999</v>
      </c>
      <c r="AB191" s="256">
        <f>('Encargos e Benefícios'!X190+'Encargos e Benefícios'!Y190+'Encargos e Benefícios'!Z190+'Encargos e Benefícios'!AA190+'Encargos e Benefícios'!AB190+'Gastos com Pessoal'!P191+'Gastos com Pessoal'!V191)*5.84%</f>
        <v>20.425917657599999</v>
      </c>
      <c r="AC191" s="256">
        <f>('Encargos e Benefícios'!V190+'Gastos com Pessoal'!Q191+'Gastos com Pessoal'!W191)*5.84%</f>
        <v>13.511170310400001</v>
      </c>
      <c r="AD191" s="256"/>
      <c r="AE191" s="293">
        <v>46874</v>
      </c>
      <c r="AF191" s="294">
        <v>5.8400000000000001E-2</v>
      </c>
      <c r="AG191" s="256">
        <f>('Encargos e Benefícios'!W190+'Gastos com Pessoal'!O191+'Gastos com Pessoal'!U191+'Gastos com Pessoal'!AA191)*5.84%</f>
        <v>36.641908183910402</v>
      </c>
      <c r="AH191" s="256">
        <f>('Encargos e Benefícios'!X190+'Encargos e Benefícios'!Y190+'Encargos e Benefícios'!Z190+'Encargos e Benefícios'!AA190+'Encargos e Benefícios'!AB190+'Gastos com Pessoal'!P191+'Gastos com Pessoal'!V191+'Gastos com Pessoal'!AB191)*5.84%</f>
        <v>21.618791248803838</v>
      </c>
      <c r="AI191" s="256">
        <f>('Encargos e Benefícios'!V190+'Gastos com Pessoal'!Q191+'Gastos com Pessoal'!W191+'Gastos com Pessoal'!AC191)*5.84%</f>
        <v>14.30022265652736</v>
      </c>
      <c r="AJ191" s="257"/>
      <c r="AK191" s="296">
        <f>'Encargos e Benefícios'!D190</f>
        <v>2912.55</v>
      </c>
      <c r="AL191" s="296">
        <f>IF('Encargos e Benefícios'!C190=0,0,'Encargos e Benefícios'!U190/'Encargos e Benefícios'!C190)</f>
        <v>2327.2892583333341</v>
      </c>
      <c r="AM191" s="296">
        <f>IF('Encargos e Benefícios'!C190=0,0,'Encargos e Benefícios'!AC190/'Encargos e Benefícios'!C190)</f>
        <v>1109.1500000000001</v>
      </c>
      <c r="AN191" s="297">
        <f>IF('Encargos e Benefícios'!C190=0,0,'Encargos e Benefícios'!AD190/'Encargos e Benefícios'!C190)</f>
        <v>6348.9892583333349</v>
      </c>
      <c r="AO191" s="188">
        <v>2894.94</v>
      </c>
      <c r="AP191" s="298">
        <v>2489.87</v>
      </c>
      <c r="AQ191" s="298">
        <v>3300</v>
      </c>
      <c r="AR191" s="299" t="s">
        <v>114</v>
      </c>
      <c r="AS191" s="188"/>
    </row>
    <row r="192" spans="1:45">
      <c r="A192" s="286">
        <v>186</v>
      </c>
      <c r="B192" s="81" t="str">
        <f>'Encargos e Benefícios'!B191</f>
        <v>Psicologo</v>
      </c>
      <c r="C192" s="287">
        <f>'Encargos e Benefícios'!C191</f>
        <v>1</v>
      </c>
      <c r="D192" s="288">
        <v>30</v>
      </c>
      <c r="E192" s="300">
        <v>45901</v>
      </c>
      <c r="F192" s="301">
        <v>47058</v>
      </c>
      <c r="G192" s="293"/>
      <c r="H192" s="294"/>
      <c r="I192" s="256"/>
      <c r="J192" s="256"/>
      <c r="K192" s="256"/>
      <c r="L192" s="256"/>
      <c r="M192" s="293"/>
      <c r="N192" s="294"/>
      <c r="O192" s="256"/>
      <c r="P192" s="256"/>
      <c r="Q192" s="256"/>
      <c r="R192" s="256"/>
      <c r="S192" s="293">
        <v>46143</v>
      </c>
      <c r="T192" s="294">
        <v>5.8400000000000001E-2</v>
      </c>
      <c r="U192" s="256">
        <f>('Encargos e Benefícios'!W191+'Gastos com Pessoal'!O192)*5.84%</f>
        <v>32.70984</v>
      </c>
      <c r="V192" s="256">
        <f>('Encargos e Benefícios'!X191+'Encargos e Benefícios'!Y191+'Encargos e Benefícios'!Z191+'Encargos e Benefícios'!AA191+'Encargos e Benefícios'!AB191+'Gastos com Pessoal'!P192)*5.84%</f>
        <v>19.298863999999998</v>
      </c>
      <c r="W192" s="256">
        <f>('Encargos e Benefícios'!V191+'Gastos com Pessoal'!Q192)*5.84%</f>
        <v>12.765656</v>
      </c>
      <c r="X192" s="256"/>
      <c r="Y192" s="293">
        <v>46508</v>
      </c>
      <c r="Z192" s="294">
        <v>5.8400000000000001E-2</v>
      </c>
      <c r="AA192" s="256">
        <f>('Encargos e Benefícios'!W191+'Gastos com Pessoal'!O192+'Gastos com Pessoal'!U192)*5.84%</f>
        <v>34.620094655999999</v>
      </c>
      <c r="AB192" s="256">
        <f>('Encargos e Benefícios'!X191+'Encargos e Benefícios'!Y191+'Encargos e Benefícios'!Z191+'Encargos e Benefícios'!AA191+'Encargos e Benefícios'!AB191+'Gastos com Pessoal'!P192+'Gastos com Pessoal'!V192)*5.84%</f>
        <v>20.425917657599999</v>
      </c>
      <c r="AC192" s="256">
        <f>('Encargos e Benefícios'!V191+'Gastos com Pessoal'!Q192+'Gastos com Pessoal'!W192)*5.84%</f>
        <v>13.511170310400001</v>
      </c>
      <c r="AD192" s="256"/>
      <c r="AE192" s="293">
        <v>46874</v>
      </c>
      <c r="AF192" s="294">
        <v>5.8400000000000001E-2</v>
      </c>
      <c r="AG192" s="256">
        <f>('Encargos e Benefícios'!W191+'Gastos com Pessoal'!O192+'Gastos com Pessoal'!U192+'Gastos com Pessoal'!AA192)*5.84%</f>
        <v>36.641908183910402</v>
      </c>
      <c r="AH192" s="256">
        <f>('Encargos e Benefícios'!X191+'Encargos e Benefícios'!Y191+'Encargos e Benefícios'!Z191+'Encargos e Benefícios'!AA191+'Encargos e Benefícios'!AB191+'Gastos com Pessoal'!P192+'Gastos com Pessoal'!V192+'Gastos com Pessoal'!AB192)*5.84%</f>
        <v>21.618791248803838</v>
      </c>
      <c r="AI192" s="256">
        <f>('Encargos e Benefícios'!V191+'Gastos com Pessoal'!Q192+'Gastos com Pessoal'!W192+'Gastos com Pessoal'!AC192)*5.84%</f>
        <v>14.30022265652736</v>
      </c>
      <c r="AJ192" s="257"/>
      <c r="AK192" s="296">
        <f>'Encargos e Benefícios'!D191</f>
        <v>2912.55</v>
      </c>
      <c r="AL192" s="296">
        <f>IF('Encargos e Benefícios'!C191=0,0,'Encargos e Benefícios'!U191/'Encargos e Benefícios'!C191)</f>
        <v>2327.2892583333341</v>
      </c>
      <c r="AM192" s="296">
        <f>IF('Encargos e Benefícios'!C191=0,0,'Encargos e Benefícios'!AC191/'Encargos e Benefícios'!C191)</f>
        <v>1109.1500000000001</v>
      </c>
      <c r="AN192" s="297">
        <f>IF('Encargos e Benefícios'!C191=0,0,'Encargos e Benefícios'!AD191/'Encargos e Benefícios'!C191)</f>
        <v>6348.9892583333349</v>
      </c>
      <c r="AO192" s="188">
        <v>3953.69</v>
      </c>
      <c r="AP192" s="298">
        <v>2500</v>
      </c>
      <c r="AQ192" s="298">
        <v>5407.37</v>
      </c>
      <c r="AR192" s="299" t="s">
        <v>114</v>
      </c>
      <c r="AS192" s="188"/>
    </row>
    <row r="193" spans="1:45">
      <c r="A193" s="286">
        <v>187</v>
      </c>
      <c r="B193" s="81" t="str">
        <f>'Encargos e Benefícios'!B192</f>
        <v>Terapeuta Ocupacional</v>
      </c>
      <c r="C193" s="287">
        <f>'Encargos e Benefícios'!C192</f>
        <v>1</v>
      </c>
      <c r="D193" s="288">
        <v>30</v>
      </c>
      <c r="E193" s="300">
        <v>45901</v>
      </c>
      <c r="F193" s="301">
        <v>47058</v>
      </c>
      <c r="G193" s="293"/>
      <c r="H193" s="294"/>
      <c r="I193" s="256"/>
      <c r="J193" s="256"/>
      <c r="K193" s="256"/>
      <c r="L193" s="256"/>
      <c r="M193" s="293"/>
      <c r="N193" s="294"/>
      <c r="O193" s="256"/>
      <c r="P193" s="256"/>
      <c r="Q193" s="256"/>
      <c r="R193" s="256"/>
      <c r="S193" s="293">
        <v>46143</v>
      </c>
      <c r="T193" s="294">
        <v>5.8400000000000001E-2</v>
      </c>
      <c r="U193" s="256">
        <f>('Encargos e Benefícios'!W192+'Gastos com Pessoal'!O193)*5.84%</f>
        <v>32.70984</v>
      </c>
      <c r="V193" s="256">
        <f>('Encargos e Benefícios'!X192+'Encargos e Benefícios'!Y192+'Encargos e Benefícios'!Z192+'Encargos e Benefícios'!AA192+'Encargos e Benefícios'!AB192+'Gastos com Pessoal'!P193)*5.84%</f>
        <v>19.298863999999998</v>
      </c>
      <c r="W193" s="256">
        <f>('Encargos e Benefícios'!V192+'Gastos com Pessoal'!Q193)*5.84%</f>
        <v>12.765656</v>
      </c>
      <c r="X193" s="256"/>
      <c r="Y193" s="293">
        <v>46508</v>
      </c>
      <c r="Z193" s="294">
        <v>5.8400000000000001E-2</v>
      </c>
      <c r="AA193" s="256">
        <f>('Encargos e Benefícios'!W192+'Gastos com Pessoal'!O193+'Gastos com Pessoal'!U193)*5.84%</f>
        <v>34.620094655999999</v>
      </c>
      <c r="AB193" s="256">
        <f>('Encargos e Benefícios'!X192+'Encargos e Benefícios'!Y192+'Encargos e Benefícios'!Z192+'Encargos e Benefícios'!AA192+'Encargos e Benefícios'!AB192+'Gastos com Pessoal'!P193+'Gastos com Pessoal'!V193)*5.84%</f>
        <v>20.425917657599999</v>
      </c>
      <c r="AC193" s="256">
        <f>('Encargos e Benefícios'!V192+'Gastos com Pessoal'!Q193+'Gastos com Pessoal'!W193)*5.84%</f>
        <v>13.511170310400001</v>
      </c>
      <c r="AD193" s="256"/>
      <c r="AE193" s="293">
        <v>46874</v>
      </c>
      <c r="AF193" s="294">
        <v>5.8400000000000001E-2</v>
      </c>
      <c r="AG193" s="256">
        <f>('Encargos e Benefícios'!W192+'Gastos com Pessoal'!O193+'Gastos com Pessoal'!U193+'Gastos com Pessoal'!AA193)*5.84%</f>
        <v>36.641908183910402</v>
      </c>
      <c r="AH193" s="256">
        <f>('Encargos e Benefícios'!X192+'Encargos e Benefícios'!Y192+'Encargos e Benefícios'!Z192+'Encargos e Benefícios'!AA192+'Encargos e Benefícios'!AB192+'Gastos com Pessoal'!P193+'Gastos com Pessoal'!V193+'Gastos com Pessoal'!AB193)*5.84%</f>
        <v>21.618791248803838</v>
      </c>
      <c r="AI193" s="256">
        <f>('Encargos e Benefícios'!V192+'Gastos com Pessoal'!Q193+'Gastos com Pessoal'!W193+'Gastos com Pessoal'!AC193)*5.84%</f>
        <v>14.30022265652736</v>
      </c>
      <c r="AJ193" s="257"/>
      <c r="AK193" s="296">
        <f>'Encargos e Benefícios'!D192</f>
        <v>2912.55</v>
      </c>
      <c r="AL193" s="296">
        <f>IF('Encargos e Benefícios'!C192=0,0,'Encargos e Benefícios'!U192/'Encargos e Benefícios'!C192)</f>
        <v>2327.2892583333341</v>
      </c>
      <c r="AM193" s="296">
        <f>IF('Encargos e Benefícios'!C192=0,0,'Encargos e Benefícios'!AC192/'Encargos e Benefícios'!C192)</f>
        <v>1109.1500000000001</v>
      </c>
      <c r="AN193" s="297">
        <f>IF('Encargos e Benefícios'!C192=0,0,'Encargos e Benefícios'!AD192/'Encargos e Benefícios'!C192)</f>
        <v>6348.9892583333349</v>
      </c>
      <c r="AO193" s="188">
        <v>2422.3000000000002</v>
      </c>
      <c r="AP193" s="298">
        <v>1932.61</v>
      </c>
      <c r="AQ193" s="298">
        <v>2911.99</v>
      </c>
      <c r="AR193" s="299" t="s">
        <v>114</v>
      </c>
      <c r="AS193" s="188"/>
    </row>
    <row r="194" spans="1:45">
      <c r="A194" s="286">
        <v>188</v>
      </c>
      <c r="B194" s="81" t="str">
        <f>'Encargos e Benefícios'!B193</f>
        <v>Administrativo</v>
      </c>
      <c r="C194" s="287">
        <f>'Encargos e Benefícios'!C193</f>
        <v>1</v>
      </c>
      <c r="D194" s="288">
        <v>40</v>
      </c>
      <c r="E194" s="300">
        <v>45901</v>
      </c>
      <c r="F194" s="301">
        <v>47058</v>
      </c>
      <c r="G194" s="293"/>
      <c r="H194" s="294"/>
      <c r="I194" s="256"/>
      <c r="J194" s="256"/>
      <c r="K194" s="256"/>
      <c r="L194" s="256"/>
      <c r="M194" s="293"/>
      <c r="N194" s="294"/>
      <c r="O194" s="256"/>
      <c r="P194" s="256"/>
      <c r="Q194" s="256"/>
      <c r="R194" s="256"/>
      <c r="S194" s="293">
        <v>46143</v>
      </c>
      <c r="T194" s="294">
        <v>5.8400000000000001E-2</v>
      </c>
      <c r="U194" s="256">
        <f>('Encargos e Benefícios'!W193+'Gastos com Pessoal'!O194)*5.84%</f>
        <v>32.70984</v>
      </c>
      <c r="V194" s="256">
        <f>('Encargos e Benefícios'!X193+'Encargos e Benefícios'!Y193+'Encargos e Benefícios'!Z193+'Encargos e Benefícios'!AA193+'Encargos e Benefícios'!AB193+'Gastos com Pessoal'!P194)*5.84%</f>
        <v>19.298863999999998</v>
      </c>
      <c r="W194" s="256">
        <f>('Encargos e Benefícios'!V193+'Gastos com Pessoal'!Q194)*5.84%</f>
        <v>12.765656</v>
      </c>
      <c r="X194" s="256"/>
      <c r="Y194" s="293">
        <v>46508</v>
      </c>
      <c r="Z194" s="294">
        <v>5.8400000000000001E-2</v>
      </c>
      <c r="AA194" s="256">
        <f>('Encargos e Benefícios'!W193+'Gastos com Pessoal'!O194+'Gastos com Pessoal'!U194)*5.84%</f>
        <v>34.620094655999999</v>
      </c>
      <c r="AB194" s="256">
        <f>('Encargos e Benefícios'!X193+'Encargos e Benefícios'!Y193+'Encargos e Benefícios'!Z193+'Encargos e Benefícios'!AA193+'Encargos e Benefícios'!AB193+'Gastos com Pessoal'!P194+'Gastos com Pessoal'!V194)*5.84%</f>
        <v>20.425917657599999</v>
      </c>
      <c r="AC194" s="256">
        <f>('Encargos e Benefícios'!V193+'Gastos com Pessoal'!Q194+'Gastos com Pessoal'!W194)*5.84%</f>
        <v>13.511170310400001</v>
      </c>
      <c r="AD194" s="256"/>
      <c r="AE194" s="293">
        <v>46874</v>
      </c>
      <c r="AF194" s="294">
        <v>5.8400000000000001E-2</v>
      </c>
      <c r="AG194" s="256">
        <f>('Encargos e Benefícios'!W193+'Gastos com Pessoal'!O194+'Gastos com Pessoal'!U194+'Gastos com Pessoal'!AA194)*5.84%</f>
        <v>36.641908183910402</v>
      </c>
      <c r="AH194" s="256">
        <f>('Encargos e Benefícios'!X193+'Encargos e Benefícios'!Y193+'Encargos e Benefícios'!Z193+'Encargos e Benefícios'!AA193+'Encargos e Benefícios'!AB193+'Gastos com Pessoal'!P194+'Gastos com Pessoal'!V194+'Gastos com Pessoal'!AB194)*5.84%</f>
        <v>21.618791248803838</v>
      </c>
      <c r="AI194" s="256">
        <f>('Encargos e Benefícios'!V193+'Gastos com Pessoal'!Q194+'Gastos com Pessoal'!W194+'Gastos com Pessoal'!AC194)*5.84%</f>
        <v>14.30022265652736</v>
      </c>
      <c r="AJ194" s="257"/>
      <c r="AK194" s="296">
        <f>'Encargos e Benefícios'!D193</f>
        <v>1960.37</v>
      </c>
      <c r="AL194" s="296">
        <f>IF('Encargos e Benefícios'!C193=0,0,'Encargos e Benefícios'!U193/'Encargos e Benefícios'!C193)</f>
        <v>1566.4445394444447</v>
      </c>
      <c r="AM194" s="296">
        <f>IF('Encargos e Benefícios'!C193=0,0,'Encargos e Benefícios'!AC193/'Encargos e Benefícios'!C193)</f>
        <v>1109.1500000000001</v>
      </c>
      <c r="AN194" s="297">
        <f>IF('Encargos e Benefícios'!C193=0,0,'Encargos e Benefícios'!AD193/'Encargos e Benefícios'!C193)</f>
        <v>4635.9645394444451</v>
      </c>
      <c r="AO194" s="188">
        <v>2097.83</v>
      </c>
      <c r="AP194" s="298">
        <v>1500</v>
      </c>
      <c r="AQ194" s="298">
        <v>2695.66</v>
      </c>
      <c r="AR194" s="299" t="s">
        <v>114</v>
      </c>
      <c r="AS194" s="188"/>
    </row>
    <row r="195" spans="1:45">
      <c r="A195" s="286">
        <v>189</v>
      </c>
      <c r="B195" s="81" t="str">
        <f>'Encargos e Benefícios'!B194</f>
        <v>Auxiliar Educacional</v>
      </c>
      <c r="C195" s="287">
        <f>'Encargos e Benefícios'!C194</f>
        <v>1</v>
      </c>
      <c r="D195" s="288">
        <v>30</v>
      </c>
      <c r="E195" s="300">
        <v>45901</v>
      </c>
      <c r="F195" s="301">
        <v>47058</v>
      </c>
      <c r="G195" s="293"/>
      <c r="H195" s="294"/>
      <c r="I195" s="256"/>
      <c r="J195" s="256"/>
      <c r="K195" s="256"/>
      <c r="L195" s="256"/>
      <c r="M195" s="293"/>
      <c r="N195" s="294"/>
      <c r="O195" s="256"/>
      <c r="P195" s="256"/>
      <c r="Q195" s="256"/>
      <c r="R195" s="256"/>
      <c r="S195" s="293">
        <v>46143</v>
      </c>
      <c r="T195" s="294">
        <v>5.8400000000000001E-2</v>
      </c>
      <c r="U195" s="256">
        <f>('Encargos e Benefícios'!W194+'Gastos com Pessoal'!O195)*5.84%</f>
        <v>32.70984</v>
      </c>
      <c r="V195" s="256">
        <f>('Encargos e Benefícios'!X194+'Encargos e Benefícios'!Y194+'Encargos e Benefícios'!Z194+'Encargos e Benefícios'!AA194+'Encargos e Benefícios'!AB194+'Gastos com Pessoal'!P195)*5.84%</f>
        <v>19.298863999999998</v>
      </c>
      <c r="W195" s="256">
        <f>('Encargos e Benefícios'!V194+'Gastos com Pessoal'!Q195)*5.84%</f>
        <v>12.765656</v>
      </c>
      <c r="X195" s="256"/>
      <c r="Y195" s="293">
        <v>46508</v>
      </c>
      <c r="Z195" s="294">
        <v>5.8400000000000001E-2</v>
      </c>
      <c r="AA195" s="256">
        <f>('Encargos e Benefícios'!W194+'Gastos com Pessoal'!O195+'Gastos com Pessoal'!U195)*5.84%</f>
        <v>34.620094655999999</v>
      </c>
      <c r="AB195" s="256">
        <f>('Encargos e Benefícios'!X194+'Encargos e Benefícios'!Y194+'Encargos e Benefícios'!Z194+'Encargos e Benefícios'!AA194+'Encargos e Benefícios'!AB194+'Gastos com Pessoal'!P195+'Gastos com Pessoal'!V195)*5.84%</f>
        <v>20.425917657599999</v>
      </c>
      <c r="AC195" s="256">
        <f>('Encargos e Benefícios'!V194+'Gastos com Pessoal'!Q195+'Gastos com Pessoal'!W195)*5.84%</f>
        <v>13.511170310400001</v>
      </c>
      <c r="AD195" s="256"/>
      <c r="AE195" s="293">
        <v>46874</v>
      </c>
      <c r="AF195" s="294">
        <v>5.8400000000000001E-2</v>
      </c>
      <c r="AG195" s="256">
        <f>('Encargos e Benefícios'!W194+'Gastos com Pessoal'!O195+'Gastos com Pessoal'!U195+'Gastos com Pessoal'!AA195)*5.84%</f>
        <v>36.641908183910402</v>
      </c>
      <c r="AH195" s="256">
        <f>('Encargos e Benefícios'!X194+'Encargos e Benefícios'!Y194+'Encargos e Benefícios'!Z194+'Encargos e Benefícios'!AA194+'Encargos e Benefícios'!AB194+'Gastos com Pessoal'!P195+'Gastos com Pessoal'!V195+'Gastos com Pessoal'!AB195)*5.84%</f>
        <v>21.618791248803838</v>
      </c>
      <c r="AI195" s="256">
        <f>('Encargos e Benefícios'!V194+'Gastos com Pessoal'!Q195+'Gastos com Pessoal'!W195+'Gastos com Pessoal'!AC195)*5.84%</f>
        <v>14.30022265652736</v>
      </c>
      <c r="AJ195" s="257"/>
      <c r="AK195" s="296">
        <f>'Encargos e Benefícios'!D194</f>
        <v>1839.38</v>
      </c>
      <c r="AL195" s="296">
        <f>IF('Encargos e Benefícios'!C194=0,0,'Encargos e Benefícios'!U194/'Encargos e Benefícios'!C194)</f>
        <v>1469.766807777778</v>
      </c>
      <c r="AM195" s="296">
        <f>IF('Encargos e Benefícios'!C194=0,0,'Encargos e Benefícios'!AC194/'Encargos e Benefícios'!C194)</f>
        <v>1109.1500000000001</v>
      </c>
      <c r="AN195" s="297">
        <f>IF('Encargos e Benefícios'!C194=0,0,'Encargos e Benefícios'!AD194/'Encargos e Benefícios'!C194)</f>
        <v>4418.2968077777787</v>
      </c>
      <c r="AO195" s="188">
        <v>1750.23</v>
      </c>
      <c r="AP195" s="298">
        <v>1500</v>
      </c>
      <c r="AQ195" s="298">
        <v>2000.45</v>
      </c>
      <c r="AR195" s="299" t="s">
        <v>114</v>
      </c>
      <c r="AS195" s="188"/>
    </row>
    <row r="196" spans="1:45">
      <c r="A196" s="286">
        <v>190</v>
      </c>
      <c r="B196" s="81" t="str">
        <f>'Encargos e Benefícios'!B195</f>
        <v>Auxiliar de Serviços Gerais</v>
      </c>
      <c r="C196" s="287">
        <f>'Encargos e Benefícios'!C195</f>
        <v>1</v>
      </c>
      <c r="D196" s="288">
        <v>30</v>
      </c>
      <c r="E196" s="300">
        <v>45901</v>
      </c>
      <c r="F196" s="301">
        <v>47058</v>
      </c>
      <c r="G196" s="293"/>
      <c r="H196" s="294"/>
      <c r="I196" s="256"/>
      <c r="J196" s="256"/>
      <c r="K196" s="256"/>
      <c r="L196" s="256"/>
      <c r="M196" s="293"/>
      <c r="N196" s="294"/>
      <c r="O196" s="256"/>
      <c r="P196" s="256"/>
      <c r="Q196" s="256"/>
      <c r="R196" s="256"/>
      <c r="S196" s="293">
        <v>46143</v>
      </c>
      <c r="T196" s="294">
        <v>5.8400000000000001E-2</v>
      </c>
      <c r="U196" s="256">
        <f>('Encargos e Benefícios'!W195+'Gastos com Pessoal'!O196)*5.84%</f>
        <v>32.70984</v>
      </c>
      <c r="V196" s="256">
        <f>('Encargos e Benefícios'!X195+'Encargos e Benefícios'!Y195+'Encargos e Benefícios'!Z195+'Encargos e Benefícios'!AA195+'Encargos e Benefícios'!AB195+'Gastos com Pessoal'!P196)*5.84%</f>
        <v>19.298863999999998</v>
      </c>
      <c r="W196" s="256">
        <f>('Encargos e Benefícios'!V195+'Gastos com Pessoal'!Q196)*5.84%</f>
        <v>12.765656</v>
      </c>
      <c r="X196" s="256"/>
      <c r="Y196" s="293">
        <v>46508</v>
      </c>
      <c r="Z196" s="294">
        <v>5.8400000000000001E-2</v>
      </c>
      <c r="AA196" s="256">
        <f>('Encargos e Benefícios'!W195+'Gastos com Pessoal'!O196+'Gastos com Pessoal'!U196)*5.84%</f>
        <v>34.620094655999999</v>
      </c>
      <c r="AB196" s="256">
        <f>('Encargos e Benefícios'!X195+'Encargos e Benefícios'!Y195+'Encargos e Benefícios'!Z195+'Encargos e Benefícios'!AA195+'Encargos e Benefícios'!AB195+'Gastos com Pessoal'!P196+'Gastos com Pessoal'!V196)*5.84%</f>
        <v>20.425917657599999</v>
      </c>
      <c r="AC196" s="256">
        <f>('Encargos e Benefícios'!V195+'Gastos com Pessoal'!Q196+'Gastos com Pessoal'!W196)*5.84%</f>
        <v>13.511170310400001</v>
      </c>
      <c r="AD196" s="256"/>
      <c r="AE196" s="293">
        <v>46874</v>
      </c>
      <c r="AF196" s="294">
        <v>5.8400000000000001E-2</v>
      </c>
      <c r="AG196" s="256">
        <f>('Encargos e Benefícios'!W195+'Gastos com Pessoal'!O196+'Gastos com Pessoal'!U196+'Gastos com Pessoal'!AA196)*5.84%</f>
        <v>36.641908183910402</v>
      </c>
      <c r="AH196" s="256">
        <f>('Encargos e Benefícios'!X195+'Encargos e Benefícios'!Y195+'Encargos e Benefícios'!Z195+'Encargos e Benefícios'!AA195+'Encargos e Benefícios'!AB195+'Gastos com Pessoal'!P196+'Gastos com Pessoal'!V196+'Gastos com Pessoal'!AB196)*5.84%</f>
        <v>21.618791248803838</v>
      </c>
      <c r="AI196" s="256">
        <f>('Encargos e Benefícios'!V195+'Gastos com Pessoal'!Q196+'Gastos com Pessoal'!W196+'Gastos com Pessoal'!AC196)*5.84%</f>
        <v>14.30022265652736</v>
      </c>
      <c r="AJ196" s="257"/>
      <c r="AK196" s="296">
        <f>'Encargos e Benefícios'!D195</f>
        <v>1551.48</v>
      </c>
      <c r="AL196" s="296">
        <f>IF('Encargos e Benefícios'!C195=0,0,'Encargos e Benefícios'!U195/'Encargos e Benefícios'!C195)</f>
        <v>1239.7187133333332</v>
      </c>
      <c r="AM196" s="296">
        <f>IF('Encargos e Benefícios'!C195=0,0,'Encargos e Benefícios'!AC195/'Encargos e Benefícios'!C195)</f>
        <v>1109.1500000000001</v>
      </c>
      <c r="AN196" s="297">
        <f>IF('Encargos e Benefícios'!C195=0,0,'Encargos e Benefícios'!AD195/'Encargos e Benefícios'!C195)</f>
        <v>3900.3487133333333</v>
      </c>
      <c r="AO196" s="188">
        <v>1437.37</v>
      </c>
      <c r="AP196" s="298">
        <v>1302</v>
      </c>
      <c r="AQ196" s="298">
        <v>1572.74</v>
      </c>
      <c r="AR196" s="299" t="s">
        <v>114</v>
      </c>
      <c r="AS196" s="188"/>
    </row>
    <row r="197" spans="1:45">
      <c r="A197" s="286">
        <v>191</v>
      </c>
      <c r="B197" s="81" t="str">
        <f>'Encargos e Benefícios'!B196</f>
        <v>Motorista</v>
      </c>
      <c r="C197" s="287">
        <f>'Encargos e Benefícios'!C196</f>
        <v>1</v>
      </c>
      <c r="D197" s="288">
        <v>40</v>
      </c>
      <c r="E197" s="300">
        <v>45901</v>
      </c>
      <c r="F197" s="301">
        <v>47058</v>
      </c>
      <c r="G197" s="293"/>
      <c r="H197" s="294"/>
      <c r="I197" s="256"/>
      <c r="J197" s="256"/>
      <c r="K197" s="256"/>
      <c r="L197" s="256"/>
      <c r="M197" s="293"/>
      <c r="N197" s="294"/>
      <c r="O197" s="256"/>
      <c r="P197" s="256"/>
      <c r="Q197" s="256"/>
      <c r="R197" s="256"/>
      <c r="S197" s="293">
        <v>46143</v>
      </c>
      <c r="T197" s="294">
        <v>5.8400000000000001E-2</v>
      </c>
      <c r="U197" s="256">
        <f>('Encargos e Benefícios'!W196+'Gastos com Pessoal'!O197)*5.84%</f>
        <v>32.70984</v>
      </c>
      <c r="V197" s="256">
        <f>('Encargos e Benefícios'!X196+'Encargos e Benefícios'!Y196+'Encargos e Benefícios'!Z196+'Encargos e Benefícios'!AA196+'Encargos e Benefícios'!AB196+'Gastos com Pessoal'!P197)*5.84%</f>
        <v>19.298863999999998</v>
      </c>
      <c r="W197" s="256">
        <f>('Encargos e Benefícios'!V196+'Gastos com Pessoal'!Q197)*5.84%</f>
        <v>12.765656</v>
      </c>
      <c r="X197" s="256"/>
      <c r="Y197" s="293">
        <v>46508</v>
      </c>
      <c r="Z197" s="294">
        <v>5.8400000000000001E-2</v>
      </c>
      <c r="AA197" s="256">
        <f>('Encargos e Benefícios'!W196+'Gastos com Pessoal'!O197+'Gastos com Pessoal'!U197)*5.84%</f>
        <v>34.620094655999999</v>
      </c>
      <c r="AB197" s="256">
        <f>('Encargos e Benefícios'!X196+'Encargos e Benefícios'!Y196+'Encargos e Benefícios'!Z196+'Encargos e Benefícios'!AA196+'Encargos e Benefícios'!AB196+'Gastos com Pessoal'!P197+'Gastos com Pessoal'!V197)*5.84%</f>
        <v>20.425917657599999</v>
      </c>
      <c r="AC197" s="256">
        <f>('Encargos e Benefícios'!V196+'Gastos com Pessoal'!Q197+'Gastos com Pessoal'!W197)*5.84%</f>
        <v>13.511170310400001</v>
      </c>
      <c r="AD197" s="256"/>
      <c r="AE197" s="293">
        <v>46874</v>
      </c>
      <c r="AF197" s="294">
        <v>5.8400000000000001E-2</v>
      </c>
      <c r="AG197" s="256">
        <f>('Encargos e Benefícios'!W196+'Gastos com Pessoal'!O197+'Gastos com Pessoal'!U197+'Gastos com Pessoal'!AA197)*5.84%</f>
        <v>36.641908183910402</v>
      </c>
      <c r="AH197" s="256">
        <f>('Encargos e Benefícios'!X196+'Encargos e Benefícios'!Y196+'Encargos e Benefícios'!Z196+'Encargos e Benefícios'!AA196+'Encargos e Benefícios'!AB196+'Gastos com Pessoal'!P197+'Gastos com Pessoal'!V197+'Gastos com Pessoal'!AB197)*5.84%</f>
        <v>21.618791248803838</v>
      </c>
      <c r="AI197" s="256">
        <f>('Encargos e Benefícios'!V196+'Gastos com Pessoal'!Q197+'Gastos com Pessoal'!W197+'Gastos com Pessoal'!AC197)*5.84%</f>
        <v>14.30022265652736</v>
      </c>
      <c r="AJ197" s="257"/>
      <c r="AK197" s="296">
        <f>'Encargos e Benefícios'!D196</f>
        <v>1626.98</v>
      </c>
      <c r="AL197" s="296">
        <f>IF('Encargos e Benefícios'!C196=0,0,'Encargos e Benefícios'!U196/'Encargos e Benefícios'!C196)</f>
        <v>1300.0474077777781</v>
      </c>
      <c r="AM197" s="296">
        <f>IF('Encargos e Benefícios'!C196=0,0,'Encargos e Benefícios'!AC196/'Encargos e Benefícios'!C196)</f>
        <v>1109.1500000000001</v>
      </c>
      <c r="AN197" s="297">
        <f>IF('Encargos e Benefícios'!C196=0,0,'Encargos e Benefícios'!AD196/'Encargos e Benefícios'!C196)</f>
        <v>4036.1774077777782</v>
      </c>
      <c r="AO197" s="188">
        <v>2046.28</v>
      </c>
      <c r="AP197" s="298">
        <v>1212</v>
      </c>
      <c r="AQ197" s="298">
        <v>2880.55</v>
      </c>
      <c r="AR197" s="299" t="s">
        <v>114</v>
      </c>
      <c r="AS197" s="188"/>
    </row>
    <row r="198" spans="1:45">
      <c r="A198" s="286">
        <v>192</v>
      </c>
      <c r="B198" s="81" t="str">
        <f>'Encargos e Benefícios'!B197</f>
        <v>Socioeducador - DC</v>
      </c>
      <c r="C198" s="287">
        <f>'Encargos e Benefícios'!C197</f>
        <v>2</v>
      </c>
      <c r="D198" s="288" t="s">
        <v>496</v>
      </c>
      <c r="E198" s="300">
        <v>45901</v>
      </c>
      <c r="F198" s="301">
        <v>47058</v>
      </c>
      <c r="G198" s="293"/>
      <c r="H198" s="294"/>
      <c r="I198" s="256"/>
      <c r="J198" s="256"/>
      <c r="K198" s="256"/>
      <c r="L198" s="256"/>
      <c r="M198" s="293"/>
      <c r="N198" s="294"/>
      <c r="O198" s="256"/>
      <c r="P198" s="256"/>
      <c r="Q198" s="256"/>
      <c r="R198" s="256"/>
      <c r="S198" s="293">
        <v>46143</v>
      </c>
      <c r="T198" s="294">
        <v>5.8400000000000001E-2</v>
      </c>
      <c r="U198" s="256">
        <f>('Encargos e Benefícios'!W197+'Gastos com Pessoal'!O198)*5.84%</f>
        <v>65.41968</v>
      </c>
      <c r="V198" s="256">
        <f>('Encargos e Benefícios'!X197+'Encargos e Benefícios'!Y197+'Encargos e Benefícios'!Z197+'Encargos e Benefícios'!AA197+'Encargos e Benefícios'!AB197+'Gastos com Pessoal'!P198)*5.84%</f>
        <v>38.597727999999996</v>
      </c>
      <c r="W198" s="256">
        <f>('Encargos e Benefícios'!V197+'Gastos com Pessoal'!Q198)*5.84%</f>
        <v>16.363679999999999</v>
      </c>
      <c r="X198" s="256"/>
      <c r="Y198" s="293">
        <v>46508</v>
      </c>
      <c r="Z198" s="294">
        <v>5.8400000000000001E-2</v>
      </c>
      <c r="AA198" s="256">
        <f>('Encargos e Benefícios'!W197+'Gastos com Pessoal'!O198+'Gastos com Pessoal'!U198)*5.84%</f>
        <v>69.240189311999998</v>
      </c>
      <c r="AB198" s="256">
        <f>('Encargos e Benefícios'!X197+'Encargos e Benefícios'!Y197+'Encargos e Benefícios'!Z197+'Encargos e Benefícios'!AA197+'Encargos e Benefícios'!AB197+'Gastos com Pessoal'!P198+'Gastos com Pessoal'!V198)*5.84%</f>
        <v>40.851835315199999</v>
      </c>
      <c r="AC198" s="256">
        <f>('Encargos e Benefícios'!V197+'Gastos com Pessoal'!Q198+'Gastos com Pessoal'!W198)*5.84%</f>
        <v>17.319318912</v>
      </c>
      <c r="AD198" s="256"/>
      <c r="AE198" s="293">
        <v>46874</v>
      </c>
      <c r="AF198" s="294">
        <v>5.8400000000000001E-2</v>
      </c>
      <c r="AG198" s="256">
        <f>('Encargos e Benefícios'!W197+'Gastos com Pessoal'!O198+'Gastos com Pessoal'!U198+'Gastos com Pessoal'!AA198)*5.84%</f>
        <v>73.283816367820805</v>
      </c>
      <c r="AH198" s="256">
        <f>('Encargos e Benefícios'!X197+'Encargos e Benefícios'!Y197+'Encargos e Benefícios'!Z197+'Encargos e Benefícios'!AA197+'Encargos e Benefícios'!AB197+'Gastos com Pessoal'!P198+'Gastos com Pessoal'!V198+'Gastos com Pessoal'!AB198)*5.84%</f>
        <v>43.237582497607676</v>
      </c>
      <c r="AI198" s="256">
        <f>('Encargos e Benefícios'!V197+'Gastos com Pessoal'!Q198+'Gastos com Pessoal'!W198+'Gastos com Pessoal'!AC198)*5.84%</f>
        <v>18.330767136460796</v>
      </c>
      <c r="AJ198" s="257"/>
      <c r="AK198" s="296">
        <f>'Encargos e Benefícios'!D197</f>
        <v>2128.4</v>
      </c>
      <c r="AL198" s="296">
        <f>IF('Encargos e Benefícios'!C197=0,0,'Encargos e Benefícios'!U197/'Encargos e Benefícios'!C197)</f>
        <v>3114.2417715555557</v>
      </c>
      <c r="AM198" s="296">
        <f>IF('Encargos e Benefícios'!C197=0,0,'Encargos e Benefícios'!AC197/'Encargos e Benefícios'!C197)</f>
        <v>1030.6600000000001</v>
      </c>
      <c r="AN198" s="297">
        <f>IF('Encargos e Benefícios'!C197=0,0,'Encargos e Benefícios'!AD197/'Encargos e Benefícios'!C197)</f>
        <v>6273.3017715555561</v>
      </c>
      <c r="AO198" s="188">
        <v>2752.21</v>
      </c>
      <c r="AP198" s="298">
        <v>1764.5</v>
      </c>
      <c r="AQ198" s="298">
        <v>3739.92</v>
      </c>
      <c r="AR198" s="299" t="s">
        <v>114</v>
      </c>
      <c r="AS198" s="188"/>
    </row>
    <row r="199" spans="1:45">
      <c r="A199" s="286">
        <v>193</v>
      </c>
      <c r="B199" s="81" t="str">
        <f>'Encargos e Benefícios'!B198</f>
        <v>Socioeducador - D</v>
      </c>
      <c r="C199" s="287">
        <f>'Encargos e Benefícios'!C198</f>
        <v>12</v>
      </c>
      <c r="D199" s="288" t="s">
        <v>496</v>
      </c>
      <c r="E199" s="300">
        <v>45901</v>
      </c>
      <c r="F199" s="301">
        <v>47058</v>
      </c>
      <c r="G199" s="293"/>
      <c r="H199" s="294"/>
      <c r="I199" s="256"/>
      <c r="J199" s="256"/>
      <c r="K199" s="256"/>
      <c r="L199" s="256"/>
      <c r="M199" s="293"/>
      <c r="N199" s="294"/>
      <c r="O199" s="256"/>
      <c r="P199" s="256"/>
      <c r="Q199" s="256"/>
      <c r="R199" s="256"/>
      <c r="S199" s="293">
        <v>46143</v>
      </c>
      <c r="T199" s="294">
        <v>5.8400000000000001E-2</v>
      </c>
      <c r="U199" s="256">
        <f>('Encargos e Benefícios'!W198+'Gastos com Pessoal'!O199)*5.84%</f>
        <v>392.51808000000005</v>
      </c>
      <c r="V199" s="256">
        <f>('Encargos e Benefícios'!X198+'Encargos e Benefícios'!Y198+'Encargos e Benefícios'!Z198+'Encargos e Benefícios'!AA198+'Encargos e Benefícios'!AB198+'Gastos com Pessoal'!P199)*5.84%</f>
        <v>231.58636799999999</v>
      </c>
      <c r="W199" s="256">
        <f>('Encargos e Benefícios'!V198+'Gastos com Pessoal'!Q199)*5.84%</f>
        <v>98.182079999999985</v>
      </c>
      <c r="X199" s="256"/>
      <c r="Y199" s="293">
        <v>46508</v>
      </c>
      <c r="Z199" s="294">
        <v>5.8400000000000001E-2</v>
      </c>
      <c r="AA199" s="256">
        <f>('Encargos e Benefícios'!W198+'Gastos com Pessoal'!O199+'Gastos com Pessoal'!U199)*5.84%</f>
        <v>415.44113587200002</v>
      </c>
      <c r="AB199" s="256">
        <f>('Encargos e Benefícios'!X198+'Encargos e Benefícios'!Y198+'Encargos e Benefícios'!Z198+'Encargos e Benefícios'!AA198+'Encargos e Benefícios'!AB198+'Gastos com Pessoal'!P199+'Gastos com Pessoal'!V199)*5.84%</f>
        <v>245.11101189119998</v>
      </c>
      <c r="AC199" s="256">
        <f>('Encargos e Benefícios'!V198+'Gastos com Pessoal'!Q199+'Gastos com Pessoal'!W199)*5.84%</f>
        <v>103.915913472</v>
      </c>
      <c r="AD199" s="256"/>
      <c r="AE199" s="293">
        <v>46874</v>
      </c>
      <c r="AF199" s="294">
        <v>5.8400000000000001E-2</v>
      </c>
      <c r="AG199" s="256">
        <f>('Encargos e Benefícios'!W198+'Gastos com Pessoal'!O199+'Gastos com Pessoal'!U199+'Gastos com Pessoal'!AA199)*5.84%</f>
        <v>439.70289820692483</v>
      </c>
      <c r="AH199" s="256">
        <f>('Encargos e Benefícios'!X198+'Encargos e Benefícios'!Y198+'Encargos e Benefícios'!Z198+'Encargos e Benefícios'!AA198+'Encargos e Benefícios'!AB198+'Gastos com Pessoal'!P199+'Gastos com Pessoal'!V199+'Gastos com Pessoal'!AB199)*5.84%</f>
        <v>259.42549498564608</v>
      </c>
      <c r="AI199" s="256">
        <f>('Encargos e Benefícios'!V198+'Gastos com Pessoal'!Q199+'Gastos com Pessoal'!W199+'Gastos com Pessoal'!AC199)*5.84%</f>
        <v>109.9846028187648</v>
      </c>
      <c r="AJ199" s="257"/>
      <c r="AK199" s="296">
        <f>'Encargos e Benefícios'!D198</f>
        <v>2128.4</v>
      </c>
      <c r="AL199" s="296">
        <f>IF('Encargos e Benefícios'!C198=0,0,'Encargos e Benefícios'!U198/'Encargos e Benefícios'!C198)</f>
        <v>2742.5699215555564</v>
      </c>
      <c r="AM199" s="296">
        <f>IF('Encargos e Benefícios'!C198=0,0,'Encargos e Benefícios'!AC198/'Encargos e Benefícios'!C198)</f>
        <v>1030.6600000000001</v>
      </c>
      <c r="AN199" s="297">
        <f>IF('Encargos e Benefícios'!C198=0,0,'Encargos e Benefícios'!AD198/'Encargos e Benefícios'!C198)</f>
        <v>5901.6299215555564</v>
      </c>
      <c r="AO199" s="188">
        <v>2752.21</v>
      </c>
      <c r="AP199" s="298">
        <v>1764.5</v>
      </c>
      <c r="AQ199" s="298">
        <v>3739.92</v>
      </c>
      <c r="AR199" s="299" t="s">
        <v>114</v>
      </c>
      <c r="AS199" s="188"/>
    </row>
    <row r="200" spans="1:45">
      <c r="A200" s="286">
        <v>194</v>
      </c>
      <c r="B200" s="81" t="str">
        <f>'Encargos e Benefícios'!B199</f>
        <v>Socioeducador - NC</v>
      </c>
      <c r="C200" s="287">
        <f>'Encargos e Benefícios'!C199</f>
        <v>2</v>
      </c>
      <c r="D200" s="288" t="s">
        <v>496</v>
      </c>
      <c r="E200" s="300">
        <v>45901</v>
      </c>
      <c r="F200" s="301">
        <v>47058</v>
      </c>
      <c r="G200" s="293"/>
      <c r="H200" s="294"/>
      <c r="I200" s="256"/>
      <c r="J200" s="256"/>
      <c r="K200" s="256"/>
      <c r="L200" s="256"/>
      <c r="M200" s="293"/>
      <c r="N200" s="294"/>
      <c r="O200" s="256"/>
      <c r="P200" s="256"/>
      <c r="Q200" s="256"/>
      <c r="R200" s="256"/>
      <c r="S200" s="293">
        <v>46143</v>
      </c>
      <c r="T200" s="294">
        <v>5.8400000000000001E-2</v>
      </c>
      <c r="U200" s="256">
        <f>('Encargos e Benefícios'!W199+'Gastos com Pessoal'!O200)*5.84%</f>
        <v>65.41968</v>
      </c>
      <c r="V200" s="256">
        <f>('Encargos e Benefícios'!X199+'Encargos e Benefícios'!Y199+'Encargos e Benefícios'!Z199+'Encargos e Benefícios'!AA199+'Encargos e Benefícios'!AB199+'Gastos com Pessoal'!P200)*5.84%</f>
        <v>38.597727999999996</v>
      </c>
      <c r="W200" s="256">
        <f>('Encargos e Benefícios'!V199+'Gastos com Pessoal'!Q200)*5.84%</f>
        <v>16.363679999999999</v>
      </c>
      <c r="X200" s="256"/>
      <c r="Y200" s="293">
        <v>46508</v>
      </c>
      <c r="Z200" s="294">
        <v>5.8400000000000001E-2</v>
      </c>
      <c r="AA200" s="256">
        <f>('Encargos e Benefícios'!W199+'Gastos com Pessoal'!O200+'Gastos com Pessoal'!U200)*5.84%</f>
        <v>69.240189311999998</v>
      </c>
      <c r="AB200" s="256">
        <f>('Encargos e Benefícios'!X199+'Encargos e Benefícios'!Y199+'Encargos e Benefícios'!Z199+'Encargos e Benefícios'!AA199+'Encargos e Benefícios'!AB199+'Gastos com Pessoal'!P200+'Gastos com Pessoal'!V200)*5.84%</f>
        <v>40.851835315199999</v>
      </c>
      <c r="AC200" s="256">
        <f>('Encargos e Benefícios'!V199+'Gastos com Pessoal'!Q200+'Gastos com Pessoal'!W200)*5.84%</f>
        <v>17.319318912</v>
      </c>
      <c r="AD200" s="256"/>
      <c r="AE200" s="293">
        <v>46874</v>
      </c>
      <c r="AF200" s="294">
        <v>5.8400000000000001E-2</v>
      </c>
      <c r="AG200" s="256">
        <f>('Encargos e Benefícios'!W199+'Gastos com Pessoal'!O200+'Gastos com Pessoal'!U200+'Gastos com Pessoal'!AA200)*5.84%</f>
        <v>73.283816367820805</v>
      </c>
      <c r="AH200" s="256">
        <f>('Encargos e Benefícios'!X199+'Encargos e Benefícios'!Y199+'Encargos e Benefícios'!Z199+'Encargos e Benefícios'!AA199+'Encargos e Benefícios'!AB199+'Gastos com Pessoal'!P200+'Gastos com Pessoal'!V200+'Gastos com Pessoal'!AB200)*5.84%</f>
        <v>43.237582497607676</v>
      </c>
      <c r="AI200" s="256">
        <f>('Encargos e Benefícios'!V199+'Gastos com Pessoal'!Q200+'Gastos com Pessoal'!W200+'Gastos com Pessoal'!AC200)*5.84%</f>
        <v>18.330767136460796</v>
      </c>
      <c r="AJ200" s="257"/>
      <c r="AK200" s="296">
        <f>'Encargos e Benefícios'!D199</f>
        <v>2128.4</v>
      </c>
      <c r="AL200" s="296">
        <f>IF('Encargos e Benefícios'!C199=0,0,'Encargos e Benefícios'!U199/'Encargos e Benefícios'!C199)</f>
        <v>3761.0971114864201</v>
      </c>
      <c r="AM200" s="296">
        <f>IF('Encargos e Benefícios'!C199=0,0,'Encargos e Benefícios'!AC199/'Encargos e Benefícios'!C199)</f>
        <v>1030.6600000000001</v>
      </c>
      <c r="AN200" s="297">
        <f>IF('Encargos e Benefícios'!C199=0,0,'Encargos e Benefícios'!AD199/'Encargos e Benefícios'!C199)</f>
        <v>6920.15711148642</v>
      </c>
      <c r="AO200" s="188">
        <v>2752.21</v>
      </c>
      <c r="AP200" s="298">
        <v>1764.5</v>
      </c>
      <c r="AQ200" s="298">
        <v>3739.92</v>
      </c>
      <c r="AR200" s="299" t="s">
        <v>114</v>
      </c>
      <c r="AS200" s="188"/>
    </row>
    <row r="201" spans="1:45" ht="13" thickBot="1">
      <c r="A201" s="286">
        <v>195</v>
      </c>
      <c r="B201" s="81" t="str">
        <f>'Encargos e Benefícios'!B200</f>
        <v>Socioeducador - N</v>
      </c>
      <c r="C201" s="287">
        <f>'Encargos e Benefícios'!C200</f>
        <v>6</v>
      </c>
      <c r="D201" s="288" t="s">
        <v>496</v>
      </c>
      <c r="E201" s="300">
        <v>45901</v>
      </c>
      <c r="F201" s="301">
        <v>47058</v>
      </c>
      <c r="G201" s="293"/>
      <c r="H201" s="294"/>
      <c r="I201" s="256"/>
      <c r="J201" s="256"/>
      <c r="K201" s="256"/>
      <c r="L201" s="256"/>
      <c r="M201" s="293"/>
      <c r="N201" s="294"/>
      <c r="O201" s="256"/>
      <c r="P201" s="256"/>
      <c r="Q201" s="256"/>
      <c r="R201" s="256"/>
      <c r="S201" s="293">
        <v>46143</v>
      </c>
      <c r="T201" s="294">
        <v>5.8400000000000001E-2</v>
      </c>
      <c r="U201" s="256">
        <f>('Encargos e Benefícios'!W200+'Gastos com Pessoal'!O201)*5.84%</f>
        <v>196.25904000000003</v>
      </c>
      <c r="V201" s="256">
        <f>('Encargos e Benefícios'!X200+'Encargos e Benefícios'!Y200+'Encargos e Benefícios'!Z200+'Encargos e Benefícios'!AA200+'Encargos e Benefícios'!AB200+'Gastos com Pessoal'!P201)*5.84%</f>
        <v>115.793184</v>
      </c>
      <c r="W201" s="256">
        <f>('Encargos e Benefícios'!V200+'Gastos com Pessoal'!Q201)*5.84%</f>
        <v>49.091039999999992</v>
      </c>
      <c r="X201" s="256"/>
      <c r="Y201" s="293">
        <v>46508</v>
      </c>
      <c r="Z201" s="294">
        <v>5.8400000000000001E-2</v>
      </c>
      <c r="AA201" s="256">
        <f>('Encargos e Benefícios'!W200+'Gastos com Pessoal'!O201+'Gastos com Pessoal'!U201)*5.84%</f>
        <v>207.72056793600001</v>
      </c>
      <c r="AB201" s="256">
        <f>('Encargos e Benefícios'!X200+'Encargos e Benefícios'!Y200+'Encargos e Benefícios'!Z200+'Encargos e Benefícios'!AA200+'Encargos e Benefícios'!AB200+'Gastos com Pessoal'!P201+'Gastos com Pessoal'!V201)*5.84%</f>
        <v>122.55550594559999</v>
      </c>
      <c r="AC201" s="256">
        <f>('Encargos e Benefícios'!V200+'Gastos com Pessoal'!Q201+'Gastos com Pessoal'!W201)*5.84%</f>
        <v>51.957956736</v>
      </c>
      <c r="AD201" s="256"/>
      <c r="AE201" s="293">
        <v>46874</v>
      </c>
      <c r="AF201" s="294">
        <v>5.8400000000000001E-2</v>
      </c>
      <c r="AG201" s="256">
        <f>('Encargos e Benefícios'!W200+'Gastos com Pessoal'!O201+'Gastos com Pessoal'!U201+'Gastos com Pessoal'!AA201)*5.84%</f>
        <v>219.85144910346241</v>
      </c>
      <c r="AH201" s="256">
        <f>('Encargos e Benefícios'!X200+'Encargos e Benefícios'!Y200+'Encargos e Benefícios'!Z200+'Encargos e Benefícios'!AA200+'Encargos e Benefícios'!AB200+'Gastos com Pessoal'!P201+'Gastos com Pessoal'!V201+'Gastos com Pessoal'!AB201)*5.84%</f>
        <v>129.71274749282304</v>
      </c>
      <c r="AI201" s="256">
        <f>('Encargos e Benefícios'!V200+'Gastos com Pessoal'!Q201+'Gastos com Pessoal'!W201+'Gastos com Pessoal'!AC201)*5.84%</f>
        <v>54.992301409382399</v>
      </c>
      <c r="AJ201" s="257"/>
      <c r="AK201" s="296">
        <f>'Encargos e Benefícios'!D200</f>
        <v>2128.4</v>
      </c>
      <c r="AL201" s="296">
        <f>IF('Encargos e Benefícios'!C200=0,0,'Encargos e Benefícios'!U200/'Encargos e Benefícios'!C200)</f>
        <v>3389.4252614864199</v>
      </c>
      <c r="AM201" s="296">
        <f>IF('Encargos e Benefícios'!C200=0,0,'Encargos e Benefícios'!AC200/'Encargos e Benefícios'!C200)</f>
        <v>1030.6600000000001</v>
      </c>
      <c r="AN201" s="297">
        <f>IF('Encargos e Benefícios'!C200=0,0,'Encargos e Benefícios'!AD200/'Encargos e Benefícios'!C200)</f>
        <v>6548.4852614864203</v>
      </c>
      <c r="AO201" s="188">
        <v>2752.21</v>
      </c>
      <c r="AP201" s="298">
        <v>1764.5</v>
      </c>
      <c r="AQ201" s="298">
        <v>3739.92</v>
      </c>
      <c r="AR201" s="299" t="s">
        <v>114</v>
      </c>
      <c r="AS201" s="188"/>
    </row>
    <row r="202" spans="1:45">
      <c r="A202" s="286">
        <v>196</v>
      </c>
      <c r="B202" s="81" t="str">
        <f>'Encargos e Benefícios'!B201</f>
        <v>Diretor Geral de Unidade Socioeducativa</v>
      </c>
      <c r="C202" s="287">
        <f>'Encargos e Benefícios'!C201</f>
        <v>1</v>
      </c>
      <c r="D202" s="288">
        <v>40</v>
      </c>
      <c r="E202" s="300">
        <v>45931</v>
      </c>
      <c r="F202" s="290">
        <v>47058</v>
      </c>
      <c r="G202" s="293"/>
      <c r="H202" s="294"/>
      <c r="I202" s="256"/>
      <c r="J202" s="256"/>
      <c r="K202" s="256"/>
      <c r="L202" s="256"/>
      <c r="M202" s="293"/>
      <c r="N202" s="294"/>
      <c r="O202" s="256"/>
      <c r="P202" s="256"/>
      <c r="Q202" s="256"/>
      <c r="R202" s="256"/>
      <c r="S202" s="293">
        <v>46143</v>
      </c>
      <c r="T202" s="294">
        <v>5.8400000000000001E-2</v>
      </c>
      <c r="U202" s="256">
        <f>('Encargos e Benefícios'!W201+'Gastos com Pessoal'!O202)*5.84%</f>
        <v>32.70984</v>
      </c>
      <c r="V202" s="256">
        <f>('Encargos e Benefícios'!X201+'Encargos e Benefícios'!Y201+'Encargos e Benefícios'!Z201+'Encargos e Benefícios'!AA201+'Encargos e Benefícios'!AB201+'Gastos com Pessoal'!P202)*5.84%</f>
        <v>19.298863999999998</v>
      </c>
      <c r="W202" s="256">
        <f>('Encargos e Benefícios'!V201+'Gastos com Pessoal'!Q202)*5.84%</f>
        <v>0</v>
      </c>
      <c r="X202" s="256"/>
      <c r="Y202" s="293">
        <v>46508</v>
      </c>
      <c r="Z202" s="294">
        <v>5.8400000000000001E-2</v>
      </c>
      <c r="AA202" s="256">
        <f>('Encargos e Benefícios'!W201+'Gastos com Pessoal'!O202+'Gastos com Pessoal'!U202)*5.84%</f>
        <v>34.620094655999999</v>
      </c>
      <c r="AB202" s="256">
        <f>('Encargos e Benefícios'!X201+'Encargos e Benefícios'!Y201+'Encargos e Benefícios'!Z201+'Encargos e Benefícios'!AA201+'Encargos e Benefícios'!AB201+'Gastos com Pessoal'!P202+'Gastos com Pessoal'!V202)*5.84%</f>
        <v>20.425917657599999</v>
      </c>
      <c r="AC202" s="256">
        <f>('Encargos e Benefícios'!V201+'Gastos com Pessoal'!Q202+'Gastos com Pessoal'!W202)*5.84%</f>
        <v>0</v>
      </c>
      <c r="AD202" s="256"/>
      <c r="AE202" s="293">
        <v>46874</v>
      </c>
      <c r="AF202" s="294">
        <v>5.8400000000000001E-2</v>
      </c>
      <c r="AG202" s="256">
        <f>('Encargos e Benefícios'!W201+'Gastos com Pessoal'!O202+'Gastos com Pessoal'!U202+'Gastos com Pessoal'!AA202)*5.84%</f>
        <v>36.641908183910402</v>
      </c>
      <c r="AH202" s="256">
        <f>('Encargos e Benefícios'!X201+'Encargos e Benefícios'!Y201+'Encargos e Benefícios'!Z201+'Encargos e Benefícios'!AA201+'Encargos e Benefícios'!AB201+'Gastos com Pessoal'!P202+'Gastos com Pessoal'!V202+'Gastos com Pessoal'!AB202)*5.84%</f>
        <v>21.618791248803838</v>
      </c>
      <c r="AI202" s="256">
        <f>('Encargos e Benefícios'!V201+'Gastos com Pessoal'!Q202+'Gastos com Pessoal'!W202+'Gastos com Pessoal'!AC202)*5.84%</f>
        <v>0</v>
      </c>
      <c r="AJ202" s="257"/>
      <c r="AK202" s="296">
        <f>'Encargos e Benefícios'!D201</f>
        <v>7281.36</v>
      </c>
      <c r="AL202" s="296">
        <f>IF('Encargos e Benefícios'!C201=0,0,'Encargos e Benefícios'!U201/'Encargos e Benefícios'!C201)</f>
        <v>5716.2721200000005</v>
      </c>
      <c r="AM202" s="296">
        <f>IF('Encargos e Benefícios'!C201=0,0,'Encargos e Benefícios'!AC201/'Encargos e Benefícios'!C201)</f>
        <v>890.56000000000006</v>
      </c>
      <c r="AN202" s="297">
        <f>IF('Encargos e Benefícios'!C201=0,0,'Encargos e Benefícios'!AD201/'Encargos e Benefícios'!C201)</f>
        <v>13888.19212</v>
      </c>
      <c r="AO202" s="188">
        <v>6052.24</v>
      </c>
      <c r="AP202" s="298">
        <v>4239.6899999999996</v>
      </c>
      <c r="AQ202" s="298">
        <v>7864.78</v>
      </c>
      <c r="AR202" s="299" t="s">
        <v>115</v>
      </c>
      <c r="AS202" s="188"/>
    </row>
    <row r="203" spans="1:45">
      <c r="A203" s="286">
        <v>197</v>
      </c>
      <c r="B203" s="81" t="str">
        <f>'Encargos e Benefícios'!B202</f>
        <v>Subdiretor de Segurança</v>
      </c>
      <c r="C203" s="287">
        <f>'Encargos e Benefícios'!C202</f>
        <v>1</v>
      </c>
      <c r="D203" s="288">
        <v>40</v>
      </c>
      <c r="E203" s="300">
        <v>45931</v>
      </c>
      <c r="F203" s="301">
        <v>47058</v>
      </c>
      <c r="G203" s="293"/>
      <c r="H203" s="294"/>
      <c r="I203" s="256"/>
      <c r="J203" s="256"/>
      <c r="K203" s="256"/>
      <c r="L203" s="256"/>
      <c r="M203" s="293"/>
      <c r="N203" s="294"/>
      <c r="O203" s="256"/>
      <c r="P203" s="256"/>
      <c r="Q203" s="256"/>
      <c r="R203" s="256"/>
      <c r="S203" s="293">
        <v>46143</v>
      </c>
      <c r="T203" s="294">
        <v>5.8400000000000001E-2</v>
      </c>
      <c r="U203" s="256">
        <f>('Encargos e Benefícios'!W202+'Gastos com Pessoal'!O203)*5.84%</f>
        <v>32.70984</v>
      </c>
      <c r="V203" s="256">
        <f>('Encargos e Benefícios'!X202+'Encargos e Benefícios'!Y202+'Encargos e Benefícios'!Z202+'Encargos e Benefícios'!AA202+'Encargos e Benefícios'!AB202+'Gastos com Pessoal'!P203)*5.84%</f>
        <v>19.298863999999998</v>
      </c>
      <c r="W203" s="256">
        <f>('Encargos e Benefícios'!V202+'Gastos com Pessoal'!Q203)*5.84%</f>
        <v>0</v>
      </c>
      <c r="X203" s="256"/>
      <c r="Y203" s="293">
        <v>46508</v>
      </c>
      <c r="Z203" s="294">
        <v>5.8400000000000001E-2</v>
      </c>
      <c r="AA203" s="256">
        <f>('Encargos e Benefícios'!W202+'Gastos com Pessoal'!O203+'Gastos com Pessoal'!U203)*5.84%</f>
        <v>34.620094655999999</v>
      </c>
      <c r="AB203" s="256">
        <f>('Encargos e Benefícios'!X202+'Encargos e Benefícios'!Y202+'Encargos e Benefícios'!Z202+'Encargos e Benefícios'!AA202+'Encargos e Benefícios'!AB202+'Gastos com Pessoal'!P203+'Gastos com Pessoal'!V203)*5.84%</f>
        <v>20.425917657599999</v>
      </c>
      <c r="AC203" s="256">
        <f>('Encargos e Benefícios'!V202+'Gastos com Pessoal'!Q203+'Gastos com Pessoal'!W203)*5.84%</f>
        <v>0</v>
      </c>
      <c r="AD203" s="256"/>
      <c r="AE203" s="293">
        <v>46874</v>
      </c>
      <c r="AF203" s="294">
        <v>5.8400000000000001E-2</v>
      </c>
      <c r="AG203" s="256">
        <f>('Encargos e Benefícios'!W202+'Gastos com Pessoal'!O203+'Gastos com Pessoal'!U203+'Gastos com Pessoal'!AA203)*5.84%</f>
        <v>36.641908183910402</v>
      </c>
      <c r="AH203" s="256">
        <f>('Encargos e Benefícios'!X202+'Encargos e Benefícios'!Y202+'Encargos e Benefícios'!Z202+'Encargos e Benefícios'!AA202+'Encargos e Benefícios'!AB202+'Gastos com Pessoal'!P203+'Gastos com Pessoal'!V203+'Gastos com Pessoal'!AB203)*5.84%</f>
        <v>21.618791248803838</v>
      </c>
      <c r="AI203" s="256">
        <f>('Encargos e Benefícios'!V202+'Gastos com Pessoal'!Q203+'Gastos com Pessoal'!W203+'Gastos com Pessoal'!AC203)*5.84%</f>
        <v>0</v>
      </c>
      <c r="AJ203" s="257"/>
      <c r="AK203" s="296">
        <f>'Encargos e Benefícios'!D202</f>
        <v>4227.22</v>
      </c>
      <c r="AL203" s="296">
        <f>IF('Encargos e Benefícios'!C202=0,0,'Encargos e Benefícios'!U202/'Encargos e Benefícios'!C202)</f>
        <v>4931.2517487222221</v>
      </c>
      <c r="AM203" s="296">
        <f>IF('Encargos e Benefícios'!C202=0,0,'Encargos e Benefícios'!AC202/'Encargos e Benefícios'!C202)</f>
        <v>890.56000000000006</v>
      </c>
      <c r="AN203" s="297">
        <f>IF('Encargos e Benefícios'!C202=0,0,'Encargos e Benefícios'!AD202/'Encargos e Benefícios'!C202)</f>
        <v>10049.031748722222</v>
      </c>
      <c r="AO203" s="188">
        <v>4968.99</v>
      </c>
      <c r="AP203" s="298">
        <v>3773.6</v>
      </c>
      <c r="AQ203" s="298">
        <v>6164.38</v>
      </c>
      <c r="AR203" s="299" t="s">
        <v>115</v>
      </c>
      <c r="AS203" s="188"/>
    </row>
    <row r="204" spans="1:45">
      <c r="A204" s="286">
        <v>198</v>
      </c>
      <c r="B204" s="81" t="str">
        <f>'Encargos e Benefícios'!B203</f>
        <v>Advogado</v>
      </c>
      <c r="C204" s="287">
        <f>'Encargos e Benefícios'!C203</f>
        <v>1</v>
      </c>
      <c r="D204" s="288">
        <v>30</v>
      </c>
      <c r="E204" s="300">
        <v>45992</v>
      </c>
      <c r="F204" s="301">
        <v>47058</v>
      </c>
      <c r="G204" s="293"/>
      <c r="H204" s="294"/>
      <c r="I204" s="256"/>
      <c r="J204" s="256"/>
      <c r="K204" s="256"/>
      <c r="L204" s="256"/>
      <c r="M204" s="293"/>
      <c r="N204" s="294"/>
      <c r="O204" s="256"/>
      <c r="P204" s="256"/>
      <c r="Q204" s="256"/>
      <c r="R204" s="256"/>
      <c r="S204" s="293">
        <v>46143</v>
      </c>
      <c r="T204" s="294">
        <v>5.8400000000000001E-2</v>
      </c>
      <c r="U204" s="256">
        <f>('Encargos e Benefícios'!W203+'Gastos com Pessoal'!O204)*5.84%</f>
        <v>32.70984</v>
      </c>
      <c r="V204" s="256">
        <f>('Encargos e Benefícios'!X203+'Encargos e Benefícios'!Y203+'Encargos e Benefícios'!Z203+'Encargos e Benefícios'!AA203+'Encargos e Benefícios'!AB203+'Gastos com Pessoal'!P204)*5.84%</f>
        <v>19.298863999999998</v>
      </c>
      <c r="W204" s="256">
        <f>('Encargos e Benefícios'!V203+'Gastos com Pessoal'!Q204)*5.84%</f>
        <v>6.521528</v>
      </c>
      <c r="X204" s="256"/>
      <c r="Y204" s="293">
        <v>46508</v>
      </c>
      <c r="Z204" s="294">
        <v>5.8400000000000001E-2</v>
      </c>
      <c r="AA204" s="256">
        <f>('Encargos e Benefícios'!W203+'Gastos com Pessoal'!O204+'Gastos com Pessoal'!U204)*5.84%</f>
        <v>34.620094655999999</v>
      </c>
      <c r="AB204" s="256">
        <f>('Encargos e Benefícios'!X203+'Encargos e Benefícios'!Y203+'Encargos e Benefícios'!Z203+'Encargos e Benefícios'!AA203+'Encargos e Benefícios'!AB203+'Gastos com Pessoal'!P204+'Gastos com Pessoal'!V204)*5.84%</f>
        <v>20.425917657599999</v>
      </c>
      <c r="AC204" s="256">
        <f>('Encargos e Benefícios'!V203+'Gastos com Pessoal'!Q204+'Gastos com Pessoal'!W204)*5.84%</f>
        <v>6.9023852352000006</v>
      </c>
      <c r="AD204" s="256"/>
      <c r="AE204" s="293">
        <v>46874</v>
      </c>
      <c r="AF204" s="294">
        <v>5.8400000000000001E-2</v>
      </c>
      <c r="AG204" s="256">
        <f>('Encargos e Benefícios'!W203+'Gastos com Pessoal'!O204+'Gastos com Pessoal'!U204+'Gastos com Pessoal'!AA204)*5.84%</f>
        <v>36.641908183910402</v>
      </c>
      <c r="AH204" s="256">
        <f>('Encargos e Benefícios'!X203+'Encargos e Benefícios'!Y203+'Encargos e Benefícios'!Z203+'Encargos e Benefícios'!AA203+'Encargos e Benefícios'!AB203+'Gastos com Pessoal'!P204+'Gastos com Pessoal'!V204+'Gastos com Pessoal'!AB204)*5.84%</f>
        <v>21.618791248803838</v>
      </c>
      <c r="AI204" s="256">
        <f>('Encargos e Benefícios'!V203+'Gastos com Pessoal'!Q204+'Gastos com Pessoal'!W204+'Gastos com Pessoal'!AC204)*5.84%</f>
        <v>7.3054845329356803</v>
      </c>
      <c r="AJ204" s="257"/>
      <c r="AK204" s="296">
        <f>'Encargos e Benefícios'!D203</f>
        <v>2912.55</v>
      </c>
      <c r="AL204" s="296">
        <f>IF('Encargos e Benefícios'!C203=0,0,'Encargos e Benefícios'!U203/'Encargos e Benefícios'!C203)</f>
        <v>2327.2892583333341</v>
      </c>
      <c r="AM204" s="296">
        <f>IF('Encargos e Benefícios'!C203=0,0,'Encargos e Benefícios'!AC203/'Encargos e Benefícios'!C203)</f>
        <v>1002.23</v>
      </c>
      <c r="AN204" s="297">
        <f>IF('Encargos e Benefícios'!C203=0,0,'Encargos e Benefícios'!AD203/'Encargos e Benefícios'!C203)</f>
        <v>6242.0692583333348</v>
      </c>
      <c r="AO204" s="188">
        <v>2767.69</v>
      </c>
      <c r="AP204" s="298">
        <v>2500</v>
      </c>
      <c r="AQ204" s="298">
        <v>3035.37</v>
      </c>
      <c r="AR204" s="299" t="s">
        <v>115</v>
      </c>
      <c r="AS204" s="188"/>
    </row>
    <row r="205" spans="1:45">
      <c r="A205" s="286">
        <v>199</v>
      </c>
      <c r="B205" s="81" t="str">
        <f>'Encargos e Benefícios'!B204</f>
        <v>Assistente Social</v>
      </c>
      <c r="C205" s="287">
        <f>'Encargos e Benefícios'!C204</f>
        <v>1</v>
      </c>
      <c r="D205" s="288">
        <v>30</v>
      </c>
      <c r="E205" s="300">
        <v>45992</v>
      </c>
      <c r="F205" s="301">
        <v>47058</v>
      </c>
      <c r="G205" s="293"/>
      <c r="H205" s="294"/>
      <c r="I205" s="256"/>
      <c r="J205" s="256"/>
      <c r="K205" s="256"/>
      <c r="L205" s="256"/>
      <c r="M205" s="293"/>
      <c r="N205" s="294"/>
      <c r="O205" s="256"/>
      <c r="P205" s="256"/>
      <c r="Q205" s="256"/>
      <c r="R205" s="256"/>
      <c r="S205" s="293">
        <v>46143</v>
      </c>
      <c r="T205" s="294">
        <v>5.8400000000000001E-2</v>
      </c>
      <c r="U205" s="256">
        <f>('Encargos e Benefícios'!W204+'Gastos com Pessoal'!O205)*5.84%</f>
        <v>32.70984</v>
      </c>
      <c r="V205" s="256">
        <f>('Encargos e Benefícios'!X204+'Encargos e Benefícios'!Y204+'Encargos e Benefícios'!Z204+'Encargos e Benefícios'!AA204+'Encargos e Benefícios'!AB204+'Gastos com Pessoal'!P205)*5.84%</f>
        <v>19.298863999999998</v>
      </c>
      <c r="W205" s="256">
        <f>('Encargos e Benefícios'!V204+'Gastos com Pessoal'!Q205)*5.84%</f>
        <v>6.521528</v>
      </c>
      <c r="X205" s="256"/>
      <c r="Y205" s="293">
        <v>46508</v>
      </c>
      <c r="Z205" s="294">
        <v>5.8400000000000001E-2</v>
      </c>
      <c r="AA205" s="256">
        <f>('Encargos e Benefícios'!W204+'Gastos com Pessoal'!O205+'Gastos com Pessoal'!U205)*5.84%</f>
        <v>34.620094655999999</v>
      </c>
      <c r="AB205" s="256">
        <f>('Encargos e Benefícios'!X204+'Encargos e Benefícios'!Y204+'Encargos e Benefícios'!Z204+'Encargos e Benefícios'!AA204+'Encargos e Benefícios'!AB204+'Gastos com Pessoal'!P205+'Gastos com Pessoal'!V205)*5.84%</f>
        <v>20.425917657599999</v>
      </c>
      <c r="AC205" s="256">
        <f>('Encargos e Benefícios'!V204+'Gastos com Pessoal'!Q205+'Gastos com Pessoal'!W205)*5.84%</f>
        <v>6.9023852352000006</v>
      </c>
      <c r="AD205" s="256"/>
      <c r="AE205" s="293">
        <v>46874</v>
      </c>
      <c r="AF205" s="294">
        <v>5.8400000000000001E-2</v>
      </c>
      <c r="AG205" s="256">
        <f>('Encargos e Benefícios'!W204+'Gastos com Pessoal'!O205+'Gastos com Pessoal'!U205+'Gastos com Pessoal'!AA205)*5.84%</f>
        <v>36.641908183910402</v>
      </c>
      <c r="AH205" s="256">
        <f>('Encargos e Benefícios'!X204+'Encargos e Benefícios'!Y204+'Encargos e Benefícios'!Z204+'Encargos e Benefícios'!AA204+'Encargos e Benefícios'!AB204+'Gastos com Pessoal'!P205+'Gastos com Pessoal'!V205+'Gastos com Pessoal'!AB205)*5.84%</f>
        <v>21.618791248803838</v>
      </c>
      <c r="AI205" s="256">
        <f>('Encargos e Benefícios'!V204+'Gastos com Pessoal'!Q205+'Gastos com Pessoal'!W205+'Gastos com Pessoal'!AC205)*5.84%</f>
        <v>7.3054845329356803</v>
      </c>
      <c r="AJ205" s="257"/>
      <c r="AK205" s="296">
        <f>'Encargos e Benefícios'!D204</f>
        <v>2912.55</v>
      </c>
      <c r="AL205" s="296">
        <f>IF('Encargos e Benefícios'!C204=0,0,'Encargos e Benefícios'!U204/'Encargos e Benefícios'!C204)</f>
        <v>2327.2892583333341</v>
      </c>
      <c r="AM205" s="296">
        <f>IF('Encargos e Benefícios'!C204=0,0,'Encargos e Benefícios'!AC204/'Encargos e Benefícios'!C204)</f>
        <v>1002.23</v>
      </c>
      <c r="AN205" s="297">
        <f>IF('Encargos e Benefícios'!C204=0,0,'Encargos e Benefícios'!AD204/'Encargos e Benefícios'!C204)</f>
        <v>6242.0692583333348</v>
      </c>
      <c r="AO205" s="188">
        <v>3277.91</v>
      </c>
      <c r="AP205" s="298">
        <v>2500</v>
      </c>
      <c r="AQ205" s="298">
        <v>4055.81</v>
      </c>
      <c r="AR205" s="299" t="s">
        <v>115</v>
      </c>
      <c r="AS205" s="188"/>
    </row>
    <row r="206" spans="1:45">
      <c r="A206" s="286">
        <v>200</v>
      </c>
      <c r="B206" s="81" t="str">
        <f>'Encargos e Benefícios'!B205</f>
        <v>Pedagogo</v>
      </c>
      <c r="C206" s="287">
        <f>'Encargos e Benefícios'!C205</f>
        <v>1</v>
      </c>
      <c r="D206" s="288">
        <v>30</v>
      </c>
      <c r="E206" s="300">
        <v>45992</v>
      </c>
      <c r="F206" s="301">
        <v>47058</v>
      </c>
      <c r="G206" s="293"/>
      <c r="H206" s="294"/>
      <c r="I206" s="256"/>
      <c r="J206" s="256"/>
      <c r="K206" s="256"/>
      <c r="L206" s="256"/>
      <c r="M206" s="293"/>
      <c r="N206" s="294"/>
      <c r="O206" s="256"/>
      <c r="P206" s="256"/>
      <c r="Q206" s="256"/>
      <c r="R206" s="256"/>
      <c r="S206" s="293">
        <v>46143</v>
      </c>
      <c r="T206" s="294">
        <v>5.8400000000000001E-2</v>
      </c>
      <c r="U206" s="256">
        <f>('Encargos e Benefícios'!W205+'Gastos com Pessoal'!O206)*5.84%</f>
        <v>32.70984</v>
      </c>
      <c r="V206" s="256">
        <f>('Encargos e Benefícios'!X205+'Encargos e Benefícios'!Y205+'Encargos e Benefícios'!Z205+'Encargos e Benefícios'!AA205+'Encargos e Benefícios'!AB205+'Gastos com Pessoal'!P206)*5.84%</f>
        <v>19.298863999999998</v>
      </c>
      <c r="W206" s="256">
        <f>('Encargos e Benefícios'!V205+'Gastos com Pessoal'!Q206)*5.84%</f>
        <v>6.521528</v>
      </c>
      <c r="X206" s="256"/>
      <c r="Y206" s="293">
        <v>46508</v>
      </c>
      <c r="Z206" s="294">
        <v>5.8400000000000001E-2</v>
      </c>
      <c r="AA206" s="256">
        <f>('Encargos e Benefícios'!W205+'Gastos com Pessoal'!O206+'Gastos com Pessoal'!U206)*5.84%</f>
        <v>34.620094655999999</v>
      </c>
      <c r="AB206" s="256">
        <f>('Encargos e Benefícios'!X205+'Encargos e Benefícios'!Y205+'Encargos e Benefícios'!Z205+'Encargos e Benefícios'!AA205+'Encargos e Benefícios'!AB205+'Gastos com Pessoal'!P206+'Gastos com Pessoal'!V206)*5.84%</f>
        <v>20.425917657599999</v>
      </c>
      <c r="AC206" s="256">
        <f>('Encargos e Benefícios'!V205+'Gastos com Pessoal'!Q206+'Gastos com Pessoal'!W206)*5.84%</f>
        <v>6.9023852352000006</v>
      </c>
      <c r="AD206" s="256"/>
      <c r="AE206" s="293">
        <v>46874</v>
      </c>
      <c r="AF206" s="294">
        <v>5.8400000000000001E-2</v>
      </c>
      <c r="AG206" s="256">
        <f>('Encargos e Benefícios'!W205+'Gastos com Pessoal'!O206+'Gastos com Pessoal'!U206+'Gastos com Pessoal'!AA206)*5.84%</f>
        <v>36.641908183910402</v>
      </c>
      <c r="AH206" s="256">
        <f>('Encargos e Benefícios'!X205+'Encargos e Benefícios'!Y205+'Encargos e Benefícios'!Z205+'Encargos e Benefícios'!AA205+'Encargos e Benefícios'!AB205+'Gastos com Pessoal'!P206+'Gastos com Pessoal'!V206+'Gastos com Pessoal'!AB206)*5.84%</f>
        <v>21.618791248803838</v>
      </c>
      <c r="AI206" s="256">
        <f>('Encargos e Benefícios'!V205+'Gastos com Pessoal'!Q206+'Gastos com Pessoal'!W206+'Gastos com Pessoal'!AC206)*5.84%</f>
        <v>7.3054845329356803</v>
      </c>
      <c r="AJ206" s="257"/>
      <c r="AK206" s="296">
        <f>'Encargos e Benefícios'!D205</f>
        <v>2912.55</v>
      </c>
      <c r="AL206" s="296">
        <f>IF('Encargos e Benefícios'!C205=0,0,'Encargos e Benefícios'!U205/'Encargos e Benefícios'!C205)</f>
        <v>2327.2892583333341</v>
      </c>
      <c r="AM206" s="296">
        <f>IF('Encargos e Benefícios'!C205=0,0,'Encargos e Benefícios'!AC205/'Encargos e Benefícios'!C205)</f>
        <v>1002.23</v>
      </c>
      <c r="AN206" s="297">
        <f>IF('Encargos e Benefícios'!C205=0,0,'Encargos e Benefícios'!AD205/'Encargos e Benefícios'!C205)</f>
        <v>6242.0692583333348</v>
      </c>
      <c r="AO206" s="188">
        <v>2894.94</v>
      </c>
      <c r="AP206" s="298">
        <v>2489.87</v>
      </c>
      <c r="AQ206" s="298">
        <v>3300</v>
      </c>
      <c r="AR206" s="299" t="s">
        <v>115</v>
      </c>
      <c r="AS206" s="188"/>
    </row>
    <row r="207" spans="1:45">
      <c r="A207" s="286">
        <v>201</v>
      </c>
      <c r="B207" s="81" t="str">
        <f>'Encargos e Benefícios'!B206</f>
        <v>Psicologo</v>
      </c>
      <c r="C207" s="287">
        <f>'Encargos e Benefícios'!C206</f>
        <v>1</v>
      </c>
      <c r="D207" s="288">
        <v>30</v>
      </c>
      <c r="E207" s="300">
        <v>45992</v>
      </c>
      <c r="F207" s="301">
        <v>47058</v>
      </c>
      <c r="G207" s="293"/>
      <c r="H207" s="294"/>
      <c r="I207" s="256"/>
      <c r="J207" s="256"/>
      <c r="K207" s="256"/>
      <c r="L207" s="256"/>
      <c r="M207" s="293"/>
      <c r="N207" s="294"/>
      <c r="O207" s="256"/>
      <c r="P207" s="256"/>
      <c r="Q207" s="256"/>
      <c r="R207" s="256"/>
      <c r="S207" s="293">
        <v>46143</v>
      </c>
      <c r="T207" s="294">
        <v>5.8400000000000001E-2</v>
      </c>
      <c r="U207" s="256">
        <f>('Encargos e Benefícios'!W206+'Gastos com Pessoal'!O207)*5.84%</f>
        <v>32.70984</v>
      </c>
      <c r="V207" s="256">
        <f>('Encargos e Benefícios'!X206+'Encargos e Benefícios'!Y206+'Encargos e Benefícios'!Z206+'Encargos e Benefícios'!AA206+'Encargos e Benefícios'!AB206+'Gastos com Pessoal'!P207)*5.84%</f>
        <v>19.298863999999998</v>
      </c>
      <c r="W207" s="256">
        <f>('Encargos e Benefícios'!V206+'Gastos com Pessoal'!Q207)*5.84%</f>
        <v>6.521528</v>
      </c>
      <c r="X207" s="256"/>
      <c r="Y207" s="293">
        <v>46508</v>
      </c>
      <c r="Z207" s="294">
        <v>5.8400000000000001E-2</v>
      </c>
      <c r="AA207" s="256">
        <f>('Encargos e Benefícios'!W206+'Gastos com Pessoal'!O207+'Gastos com Pessoal'!U207)*5.84%</f>
        <v>34.620094655999999</v>
      </c>
      <c r="AB207" s="256">
        <f>('Encargos e Benefícios'!X206+'Encargos e Benefícios'!Y206+'Encargos e Benefícios'!Z206+'Encargos e Benefícios'!AA206+'Encargos e Benefícios'!AB206+'Gastos com Pessoal'!P207+'Gastos com Pessoal'!V207)*5.84%</f>
        <v>20.425917657599999</v>
      </c>
      <c r="AC207" s="256">
        <f>('Encargos e Benefícios'!V206+'Gastos com Pessoal'!Q207+'Gastos com Pessoal'!W207)*5.84%</f>
        <v>6.9023852352000006</v>
      </c>
      <c r="AD207" s="256"/>
      <c r="AE207" s="293">
        <v>46874</v>
      </c>
      <c r="AF207" s="294">
        <v>5.8400000000000001E-2</v>
      </c>
      <c r="AG207" s="256">
        <f>('Encargos e Benefícios'!W206+'Gastos com Pessoal'!O207+'Gastos com Pessoal'!U207+'Gastos com Pessoal'!AA207)*5.84%</f>
        <v>36.641908183910402</v>
      </c>
      <c r="AH207" s="256">
        <f>('Encargos e Benefícios'!X206+'Encargos e Benefícios'!Y206+'Encargos e Benefícios'!Z206+'Encargos e Benefícios'!AA206+'Encargos e Benefícios'!AB206+'Gastos com Pessoal'!P207+'Gastos com Pessoal'!V207+'Gastos com Pessoal'!AB207)*5.84%</f>
        <v>21.618791248803838</v>
      </c>
      <c r="AI207" s="256">
        <f>('Encargos e Benefícios'!V206+'Gastos com Pessoal'!Q207+'Gastos com Pessoal'!W207+'Gastos com Pessoal'!AC207)*5.84%</f>
        <v>7.3054845329356803</v>
      </c>
      <c r="AJ207" s="257"/>
      <c r="AK207" s="296">
        <f>'Encargos e Benefícios'!D206</f>
        <v>2912.55</v>
      </c>
      <c r="AL207" s="296">
        <f>IF('Encargos e Benefícios'!C206=0,0,'Encargos e Benefícios'!U206/'Encargos e Benefícios'!C206)</f>
        <v>2327.2892583333341</v>
      </c>
      <c r="AM207" s="296">
        <f>IF('Encargos e Benefícios'!C206=0,0,'Encargos e Benefícios'!AC206/'Encargos e Benefícios'!C206)</f>
        <v>1002.23</v>
      </c>
      <c r="AN207" s="297">
        <f>IF('Encargos e Benefícios'!C206=0,0,'Encargos e Benefícios'!AD206/'Encargos e Benefícios'!C206)</f>
        <v>6242.0692583333348</v>
      </c>
      <c r="AO207" s="188">
        <v>3953.69</v>
      </c>
      <c r="AP207" s="298">
        <v>2500</v>
      </c>
      <c r="AQ207" s="298">
        <v>5407.37</v>
      </c>
      <c r="AR207" s="299" t="s">
        <v>115</v>
      </c>
      <c r="AS207" s="188"/>
    </row>
    <row r="208" spans="1:45">
      <c r="A208" s="286">
        <v>202</v>
      </c>
      <c r="B208" s="81" t="str">
        <f>'Encargos e Benefícios'!B207</f>
        <v>Terapeuta Ocupacional</v>
      </c>
      <c r="C208" s="287">
        <f>'Encargos e Benefícios'!C207</f>
        <v>1</v>
      </c>
      <c r="D208" s="288">
        <v>30</v>
      </c>
      <c r="E208" s="300">
        <v>45992</v>
      </c>
      <c r="F208" s="301">
        <v>47058</v>
      </c>
      <c r="G208" s="293"/>
      <c r="H208" s="294"/>
      <c r="I208" s="256"/>
      <c r="J208" s="256"/>
      <c r="K208" s="256"/>
      <c r="L208" s="256"/>
      <c r="M208" s="293"/>
      <c r="N208" s="294"/>
      <c r="O208" s="256"/>
      <c r="P208" s="256"/>
      <c r="Q208" s="256"/>
      <c r="R208" s="256"/>
      <c r="S208" s="293">
        <v>46143</v>
      </c>
      <c r="T208" s="294">
        <v>5.8400000000000001E-2</v>
      </c>
      <c r="U208" s="256">
        <f>('Encargos e Benefícios'!W207+'Gastos com Pessoal'!O208)*5.84%</f>
        <v>32.70984</v>
      </c>
      <c r="V208" s="256">
        <f>('Encargos e Benefícios'!X207+'Encargos e Benefícios'!Y207+'Encargos e Benefícios'!Z207+'Encargos e Benefícios'!AA207+'Encargos e Benefícios'!AB207+'Gastos com Pessoal'!P208)*5.84%</f>
        <v>19.298863999999998</v>
      </c>
      <c r="W208" s="256">
        <f>('Encargos e Benefícios'!V207+'Gastos com Pessoal'!Q208)*5.84%</f>
        <v>6.521528</v>
      </c>
      <c r="X208" s="256"/>
      <c r="Y208" s="293">
        <v>46508</v>
      </c>
      <c r="Z208" s="294">
        <v>5.8400000000000001E-2</v>
      </c>
      <c r="AA208" s="256">
        <f>('Encargos e Benefícios'!W207+'Gastos com Pessoal'!O208+'Gastos com Pessoal'!U208)*5.84%</f>
        <v>34.620094655999999</v>
      </c>
      <c r="AB208" s="256">
        <f>('Encargos e Benefícios'!X207+'Encargos e Benefícios'!Y207+'Encargos e Benefícios'!Z207+'Encargos e Benefícios'!AA207+'Encargos e Benefícios'!AB207+'Gastos com Pessoal'!P208+'Gastos com Pessoal'!V208)*5.84%</f>
        <v>20.425917657599999</v>
      </c>
      <c r="AC208" s="256">
        <f>('Encargos e Benefícios'!V207+'Gastos com Pessoal'!Q208+'Gastos com Pessoal'!W208)*5.84%</f>
        <v>6.9023852352000006</v>
      </c>
      <c r="AD208" s="256"/>
      <c r="AE208" s="293">
        <v>46874</v>
      </c>
      <c r="AF208" s="294">
        <v>5.8400000000000001E-2</v>
      </c>
      <c r="AG208" s="256">
        <f>('Encargos e Benefícios'!W207+'Gastos com Pessoal'!O208+'Gastos com Pessoal'!U208+'Gastos com Pessoal'!AA208)*5.84%</f>
        <v>36.641908183910402</v>
      </c>
      <c r="AH208" s="256">
        <f>('Encargos e Benefícios'!X207+'Encargos e Benefícios'!Y207+'Encargos e Benefícios'!Z207+'Encargos e Benefícios'!AA207+'Encargos e Benefícios'!AB207+'Gastos com Pessoal'!P208+'Gastos com Pessoal'!V208+'Gastos com Pessoal'!AB208)*5.84%</f>
        <v>21.618791248803838</v>
      </c>
      <c r="AI208" s="256">
        <f>('Encargos e Benefícios'!V207+'Gastos com Pessoal'!Q208+'Gastos com Pessoal'!W208+'Gastos com Pessoal'!AC208)*5.84%</f>
        <v>7.3054845329356803</v>
      </c>
      <c r="AJ208" s="257"/>
      <c r="AK208" s="296">
        <f>'Encargos e Benefícios'!D207</f>
        <v>2912.55</v>
      </c>
      <c r="AL208" s="296">
        <f>IF('Encargos e Benefícios'!C207=0,0,'Encargos e Benefícios'!U207/'Encargos e Benefícios'!C207)</f>
        <v>2327.2892583333341</v>
      </c>
      <c r="AM208" s="296">
        <f>IF('Encargos e Benefícios'!C207=0,0,'Encargos e Benefícios'!AC207/'Encargos e Benefícios'!C207)</f>
        <v>1002.23</v>
      </c>
      <c r="AN208" s="297">
        <f>IF('Encargos e Benefícios'!C207=0,0,'Encargos e Benefícios'!AD207/'Encargos e Benefícios'!C207)</f>
        <v>6242.0692583333348</v>
      </c>
      <c r="AO208" s="188">
        <v>2422.3000000000002</v>
      </c>
      <c r="AP208" s="298">
        <v>1932.61</v>
      </c>
      <c r="AQ208" s="298">
        <v>2911.99</v>
      </c>
      <c r="AR208" s="299" t="s">
        <v>115</v>
      </c>
      <c r="AS208" s="188"/>
    </row>
    <row r="209" spans="1:45">
      <c r="A209" s="286">
        <v>203</v>
      </c>
      <c r="B209" s="81" t="str">
        <f>'Encargos e Benefícios'!B208</f>
        <v>Administrativo</v>
      </c>
      <c r="C209" s="287">
        <f>'Encargos e Benefícios'!C208</f>
        <v>1</v>
      </c>
      <c r="D209" s="288">
        <v>40</v>
      </c>
      <c r="E209" s="300">
        <v>45992</v>
      </c>
      <c r="F209" s="301">
        <v>47058</v>
      </c>
      <c r="G209" s="293"/>
      <c r="H209" s="294"/>
      <c r="I209" s="256"/>
      <c r="J209" s="256"/>
      <c r="K209" s="256"/>
      <c r="L209" s="256"/>
      <c r="M209" s="293"/>
      <c r="N209" s="294"/>
      <c r="O209" s="256"/>
      <c r="P209" s="256"/>
      <c r="Q209" s="256"/>
      <c r="R209" s="256"/>
      <c r="S209" s="293">
        <v>46143</v>
      </c>
      <c r="T209" s="294">
        <v>5.8400000000000001E-2</v>
      </c>
      <c r="U209" s="256">
        <f>('Encargos e Benefícios'!W208+'Gastos com Pessoal'!O209)*5.84%</f>
        <v>32.70984</v>
      </c>
      <c r="V209" s="256">
        <f>('Encargos e Benefícios'!X208+'Encargos e Benefícios'!Y208+'Encargos e Benefícios'!Z208+'Encargos e Benefícios'!AA208+'Encargos e Benefícios'!AB208+'Gastos com Pessoal'!P209)*5.84%</f>
        <v>19.298863999999998</v>
      </c>
      <c r="W209" s="256">
        <f>('Encargos e Benefícios'!V208+'Gastos com Pessoal'!Q209)*5.84%</f>
        <v>6.521528</v>
      </c>
      <c r="X209" s="256"/>
      <c r="Y209" s="293">
        <v>46508</v>
      </c>
      <c r="Z209" s="294">
        <v>5.8400000000000001E-2</v>
      </c>
      <c r="AA209" s="256">
        <f>('Encargos e Benefícios'!W208+'Gastos com Pessoal'!O209+'Gastos com Pessoal'!U209)*5.84%</f>
        <v>34.620094655999999</v>
      </c>
      <c r="AB209" s="256">
        <f>('Encargos e Benefícios'!X208+'Encargos e Benefícios'!Y208+'Encargos e Benefícios'!Z208+'Encargos e Benefícios'!AA208+'Encargos e Benefícios'!AB208+'Gastos com Pessoal'!P209+'Gastos com Pessoal'!V209)*5.84%</f>
        <v>20.425917657599999</v>
      </c>
      <c r="AC209" s="256">
        <f>('Encargos e Benefícios'!V208+'Gastos com Pessoal'!Q209+'Gastos com Pessoal'!W209)*5.84%</f>
        <v>6.9023852352000006</v>
      </c>
      <c r="AD209" s="256"/>
      <c r="AE209" s="293">
        <v>46874</v>
      </c>
      <c r="AF209" s="294">
        <v>5.8400000000000001E-2</v>
      </c>
      <c r="AG209" s="256">
        <f>('Encargos e Benefícios'!W208+'Gastos com Pessoal'!O209+'Gastos com Pessoal'!U209+'Gastos com Pessoal'!AA209)*5.84%</f>
        <v>36.641908183910402</v>
      </c>
      <c r="AH209" s="256">
        <f>('Encargos e Benefícios'!X208+'Encargos e Benefícios'!Y208+'Encargos e Benefícios'!Z208+'Encargos e Benefícios'!AA208+'Encargos e Benefícios'!AB208+'Gastos com Pessoal'!P209+'Gastos com Pessoal'!V209+'Gastos com Pessoal'!AB209)*5.84%</f>
        <v>21.618791248803838</v>
      </c>
      <c r="AI209" s="256">
        <f>('Encargos e Benefícios'!V208+'Gastos com Pessoal'!Q209+'Gastos com Pessoal'!W209+'Gastos com Pessoal'!AC209)*5.84%</f>
        <v>7.3054845329356803</v>
      </c>
      <c r="AJ209" s="257"/>
      <c r="AK209" s="296">
        <f>'Encargos e Benefícios'!D208</f>
        <v>1960.37</v>
      </c>
      <c r="AL209" s="296">
        <f>IF('Encargos e Benefícios'!C208=0,0,'Encargos e Benefícios'!U208/'Encargos e Benefícios'!C208)</f>
        <v>1566.4445394444447</v>
      </c>
      <c r="AM209" s="296">
        <f>IF('Encargos e Benefícios'!C208=0,0,'Encargos e Benefícios'!AC208/'Encargos e Benefícios'!C208)</f>
        <v>1002.23</v>
      </c>
      <c r="AN209" s="297">
        <f>IF('Encargos e Benefícios'!C208=0,0,'Encargos e Benefícios'!AD208/'Encargos e Benefícios'!C208)</f>
        <v>4529.044539444445</v>
      </c>
      <c r="AO209" s="188">
        <v>2097.83</v>
      </c>
      <c r="AP209" s="298">
        <v>1500</v>
      </c>
      <c r="AQ209" s="298">
        <v>2695.66</v>
      </c>
      <c r="AR209" s="299" t="s">
        <v>115</v>
      </c>
      <c r="AS209" s="188"/>
    </row>
    <row r="210" spans="1:45">
      <c r="A210" s="286">
        <v>204</v>
      </c>
      <c r="B210" s="81" t="str">
        <f>'Encargos e Benefícios'!B209</f>
        <v>Auxiliar Educacional</v>
      </c>
      <c r="C210" s="287">
        <f>'Encargos e Benefícios'!C209</f>
        <v>1</v>
      </c>
      <c r="D210" s="288">
        <v>30</v>
      </c>
      <c r="E210" s="300">
        <v>45992</v>
      </c>
      <c r="F210" s="301">
        <v>47058</v>
      </c>
      <c r="G210" s="293"/>
      <c r="H210" s="294"/>
      <c r="I210" s="256"/>
      <c r="J210" s="256"/>
      <c r="K210" s="256"/>
      <c r="L210" s="256"/>
      <c r="M210" s="293"/>
      <c r="N210" s="294"/>
      <c r="O210" s="256"/>
      <c r="P210" s="256"/>
      <c r="Q210" s="256"/>
      <c r="R210" s="256"/>
      <c r="S210" s="293">
        <v>46143</v>
      </c>
      <c r="T210" s="294">
        <v>5.8400000000000001E-2</v>
      </c>
      <c r="U210" s="256">
        <f>('Encargos e Benefícios'!W209+'Gastos com Pessoal'!O210)*5.84%</f>
        <v>32.70984</v>
      </c>
      <c r="V210" s="256">
        <f>('Encargos e Benefícios'!X209+'Encargos e Benefícios'!Y209+'Encargos e Benefícios'!Z209+'Encargos e Benefícios'!AA209+'Encargos e Benefícios'!AB209+'Gastos com Pessoal'!P210)*5.84%</f>
        <v>19.298863999999998</v>
      </c>
      <c r="W210" s="256">
        <f>('Encargos e Benefícios'!V209+'Gastos com Pessoal'!Q210)*5.84%</f>
        <v>6.521528</v>
      </c>
      <c r="X210" s="256"/>
      <c r="Y210" s="293">
        <v>46508</v>
      </c>
      <c r="Z210" s="294">
        <v>5.8400000000000001E-2</v>
      </c>
      <c r="AA210" s="256">
        <f>('Encargos e Benefícios'!W209+'Gastos com Pessoal'!O210+'Gastos com Pessoal'!U210)*5.84%</f>
        <v>34.620094655999999</v>
      </c>
      <c r="AB210" s="256">
        <f>('Encargos e Benefícios'!X209+'Encargos e Benefícios'!Y209+'Encargos e Benefícios'!Z209+'Encargos e Benefícios'!AA209+'Encargos e Benefícios'!AB209+'Gastos com Pessoal'!P210+'Gastos com Pessoal'!V210)*5.84%</f>
        <v>20.425917657599999</v>
      </c>
      <c r="AC210" s="256">
        <f>('Encargos e Benefícios'!V209+'Gastos com Pessoal'!Q210+'Gastos com Pessoal'!W210)*5.84%</f>
        <v>6.9023852352000006</v>
      </c>
      <c r="AD210" s="256"/>
      <c r="AE210" s="293">
        <v>46874</v>
      </c>
      <c r="AF210" s="294">
        <v>5.8400000000000001E-2</v>
      </c>
      <c r="AG210" s="256">
        <f>('Encargos e Benefícios'!W209+'Gastos com Pessoal'!O210+'Gastos com Pessoal'!U210+'Gastos com Pessoal'!AA210)*5.84%</f>
        <v>36.641908183910402</v>
      </c>
      <c r="AH210" s="256">
        <f>('Encargos e Benefícios'!X209+'Encargos e Benefícios'!Y209+'Encargos e Benefícios'!Z209+'Encargos e Benefícios'!AA209+'Encargos e Benefícios'!AB209+'Gastos com Pessoal'!P210+'Gastos com Pessoal'!V210+'Gastos com Pessoal'!AB210)*5.84%</f>
        <v>21.618791248803838</v>
      </c>
      <c r="AI210" s="256">
        <f>('Encargos e Benefícios'!V209+'Gastos com Pessoal'!Q210+'Gastos com Pessoal'!W210+'Gastos com Pessoal'!AC210)*5.84%</f>
        <v>7.3054845329356803</v>
      </c>
      <c r="AJ210" s="257"/>
      <c r="AK210" s="296">
        <f>'Encargos e Benefícios'!D209</f>
        <v>1839.38</v>
      </c>
      <c r="AL210" s="296">
        <f>IF('Encargos e Benefícios'!C209=0,0,'Encargos e Benefícios'!U209/'Encargos e Benefícios'!C209)</f>
        <v>1469.766807777778</v>
      </c>
      <c r="AM210" s="296">
        <f>IF('Encargos e Benefícios'!C209=0,0,'Encargos e Benefícios'!AC209/'Encargos e Benefícios'!C209)</f>
        <v>1002.23</v>
      </c>
      <c r="AN210" s="297">
        <f>IF('Encargos e Benefícios'!C209=0,0,'Encargos e Benefícios'!AD209/'Encargos e Benefícios'!C209)</f>
        <v>4311.3768077777786</v>
      </c>
      <c r="AO210" s="188">
        <v>1750.23</v>
      </c>
      <c r="AP210" s="298">
        <v>1500</v>
      </c>
      <c r="AQ210" s="298">
        <v>2000.45</v>
      </c>
      <c r="AR210" s="299" t="s">
        <v>115</v>
      </c>
      <c r="AS210" s="188"/>
    </row>
    <row r="211" spans="1:45">
      <c r="A211" s="286">
        <v>205</v>
      </c>
      <c r="B211" s="81" t="str">
        <f>'Encargos e Benefícios'!B210</f>
        <v>Auxiliar de Serviços Gerais</v>
      </c>
      <c r="C211" s="287">
        <f>'Encargos e Benefícios'!C210</f>
        <v>1</v>
      </c>
      <c r="D211" s="288">
        <v>30</v>
      </c>
      <c r="E211" s="300">
        <v>45992</v>
      </c>
      <c r="F211" s="301">
        <v>47058</v>
      </c>
      <c r="G211" s="293"/>
      <c r="H211" s="294"/>
      <c r="I211" s="256"/>
      <c r="J211" s="256"/>
      <c r="K211" s="256"/>
      <c r="L211" s="256"/>
      <c r="M211" s="293"/>
      <c r="N211" s="294"/>
      <c r="O211" s="256"/>
      <c r="P211" s="256"/>
      <c r="Q211" s="256"/>
      <c r="R211" s="256"/>
      <c r="S211" s="293">
        <v>46143</v>
      </c>
      <c r="T211" s="294">
        <v>5.8400000000000001E-2</v>
      </c>
      <c r="U211" s="256">
        <f>('Encargos e Benefícios'!W210+'Gastos com Pessoal'!O211)*5.84%</f>
        <v>32.70984</v>
      </c>
      <c r="V211" s="256">
        <f>('Encargos e Benefícios'!X210+'Encargos e Benefícios'!Y210+'Encargos e Benefícios'!Z210+'Encargos e Benefícios'!AA210+'Encargos e Benefícios'!AB210+'Gastos com Pessoal'!P211)*5.84%</f>
        <v>19.298863999999998</v>
      </c>
      <c r="W211" s="256">
        <f>('Encargos e Benefícios'!V210+'Gastos com Pessoal'!Q211)*5.84%</f>
        <v>6.521528</v>
      </c>
      <c r="X211" s="256"/>
      <c r="Y211" s="293">
        <v>46508</v>
      </c>
      <c r="Z211" s="294">
        <v>5.8400000000000001E-2</v>
      </c>
      <c r="AA211" s="256">
        <f>('Encargos e Benefícios'!W210+'Gastos com Pessoal'!O211+'Gastos com Pessoal'!U211)*5.84%</f>
        <v>34.620094655999999</v>
      </c>
      <c r="AB211" s="256">
        <f>('Encargos e Benefícios'!X210+'Encargos e Benefícios'!Y210+'Encargos e Benefícios'!Z210+'Encargos e Benefícios'!AA210+'Encargos e Benefícios'!AB210+'Gastos com Pessoal'!P211+'Gastos com Pessoal'!V211)*5.84%</f>
        <v>20.425917657599999</v>
      </c>
      <c r="AC211" s="256">
        <f>('Encargos e Benefícios'!V210+'Gastos com Pessoal'!Q211+'Gastos com Pessoal'!W211)*5.84%</f>
        <v>6.9023852352000006</v>
      </c>
      <c r="AD211" s="256"/>
      <c r="AE211" s="293">
        <v>46874</v>
      </c>
      <c r="AF211" s="294">
        <v>5.8400000000000001E-2</v>
      </c>
      <c r="AG211" s="256">
        <f>('Encargos e Benefícios'!W210+'Gastos com Pessoal'!O211+'Gastos com Pessoal'!U211+'Gastos com Pessoal'!AA211)*5.84%</f>
        <v>36.641908183910402</v>
      </c>
      <c r="AH211" s="256">
        <f>('Encargos e Benefícios'!X210+'Encargos e Benefícios'!Y210+'Encargos e Benefícios'!Z210+'Encargos e Benefícios'!AA210+'Encargos e Benefícios'!AB210+'Gastos com Pessoal'!P211+'Gastos com Pessoal'!V211+'Gastos com Pessoal'!AB211)*5.84%</f>
        <v>21.618791248803838</v>
      </c>
      <c r="AI211" s="256">
        <f>('Encargos e Benefícios'!V210+'Gastos com Pessoal'!Q211+'Gastos com Pessoal'!W211+'Gastos com Pessoal'!AC211)*5.84%</f>
        <v>7.3054845329356803</v>
      </c>
      <c r="AJ211" s="257"/>
      <c r="AK211" s="296">
        <f>'Encargos e Benefícios'!D210</f>
        <v>1551.48</v>
      </c>
      <c r="AL211" s="296">
        <f>IF('Encargos e Benefícios'!C210=0,0,'Encargos e Benefícios'!U210/'Encargos e Benefícios'!C210)</f>
        <v>1239.7187133333332</v>
      </c>
      <c r="AM211" s="296">
        <f>IF('Encargos e Benefícios'!C210=0,0,'Encargos e Benefícios'!AC210/'Encargos e Benefícios'!C210)</f>
        <v>1002.23</v>
      </c>
      <c r="AN211" s="297">
        <f>IF('Encargos e Benefícios'!C210=0,0,'Encargos e Benefícios'!AD210/'Encargos e Benefícios'!C210)</f>
        <v>3793.4287133333332</v>
      </c>
      <c r="AO211" s="188">
        <v>1437.37</v>
      </c>
      <c r="AP211" s="298">
        <v>1302</v>
      </c>
      <c r="AQ211" s="298">
        <v>1572.74</v>
      </c>
      <c r="AR211" s="299" t="s">
        <v>115</v>
      </c>
      <c r="AS211" s="188"/>
    </row>
    <row r="212" spans="1:45">
      <c r="A212" s="286">
        <v>206</v>
      </c>
      <c r="B212" s="81" t="str">
        <f>'Encargos e Benefícios'!B211</f>
        <v>Motorista</v>
      </c>
      <c r="C212" s="287">
        <f>'Encargos e Benefícios'!C211</f>
        <v>1</v>
      </c>
      <c r="D212" s="288">
        <v>40</v>
      </c>
      <c r="E212" s="300">
        <v>45992</v>
      </c>
      <c r="F212" s="301">
        <v>47058</v>
      </c>
      <c r="G212" s="293"/>
      <c r="H212" s="294"/>
      <c r="I212" s="256"/>
      <c r="J212" s="256"/>
      <c r="K212" s="256"/>
      <c r="L212" s="256"/>
      <c r="M212" s="293"/>
      <c r="N212" s="294"/>
      <c r="O212" s="256"/>
      <c r="P212" s="256"/>
      <c r="Q212" s="256"/>
      <c r="R212" s="256"/>
      <c r="S212" s="293">
        <v>46143</v>
      </c>
      <c r="T212" s="294">
        <v>5.8400000000000001E-2</v>
      </c>
      <c r="U212" s="256">
        <f>('Encargos e Benefícios'!W211+'Gastos com Pessoal'!O212)*5.84%</f>
        <v>32.70984</v>
      </c>
      <c r="V212" s="256">
        <f>('Encargos e Benefícios'!X211+'Encargos e Benefícios'!Y211+'Encargos e Benefícios'!Z211+'Encargos e Benefícios'!AA211+'Encargos e Benefícios'!AB211+'Gastos com Pessoal'!P212)*5.84%</f>
        <v>19.298863999999998</v>
      </c>
      <c r="W212" s="256">
        <f>('Encargos e Benefícios'!V211+'Gastos com Pessoal'!Q212)*5.84%</f>
        <v>6.521528</v>
      </c>
      <c r="X212" s="256"/>
      <c r="Y212" s="293">
        <v>46508</v>
      </c>
      <c r="Z212" s="294">
        <v>5.8400000000000001E-2</v>
      </c>
      <c r="AA212" s="256">
        <f>('Encargos e Benefícios'!W211+'Gastos com Pessoal'!O212+'Gastos com Pessoal'!U212)*5.84%</f>
        <v>34.620094655999999</v>
      </c>
      <c r="AB212" s="256">
        <f>('Encargos e Benefícios'!X211+'Encargos e Benefícios'!Y211+'Encargos e Benefícios'!Z211+'Encargos e Benefícios'!AA211+'Encargos e Benefícios'!AB211+'Gastos com Pessoal'!P212+'Gastos com Pessoal'!V212)*5.84%</f>
        <v>20.425917657599999</v>
      </c>
      <c r="AC212" s="256">
        <f>('Encargos e Benefícios'!V211+'Gastos com Pessoal'!Q212+'Gastos com Pessoal'!W212)*5.84%</f>
        <v>6.9023852352000006</v>
      </c>
      <c r="AD212" s="256"/>
      <c r="AE212" s="293">
        <v>46874</v>
      </c>
      <c r="AF212" s="294">
        <v>5.8400000000000001E-2</v>
      </c>
      <c r="AG212" s="256">
        <f>('Encargos e Benefícios'!W211+'Gastos com Pessoal'!O212+'Gastos com Pessoal'!U212+'Gastos com Pessoal'!AA212)*5.84%</f>
        <v>36.641908183910402</v>
      </c>
      <c r="AH212" s="256">
        <f>('Encargos e Benefícios'!X211+'Encargos e Benefícios'!Y211+'Encargos e Benefícios'!Z211+'Encargos e Benefícios'!AA211+'Encargos e Benefícios'!AB211+'Gastos com Pessoal'!P212+'Gastos com Pessoal'!V212+'Gastos com Pessoal'!AB212)*5.84%</f>
        <v>21.618791248803838</v>
      </c>
      <c r="AI212" s="256">
        <f>('Encargos e Benefícios'!V211+'Gastos com Pessoal'!Q212+'Gastos com Pessoal'!W212+'Gastos com Pessoal'!AC212)*5.84%</f>
        <v>7.3054845329356803</v>
      </c>
      <c r="AJ212" s="257"/>
      <c r="AK212" s="296">
        <f>'Encargos e Benefícios'!D211</f>
        <v>1626.98</v>
      </c>
      <c r="AL212" s="296">
        <f>IF('Encargos e Benefícios'!C211=0,0,'Encargos e Benefícios'!U211/'Encargos e Benefícios'!C211)</f>
        <v>1300.0474077777781</v>
      </c>
      <c r="AM212" s="296">
        <f>IF('Encargos e Benefícios'!C211=0,0,'Encargos e Benefícios'!AC211/'Encargos e Benefícios'!C211)</f>
        <v>1002.23</v>
      </c>
      <c r="AN212" s="297">
        <f>IF('Encargos e Benefícios'!C211=0,0,'Encargos e Benefícios'!AD211/'Encargos e Benefícios'!C211)</f>
        <v>3929.2574077777781</v>
      </c>
      <c r="AO212" s="188">
        <v>2046.28</v>
      </c>
      <c r="AP212" s="298">
        <v>1212</v>
      </c>
      <c r="AQ212" s="298">
        <v>2880.55</v>
      </c>
      <c r="AR212" s="299" t="s">
        <v>115</v>
      </c>
      <c r="AS212" s="188"/>
    </row>
    <row r="213" spans="1:45">
      <c r="A213" s="286">
        <v>207</v>
      </c>
      <c r="B213" s="81" t="str">
        <f>'Encargos e Benefícios'!B212</f>
        <v>Socioeducador - DC</v>
      </c>
      <c r="C213" s="287">
        <f>'Encargos e Benefícios'!C212</f>
        <v>2</v>
      </c>
      <c r="D213" s="288" t="s">
        <v>496</v>
      </c>
      <c r="E213" s="300">
        <v>45992</v>
      </c>
      <c r="F213" s="301">
        <v>47058</v>
      </c>
      <c r="G213" s="293"/>
      <c r="H213" s="294"/>
      <c r="I213" s="256"/>
      <c r="J213" s="256"/>
      <c r="K213" s="256"/>
      <c r="L213" s="256"/>
      <c r="M213" s="293"/>
      <c r="N213" s="294"/>
      <c r="O213" s="256"/>
      <c r="P213" s="256"/>
      <c r="Q213" s="256"/>
      <c r="R213" s="256"/>
      <c r="S213" s="293">
        <v>46143</v>
      </c>
      <c r="T213" s="294">
        <v>5.8400000000000001E-2</v>
      </c>
      <c r="U213" s="256">
        <f>('Encargos e Benefícios'!W212+'Gastos com Pessoal'!O213)*5.84%</f>
        <v>65.41968</v>
      </c>
      <c r="V213" s="256">
        <f>('Encargos e Benefícios'!X212+'Encargos e Benefícios'!Y212+'Encargos e Benefícios'!Z212+'Encargos e Benefícios'!AA212+'Encargos e Benefícios'!AB212+'Gastos com Pessoal'!P213)*5.84%</f>
        <v>38.597727999999996</v>
      </c>
      <c r="W213" s="256">
        <f>('Encargos e Benefícios'!V212+'Gastos com Pessoal'!Q213)*5.84%</f>
        <v>8.8931520000000006</v>
      </c>
      <c r="X213" s="256"/>
      <c r="Y213" s="293">
        <v>46508</v>
      </c>
      <c r="Z213" s="294">
        <v>5.8400000000000001E-2</v>
      </c>
      <c r="AA213" s="256">
        <f>('Encargos e Benefícios'!W212+'Gastos com Pessoal'!O213+'Gastos com Pessoal'!U213)*5.84%</f>
        <v>69.240189311999998</v>
      </c>
      <c r="AB213" s="256">
        <f>('Encargos e Benefícios'!X212+'Encargos e Benefícios'!Y212+'Encargos e Benefícios'!Z212+'Encargos e Benefícios'!AA212+'Encargos e Benefícios'!AB212+'Gastos com Pessoal'!P213+'Gastos com Pessoal'!V213)*5.84%</f>
        <v>40.851835315199999</v>
      </c>
      <c r="AC213" s="256">
        <f>('Encargos e Benefícios'!V212+'Gastos com Pessoal'!Q213+'Gastos com Pessoal'!W213)*5.84%</f>
        <v>9.4125120768000006</v>
      </c>
      <c r="AD213" s="256"/>
      <c r="AE213" s="293">
        <v>46874</v>
      </c>
      <c r="AF213" s="294">
        <v>5.8400000000000001E-2</v>
      </c>
      <c r="AG213" s="256">
        <f>('Encargos e Benefícios'!W212+'Gastos com Pessoal'!O213+'Gastos com Pessoal'!U213+'Gastos com Pessoal'!AA213)*5.84%</f>
        <v>73.283816367820805</v>
      </c>
      <c r="AH213" s="256">
        <f>('Encargos e Benefícios'!X212+'Encargos e Benefícios'!Y212+'Encargos e Benefícios'!Z212+'Encargos e Benefícios'!AA212+'Encargos e Benefícios'!AB212+'Gastos com Pessoal'!P213+'Gastos com Pessoal'!V213+'Gastos com Pessoal'!AB213)*5.84%</f>
        <v>43.237582497607676</v>
      </c>
      <c r="AI213" s="256">
        <f>('Encargos e Benefícios'!V212+'Gastos com Pessoal'!Q213+'Gastos com Pessoal'!W213+'Gastos com Pessoal'!AC213)*5.84%</f>
        <v>9.9622027820851216</v>
      </c>
      <c r="AJ213" s="257"/>
      <c r="AK213" s="296">
        <f>'Encargos e Benefícios'!D212</f>
        <v>2128.4</v>
      </c>
      <c r="AL213" s="296">
        <f>IF('Encargos e Benefícios'!C212=0,0,'Encargos e Benefícios'!U212/'Encargos e Benefícios'!C212)</f>
        <v>3114.2417715555557</v>
      </c>
      <c r="AM213" s="296">
        <f>IF('Encargos e Benefícios'!C212=0,0,'Encargos e Benefícios'!AC212/'Encargos e Benefícios'!C212)</f>
        <v>966.7</v>
      </c>
      <c r="AN213" s="297">
        <f>IF('Encargos e Benefícios'!C212=0,0,'Encargos e Benefícios'!AD212/'Encargos e Benefícios'!C212)</f>
        <v>6209.3417715555561</v>
      </c>
      <c r="AO213" s="188">
        <v>2752.21</v>
      </c>
      <c r="AP213" s="298">
        <v>1764.5</v>
      </c>
      <c r="AQ213" s="298">
        <v>3739.92</v>
      </c>
      <c r="AR213" s="299" t="s">
        <v>115</v>
      </c>
      <c r="AS213" s="188"/>
    </row>
    <row r="214" spans="1:45">
      <c r="A214" s="286">
        <v>208</v>
      </c>
      <c r="B214" s="81" t="str">
        <f>'Encargos e Benefícios'!B213</f>
        <v>Socioeducador - D</v>
      </c>
      <c r="C214" s="287">
        <f>'Encargos e Benefícios'!C213</f>
        <v>12</v>
      </c>
      <c r="D214" s="288" t="s">
        <v>496</v>
      </c>
      <c r="E214" s="300">
        <v>45992</v>
      </c>
      <c r="F214" s="301">
        <v>47058</v>
      </c>
      <c r="G214" s="293"/>
      <c r="H214" s="294"/>
      <c r="I214" s="256"/>
      <c r="J214" s="256"/>
      <c r="K214" s="256"/>
      <c r="L214" s="256"/>
      <c r="M214" s="293"/>
      <c r="N214" s="294"/>
      <c r="O214" s="256"/>
      <c r="P214" s="256"/>
      <c r="Q214" s="256"/>
      <c r="R214" s="256"/>
      <c r="S214" s="293">
        <v>46143</v>
      </c>
      <c r="T214" s="294">
        <v>5.8400000000000001E-2</v>
      </c>
      <c r="U214" s="256">
        <f>('Encargos e Benefícios'!W213+'Gastos com Pessoal'!O214)*5.84%</f>
        <v>392.51808000000005</v>
      </c>
      <c r="V214" s="256">
        <f>('Encargos e Benefícios'!X213+'Encargos e Benefícios'!Y213+'Encargos e Benefícios'!Z213+'Encargos e Benefícios'!AA213+'Encargos e Benefícios'!AB213+'Gastos com Pessoal'!P214)*5.84%</f>
        <v>231.58636799999999</v>
      </c>
      <c r="W214" s="256">
        <f>('Encargos e Benefícios'!V213+'Gastos com Pessoal'!Q214)*5.84%</f>
        <v>53.358912000000004</v>
      </c>
      <c r="X214" s="256"/>
      <c r="Y214" s="293">
        <v>46508</v>
      </c>
      <c r="Z214" s="294">
        <v>5.8400000000000001E-2</v>
      </c>
      <c r="AA214" s="256">
        <f>('Encargos e Benefícios'!W213+'Gastos com Pessoal'!O214+'Gastos com Pessoal'!U214)*5.84%</f>
        <v>415.44113587200002</v>
      </c>
      <c r="AB214" s="256">
        <f>('Encargos e Benefícios'!X213+'Encargos e Benefícios'!Y213+'Encargos e Benefícios'!Z213+'Encargos e Benefícios'!AA213+'Encargos e Benefícios'!AB213+'Gastos com Pessoal'!P214+'Gastos com Pessoal'!V214)*5.84%</f>
        <v>245.11101189119998</v>
      </c>
      <c r="AC214" s="256">
        <f>('Encargos e Benefícios'!V213+'Gastos com Pessoal'!Q214+'Gastos com Pessoal'!W214)*5.84%</f>
        <v>56.475072460800007</v>
      </c>
      <c r="AD214" s="256"/>
      <c r="AE214" s="293">
        <v>46874</v>
      </c>
      <c r="AF214" s="294">
        <v>5.8400000000000001E-2</v>
      </c>
      <c r="AG214" s="256">
        <f>('Encargos e Benefícios'!W213+'Gastos com Pessoal'!O214+'Gastos com Pessoal'!U214+'Gastos com Pessoal'!AA214)*5.84%</f>
        <v>439.70289820692483</v>
      </c>
      <c r="AH214" s="256">
        <f>('Encargos e Benefícios'!X213+'Encargos e Benefícios'!Y213+'Encargos e Benefícios'!Z213+'Encargos e Benefícios'!AA213+'Encargos e Benefícios'!AB213+'Gastos com Pessoal'!P214+'Gastos com Pessoal'!V214+'Gastos com Pessoal'!AB214)*5.84%</f>
        <v>259.42549498564608</v>
      </c>
      <c r="AI214" s="256">
        <f>('Encargos e Benefícios'!V213+'Gastos com Pessoal'!Q214+'Gastos com Pessoal'!W214+'Gastos com Pessoal'!AC214)*5.84%</f>
        <v>59.773216692510722</v>
      </c>
      <c r="AJ214" s="257"/>
      <c r="AK214" s="296">
        <f>'Encargos e Benefícios'!D213</f>
        <v>2128.4</v>
      </c>
      <c r="AL214" s="296">
        <f>IF('Encargos e Benefícios'!C213=0,0,'Encargos e Benefícios'!U213/'Encargos e Benefícios'!C213)</f>
        <v>2742.5699215555564</v>
      </c>
      <c r="AM214" s="296">
        <f>IF('Encargos e Benefícios'!C213=0,0,'Encargos e Benefícios'!AC213/'Encargos e Benefícios'!C213)</f>
        <v>966.70000000000016</v>
      </c>
      <c r="AN214" s="297">
        <f>IF('Encargos e Benefícios'!C213=0,0,'Encargos e Benefícios'!AD213/'Encargos e Benefícios'!C213)</f>
        <v>5837.6699215555564</v>
      </c>
      <c r="AO214" s="188">
        <v>2752.21</v>
      </c>
      <c r="AP214" s="298">
        <v>1764.5</v>
      </c>
      <c r="AQ214" s="298">
        <v>3739.92</v>
      </c>
      <c r="AR214" s="299" t="s">
        <v>115</v>
      </c>
      <c r="AS214" s="188"/>
    </row>
    <row r="215" spans="1:45">
      <c r="A215" s="286">
        <v>209</v>
      </c>
      <c r="B215" s="81" t="str">
        <f>'Encargos e Benefícios'!B214</f>
        <v>Socioeducador - NC</v>
      </c>
      <c r="C215" s="287">
        <f>'Encargos e Benefícios'!C214</f>
        <v>2</v>
      </c>
      <c r="D215" s="288" t="s">
        <v>496</v>
      </c>
      <c r="E215" s="300">
        <v>45992</v>
      </c>
      <c r="F215" s="301">
        <v>47058</v>
      </c>
      <c r="G215" s="293"/>
      <c r="H215" s="294"/>
      <c r="I215" s="256"/>
      <c r="J215" s="256"/>
      <c r="K215" s="256"/>
      <c r="L215" s="256"/>
      <c r="M215" s="293"/>
      <c r="N215" s="294"/>
      <c r="O215" s="256"/>
      <c r="P215" s="256"/>
      <c r="Q215" s="256"/>
      <c r="R215" s="256"/>
      <c r="S215" s="293">
        <v>46143</v>
      </c>
      <c r="T215" s="294">
        <v>5.8400000000000001E-2</v>
      </c>
      <c r="U215" s="256">
        <f>('Encargos e Benefícios'!W214+'Gastos com Pessoal'!O215)*5.84%</f>
        <v>65.41968</v>
      </c>
      <c r="V215" s="256">
        <f>('Encargos e Benefícios'!X214+'Encargos e Benefícios'!Y214+'Encargos e Benefícios'!Z214+'Encargos e Benefícios'!AA214+'Encargos e Benefícios'!AB214+'Gastos com Pessoal'!P215)*5.84%</f>
        <v>38.597727999999996</v>
      </c>
      <c r="W215" s="256">
        <f>('Encargos e Benefícios'!V214+'Gastos com Pessoal'!Q215)*5.84%</f>
        <v>8.8931520000000006</v>
      </c>
      <c r="X215" s="256"/>
      <c r="Y215" s="293">
        <v>46508</v>
      </c>
      <c r="Z215" s="294">
        <v>5.8400000000000001E-2</v>
      </c>
      <c r="AA215" s="256">
        <f>('Encargos e Benefícios'!W214+'Gastos com Pessoal'!O215+'Gastos com Pessoal'!U215)*5.84%</f>
        <v>69.240189311999998</v>
      </c>
      <c r="AB215" s="256">
        <f>('Encargos e Benefícios'!X214+'Encargos e Benefícios'!Y214+'Encargos e Benefícios'!Z214+'Encargos e Benefícios'!AA214+'Encargos e Benefícios'!AB214+'Gastos com Pessoal'!P215+'Gastos com Pessoal'!V215)*5.84%</f>
        <v>40.851835315199999</v>
      </c>
      <c r="AC215" s="256">
        <f>('Encargos e Benefícios'!V214+'Gastos com Pessoal'!Q215+'Gastos com Pessoal'!W215)*5.84%</f>
        <v>9.4125120768000006</v>
      </c>
      <c r="AD215" s="256"/>
      <c r="AE215" s="293">
        <v>46874</v>
      </c>
      <c r="AF215" s="294">
        <v>5.8400000000000001E-2</v>
      </c>
      <c r="AG215" s="256">
        <f>('Encargos e Benefícios'!W214+'Gastos com Pessoal'!O215+'Gastos com Pessoal'!U215+'Gastos com Pessoal'!AA215)*5.84%</f>
        <v>73.283816367820805</v>
      </c>
      <c r="AH215" s="256">
        <f>('Encargos e Benefícios'!X214+'Encargos e Benefícios'!Y214+'Encargos e Benefícios'!Z214+'Encargos e Benefícios'!AA214+'Encargos e Benefícios'!AB214+'Gastos com Pessoal'!P215+'Gastos com Pessoal'!V215+'Gastos com Pessoal'!AB215)*5.84%</f>
        <v>43.237582497607676</v>
      </c>
      <c r="AI215" s="256">
        <f>('Encargos e Benefícios'!V214+'Gastos com Pessoal'!Q215+'Gastos com Pessoal'!W215+'Gastos com Pessoal'!AC215)*5.84%</f>
        <v>9.9622027820851216</v>
      </c>
      <c r="AJ215" s="257"/>
      <c r="AK215" s="296">
        <f>'Encargos e Benefícios'!D214</f>
        <v>2128.4</v>
      </c>
      <c r="AL215" s="296">
        <f>IF('Encargos e Benefícios'!C214=0,0,'Encargos e Benefícios'!U214/'Encargos e Benefícios'!C214)</f>
        <v>3761.0971114864201</v>
      </c>
      <c r="AM215" s="296">
        <f>IF('Encargos e Benefícios'!C214=0,0,'Encargos e Benefícios'!AC214/'Encargos e Benefícios'!C214)</f>
        <v>966.7</v>
      </c>
      <c r="AN215" s="297">
        <f>IF('Encargos e Benefícios'!C214=0,0,'Encargos e Benefícios'!AD214/'Encargos e Benefícios'!C214)</f>
        <v>6856.19711148642</v>
      </c>
      <c r="AO215" s="188">
        <v>2752.21</v>
      </c>
      <c r="AP215" s="298">
        <v>1764.5</v>
      </c>
      <c r="AQ215" s="298">
        <v>3739.92</v>
      </c>
      <c r="AR215" s="299" t="s">
        <v>115</v>
      </c>
      <c r="AS215" s="188"/>
    </row>
    <row r="216" spans="1:45" ht="13" thickBot="1">
      <c r="A216" s="286">
        <v>210</v>
      </c>
      <c r="B216" s="81" t="str">
        <f>'Encargos e Benefícios'!B215</f>
        <v>Socioeducador - N</v>
      </c>
      <c r="C216" s="287">
        <f>'Encargos e Benefícios'!C215</f>
        <v>6</v>
      </c>
      <c r="D216" s="288" t="s">
        <v>496</v>
      </c>
      <c r="E216" s="300">
        <v>45992</v>
      </c>
      <c r="F216" s="301">
        <v>47058</v>
      </c>
      <c r="G216" s="293"/>
      <c r="H216" s="294"/>
      <c r="I216" s="256"/>
      <c r="J216" s="256"/>
      <c r="K216" s="256"/>
      <c r="L216" s="256"/>
      <c r="M216" s="293"/>
      <c r="N216" s="294"/>
      <c r="O216" s="256"/>
      <c r="P216" s="256"/>
      <c r="Q216" s="256"/>
      <c r="R216" s="256"/>
      <c r="S216" s="293">
        <v>46143</v>
      </c>
      <c r="T216" s="294">
        <v>5.8400000000000001E-2</v>
      </c>
      <c r="U216" s="256">
        <f>('Encargos e Benefícios'!W215+'Gastos com Pessoal'!O216)*5.84%</f>
        <v>196.25904000000003</v>
      </c>
      <c r="V216" s="256">
        <f>('Encargos e Benefícios'!X215+'Encargos e Benefícios'!Y215+'Encargos e Benefícios'!Z215+'Encargos e Benefícios'!AA215+'Encargos e Benefícios'!AB215+'Gastos com Pessoal'!P216)*5.84%</f>
        <v>115.793184</v>
      </c>
      <c r="W216" s="256">
        <f>('Encargos e Benefícios'!V215+'Gastos com Pessoal'!Q216)*5.84%</f>
        <v>26.679456000000002</v>
      </c>
      <c r="X216" s="256"/>
      <c r="Y216" s="293">
        <v>46508</v>
      </c>
      <c r="Z216" s="294">
        <v>5.8400000000000001E-2</v>
      </c>
      <c r="AA216" s="256">
        <f>('Encargos e Benefícios'!W215+'Gastos com Pessoal'!O216+'Gastos com Pessoal'!U216)*5.84%</f>
        <v>207.72056793600001</v>
      </c>
      <c r="AB216" s="256">
        <f>('Encargos e Benefícios'!X215+'Encargos e Benefícios'!Y215+'Encargos e Benefícios'!Z215+'Encargos e Benefícios'!AA215+'Encargos e Benefícios'!AB215+'Gastos com Pessoal'!P216+'Gastos com Pessoal'!V216)*5.84%</f>
        <v>122.55550594559999</v>
      </c>
      <c r="AC216" s="256">
        <f>('Encargos e Benefícios'!V215+'Gastos com Pessoal'!Q216+'Gastos com Pessoal'!W216)*5.84%</f>
        <v>28.237536230400003</v>
      </c>
      <c r="AD216" s="256"/>
      <c r="AE216" s="293">
        <v>46874</v>
      </c>
      <c r="AF216" s="294">
        <v>5.8400000000000001E-2</v>
      </c>
      <c r="AG216" s="256">
        <f>('Encargos e Benefícios'!W215+'Gastos com Pessoal'!O216+'Gastos com Pessoal'!U216+'Gastos com Pessoal'!AA216)*5.84%</f>
        <v>219.85144910346241</v>
      </c>
      <c r="AH216" s="256">
        <f>('Encargos e Benefícios'!X215+'Encargos e Benefícios'!Y215+'Encargos e Benefícios'!Z215+'Encargos e Benefícios'!AA215+'Encargos e Benefícios'!AB215+'Gastos com Pessoal'!P216+'Gastos com Pessoal'!V216+'Gastos com Pessoal'!AB216)*5.84%</f>
        <v>129.71274749282304</v>
      </c>
      <c r="AI216" s="256">
        <f>('Encargos e Benefícios'!V215+'Gastos com Pessoal'!Q216+'Gastos com Pessoal'!W216+'Gastos com Pessoal'!AC216)*5.84%</f>
        <v>29.886608346255361</v>
      </c>
      <c r="AJ216" s="257"/>
      <c r="AK216" s="296">
        <f>'Encargos e Benefícios'!D215</f>
        <v>2128.4</v>
      </c>
      <c r="AL216" s="296">
        <f>IF('Encargos e Benefícios'!C215=0,0,'Encargos e Benefícios'!U215/'Encargos e Benefícios'!C215)</f>
        <v>3389.4252614864199</v>
      </c>
      <c r="AM216" s="296">
        <f>IF('Encargos e Benefícios'!C215=0,0,'Encargos e Benefícios'!AC215/'Encargos e Benefícios'!C215)</f>
        <v>966.70000000000016</v>
      </c>
      <c r="AN216" s="297">
        <f>IF('Encargos e Benefícios'!C215=0,0,'Encargos e Benefícios'!AD215/'Encargos e Benefícios'!C215)</f>
        <v>6484.5252614864194</v>
      </c>
      <c r="AO216" s="188">
        <v>2752.21</v>
      </c>
      <c r="AP216" s="298">
        <v>1764.5</v>
      </c>
      <c r="AQ216" s="298">
        <v>3739.92</v>
      </c>
      <c r="AR216" s="299" t="s">
        <v>115</v>
      </c>
      <c r="AS216" s="188"/>
    </row>
    <row r="217" spans="1:45">
      <c r="A217" s="286">
        <v>211</v>
      </c>
      <c r="B217" s="81" t="str">
        <f>'Encargos e Benefícios'!B216</f>
        <v>Diretor Geral de Unidade Socioeducativa</v>
      </c>
      <c r="C217" s="287">
        <f>'Encargos e Benefícios'!C216</f>
        <v>1</v>
      </c>
      <c r="D217" s="288">
        <v>40</v>
      </c>
      <c r="E217" s="300">
        <v>45658</v>
      </c>
      <c r="F217" s="290">
        <v>47058</v>
      </c>
      <c r="G217" s="293"/>
      <c r="H217" s="294"/>
      <c r="I217" s="256"/>
      <c r="J217" s="256"/>
      <c r="K217" s="256"/>
      <c r="L217" s="256"/>
      <c r="M217" s="293">
        <v>45778</v>
      </c>
      <c r="N217" s="294">
        <v>5.8400000000000001E-2</v>
      </c>
      <c r="O217" s="256">
        <f>'Encargos e Benefícios'!W216*5.84%</f>
        <v>30.905280000000001</v>
      </c>
      <c r="P217" s="256">
        <f>('Encargos e Benefícios'!X216+'Encargos e Benefícios'!Y216+'Encargos e Benefícios'!Z216+'Encargos e Benefícios'!AA216+'Encargos e Benefícios'!AB216)*5.84%</f>
        <v>18.235399999999998</v>
      </c>
      <c r="Q217" s="256">
        <f>'Encargos e Benefícios'!V216*5.84%</f>
        <v>0</v>
      </c>
      <c r="R217" s="256"/>
      <c r="S217" s="293">
        <v>46143</v>
      </c>
      <c r="T217" s="294">
        <v>5.8400000000000001E-2</v>
      </c>
      <c r="U217" s="256">
        <f>('Encargos e Benefícios'!W216+'Gastos com Pessoal'!O217)*5.84%</f>
        <v>32.710148351999997</v>
      </c>
      <c r="V217" s="256">
        <f>('Encargos e Benefícios'!X216+'Encargos e Benefícios'!Y216+'Encargos e Benefícios'!Z216+'Encargos e Benefícios'!AA216+'Encargos e Benefícios'!AB216+'Gastos com Pessoal'!P217)*5.84%</f>
        <v>19.300347360000004</v>
      </c>
      <c r="W217" s="256">
        <f>('Encargos e Benefícios'!V216+'Gastos com Pessoal'!Q217)*5.84%</f>
        <v>0</v>
      </c>
      <c r="X217" s="256"/>
      <c r="Y217" s="293">
        <v>46508</v>
      </c>
      <c r="Z217" s="294">
        <v>5.8400000000000001E-2</v>
      </c>
      <c r="AA217" s="256">
        <f>('Encargos e Benefícios'!W216+'Gastos com Pessoal'!O217+'Gastos com Pessoal'!U217)*5.84%</f>
        <v>34.620421015756804</v>
      </c>
      <c r="AB217" s="256">
        <f>('Encargos e Benefícios'!X216+'Encargos e Benefícios'!Y216+'Encargos e Benefícios'!Z216+'Encargos e Benefícios'!AA216+'Encargos e Benefícios'!AB216+'Gastos com Pessoal'!P217+'Gastos com Pessoal'!V217)*5.84%</f>
        <v>20.427487645824002</v>
      </c>
      <c r="AC217" s="256">
        <f>('Encargos e Benefícios'!V216+'Gastos com Pessoal'!Q217+'Gastos com Pessoal'!W217)*5.84%</f>
        <v>0</v>
      </c>
      <c r="AD217" s="256"/>
      <c r="AE217" s="293">
        <v>46874</v>
      </c>
      <c r="AF217" s="294">
        <v>5.8400000000000001E-2</v>
      </c>
      <c r="AG217" s="256">
        <f>('Encargos e Benefícios'!W216+'Gastos com Pessoal'!O217+'Gastos com Pessoal'!U217+'Gastos com Pessoal'!AA217)*5.84%</f>
        <v>36.642253603077002</v>
      </c>
      <c r="AH217" s="256">
        <f>('Encargos e Benefícios'!X216+'Encargos e Benefícios'!Y216+'Encargos e Benefícios'!Z216+'Encargos e Benefícios'!AA216+'Encargos e Benefícios'!AB216+'Gastos com Pessoal'!P217+'Gastos com Pessoal'!V217+'Gastos com Pessoal'!AB217)*5.84%</f>
        <v>21.620452924340121</v>
      </c>
      <c r="AI217" s="256">
        <f>('Encargos e Benefícios'!V216+'Gastos com Pessoal'!Q217+'Gastos com Pessoal'!W217+'Gastos com Pessoal'!AC217)*5.84%</f>
        <v>0</v>
      </c>
      <c r="AJ217" s="257"/>
      <c r="AK217" s="296">
        <f>'Encargos e Benefícios'!D216</f>
        <v>6879.6</v>
      </c>
      <c r="AL217" s="296">
        <f>IF('Encargos e Benefícios'!C216=0,0,'Encargos e Benefícios'!U216/'Encargos e Benefícios'!C216)</f>
        <v>5400.8682000000008</v>
      </c>
      <c r="AM217" s="296">
        <f>IF('Encargos e Benefícios'!C216=0,0,'Encargos e Benefícios'!AC216/'Encargos e Benefícios'!C216)</f>
        <v>841.45</v>
      </c>
      <c r="AN217" s="297">
        <f>IF('Encargos e Benefícios'!C216=0,0,'Encargos e Benefícios'!AD216/'Encargos e Benefícios'!C216)</f>
        <v>13121.918200000002</v>
      </c>
      <c r="AO217" s="188">
        <v>6052.24</v>
      </c>
      <c r="AP217" s="298">
        <v>4239.6899999999996</v>
      </c>
      <c r="AQ217" s="298">
        <v>7864.78</v>
      </c>
      <c r="AR217" s="299" t="s">
        <v>116</v>
      </c>
      <c r="AS217" s="188"/>
    </row>
    <row r="218" spans="1:45">
      <c r="A218" s="286">
        <v>212</v>
      </c>
      <c r="B218" s="81" t="str">
        <f>'Encargos e Benefícios'!B217</f>
        <v>Subdiretor de Segurança</v>
      </c>
      <c r="C218" s="287">
        <f>'Encargos e Benefícios'!C217</f>
        <v>1</v>
      </c>
      <c r="D218" s="288">
        <v>40</v>
      </c>
      <c r="E218" s="300">
        <v>45658</v>
      </c>
      <c r="F218" s="301">
        <v>47058</v>
      </c>
      <c r="G218" s="293"/>
      <c r="H218" s="294"/>
      <c r="I218" s="256"/>
      <c r="J218" s="256"/>
      <c r="K218" s="256"/>
      <c r="L218" s="256"/>
      <c r="M218" s="293">
        <v>45778</v>
      </c>
      <c r="N218" s="294">
        <v>5.8400000000000001E-2</v>
      </c>
      <c r="O218" s="256">
        <f>'Encargos e Benefícios'!W217*5.84%</f>
        <v>30.905280000000001</v>
      </c>
      <c r="P218" s="256">
        <f>('Encargos e Benefícios'!X217+'Encargos e Benefícios'!Y217+'Encargos e Benefícios'!Z217+'Encargos e Benefícios'!AA217+'Encargos e Benefícios'!AB217)*5.84%</f>
        <v>18.235399999999998</v>
      </c>
      <c r="Q218" s="256">
        <f>'Encargos e Benefícios'!V217*5.84%</f>
        <v>0</v>
      </c>
      <c r="R218" s="256"/>
      <c r="S218" s="293">
        <v>46143</v>
      </c>
      <c r="T218" s="294">
        <v>5.8400000000000001E-2</v>
      </c>
      <c r="U218" s="256">
        <f>('Encargos e Benefícios'!W217+'Gastos com Pessoal'!O218)*5.84%</f>
        <v>32.710148351999997</v>
      </c>
      <c r="V218" s="256">
        <f>('Encargos e Benefícios'!X217+'Encargos e Benefícios'!Y217+'Encargos e Benefícios'!Z217+'Encargos e Benefícios'!AA217+'Encargos e Benefícios'!AB217+'Gastos com Pessoal'!P218)*5.84%</f>
        <v>19.300347360000004</v>
      </c>
      <c r="W218" s="256">
        <f>('Encargos e Benefícios'!V217+'Gastos com Pessoal'!Q218)*5.84%</f>
        <v>0</v>
      </c>
      <c r="X218" s="256"/>
      <c r="Y218" s="293">
        <v>46508</v>
      </c>
      <c r="Z218" s="294">
        <v>5.8400000000000001E-2</v>
      </c>
      <c r="AA218" s="256">
        <f>('Encargos e Benefícios'!W217+'Gastos com Pessoal'!O218+'Gastos com Pessoal'!U218)*5.84%</f>
        <v>34.620421015756804</v>
      </c>
      <c r="AB218" s="256">
        <f>('Encargos e Benefícios'!X217+'Encargos e Benefícios'!Y217+'Encargos e Benefícios'!Z217+'Encargos e Benefícios'!AA217+'Encargos e Benefícios'!AB217+'Gastos com Pessoal'!P218+'Gastos com Pessoal'!V218)*5.84%</f>
        <v>20.427487645824002</v>
      </c>
      <c r="AC218" s="256">
        <f>('Encargos e Benefícios'!V217+'Gastos com Pessoal'!Q218+'Gastos com Pessoal'!W218)*5.84%</f>
        <v>0</v>
      </c>
      <c r="AD218" s="256"/>
      <c r="AE218" s="293">
        <v>46874</v>
      </c>
      <c r="AF218" s="294">
        <v>5.8400000000000001E-2</v>
      </c>
      <c r="AG218" s="256">
        <f>('Encargos e Benefícios'!W217+'Gastos com Pessoal'!O218+'Gastos com Pessoal'!U218+'Gastos com Pessoal'!AA218)*5.84%</f>
        <v>36.642253603077002</v>
      </c>
      <c r="AH218" s="256">
        <f>('Encargos e Benefícios'!X217+'Encargos e Benefícios'!Y217+'Encargos e Benefícios'!Z217+'Encargos e Benefícios'!AA217+'Encargos e Benefícios'!AB217+'Gastos com Pessoal'!P218+'Gastos com Pessoal'!V218+'Gastos com Pessoal'!AB218)*5.84%</f>
        <v>21.620452924340121</v>
      </c>
      <c r="AI218" s="256">
        <f>('Encargos e Benefícios'!V217+'Gastos com Pessoal'!Q218+'Gastos com Pessoal'!W218+'Gastos com Pessoal'!AC218)*5.84%</f>
        <v>0</v>
      </c>
      <c r="AJ218" s="257"/>
      <c r="AK218" s="296">
        <f>'Encargos e Benefícios'!D217</f>
        <v>3993.98</v>
      </c>
      <c r="AL218" s="296">
        <f>IF('Encargos e Benefícios'!C217=0,0,'Encargos e Benefícios'!U217/'Encargos e Benefícios'!C217)</f>
        <v>4659.1662746111106</v>
      </c>
      <c r="AM218" s="296">
        <f>IF('Encargos e Benefícios'!C217=0,0,'Encargos e Benefícios'!AC217/'Encargos e Benefícios'!C217)</f>
        <v>841.45</v>
      </c>
      <c r="AN218" s="297">
        <f>IF('Encargos e Benefícios'!C217=0,0,'Encargos e Benefícios'!AD217/'Encargos e Benefícios'!C217)</f>
        <v>9494.5962746111109</v>
      </c>
      <c r="AO218" s="188">
        <v>4968.99</v>
      </c>
      <c r="AP218" s="298">
        <v>3773.6</v>
      </c>
      <c r="AQ218" s="298">
        <v>6164.38</v>
      </c>
      <c r="AR218" s="299" t="s">
        <v>116</v>
      </c>
      <c r="AS218" s="188"/>
    </row>
    <row r="219" spans="1:45">
      <c r="A219" s="286">
        <v>213</v>
      </c>
      <c r="B219" s="81" t="str">
        <f>'Encargos e Benefícios'!B218</f>
        <v>Advogado</v>
      </c>
      <c r="C219" s="287">
        <f>'Encargos e Benefícios'!C218</f>
        <v>1</v>
      </c>
      <c r="D219" s="288">
        <v>30</v>
      </c>
      <c r="E219" s="300">
        <v>45658</v>
      </c>
      <c r="F219" s="301">
        <v>47058</v>
      </c>
      <c r="G219" s="293"/>
      <c r="H219" s="294"/>
      <c r="I219" s="256"/>
      <c r="J219" s="256"/>
      <c r="K219" s="256"/>
      <c r="L219" s="256"/>
      <c r="M219" s="293">
        <v>45778</v>
      </c>
      <c r="N219" s="294">
        <v>5.8400000000000001E-2</v>
      </c>
      <c r="O219" s="256">
        <f>'Encargos e Benefícios'!W218*5.84%</f>
        <v>30.905280000000001</v>
      </c>
      <c r="P219" s="256">
        <f>('Encargos e Benefícios'!X218+'Encargos e Benefícios'!Y218+'Encargos e Benefícios'!Z218+'Encargos e Benefícios'!AA218+'Encargos e Benefícios'!AB218)*5.84%</f>
        <v>18.235399999999998</v>
      </c>
      <c r="Q219" s="256">
        <f>'Encargos e Benefícios'!V218*5.84%</f>
        <v>6.521528</v>
      </c>
      <c r="R219" s="256"/>
      <c r="S219" s="293">
        <v>46143</v>
      </c>
      <c r="T219" s="294">
        <v>5.8400000000000001E-2</v>
      </c>
      <c r="U219" s="256">
        <f>('Encargos e Benefícios'!W218+'Gastos com Pessoal'!O219)*5.84%</f>
        <v>32.710148351999997</v>
      </c>
      <c r="V219" s="256">
        <f>('Encargos e Benefícios'!X218+'Encargos e Benefícios'!Y218+'Encargos e Benefícios'!Z218+'Encargos e Benefícios'!AA218+'Encargos e Benefícios'!AB218+'Gastos com Pessoal'!P219)*5.84%</f>
        <v>19.300347360000004</v>
      </c>
      <c r="W219" s="256">
        <f>('Encargos e Benefícios'!V218+'Gastos com Pessoal'!Q219)*5.84%</f>
        <v>6.9023852352000006</v>
      </c>
      <c r="X219" s="256"/>
      <c r="Y219" s="293">
        <v>46508</v>
      </c>
      <c r="Z219" s="294">
        <v>5.8400000000000001E-2</v>
      </c>
      <c r="AA219" s="256">
        <f>('Encargos e Benefícios'!W218+'Gastos com Pessoal'!O219+'Gastos com Pessoal'!U219)*5.84%</f>
        <v>34.620421015756804</v>
      </c>
      <c r="AB219" s="256">
        <f>('Encargos e Benefícios'!X218+'Encargos e Benefícios'!Y218+'Encargos e Benefícios'!Z218+'Encargos e Benefícios'!AA218+'Encargos e Benefícios'!AB218+'Gastos com Pessoal'!P219+'Gastos com Pessoal'!V219)*5.84%</f>
        <v>20.427487645824002</v>
      </c>
      <c r="AC219" s="256">
        <f>('Encargos e Benefícios'!V218+'Gastos com Pessoal'!Q219+'Gastos com Pessoal'!W219)*5.84%</f>
        <v>7.3054845329356803</v>
      </c>
      <c r="AD219" s="256"/>
      <c r="AE219" s="293">
        <v>46874</v>
      </c>
      <c r="AF219" s="294">
        <v>5.8400000000000001E-2</v>
      </c>
      <c r="AG219" s="256">
        <f>('Encargos e Benefícios'!W218+'Gastos com Pessoal'!O219+'Gastos com Pessoal'!U219+'Gastos com Pessoal'!AA219)*5.84%</f>
        <v>36.642253603077002</v>
      </c>
      <c r="AH219" s="256">
        <f>('Encargos e Benefícios'!X218+'Encargos e Benefícios'!Y218+'Encargos e Benefícios'!Z218+'Encargos e Benefícios'!AA218+'Encargos e Benefícios'!AB218+'Gastos com Pessoal'!P219+'Gastos com Pessoal'!V219+'Gastos com Pessoal'!AB219)*5.84%</f>
        <v>21.620452924340121</v>
      </c>
      <c r="AI219" s="256">
        <f>('Encargos e Benefícios'!V218+'Gastos com Pessoal'!Q219+'Gastos com Pessoal'!W219+'Gastos com Pessoal'!AC219)*5.84%</f>
        <v>7.7321248296591243</v>
      </c>
      <c r="AJ219" s="257"/>
      <c r="AK219" s="296">
        <f>'Encargos e Benefícios'!D218</f>
        <v>2751.84</v>
      </c>
      <c r="AL219" s="296">
        <f>IF('Encargos e Benefícios'!C218=0,0,'Encargos e Benefícios'!U218/'Encargos e Benefícios'!C218)</f>
        <v>2198.8730400000004</v>
      </c>
      <c r="AM219" s="296">
        <f>IF('Encargos e Benefícios'!C218=0,0,'Encargos e Benefícios'!AC218/'Encargos e Benefícios'!C218)</f>
        <v>953.12000000000012</v>
      </c>
      <c r="AN219" s="297">
        <f>IF('Encargos e Benefícios'!C218=0,0,'Encargos e Benefícios'!AD218/'Encargos e Benefícios'!C218)</f>
        <v>5903.8330400000004</v>
      </c>
      <c r="AO219" s="188">
        <v>2365.86</v>
      </c>
      <c r="AP219" s="298">
        <v>1700</v>
      </c>
      <c r="AQ219" s="298">
        <v>3031.72</v>
      </c>
      <c r="AR219" s="299" t="s">
        <v>116</v>
      </c>
      <c r="AS219" s="188"/>
    </row>
    <row r="220" spans="1:45">
      <c r="A220" s="286">
        <v>214</v>
      </c>
      <c r="B220" s="81" t="str">
        <f>'Encargos e Benefícios'!B219</f>
        <v>Assistente Social</v>
      </c>
      <c r="C220" s="287">
        <f>'Encargos e Benefícios'!C219</f>
        <v>1</v>
      </c>
      <c r="D220" s="288">
        <v>30</v>
      </c>
      <c r="E220" s="300">
        <v>45658</v>
      </c>
      <c r="F220" s="301">
        <v>47058</v>
      </c>
      <c r="G220" s="293"/>
      <c r="H220" s="294"/>
      <c r="I220" s="256"/>
      <c r="J220" s="256"/>
      <c r="K220" s="256"/>
      <c r="L220" s="256"/>
      <c r="M220" s="293">
        <v>45778</v>
      </c>
      <c r="N220" s="294">
        <v>5.8400000000000001E-2</v>
      </c>
      <c r="O220" s="256">
        <f>'Encargos e Benefícios'!W219*5.84%</f>
        <v>30.905280000000001</v>
      </c>
      <c r="P220" s="256">
        <f>('Encargos e Benefícios'!X219+'Encargos e Benefícios'!Y219+'Encargos e Benefícios'!Z219+'Encargos e Benefícios'!AA219+'Encargos e Benefícios'!AB219)*5.84%</f>
        <v>18.235399999999998</v>
      </c>
      <c r="Q220" s="256">
        <f>'Encargos e Benefícios'!V219*5.84%</f>
        <v>6.521528</v>
      </c>
      <c r="R220" s="256"/>
      <c r="S220" s="293">
        <v>46143</v>
      </c>
      <c r="T220" s="294">
        <v>5.8400000000000001E-2</v>
      </c>
      <c r="U220" s="256">
        <f>('Encargos e Benefícios'!W219+'Gastos com Pessoal'!O220)*5.84%</f>
        <v>32.710148351999997</v>
      </c>
      <c r="V220" s="256">
        <f>('Encargos e Benefícios'!X219+'Encargos e Benefícios'!Y219+'Encargos e Benefícios'!Z219+'Encargos e Benefícios'!AA219+'Encargos e Benefícios'!AB219+'Gastos com Pessoal'!P220)*5.84%</f>
        <v>19.300347360000004</v>
      </c>
      <c r="W220" s="256">
        <f>('Encargos e Benefícios'!V219+'Gastos com Pessoal'!Q220)*5.84%</f>
        <v>6.9023852352000006</v>
      </c>
      <c r="X220" s="256"/>
      <c r="Y220" s="293">
        <v>46508</v>
      </c>
      <c r="Z220" s="294">
        <v>5.8400000000000001E-2</v>
      </c>
      <c r="AA220" s="256">
        <f>('Encargos e Benefícios'!W219+'Gastos com Pessoal'!O220+'Gastos com Pessoal'!U220)*5.84%</f>
        <v>34.620421015756804</v>
      </c>
      <c r="AB220" s="256">
        <f>('Encargos e Benefícios'!X219+'Encargos e Benefícios'!Y219+'Encargos e Benefícios'!Z219+'Encargos e Benefícios'!AA219+'Encargos e Benefícios'!AB219+'Gastos com Pessoal'!P220+'Gastos com Pessoal'!V220)*5.84%</f>
        <v>20.427487645824002</v>
      </c>
      <c r="AC220" s="256">
        <f>('Encargos e Benefícios'!V219+'Gastos com Pessoal'!Q220+'Gastos com Pessoal'!W220)*5.84%</f>
        <v>7.3054845329356803</v>
      </c>
      <c r="AD220" s="256"/>
      <c r="AE220" s="293">
        <v>46874</v>
      </c>
      <c r="AF220" s="294">
        <v>5.8400000000000001E-2</v>
      </c>
      <c r="AG220" s="256">
        <f>('Encargos e Benefícios'!W219+'Gastos com Pessoal'!O220+'Gastos com Pessoal'!U220+'Gastos com Pessoal'!AA220)*5.84%</f>
        <v>36.642253603077002</v>
      </c>
      <c r="AH220" s="256">
        <f>('Encargos e Benefícios'!X219+'Encargos e Benefícios'!Y219+'Encargos e Benefícios'!Z219+'Encargos e Benefícios'!AA219+'Encargos e Benefícios'!AB219+'Gastos com Pessoal'!P220+'Gastos com Pessoal'!V220+'Gastos com Pessoal'!AB220)*5.84%</f>
        <v>21.620452924340121</v>
      </c>
      <c r="AI220" s="256">
        <f>('Encargos e Benefícios'!V219+'Gastos com Pessoal'!Q220+'Gastos com Pessoal'!W220+'Gastos com Pessoal'!AC220)*5.84%</f>
        <v>7.7321248296591243</v>
      </c>
      <c r="AJ220" s="257"/>
      <c r="AK220" s="296">
        <f>'Encargos e Benefícios'!D219</f>
        <v>2751.84</v>
      </c>
      <c r="AL220" s="296">
        <f>IF('Encargos e Benefícios'!C219=0,0,'Encargos e Benefícios'!U219/'Encargos e Benefícios'!C219)</f>
        <v>2198.8730400000004</v>
      </c>
      <c r="AM220" s="296">
        <f>IF('Encargos e Benefícios'!C219=0,0,'Encargos e Benefícios'!AC219/'Encargos e Benefícios'!C219)</f>
        <v>953.12000000000012</v>
      </c>
      <c r="AN220" s="297">
        <f>IF('Encargos e Benefícios'!C219=0,0,'Encargos e Benefícios'!AD219/'Encargos e Benefícios'!C219)</f>
        <v>5903.8330400000004</v>
      </c>
      <c r="AO220" s="188">
        <v>3479.77</v>
      </c>
      <c r="AP220" s="298">
        <v>2252.3200000000002</v>
      </c>
      <c r="AQ220" s="298">
        <v>4707.22</v>
      </c>
      <c r="AR220" s="299" t="s">
        <v>116</v>
      </c>
      <c r="AS220" s="188"/>
    </row>
    <row r="221" spans="1:45">
      <c r="A221" s="286">
        <v>215</v>
      </c>
      <c r="B221" s="81" t="str">
        <f>'Encargos e Benefícios'!B220</f>
        <v>Pedagogo</v>
      </c>
      <c r="C221" s="287">
        <f>'Encargos e Benefícios'!C220</f>
        <v>1</v>
      </c>
      <c r="D221" s="288">
        <v>30</v>
      </c>
      <c r="E221" s="300">
        <v>45658</v>
      </c>
      <c r="F221" s="301">
        <v>47058</v>
      </c>
      <c r="G221" s="293"/>
      <c r="H221" s="294"/>
      <c r="I221" s="256"/>
      <c r="J221" s="256"/>
      <c r="K221" s="256"/>
      <c r="L221" s="256"/>
      <c r="M221" s="293">
        <v>45778</v>
      </c>
      <c r="N221" s="294">
        <v>5.8400000000000001E-2</v>
      </c>
      <c r="O221" s="256">
        <f>'Encargos e Benefícios'!W220*5.84%</f>
        <v>30.905280000000001</v>
      </c>
      <c r="P221" s="256">
        <f>('Encargos e Benefícios'!X220+'Encargos e Benefícios'!Y220+'Encargos e Benefícios'!Z220+'Encargos e Benefícios'!AA220+'Encargos e Benefícios'!AB220)*5.84%</f>
        <v>18.235399999999998</v>
      </c>
      <c r="Q221" s="256">
        <f>'Encargos e Benefícios'!V220*5.84%</f>
        <v>6.521528</v>
      </c>
      <c r="R221" s="256"/>
      <c r="S221" s="293">
        <v>46143</v>
      </c>
      <c r="T221" s="294">
        <v>5.8400000000000001E-2</v>
      </c>
      <c r="U221" s="256">
        <f>('Encargos e Benefícios'!W220+'Gastos com Pessoal'!O221)*5.84%</f>
        <v>32.710148351999997</v>
      </c>
      <c r="V221" s="256">
        <f>('Encargos e Benefícios'!X220+'Encargos e Benefícios'!Y220+'Encargos e Benefícios'!Z220+'Encargos e Benefícios'!AA220+'Encargos e Benefícios'!AB220+'Gastos com Pessoal'!P221)*5.84%</f>
        <v>19.300347360000004</v>
      </c>
      <c r="W221" s="256">
        <f>('Encargos e Benefícios'!V220+'Gastos com Pessoal'!Q221)*5.84%</f>
        <v>6.9023852352000006</v>
      </c>
      <c r="X221" s="256"/>
      <c r="Y221" s="293">
        <v>46508</v>
      </c>
      <c r="Z221" s="294">
        <v>5.8400000000000001E-2</v>
      </c>
      <c r="AA221" s="256">
        <f>('Encargos e Benefícios'!W220+'Gastos com Pessoal'!O221+'Gastos com Pessoal'!U221)*5.84%</f>
        <v>34.620421015756804</v>
      </c>
      <c r="AB221" s="256">
        <f>('Encargos e Benefícios'!X220+'Encargos e Benefícios'!Y220+'Encargos e Benefícios'!Z220+'Encargos e Benefícios'!AA220+'Encargos e Benefícios'!AB220+'Gastos com Pessoal'!P221+'Gastos com Pessoal'!V221)*5.84%</f>
        <v>20.427487645824002</v>
      </c>
      <c r="AC221" s="256">
        <f>('Encargos e Benefícios'!V220+'Gastos com Pessoal'!Q221+'Gastos com Pessoal'!W221)*5.84%</f>
        <v>7.3054845329356803</v>
      </c>
      <c r="AD221" s="256"/>
      <c r="AE221" s="293">
        <v>46874</v>
      </c>
      <c r="AF221" s="294">
        <v>5.8400000000000001E-2</v>
      </c>
      <c r="AG221" s="256">
        <f>('Encargos e Benefícios'!W220+'Gastos com Pessoal'!O221+'Gastos com Pessoal'!U221+'Gastos com Pessoal'!AA221)*5.84%</f>
        <v>36.642253603077002</v>
      </c>
      <c r="AH221" s="256">
        <f>('Encargos e Benefícios'!X220+'Encargos e Benefícios'!Y220+'Encargos e Benefícios'!Z220+'Encargos e Benefícios'!AA220+'Encargos e Benefícios'!AB220+'Gastos com Pessoal'!P221+'Gastos com Pessoal'!V221+'Gastos com Pessoal'!AB221)*5.84%</f>
        <v>21.620452924340121</v>
      </c>
      <c r="AI221" s="256">
        <f>('Encargos e Benefícios'!V220+'Gastos com Pessoal'!Q221+'Gastos com Pessoal'!W221+'Gastos com Pessoal'!AC221)*5.84%</f>
        <v>7.7321248296591243</v>
      </c>
      <c r="AJ221" s="257"/>
      <c r="AK221" s="296">
        <f>'Encargos e Benefícios'!D220</f>
        <v>2751.84</v>
      </c>
      <c r="AL221" s="296">
        <f>IF('Encargos e Benefícios'!C220=0,0,'Encargos e Benefícios'!U220/'Encargos e Benefícios'!C220)</f>
        <v>2198.8730400000004</v>
      </c>
      <c r="AM221" s="296">
        <f>IF('Encargos e Benefícios'!C220=0,0,'Encargos e Benefícios'!AC220/'Encargos e Benefícios'!C220)</f>
        <v>953.12000000000012</v>
      </c>
      <c r="AN221" s="297">
        <f>IF('Encargos e Benefícios'!C220=0,0,'Encargos e Benefícios'!AD220/'Encargos e Benefícios'!C220)</f>
        <v>5903.8330400000004</v>
      </c>
      <c r="AO221" s="188">
        <v>2293.52</v>
      </c>
      <c r="AP221" s="298">
        <v>1700</v>
      </c>
      <c r="AQ221" s="298">
        <v>2887.04</v>
      </c>
      <c r="AR221" s="299" t="s">
        <v>116</v>
      </c>
      <c r="AS221" s="188"/>
    </row>
    <row r="222" spans="1:45">
      <c r="A222" s="286">
        <v>216</v>
      </c>
      <c r="B222" s="81" t="str">
        <f>'Encargos e Benefícios'!B221</f>
        <v>Psicologo</v>
      </c>
      <c r="C222" s="287">
        <f>'Encargos e Benefícios'!C221</f>
        <v>1</v>
      </c>
      <c r="D222" s="288">
        <v>30</v>
      </c>
      <c r="E222" s="300">
        <v>45658</v>
      </c>
      <c r="F222" s="301">
        <v>47058</v>
      </c>
      <c r="G222" s="293"/>
      <c r="H222" s="294"/>
      <c r="I222" s="256"/>
      <c r="J222" s="256"/>
      <c r="K222" s="256"/>
      <c r="L222" s="256"/>
      <c r="M222" s="293">
        <v>45778</v>
      </c>
      <c r="N222" s="294">
        <v>5.8400000000000001E-2</v>
      </c>
      <c r="O222" s="256">
        <f>'Encargos e Benefícios'!W221*5.84%</f>
        <v>30.905280000000001</v>
      </c>
      <c r="P222" s="256">
        <f>('Encargos e Benefícios'!X221+'Encargos e Benefícios'!Y221+'Encargos e Benefícios'!Z221+'Encargos e Benefícios'!AA221+'Encargos e Benefícios'!AB221)*5.84%</f>
        <v>18.235399999999998</v>
      </c>
      <c r="Q222" s="256">
        <f>'Encargos e Benefícios'!V221*5.84%</f>
        <v>6.521528</v>
      </c>
      <c r="R222" s="256"/>
      <c r="S222" s="293">
        <v>46143</v>
      </c>
      <c r="T222" s="294">
        <v>5.8400000000000001E-2</v>
      </c>
      <c r="U222" s="256">
        <f>('Encargos e Benefícios'!W221+'Gastos com Pessoal'!O222)*5.84%</f>
        <v>32.710148351999997</v>
      </c>
      <c r="V222" s="256">
        <f>('Encargos e Benefícios'!X221+'Encargos e Benefícios'!Y221+'Encargos e Benefícios'!Z221+'Encargos e Benefícios'!AA221+'Encargos e Benefícios'!AB221+'Gastos com Pessoal'!P222)*5.84%</f>
        <v>19.300347360000004</v>
      </c>
      <c r="W222" s="256">
        <f>('Encargos e Benefícios'!V221+'Gastos com Pessoal'!Q222)*5.84%</f>
        <v>6.9023852352000006</v>
      </c>
      <c r="X222" s="256"/>
      <c r="Y222" s="293">
        <v>46508</v>
      </c>
      <c r="Z222" s="294">
        <v>5.8400000000000001E-2</v>
      </c>
      <c r="AA222" s="256">
        <f>('Encargos e Benefícios'!W221+'Gastos com Pessoal'!O222+'Gastos com Pessoal'!U222)*5.84%</f>
        <v>34.620421015756804</v>
      </c>
      <c r="AB222" s="256">
        <f>('Encargos e Benefícios'!X221+'Encargos e Benefícios'!Y221+'Encargos e Benefícios'!Z221+'Encargos e Benefícios'!AA221+'Encargos e Benefícios'!AB221+'Gastos com Pessoal'!P222+'Gastos com Pessoal'!V222)*5.84%</f>
        <v>20.427487645824002</v>
      </c>
      <c r="AC222" s="256">
        <f>('Encargos e Benefícios'!V221+'Gastos com Pessoal'!Q222+'Gastos com Pessoal'!W222)*5.84%</f>
        <v>7.3054845329356803</v>
      </c>
      <c r="AD222" s="256"/>
      <c r="AE222" s="293">
        <v>46874</v>
      </c>
      <c r="AF222" s="294">
        <v>5.8400000000000001E-2</v>
      </c>
      <c r="AG222" s="256">
        <f>('Encargos e Benefícios'!W221+'Gastos com Pessoal'!O222+'Gastos com Pessoal'!U222+'Gastos com Pessoal'!AA222)*5.84%</f>
        <v>36.642253603077002</v>
      </c>
      <c r="AH222" s="256">
        <f>('Encargos e Benefícios'!X221+'Encargos e Benefícios'!Y221+'Encargos e Benefícios'!Z221+'Encargos e Benefícios'!AA221+'Encargos e Benefícios'!AB221+'Gastos com Pessoal'!P222+'Gastos com Pessoal'!V222+'Gastos com Pessoal'!AB222)*5.84%</f>
        <v>21.620452924340121</v>
      </c>
      <c r="AI222" s="256">
        <f>('Encargos e Benefícios'!V221+'Gastos com Pessoal'!Q222+'Gastos com Pessoal'!W222+'Gastos com Pessoal'!AC222)*5.84%</f>
        <v>7.7321248296591243</v>
      </c>
      <c r="AJ222" s="257"/>
      <c r="AK222" s="296">
        <f>'Encargos e Benefícios'!D221</f>
        <v>2751.84</v>
      </c>
      <c r="AL222" s="296">
        <f>IF('Encargos e Benefícios'!C221=0,0,'Encargos e Benefícios'!U221/'Encargos e Benefícios'!C221)</f>
        <v>2198.8730400000004</v>
      </c>
      <c r="AM222" s="296">
        <f>IF('Encargos e Benefícios'!C221=0,0,'Encargos e Benefícios'!AC221/'Encargos e Benefícios'!C221)</f>
        <v>953.12000000000012</v>
      </c>
      <c r="AN222" s="297">
        <f>IF('Encargos e Benefícios'!C221=0,0,'Encargos e Benefícios'!AD221/'Encargos e Benefícios'!C221)</f>
        <v>5903.8330400000004</v>
      </c>
      <c r="AO222" s="188">
        <v>3202.11</v>
      </c>
      <c r="AP222" s="298">
        <v>1700</v>
      </c>
      <c r="AQ222" s="298">
        <v>4704.22</v>
      </c>
      <c r="AR222" s="299" t="s">
        <v>116</v>
      </c>
      <c r="AS222" s="188"/>
    </row>
    <row r="223" spans="1:45">
      <c r="A223" s="286">
        <v>217</v>
      </c>
      <c r="B223" s="81" t="str">
        <f>'Encargos e Benefícios'!B222</f>
        <v>Terapeuta Ocupacional</v>
      </c>
      <c r="C223" s="287">
        <f>'Encargos e Benefícios'!C222</f>
        <v>1</v>
      </c>
      <c r="D223" s="288">
        <v>30</v>
      </c>
      <c r="E223" s="300">
        <v>45658</v>
      </c>
      <c r="F223" s="301">
        <v>47058</v>
      </c>
      <c r="G223" s="293"/>
      <c r="H223" s="294"/>
      <c r="I223" s="256"/>
      <c r="J223" s="256"/>
      <c r="K223" s="256"/>
      <c r="L223" s="256"/>
      <c r="M223" s="293">
        <v>45778</v>
      </c>
      <c r="N223" s="294">
        <v>5.8400000000000001E-2</v>
      </c>
      <c r="O223" s="256">
        <f>'Encargos e Benefícios'!W222*5.84%</f>
        <v>30.905280000000001</v>
      </c>
      <c r="P223" s="256">
        <f>('Encargos e Benefícios'!X222+'Encargos e Benefícios'!Y222+'Encargos e Benefícios'!Z222+'Encargos e Benefícios'!AA222+'Encargos e Benefícios'!AB222)*5.84%</f>
        <v>18.235399999999998</v>
      </c>
      <c r="Q223" s="256">
        <f>'Encargos e Benefícios'!V222*5.84%</f>
        <v>6.521528</v>
      </c>
      <c r="R223" s="256"/>
      <c r="S223" s="293">
        <v>46143</v>
      </c>
      <c r="T223" s="294">
        <v>5.8400000000000001E-2</v>
      </c>
      <c r="U223" s="256">
        <f>('Encargos e Benefícios'!W222+'Gastos com Pessoal'!O223)*5.84%</f>
        <v>32.710148351999997</v>
      </c>
      <c r="V223" s="256">
        <f>('Encargos e Benefícios'!X222+'Encargos e Benefícios'!Y222+'Encargos e Benefícios'!Z222+'Encargos e Benefícios'!AA222+'Encargos e Benefícios'!AB222+'Gastos com Pessoal'!P223)*5.84%</f>
        <v>19.300347360000004</v>
      </c>
      <c r="W223" s="256">
        <f>('Encargos e Benefícios'!V222+'Gastos com Pessoal'!Q223)*5.84%</f>
        <v>6.9023852352000006</v>
      </c>
      <c r="X223" s="256"/>
      <c r="Y223" s="293">
        <v>46508</v>
      </c>
      <c r="Z223" s="294">
        <v>5.8400000000000001E-2</v>
      </c>
      <c r="AA223" s="256">
        <f>('Encargos e Benefícios'!W222+'Gastos com Pessoal'!O223+'Gastos com Pessoal'!U223)*5.84%</f>
        <v>34.620421015756804</v>
      </c>
      <c r="AB223" s="256">
        <f>('Encargos e Benefícios'!X222+'Encargos e Benefícios'!Y222+'Encargos e Benefícios'!Z222+'Encargos e Benefícios'!AA222+'Encargos e Benefícios'!AB222+'Gastos com Pessoal'!P223+'Gastos com Pessoal'!V223)*5.84%</f>
        <v>20.427487645824002</v>
      </c>
      <c r="AC223" s="256">
        <f>('Encargos e Benefícios'!V222+'Gastos com Pessoal'!Q223+'Gastos com Pessoal'!W223)*5.84%</f>
        <v>7.3054845329356803</v>
      </c>
      <c r="AD223" s="256"/>
      <c r="AE223" s="293">
        <v>46874</v>
      </c>
      <c r="AF223" s="294">
        <v>5.8400000000000001E-2</v>
      </c>
      <c r="AG223" s="256">
        <f>('Encargos e Benefícios'!W222+'Gastos com Pessoal'!O223+'Gastos com Pessoal'!U223+'Gastos com Pessoal'!AA223)*5.84%</f>
        <v>36.642253603077002</v>
      </c>
      <c r="AH223" s="256">
        <f>('Encargos e Benefícios'!X222+'Encargos e Benefícios'!Y222+'Encargos e Benefícios'!Z222+'Encargos e Benefícios'!AA222+'Encargos e Benefícios'!AB222+'Gastos com Pessoal'!P223+'Gastos com Pessoal'!V223+'Gastos com Pessoal'!AB223)*5.84%</f>
        <v>21.620452924340121</v>
      </c>
      <c r="AI223" s="256">
        <f>('Encargos e Benefícios'!V222+'Gastos com Pessoal'!Q223+'Gastos com Pessoal'!W223+'Gastos com Pessoal'!AC223)*5.84%</f>
        <v>7.7321248296591243</v>
      </c>
      <c r="AJ223" s="257"/>
      <c r="AK223" s="296">
        <f>'Encargos e Benefícios'!D222</f>
        <v>2751.84</v>
      </c>
      <c r="AL223" s="296">
        <f>IF('Encargos e Benefícios'!C222=0,0,'Encargos e Benefícios'!U222/'Encargos e Benefícios'!C222)</f>
        <v>2198.8730400000004</v>
      </c>
      <c r="AM223" s="296">
        <f>IF('Encargos e Benefícios'!C222=0,0,'Encargos e Benefícios'!AC222/'Encargos e Benefícios'!C222)</f>
        <v>953.12000000000012</v>
      </c>
      <c r="AN223" s="297">
        <f>IF('Encargos e Benefícios'!C222=0,0,'Encargos e Benefícios'!AD222/'Encargos e Benefícios'!C222)</f>
        <v>5903.8330400000004</v>
      </c>
      <c r="AO223" s="188">
        <v>3478.27</v>
      </c>
      <c r="AP223" s="298">
        <v>2252.3200000000002</v>
      </c>
      <c r="AQ223" s="298">
        <v>4704.22</v>
      </c>
      <c r="AR223" s="299" t="s">
        <v>116</v>
      </c>
      <c r="AS223" s="188"/>
    </row>
    <row r="224" spans="1:45">
      <c r="A224" s="286">
        <v>218</v>
      </c>
      <c r="B224" s="81" t="str">
        <f>'Encargos e Benefícios'!B223</f>
        <v>Administrativo</v>
      </c>
      <c r="C224" s="287">
        <f>'Encargos e Benefícios'!C223</f>
        <v>1</v>
      </c>
      <c r="D224" s="288">
        <v>40</v>
      </c>
      <c r="E224" s="300">
        <v>45658</v>
      </c>
      <c r="F224" s="301">
        <v>47058</v>
      </c>
      <c r="G224" s="293"/>
      <c r="H224" s="294"/>
      <c r="I224" s="256"/>
      <c r="J224" s="256"/>
      <c r="K224" s="256"/>
      <c r="L224" s="256"/>
      <c r="M224" s="293">
        <v>45778</v>
      </c>
      <c r="N224" s="294">
        <v>5.8400000000000001E-2</v>
      </c>
      <c r="O224" s="256">
        <f>'Encargos e Benefícios'!W223*5.84%</f>
        <v>30.905280000000001</v>
      </c>
      <c r="P224" s="256">
        <f>('Encargos e Benefícios'!X223+'Encargos e Benefícios'!Y223+'Encargos e Benefícios'!Z223+'Encargos e Benefícios'!AA223+'Encargos e Benefícios'!AB223)*5.84%</f>
        <v>18.235399999999998</v>
      </c>
      <c r="Q224" s="256">
        <f>'Encargos e Benefícios'!V223*5.84%</f>
        <v>6.521528</v>
      </c>
      <c r="R224" s="256"/>
      <c r="S224" s="293">
        <v>46143</v>
      </c>
      <c r="T224" s="294">
        <v>5.8400000000000001E-2</v>
      </c>
      <c r="U224" s="256">
        <f>('Encargos e Benefícios'!W223+'Gastos com Pessoal'!O224)*5.84%</f>
        <v>32.710148351999997</v>
      </c>
      <c r="V224" s="256">
        <f>('Encargos e Benefícios'!X223+'Encargos e Benefícios'!Y223+'Encargos e Benefícios'!Z223+'Encargos e Benefícios'!AA223+'Encargos e Benefícios'!AB223+'Gastos com Pessoal'!P224)*5.84%</f>
        <v>19.300347360000004</v>
      </c>
      <c r="W224" s="256">
        <f>('Encargos e Benefícios'!V223+'Gastos com Pessoal'!Q224)*5.84%</f>
        <v>6.9023852352000006</v>
      </c>
      <c r="X224" s="256"/>
      <c r="Y224" s="293">
        <v>46508</v>
      </c>
      <c r="Z224" s="294">
        <v>5.8400000000000001E-2</v>
      </c>
      <c r="AA224" s="256">
        <f>('Encargos e Benefícios'!W223+'Gastos com Pessoal'!O224+'Gastos com Pessoal'!U224)*5.84%</f>
        <v>34.620421015756804</v>
      </c>
      <c r="AB224" s="256">
        <f>('Encargos e Benefícios'!X223+'Encargos e Benefícios'!Y223+'Encargos e Benefícios'!Z223+'Encargos e Benefícios'!AA223+'Encargos e Benefícios'!AB223+'Gastos com Pessoal'!P224+'Gastos com Pessoal'!V224)*5.84%</f>
        <v>20.427487645824002</v>
      </c>
      <c r="AC224" s="256">
        <f>('Encargos e Benefícios'!V223+'Gastos com Pessoal'!Q224+'Gastos com Pessoal'!W224)*5.84%</f>
        <v>7.3054845329356803</v>
      </c>
      <c r="AD224" s="256"/>
      <c r="AE224" s="293">
        <v>46874</v>
      </c>
      <c r="AF224" s="294">
        <v>5.8400000000000001E-2</v>
      </c>
      <c r="AG224" s="256">
        <f>('Encargos e Benefícios'!W223+'Gastos com Pessoal'!O224+'Gastos com Pessoal'!U224+'Gastos com Pessoal'!AA224)*5.84%</f>
        <v>36.642253603077002</v>
      </c>
      <c r="AH224" s="256">
        <f>('Encargos e Benefícios'!X223+'Encargos e Benefícios'!Y223+'Encargos e Benefícios'!Z223+'Encargos e Benefícios'!AA223+'Encargos e Benefícios'!AB223+'Gastos com Pessoal'!P224+'Gastos com Pessoal'!V224+'Gastos com Pessoal'!AB224)*5.84%</f>
        <v>21.620452924340121</v>
      </c>
      <c r="AI224" s="256">
        <f>('Encargos e Benefícios'!V223+'Gastos com Pessoal'!Q224+'Gastos com Pessoal'!W224+'Gastos com Pessoal'!AC224)*5.84%</f>
        <v>7.7321248296591243</v>
      </c>
      <c r="AJ224" s="257"/>
      <c r="AK224" s="296">
        <f>'Encargos e Benefícios'!D223</f>
        <v>1852.2</v>
      </c>
      <c r="AL224" s="296">
        <f>IF('Encargos e Benefícios'!C223=0,0,'Encargos e Benefícios'!U223/'Encargos e Benefícios'!C223)</f>
        <v>1480.0106999999996</v>
      </c>
      <c r="AM224" s="296">
        <f>IF('Encargos e Benefícios'!C223=0,0,'Encargos e Benefícios'!AC223/'Encargos e Benefícios'!C223)</f>
        <v>953.12000000000012</v>
      </c>
      <c r="AN224" s="297">
        <f>IF('Encargos e Benefícios'!C223=0,0,'Encargos e Benefícios'!AD223/'Encargos e Benefícios'!C223)</f>
        <v>4285.3306999999995</v>
      </c>
      <c r="AO224" s="188">
        <v>1786.2</v>
      </c>
      <c r="AP224" s="298">
        <v>1352.9</v>
      </c>
      <c r="AQ224" s="298">
        <v>2219.4899999999998</v>
      </c>
      <c r="AR224" s="299" t="s">
        <v>116</v>
      </c>
      <c r="AS224" s="188"/>
    </row>
    <row r="225" spans="1:45">
      <c r="A225" s="286">
        <v>219</v>
      </c>
      <c r="B225" s="81" t="str">
        <f>'Encargos e Benefícios'!B224</f>
        <v>Auxiliar Educacional</v>
      </c>
      <c r="C225" s="287">
        <f>'Encargos e Benefícios'!C224</f>
        <v>1</v>
      </c>
      <c r="D225" s="288">
        <v>30</v>
      </c>
      <c r="E225" s="300">
        <v>45658</v>
      </c>
      <c r="F225" s="301">
        <v>47058</v>
      </c>
      <c r="G225" s="293"/>
      <c r="H225" s="294"/>
      <c r="I225" s="256"/>
      <c r="J225" s="256"/>
      <c r="K225" s="256"/>
      <c r="L225" s="256"/>
      <c r="M225" s="293">
        <v>45778</v>
      </c>
      <c r="N225" s="294">
        <v>5.8400000000000001E-2</v>
      </c>
      <c r="O225" s="256">
        <f>'Encargos e Benefícios'!W224*5.84%</f>
        <v>30.905280000000001</v>
      </c>
      <c r="P225" s="256">
        <f>('Encargos e Benefícios'!X224+'Encargos e Benefícios'!Y224+'Encargos e Benefícios'!Z224+'Encargos e Benefícios'!AA224+'Encargos e Benefícios'!AB224)*5.84%</f>
        <v>18.235399999999998</v>
      </c>
      <c r="Q225" s="256">
        <f>'Encargos e Benefícios'!V224*5.84%</f>
        <v>6.521528</v>
      </c>
      <c r="R225" s="256"/>
      <c r="S225" s="293">
        <v>46143</v>
      </c>
      <c r="T225" s="294">
        <v>5.8400000000000001E-2</v>
      </c>
      <c r="U225" s="256">
        <f>('Encargos e Benefícios'!W224+'Gastos com Pessoal'!O225)*5.84%</f>
        <v>32.710148351999997</v>
      </c>
      <c r="V225" s="256">
        <f>('Encargos e Benefícios'!X224+'Encargos e Benefícios'!Y224+'Encargos e Benefícios'!Z224+'Encargos e Benefícios'!AA224+'Encargos e Benefícios'!AB224+'Gastos com Pessoal'!P225)*5.84%</f>
        <v>19.300347360000004</v>
      </c>
      <c r="W225" s="256">
        <f>('Encargos e Benefícios'!V224+'Gastos com Pessoal'!Q225)*5.84%</f>
        <v>6.9023852352000006</v>
      </c>
      <c r="X225" s="256"/>
      <c r="Y225" s="293">
        <v>46508</v>
      </c>
      <c r="Z225" s="294">
        <v>5.8400000000000001E-2</v>
      </c>
      <c r="AA225" s="256">
        <f>('Encargos e Benefícios'!W224+'Gastos com Pessoal'!O225+'Gastos com Pessoal'!U225)*5.84%</f>
        <v>34.620421015756804</v>
      </c>
      <c r="AB225" s="256">
        <f>('Encargos e Benefícios'!X224+'Encargos e Benefícios'!Y224+'Encargos e Benefícios'!Z224+'Encargos e Benefícios'!AA224+'Encargos e Benefícios'!AB224+'Gastos com Pessoal'!P225+'Gastos com Pessoal'!V225)*5.84%</f>
        <v>20.427487645824002</v>
      </c>
      <c r="AC225" s="256">
        <f>('Encargos e Benefícios'!V224+'Gastos com Pessoal'!Q225+'Gastos com Pessoal'!W225)*5.84%</f>
        <v>7.3054845329356803</v>
      </c>
      <c r="AD225" s="256"/>
      <c r="AE225" s="293">
        <v>46874</v>
      </c>
      <c r="AF225" s="294">
        <v>5.8400000000000001E-2</v>
      </c>
      <c r="AG225" s="256">
        <f>('Encargos e Benefícios'!W224+'Gastos com Pessoal'!O225+'Gastos com Pessoal'!U225+'Gastos com Pessoal'!AA225)*5.84%</f>
        <v>36.642253603077002</v>
      </c>
      <c r="AH225" s="256">
        <f>('Encargos e Benefícios'!X224+'Encargos e Benefícios'!Y224+'Encargos e Benefícios'!Z224+'Encargos e Benefícios'!AA224+'Encargos e Benefícios'!AB224+'Gastos com Pessoal'!P225+'Gastos com Pessoal'!V225+'Gastos com Pessoal'!AB225)*5.84%</f>
        <v>21.620452924340121</v>
      </c>
      <c r="AI225" s="256">
        <f>('Encargos e Benefícios'!V224+'Gastos com Pessoal'!Q225+'Gastos com Pessoal'!W225+'Gastos com Pessoal'!AC225)*5.84%</f>
        <v>7.7321248296591243</v>
      </c>
      <c r="AJ225" s="257"/>
      <c r="AK225" s="296">
        <f>'Encargos e Benefícios'!D224</f>
        <v>1737.89</v>
      </c>
      <c r="AL225" s="296">
        <f>IF('Encargos e Benefícios'!C224=0,0,'Encargos e Benefícios'!U224/'Encargos e Benefícios'!C224)</f>
        <v>1388.6706594444449</v>
      </c>
      <c r="AM225" s="296">
        <f>IF('Encargos e Benefícios'!C224=0,0,'Encargos e Benefícios'!AC224/'Encargos e Benefícios'!C224)</f>
        <v>953.12000000000012</v>
      </c>
      <c r="AN225" s="297">
        <f>IF('Encargos e Benefícios'!C224=0,0,'Encargos e Benefícios'!AD224/'Encargos e Benefícios'!C224)</f>
        <v>4079.6806594444452</v>
      </c>
      <c r="AO225" s="188">
        <v>1756.04</v>
      </c>
      <c r="AP225" s="298">
        <v>1400</v>
      </c>
      <c r="AQ225" s="298">
        <v>2112.08</v>
      </c>
      <c r="AR225" s="299" t="s">
        <v>116</v>
      </c>
      <c r="AS225" s="188"/>
    </row>
    <row r="226" spans="1:45">
      <c r="A226" s="286">
        <v>220</v>
      </c>
      <c r="B226" s="81" t="str">
        <f>'Encargos e Benefícios'!B225</f>
        <v>Auxiliar de Serviços Gerais</v>
      </c>
      <c r="C226" s="287">
        <f>'Encargos e Benefícios'!C225</f>
        <v>1</v>
      </c>
      <c r="D226" s="288">
        <v>30</v>
      </c>
      <c r="E226" s="300">
        <v>45658</v>
      </c>
      <c r="F226" s="301">
        <v>47058</v>
      </c>
      <c r="G226" s="293"/>
      <c r="H226" s="294"/>
      <c r="I226" s="256"/>
      <c r="J226" s="256"/>
      <c r="K226" s="256"/>
      <c r="L226" s="256"/>
      <c r="M226" s="293">
        <v>45778</v>
      </c>
      <c r="N226" s="294">
        <v>5.8400000000000001E-2</v>
      </c>
      <c r="O226" s="256">
        <f>'Encargos e Benefícios'!W225*5.84%</f>
        <v>30.905280000000001</v>
      </c>
      <c r="P226" s="256">
        <f>('Encargos e Benefícios'!X225+'Encargos e Benefícios'!Y225+'Encargos e Benefícios'!Z225+'Encargos e Benefícios'!AA225+'Encargos e Benefícios'!AB225)*5.84%</f>
        <v>18.235399999999998</v>
      </c>
      <c r="Q226" s="256">
        <f>'Encargos e Benefícios'!V225*5.84%</f>
        <v>6.521528</v>
      </c>
      <c r="R226" s="256"/>
      <c r="S226" s="293">
        <v>46143</v>
      </c>
      <c r="T226" s="294">
        <v>5.8400000000000001E-2</v>
      </c>
      <c r="U226" s="256">
        <f>('Encargos e Benefícios'!W225+'Gastos com Pessoal'!O226)*5.84%</f>
        <v>32.710148351999997</v>
      </c>
      <c r="V226" s="256">
        <f>('Encargos e Benefícios'!X225+'Encargos e Benefícios'!Y225+'Encargos e Benefícios'!Z225+'Encargos e Benefícios'!AA225+'Encargos e Benefícios'!AB225+'Gastos com Pessoal'!P226)*5.84%</f>
        <v>19.300347360000004</v>
      </c>
      <c r="W226" s="256">
        <f>('Encargos e Benefícios'!V225+'Gastos com Pessoal'!Q226)*5.84%</f>
        <v>6.9023852352000006</v>
      </c>
      <c r="X226" s="256"/>
      <c r="Y226" s="293">
        <v>46508</v>
      </c>
      <c r="Z226" s="294">
        <v>5.8400000000000001E-2</v>
      </c>
      <c r="AA226" s="256">
        <f>('Encargos e Benefícios'!W225+'Gastos com Pessoal'!O226+'Gastos com Pessoal'!U226)*5.84%</f>
        <v>34.620421015756804</v>
      </c>
      <c r="AB226" s="256">
        <f>('Encargos e Benefícios'!X225+'Encargos e Benefícios'!Y225+'Encargos e Benefícios'!Z225+'Encargos e Benefícios'!AA225+'Encargos e Benefícios'!AB225+'Gastos com Pessoal'!P226+'Gastos com Pessoal'!V226)*5.84%</f>
        <v>20.427487645824002</v>
      </c>
      <c r="AC226" s="256">
        <f>('Encargos e Benefícios'!V225+'Gastos com Pessoal'!Q226+'Gastos com Pessoal'!W226)*5.84%</f>
        <v>7.3054845329356803</v>
      </c>
      <c r="AD226" s="256"/>
      <c r="AE226" s="293">
        <v>46874</v>
      </c>
      <c r="AF226" s="294">
        <v>5.8400000000000001E-2</v>
      </c>
      <c r="AG226" s="256">
        <f>('Encargos e Benefícios'!W225+'Gastos com Pessoal'!O226+'Gastos com Pessoal'!U226+'Gastos com Pessoal'!AA226)*5.84%</f>
        <v>36.642253603077002</v>
      </c>
      <c r="AH226" s="256">
        <f>('Encargos e Benefícios'!X225+'Encargos e Benefícios'!Y225+'Encargos e Benefícios'!Z225+'Encargos e Benefícios'!AA225+'Encargos e Benefícios'!AB225+'Gastos com Pessoal'!P226+'Gastos com Pessoal'!V226+'Gastos com Pessoal'!AB226)*5.84%</f>
        <v>21.620452924340121</v>
      </c>
      <c r="AI226" s="256">
        <f>('Encargos e Benefícios'!V225+'Gastos com Pessoal'!Q226+'Gastos com Pessoal'!W226+'Gastos com Pessoal'!AC226)*5.84%</f>
        <v>7.7321248296591243</v>
      </c>
      <c r="AJ226" s="257"/>
      <c r="AK226" s="296">
        <f>'Encargos e Benefícios'!D225</f>
        <v>1465.88</v>
      </c>
      <c r="AL226" s="296">
        <f>IF('Encargos e Benefícios'!C225=0,0,'Encargos e Benefícios'!U225/'Encargos e Benefícios'!C225)</f>
        <v>1171.3195577777778</v>
      </c>
      <c r="AM226" s="296">
        <f>IF('Encargos e Benefícios'!C225=0,0,'Encargos e Benefícios'!AC225/'Encargos e Benefícios'!C225)</f>
        <v>953.12000000000012</v>
      </c>
      <c r="AN226" s="297">
        <f>IF('Encargos e Benefícios'!C225=0,0,'Encargos e Benefícios'!AD225/'Encargos e Benefícios'!C225)</f>
        <v>3590.3195577777778</v>
      </c>
      <c r="AO226" s="188">
        <v>1380.2</v>
      </c>
      <c r="AP226" s="298">
        <v>1320</v>
      </c>
      <c r="AQ226" s="298">
        <v>1440.4</v>
      </c>
      <c r="AR226" s="299" t="s">
        <v>116</v>
      </c>
      <c r="AS226" s="188"/>
    </row>
    <row r="227" spans="1:45">
      <c r="A227" s="286">
        <v>221</v>
      </c>
      <c r="B227" s="81" t="str">
        <f>'Encargos e Benefícios'!B226</f>
        <v>Motorista</v>
      </c>
      <c r="C227" s="287">
        <f>'Encargos e Benefícios'!C226</f>
        <v>1</v>
      </c>
      <c r="D227" s="288">
        <v>40</v>
      </c>
      <c r="E227" s="300">
        <v>45658</v>
      </c>
      <c r="F227" s="301">
        <v>47058</v>
      </c>
      <c r="G227" s="293"/>
      <c r="H227" s="294"/>
      <c r="I227" s="256"/>
      <c r="J227" s="256"/>
      <c r="K227" s="256"/>
      <c r="L227" s="256"/>
      <c r="M227" s="293">
        <v>45778</v>
      </c>
      <c r="N227" s="294">
        <v>5.8400000000000001E-2</v>
      </c>
      <c r="O227" s="256">
        <f>'Encargos e Benefícios'!W226*5.84%</f>
        <v>30.905280000000001</v>
      </c>
      <c r="P227" s="256">
        <f>('Encargos e Benefícios'!X226+'Encargos e Benefícios'!Y226+'Encargos e Benefícios'!Z226+'Encargos e Benefícios'!AA226+'Encargos e Benefícios'!AB226)*5.84%</f>
        <v>18.235399999999998</v>
      </c>
      <c r="Q227" s="256">
        <f>'Encargos e Benefícios'!V226*5.84%</f>
        <v>6.521528</v>
      </c>
      <c r="R227" s="256"/>
      <c r="S227" s="293">
        <v>46143</v>
      </c>
      <c r="T227" s="294">
        <v>5.8400000000000001E-2</v>
      </c>
      <c r="U227" s="256">
        <f>('Encargos e Benefícios'!W226+'Gastos com Pessoal'!O227)*5.84%</f>
        <v>32.710148351999997</v>
      </c>
      <c r="V227" s="256">
        <f>('Encargos e Benefícios'!X226+'Encargos e Benefícios'!Y226+'Encargos e Benefícios'!Z226+'Encargos e Benefícios'!AA226+'Encargos e Benefícios'!AB226+'Gastos com Pessoal'!P227)*5.84%</f>
        <v>19.300347360000004</v>
      </c>
      <c r="W227" s="256">
        <f>('Encargos e Benefícios'!V226+'Gastos com Pessoal'!Q227)*5.84%</f>
        <v>6.9023852352000006</v>
      </c>
      <c r="X227" s="256"/>
      <c r="Y227" s="293">
        <v>46508</v>
      </c>
      <c r="Z227" s="294">
        <v>5.8400000000000001E-2</v>
      </c>
      <c r="AA227" s="256">
        <f>('Encargos e Benefícios'!W226+'Gastos com Pessoal'!O227+'Gastos com Pessoal'!U227)*5.84%</f>
        <v>34.620421015756804</v>
      </c>
      <c r="AB227" s="256">
        <f>('Encargos e Benefícios'!X226+'Encargos e Benefícios'!Y226+'Encargos e Benefícios'!Z226+'Encargos e Benefícios'!AA226+'Encargos e Benefícios'!AB226+'Gastos com Pessoal'!P227+'Gastos com Pessoal'!V227)*5.84%</f>
        <v>20.427487645824002</v>
      </c>
      <c r="AC227" s="256">
        <f>('Encargos e Benefícios'!V226+'Gastos com Pessoal'!Q227+'Gastos com Pessoal'!W227)*5.84%</f>
        <v>7.3054845329356803</v>
      </c>
      <c r="AD227" s="256"/>
      <c r="AE227" s="293">
        <v>46874</v>
      </c>
      <c r="AF227" s="294">
        <v>5.8400000000000001E-2</v>
      </c>
      <c r="AG227" s="256">
        <f>('Encargos e Benefícios'!W226+'Gastos com Pessoal'!O227+'Gastos com Pessoal'!U227+'Gastos com Pessoal'!AA227)*5.84%</f>
        <v>36.642253603077002</v>
      </c>
      <c r="AH227" s="256">
        <f>('Encargos e Benefícios'!X226+'Encargos e Benefícios'!Y226+'Encargos e Benefícios'!Z226+'Encargos e Benefícios'!AA226+'Encargos e Benefícios'!AB226+'Gastos com Pessoal'!P227+'Gastos com Pessoal'!V227+'Gastos com Pessoal'!AB227)*5.84%</f>
        <v>21.620452924340121</v>
      </c>
      <c r="AI227" s="256">
        <f>('Encargos e Benefícios'!V226+'Gastos com Pessoal'!Q227+'Gastos com Pessoal'!W227+'Gastos com Pessoal'!AC227)*5.84%</f>
        <v>7.7321248296591243</v>
      </c>
      <c r="AJ227" s="257"/>
      <c r="AK227" s="296">
        <f>'Encargos e Benefícios'!D226</f>
        <v>1537.21</v>
      </c>
      <c r="AL227" s="296">
        <f>IF('Encargos e Benefícios'!C226=0,0,'Encargos e Benefícios'!U226/'Encargos e Benefícios'!C226)</f>
        <v>1228.3161905555557</v>
      </c>
      <c r="AM227" s="296">
        <f>IF('Encargos e Benefícios'!C226=0,0,'Encargos e Benefícios'!AC226/'Encargos e Benefícios'!C226)</f>
        <v>953.12000000000012</v>
      </c>
      <c r="AN227" s="297">
        <f>IF('Encargos e Benefícios'!C226=0,0,'Encargos e Benefícios'!AD226/'Encargos e Benefícios'!C226)</f>
        <v>3718.6461905555561</v>
      </c>
      <c r="AO227" s="188">
        <v>1676.09</v>
      </c>
      <c r="AP227" s="298">
        <v>1377.85</v>
      </c>
      <c r="AQ227" s="298">
        <v>1974.32</v>
      </c>
      <c r="AR227" s="299" t="s">
        <v>116</v>
      </c>
      <c r="AS227" s="188"/>
    </row>
    <row r="228" spans="1:45">
      <c r="A228" s="286">
        <v>222</v>
      </c>
      <c r="B228" s="81" t="str">
        <f>'Encargos e Benefícios'!B227</f>
        <v>Socioeducador - DC</v>
      </c>
      <c r="C228" s="287">
        <f>'Encargos e Benefícios'!C227</f>
        <v>2</v>
      </c>
      <c r="D228" s="288" t="s">
        <v>496</v>
      </c>
      <c r="E228" s="300">
        <v>45658</v>
      </c>
      <c r="F228" s="301">
        <v>47058</v>
      </c>
      <c r="G228" s="293"/>
      <c r="H228" s="294"/>
      <c r="I228" s="256"/>
      <c r="J228" s="256"/>
      <c r="K228" s="256"/>
      <c r="L228" s="256"/>
      <c r="M228" s="293">
        <v>45778</v>
      </c>
      <c r="N228" s="294">
        <v>5.8400000000000001E-2</v>
      </c>
      <c r="O228" s="256">
        <f>'Encargos e Benefícios'!W227*5.84%</f>
        <v>61.810560000000002</v>
      </c>
      <c r="P228" s="256">
        <f>('Encargos e Benefícios'!X227+'Encargos e Benefícios'!Y227+'Encargos e Benefícios'!Z227+'Encargos e Benefícios'!AA227+'Encargos e Benefícios'!AB227)*5.84%</f>
        <v>36.470799999999997</v>
      </c>
      <c r="Q228" s="256">
        <f>'Encargos e Benefícios'!V227*5.84%</f>
        <v>8.8931520000000006</v>
      </c>
      <c r="R228" s="256"/>
      <c r="S228" s="293">
        <v>46143</v>
      </c>
      <c r="T228" s="294">
        <v>5.8400000000000001E-2</v>
      </c>
      <c r="U228" s="256">
        <f>('Encargos e Benefícios'!W227+'Gastos com Pessoal'!O228)*5.84%</f>
        <v>65.420296703999995</v>
      </c>
      <c r="V228" s="256">
        <f>('Encargos e Benefícios'!X227+'Encargos e Benefícios'!Y227+'Encargos e Benefícios'!Z227+'Encargos e Benefícios'!AA227+'Encargos e Benefícios'!AB227+'Gastos com Pessoal'!P228)*5.84%</f>
        <v>38.600694720000007</v>
      </c>
      <c r="W228" s="256">
        <f>('Encargos e Benefícios'!V227+'Gastos com Pessoal'!Q228)*5.84%</f>
        <v>9.4125120768000006</v>
      </c>
      <c r="X228" s="256"/>
      <c r="Y228" s="293">
        <v>46508</v>
      </c>
      <c r="Z228" s="294">
        <v>5.8400000000000001E-2</v>
      </c>
      <c r="AA228" s="256">
        <f>('Encargos e Benefícios'!W227+'Gastos com Pessoal'!O228+'Gastos com Pessoal'!U228)*5.84%</f>
        <v>69.240842031513608</v>
      </c>
      <c r="AB228" s="256">
        <f>('Encargos e Benefícios'!X227+'Encargos e Benefícios'!Y227+'Encargos e Benefícios'!Z227+'Encargos e Benefícios'!AA227+'Encargos e Benefícios'!AB227+'Gastos com Pessoal'!P228+'Gastos com Pessoal'!V228)*5.84%</f>
        <v>40.854975291648003</v>
      </c>
      <c r="AC228" s="256">
        <f>('Encargos e Benefícios'!V227+'Gastos com Pessoal'!Q228+'Gastos com Pessoal'!W228)*5.84%</f>
        <v>9.9622027820851216</v>
      </c>
      <c r="AD228" s="256"/>
      <c r="AE228" s="293">
        <v>46874</v>
      </c>
      <c r="AF228" s="294">
        <v>5.8400000000000001E-2</v>
      </c>
      <c r="AG228" s="256">
        <f>('Encargos e Benefícios'!W227+'Gastos com Pessoal'!O228+'Gastos com Pessoal'!U228+'Gastos com Pessoal'!AA228)*5.84%</f>
        <v>73.284507206154004</v>
      </c>
      <c r="AH228" s="256">
        <f>('Encargos e Benefícios'!X227+'Encargos e Benefícios'!Y227+'Encargos e Benefícios'!Z227+'Encargos e Benefícios'!AA227+'Encargos e Benefícios'!AB227+'Gastos com Pessoal'!P228+'Gastos com Pessoal'!V228+'Gastos com Pessoal'!AB228)*5.84%</f>
        <v>43.240905848680242</v>
      </c>
      <c r="AI228" s="256">
        <f>('Encargos e Benefícios'!V227+'Gastos com Pessoal'!Q228+'Gastos com Pessoal'!W228+'Gastos com Pessoal'!AC228)*5.84%</f>
        <v>10.543995424558892</v>
      </c>
      <c r="AJ228" s="257"/>
      <c r="AK228" s="296">
        <f>'Encargos e Benefícios'!D227</f>
        <v>2010.96</v>
      </c>
      <c r="AL228" s="296">
        <f>IF('Encargos e Benefícios'!C227=0,0,'Encargos e Benefícios'!U227/'Encargos e Benefícios'!C227)</f>
        <v>2942.4053904000002</v>
      </c>
      <c r="AM228" s="296">
        <f>IF('Encargos e Benefícios'!C227=0,0,'Encargos e Benefícios'!AC227/'Encargos e Benefícios'!C227)</f>
        <v>917.59000000000015</v>
      </c>
      <c r="AN228" s="297">
        <f>IF('Encargos e Benefícios'!C227=0,0,'Encargos e Benefícios'!AD227/'Encargos e Benefícios'!C227)</f>
        <v>5870.9553904000004</v>
      </c>
      <c r="AO228" s="188">
        <v>3219.15</v>
      </c>
      <c r="AP228" s="298">
        <v>1764.5</v>
      </c>
      <c r="AQ228" s="298">
        <v>4673.8</v>
      </c>
      <c r="AR228" s="299" t="s">
        <v>116</v>
      </c>
      <c r="AS228" s="188"/>
    </row>
    <row r="229" spans="1:45">
      <c r="A229" s="286">
        <v>223</v>
      </c>
      <c r="B229" s="81" t="str">
        <f>'Encargos e Benefícios'!B228</f>
        <v>Socioeducador - D</v>
      </c>
      <c r="C229" s="287">
        <f>'Encargos e Benefícios'!C228</f>
        <v>12</v>
      </c>
      <c r="D229" s="288" t="s">
        <v>496</v>
      </c>
      <c r="E229" s="300">
        <v>45658</v>
      </c>
      <c r="F229" s="301">
        <v>47058</v>
      </c>
      <c r="G229" s="293"/>
      <c r="H229" s="294"/>
      <c r="I229" s="256"/>
      <c r="J229" s="256"/>
      <c r="K229" s="256"/>
      <c r="L229" s="256"/>
      <c r="M229" s="293">
        <v>45778</v>
      </c>
      <c r="N229" s="294">
        <v>5.8400000000000001E-2</v>
      </c>
      <c r="O229" s="256">
        <f>'Encargos e Benefícios'!W228*5.84%</f>
        <v>370.86336000000006</v>
      </c>
      <c r="P229" s="256">
        <f>('Encargos e Benefícios'!X228+'Encargos e Benefícios'!Y228+'Encargos e Benefícios'!Z228+'Encargos e Benefícios'!AA228+'Encargos e Benefícios'!AB228)*5.84%</f>
        <v>218.82480000000001</v>
      </c>
      <c r="Q229" s="256">
        <f>'Encargos e Benefícios'!V228*5.84%</f>
        <v>53.358912000000004</v>
      </c>
      <c r="R229" s="256"/>
      <c r="S229" s="293">
        <v>46143</v>
      </c>
      <c r="T229" s="294">
        <v>5.8400000000000001E-2</v>
      </c>
      <c r="U229" s="256">
        <f>('Encargos e Benefícios'!W228+'Gastos com Pessoal'!O229)*5.84%</f>
        <v>392.52178022400005</v>
      </c>
      <c r="V229" s="256">
        <f>('Encargos e Benefícios'!X228+'Encargos e Benefícios'!Y228+'Encargos e Benefícios'!Z228+'Encargos e Benefícios'!AA228+'Encargos e Benefícios'!AB228+'Gastos com Pessoal'!P229)*5.84%</f>
        <v>231.60416831999999</v>
      </c>
      <c r="W229" s="256">
        <f>('Encargos e Benefícios'!V228+'Gastos com Pessoal'!Q229)*5.84%</f>
        <v>56.475072460800007</v>
      </c>
      <c r="X229" s="256"/>
      <c r="Y229" s="293">
        <v>46508</v>
      </c>
      <c r="Z229" s="294">
        <v>5.8400000000000001E-2</v>
      </c>
      <c r="AA229" s="256">
        <f>('Encargos e Benefícios'!W228+'Gastos com Pessoal'!O229+'Gastos com Pessoal'!U229)*5.84%</f>
        <v>415.44505218908165</v>
      </c>
      <c r="AB229" s="256">
        <f>('Encargos e Benefícios'!X228+'Encargos e Benefícios'!Y228+'Encargos e Benefícios'!Z228+'Encargos e Benefícios'!AA228+'Encargos e Benefícios'!AB228+'Gastos com Pessoal'!P229+'Gastos com Pessoal'!V229)*5.84%</f>
        <v>245.12985174988796</v>
      </c>
      <c r="AC229" s="256">
        <f>('Encargos e Benefícios'!V228+'Gastos com Pessoal'!Q229+'Gastos com Pessoal'!W229)*5.84%</f>
        <v>59.773216692510722</v>
      </c>
      <c r="AD229" s="256"/>
      <c r="AE229" s="293">
        <v>46874</v>
      </c>
      <c r="AF229" s="294">
        <v>5.8400000000000001E-2</v>
      </c>
      <c r="AG229" s="256">
        <f>('Encargos e Benefícios'!W228+'Gastos com Pessoal'!O229+'Gastos com Pessoal'!U229+'Gastos com Pessoal'!AA229)*5.84%</f>
        <v>439.70704323692399</v>
      </c>
      <c r="AH229" s="256">
        <f>('Encargos e Benefícios'!X228+'Encargos e Benefícios'!Y228+'Encargos e Benefícios'!Z228+'Encargos e Benefícios'!AA228+'Encargos e Benefícios'!AB228+'Gastos com Pessoal'!P229+'Gastos com Pessoal'!V229+'Gastos com Pessoal'!AB229)*5.84%</f>
        <v>259.44543509208142</v>
      </c>
      <c r="AI229" s="256">
        <f>('Encargos e Benefícios'!V228+'Gastos com Pessoal'!Q229+'Gastos com Pessoal'!W229+'Gastos com Pessoal'!AC229)*5.84%</f>
        <v>63.263972547353355</v>
      </c>
      <c r="AJ229" s="257"/>
      <c r="AK229" s="296">
        <f>'Encargos e Benefícios'!D228</f>
        <v>2010.96</v>
      </c>
      <c r="AL229" s="296">
        <f>IF('Encargos e Benefícios'!C228=0,0,'Encargos e Benefícios'!U228/'Encargos e Benefícios'!C228)</f>
        <v>2591.2415003999999</v>
      </c>
      <c r="AM229" s="296">
        <f>IF('Encargos e Benefícios'!C228=0,0,'Encargos e Benefícios'!AC228/'Encargos e Benefícios'!C228)</f>
        <v>917.59</v>
      </c>
      <c r="AN229" s="297">
        <f>IF('Encargos e Benefícios'!C228=0,0,'Encargos e Benefícios'!AD228/'Encargos e Benefícios'!C228)</f>
        <v>5519.7915003999997</v>
      </c>
      <c r="AO229" s="188">
        <v>3219.15</v>
      </c>
      <c r="AP229" s="298">
        <v>1764.5</v>
      </c>
      <c r="AQ229" s="298">
        <v>4673.8</v>
      </c>
      <c r="AR229" s="299" t="s">
        <v>116</v>
      </c>
      <c r="AS229" s="188"/>
    </row>
    <row r="230" spans="1:45">
      <c r="A230" s="286">
        <v>224</v>
      </c>
      <c r="B230" s="81" t="str">
        <f>'Encargos e Benefícios'!B229</f>
        <v>Socioeducador - NC</v>
      </c>
      <c r="C230" s="287">
        <f>'Encargos e Benefícios'!C229</f>
        <v>2</v>
      </c>
      <c r="D230" s="288" t="s">
        <v>496</v>
      </c>
      <c r="E230" s="300">
        <v>45658</v>
      </c>
      <c r="F230" s="301">
        <v>47058</v>
      </c>
      <c r="G230" s="293"/>
      <c r="H230" s="294"/>
      <c r="I230" s="256"/>
      <c r="J230" s="256"/>
      <c r="K230" s="256"/>
      <c r="L230" s="256"/>
      <c r="M230" s="293">
        <v>45778</v>
      </c>
      <c r="N230" s="294">
        <v>5.8400000000000001E-2</v>
      </c>
      <c r="O230" s="256">
        <f>'Encargos e Benefícios'!W229*5.84%</f>
        <v>61.810560000000002</v>
      </c>
      <c r="P230" s="256">
        <f>('Encargos e Benefícios'!X229+'Encargos e Benefícios'!Y229+'Encargos e Benefícios'!Z229+'Encargos e Benefícios'!AA229+'Encargos e Benefícios'!AB229)*5.84%</f>
        <v>36.470799999999997</v>
      </c>
      <c r="Q230" s="256">
        <f>'Encargos e Benefícios'!V229*5.84%</f>
        <v>8.8931520000000006</v>
      </c>
      <c r="R230" s="256"/>
      <c r="S230" s="293">
        <v>46143</v>
      </c>
      <c r="T230" s="294">
        <v>5.8400000000000001E-2</v>
      </c>
      <c r="U230" s="256">
        <f>('Encargos e Benefícios'!W229+'Gastos com Pessoal'!O230)*5.84%</f>
        <v>65.420296703999995</v>
      </c>
      <c r="V230" s="256">
        <f>('Encargos e Benefícios'!X229+'Encargos e Benefícios'!Y229+'Encargos e Benefícios'!Z229+'Encargos e Benefícios'!AA229+'Encargos e Benefícios'!AB229+'Gastos com Pessoal'!P230)*5.84%</f>
        <v>38.600694720000007</v>
      </c>
      <c r="W230" s="256">
        <f>('Encargos e Benefícios'!V229+'Gastos com Pessoal'!Q230)*5.84%</f>
        <v>9.4125120768000006</v>
      </c>
      <c r="X230" s="256"/>
      <c r="Y230" s="293">
        <v>46508</v>
      </c>
      <c r="Z230" s="294">
        <v>5.8400000000000001E-2</v>
      </c>
      <c r="AA230" s="256">
        <f>('Encargos e Benefícios'!W229+'Gastos com Pessoal'!O230+'Gastos com Pessoal'!U230)*5.84%</f>
        <v>69.240842031513608</v>
      </c>
      <c r="AB230" s="256">
        <f>('Encargos e Benefícios'!X229+'Encargos e Benefícios'!Y229+'Encargos e Benefícios'!Z229+'Encargos e Benefícios'!AA229+'Encargos e Benefícios'!AB229+'Gastos com Pessoal'!P230+'Gastos com Pessoal'!V230)*5.84%</f>
        <v>40.854975291648003</v>
      </c>
      <c r="AC230" s="256">
        <f>('Encargos e Benefícios'!V229+'Gastos com Pessoal'!Q230+'Gastos com Pessoal'!W230)*5.84%</f>
        <v>9.9622027820851216</v>
      </c>
      <c r="AD230" s="256"/>
      <c r="AE230" s="293">
        <v>46874</v>
      </c>
      <c r="AF230" s="294">
        <v>5.8400000000000001E-2</v>
      </c>
      <c r="AG230" s="256">
        <f>('Encargos e Benefícios'!W229+'Gastos com Pessoal'!O230+'Gastos com Pessoal'!U230+'Gastos com Pessoal'!AA230)*5.84%</f>
        <v>73.284507206154004</v>
      </c>
      <c r="AH230" s="256">
        <f>('Encargos e Benefícios'!X229+'Encargos e Benefícios'!Y229+'Encargos e Benefícios'!Z229+'Encargos e Benefícios'!AA229+'Encargos e Benefícios'!AB229+'Gastos com Pessoal'!P230+'Gastos com Pessoal'!V230+'Gastos com Pessoal'!AB230)*5.84%</f>
        <v>43.240905848680242</v>
      </c>
      <c r="AI230" s="256">
        <f>('Encargos e Benefícios'!V229+'Gastos com Pessoal'!Q230+'Gastos com Pessoal'!W230+'Gastos com Pessoal'!AC230)*5.84%</f>
        <v>10.543995424558892</v>
      </c>
      <c r="AJ230" s="257"/>
      <c r="AK230" s="296">
        <f>'Encargos e Benefícios'!D229</f>
        <v>2010.96</v>
      </c>
      <c r="AL230" s="296">
        <f>IF('Encargos e Benefícios'!C229=0,0,'Encargos e Benefícios'!U229/'Encargos e Benefícios'!C229)</f>
        <v>3553.5688062933345</v>
      </c>
      <c r="AM230" s="296">
        <f>IF('Encargos e Benefícios'!C229=0,0,'Encargos e Benefícios'!AC229/'Encargos e Benefícios'!C229)</f>
        <v>917.59000000000015</v>
      </c>
      <c r="AN230" s="297">
        <f>IF('Encargos e Benefícios'!C229=0,0,'Encargos e Benefícios'!AD229/'Encargos e Benefícios'!C229)</f>
        <v>6482.1188062933343</v>
      </c>
      <c r="AO230" s="188">
        <v>3219.15</v>
      </c>
      <c r="AP230" s="298">
        <v>1764.5</v>
      </c>
      <c r="AQ230" s="298">
        <v>4673.8</v>
      </c>
      <c r="AR230" s="299" t="s">
        <v>116</v>
      </c>
      <c r="AS230" s="188"/>
    </row>
    <row r="231" spans="1:45" ht="13" thickBot="1">
      <c r="A231" s="286">
        <v>225</v>
      </c>
      <c r="B231" s="81" t="str">
        <f>'Encargos e Benefícios'!B230</f>
        <v>Socioeducador - N</v>
      </c>
      <c r="C231" s="287">
        <f>'Encargos e Benefícios'!C230</f>
        <v>6</v>
      </c>
      <c r="D231" s="288" t="s">
        <v>496</v>
      </c>
      <c r="E231" s="300">
        <v>45658</v>
      </c>
      <c r="F231" s="301">
        <v>47058</v>
      </c>
      <c r="G231" s="293"/>
      <c r="H231" s="294"/>
      <c r="I231" s="256"/>
      <c r="J231" s="256"/>
      <c r="K231" s="256"/>
      <c r="L231" s="256"/>
      <c r="M231" s="293">
        <v>45778</v>
      </c>
      <c r="N231" s="294">
        <v>5.8400000000000001E-2</v>
      </c>
      <c r="O231" s="256">
        <f>'Encargos e Benefícios'!W230*5.84%</f>
        <v>185.43168000000003</v>
      </c>
      <c r="P231" s="256">
        <f>('Encargos e Benefícios'!X230+'Encargos e Benefícios'!Y230+'Encargos e Benefícios'!Z230+'Encargos e Benefícios'!AA230+'Encargos e Benefícios'!AB230)*5.84%</f>
        <v>109.41240000000001</v>
      </c>
      <c r="Q231" s="256">
        <f>'Encargos e Benefícios'!V230*5.84%</f>
        <v>26.679456000000002</v>
      </c>
      <c r="R231" s="256"/>
      <c r="S231" s="293">
        <v>46143</v>
      </c>
      <c r="T231" s="294">
        <v>5.8400000000000001E-2</v>
      </c>
      <c r="U231" s="256">
        <f>('Encargos e Benefícios'!W230+'Gastos com Pessoal'!O231)*5.84%</f>
        <v>196.26089011200003</v>
      </c>
      <c r="V231" s="256">
        <f>('Encargos e Benefícios'!X230+'Encargos e Benefícios'!Y230+'Encargos e Benefícios'!Z230+'Encargos e Benefícios'!AA230+'Encargos e Benefícios'!AB230+'Gastos com Pessoal'!P231)*5.84%</f>
        <v>115.80208415999999</v>
      </c>
      <c r="W231" s="256">
        <f>('Encargos e Benefícios'!V230+'Gastos com Pessoal'!Q231)*5.84%</f>
        <v>28.237536230400003</v>
      </c>
      <c r="X231" s="256"/>
      <c r="Y231" s="293">
        <v>46508</v>
      </c>
      <c r="Z231" s="294">
        <v>5.8400000000000001E-2</v>
      </c>
      <c r="AA231" s="256">
        <f>('Encargos e Benefícios'!W230+'Gastos com Pessoal'!O231+'Gastos com Pessoal'!U231)*5.84%</f>
        <v>207.72252609454083</v>
      </c>
      <c r="AB231" s="256">
        <f>('Encargos e Benefícios'!X230+'Encargos e Benefícios'!Y230+'Encargos e Benefícios'!Z230+'Encargos e Benefícios'!AA230+'Encargos e Benefícios'!AB230+'Gastos com Pessoal'!P231+'Gastos com Pessoal'!V231)*5.84%</f>
        <v>122.56492587494398</v>
      </c>
      <c r="AC231" s="256">
        <f>('Encargos e Benefícios'!V230+'Gastos com Pessoal'!Q231+'Gastos com Pessoal'!W231)*5.84%</f>
        <v>29.886608346255361</v>
      </c>
      <c r="AD231" s="256"/>
      <c r="AE231" s="293">
        <v>46874</v>
      </c>
      <c r="AF231" s="294">
        <v>5.8400000000000001E-2</v>
      </c>
      <c r="AG231" s="256">
        <f>('Encargos e Benefícios'!W230+'Gastos com Pessoal'!O231+'Gastos com Pessoal'!U231+'Gastos com Pessoal'!AA231)*5.84%</f>
        <v>219.853521618462</v>
      </c>
      <c r="AH231" s="256">
        <f>('Encargos e Benefícios'!X230+'Encargos e Benefícios'!Y230+'Encargos e Benefícios'!Z230+'Encargos e Benefícios'!AA230+'Encargos e Benefícios'!AB230+'Gastos com Pessoal'!P231+'Gastos com Pessoal'!V231+'Gastos com Pessoal'!AB231)*5.84%</f>
        <v>129.72271754604071</v>
      </c>
      <c r="AI231" s="256">
        <f>('Encargos e Benefícios'!V230+'Gastos com Pessoal'!Q231+'Gastos com Pessoal'!W231+'Gastos com Pessoal'!AC231)*5.84%</f>
        <v>31.631986273676677</v>
      </c>
      <c r="AJ231" s="257"/>
      <c r="AK231" s="296">
        <f>'Encargos e Benefícios'!D230</f>
        <v>2010.96</v>
      </c>
      <c r="AL231" s="296">
        <f>IF('Encargos e Benefícios'!C230=0,0,'Encargos e Benefícios'!U230/'Encargos e Benefícios'!C230)</f>
        <v>3202.4049162933329</v>
      </c>
      <c r="AM231" s="296">
        <f>IF('Encargos e Benefícios'!C230=0,0,'Encargos e Benefícios'!AC230/'Encargos e Benefícios'!C230)</f>
        <v>917.59</v>
      </c>
      <c r="AN231" s="297">
        <f>IF('Encargos e Benefícios'!C230=0,0,'Encargos e Benefícios'!AD230/'Encargos e Benefícios'!C230)</f>
        <v>6130.9549162933326</v>
      </c>
      <c r="AO231" s="188">
        <v>3219.15</v>
      </c>
      <c r="AP231" s="298">
        <v>1764.5</v>
      </c>
      <c r="AQ231" s="298">
        <v>4673.8</v>
      </c>
      <c r="AR231" s="299" t="s">
        <v>116</v>
      </c>
      <c r="AS231" s="188"/>
    </row>
    <row r="232" spans="1:45">
      <c r="A232" s="286">
        <v>226</v>
      </c>
      <c r="B232" s="81" t="str">
        <f>'Encargos e Benefícios'!B231</f>
        <v>Diretor Geral de Unidade Socioeducativa</v>
      </c>
      <c r="C232" s="287">
        <f>'Encargos e Benefícios'!C231</f>
        <v>1</v>
      </c>
      <c r="D232" s="288">
        <v>40</v>
      </c>
      <c r="E232" s="289">
        <v>45658</v>
      </c>
      <c r="F232" s="290">
        <v>47058</v>
      </c>
      <c r="G232" s="293"/>
      <c r="H232" s="294"/>
      <c r="I232" s="256"/>
      <c r="J232" s="256"/>
      <c r="K232" s="256"/>
      <c r="L232" s="256"/>
      <c r="M232" s="293">
        <v>45778</v>
      </c>
      <c r="N232" s="294">
        <v>5.8400000000000001E-2</v>
      </c>
      <c r="O232" s="256">
        <f>'Encargos e Benefícios'!W231*5.84%</f>
        <v>30.905280000000001</v>
      </c>
      <c r="P232" s="256">
        <f>('Encargos e Benefícios'!X231+'Encargos e Benefícios'!Y231+'Encargos e Benefícios'!Z231+'Encargos e Benefícios'!AA231+'Encargos e Benefícios'!AB231)*5.84%</f>
        <v>18.235399999999998</v>
      </c>
      <c r="Q232" s="256">
        <f>'Encargos e Benefícios'!V231*5.84%</f>
        <v>0</v>
      </c>
      <c r="R232" s="256"/>
      <c r="S232" s="293">
        <v>46143</v>
      </c>
      <c r="T232" s="294">
        <v>5.8400000000000001E-2</v>
      </c>
      <c r="U232" s="256">
        <f>('Encargos e Benefícios'!W231+'Gastos com Pessoal'!O232)*5.84%</f>
        <v>32.710148351999997</v>
      </c>
      <c r="V232" s="256">
        <f>('Encargos e Benefícios'!X231+'Encargos e Benefícios'!Y231+'Encargos e Benefícios'!Z231+'Encargos e Benefícios'!AA231+'Encargos e Benefícios'!AB231+'Gastos com Pessoal'!P232)*5.84%</f>
        <v>19.300347360000004</v>
      </c>
      <c r="W232" s="256">
        <f>('Encargos e Benefícios'!V231+'Gastos com Pessoal'!Q232)*5.84%</f>
        <v>0</v>
      </c>
      <c r="X232" s="256"/>
      <c r="Y232" s="293">
        <v>46508</v>
      </c>
      <c r="Z232" s="294">
        <v>5.8400000000000001E-2</v>
      </c>
      <c r="AA232" s="256">
        <f>('Encargos e Benefícios'!W231+'Gastos com Pessoal'!O232+'Gastos com Pessoal'!U232)*5.84%</f>
        <v>34.620421015756804</v>
      </c>
      <c r="AB232" s="256">
        <f>('Encargos e Benefícios'!X231+'Encargos e Benefícios'!Y231+'Encargos e Benefícios'!Z231+'Encargos e Benefícios'!AA231+'Encargos e Benefícios'!AB231+'Gastos com Pessoal'!P232+'Gastos com Pessoal'!V232)*5.84%</f>
        <v>20.427487645824002</v>
      </c>
      <c r="AC232" s="256">
        <f>('Encargos e Benefícios'!V231+'Gastos com Pessoal'!Q232+'Gastos com Pessoal'!W232)*5.84%</f>
        <v>0</v>
      </c>
      <c r="AD232" s="256"/>
      <c r="AE232" s="293">
        <v>46874</v>
      </c>
      <c r="AF232" s="294">
        <v>5.8400000000000001E-2</v>
      </c>
      <c r="AG232" s="256">
        <f>('Encargos e Benefícios'!W231+'Gastos com Pessoal'!O232+'Gastos com Pessoal'!U232+'Gastos com Pessoal'!AA232)*5.84%</f>
        <v>36.642253603077002</v>
      </c>
      <c r="AH232" s="256">
        <f>('Encargos e Benefícios'!X231+'Encargos e Benefícios'!Y231+'Encargos e Benefícios'!Z231+'Encargos e Benefícios'!AA231+'Encargos e Benefícios'!AB231+'Gastos com Pessoal'!P232+'Gastos com Pessoal'!V232+'Gastos com Pessoal'!AB232)*5.84%</f>
        <v>21.620452924340121</v>
      </c>
      <c r="AI232" s="256">
        <f>('Encargos e Benefícios'!V231+'Gastos com Pessoal'!Q232+'Gastos com Pessoal'!W232+'Gastos com Pessoal'!AC232)*5.84%</f>
        <v>0</v>
      </c>
      <c r="AJ232" s="257"/>
      <c r="AK232" s="296">
        <f>'Encargos e Benefícios'!D231</f>
        <v>6879.6</v>
      </c>
      <c r="AL232" s="296">
        <f>IF('Encargos e Benefícios'!C231=0,0,'Encargos e Benefícios'!U231/'Encargos e Benefícios'!C231)</f>
        <v>5400.8682000000008</v>
      </c>
      <c r="AM232" s="296">
        <f>IF('Encargos e Benefícios'!C231=0,0,'Encargos e Benefícios'!AC231/'Encargos e Benefícios'!C231)</f>
        <v>841.45</v>
      </c>
      <c r="AN232" s="297">
        <f>IF('Encargos e Benefícios'!C231=0,0,'Encargos e Benefícios'!AD231/'Encargos e Benefícios'!C231)</f>
        <v>13121.918200000002</v>
      </c>
      <c r="AO232" s="188">
        <v>6052.24</v>
      </c>
      <c r="AP232" s="298">
        <v>4239.6899999999996</v>
      </c>
      <c r="AQ232" s="298">
        <v>7864.78</v>
      </c>
      <c r="AR232" s="299" t="s">
        <v>117</v>
      </c>
      <c r="AS232" s="188"/>
    </row>
    <row r="233" spans="1:45">
      <c r="A233" s="286">
        <v>227</v>
      </c>
      <c r="B233" s="81" t="str">
        <f>'Encargos e Benefícios'!B232</f>
        <v>Subdiretor de Segurança</v>
      </c>
      <c r="C233" s="287">
        <f>'Encargos e Benefícios'!C232</f>
        <v>1</v>
      </c>
      <c r="D233" s="288">
        <v>40</v>
      </c>
      <c r="E233" s="300">
        <v>45658</v>
      </c>
      <c r="F233" s="301">
        <v>47058</v>
      </c>
      <c r="G233" s="293"/>
      <c r="H233" s="294"/>
      <c r="I233" s="256"/>
      <c r="J233" s="256"/>
      <c r="K233" s="256"/>
      <c r="L233" s="256"/>
      <c r="M233" s="293">
        <v>45778</v>
      </c>
      <c r="N233" s="294">
        <v>5.8400000000000001E-2</v>
      </c>
      <c r="O233" s="256">
        <f>'Encargos e Benefícios'!W232*5.84%</f>
        <v>30.905280000000001</v>
      </c>
      <c r="P233" s="256">
        <f>('Encargos e Benefícios'!X232+'Encargos e Benefícios'!Y232+'Encargos e Benefícios'!Z232+'Encargos e Benefícios'!AA232+'Encargos e Benefícios'!AB232)*5.84%</f>
        <v>18.235399999999998</v>
      </c>
      <c r="Q233" s="256">
        <f>'Encargos e Benefícios'!V232*5.84%</f>
        <v>0</v>
      </c>
      <c r="R233" s="256"/>
      <c r="S233" s="293">
        <v>46143</v>
      </c>
      <c r="T233" s="294">
        <v>5.8400000000000001E-2</v>
      </c>
      <c r="U233" s="256">
        <f>('Encargos e Benefícios'!W232+'Gastos com Pessoal'!O233)*5.84%</f>
        <v>32.710148351999997</v>
      </c>
      <c r="V233" s="256">
        <f>('Encargos e Benefícios'!X232+'Encargos e Benefícios'!Y232+'Encargos e Benefícios'!Z232+'Encargos e Benefícios'!AA232+'Encargos e Benefícios'!AB232+'Gastos com Pessoal'!P233)*5.84%</f>
        <v>19.300347360000004</v>
      </c>
      <c r="W233" s="256">
        <f>('Encargos e Benefícios'!V232+'Gastos com Pessoal'!Q233)*5.84%</f>
        <v>0</v>
      </c>
      <c r="X233" s="256"/>
      <c r="Y233" s="293">
        <v>46508</v>
      </c>
      <c r="Z233" s="294">
        <v>5.8400000000000001E-2</v>
      </c>
      <c r="AA233" s="256">
        <f>('Encargos e Benefícios'!W232+'Gastos com Pessoal'!O233+'Gastos com Pessoal'!U233)*5.84%</f>
        <v>34.620421015756804</v>
      </c>
      <c r="AB233" s="256">
        <f>('Encargos e Benefícios'!X232+'Encargos e Benefícios'!Y232+'Encargos e Benefícios'!Z232+'Encargos e Benefícios'!AA232+'Encargos e Benefícios'!AB232+'Gastos com Pessoal'!P233+'Gastos com Pessoal'!V233)*5.84%</f>
        <v>20.427487645824002</v>
      </c>
      <c r="AC233" s="256">
        <f>('Encargos e Benefícios'!V232+'Gastos com Pessoal'!Q233+'Gastos com Pessoal'!W233)*5.84%</f>
        <v>0</v>
      </c>
      <c r="AD233" s="256"/>
      <c r="AE233" s="293">
        <v>46874</v>
      </c>
      <c r="AF233" s="294">
        <v>5.8400000000000001E-2</v>
      </c>
      <c r="AG233" s="256">
        <f>('Encargos e Benefícios'!W232+'Gastos com Pessoal'!O233+'Gastos com Pessoal'!U233+'Gastos com Pessoal'!AA233)*5.84%</f>
        <v>36.642253603077002</v>
      </c>
      <c r="AH233" s="256">
        <f>('Encargos e Benefícios'!X232+'Encargos e Benefícios'!Y232+'Encargos e Benefícios'!Z232+'Encargos e Benefícios'!AA232+'Encargos e Benefícios'!AB232+'Gastos com Pessoal'!P233+'Gastos com Pessoal'!V233+'Gastos com Pessoal'!AB233)*5.84%</f>
        <v>21.620452924340121</v>
      </c>
      <c r="AI233" s="256">
        <f>('Encargos e Benefícios'!V232+'Gastos com Pessoal'!Q233+'Gastos com Pessoal'!W233+'Gastos com Pessoal'!AC233)*5.84%</f>
        <v>0</v>
      </c>
      <c r="AJ233" s="257"/>
      <c r="AK233" s="296">
        <f>'Encargos e Benefícios'!D232</f>
        <v>3993.98</v>
      </c>
      <c r="AL233" s="296">
        <f>IF('Encargos e Benefícios'!C232=0,0,'Encargos e Benefícios'!U232/'Encargos e Benefícios'!C232)</f>
        <v>4659.1662746111106</v>
      </c>
      <c r="AM233" s="296">
        <f>IF('Encargos e Benefícios'!C232=0,0,'Encargos e Benefícios'!AC232/'Encargos e Benefícios'!C232)</f>
        <v>841.45</v>
      </c>
      <c r="AN233" s="297">
        <f>IF('Encargos e Benefícios'!C232=0,0,'Encargos e Benefícios'!AD232/'Encargos e Benefícios'!C232)</f>
        <v>9494.5962746111109</v>
      </c>
      <c r="AO233" s="188">
        <v>4968.99</v>
      </c>
      <c r="AP233" s="298">
        <v>3773.6</v>
      </c>
      <c r="AQ233" s="298">
        <v>6164.38</v>
      </c>
      <c r="AR233" s="299" t="s">
        <v>117</v>
      </c>
      <c r="AS233" s="188"/>
    </row>
    <row r="234" spans="1:45">
      <c r="A234" s="286">
        <v>228</v>
      </c>
      <c r="B234" s="81" t="str">
        <f>'Encargos e Benefícios'!B233</f>
        <v>Advogado</v>
      </c>
      <c r="C234" s="287">
        <f>'Encargos e Benefícios'!C233</f>
        <v>1</v>
      </c>
      <c r="D234" s="288">
        <v>30</v>
      </c>
      <c r="E234" s="300">
        <v>45658</v>
      </c>
      <c r="F234" s="301">
        <v>47058</v>
      </c>
      <c r="G234" s="293"/>
      <c r="H234" s="294"/>
      <c r="I234" s="256"/>
      <c r="J234" s="256"/>
      <c r="K234" s="256"/>
      <c r="L234" s="256"/>
      <c r="M234" s="293">
        <v>45778</v>
      </c>
      <c r="N234" s="294">
        <v>5.8400000000000001E-2</v>
      </c>
      <c r="O234" s="256">
        <f>'Encargos e Benefícios'!W233*5.84%</f>
        <v>30.905280000000001</v>
      </c>
      <c r="P234" s="256">
        <f>('Encargos e Benefícios'!X233+'Encargos e Benefícios'!Y233+'Encargos e Benefícios'!Z233+'Encargos e Benefícios'!AA233+'Encargos e Benefícios'!AB233)*5.84%</f>
        <v>18.235399999999998</v>
      </c>
      <c r="Q234" s="256">
        <f>'Encargos e Benefícios'!V233*5.84%</f>
        <v>6.521528</v>
      </c>
      <c r="R234" s="256"/>
      <c r="S234" s="293">
        <v>46143</v>
      </c>
      <c r="T234" s="294">
        <v>5.8400000000000001E-2</v>
      </c>
      <c r="U234" s="256">
        <f>('Encargos e Benefícios'!W233+'Gastos com Pessoal'!O234)*5.84%</f>
        <v>32.710148351999997</v>
      </c>
      <c r="V234" s="256">
        <f>('Encargos e Benefícios'!X233+'Encargos e Benefícios'!Y233+'Encargos e Benefícios'!Z233+'Encargos e Benefícios'!AA233+'Encargos e Benefícios'!AB233+'Gastos com Pessoal'!P234)*5.84%</f>
        <v>19.300347360000004</v>
      </c>
      <c r="W234" s="256">
        <f>('Encargos e Benefícios'!V233+'Gastos com Pessoal'!Q234)*5.84%</f>
        <v>6.9023852352000006</v>
      </c>
      <c r="X234" s="256"/>
      <c r="Y234" s="293">
        <v>46508</v>
      </c>
      <c r="Z234" s="294">
        <v>5.8400000000000001E-2</v>
      </c>
      <c r="AA234" s="256">
        <f>('Encargos e Benefícios'!W233+'Gastos com Pessoal'!O234+'Gastos com Pessoal'!U234)*5.84%</f>
        <v>34.620421015756804</v>
      </c>
      <c r="AB234" s="256">
        <f>('Encargos e Benefícios'!X233+'Encargos e Benefícios'!Y233+'Encargos e Benefícios'!Z233+'Encargos e Benefícios'!AA233+'Encargos e Benefícios'!AB233+'Gastos com Pessoal'!P234+'Gastos com Pessoal'!V234)*5.84%</f>
        <v>20.427487645824002</v>
      </c>
      <c r="AC234" s="256">
        <f>('Encargos e Benefícios'!V233+'Gastos com Pessoal'!Q234+'Gastos com Pessoal'!W234)*5.84%</f>
        <v>7.3054845329356803</v>
      </c>
      <c r="AD234" s="256"/>
      <c r="AE234" s="293">
        <v>46874</v>
      </c>
      <c r="AF234" s="294">
        <v>5.8400000000000001E-2</v>
      </c>
      <c r="AG234" s="256">
        <f>('Encargos e Benefícios'!W233+'Gastos com Pessoal'!O234+'Gastos com Pessoal'!U234+'Gastos com Pessoal'!AA234)*5.84%</f>
        <v>36.642253603077002</v>
      </c>
      <c r="AH234" s="256">
        <f>('Encargos e Benefícios'!X233+'Encargos e Benefícios'!Y233+'Encargos e Benefícios'!Z233+'Encargos e Benefícios'!AA233+'Encargos e Benefícios'!AB233+'Gastos com Pessoal'!P234+'Gastos com Pessoal'!V234+'Gastos com Pessoal'!AB234)*5.84%</f>
        <v>21.620452924340121</v>
      </c>
      <c r="AI234" s="256">
        <f>('Encargos e Benefícios'!V233+'Gastos com Pessoal'!Q234+'Gastos com Pessoal'!W234+'Gastos com Pessoal'!AC234)*5.84%</f>
        <v>7.7321248296591243</v>
      </c>
      <c r="AJ234" s="257"/>
      <c r="AK234" s="296">
        <f>'Encargos e Benefícios'!D233</f>
        <v>2751.84</v>
      </c>
      <c r="AL234" s="296">
        <f>IF('Encargos e Benefícios'!C233=0,0,'Encargos e Benefícios'!U233/'Encargos e Benefícios'!C233)</f>
        <v>2198.8730400000004</v>
      </c>
      <c r="AM234" s="296">
        <f>IF('Encargos e Benefícios'!C233=0,0,'Encargos e Benefícios'!AC233/'Encargos e Benefícios'!C233)</f>
        <v>953.12000000000012</v>
      </c>
      <c r="AN234" s="297">
        <f>IF('Encargos e Benefícios'!C233=0,0,'Encargos e Benefícios'!AD233/'Encargos e Benefícios'!C233)</f>
        <v>5903.8330400000004</v>
      </c>
      <c r="AO234" s="188">
        <v>2365.86</v>
      </c>
      <c r="AP234" s="298">
        <v>1700</v>
      </c>
      <c r="AQ234" s="298">
        <v>3031.72</v>
      </c>
      <c r="AR234" s="299" t="s">
        <v>117</v>
      </c>
      <c r="AS234" s="188"/>
    </row>
    <row r="235" spans="1:45">
      <c r="A235" s="286">
        <v>229</v>
      </c>
      <c r="B235" s="81" t="str">
        <f>'Encargos e Benefícios'!B234</f>
        <v>Assistente Social</v>
      </c>
      <c r="C235" s="287">
        <f>'Encargos e Benefícios'!C234</f>
        <v>1</v>
      </c>
      <c r="D235" s="288">
        <v>30</v>
      </c>
      <c r="E235" s="300">
        <v>45658</v>
      </c>
      <c r="F235" s="301">
        <v>47058</v>
      </c>
      <c r="G235" s="293"/>
      <c r="H235" s="294"/>
      <c r="I235" s="256"/>
      <c r="J235" s="256"/>
      <c r="K235" s="256"/>
      <c r="L235" s="256"/>
      <c r="M235" s="293">
        <v>45778</v>
      </c>
      <c r="N235" s="294">
        <v>5.8400000000000001E-2</v>
      </c>
      <c r="O235" s="256">
        <f>'Encargos e Benefícios'!W234*5.84%</f>
        <v>30.905280000000001</v>
      </c>
      <c r="P235" s="256">
        <f>('Encargos e Benefícios'!X234+'Encargos e Benefícios'!Y234+'Encargos e Benefícios'!Z234+'Encargos e Benefícios'!AA234+'Encargos e Benefícios'!AB234)*5.84%</f>
        <v>18.235399999999998</v>
      </c>
      <c r="Q235" s="256">
        <f>'Encargos e Benefícios'!V234*5.84%</f>
        <v>6.521528</v>
      </c>
      <c r="R235" s="256"/>
      <c r="S235" s="293">
        <v>46143</v>
      </c>
      <c r="T235" s="294">
        <v>5.8400000000000001E-2</v>
      </c>
      <c r="U235" s="256">
        <f>('Encargos e Benefícios'!W234+'Gastos com Pessoal'!O235)*5.84%</f>
        <v>32.710148351999997</v>
      </c>
      <c r="V235" s="256">
        <f>('Encargos e Benefícios'!X234+'Encargos e Benefícios'!Y234+'Encargos e Benefícios'!Z234+'Encargos e Benefícios'!AA234+'Encargos e Benefícios'!AB234+'Gastos com Pessoal'!P235)*5.84%</f>
        <v>19.300347360000004</v>
      </c>
      <c r="W235" s="256">
        <f>('Encargos e Benefícios'!V234+'Gastos com Pessoal'!Q235)*5.84%</f>
        <v>6.9023852352000006</v>
      </c>
      <c r="X235" s="256"/>
      <c r="Y235" s="293">
        <v>46508</v>
      </c>
      <c r="Z235" s="294">
        <v>5.8400000000000001E-2</v>
      </c>
      <c r="AA235" s="256">
        <f>('Encargos e Benefícios'!W234+'Gastos com Pessoal'!O235+'Gastos com Pessoal'!U235)*5.84%</f>
        <v>34.620421015756804</v>
      </c>
      <c r="AB235" s="256">
        <f>('Encargos e Benefícios'!X234+'Encargos e Benefícios'!Y234+'Encargos e Benefícios'!Z234+'Encargos e Benefícios'!AA234+'Encargos e Benefícios'!AB234+'Gastos com Pessoal'!P235+'Gastos com Pessoal'!V235)*5.84%</f>
        <v>20.427487645824002</v>
      </c>
      <c r="AC235" s="256">
        <f>('Encargos e Benefícios'!V234+'Gastos com Pessoal'!Q235+'Gastos com Pessoal'!W235)*5.84%</f>
        <v>7.3054845329356803</v>
      </c>
      <c r="AD235" s="256"/>
      <c r="AE235" s="293">
        <v>46874</v>
      </c>
      <c r="AF235" s="294">
        <v>5.8400000000000001E-2</v>
      </c>
      <c r="AG235" s="256">
        <f>('Encargos e Benefícios'!W234+'Gastos com Pessoal'!O235+'Gastos com Pessoal'!U235+'Gastos com Pessoal'!AA235)*5.84%</f>
        <v>36.642253603077002</v>
      </c>
      <c r="AH235" s="256">
        <f>('Encargos e Benefícios'!X234+'Encargos e Benefícios'!Y234+'Encargos e Benefícios'!Z234+'Encargos e Benefícios'!AA234+'Encargos e Benefícios'!AB234+'Gastos com Pessoal'!P235+'Gastos com Pessoal'!V235+'Gastos com Pessoal'!AB235)*5.84%</f>
        <v>21.620452924340121</v>
      </c>
      <c r="AI235" s="256">
        <f>('Encargos e Benefícios'!V234+'Gastos com Pessoal'!Q235+'Gastos com Pessoal'!W235+'Gastos com Pessoal'!AC235)*5.84%</f>
        <v>7.7321248296591243</v>
      </c>
      <c r="AJ235" s="257"/>
      <c r="AK235" s="296">
        <f>'Encargos e Benefícios'!D234</f>
        <v>2751.84</v>
      </c>
      <c r="AL235" s="296">
        <f>IF('Encargos e Benefícios'!C234=0,0,'Encargos e Benefícios'!U234/'Encargos e Benefícios'!C234)</f>
        <v>2198.8730400000004</v>
      </c>
      <c r="AM235" s="296">
        <f>IF('Encargos e Benefícios'!C234=0,0,'Encargos e Benefícios'!AC234/'Encargos e Benefícios'!C234)</f>
        <v>953.12000000000012</v>
      </c>
      <c r="AN235" s="297">
        <f>IF('Encargos e Benefícios'!C234=0,0,'Encargos e Benefícios'!AD234/'Encargos e Benefícios'!C234)</f>
        <v>5903.8330400000004</v>
      </c>
      <c r="AO235" s="188">
        <v>3479.77</v>
      </c>
      <c r="AP235" s="298">
        <v>2252.3200000000002</v>
      </c>
      <c r="AQ235" s="298">
        <v>4707.22</v>
      </c>
      <c r="AR235" s="299" t="s">
        <v>117</v>
      </c>
      <c r="AS235" s="188"/>
    </row>
    <row r="236" spans="1:45">
      <c r="A236" s="286">
        <v>230</v>
      </c>
      <c r="B236" s="81" t="str">
        <f>'Encargos e Benefícios'!B235</f>
        <v>Pedagogo</v>
      </c>
      <c r="C236" s="287">
        <f>'Encargos e Benefícios'!C235</f>
        <v>1</v>
      </c>
      <c r="D236" s="288">
        <v>30</v>
      </c>
      <c r="E236" s="300">
        <v>45658</v>
      </c>
      <c r="F236" s="301">
        <v>47058</v>
      </c>
      <c r="G236" s="293"/>
      <c r="H236" s="294"/>
      <c r="I236" s="256"/>
      <c r="J236" s="256"/>
      <c r="K236" s="256"/>
      <c r="L236" s="256"/>
      <c r="M236" s="293">
        <v>45778</v>
      </c>
      <c r="N236" s="294">
        <v>5.8400000000000001E-2</v>
      </c>
      <c r="O236" s="256">
        <f>'Encargos e Benefícios'!W235*5.84%</f>
        <v>30.905280000000001</v>
      </c>
      <c r="P236" s="256">
        <f>('Encargos e Benefícios'!X235+'Encargos e Benefícios'!Y235+'Encargos e Benefícios'!Z235+'Encargos e Benefícios'!AA235+'Encargos e Benefícios'!AB235)*5.84%</f>
        <v>18.235399999999998</v>
      </c>
      <c r="Q236" s="256">
        <f>'Encargos e Benefícios'!V235*5.84%</f>
        <v>6.521528</v>
      </c>
      <c r="R236" s="256"/>
      <c r="S236" s="293">
        <v>46143</v>
      </c>
      <c r="T236" s="294">
        <v>5.8400000000000001E-2</v>
      </c>
      <c r="U236" s="256">
        <f>('Encargos e Benefícios'!W235+'Gastos com Pessoal'!O236)*5.84%</f>
        <v>32.710148351999997</v>
      </c>
      <c r="V236" s="256">
        <f>('Encargos e Benefícios'!X235+'Encargos e Benefícios'!Y235+'Encargos e Benefícios'!Z235+'Encargos e Benefícios'!AA235+'Encargos e Benefícios'!AB235+'Gastos com Pessoal'!P236)*5.84%</f>
        <v>19.300347360000004</v>
      </c>
      <c r="W236" s="256">
        <f>('Encargos e Benefícios'!V235+'Gastos com Pessoal'!Q236)*5.84%</f>
        <v>6.9023852352000006</v>
      </c>
      <c r="X236" s="256"/>
      <c r="Y236" s="293">
        <v>46508</v>
      </c>
      <c r="Z236" s="294">
        <v>5.8400000000000001E-2</v>
      </c>
      <c r="AA236" s="256">
        <f>('Encargos e Benefícios'!W235+'Gastos com Pessoal'!O236+'Gastos com Pessoal'!U236)*5.84%</f>
        <v>34.620421015756804</v>
      </c>
      <c r="AB236" s="256">
        <f>('Encargos e Benefícios'!X235+'Encargos e Benefícios'!Y235+'Encargos e Benefícios'!Z235+'Encargos e Benefícios'!AA235+'Encargos e Benefícios'!AB235+'Gastos com Pessoal'!P236+'Gastos com Pessoal'!V236)*5.84%</f>
        <v>20.427487645824002</v>
      </c>
      <c r="AC236" s="256">
        <f>('Encargos e Benefícios'!V235+'Gastos com Pessoal'!Q236+'Gastos com Pessoal'!W236)*5.84%</f>
        <v>7.3054845329356803</v>
      </c>
      <c r="AD236" s="256"/>
      <c r="AE236" s="293">
        <v>46874</v>
      </c>
      <c r="AF236" s="294">
        <v>5.8400000000000001E-2</v>
      </c>
      <c r="AG236" s="256">
        <f>('Encargos e Benefícios'!W235+'Gastos com Pessoal'!O236+'Gastos com Pessoal'!U236+'Gastos com Pessoal'!AA236)*5.84%</f>
        <v>36.642253603077002</v>
      </c>
      <c r="AH236" s="256">
        <f>('Encargos e Benefícios'!X235+'Encargos e Benefícios'!Y235+'Encargos e Benefícios'!Z235+'Encargos e Benefícios'!AA235+'Encargos e Benefícios'!AB235+'Gastos com Pessoal'!P236+'Gastos com Pessoal'!V236+'Gastos com Pessoal'!AB236)*5.84%</f>
        <v>21.620452924340121</v>
      </c>
      <c r="AI236" s="256">
        <f>('Encargos e Benefícios'!V235+'Gastos com Pessoal'!Q236+'Gastos com Pessoal'!W236+'Gastos com Pessoal'!AC236)*5.84%</f>
        <v>7.7321248296591243</v>
      </c>
      <c r="AJ236" s="257"/>
      <c r="AK236" s="296">
        <f>'Encargos e Benefícios'!D235</f>
        <v>2751.84</v>
      </c>
      <c r="AL236" s="296">
        <f>IF('Encargos e Benefícios'!C235=0,0,'Encargos e Benefícios'!U235/'Encargos e Benefícios'!C235)</f>
        <v>2198.8730400000004</v>
      </c>
      <c r="AM236" s="296">
        <f>IF('Encargos e Benefícios'!C235=0,0,'Encargos e Benefícios'!AC235/'Encargos e Benefícios'!C235)</f>
        <v>953.12000000000012</v>
      </c>
      <c r="AN236" s="297">
        <f>IF('Encargos e Benefícios'!C235=0,0,'Encargos e Benefícios'!AD235/'Encargos e Benefícios'!C235)</f>
        <v>5903.8330400000004</v>
      </c>
      <c r="AO236" s="188">
        <v>2293.52</v>
      </c>
      <c r="AP236" s="298">
        <v>1700</v>
      </c>
      <c r="AQ236" s="298">
        <v>2887.04</v>
      </c>
      <c r="AR236" s="299" t="s">
        <v>117</v>
      </c>
      <c r="AS236" s="188"/>
    </row>
    <row r="237" spans="1:45">
      <c r="A237" s="286">
        <v>231</v>
      </c>
      <c r="B237" s="81" t="str">
        <f>'Encargos e Benefícios'!B236</f>
        <v>Psicologo</v>
      </c>
      <c r="C237" s="287">
        <f>'Encargos e Benefícios'!C236</f>
        <v>1</v>
      </c>
      <c r="D237" s="288">
        <v>30</v>
      </c>
      <c r="E237" s="300">
        <v>45658</v>
      </c>
      <c r="F237" s="301">
        <v>47058</v>
      </c>
      <c r="G237" s="293"/>
      <c r="H237" s="294"/>
      <c r="I237" s="256"/>
      <c r="J237" s="256"/>
      <c r="K237" s="256"/>
      <c r="L237" s="256"/>
      <c r="M237" s="293">
        <v>45778</v>
      </c>
      <c r="N237" s="294">
        <v>5.8400000000000001E-2</v>
      </c>
      <c r="O237" s="256">
        <f>'Encargos e Benefícios'!W236*5.84%</f>
        <v>30.905280000000001</v>
      </c>
      <c r="P237" s="256">
        <f>('Encargos e Benefícios'!X236+'Encargos e Benefícios'!Y236+'Encargos e Benefícios'!Z236+'Encargos e Benefícios'!AA236+'Encargos e Benefícios'!AB236)*5.84%</f>
        <v>18.235399999999998</v>
      </c>
      <c r="Q237" s="256">
        <f>'Encargos e Benefícios'!V236*5.84%</f>
        <v>6.521528</v>
      </c>
      <c r="R237" s="256"/>
      <c r="S237" s="293">
        <v>46143</v>
      </c>
      <c r="T237" s="294">
        <v>5.8400000000000001E-2</v>
      </c>
      <c r="U237" s="256">
        <f>('Encargos e Benefícios'!W236+'Gastos com Pessoal'!O237)*5.84%</f>
        <v>32.710148351999997</v>
      </c>
      <c r="V237" s="256">
        <f>('Encargos e Benefícios'!X236+'Encargos e Benefícios'!Y236+'Encargos e Benefícios'!Z236+'Encargos e Benefícios'!AA236+'Encargos e Benefícios'!AB236+'Gastos com Pessoal'!P237)*5.84%</f>
        <v>19.300347360000004</v>
      </c>
      <c r="W237" s="256">
        <f>('Encargos e Benefícios'!V236+'Gastos com Pessoal'!Q237)*5.84%</f>
        <v>6.9023852352000006</v>
      </c>
      <c r="X237" s="256"/>
      <c r="Y237" s="293">
        <v>46508</v>
      </c>
      <c r="Z237" s="294">
        <v>5.8400000000000001E-2</v>
      </c>
      <c r="AA237" s="256">
        <f>('Encargos e Benefícios'!W236+'Gastos com Pessoal'!O237+'Gastos com Pessoal'!U237)*5.84%</f>
        <v>34.620421015756804</v>
      </c>
      <c r="AB237" s="256">
        <f>('Encargos e Benefícios'!X236+'Encargos e Benefícios'!Y236+'Encargos e Benefícios'!Z236+'Encargos e Benefícios'!AA236+'Encargos e Benefícios'!AB236+'Gastos com Pessoal'!P237+'Gastos com Pessoal'!V237)*5.84%</f>
        <v>20.427487645824002</v>
      </c>
      <c r="AC237" s="256">
        <f>('Encargos e Benefícios'!V236+'Gastos com Pessoal'!Q237+'Gastos com Pessoal'!W237)*5.84%</f>
        <v>7.3054845329356803</v>
      </c>
      <c r="AD237" s="256"/>
      <c r="AE237" s="293">
        <v>46874</v>
      </c>
      <c r="AF237" s="294">
        <v>5.8400000000000001E-2</v>
      </c>
      <c r="AG237" s="256">
        <f>('Encargos e Benefícios'!W236+'Gastos com Pessoal'!O237+'Gastos com Pessoal'!U237+'Gastos com Pessoal'!AA237)*5.84%</f>
        <v>36.642253603077002</v>
      </c>
      <c r="AH237" s="256">
        <f>('Encargos e Benefícios'!X236+'Encargos e Benefícios'!Y236+'Encargos e Benefícios'!Z236+'Encargos e Benefícios'!AA236+'Encargos e Benefícios'!AB236+'Gastos com Pessoal'!P237+'Gastos com Pessoal'!V237+'Gastos com Pessoal'!AB237)*5.84%</f>
        <v>21.620452924340121</v>
      </c>
      <c r="AI237" s="256">
        <f>('Encargos e Benefícios'!V236+'Gastos com Pessoal'!Q237+'Gastos com Pessoal'!W237+'Gastos com Pessoal'!AC237)*5.84%</f>
        <v>7.7321248296591243</v>
      </c>
      <c r="AJ237" s="257"/>
      <c r="AK237" s="296">
        <f>'Encargos e Benefícios'!D236</f>
        <v>2751.84</v>
      </c>
      <c r="AL237" s="296">
        <f>IF('Encargos e Benefícios'!C236=0,0,'Encargos e Benefícios'!U236/'Encargos e Benefícios'!C236)</f>
        <v>2198.8730400000004</v>
      </c>
      <c r="AM237" s="296">
        <f>IF('Encargos e Benefícios'!C236=0,0,'Encargos e Benefícios'!AC236/'Encargos e Benefícios'!C236)</f>
        <v>953.12000000000012</v>
      </c>
      <c r="AN237" s="297">
        <f>IF('Encargos e Benefícios'!C236=0,0,'Encargos e Benefícios'!AD236/'Encargos e Benefícios'!C236)</f>
        <v>5903.8330400000004</v>
      </c>
      <c r="AO237" s="188">
        <v>3202.11</v>
      </c>
      <c r="AP237" s="298">
        <v>1700</v>
      </c>
      <c r="AQ237" s="298">
        <v>4704.22</v>
      </c>
      <c r="AR237" s="299" t="s">
        <v>117</v>
      </c>
      <c r="AS237" s="188"/>
    </row>
    <row r="238" spans="1:45">
      <c r="A238" s="286">
        <v>232</v>
      </c>
      <c r="B238" s="81" t="str">
        <f>'Encargos e Benefícios'!B237</f>
        <v>Terapeuta Ocupacional</v>
      </c>
      <c r="C238" s="287">
        <f>'Encargos e Benefícios'!C237</f>
        <v>1</v>
      </c>
      <c r="D238" s="288">
        <v>30</v>
      </c>
      <c r="E238" s="300">
        <v>45658</v>
      </c>
      <c r="F238" s="301">
        <v>47058</v>
      </c>
      <c r="G238" s="293"/>
      <c r="H238" s="294"/>
      <c r="I238" s="256"/>
      <c r="J238" s="256"/>
      <c r="K238" s="256"/>
      <c r="L238" s="256"/>
      <c r="M238" s="293">
        <v>45778</v>
      </c>
      <c r="N238" s="294">
        <v>5.8400000000000001E-2</v>
      </c>
      <c r="O238" s="256">
        <f>'Encargos e Benefícios'!W237*5.84%</f>
        <v>30.905280000000001</v>
      </c>
      <c r="P238" s="256">
        <f>('Encargos e Benefícios'!X237+'Encargos e Benefícios'!Y237+'Encargos e Benefícios'!Z237+'Encargos e Benefícios'!AA237+'Encargos e Benefícios'!AB237)*5.84%</f>
        <v>18.235399999999998</v>
      </c>
      <c r="Q238" s="256">
        <f>'Encargos e Benefícios'!V237*5.84%</f>
        <v>6.521528</v>
      </c>
      <c r="R238" s="256"/>
      <c r="S238" s="293">
        <v>46143</v>
      </c>
      <c r="T238" s="294">
        <v>5.8400000000000001E-2</v>
      </c>
      <c r="U238" s="256">
        <f>('Encargos e Benefícios'!W237+'Gastos com Pessoal'!O238)*5.84%</f>
        <v>32.710148351999997</v>
      </c>
      <c r="V238" s="256">
        <f>('Encargos e Benefícios'!X237+'Encargos e Benefícios'!Y237+'Encargos e Benefícios'!Z237+'Encargos e Benefícios'!AA237+'Encargos e Benefícios'!AB237+'Gastos com Pessoal'!P238)*5.84%</f>
        <v>19.300347360000004</v>
      </c>
      <c r="W238" s="256">
        <f>('Encargos e Benefícios'!V237+'Gastos com Pessoal'!Q238)*5.84%</f>
        <v>6.9023852352000006</v>
      </c>
      <c r="X238" s="256"/>
      <c r="Y238" s="293">
        <v>46508</v>
      </c>
      <c r="Z238" s="294">
        <v>5.8400000000000001E-2</v>
      </c>
      <c r="AA238" s="256">
        <f>('Encargos e Benefícios'!W237+'Gastos com Pessoal'!O238+'Gastos com Pessoal'!U238)*5.84%</f>
        <v>34.620421015756804</v>
      </c>
      <c r="AB238" s="256">
        <f>('Encargos e Benefícios'!X237+'Encargos e Benefícios'!Y237+'Encargos e Benefícios'!Z237+'Encargos e Benefícios'!AA237+'Encargos e Benefícios'!AB237+'Gastos com Pessoal'!P238+'Gastos com Pessoal'!V238)*5.84%</f>
        <v>20.427487645824002</v>
      </c>
      <c r="AC238" s="256">
        <f>('Encargos e Benefícios'!V237+'Gastos com Pessoal'!Q238+'Gastos com Pessoal'!W238)*5.84%</f>
        <v>7.3054845329356803</v>
      </c>
      <c r="AD238" s="256"/>
      <c r="AE238" s="293">
        <v>46874</v>
      </c>
      <c r="AF238" s="294">
        <v>5.8400000000000001E-2</v>
      </c>
      <c r="AG238" s="256">
        <f>('Encargos e Benefícios'!W237+'Gastos com Pessoal'!O238+'Gastos com Pessoal'!U238+'Gastos com Pessoal'!AA238)*5.84%</f>
        <v>36.642253603077002</v>
      </c>
      <c r="AH238" s="256">
        <f>('Encargos e Benefícios'!X237+'Encargos e Benefícios'!Y237+'Encargos e Benefícios'!Z237+'Encargos e Benefícios'!AA237+'Encargos e Benefícios'!AB237+'Gastos com Pessoal'!P238+'Gastos com Pessoal'!V238+'Gastos com Pessoal'!AB238)*5.84%</f>
        <v>21.620452924340121</v>
      </c>
      <c r="AI238" s="256">
        <f>('Encargos e Benefícios'!V237+'Gastos com Pessoal'!Q238+'Gastos com Pessoal'!W238+'Gastos com Pessoal'!AC238)*5.84%</f>
        <v>7.7321248296591243</v>
      </c>
      <c r="AJ238" s="257"/>
      <c r="AK238" s="296">
        <f>'Encargos e Benefícios'!D237</f>
        <v>2751.84</v>
      </c>
      <c r="AL238" s="296">
        <f>IF('Encargos e Benefícios'!C237=0,0,'Encargos e Benefícios'!U237/'Encargos e Benefícios'!C237)</f>
        <v>2198.8730400000004</v>
      </c>
      <c r="AM238" s="296">
        <f>IF('Encargos e Benefícios'!C237=0,0,'Encargos e Benefícios'!AC237/'Encargos e Benefícios'!C237)</f>
        <v>953.12000000000012</v>
      </c>
      <c r="AN238" s="297">
        <f>IF('Encargos e Benefícios'!C237=0,0,'Encargos e Benefícios'!AD237/'Encargos e Benefícios'!C237)</f>
        <v>5903.8330400000004</v>
      </c>
      <c r="AO238" s="188">
        <v>3478.27</v>
      </c>
      <c r="AP238" s="298">
        <v>2252.3200000000002</v>
      </c>
      <c r="AQ238" s="298">
        <v>4704.22</v>
      </c>
      <c r="AR238" s="299" t="s">
        <v>117</v>
      </c>
      <c r="AS238" s="188"/>
    </row>
    <row r="239" spans="1:45">
      <c r="A239" s="286">
        <v>233</v>
      </c>
      <c r="B239" s="81" t="str">
        <f>'Encargos e Benefícios'!B238</f>
        <v>Administrativo</v>
      </c>
      <c r="C239" s="287">
        <f>'Encargos e Benefícios'!C238</f>
        <v>1</v>
      </c>
      <c r="D239" s="288">
        <v>40</v>
      </c>
      <c r="E239" s="300">
        <v>45658</v>
      </c>
      <c r="F239" s="301">
        <v>47058</v>
      </c>
      <c r="G239" s="293"/>
      <c r="H239" s="294"/>
      <c r="I239" s="256"/>
      <c r="J239" s="256"/>
      <c r="K239" s="256"/>
      <c r="L239" s="256"/>
      <c r="M239" s="293">
        <v>45778</v>
      </c>
      <c r="N239" s="294">
        <v>5.8400000000000001E-2</v>
      </c>
      <c r="O239" s="256">
        <f>'Encargos e Benefícios'!W238*5.84%</f>
        <v>30.905280000000001</v>
      </c>
      <c r="P239" s="256">
        <f>('Encargos e Benefícios'!X238+'Encargos e Benefícios'!Y238+'Encargos e Benefícios'!Z238+'Encargos e Benefícios'!AA238+'Encargos e Benefícios'!AB238)*5.84%</f>
        <v>18.235399999999998</v>
      </c>
      <c r="Q239" s="256">
        <f>'Encargos e Benefícios'!V238*5.84%</f>
        <v>6.521528</v>
      </c>
      <c r="R239" s="256"/>
      <c r="S239" s="293">
        <v>46143</v>
      </c>
      <c r="T239" s="294">
        <v>5.8400000000000001E-2</v>
      </c>
      <c r="U239" s="256">
        <f>('Encargos e Benefícios'!W238+'Gastos com Pessoal'!O239)*5.84%</f>
        <v>32.710148351999997</v>
      </c>
      <c r="V239" s="256">
        <f>('Encargos e Benefícios'!X238+'Encargos e Benefícios'!Y238+'Encargos e Benefícios'!Z238+'Encargos e Benefícios'!AA238+'Encargos e Benefícios'!AB238+'Gastos com Pessoal'!P239)*5.84%</f>
        <v>19.300347360000004</v>
      </c>
      <c r="W239" s="256">
        <f>('Encargos e Benefícios'!V238+'Gastos com Pessoal'!Q239)*5.84%</f>
        <v>6.9023852352000006</v>
      </c>
      <c r="X239" s="256"/>
      <c r="Y239" s="293">
        <v>46508</v>
      </c>
      <c r="Z239" s="294">
        <v>5.8400000000000001E-2</v>
      </c>
      <c r="AA239" s="256">
        <f>('Encargos e Benefícios'!W238+'Gastos com Pessoal'!O239+'Gastos com Pessoal'!U239)*5.84%</f>
        <v>34.620421015756804</v>
      </c>
      <c r="AB239" s="256">
        <f>('Encargos e Benefícios'!X238+'Encargos e Benefícios'!Y238+'Encargos e Benefícios'!Z238+'Encargos e Benefícios'!AA238+'Encargos e Benefícios'!AB238+'Gastos com Pessoal'!P239+'Gastos com Pessoal'!V239)*5.84%</f>
        <v>20.427487645824002</v>
      </c>
      <c r="AC239" s="256">
        <f>('Encargos e Benefícios'!V238+'Gastos com Pessoal'!Q239+'Gastos com Pessoal'!W239)*5.84%</f>
        <v>7.3054845329356803</v>
      </c>
      <c r="AD239" s="256"/>
      <c r="AE239" s="293">
        <v>46874</v>
      </c>
      <c r="AF239" s="294">
        <v>5.8400000000000001E-2</v>
      </c>
      <c r="AG239" s="256">
        <f>('Encargos e Benefícios'!W238+'Gastos com Pessoal'!O239+'Gastos com Pessoal'!U239+'Gastos com Pessoal'!AA239)*5.84%</f>
        <v>36.642253603077002</v>
      </c>
      <c r="AH239" s="256">
        <f>('Encargos e Benefícios'!X238+'Encargos e Benefícios'!Y238+'Encargos e Benefícios'!Z238+'Encargos e Benefícios'!AA238+'Encargos e Benefícios'!AB238+'Gastos com Pessoal'!P239+'Gastos com Pessoal'!V239+'Gastos com Pessoal'!AB239)*5.84%</f>
        <v>21.620452924340121</v>
      </c>
      <c r="AI239" s="256">
        <f>('Encargos e Benefícios'!V238+'Gastos com Pessoal'!Q239+'Gastos com Pessoal'!W239+'Gastos com Pessoal'!AC239)*5.84%</f>
        <v>7.7321248296591243</v>
      </c>
      <c r="AJ239" s="257"/>
      <c r="AK239" s="296">
        <f>'Encargos e Benefícios'!D238</f>
        <v>1852.2</v>
      </c>
      <c r="AL239" s="296">
        <f>IF('Encargos e Benefícios'!C238=0,0,'Encargos e Benefícios'!U238/'Encargos e Benefícios'!C238)</f>
        <v>1480.0106999999996</v>
      </c>
      <c r="AM239" s="296">
        <f>IF('Encargos e Benefícios'!C238=0,0,'Encargos e Benefícios'!AC238/'Encargos e Benefícios'!C238)</f>
        <v>953.12000000000012</v>
      </c>
      <c r="AN239" s="297">
        <f>IF('Encargos e Benefícios'!C238=0,0,'Encargos e Benefícios'!AD238/'Encargos e Benefícios'!C238)</f>
        <v>4285.3306999999995</v>
      </c>
      <c r="AO239" s="188">
        <v>1786.2</v>
      </c>
      <c r="AP239" s="298">
        <v>1352.9</v>
      </c>
      <c r="AQ239" s="298">
        <v>2219.4899999999998</v>
      </c>
      <c r="AR239" s="299" t="s">
        <v>117</v>
      </c>
      <c r="AS239" s="188"/>
    </row>
    <row r="240" spans="1:45">
      <c r="A240" s="286">
        <v>234</v>
      </c>
      <c r="B240" s="81" t="str">
        <f>'Encargos e Benefícios'!B239</f>
        <v>Auxiliar Educacional</v>
      </c>
      <c r="C240" s="287">
        <f>'Encargos e Benefícios'!C239</f>
        <v>1</v>
      </c>
      <c r="D240" s="288">
        <v>30</v>
      </c>
      <c r="E240" s="300">
        <v>45658</v>
      </c>
      <c r="F240" s="301">
        <v>47058</v>
      </c>
      <c r="G240" s="293"/>
      <c r="H240" s="294"/>
      <c r="I240" s="256"/>
      <c r="J240" s="256"/>
      <c r="K240" s="256"/>
      <c r="L240" s="256"/>
      <c r="M240" s="293">
        <v>45778</v>
      </c>
      <c r="N240" s="294">
        <v>5.8400000000000001E-2</v>
      </c>
      <c r="O240" s="256">
        <f>'Encargos e Benefícios'!W239*5.84%</f>
        <v>30.905280000000001</v>
      </c>
      <c r="P240" s="256">
        <f>('Encargos e Benefícios'!X239+'Encargos e Benefícios'!Y239+'Encargos e Benefícios'!Z239+'Encargos e Benefícios'!AA239+'Encargos e Benefícios'!AB239)*5.84%</f>
        <v>18.235399999999998</v>
      </c>
      <c r="Q240" s="256">
        <f>'Encargos e Benefícios'!V239*5.84%</f>
        <v>6.521528</v>
      </c>
      <c r="R240" s="256"/>
      <c r="S240" s="293">
        <v>46143</v>
      </c>
      <c r="T240" s="294">
        <v>5.8400000000000001E-2</v>
      </c>
      <c r="U240" s="256">
        <f>('Encargos e Benefícios'!W239+'Gastos com Pessoal'!O240)*5.84%</f>
        <v>32.710148351999997</v>
      </c>
      <c r="V240" s="256">
        <f>('Encargos e Benefícios'!X239+'Encargos e Benefícios'!Y239+'Encargos e Benefícios'!Z239+'Encargos e Benefícios'!AA239+'Encargos e Benefícios'!AB239+'Gastos com Pessoal'!P240)*5.84%</f>
        <v>19.300347360000004</v>
      </c>
      <c r="W240" s="256">
        <f>('Encargos e Benefícios'!V239+'Gastos com Pessoal'!Q240)*5.84%</f>
        <v>6.9023852352000006</v>
      </c>
      <c r="X240" s="256"/>
      <c r="Y240" s="293">
        <v>46508</v>
      </c>
      <c r="Z240" s="294">
        <v>5.8400000000000001E-2</v>
      </c>
      <c r="AA240" s="256">
        <f>('Encargos e Benefícios'!W239+'Gastos com Pessoal'!O240+'Gastos com Pessoal'!U240)*5.84%</f>
        <v>34.620421015756804</v>
      </c>
      <c r="AB240" s="256">
        <f>('Encargos e Benefícios'!X239+'Encargos e Benefícios'!Y239+'Encargos e Benefícios'!Z239+'Encargos e Benefícios'!AA239+'Encargos e Benefícios'!AB239+'Gastos com Pessoal'!P240+'Gastos com Pessoal'!V240)*5.84%</f>
        <v>20.427487645824002</v>
      </c>
      <c r="AC240" s="256">
        <f>('Encargos e Benefícios'!V239+'Gastos com Pessoal'!Q240+'Gastos com Pessoal'!W240)*5.84%</f>
        <v>7.3054845329356803</v>
      </c>
      <c r="AD240" s="256"/>
      <c r="AE240" s="293">
        <v>46874</v>
      </c>
      <c r="AF240" s="294">
        <v>5.8400000000000001E-2</v>
      </c>
      <c r="AG240" s="256">
        <f>('Encargos e Benefícios'!W239+'Gastos com Pessoal'!O240+'Gastos com Pessoal'!U240+'Gastos com Pessoal'!AA240)*5.84%</f>
        <v>36.642253603077002</v>
      </c>
      <c r="AH240" s="256">
        <f>('Encargos e Benefícios'!X239+'Encargos e Benefícios'!Y239+'Encargos e Benefícios'!Z239+'Encargos e Benefícios'!AA239+'Encargos e Benefícios'!AB239+'Gastos com Pessoal'!P240+'Gastos com Pessoal'!V240+'Gastos com Pessoal'!AB240)*5.84%</f>
        <v>21.620452924340121</v>
      </c>
      <c r="AI240" s="256">
        <f>('Encargos e Benefícios'!V239+'Gastos com Pessoal'!Q240+'Gastos com Pessoal'!W240+'Gastos com Pessoal'!AC240)*5.84%</f>
        <v>7.7321248296591243</v>
      </c>
      <c r="AJ240" s="257"/>
      <c r="AK240" s="296">
        <f>'Encargos e Benefícios'!D239</f>
        <v>1737.89</v>
      </c>
      <c r="AL240" s="296">
        <f>IF('Encargos e Benefícios'!C239=0,0,'Encargos e Benefícios'!U239/'Encargos e Benefícios'!C239)</f>
        <v>1388.6706594444449</v>
      </c>
      <c r="AM240" s="296">
        <f>IF('Encargos e Benefícios'!C239=0,0,'Encargos e Benefícios'!AC239/'Encargos e Benefícios'!C239)</f>
        <v>953.12000000000012</v>
      </c>
      <c r="AN240" s="297">
        <f>IF('Encargos e Benefícios'!C239=0,0,'Encargos e Benefícios'!AD239/'Encargos e Benefícios'!C239)</f>
        <v>4079.6806594444452</v>
      </c>
      <c r="AO240" s="188">
        <v>1756.04</v>
      </c>
      <c r="AP240" s="298">
        <v>1400</v>
      </c>
      <c r="AQ240" s="298">
        <v>2112.08</v>
      </c>
      <c r="AR240" s="299" t="s">
        <v>117</v>
      </c>
      <c r="AS240" s="188"/>
    </row>
    <row r="241" spans="1:45">
      <c r="A241" s="286">
        <v>235</v>
      </c>
      <c r="B241" s="81" t="str">
        <f>'Encargos e Benefícios'!B240</f>
        <v>Auxiliar de Serviços Gerais</v>
      </c>
      <c r="C241" s="287">
        <f>'Encargos e Benefícios'!C240</f>
        <v>1</v>
      </c>
      <c r="D241" s="288">
        <v>30</v>
      </c>
      <c r="E241" s="300">
        <v>45658</v>
      </c>
      <c r="F241" s="301">
        <v>47058</v>
      </c>
      <c r="G241" s="293"/>
      <c r="H241" s="294"/>
      <c r="I241" s="256"/>
      <c r="J241" s="256"/>
      <c r="K241" s="256"/>
      <c r="L241" s="256"/>
      <c r="M241" s="293">
        <v>45778</v>
      </c>
      <c r="N241" s="294">
        <v>5.8400000000000001E-2</v>
      </c>
      <c r="O241" s="256">
        <f>'Encargos e Benefícios'!W240*5.84%</f>
        <v>30.905280000000001</v>
      </c>
      <c r="P241" s="256">
        <f>('Encargos e Benefícios'!X240+'Encargos e Benefícios'!Y240+'Encargos e Benefícios'!Z240+'Encargos e Benefícios'!AA240+'Encargos e Benefícios'!AB240)*5.84%</f>
        <v>18.235399999999998</v>
      </c>
      <c r="Q241" s="256">
        <f>'Encargos e Benefícios'!V240*5.84%</f>
        <v>6.521528</v>
      </c>
      <c r="R241" s="256"/>
      <c r="S241" s="293">
        <v>46143</v>
      </c>
      <c r="T241" s="294">
        <v>5.8400000000000001E-2</v>
      </c>
      <c r="U241" s="256">
        <f>('Encargos e Benefícios'!W240+'Gastos com Pessoal'!O241)*5.84%</f>
        <v>32.710148351999997</v>
      </c>
      <c r="V241" s="256">
        <f>('Encargos e Benefícios'!X240+'Encargos e Benefícios'!Y240+'Encargos e Benefícios'!Z240+'Encargos e Benefícios'!AA240+'Encargos e Benefícios'!AB240+'Gastos com Pessoal'!P241)*5.84%</f>
        <v>19.300347360000004</v>
      </c>
      <c r="W241" s="256">
        <f>('Encargos e Benefícios'!V240+'Gastos com Pessoal'!Q241)*5.84%</f>
        <v>6.9023852352000006</v>
      </c>
      <c r="X241" s="256"/>
      <c r="Y241" s="293">
        <v>46508</v>
      </c>
      <c r="Z241" s="294">
        <v>5.8400000000000001E-2</v>
      </c>
      <c r="AA241" s="256">
        <f>('Encargos e Benefícios'!W240+'Gastos com Pessoal'!O241+'Gastos com Pessoal'!U241)*5.84%</f>
        <v>34.620421015756804</v>
      </c>
      <c r="AB241" s="256">
        <f>('Encargos e Benefícios'!X240+'Encargos e Benefícios'!Y240+'Encargos e Benefícios'!Z240+'Encargos e Benefícios'!AA240+'Encargos e Benefícios'!AB240+'Gastos com Pessoal'!P241+'Gastos com Pessoal'!V241)*5.84%</f>
        <v>20.427487645824002</v>
      </c>
      <c r="AC241" s="256">
        <f>('Encargos e Benefícios'!V240+'Gastos com Pessoal'!Q241+'Gastos com Pessoal'!W241)*5.84%</f>
        <v>7.3054845329356803</v>
      </c>
      <c r="AD241" s="256"/>
      <c r="AE241" s="293">
        <v>46874</v>
      </c>
      <c r="AF241" s="294">
        <v>5.8400000000000001E-2</v>
      </c>
      <c r="AG241" s="256">
        <f>('Encargos e Benefícios'!W240+'Gastos com Pessoal'!O241+'Gastos com Pessoal'!U241+'Gastos com Pessoal'!AA241)*5.84%</f>
        <v>36.642253603077002</v>
      </c>
      <c r="AH241" s="256">
        <f>('Encargos e Benefícios'!X240+'Encargos e Benefícios'!Y240+'Encargos e Benefícios'!Z240+'Encargos e Benefícios'!AA240+'Encargos e Benefícios'!AB240+'Gastos com Pessoal'!P241+'Gastos com Pessoal'!V241+'Gastos com Pessoal'!AB241)*5.84%</f>
        <v>21.620452924340121</v>
      </c>
      <c r="AI241" s="256">
        <f>('Encargos e Benefícios'!V240+'Gastos com Pessoal'!Q241+'Gastos com Pessoal'!W241+'Gastos com Pessoal'!AC241)*5.84%</f>
        <v>7.7321248296591243</v>
      </c>
      <c r="AJ241" s="257"/>
      <c r="AK241" s="296">
        <f>'Encargos e Benefícios'!D240</f>
        <v>1465.88</v>
      </c>
      <c r="AL241" s="296">
        <f>IF('Encargos e Benefícios'!C240=0,0,'Encargos e Benefícios'!U240/'Encargos e Benefícios'!C240)</f>
        <v>1171.3195577777778</v>
      </c>
      <c r="AM241" s="296">
        <f>IF('Encargos e Benefícios'!C240=0,0,'Encargos e Benefícios'!AC240/'Encargos e Benefícios'!C240)</f>
        <v>953.12000000000012</v>
      </c>
      <c r="AN241" s="297">
        <f>IF('Encargos e Benefícios'!C240=0,0,'Encargos e Benefícios'!AD240/'Encargos e Benefícios'!C240)</f>
        <v>3590.3195577777778</v>
      </c>
      <c r="AO241" s="188">
        <v>1380.2</v>
      </c>
      <c r="AP241" s="298">
        <v>1320</v>
      </c>
      <c r="AQ241" s="298">
        <v>1440.4</v>
      </c>
      <c r="AR241" s="299" t="s">
        <v>117</v>
      </c>
      <c r="AS241" s="188"/>
    </row>
    <row r="242" spans="1:45">
      <c r="A242" s="286">
        <v>236</v>
      </c>
      <c r="B242" s="81" t="str">
        <f>'Encargos e Benefícios'!B241</f>
        <v>Motorista</v>
      </c>
      <c r="C242" s="287">
        <f>'Encargos e Benefícios'!C241</f>
        <v>1</v>
      </c>
      <c r="D242" s="288">
        <v>40</v>
      </c>
      <c r="E242" s="300">
        <v>45658</v>
      </c>
      <c r="F242" s="301">
        <v>47058</v>
      </c>
      <c r="G242" s="293"/>
      <c r="H242" s="294"/>
      <c r="I242" s="256"/>
      <c r="J242" s="256"/>
      <c r="K242" s="256"/>
      <c r="L242" s="256"/>
      <c r="M242" s="293">
        <v>45778</v>
      </c>
      <c r="N242" s="294">
        <v>5.8400000000000001E-2</v>
      </c>
      <c r="O242" s="256">
        <f>'Encargos e Benefícios'!W241*5.84%</f>
        <v>30.905280000000001</v>
      </c>
      <c r="P242" s="256">
        <f>('Encargos e Benefícios'!X241+'Encargos e Benefícios'!Y241+'Encargos e Benefícios'!Z241+'Encargos e Benefícios'!AA241+'Encargos e Benefícios'!AB241)*5.84%</f>
        <v>18.235399999999998</v>
      </c>
      <c r="Q242" s="256">
        <f>'Encargos e Benefícios'!V241*5.84%</f>
        <v>6.521528</v>
      </c>
      <c r="R242" s="256"/>
      <c r="S242" s="293">
        <v>46143</v>
      </c>
      <c r="T242" s="294">
        <v>5.8400000000000001E-2</v>
      </c>
      <c r="U242" s="256">
        <f>('Encargos e Benefícios'!W241+'Gastos com Pessoal'!O242)*5.84%</f>
        <v>32.710148351999997</v>
      </c>
      <c r="V242" s="256">
        <f>('Encargos e Benefícios'!X241+'Encargos e Benefícios'!Y241+'Encargos e Benefícios'!Z241+'Encargos e Benefícios'!AA241+'Encargos e Benefícios'!AB241+'Gastos com Pessoal'!P242)*5.84%</f>
        <v>19.300347360000004</v>
      </c>
      <c r="W242" s="256">
        <f>('Encargos e Benefícios'!V241+'Gastos com Pessoal'!Q242)*5.84%</f>
        <v>6.9023852352000006</v>
      </c>
      <c r="X242" s="256"/>
      <c r="Y242" s="293">
        <v>46508</v>
      </c>
      <c r="Z242" s="294">
        <v>5.8400000000000001E-2</v>
      </c>
      <c r="AA242" s="256">
        <f>('Encargos e Benefícios'!W241+'Gastos com Pessoal'!O242+'Gastos com Pessoal'!U242)*5.84%</f>
        <v>34.620421015756804</v>
      </c>
      <c r="AB242" s="256">
        <f>('Encargos e Benefícios'!X241+'Encargos e Benefícios'!Y241+'Encargos e Benefícios'!Z241+'Encargos e Benefícios'!AA241+'Encargos e Benefícios'!AB241+'Gastos com Pessoal'!P242+'Gastos com Pessoal'!V242)*5.84%</f>
        <v>20.427487645824002</v>
      </c>
      <c r="AC242" s="256">
        <f>('Encargos e Benefícios'!V241+'Gastos com Pessoal'!Q242+'Gastos com Pessoal'!W242)*5.84%</f>
        <v>7.3054845329356803</v>
      </c>
      <c r="AD242" s="256"/>
      <c r="AE242" s="293">
        <v>46874</v>
      </c>
      <c r="AF242" s="294">
        <v>5.8400000000000001E-2</v>
      </c>
      <c r="AG242" s="256">
        <f>('Encargos e Benefícios'!W241+'Gastos com Pessoal'!O242+'Gastos com Pessoal'!U242+'Gastos com Pessoal'!AA242)*5.84%</f>
        <v>36.642253603077002</v>
      </c>
      <c r="AH242" s="256">
        <f>('Encargos e Benefícios'!X241+'Encargos e Benefícios'!Y241+'Encargos e Benefícios'!Z241+'Encargos e Benefícios'!AA241+'Encargos e Benefícios'!AB241+'Gastos com Pessoal'!P242+'Gastos com Pessoal'!V242+'Gastos com Pessoal'!AB242)*5.84%</f>
        <v>21.620452924340121</v>
      </c>
      <c r="AI242" s="256">
        <f>('Encargos e Benefícios'!V241+'Gastos com Pessoal'!Q242+'Gastos com Pessoal'!W242+'Gastos com Pessoal'!AC242)*5.84%</f>
        <v>7.7321248296591243</v>
      </c>
      <c r="AJ242" s="257"/>
      <c r="AK242" s="296">
        <f>'Encargos e Benefícios'!D241</f>
        <v>1537.21</v>
      </c>
      <c r="AL242" s="296">
        <f>IF('Encargos e Benefícios'!C241=0,0,'Encargos e Benefícios'!U241/'Encargos e Benefícios'!C241)</f>
        <v>1228.3161905555557</v>
      </c>
      <c r="AM242" s="296">
        <f>IF('Encargos e Benefícios'!C241=0,0,'Encargos e Benefícios'!AC241/'Encargos e Benefícios'!C241)</f>
        <v>953.12000000000012</v>
      </c>
      <c r="AN242" s="297">
        <f>IF('Encargos e Benefícios'!C241=0,0,'Encargos e Benefícios'!AD241/'Encargos e Benefícios'!C241)</f>
        <v>3718.6461905555561</v>
      </c>
      <c r="AO242" s="188">
        <v>1676.09</v>
      </c>
      <c r="AP242" s="298">
        <v>1377.85</v>
      </c>
      <c r="AQ242" s="298">
        <v>1974.32</v>
      </c>
      <c r="AR242" s="299" t="s">
        <v>117</v>
      </c>
      <c r="AS242" s="188"/>
    </row>
    <row r="243" spans="1:45">
      <c r="A243" s="286">
        <v>237</v>
      </c>
      <c r="B243" s="81" t="str">
        <f>'Encargos e Benefícios'!B242</f>
        <v>Socioeducador - DC</v>
      </c>
      <c r="C243" s="287">
        <f>'Encargos e Benefícios'!C242</f>
        <v>2</v>
      </c>
      <c r="D243" s="288" t="s">
        <v>496</v>
      </c>
      <c r="E243" s="300">
        <v>45658</v>
      </c>
      <c r="F243" s="301">
        <v>47058</v>
      </c>
      <c r="G243" s="293"/>
      <c r="H243" s="294"/>
      <c r="I243" s="256"/>
      <c r="J243" s="256"/>
      <c r="K243" s="256"/>
      <c r="L243" s="256"/>
      <c r="M243" s="293">
        <v>45778</v>
      </c>
      <c r="N243" s="294">
        <v>5.8400000000000001E-2</v>
      </c>
      <c r="O243" s="256">
        <f>'Encargos e Benefícios'!W242*5.84%</f>
        <v>61.810560000000002</v>
      </c>
      <c r="P243" s="256">
        <f>('Encargos e Benefícios'!X242+'Encargos e Benefícios'!Y242+'Encargos e Benefícios'!Z242+'Encargos e Benefícios'!AA242+'Encargos e Benefícios'!AB242)*5.84%</f>
        <v>36.470799999999997</v>
      </c>
      <c r="Q243" s="256">
        <f>'Encargos e Benefícios'!V242*5.84%</f>
        <v>8.8931520000000006</v>
      </c>
      <c r="R243" s="256"/>
      <c r="S243" s="293">
        <v>46143</v>
      </c>
      <c r="T243" s="294">
        <v>5.8400000000000001E-2</v>
      </c>
      <c r="U243" s="256">
        <f>('Encargos e Benefícios'!W242+'Gastos com Pessoal'!O243)*5.84%</f>
        <v>65.420296703999995</v>
      </c>
      <c r="V243" s="256">
        <f>('Encargos e Benefícios'!X242+'Encargos e Benefícios'!Y242+'Encargos e Benefícios'!Z242+'Encargos e Benefícios'!AA242+'Encargos e Benefícios'!AB242+'Gastos com Pessoal'!P243)*5.84%</f>
        <v>38.600694720000007</v>
      </c>
      <c r="W243" s="256">
        <f>('Encargos e Benefícios'!V242+'Gastos com Pessoal'!Q243)*5.84%</f>
        <v>9.4125120768000006</v>
      </c>
      <c r="X243" s="256"/>
      <c r="Y243" s="293">
        <v>46508</v>
      </c>
      <c r="Z243" s="294">
        <v>5.8400000000000001E-2</v>
      </c>
      <c r="AA243" s="256">
        <f>('Encargos e Benefícios'!W242+'Gastos com Pessoal'!O243+'Gastos com Pessoal'!U243)*5.84%</f>
        <v>69.240842031513608</v>
      </c>
      <c r="AB243" s="256">
        <f>('Encargos e Benefícios'!X242+'Encargos e Benefícios'!Y242+'Encargos e Benefícios'!Z242+'Encargos e Benefícios'!AA242+'Encargos e Benefícios'!AB242+'Gastos com Pessoal'!P243+'Gastos com Pessoal'!V243)*5.84%</f>
        <v>40.854975291648003</v>
      </c>
      <c r="AC243" s="256">
        <f>('Encargos e Benefícios'!V242+'Gastos com Pessoal'!Q243+'Gastos com Pessoal'!W243)*5.84%</f>
        <v>9.9622027820851216</v>
      </c>
      <c r="AD243" s="256"/>
      <c r="AE243" s="293">
        <v>46874</v>
      </c>
      <c r="AF243" s="294">
        <v>5.8400000000000001E-2</v>
      </c>
      <c r="AG243" s="256">
        <f>('Encargos e Benefícios'!W242+'Gastos com Pessoal'!O243+'Gastos com Pessoal'!U243+'Gastos com Pessoal'!AA243)*5.84%</f>
        <v>73.284507206154004</v>
      </c>
      <c r="AH243" s="256">
        <f>('Encargos e Benefícios'!X242+'Encargos e Benefícios'!Y242+'Encargos e Benefícios'!Z242+'Encargos e Benefícios'!AA242+'Encargos e Benefícios'!AB242+'Gastos com Pessoal'!P243+'Gastos com Pessoal'!V243+'Gastos com Pessoal'!AB243)*5.84%</f>
        <v>43.240905848680242</v>
      </c>
      <c r="AI243" s="256">
        <f>('Encargos e Benefícios'!V242+'Gastos com Pessoal'!Q243+'Gastos com Pessoal'!W243+'Gastos com Pessoal'!AC243)*5.84%</f>
        <v>10.543995424558892</v>
      </c>
      <c r="AJ243" s="257"/>
      <c r="AK243" s="296">
        <f>'Encargos e Benefícios'!D242</f>
        <v>2010.96</v>
      </c>
      <c r="AL243" s="296">
        <f>IF('Encargos e Benefícios'!C242=0,0,'Encargos e Benefícios'!U242/'Encargos e Benefícios'!C242)</f>
        <v>2942.4053904000002</v>
      </c>
      <c r="AM243" s="296">
        <f>IF('Encargos e Benefícios'!C242=0,0,'Encargos e Benefícios'!AC242/'Encargos e Benefícios'!C242)</f>
        <v>917.59000000000015</v>
      </c>
      <c r="AN243" s="297">
        <f>IF('Encargos e Benefícios'!C242=0,0,'Encargos e Benefícios'!AD242/'Encargos e Benefícios'!C242)</f>
        <v>5870.9553904000004</v>
      </c>
      <c r="AO243" s="188">
        <v>3219.15</v>
      </c>
      <c r="AP243" s="298">
        <v>1764.5</v>
      </c>
      <c r="AQ243" s="298">
        <v>4673.8</v>
      </c>
      <c r="AR243" s="299" t="s">
        <v>117</v>
      </c>
      <c r="AS243" s="188"/>
    </row>
    <row r="244" spans="1:45">
      <c r="A244" s="286">
        <v>238</v>
      </c>
      <c r="B244" s="81" t="str">
        <f>'Encargos e Benefícios'!B243</f>
        <v>Socioeducador - D</v>
      </c>
      <c r="C244" s="287">
        <f>'Encargos e Benefícios'!C243</f>
        <v>12</v>
      </c>
      <c r="D244" s="288" t="s">
        <v>496</v>
      </c>
      <c r="E244" s="300">
        <v>45658</v>
      </c>
      <c r="F244" s="301">
        <v>47058</v>
      </c>
      <c r="G244" s="293"/>
      <c r="H244" s="294"/>
      <c r="I244" s="256"/>
      <c r="J244" s="256"/>
      <c r="K244" s="256"/>
      <c r="L244" s="256"/>
      <c r="M244" s="293">
        <v>45778</v>
      </c>
      <c r="N244" s="294">
        <v>5.8400000000000001E-2</v>
      </c>
      <c r="O244" s="256">
        <f>'Encargos e Benefícios'!W243*5.84%</f>
        <v>370.86336000000006</v>
      </c>
      <c r="P244" s="256">
        <f>('Encargos e Benefícios'!X243+'Encargos e Benefícios'!Y243+'Encargos e Benefícios'!Z243+'Encargos e Benefícios'!AA243+'Encargos e Benefícios'!AB243)*5.84%</f>
        <v>218.82480000000001</v>
      </c>
      <c r="Q244" s="256">
        <f>'Encargos e Benefícios'!V243*5.84%</f>
        <v>53.358912000000004</v>
      </c>
      <c r="R244" s="256"/>
      <c r="S244" s="293">
        <v>46143</v>
      </c>
      <c r="T244" s="294">
        <v>5.8400000000000001E-2</v>
      </c>
      <c r="U244" s="256">
        <f>('Encargos e Benefícios'!W243+'Gastos com Pessoal'!O244)*5.84%</f>
        <v>392.52178022400005</v>
      </c>
      <c r="V244" s="256">
        <f>('Encargos e Benefícios'!X243+'Encargos e Benefícios'!Y243+'Encargos e Benefícios'!Z243+'Encargos e Benefícios'!AA243+'Encargos e Benefícios'!AB243+'Gastos com Pessoal'!P244)*5.84%</f>
        <v>231.60416831999999</v>
      </c>
      <c r="W244" s="256">
        <f>('Encargos e Benefícios'!V243+'Gastos com Pessoal'!Q244)*5.84%</f>
        <v>56.475072460800007</v>
      </c>
      <c r="X244" s="256"/>
      <c r="Y244" s="293">
        <v>46508</v>
      </c>
      <c r="Z244" s="294">
        <v>5.8400000000000001E-2</v>
      </c>
      <c r="AA244" s="256">
        <f>('Encargos e Benefícios'!W243+'Gastos com Pessoal'!O244+'Gastos com Pessoal'!U244)*5.84%</f>
        <v>415.44505218908165</v>
      </c>
      <c r="AB244" s="256">
        <f>('Encargos e Benefícios'!X243+'Encargos e Benefícios'!Y243+'Encargos e Benefícios'!Z243+'Encargos e Benefícios'!AA243+'Encargos e Benefícios'!AB243+'Gastos com Pessoal'!P244+'Gastos com Pessoal'!V244)*5.84%</f>
        <v>245.12985174988796</v>
      </c>
      <c r="AC244" s="256">
        <f>('Encargos e Benefícios'!V243+'Gastos com Pessoal'!Q244+'Gastos com Pessoal'!W244)*5.84%</f>
        <v>59.773216692510722</v>
      </c>
      <c r="AD244" s="256"/>
      <c r="AE244" s="293">
        <v>46874</v>
      </c>
      <c r="AF244" s="294">
        <v>5.8400000000000001E-2</v>
      </c>
      <c r="AG244" s="256">
        <f>('Encargos e Benefícios'!W243+'Gastos com Pessoal'!O244+'Gastos com Pessoal'!U244+'Gastos com Pessoal'!AA244)*5.84%</f>
        <v>439.70704323692399</v>
      </c>
      <c r="AH244" s="256">
        <f>('Encargos e Benefícios'!X243+'Encargos e Benefícios'!Y243+'Encargos e Benefícios'!Z243+'Encargos e Benefícios'!AA243+'Encargos e Benefícios'!AB243+'Gastos com Pessoal'!P244+'Gastos com Pessoal'!V244+'Gastos com Pessoal'!AB244)*5.84%</f>
        <v>259.44543509208142</v>
      </c>
      <c r="AI244" s="256">
        <f>('Encargos e Benefícios'!V243+'Gastos com Pessoal'!Q244+'Gastos com Pessoal'!W244+'Gastos com Pessoal'!AC244)*5.84%</f>
        <v>63.263972547353355</v>
      </c>
      <c r="AJ244" s="257"/>
      <c r="AK244" s="296">
        <f>'Encargos e Benefícios'!D243</f>
        <v>2010.96</v>
      </c>
      <c r="AL244" s="296">
        <f>IF('Encargos e Benefícios'!C243=0,0,'Encargos e Benefícios'!U243/'Encargos e Benefícios'!C243)</f>
        <v>2591.2415003999999</v>
      </c>
      <c r="AM244" s="296">
        <f>IF('Encargos e Benefícios'!C243=0,0,'Encargos e Benefícios'!AC243/'Encargos e Benefícios'!C243)</f>
        <v>917.59</v>
      </c>
      <c r="AN244" s="297">
        <f>IF('Encargos e Benefícios'!C243=0,0,'Encargos e Benefícios'!AD243/'Encargos e Benefícios'!C243)</f>
        <v>5519.7915003999997</v>
      </c>
      <c r="AO244" s="188">
        <v>3219.15</v>
      </c>
      <c r="AP244" s="298">
        <v>1764.5</v>
      </c>
      <c r="AQ244" s="298">
        <v>4673.8</v>
      </c>
      <c r="AR244" s="299" t="s">
        <v>117</v>
      </c>
      <c r="AS244" s="188"/>
    </row>
    <row r="245" spans="1:45">
      <c r="A245" s="286">
        <v>239</v>
      </c>
      <c r="B245" s="81" t="str">
        <f>'Encargos e Benefícios'!B244</f>
        <v>Socioeducador - NC</v>
      </c>
      <c r="C245" s="287">
        <f>'Encargos e Benefícios'!C244</f>
        <v>2</v>
      </c>
      <c r="D245" s="288" t="s">
        <v>496</v>
      </c>
      <c r="E245" s="300">
        <v>45658</v>
      </c>
      <c r="F245" s="301">
        <v>47058</v>
      </c>
      <c r="G245" s="293"/>
      <c r="H245" s="294"/>
      <c r="I245" s="256"/>
      <c r="J245" s="256"/>
      <c r="K245" s="256"/>
      <c r="L245" s="256"/>
      <c r="M245" s="293">
        <v>45778</v>
      </c>
      <c r="N245" s="294">
        <v>5.8400000000000001E-2</v>
      </c>
      <c r="O245" s="256">
        <f>'Encargos e Benefícios'!W244*5.84%</f>
        <v>61.810560000000002</v>
      </c>
      <c r="P245" s="256">
        <f>('Encargos e Benefícios'!X244+'Encargos e Benefícios'!Y244+'Encargos e Benefícios'!Z244+'Encargos e Benefícios'!AA244+'Encargos e Benefícios'!AB244)*5.84%</f>
        <v>36.470799999999997</v>
      </c>
      <c r="Q245" s="256">
        <f>'Encargos e Benefícios'!V244*5.84%</f>
        <v>8.8931520000000006</v>
      </c>
      <c r="R245" s="256"/>
      <c r="S245" s="293">
        <v>46143</v>
      </c>
      <c r="T245" s="294">
        <v>5.8400000000000001E-2</v>
      </c>
      <c r="U245" s="256">
        <f>('Encargos e Benefícios'!W244+'Gastos com Pessoal'!O245)*5.84%</f>
        <v>65.420296703999995</v>
      </c>
      <c r="V245" s="256">
        <f>('Encargos e Benefícios'!X244+'Encargos e Benefícios'!Y244+'Encargos e Benefícios'!Z244+'Encargos e Benefícios'!AA244+'Encargos e Benefícios'!AB244+'Gastos com Pessoal'!P245)*5.84%</f>
        <v>38.600694720000007</v>
      </c>
      <c r="W245" s="256">
        <f>('Encargos e Benefícios'!V244+'Gastos com Pessoal'!Q245)*5.84%</f>
        <v>9.4125120768000006</v>
      </c>
      <c r="X245" s="256"/>
      <c r="Y245" s="293">
        <v>46508</v>
      </c>
      <c r="Z245" s="294">
        <v>5.8400000000000001E-2</v>
      </c>
      <c r="AA245" s="256">
        <f>('Encargos e Benefícios'!W244+'Gastos com Pessoal'!O245+'Gastos com Pessoal'!U245)*5.84%</f>
        <v>69.240842031513608</v>
      </c>
      <c r="AB245" s="256">
        <f>('Encargos e Benefícios'!X244+'Encargos e Benefícios'!Y244+'Encargos e Benefícios'!Z244+'Encargos e Benefícios'!AA244+'Encargos e Benefícios'!AB244+'Gastos com Pessoal'!P245+'Gastos com Pessoal'!V245)*5.84%</f>
        <v>40.854975291648003</v>
      </c>
      <c r="AC245" s="256">
        <f>('Encargos e Benefícios'!V244+'Gastos com Pessoal'!Q245+'Gastos com Pessoal'!W245)*5.84%</f>
        <v>9.9622027820851216</v>
      </c>
      <c r="AD245" s="256"/>
      <c r="AE245" s="293">
        <v>46874</v>
      </c>
      <c r="AF245" s="294">
        <v>5.8400000000000001E-2</v>
      </c>
      <c r="AG245" s="256">
        <f>('Encargos e Benefícios'!W244+'Gastos com Pessoal'!O245+'Gastos com Pessoal'!U245+'Gastos com Pessoal'!AA245)*5.84%</f>
        <v>73.284507206154004</v>
      </c>
      <c r="AH245" s="256">
        <f>('Encargos e Benefícios'!X244+'Encargos e Benefícios'!Y244+'Encargos e Benefícios'!Z244+'Encargos e Benefícios'!AA244+'Encargos e Benefícios'!AB244+'Gastos com Pessoal'!P245+'Gastos com Pessoal'!V245+'Gastos com Pessoal'!AB245)*5.84%</f>
        <v>43.240905848680242</v>
      </c>
      <c r="AI245" s="256">
        <f>('Encargos e Benefícios'!V244+'Gastos com Pessoal'!Q245+'Gastos com Pessoal'!W245+'Gastos com Pessoal'!AC245)*5.84%</f>
        <v>10.543995424558892</v>
      </c>
      <c r="AJ245" s="257"/>
      <c r="AK245" s="296">
        <f>'Encargos e Benefícios'!D244</f>
        <v>2010.96</v>
      </c>
      <c r="AL245" s="296">
        <f>IF('Encargos e Benefícios'!C244=0,0,'Encargos e Benefícios'!U244/'Encargos e Benefícios'!C244)</f>
        <v>3553.5688062933345</v>
      </c>
      <c r="AM245" s="296">
        <f>IF('Encargos e Benefícios'!C244=0,0,'Encargos e Benefícios'!AC244/'Encargos e Benefícios'!C244)</f>
        <v>917.59000000000015</v>
      </c>
      <c r="AN245" s="297">
        <f>IF('Encargos e Benefícios'!C244=0,0,'Encargos e Benefícios'!AD244/'Encargos e Benefícios'!C244)</f>
        <v>6482.1188062933343</v>
      </c>
      <c r="AO245" s="188">
        <v>3219.15</v>
      </c>
      <c r="AP245" s="298">
        <v>1764.5</v>
      </c>
      <c r="AQ245" s="298">
        <v>4673.8</v>
      </c>
      <c r="AR245" s="299" t="s">
        <v>117</v>
      </c>
      <c r="AS245" s="188"/>
    </row>
    <row r="246" spans="1:45" ht="13" thickBot="1">
      <c r="A246" s="286">
        <v>240</v>
      </c>
      <c r="B246" s="81" t="str">
        <f>'Encargos e Benefícios'!B245</f>
        <v>Socioeducador - N</v>
      </c>
      <c r="C246" s="287">
        <f>'Encargos e Benefícios'!C245</f>
        <v>6</v>
      </c>
      <c r="D246" s="288" t="s">
        <v>496</v>
      </c>
      <c r="E246" s="300">
        <v>45658</v>
      </c>
      <c r="F246" s="301">
        <v>47058</v>
      </c>
      <c r="G246" s="293"/>
      <c r="H246" s="294"/>
      <c r="I246" s="256"/>
      <c r="J246" s="256"/>
      <c r="K246" s="256"/>
      <c r="L246" s="256"/>
      <c r="M246" s="293">
        <v>45778</v>
      </c>
      <c r="N246" s="294">
        <v>5.8400000000000001E-2</v>
      </c>
      <c r="O246" s="256">
        <f>'Encargos e Benefícios'!W245*5.84%</f>
        <v>185.43168000000003</v>
      </c>
      <c r="P246" s="256">
        <f>('Encargos e Benefícios'!X245+'Encargos e Benefícios'!Y245+'Encargos e Benefícios'!Z245+'Encargos e Benefícios'!AA245+'Encargos e Benefícios'!AB245)*5.84%</f>
        <v>109.41240000000001</v>
      </c>
      <c r="Q246" s="256">
        <f>'Encargos e Benefícios'!V245*5.84%</f>
        <v>26.679456000000002</v>
      </c>
      <c r="R246" s="256"/>
      <c r="S246" s="293">
        <v>46143</v>
      </c>
      <c r="T246" s="294">
        <v>5.8400000000000001E-2</v>
      </c>
      <c r="U246" s="256">
        <f>('Encargos e Benefícios'!W245+'Gastos com Pessoal'!O246)*5.84%</f>
        <v>196.26089011200003</v>
      </c>
      <c r="V246" s="256">
        <f>('Encargos e Benefícios'!X245+'Encargos e Benefícios'!Y245+'Encargos e Benefícios'!Z245+'Encargos e Benefícios'!AA245+'Encargos e Benefícios'!AB245+'Gastos com Pessoal'!P246)*5.84%</f>
        <v>115.80208415999999</v>
      </c>
      <c r="W246" s="256">
        <f>('Encargos e Benefícios'!V245+'Gastos com Pessoal'!Q246)*5.84%</f>
        <v>28.237536230400003</v>
      </c>
      <c r="X246" s="256"/>
      <c r="Y246" s="293">
        <v>46508</v>
      </c>
      <c r="Z246" s="294">
        <v>5.8400000000000001E-2</v>
      </c>
      <c r="AA246" s="256">
        <f>('Encargos e Benefícios'!W245+'Gastos com Pessoal'!O246+'Gastos com Pessoal'!U246)*5.84%</f>
        <v>207.72252609454083</v>
      </c>
      <c r="AB246" s="256">
        <f>('Encargos e Benefícios'!X245+'Encargos e Benefícios'!Y245+'Encargos e Benefícios'!Z245+'Encargos e Benefícios'!AA245+'Encargos e Benefícios'!AB245+'Gastos com Pessoal'!P246+'Gastos com Pessoal'!V246)*5.84%</f>
        <v>122.56492587494398</v>
      </c>
      <c r="AC246" s="256">
        <f>('Encargos e Benefícios'!V245+'Gastos com Pessoal'!Q246+'Gastos com Pessoal'!W246)*5.84%</f>
        <v>29.886608346255361</v>
      </c>
      <c r="AD246" s="256"/>
      <c r="AE246" s="293">
        <v>46874</v>
      </c>
      <c r="AF246" s="294">
        <v>5.8400000000000001E-2</v>
      </c>
      <c r="AG246" s="256">
        <f>('Encargos e Benefícios'!W245+'Gastos com Pessoal'!O246+'Gastos com Pessoal'!U246+'Gastos com Pessoal'!AA246)*5.84%</f>
        <v>219.853521618462</v>
      </c>
      <c r="AH246" s="256">
        <f>('Encargos e Benefícios'!X245+'Encargos e Benefícios'!Y245+'Encargos e Benefícios'!Z245+'Encargos e Benefícios'!AA245+'Encargos e Benefícios'!AB245+'Gastos com Pessoal'!P246+'Gastos com Pessoal'!V246+'Gastos com Pessoal'!AB246)*5.84%</f>
        <v>129.72271754604071</v>
      </c>
      <c r="AI246" s="256">
        <f>('Encargos e Benefícios'!V245+'Gastos com Pessoal'!Q246+'Gastos com Pessoal'!W246+'Gastos com Pessoal'!AC246)*5.84%</f>
        <v>31.631986273676677</v>
      </c>
      <c r="AJ246" s="257"/>
      <c r="AK246" s="296">
        <f>'Encargos e Benefícios'!D245</f>
        <v>2010.96</v>
      </c>
      <c r="AL246" s="296">
        <f>IF('Encargos e Benefícios'!C245=0,0,'Encargos e Benefícios'!U245/'Encargos e Benefícios'!C245)</f>
        <v>3202.4049162933329</v>
      </c>
      <c r="AM246" s="296">
        <f>IF('Encargos e Benefícios'!C245=0,0,'Encargos e Benefícios'!AC245/'Encargos e Benefícios'!C245)</f>
        <v>917.59</v>
      </c>
      <c r="AN246" s="297">
        <f>IF('Encargos e Benefícios'!C245=0,0,'Encargos e Benefícios'!AD245/'Encargos e Benefícios'!C245)</f>
        <v>6130.9549162933326</v>
      </c>
      <c r="AO246" s="188">
        <v>3219.15</v>
      </c>
      <c r="AP246" s="298">
        <v>1764.5</v>
      </c>
      <c r="AQ246" s="298">
        <v>4673.8</v>
      </c>
      <c r="AR246" s="299" t="s">
        <v>117</v>
      </c>
      <c r="AS246" s="188"/>
    </row>
    <row r="247" spans="1:45">
      <c r="A247" s="286">
        <v>241</v>
      </c>
      <c r="B247" s="81" t="str">
        <f>'Encargos e Benefícios'!B246</f>
        <v>Diretor Geral de Unidade Socioeducativa</v>
      </c>
      <c r="C247" s="287">
        <f>'Encargos e Benefícios'!C246</f>
        <v>1</v>
      </c>
      <c r="D247" s="288">
        <v>40</v>
      </c>
      <c r="E247" s="289">
        <v>45658</v>
      </c>
      <c r="F247" s="290">
        <v>47058</v>
      </c>
      <c r="G247" s="293"/>
      <c r="H247" s="294"/>
      <c r="I247" s="256"/>
      <c r="J247" s="256"/>
      <c r="K247" s="256"/>
      <c r="L247" s="256"/>
      <c r="M247" s="293">
        <v>45778</v>
      </c>
      <c r="N247" s="294">
        <v>5.8400000000000001E-2</v>
      </c>
      <c r="O247" s="256">
        <f>'Encargos e Benefícios'!W246*5.84%</f>
        <v>30.905280000000001</v>
      </c>
      <c r="P247" s="256">
        <f>('Encargos e Benefícios'!X246+'Encargos e Benefícios'!Y246+'Encargos e Benefícios'!Z246+'Encargos e Benefícios'!AA246+'Encargos e Benefícios'!AB246)*5.84%</f>
        <v>18.235399999999998</v>
      </c>
      <c r="Q247" s="256">
        <f>'Encargos e Benefícios'!V246*5.84%</f>
        <v>0</v>
      </c>
      <c r="R247" s="256"/>
      <c r="S247" s="293">
        <v>46143</v>
      </c>
      <c r="T247" s="294">
        <v>5.8400000000000001E-2</v>
      </c>
      <c r="U247" s="256">
        <f>('Encargos e Benefícios'!W246+'Gastos com Pessoal'!O247)*5.84%</f>
        <v>32.710148351999997</v>
      </c>
      <c r="V247" s="256">
        <f>('Encargos e Benefícios'!X246+'Encargos e Benefícios'!Y246+'Encargos e Benefícios'!Z246+'Encargos e Benefícios'!AA246+'Encargos e Benefícios'!AB246+'Gastos com Pessoal'!P247)*5.84%</f>
        <v>19.300347360000004</v>
      </c>
      <c r="W247" s="256">
        <f>('Encargos e Benefícios'!V246+'Gastos com Pessoal'!Q247)*5.84%</f>
        <v>0</v>
      </c>
      <c r="X247" s="256"/>
      <c r="Y247" s="293">
        <v>46508</v>
      </c>
      <c r="Z247" s="294">
        <v>5.8400000000000001E-2</v>
      </c>
      <c r="AA247" s="256">
        <f>('Encargos e Benefícios'!W246+'Gastos com Pessoal'!O247+'Gastos com Pessoal'!U247)*5.84%</f>
        <v>34.620421015756804</v>
      </c>
      <c r="AB247" s="256">
        <f>('Encargos e Benefícios'!X246+'Encargos e Benefícios'!Y246+'Encargos e Benefícios'!Z246+'Encargos e Benefícios'!AA246+'Encargos e Benefícios'!AB246+'Gastos com Pessoal'!P247+'Gastos com Pessoal'!V247)*5.84%</f>
        <v>20.427487645824002</v>
      </c>
      <c r="AC247" s="256">
        <f>('Encargos e Benefícios'!V246+'Gastos com Pessoal'!Q247+'Gastos com Pessoal'!W247)*5.84%</f>
        <v>0</v>
      </c>
      <c r="AD247" s="256"/>
      <c r="AE247" s="293">
        <v>46874</v>
      </c>
      <c r="AF247" s="294">
        <v>5.8400000000000001E-2</v>
      </c>
      <c r="AG247" s="256">
        <f>('Encargos e Benefícios'!W246+'Gastos com Pessoal'!O247+'Gastos com Pessoal'!U247+'Gastos com Pessoal'!AA247)*5.84%</f>
        <v>36.642253603077002</v>
      </c>
      <c r="AH247" s="256">
        <f>('Encargos e Benefícios'!X246+'Encargos e Benefícios'!Y246+'Encargos e Benefícios'!Z246+'Encargos e Benefícios'!AA246+'Encargos e Benefícios'!AB246+'Gastos com Pessoal'!P247+'Gastos com Pessoal'!V247+'Gastos com Pessoal'!AB247)*5.84%</f>
        <v>21.620452924340121</v>
      </c>
      <c r="AI247" s="256">
        <f>('Encargos e Benefícios'!V246+'Gastos com Pessoal'!Q247+'Gastos com Pessoal'!W247+'Gastos com Pessoal'!AC247)*5.84%</f>
        <v>0</v>
      </c>
      <c r="AJ247" s="257"/>
      <c r="AK247" s="296">
        <f>'Encargos e Benefícios'!D246</f>
        <v>6879.6</v>
      </c>
      <c r="AL247" s="296">
        <f>IF('Encargos e Benefícios'!C246=0,0,'Encargos e Benefícios'!U246/'Encargos e Benefícios'!C246)</f>
        <v>5400.8682000000008</v>
      </c>
      <c r="AM247" s="296">
        <f>IF('Encargos e Benefícios'!C246=0,0,'Encargos e Benefícios'!AC246/'Encargos e Benefícios'!C246)</f>
        <v>841.45</v>
      </c>
      <c r="AN247" s="297">
        <f>IF('Encargos e Benefícios'!C246=0,0,'Encargos e Benefícios'!AD246/'Encargos e Benefícios'!C246)</f>
        <v>13121.918200000002</v>
      </c>
      <c r="AO247" s="188">
        <v>6052.24</v>
      </c>
      <c r="AP247" s="298">
        <v>4239.6899999999996</v>
      </c>
      <c r="AQ247" s="298">
        <v>7864.78</v>
      </c>
      <c r="AR247" s="299" t="s">
        <v>118</v>
      </c>
      <c r="AS247" s="188"/>
    </row>
    <row r="248" spans="1:45">
      <c r="A248" s="286">
        <v>242</v>
      </c>
      <c r="B248" s="81" t="str">
        <f>'Encargos e Benefícios'!B247</f>
        <v>Subdiretor de Segurança</v>
      </c>
      <c r="C248" s="287">
        <f>'Encargos e Benefícios'!C247</f>
        <v>1</v>
      </c>
      <c r="D248" s="288">
        <v>40</v>
      </c>
      <c r="E248" s="300">
        <v>45658</v>
      </c>
      <c r="F248" s="301">
        <v>47058</v>
      </c>
      <c r="G248" s="293"/>
      <c r="H248" s="294"/>
      <c r="I248" s="256"/>
      <c r="J248" s="256"/>
      <c r="K248" s="256"/>
      <c r="L248" s="256"/>
      <c r="M248" s="293">
        <v>45778</v>
      </c>
      <c r="N248" s="294">
        <v>5.8400000000000001E-2</v>
      </c>
      <c r="O248" s="256">
        <f>'Encargos e Benefícios'!W247*5.84%</f>
        <v>30.905280000000001</v>
      </c>
      <c r="P248" s="256">
        <f>('Encargos e Benefícios'!X247+'Encargos e Benefícios'!Y247+'Encargos e Benefícios'!Z247+'Encargos e Benefícios'!AA247+'Encargos e Benefícios'!AB247)*5.84%</f>
        <v>18.235399999999998</v>
      </c>
      <c r="Q248" s="256">
        <f>'Encargos e Benefícios'!V247*5.84%</f>
        <v>0</v>
      </c>
      <c r="R248" s="256"/>
      <c r="S248" s="293">
        <v>46143</v>
      </c>
      <c r="T248" s="294">
        <v>5.8400000000000001E-2</v>
      </c>
      <c r="U248" s="256">
        <f>('Encargos e Benefícios'!W247+'Gastos com Pessoal'!O248)*5.84%</f>
        <v>32.710148351999997</v>
      </c>
      <c r="V248" s="256">
        <f>('Encargos e Benefícios'!X247+'Encargos e Benefícios'!Y247+'Encargos e Benefícios'!Z247+'Encargos e Benefícios'!AA247+'Encargos e Benefícios'!AB247+'Gastos com Pessoal'!P248)*5.84%</f>
        <v>19.300347360000004</v>
      </c>
      <c r="W248" s="256">
        <f>('Encargos e Benefícios'!V247+'Gastos com Pessoal'!Q248)*5.84%</f>
        <v>0</v>
      </c>
      <c r="X248" s="256"/>
      <c r="Y248" s="293">
        <v>46508</v>
      </c>
      <c r="Z248" s="294">
        <v>5.8400000000000001E-2</v>
      </c>
      <c r="AA248" s="256">
        <f>('Encargos e Benefícios'!W247+'Gastos com Pessoal'!O248+'Gastos com Pessoal'!U248)*5.84%</f>
        <v>34.620421015756804</v>
      </c>
      <c r="AB248" s="256">
        <f>('Encargos e Benefícios'!X247+'Encargos e Benefícios'!Y247+'Encargos e Benefícios'!Z247+'Encargos e Benefícios'!AA247+'Encargos e Benefícios'!AB247+'Gastos com Pessoal'!P248+'Gastos com Pessoal'!V248)*5.84%</f>
        <v>20.427487645824002</v>
      </c>
      <c r="AC248" s="256">
        <f>('Encargos e Benefícios'!V247+'Gastos com Pessoal'!Q248+'Gastos com Pessoal'!W248)*5.84%</f>
        <v>0</v>
      </c>
      <c r="AD248" s="256"/>
      <c r="AE248" s="293">
        <v>46874</v>
      </c>
      <c r="AF248" s="294">
        <v>5.8400000000000001E-2</v>
      </c>
      <c r="AG248" s="256">
        <f>('Encargos e Benefícios'!W247+'Gastos com Pessoal'!O248+'Gastos com Pessoal'!U248+'Gastos com Pessoal'!AA248)*5.84%</f>
        <v>36.642253603077002</v>
      </c>
      <c r="AH248" s="256">
        <f>('Encargos e Benefícios'!X247+'Encargos e Benefícios'!Y247+'Encargos e Benefícios'!Z247+'Encargos e Benefícios'!AA247+'Encargos e Benefícios'!AB247+'Gastos com Pessoal'!P248+'Gastos com Pessoal'!V248+'Gastos com Pessoal'!AB248)*5.84%</f>
        <v>21.620452924340121</v>
      </c>
      <c r="AI248" s="256">
        <f>('Encargos e Benefícios'!V247+'Gastos com Pessoal'!Q248+'Gastos com Pessoal'!W248+'Gastos com Pessoal'!AC248)*5.84%</f>
        <v>0</v>
      </c>
      <c r="AJ248" s="257"/>
      <c r="AK248" s="296">
        <f>'Encargos e Benefícios'!D247</f>
        <v>3993.98</v>
      </c>
      <c r="AL248" s="296">
        <f>IF('Encargos e Benefícios'!C247=0,0,'Encargos e Benefícios'!U247/'Encargos e Benefícios'!C247)</f>
        <v>4659.1662746111106</v>
      </c>
      <c r="AM248" s="296">
        <f>IF('Encargos e Benefícios'!C247=0,0,'Encargos e Benefícios'!AC247/'Encargos e Benefícios'!C247)</f>
        <v>841.45</v>
      </c>
      <c r="AN248" s="297">
        <f>IF('Encargos e Benefícios'!C247=0,0,'Encargos e Benefícios'!AD247/'Encargos e Benefícios'!C247)</f>
        <v>9494.5962746111109</v>
      </c>
      <c r="AO248" s="188">
        <v>4968.99</v>
      </c>
      <c r="AP248" s="298">
        <v>3773.6</v>
      </c>
      <c r="AQ248" s="298">
        <v>6164.38</v>
      </c>
      <c r="AR248" s="299" t="s">
        <v>118</v>
      </c>
      <c r="AS248" s="188"/>
    </row>
    <row r="249" spans="1:45">
      <c r="A249" s="286">
        <v>243</v>
      </c>
      <c r="B249" s="81" t="str">
        <f>'Encargos e Benefícios'!B248</f>
        <v>Advogado</v>
      </c>
      <c r="C249" s="287">
        <f>'Encargos e Benefícios'!C248</f>
        <v>1</v>
      </c>
      <c r="D249" s="288">
        <v>30</v>
      </c>
      <c r="E249" s="300">
        <v>45658</v>
      </c>
      <c r="F249" s="301">
        <v>47058</v>
      </c>
      <c r="G249" s="293"/>
      <c r="H249" s="294"/>
      <c r="I249" s="256"/>
      <c r="J249" s="256"/>
      <c r="K249" s="256"/>
      <c r="L249" s="256"/>
      <c r="M249" s="293">
        <v>45778</v>
      </c>
      <c r="N249" s="294">
        <v>5.8400000000000001E-2</v>
      </c>
      <c r="O249" s="256">
        <f>'Encargos e Benefícios'!W248*5.84%</f>
        <v>30.905280000000001</v>
      </c>
      <c r="P249" s="256">
        <f>('Encargos e Benefícios'!X248+'Encargos e Benefícios'!Y248+'Encargos e Benefícios'!Z248+'Encargos e Benefícios'!AA248+'Encargos e Benefícios'!AB248)*5.84%</f>
        <v>18.235399999999998</v>
      </c>
      <c r="Q249" s="256">
        <f>'Encargos e Benefícios'!V248*5.84%</f>
        <v>6.521528</v>
      </c>
      <c r="R249" s="256"/>
      <c r="S249" s="293">
        <v>46143</v>
      </c>
      <c r="T249" s="294">
        <v>5.8400000000000001E-2</v>
      </c>
      <c r="U249" s="256">
        <f>('Encargos e Benefícios'!W248+'Gastos com Pessoal'!O249)*5.84%</f>
        <v>32.710148351999997</v>
      </c>
      <c r="V249" s="256">
        <f>('Encargos e Benefícios'!X248+'Encargos e Benefícios'!Y248+'Encargos e Benefícios'!Z248+'Encargos e Benefícios'!AA248+'Encargos e Benefícios'!AB248+'Gastos com Pessoal'!P249)*5.84%</f>
        <v>19.300347360000004</v>
      </c>
      <c r="W249" s="256">
        <f>('Encargos e Benefícios'!V248+'Gastos com Pessoal'!Q249)*5.84%</f>
        <v>6.9023852352000006</v>
      </c>
      <c r="X249" s="256"/>
      <c r="Y249" s="293">
        <v>46508</v>
      </c>
      <c r="Z249" s="294">
        <v>5.8400000000000001E-2</v>
      </c>
      <c r="AA249" s="256">
        <f>('Encargos e Benefícios'!W248+'Gastos com Pessoal'!O249+'Gastos com Pessoal'!U249)*5.84%</f>
        <v>34.620421015756804</v>
      </c>
      <c r="AB249" s="256">
        <f>('Encargos e Benefícios'!X248+'Encargos e Benefícios'!Y248+'Encargos e Benefícios'!Z248+'Encargos e Benefícios'!AA248+'Encargos e Benefícios'!AB248+'Gastos com Pessoal'!P249+'Gastos com Pessoal'!V249)*5.84%</f>
        <v>20.427487645824002</v>
      </c>
      <c r="AC249" s="256">
        <f>('Encargos e Benefícios'!V248+'Gastos com Pessoal'!Q249+'Gastos com Pessoal'!W249)*5.84%</f>
        <v>7.3054845329356803</v>
      </c>
      <c r="AD249" s="256"/>
      <c r="AE249" s="293">
        <v>46874</v>
      </c>
      <c r="AF249" s="294">
        <v>5.8400000000000001E-2</v>
      </c>
      <c r="AG249" s="256">
        <f>('Encargos e Benefícios'!W248+'Gastos com Pessoal'!O249+'Gastos com Pessoal'!U249+'Gastos com Pessoal'!AA249)*5.84%</f>
        <v>36.642253603077002</v>
      </c>
      <c r="AH249" s="256">
        <f>('Encargos e Benefícios'!X248+'Encargos e Benefícios'!Y248+'Encargos e Benefícios'!Z248+'Encargos e Benefícios'!AA248+'Encargos e Benefícios'!AB248+'Gastos com Pessoal'!P249+'Gastos com Pessoal'!V249+'Gastos com Pessoal'!AB249)*5.84%</f>
        <v>21.620452924340121</v>
      </c>
      <c r="AI249" s="256">
        <f>('Encargos e Benefícios'!V248+'Gastos com Pessoal'!Q249+'Gastos com Pessoal'!W249+'Gastos com Pessoal'!AC249)*5.84%</f>
        <v>7.7321248296591243</v>
      </c>
      <c r="AJ249" s="257"/>
      <c r="AK249" s="296">
        <f>'Encargos e Benefícios'!D248</f>
        <v>2751.84</v>
      </c>
      <c r="AL249" s="296">
        <f>IF('Encargos e Benefícios'!C248=0,0,'Encargos e Benefícios'!U248/'Encargos e Benefícios'!C248)</f>
        <v>2198.8730400000004</v>
      </c>
      <c r="AM249" s="296">
        <f>IF('Encargos e Benefícios'!C248=0,0,'Encargos e Benefícios'!AC248/'Encargos e Benefícios'!C248)</f>
        <v>953.12000000000012</v>
      </c>
      <c r="AN249" s="297">
        <f>IF('Encargos e Benefícios'!C248=0,0,'Encargos e Benefícios'!AD248/'Encargos e Benefícios'!C248)</f>
        <v>5903.8330400000004</v>
      </c>
      <c r="AO249" s="188">
        <v>2365.86</v>
      </c>
      <c r="AP249" s="298">
        <v>1700</v>
      </c>
      <c r="AQ249" s="298">
        <v>3031.72</v>
      </c>
      <c r="AR249" s="299" t="s">
        <v>118</v>
      </c>
      <c r="AS249" s="188"/>
    </row>
    <row r="250" spans="1:45">
      <c r="A250" s="286">
        <v>244</v>
      </c>
      <c r="B250" s="81" t="str">
        <f>'Encargos e Benefícios'!B249</f>
        <v>Assistente Social</v>
      </c>
      <c r="C250" s="287">
        <f>'Encargos e Benefícios'!C249</f>
        <v>1</v>
      </c>
      <c r="D250" s="288">
        <v>30</v>
      </c>
      <c r="E250" s="300">
        <v>45658</v>
      </c>
      <c r="F250" s="301">
        <v>47058</v>
      </c>
      <c r="G250" s="293"/>
      <c r="H250" s="294"/>
      <c r="I250" s="256"/>
      <c r="J250" s="256"/>
      <c r="K250" s="256"/>
      <c r="L250" s="256"/>
      <c r="M250" s="293">
        <v>45778</v>
      </c>
      <c r="N250" s="294">
        <v>5.8400000000000001E-2</v>
      </c>
      <c r="O250" s="256">
        <f>'Encargos e Benefícios'!W249*5.84%</f>
        <v>30.905280000000001</v>
      </c>
      <c r="P250" s="256">
        <f>('Encargos e Benefícios'!X249+'Encargos e Benefícios'!Y249+'Encargos e Benefícios'!Z249+'Encargos e Benefícios'!AA249+'Encargos e Benefícios'!AB249)*5.84%</f>
        <v>18.235399999999998</v>
      </c>
      <c r="Q250" s="256">
        <f>'Encargos e Benefícios'!V249*5.84%</f>
        <v>6.521528</v>
      </c>
      <c r="R250" s="256"/>
      <c r="S250" s="293">
        <v>46143</v>
      </c>
      <c r="T250" s="294">
        <v>5.8400000000000001E-2</v>
      </c>
      <c r="U250" s="256">
        <f>('Encargos e Benefícios'!W249+'Gastos com Pessoal'!O250)*5.84%</f>
        <v>32.710148351999997</v>
      </c>
      <c r="V250" s="256">
        <f>('Encargos e Benefícios'!X249+'Encargos e Benefícios'!Y249+'Encargos e Benefícios'!Z249+'Encargos e Benefícios'!AA249+'Encargos e Benefícios'!AB249+'Gastos com Pessoal'!P250)*5.84%</f>
        <v>19.300347360000004</v>
      </c>
      <c r="W250" s="256">
        <f>('Encargos e Benefícios'!V249+'Gastos com Pessoal'!Q250)*5.84%</f>
        <v>6.9023852352000006</v>
      </c>
      <c r="X250" s="256"/>
      <c r="Y250" s="293">
        <v>46508</v>
      </c>
      <c r="Z250" s="294">
        <v>5.8400000000000001E-2</v>
      </c>
      <c r="AA250" s="256">
        <f>('Encargos e Benefícios'!W249+'Gastos com Pessoal'!O250+'Gastos com Pessoal'!U250)*5.84%</f>
        <v>34.620421015756804</v>
      </c>
      <c r="AB250" s="256">
        <f>('Encargos e Benefícios'!X249+'Encargos e Benefícios'!Y249+'Encargos e Benefícios'!Z249+'Encargos e Benefícios'!AA249+'Encargos e Benefícios'!AB249+'Gastos com Pessoal'!P250+'Gastos com Pessoal'!V250)*5.84%</f>
        <v>20.427487645824002</v>
      </c>
      <c r="AC250" s="256">
        <f>('Encargos e Benefícios'!V249+'Gastos com Pessoal'!Q250+'Gastos com Pessoal'!W250)*5.84%</f>
        <v>7.3054845329356803</v>
      </c>
      <c r="AD250" s="256"/>
      <c r="AE250" s="293">
        <v>46874</v>
      </c>
      <c r="AF250" s="294">
        <v>5.8400000000000001E-2</v>
      </c>
      <c r="AG250" s="256">
        <f>('Encargos e Benefícios'!W249+'Gastos com Pessoal'!O250+'Gastos com Pessoal'!U250+'Gastos com Pessoal'!AA250)*5.84%</f>
        <v>36.642253603077002</v>
      </c>
      <c r="AH250" s="256">
        <f>('Encargos e Benefícios'!X249+'Encargos e Benefícios'!Y249+'Encargos e Benefícios'!Z249+'Encargos e Benefícios'!AA249+'Encargos e Benefícios'!AB249+'Gastos com Pessoal'!P250+'Gastos com Pessoal'!V250+'Gastos com Pessoal'!AB250)*5.84%</f>
        <v>21.620452924340121</v>
      </c>
      <c r="AI250" s="256">
        <f>('Encargos e Benefícios'!V249+'Gastos com Pessoal'!Q250+'Gastos com Pessoal'!W250+'Gastos com Pessoal'!AC250)*5.84%</f>
        <v>7.7321248296591243</v>
      </c>
      <c r="AJ250" s="257"/>
      <c r="AK250" s="296">
        <f>'Encargos e Benefícios'!D249</f>
        <v>2751.84</v>
      </c>
      <c r="AL250" s="296">
        <f>IF('Encargos e Benefícios'!C249=0,0,'Encargos e Benefícios'!U249/'Encargos e Benefícios'!C249)</f>
        <v>2198.8730400000004</v>
      </c>
      <c r="AM250" s="296">
        <f>IF('Encargos e Benefícios'!C249=0,0,'Encargos e Benefícios'!AC249/'Encargos e Benefícios'!C249)</f>
        <v>953.12000000000012</v>
      </c>
      <c r="AN250" s="297">
        <f>IF('Encargos e Benefícios'!C249=0,0,'Encargos e Benefícios'!AD249/'Encargos e Benefícios'!C249)</f>
        <v>5903.8330400000004</v>
      </c>
      <c r="AO250" s="188">
        <v>3479.77</v>
      </c>
      <c r="AP250" s="298">
        <v>2252.3200000000002</v>
      </c>
      <c r="AQ250" s="298">
        <v>4707.22</v>
      </c>
      <c r="AR250" s="299" t="s">
        <v>118</v>
      </c>
      <c r="AS250" s="188"/>
    </row>
    <row r="251" spans="1:45">
      <c r="A251" s="286">
        <v>245</v>
      </c>
      <c r="B251" s="81" t="str">
        <f>'Encargos e Benefícios'!B250</f>
        <v>Pedagogo</v>
      </c>
      <c r="C251" s="287">
        <f>'Encargos e Benefícios'!C250</f>
        <v>1</v>
      </c>
      <c r="D251" s="288">
        <v>30</v>
      </c>
      <c r="E251" s="300">
        <v>45658</v>
      </c>
      <c r="F251" s="301">
        <v>47058</v>
      </c>
      <c r="G251" s="293"/>
      <c r="H251" s="294"/>
      <c r="I251" s="256"/>
      <c r="J251" s="256"/>
      <c r="K251" s="256"/>
      <c r="L251" s="256"/>
      <c r="M251" s="293">
        <v>45778</v>
      </c>
      <c r="N251" s="294">
        <v>5.8400000000000001E-2</v>
      </c>
      <c r="O251" s="256">
        <f>'Encargos e Benefícios'!W250*5.84%</f>
        <v>30.905280000000001</v>
      </c>
      <c r="P251" s="256">
        <f>('Encargos e Benefícios'!X250+'Encargos e Benefícios'!Y250+'Encargos e Benefícios'!Z250+'Encargos e Benefícios'!AA250+'Encargos e Benefícios'!AB250)*5.84%</f>
        <v>18.235399999999998</v>
      </c>
      <c r="Q251" s="256">
        <f>'Encargos e Benefícios'!V250*5.84%</f>
        <v>6.521528</v>
      </c>
      <c r="R251" s="256"/>
      <c r="S251" s="293">
        <v>46143</v>
      </c>
      <c r="T251" s="294">
        <v>5.8400000000000001E-2</v>
      </c>
      <c r="U251" s="256">
        <f>('Encargos e Benefícios'!W250+'Gastos com Pessoal'!O251)*5.84%</f>
        <v>32.710148351999997</v>
      </c>
      <c r="V251" s="256">
        <f>('Encargos e Benefícios'!X250+'Encargos e Benefícios'!Y250+'Encargos e Benefícios'!Z250+'Encargos e Benefícios'!AA250+'Encargos e Benefícios'!AB250+'Gastos com Pessoal'!P251)*5.84%</f>
        <v>19.300347360000004</v>
      </c>
      <c r="W251" s="256">
        <f>('Encargos e Benefícios'!V250+'Gastos com Pessoal'!Q251)*5.84%</f>
        <v>6.9023852352000006</v>
      </c>
      <c r="X251" s="256"/>
      <c r="Y251" s="293">
        <v>46508</v>
      </c>
      <c r="Z251" s="294">
        <v>5.8400000000000001E-2</v>
      </c>
      <c r="AA251" s="256">
        <f>('Encargos e Benefícios'!W250+'Gastos com Pessoal'!O251+'Gastos com Pessoal'!U251)*5.84%</f>
        <v>34.620421015756804</v>
      </c>
      <c r="AB251" s="256">
        <f>('Encargos e Benefícios'!X250+'Encargos e Benefícios'!Y250+'Encargos e Benefícios'!Z250+'Encargos e Benefícios'!AA250+'Encargos e Benefícios'!AB250+'Gastos com Pessoal'!P251+'Gastos com Pessoal'!V251)*5.84%</f>
        <v>20.427487645824002</v>
      </c>
      <c r="AC251" s="256">
        <f>('Encargos e Benefícios'!V250+'Gastos com Pessoal'!Q251+'Gastos com Pessoal'!W251)*5.84%</f>
        <v>7.3054845329356803</v>
      </c>
      <c r="AD251" s="256"/>
      <c r="AE251" s="293">
        <v>46874</v>
      </c>
      <c r="AF251" s="294">
        <v>5.8400000000000001E-2</v>
      </c>
      <c r="AG251" s="256">
        <f>('Encargos e Benefícios'!W250+'Gastos com Pessoal'!O251+'Gastos com Pessoal'!U251+'Gastos com Pessoal'!AA251)*5.84%</f>
        <v>36.642253603077002</v>
      </c>
      <c r="AH251" s="256">
        <f>('Encargos e Benefícios'!X250+'Encargos e Benefícios'!Y250+'Encargos e Benefícios'!Z250+'Encargos e Benefícios'!AA250+'Encargos e Benefícios'!AB250+'Gastos com Pessoal'!P251+'Gastos com Pessoal'!V251+'Gastos com Pessoal'!AB251)*5.84%</f>
        <v>21.620452924340121</v>
      </c>
      <c r="AI251" s="256">
        <f>('Encargos e Benefícios'!V250+'Gastos com Pessoal'!Q251+'Gastos com Pessoal'!W251+'Gastos com Pessoal'!AC251)*5.84%</f>
        <v>7.7321248296591243</v>
      </c>
      <c r="AJ251" s="257"/>
      <c r="AK251" s="296">
        <f>'Encargos e Benefícios'!D250</f>
        <v>2751.84</v>
      </c>
      <c r="AL251" s="296">
        <f>IF('Encargos e Benefícios'!C250=0,0,'Encargos e Benefícios'!U250/'Encargos e Benefícios'!C250)</f>
        <v>2198.8730400000004</v>
      </c>
      <c r="AM251" s="296">
        <f>IF('Encargos e Benefícios'!C250=0,0,'Encargos e Benefícios'!AC250/'Encargos e Benefícios'!C250)</f>
        <v>953.12000000000012</v>
      </c>
      <c r="AN251" s="297">
        <f>IF('Encargos e Benefícios'!C250=0,0,'Encargos e Benefícios'!AD250/'Encargos e Benefícios'!C250)</f>
        <v>5903.8330400000004</v>
      </c>
      <c r="AO251" s="188">
        <v>2293.52</v>
      </c>
      <c r="AP251" s="298">
        <v>1700</v>
      </c>
      <c r="AQ251" s="298">
        <v>2887.04</v>
      </c>
      <c r="AR251" s="299" t="s">
        <v>118</v>
      </c>
      <c r="AS251" s="188"/>
    </row>
    <row r="252" spans="1:45">
      <c r="A252" s="286">
        <v>246</v>
      </c>
      <c r="B252" s="81" t="str">
        <f>'Encargos e Benefícios'!B251</f>
        <v>Psicologo</v>
      </c>
      <c r="C252" s="287">
        <f>'Encargos e Benefícios'!C251</f>
        <v>1</v>
      </c>
      <c r="D252" s="288">
        <v>30</v>
      </c>
      <c r="E252" s="300">
        <v>45658</v>
      </c>
      <c r="F252" s="301">
        <v>47058</v>
      </c>
      <c r="G252" s="293"/>
      <c r="H252" s="294"/>
      <c r="I252" s="256"/>
      <c r="J252" s="256"/>
      <c r="K252" s="256"/>
      <c r="L252" s="256"/>
      <c r="M252" s="293">
        <v>45778</v>
      </c>
      <c r="N252" s="294">
        <v>5.8400000000000001E-2</v>
      </c>
      <c r="O252" s="256">
        <f>'Encargos e Benefícios'!W251*5.84%</f>
        <v>30.905280000000001</v>
      </c>
      <c r="P252" s="256">
        <f>('Encargos e Benefícios'!X251+'Encargos e Benefícios'!Y251+'Encargos e Benefícios'!Z251+'Encargos e Benefícios'!AA251+'Encargos e Benefícios'!AB251)*5.84%</f>
        <v>18.235399999999998</v>
      </c>
      <c r="Q252" s="256">
        <f>'Encargos e Benefícios'!V251*5.84%</f>
        <v>6.521528</v>
      </c>
      <c r="R252" s="256"/>
      <c r="S252" s="293">
        <v>46143</v>
      </c>
      <c r="T252" s="294">
        <v>5.8400000000000001E-2</v>
      </c>
      <c r="U252" s="256">
        <f>('Encargos e Benefícios'!W251+'Gastos com Pessoal'!O252)*5.84%</f>
        <v>32.710148351999997</v>
      </c>
      <c r="V252" s="256">
        <f>('Encargos e Benefícios'!X251+'Encargos e Benefícios'!Y251+'Encargos e Benefícios'!Z251+'Encargos e Benefícios'!AA251+'Encargos e Benefícios'!AB251+'Gastos com Pessoal'!P252)*5.84%</f>
        <v>19.300347360000004</v>
      </c>
      <c r="W252" s="256">
        <f>('Encargos e Benefícios'!V251+'Gastos com Pessoal'!Q252)*5.84%</f>
        <v>6.9023852352000006</v>
      </c>
      <c r="X252" s="256"/>
      <c r="Y252" s="293">
        <v>46508</v>
      </c>
      <c r="Z252" s="294">
        <v>5.8400000000000001E-2</v>
      </c>
      <c r="AA252" s="256">
        <f>('Encargos e Benefícios'!W251+'Gastos com Pessoal'!O252+'Gastos com Pessoal'!U252)*5.84%</f>
        <v>34.620421015756804</v>
      </c>
      <c r="AB252" s="256">
        <f>('Encargos e Benefícios'!X251+'Encargos e Benefícios'!Y251+'Encargos e Benefícios'!Z251+'Encargos e Benefícios'!AA251+'Encargos e Benefícios'!AB251+'Gastos com Pessoal'!P252+'Gastos com Pessoal'!V252)*5.84%</f>
        <v>20.427487645824002</v>
      </c>
      <c r="AC252" s="256">
        <f>('Encargos e Benefícios'!V251+'Gastos com Pessoal'!Q252+'Gastos com Pessoal'!W252)*5.84%</f>
        <v>7.3054845329356803</v>
      </c>
      <c r="AD252" s="256"/>
      <c r="AE252" s="293">
        <v>46874</v>
      </c>
      <c r="AF252" s="294">
        <v>5.8400000000000001E-2</v>
      </c>
      <c r="AG252" s="256">
        <f>('Encargos e Benefícios'!W251+'Gastos com Pessoal'!O252+'Gastos com Pessoal'!U252+'Gastos com Pessoal'!AA252)*5.84%</f>
        <v>36.642253603077002</v>
      </c>
      <c r="AH252" s="256">
        <f>('Encargos e Benefícios'!X251+'Encargos e Benefícios'!Y251+'Encargos e Benefícios'!Z251+'Encargos e Benefícios'!AA251+'Encargos e Benefícios'!AB251+'Gastos com Pessoal'!P252+'Gastos com Pessoal'!V252+'Gastos com Pessoal'!AB252)*5.84%</f>
        <v>21.620452924340121</v>
      </c>
      <c r="AI252" s="256">
        <f>('Encargos e Benefícios'!V251+'Gastos com Pessoal'!Q252+'Gastos com Pessoal'!W252+'Gastos com Pessoal'!AC252)*5.84%</f>
        <v>7.7321248296591243</v>
      </c>
      <c r="AJ252" s="257"/>
      <c r="AK252" s="296">
        <f>'Encargos e Benefícios'!D251</f>
        <v>2751.84</v>
      </c>
      <c r="AL252" s="296">
        <f>IF('Encargos e Benefícios'!C251=0,0,'Encargos e Benefícios'!U251/'Encargos e Benefícios'!C251)</f>
        <v>2198.8730400000004</v>
      </c>
      <c r="AM252" s="296">
        <f>IF('Encargos e Benefícios'!C251=0,0,'Encargos e Benefícios'!AC251/'Encargos e Benefícios'!C251)</f>
        <v>953.12000000000012</v>
      </c>
      <c r="AN252" s="297">
        <f>IF('Encargos e Benefícios'!C251=0,0,'Encargos e Benefícios'!AD251/'Encargos e Benefícios'!C251)</f>
        <v>5903.8330400000004</v>
      </c>
      <c r="AO252" s="188">
        <v>3202.11</v>
      </c>
      <c r="AP252" s="298">
        <v>1700</v>
      </c>
      <c r="AQ252" s="298">
        <v>4704.22</v>
      </c>
      <c r="AR252" s="299" t="s">
        <v>118</v>
      </c>
      <c r="AS252" s="188"/>
    </row>
    <row r="253" spans="1:45">
      <c r="A253" s="286">
        <v>247</v>
      </c>
      <c r="B253" s="81" t="str">
        <f>'Encargos e Benefícios'!B252</f>
        <v>Terapeuta Ocupacional</v>
      </c>
      <c r="C253" s="287">
        <f>'Encargos e Benefícios'!C252</f>
        <v>1</v>
      </c>
      <c r="D253" s="288">
        <v>30</v>
      </c>
      <c r="E253" s="300">
        <v>45658</v>
      </c>
      <c r="F253" s="301">
        <v>47058</v>
      </c>
      <c r="G253" s="293"/>
      <c r="H253" s="294"/>
      <c r="I253" s="256"/>
      <c r="J253" s="256"/>
      <c r="K253" s="256"/>
      <c r="L253" s="256"/>
      <c r="M253" s="293">
        <v>45778</v>
      </c>
      <c r="N253" s="294">
        <v>5.8400000000000001E-2</v>
      </c>
      <c r="O253" s="256">
        <f>'Encargos e Benefícios'!W252*5.84%</f>
        <v>30.905280000000001</v>
      </c>
      <c r="P253" s="256">
        <f>('Encargos e Benefícios'!X252+'Encargos e Benefícios'!Y252+'Encargos e Benefícios'!Z252+'Encargos e Benefícios'!AA252+'Encargos e Benefícios'!AB252)*5.84%</f>
        <v>18.235399999999998</v>
      </c>
      <c r="Q253" s="256">
        <f>'Encargos e Benefícios'!V252*5.84%</f>
        <v>6.521528</v>
      </c>
      <c r="R253" s="256"/>
      <c r="S253" s="293">
        <v>46143</v>
      </c>
      <c r="T253" s="294">
        <v>5.8400000000000001E-2</v>
      </c>
      <c r="U253" s="256">
        <f>('Encargos e Benefícios'!W252+'Gastos com Pessoal'!O253)*5.84%</f>
        <v>32.710148351999997</v>
      </c>
      <c r="V253" s="256">
        <f>('Encargos e Benefícios'!X252+'Encargos e Benefícios'!Y252+'Encargos e Benefícios'!Z252+'Encargos e Benefícios'!AA252+'Encargos e Benefícios'!AB252+'Gastos com Pessoal'!P253)*5.84%</f>
        <v>19.300347360000004</v>
      </c>
      <c r="W253" s="256">
        <f>('Encargos e Benefícios'!V252+'Gastos com Pessoal'!Q253)*5.84%</f>
        <v>6.9023852352000006</v>
      </c>
      <c r="X253" s="256"/>
      <c r="Y253" s="293">
        <v>46508</v>
      </c>
      <c r="Z253" s="294">
        <v>5.8400000000000001E-2</v>
      </c>
      <c r="AA253" s="256">
        <f>('Encargos e Benefícios'!W252+'Gastos com Pessoal'!O253+'Gastos com Pessoal'!U253)*5.84%</f>
        <v>34.620421015756804</v>
      </c>
      <c r="AB253" s="256">
        <f>('Encargos e Benefícios'!X252+'Encargos e Benefícios'!Y252+'Encargos e Benefícios'!Z252+'Encargos e Benefícios'!AA252+'Encargos e Benefícios'!AB252+'Gastos com Pessoal'!P253+'Gastos com Pessoal'!V253)*5.84%</f>
        <v>20.427487645824002</v>
      </c>
      <c r="AC253" s="256">
        <f>('Encargos e Benefícios'!V252+'Gastos com Pessoal'!Q253+'Gastos com Pessoal'!W253)*5.84%</f>
        <v>7.3054845329356803</v>
      </c>
      <c r="AD253" s="256"/>
      <c r="AE253" s="293">
        <v>46874</v>
      </c>
      <c r="AF253" s="294">
        <v>5.8400000000000001E-2</v>
      </c>
      <c r="AG253" s="256">
        <f>('Encargos e Benefícios'!W252+'Gastos com Pessoal'!O253+'Gastos com Pessoal'!U253+'Gastos com Pessoal'!AA253)*5.84%</f>
        <v>36.642253603077002</v>
      </c>
      <c r="AH253" s="256">
        <f>('Encargos e Benefícios'!X252+'Encargos e Benefícios'!Y252+'Encargos e Benefícios'!Z252+'Encargos e Benefícios'!AA252+'Encargos e Benefícios'!AB252+'Gastos com Pessoal'!P253+'Gastos com Pessoal'!V253+'Gastos com Pessoal'!AB253)*5.84%</f>
        <v>21.620452924340121</v>
      </c>
      <c r="AI253" s="256">
        <f>('Encargos e Benefícios'!V252+'Gastos com Pessoal'!Q253+'Gastos com Pessoal'!W253+'Gastos com Pessoal'!AC253)*5.84%</f>
        <v>7.7321248296591243</v>
      </c>
      <c r="AJ253" s="257"/>
      <c r="AK253" s="296">
        <f>'Encargos e Benefícios'!D252</f>
        <v>2751.84</v>
      </c>
      <c r="AL253" s="296">
        <f>IF('Encargos e Benefícios'!C252=0,0,'Encargos e Benefícios'!U252/'Encargos e Benefícios'!C252)</f>
        <v>2198.8730400000004</v>
      </c>
      <c r="AM253" s="296">
        <f>IF('Encargos e Benefícios'!C252=0,0,'Encargos e Benefícios'!AC252/'Encargos e Benefícios'!C252)</f>
        <v>953.12000000000012</v>
      </c>
      <c r="AN253" s="297">
        <f>IF('Encargos e Benefícios'!C252=0,0,'Encargos e Benefícios'!AD252/'Encargos e Benefícios'!C252)</f>
        <v>5903.8330400000004</v>
      </c>
      <c r="AO253" s="188">
        <v>3478.27</v>
      </c>
      <c r="AP253" s="298">
        <v>2252.3200000000002</v>
      </c>
      <c r="AQ253" s="298">
        <v>4704.22</v>
      </c>
      <c r="AR253" s="299" t="s">
        <v>118</v>
      </c>
      <c r="AS253" s="188"/>
    </row>
    <row r="254" spans="1:45">
      <c r="A254" s="286">
        <v>248</v>
      </c>
      <c r="B254" s="81" t="str">
        <f>'Encargos e Benefícios'!B253</f>
        <v>Administrativo</v>
      </c>
      <c r="C254" s="287">
        <f>'Encargos e Benefícios'!C253</f>
        <v>1</v>
      </c>
      <c r="D254" s="288">
        <v>40</v>
      </c>
      <c r="E254" s="300">
        <v>45658</v>
      </c>
      <c r="F254" s="301">
        <v>47058</v>
      </c>
      <c r="G254" s="293"/>
      <c r="H254" s="294"/>
      <c r="I254" s="256"/>
      <c r="J254" s="256"/>
      <c r="K254" s="256"/>
      <c r="L254" s="256"/>
      <c r="M254" s="293">
        <v>45778</v>
      </c>
      <c r="N254" s="294">
        <v>5.8400000000000001E-2</v>
      </c>
      <c r="O254" s="256">
        <f>'Encargos e Benefícios'!W253*5.84%</f>
        <v>30.905280000000001</v>
      </c>
      <c r="P254" s="256">
        <f>('Encargos e Benefícios'!X253+'Encargos e Benefícios'!Y253+'Encargos e Benefícios'!Z253+'Encargos e Benefícios'!AA253+'Encargos e Benefícios'!AB253)*5.84%</f>
        <v>18.235399999999998</v>
      </c>
      <c r="Q254" s="256">
        <f>'Encargos e Benefícios'!V253*5.84%</f>
        <v>6.521528</v>
      </c>
      <c r="R254" s="256"/>
      <c r="S254" s="293">
        <v>46143</v>
      </c>
      <c r="T254" s="294">
        <v>5.8400000000000001E-2</v>
      </c>
      <c r="U254" s="256">
        <f>('Encargos e Benefícios'!W253+'Gastos com Pessoal'!O254)*5.84%</f>
        <v>32.710148351999997</v>
      </c>
      <c r="V254" s="256">
        <f>('Encargos e Benefícios'!X253+'Encargos e Benefícios'!Y253+'Encargos e Benefícios'!Z253+'Encargos e Benefícios'!AA253+'Encargos e Benefícios'!AB253+'Gastos com Pessoal'!P254)*5.84%</f>
        <v>19.300347360000004</v>
      </c>
      <c r="W254" s="256">
        <f>('Encargos e Benefícios'!V253+'Gastos com Pessoal'!Q254)*5.84%</f>
        <v>6.9023852352000006</v>
      </c>
      <c r="X254" s="256"/>
      <c r="Y254" s="293">
        <v>46508</v>
      </c>
      <c r="Z254" s="294">
        <v>5.8400000000000001E-2</v>
      </c>
      <c r="AA254" s="256">
        <f>('Encargos e Benefícios'!W253+'Gastos com Pessoal'!O254+'Gastos com Pessoal'!U254)*5.84%</f>
        <v>34.620421015756804</v>
      </c>
      <c r="AB254" s="256">
        <f>('Encargos e Benefícios'!X253+'Encargos e Benefícios'!Y253+'Encargos e Benefícios'!Z253+'Encargos e Benefícios'!AA253+'Encargos e Benefícios'!AB253+'Gastos com Pessoal'!P254+'Gastos com Pessoal'!V254)*5.84%</f>
        <v>20.427487645824002</v>
      </c>
      <c r="AC254" s="256">
        <f>('Encargos e Benefícios'!V253+'Gastos com Pessoal'!Q254+'Gastos com Pessoal'!W254)*5.84%</f>
        <v>7.3054845329356803</v>
      </c>
      <c r="AD254" s="256"/>
      <c r="AE254" s="293">
        <v>46874</v>
      </c>
      <c r="AF254" s="294">
        <v>5.8400000000000001E-2</v>
      </c>
      <c r="AG254" s="256">
        <f>('Encargos e Benefícios'!W253+'Gastos com Pessoal'!O254+'Gastos com Pessoal'!U254+'Gastos com Pessoal'!AA254)*5.84%</f>
        <v>36.642253603077002</v>
      </c>
      <c r="AH254" s="256">
        <f>('Encargos e Benefícios'!X253+'Encargos e Benefícios'!Y253+'Encargos e Benefícios'!Z253+'Encargos e Benefícios'!AA253+'Encargos e Benefícios'!AB253+'Gastos com Pessoal'!P254+'Gastos com Pessoal'!V254+'Gastos com Pessoal'!AB254)*5.84%</f>
        <v>21.620452924340121</v>
      </c>
      <c r="AI254" s="256">
        <f>('Encargos e Benefícios'!V253+'Gastos com Pessoal'!Q254+'Gastos com Pessoal'!W254+'Gastos com Pessoal'!AC254)*5.84%</f>
        <v>7.7321248296591243</v>
      </c>
      <c r="AJ254" s="257"/>
      <c r="AK254" s="296">
        <f>'Encargos e Benefícios'!D253</f>
        <v>1852.2</v>
      </c>
      <c r="AL254" s="296">
        <f>IF('Encargos e Benefícios'!C253=0,0,'Encargos e Benefícios'!U253/'Encargos e Benefícios'!C253)</f>
        <v>1480.0106999999996</v>
      </c>
      <c r="AM254" s="296">
        <f>IF('Encargos e Benefícios'!C253=0,0,'Encargos e Benefícios'!AC253/'Encargos e Benefícios'!C253)</f>
        <v>953.12000000000012</v>
      </c>
      <c r="AN254" s="297">
        <f>IF('Encargos e Benefícios'!C253=0,0,'Encargos e Benefícios'!AD253/'Encargos e Benefícios'!C253)</f>
        <v>4285.3306999999995</v>
      </c>
      <c r="AO254" s="188">
        <v>1786.2</v>
      </c>
      <c r="AP254" s="298">
        <v>1352.9</v>
      </c>
      <c r="AQ254" s="298">
        <v>2219.4899999999998</v>
      </c>
      <c r="AR254" s="299" t="s">
        <v>118</v>
      </c>
      <c r="AS254" s="188"/>
    </row>
    <row r="255" spans="1:45">
      <c r="A255" s="286">
        <v>249</v>
      </c>
      <c r="B255" s="81" t="str">
        <f>'Encargos e Benefícios'!B254</f>
        <v>Auxiliar Educacional</v>
      </c>
      <c r="C255" s="287">
        <f>'Encargos e Benefícios'!C254</f>
        <v>1</v>
      </c>
      <c r="D255" s="288">
        <v>30</v>
      </c>
      <c r="E255" s="300">
        <v>45658</v>
      </c>
      <c r="F255" s="301">
        <v>47058</v>
      </c>
      <c r="G255" s="293"/>
      <c r="H255" s="294"/>
      <c r="I255" s="256"/>
      <c r="J255" s="256"/>
      <c r="K255" s="256"/>
      <c r="L255" s="256"/>
      <c r="M255" s="293">
        <v>45778</v>
      </c>
      <c r="N255" s="294">
        <v>5.8400000000000001E-2</v>
      </c>
      <c r="O255" s="256">
        <f>'Encargos e Benefícios'!W254*5.84%</f>
        <v>30.905280000000001</v>
      </c>
      <c r="P255" s="256">
        <f>('Encargos e Benefícios'!X254+'Encargos e Benefícios'!Y254+'Encargos e Benefícios'!Z254+'Encargos e Benefícios'!AA254+'Encargos e Benefícios'!AB254)*5.84%</f>
        <v>18.235399999999998</v>
      </c>
      <c r="Q255" s="256">
        <f>'Encargos e Benefícios'!V254*5.84%</f>
        <v>6.521528</v>
      </c>
      <c r="R255" s="256"/>
      <c r="S255" s="293">
        <v>46143</v>
      </c>
      <c r="T255" s="294">
        <v>5.8400000000000001E-2</v>
      </c>
      <c r="U255" s="256">
        <f>('Encargos e Benefícios'!W254+'Gastos com Pessoal'!O255)*5.84%</f>
        <v>32.710148351999997</v>
      </c>
      <c r="V255" s="256">
        <f>('Encargos e Benefícios'!X254+'Encargos e Benefícios'!Y254+'Encargos e Benefícios'!Z254+'Encargos e Benefícios'!AA254+'Encargos e Benefícios'!AB254+'Gastos com Pessoal'!P255)*5.84%</f>
        <v>19.300347360000004</v>
      </c>
      <c r="W255" s="256">
        <f>('Encargos e Benefícios'!V254+'Gastos com Pessoal'!Q255)*5.84%</f>
        <v>6.9023852352000006</v>
      </c>
      <c r="X255" s="256"/>
      <c r="Y255" s="293">
        <v>46508</v>
      </c>
      <c r="Z255" s="294">
        <v>5.8400000000000001E-2</v>
      </c>
      <c r="AA255" s="256">
        <f>('Encargos e Benefícios'!W254+'Gastos com Pessoal'!O255+'Gastos com Pessoal'!U255)*5.84%</f>
        <v>34.620421015756804</v>
      </c>
      <c r="AB255" s="256">
        <f>('Encargos e Benefícios'!X254+'Encargos e Benefícios'!Y254+'Encargos e Benefícios'!Z254+'Encargos e Benefícios'!AA254+'Encargos e Benefícios'!AB254+'Gastos com Pessoal'!P255+'Gastos com Pessoal'!V255)*5.84%</f>
        <v>20.427487645824002</v>
      </c>
      <c r="AC255" s="256">
        <f>('Encargos e Benefícios'!V254+'Gastos com Pessoal'!Q255+'Gastos com Pessoal'!W255)*5.84%</f>
        <v>7.3054845329356803</v>
      </c>
      <c r="AD255" s="256"/>
      <c r="AE255" s="293">
        <v>46874</v>
      </c>
      <c r="AF255" s="294">
        <v>5.8400000000000001E-2</v>
      </c>
      <c r="AG255" s="256">
        <f>('Encargos e Benefícios'!W254+'Gastos com Pessoal'!O255+'Gastos com Pessoal'!U255+'Gastos com Pessoal'!AA255)*5.84%</f>
        <v>36.642253603077002</v>
      </c>
      <c r="AH255" s="256">
        <f>('Encargos e Benefícios'!X254+'Encargos e Benefícios'!Y254+'Encargos e Benefícios'!Z254+'Encargos e Benefícios'!AA254+'Encargos e Benefícios'!AB254+'Gastos com Pessoal'!P255+'Gastos com Pessoal'!V255+'Gastos com Pessoal'!AB255)*5.84%</f>
        <v>21.620452924340121</v>
      </c>
      <c r="AI255" s="256">
        <f>('Encargos e Benefícios'!V254+'Gastos com Pessoal'!Q255+'Gastos com Pessoal'!W255+'Gastos com Pessoal'!AC255)*5.84%</f>
        <v>7.7321248296591243</v>
      </c>
      <c r="AJ255" s="257"/>
      <c r="AK255" s="296">
        <f>'Encargos e Benefícios'!D254</f>
        <v>1737.89</v>
      </c>
      <c r="AL255" s="296">
        <f>IF('Encargos e Benefícios'!C254=0,0,'Encargos e Benefícios'!U254/'Encargos e Benefícios'!C254)</f>
        <v>1388.6706594444449</v>
      </c>
      <c r="AM255" s="296">
        <f>IF('Encargos e Benefícios'!C254=0,0,'Encargos e Benefícios'!AC254/'Encargos e Benefícios'!C254)</f>
        <v>953.12000000000012</v>
      </c>
      <c r="AN255" s="297">
        <f>IF('Encargos e Benefícios'!C254=0,0,'Encargos e Benefícios'!AD254/'Encargos e Benefícios'!C254)</f>
        <v>4079.6806594444452</v>
      </c>
      <c r="AO255" s="188">
        <v>1756.04</v>
      </c>
      <c r="AP255" s="298">
        <v>1400</v>
      </c>
      <c r="AQ255" s="298">
        <v>2112.08</v>
      </c>
      <c r="AR255" s="299" t="s">
        <v>118</v>
      </c>
      <c r="AS255" s="188"/>
    </row>
    <row r="256" spans="1:45">
      <c r="A256" s="286">
        <v>250</v>
      </c>
      <c r="B256" s="81" t="str">
        <f>'Encargos e Benefícios'!B255</f>
        <v>Auxiliar de Serviços Gerais</v>
      </c>
      <c r="C256" s="287">
        <f>'Encargos e Benefícios'!C255</f>
        <v>1</v>
      </c>
      <c r="D256" s="288">
        <v>30</v>
      </c>
      <c r="E256" s="300">
        <v>45658</v>
      </c>
      <c r="F256" s="301">
        <v>47058</v>
      </c>
      <c r="G256" s="293"/>
      <c r="H256" s="294"/>
      <c r="I256" s="256"/>
      <c r="J256" s="256"/>
      <c r="K256" s="256"/>
      <c r="L256" s="256"/>
      <c r="M256" s="293">
        <v>45778</v>
      </c>
      <c r="N256" s="294">
        <v>5.8400000000000001E-2</v>
      </c>
      <c r="O256" s="256">
        <f>'Encargos e Benefícios'!W255*5.84%</f>
        <v>30.905280000000001</v>
      </c>
      <c r="P256" s="256">
        <f>('Encargos e Benefícios'!X255+'Encargos e Benefícios'!Y255+'Encargos e Benefícios'!Z255+'Encargos e Benefícios'!AA255+'Encargos e Benefícios'!AB255)*5.84%</f>
        <v>18.235399999999998</v>
      </c>
      <c r="Q256" s="256">
        <f>'Encargos e Benefícios'!V255*5.84%</f>
        <v>6.521528</v>
      </c>
      <c r="R256" s="256"/>
      <c r="S256" s="293">
        <v>46143</v>
      </c>
      <c r="T256" s="294">
        <v>5.8400000000000001E-2</v>
      </c>
      <c r="U256" s="256">
        <f>('Encargos e Benefícios'!W255+'Gastos com Pessoal'!O256)*5.84%</f>
        <v>32.710148351999997</v>
      </c>
      <c r="V256" s="256">
        <f>('Encargos e Benefícios'!X255+'Encargos e Benefícios'!Y255+'Encargos e Benefícios'!Z255+'Encargos e Benefícios'!AA255+'Encargos e Benefícios'!AB255+'Gastos com Pessoal'!P256)*5.84%</f>
        <v>19.300347360000004</v>
      </c>
      <c r="W256" s="256">
        <f>('Encargos e Benefícios'!V255+'Gastos com Pessoal'!Q256)*5.84%</f>
        <v>6.9023852352000006</v>
      </c>
      <c r="X256" s="256"/>
      <c r="Y256" s="293">
        <v>46508</v>
      </c>
      <c r="Z256" s="294">
        <v>5.8400000000000001E-2</v>
      </c>
      <c r="AA256" s="256">
        <f>('Encargos e Benefícios'!W255+'Gastos com Pessoal'!O256+'Gastos com Pessoal'!U256)*5.84%</f>
        <v>34.620421015756804</v>
      </c>
      <c r="AB256" s="256">
        <f>('Encargos e Benefícios'!X255+'Encargos e Benefícios'!Y255+'Encargos e Benefícios'!Z255+'Encargos e Benefícios'!AA255+'Encargos e Benefícios'!AB255+'Gastos com Pessoal'!P256+'Gastos com Pessoal'!V256)*5.84%</f>
        <v>20.427487645824002</v>
      </c>
      <c r="AC256" s="256">
        <f>('Encargos e Benefícios'!V255+'Gastos com Pessoal'!Q256+'Gastos com Pessoal'!W256)*5.84%</f>
        <v>7.3054845329356803</v>
      </c>
      <c r="AD256" s="256"/>
      <c r="AE256" s="293">
        <v>46874</v>
      </c>
      <c r="AF256" s="294">
        <v>5.8400000000000001E-2</v>
      </c>
      <c r="AG256" s="256">
        <f>('Encargos e Benefícios'!W255+'Gastos com Pessoal'!O256+'Gastos com Pessoal'!U256+'Gastos com Pessoal'!AA256)*5.84%</f>
        <v>36.642253603077002</v>
      </c>
      <c r="AH256" s="256">
        <f>('Encargos e Benefícios'!X255+'Encargos e Benefícios'!Y255+'Encargos e Benefícios'!Z255+'Encargos e Benefícios'!AA255+'Encargos e Benefícios'!AB255+'Gastos com Pessoal'!P256+'Gastos com Pessoal'!V256+'Gastos com Pessoal'!AB256)*5.84%</f>
        <v>21.620452924340121</v>
      </c>
      <c r="AI256" s="256">
        <f>('Encargos e Benefícios'!V255+'Gastos com Pessoal'!Q256+'Gastos com Pessoal'!W256+'Gastos com Pessoal'!AC256)*5.84%</f>
        <v>7.7321248296591243</v>
      </c>
      <c r="AJ256" s="257"/>
      <c r="AK256" s="296">
        <f>'Encargos e Benefícios'!D255</f>
        <v>1465.88</v>
      </c>
      <c r="AL256" s="296">
        <f>IF('Encargos e Benefícios'!C255=0,0,'Encargos e Benefícios'!U255/'Encargos e Benefícios'!C255)</f>
        <v>1171.3195577777778</v>
      </c>
      <c r="AM256" s="296">
        <f>IF('Encargos e Benefícios'!C255=0,0,'Encargos e Benefícios'!AC255/'Encargos e Benefícios'!C255)</f>
        <v>953.12000000000012</v>
      </c>
      <c r="AN256" s="297">
        <f>IF('Encargos e Benefícios'!C255=0,0,'Encargos e Benefícios'!AD255/'Encargos e Benefícios'!C255)</f>
        <v>3590.3195577777778</v>
      </c>
      <c r="AO256" s="188">
        <v>1380.2</v>
      </c>
      <c r="AP256" s="298">
        <v>1320</v>
      </c>
      <c r="AQ256" s="298">
        <v>1440.4</v>
      </c>
      <c r="AR256" s="299" t="s">
        <v>118</v>
      </c>
      <c r="AS256" s="188"/>
    </row>
    <row r="257" spans="1:45">
      <c r="A257" s="286">
        <v>251</v>
      </c>
      <c r="B257" s="81" t="str">
        <f>'Encargos e Benefícios'!B256</f>
        <v>Motorista</v>
      </c>
      <c r="C257" s="287">
        <f>'Encargos e Benefícios'!C256</f>
        <v>1</v>
      </c>
      <c r="D257" s="288">
        <v>40</v>
      </c>
      <c r="E257" s="300">
        <v>45658</v>
      </c>
      <c r="F257" s="301">
        <v>47058</v>
      </c>
      <c r="G257" s="293"/>
      <c r="H257" s="294"/>
      <c r="I257" s="256"/>
      <c r="J257" s="256"/>
      <c r="K257" s="256"/>
      <c r="L257" s="256"/>
      <c r="M257" s="293">
        <v>45778</v>
      </c>
      <c r="N257" s="294">
        <v>5.8400000000000001E-2</v>
      </c>
      <c r="O257" s="256">
        <f>'Encargos e Benefícios'!W256*5.84%</f>
        <v>30.905280000000001</v>
      </c>
      <c r="P257" s="256">
        <f>('Encargos e Benefícios'!X256+'Encargos e Benefícios'!Y256+'Encargos e Benefícios'!Z256+'Encargos e Benefícios'!AA256+'Encargos e Benefícios'!AB256)*5.84%</f>
        <v>18.235399999999998</v>
      </c>
      <c r="Q257" s="256">
        <f>'Encargos e Benefícios'!V256*5.84%</f>
        <v>6.521528</v>
      </c>
      <c r="R257" s="256"/>
      <c r="S257" s="293">
        <v>46143</v>
      </c>
      <c r="T257" s="294">
        <v>5.8400000000000001E-2</v>
      </c>
      <c r="U257" s="256">
        <f>('Encargos e Benefícios'!W256+'Gastos com Pessoal'!O257)*5.84%</f>
        <v>32.710148351999997</v>
      </c>
      <c r="V257" s="256">
        <f>('Encargos e Benefícios'!X256+'Encargos e Benefícios'!Y256+'Encargos e Benefícios'!Z256+'Encargos e Benefícios'!AA256+'Encargos e Benefícios'!AB256+'Gastos com Pessoal'!P257)*5.84%</f>
        <v>19.300347360000004</v>
      </c>
      <c r="W257" s="256">
        <f>('Encargos e Benefícios'!V256+'Gastos com Pessoal'!Q257)*5.84%</f>
        <v>6.9023852352000006</v>
      </c>
      <c r="X257" s="256"/>
      <c r="Y257" s="293">
        <v>46508</v>
      </c>
      <c r="Z257" s="294">
        <v>5.8400000000000001E-2</v>
      </c>
      <c r="AA257" s="256">
        <f>('Encargos e Benefícios'!W256+'Gastos com Pessoal'!O257+'Gastos com Pessoal'!U257)*5.84%</f>
        <v>34.620421015756804</v>
      </c>
      <c r="AB257" s="256">
        <f>('Encargos e Benefícios'!X256+'Encargos e Benefícios'!Y256+'Encargos e Benefícios'!Z256+'Encargos e Benefícios'!AA256+'Encargos e Benefícios'!AB256+'Gastos com Pessoal'!P257+'Gastos com Pessoal'!V257)*5.84%</f>
        <v>20.427487645824002</v>
      </c>
      <c r="AC257" s="256">
        <f>('Encargos e Benefícios'!V256+'Gastos com Pessoal'!Q257+'Gastos com Pessoal'!W257)*5.84%</f>
        <v>7.3054845329356803</v>
      </c>
      <c r="AD257" s="256"/>
      <c r="AE257" s="293">
        <v>46874</v>
      </c>
      <c r="AF257" s="294">
        <v>5.8400000000000001E-2</v>
      </c>
      <c r="AG257" s="256">
        <f>('Encargos e Benefícios'!W256+'Gastos com Pessoal'!O257+'Gastos com Pessoal'!U257+'Gastos com Pessoal'!AA257)*5.84%</f>
        <v>36.642253603077002</v>
      </c>
      <c r="AH257" s="256">
        <f>('Encargos e Benefícios'!X256+'Encargos e Benefícios'!Y256+'Encargos e Benefícios'!Z256+'Encargos e Benefícios'!AA256+'Encargos e Benefícios'!AB256+'Gastos com Pessoal'!P257+'Gastos com Pessoal'!V257+'Gastos com Pessoal'!AB257)*5.84%</f>
        <v>21.620452924340121</v>
      </c>
      <c r="AI257" s="256">
        <f>('Encargos e Benefícios'!V256+'Gastos com Pessoal'!Q257+'Gastos com Pessoal'!W257+'Gastos com Pessoal'!AC257)*5.84%</f>
        <v>7.7321248296591243</v>
      </c>
      <c r="AJ257" s="257"/>
      <c r="AK257" s="296">
        <f>'Encargos e Benefícios'!D256</f>
        <v>1537.21</v>
      </c>
      <c r="AL257" s="296">
        <f>IF('Encargos e Benefícios'!C256=0,0,'Encargos e Benefícios'!U256/'Encargos e Benefícios'!C256)</f>
        <v>1228.3161905555557</v>
      </c>
      <c r="AM257" s="296">
        <f>IF('Encargos e Benefícios'!C256=0,0,'Encargos e Benefícios'!AC256/'Encargos e Benefícios'!C256)</f>
        <v>953.12000000000012</v>
      </c>
      <c r="AN257" s="297">
        <f>IF('Encargos e Benefícios'!C256=0,0,'Encargos e Benefícios'!AD256/'Encargos e Benefícios'!C256)</f>
        <v>3718.6461905555561</v>
      </c>
      <c r="AO257" s="188">
        <v>1676.09</v>
      </c>
      <c r="AP257" s="298">
        <v>1377.85</v>
      </c>
      <c r="AQ257" s="298">
        <v>1974.32</v>
      </c>
      <c r="AR257" s="299" t="s">
        <v>118</v>
      </c>
      <c r="AS257" s="188"/>
    </row>
    <row r="258" spans="1:45">
      <c r="A258" s="286">
        <v>252</v>
      </c>
      <c r="B258" s="81" t="str">
        <f>'Encargos e Benefícios'!B257</f>
        <v>Socioeducador - DC</v>
      </c>
      <c r="C258" s="287">
        <f>'Encargos e Benefícios'!C257</f>
        <v>2</v>
      </c>
      <c r="D258" s="288" t="s">
        <v>496</v>
      </c>
      <c r="E258" s="300">
        <v>45658</v>
      </c>
      <c r="F258" s="301">
        <v>47058</v>
      </c>
      <c r="G258" s="293"/>
      <c r="H258" s="294"/>
      <c r="I258" s="256"/>
      <c r="J258" s="256"/>
      <c r="K258" s="256"/>
      <c r="L258" s="256"/>
      <c r="M258" s="293">
        <v>45778</v>
      </c>
      <c r="N258" s="294">
        <v>5.8400000000000001E-2</v>
      </c>
      <c r="O258" s="256">
        <f>'Encargos e Benefícios'!W257*5.84%</f>
        <v>61.810560000000002</v>
      </c>
      <c r="P258" s="256">
        <f>('Encargos e Benefícios'!X257+'Encargos e Benefícios'!Y257+'Encargos e Benefícios'!Z257+'Encargos e Benefícios'!AA257+'Encargos e Benefícios'!AB257)*5.84%</f>
        <v>36.470799999999997</v>
      </c>
      <c r="Q258" s="256">
        <f>'Encargos e Benefícios'!V257*5.84%</f>
        <v>8.8931520000000006</v>
      </c>
      <c r="R258" s="256"/>
      <c r="S258" s="293">
        <v>46143</v>
      </c>
      <c r="T258" s="294">
        <v>5.8400000000000001E-2</v>
      </c>
      <c r="U258" s="256">
        <f>('Encargos e Benefícios'!W257+'Gastos com Pessoal'!O258)*5.84%</f>
        <v>65.420296703999995</v>
      </c>
      <c r="V258" s="256">
        <f>('Encargos e Benefícios'!X257+'Encargos e Benefícios'!Y257+'Encargos e Benefícios'!Z257+'Encargos e Benefícios'!AA257+'Encargos e Benefícios'!AB257+'Gastos com Pessoal'!P258)*5.84%</f>
        <v>38.600694720000007</v>
      </c>
      <c r="W258" s="256">
        <f>('Encargos e Benefícios'!V257+'Gastos com Pessoal'!Q258)*5.84%</f>
        <v>9.4125120768000006</v>
      </c>
      <c r="X258" s="256"/>
      <c r="Y258" s="293">
        <v>46508</v>
      </c>
      <c r="Z258" s="294">
        <v>5.8400000000000001E-2</v>
      </c>
      <c r="AA258" s="256">
        <f>('Encargos e Benefícios'!W257+'Gastos com Pessoal'!O258+'Gastos com Pessoal'!U258)*5.84%</f>
        <v>69.240842031513608</v>
      </c>
      <c r="AB258" s="256">
        <f>('Encargos e Benefícios'!X257+'Encargos e Benefícios'!Y257+'Encargos e Benefícios'!Z257+'Encargos e Benefícios'!AA257+'Encargos e Benefícios'!AB257+'Gastos com Pessoal'!P258+'Gastos com Pessoal'!V258)*5.84%</f>
        <v>40.854975291648003</v>
      </c>
      <c r="AC258" s="256">
        <f>('Encargos e Benefícios'!V257+'Gastos com Pessoal'!Q258+'Gastos com Pessoal'!W258)*5.84%</f>
        <v>9.9622027820851216</v>
      </c>
      <c r="AD258" s="256"/>
      <c r="AE258" s="293">
        <v>46874</v>
      </c>
      <c r="AF258" s="294">
        <v>5.8400000000000001E-2</v>
      </c>
      <c r="AG258" s="256">
        <f>('Encargos e Benefícios'!W257+'Gastos com Pessoal'!O258+'Gastos com Pessoal'!U258+'Gastos com Pessoal'!AA258)*5.84%</f>
        <v>73.284507206154004</v>
      </c>
      <c r="AH258" s="256">
        <f>('Encargos e Benefícios'!X257+'Encargos e Benefícios'!Y257+'Encargos e Benefícios'!Z257+'Encargos e Benefícios'!AA257+'Encargos e Benefícios'!AB257+'Gastos com Pessoal'!P258+'Gastos com Pessoal'!V258+'Gastos com Pessoal'!AB258)*5.84%</f>
        <v>43.240905848680242</v>
      </c>
      <c r="AI258" s="256">
        <f>('Encargos e Benefícios'!V257+'Gastos com Pessoal'!Q258+'Gastos com Pessoal'!W258+'Gastos com Pessoal'!AC258)*5.84%</f>
        <v>10.543995424558892</v>
      </c>
      <c r="AJ258" s="257"/>
      <c r="AK258" s="296">
        <f>'Encargos e Benefícios'!D257</f>
        <v>2010.96</v>
      </c>
      <c r="AL258" s="296">
        <f>IF('Encargos e Benefícios'!C257=0,0,'Encargos e Benefícios'!U257/'Encargos e Benefícios'!C257)</f>
        <v>2942.4053904000002</v>
      </c>
      <c r="AM258" s="296">
        <f>IF('Encargos e Benefícios'!C257=0,0,'Encargos e Benefícios'!AC257/'Encargos e Benefícios'!C257)</f>
        <v>917.59000000000015</v>
      </c>
      <c r="AN258" s="297">
        <f>IF('Encargos e Benefícios'!C257=0,0,'Encargos e Benefícios'!AD257/'Encargos e Benefícios'!C257)</f>
        <v>5870.9553904000004</v>
      </c>
      <c r="AO258" s="188">
        <v>3219.15</v>
      </c>
      <c r="AP258" s="298">
        <v>1764.5</v>
      </c>
      <c r="AQ258" s="298">
        <v>4673.8</v>
      </c>
      <c r="AR258" s="299" t="s">
        <v>118</v>
      </c>
      <c r="AS258" s="188"/>
    </row>
    <row r="259" spans="1:45">
      <c r="A259" s="286">
        <v>253</v>
      </c>
      <c r="B259" s="81" t="str">
        <f>'Encargos e Benefícios'!B258</f>
        <v>Socioeducador - D</v>
      </c>
      <c r="C259" s="287">
        <f>'Encargos e Benefícios'!C258</f>
        <v>12</v>
      </c>
      <c r="D259" s="288" t="s">
        <v>496</v>
      </c>
      <c r="E259" s="300">
        <v>45658</v>
      </c>
      <c r="F259" s="301">
        <v>47058</v>
      </c>
      <c r="G259" s="293"/>
      <c r="H259" s="294"/>
      <c r="I259" s="256"/>
      <c r="J259" s="256"/>
      <c r="K259" s="256"/>
      <c r="L259" s="256"/>
      <c r="M259" s="293">
        <v>45778</v>
      </c>
      <c r="N259" s="294">
        <v>5.8400000000000001E-2</v>
      </c>
      <c r="O259" s="256">
        <f>'Encargos e Benefícios'!W258*5.84%</f>
        <v>370.86336000000006</v>
      </c>
      <c r="P259" s="256">
        <f>('Encargos e Benefícios'!X258+'Encargos e Benefícios'!Y258+'Encargos e Benefícios'!Z258+'Encargos e Benefícios'!AA258+'Encargos e Benefícios'!AB258)*5.84%</f>
        <v>218.82480000000001</v>
      </c>
      <c r="Q259" s="256">
        <f>'Encargos e Benefícios'!V258*5.84%</f>
        <v>53.358912000000004</v>
      </c>
      <c r="R259" s="256"/>
      <c r="S259" s="293">
        <v>46143</v>
      </c>
      <c r="T259" s="294">
        <v>5.8400000000000001E-2</v>
      </c>
      <c r="U259" s="256">
        <f>('Encargos e Benefícios'!W258+'Gastos com Pessoal'!O259)*5.84%</f>
        <v>392.52178022400005</v>
      </c>
      <c r="V259" s="256">
        <f>('Encargos e Benefícios'!X258+'Encargos e Benefícios'!Y258+'Encargos e Benefícios'!Z258+'Encargos e Benefícios'!AA258+'Encargos e Benefícios'!AB258+'Gastos com Pessoal'!P259)*5.84%</f>
        <v>231.60416831999999</v>
      </c>
      <c r="W259" s="256">
        <f>('Encargos e Benefícios'!V258+'Gastos com Pessoal'!Q259)*5.84%</f>
        <v>56.475072460800007</v>
      </c>
      <c r="X259" s="256"/>
      <c r="Y259" s="293">
        <v>46508</v>
      </c>
      <c r="Z259" s="294">
        <v>5.8400000000000001E-2</v>
      </c>
      <c r="AA259" s="256">
        <f>('Encargos e Benefícios'!W258+'Gastos com Pessoal'!O259+'Gastos com Pessoal'!U259)*5.84%</f>
        <v>415.44505218908165</v>
      </c>
      <c r="AB259" s="256">
        <f>('Encargos e Benefícios'!X258+'Encargos e Benefícios'!Y258+'Encargos e Benefícios'!Z258+'Encargos e Benefícios'!AA258+'Encargos e Benefícios'!AB258+'Gastos com Pessoal'!P259+'Gastos com Pessoal'!V259)*5.84%</f>
        <v>245.12985174988796</v>
      </c>
      <c r="AC259" s="256">
        <f>('Encargos e Benefícios'!V258+'Gastos com Pessoal'!Q259+'Gastos com Pessoal'!W259)*5.84%</f>
        <v>59.773216692510722</v>
      </c>
      <c r="AD259" s="256"/>
      <c r="AE259" s="293">
        <v>46874</v>
      </c>
      <c r="AF259" s="294">
        <v>5.8400000000000001E-2</v>
      </c>
      <c r="AG259" s="256">
        <f>('Encargos e Benefícios'!W258+'Gastos com Pessoal'!O259+'Gastos com Pessoal'!U259+'Gastos com Pessoal'!AA259)*5.84%</f>
        <v>439.70704323692399</v>
      </c>
      <c r="AH259" s="256">
        <f>('Encargos e Benefícios'!X258+'Encargos e Benefícios'!Y258+'Encargos e Benefícios'!Z258+'Encargos e Benefícios'!AA258+'Encargos e Benefícios'!AB258+'Gastos com Pessoal'!P259+'Gastos com Pessoal'!V259+'Gastos com Pessoal'!AB259)*5.84%</f>
        <v>259.44543509208142</v>
      </c>
      <c r="AI259" s="256">
        <f>('Encargos e Benefícios'!V258+'Gastos com Pessoal'!Q259+'Gastos com Pessoal'!W259+'Gastos com Pessoal'!AC259)*5.84%</f>
        <v>63.263972547353355</v>
      </c>
      <c r="AJ259" s="257"/>
      <c r="AK259" s="296">
        <f>'Encargos e Benefícios'!D258</f>
        <v>2010.96</v>
      </c>
      <c r="AL259" s="296">
        <f>IF('Encargos e Benefícios'!C258=0,0,'Encargos e Benefícios'!U258/'Encargos e Benefícios'!C258)</f>
        <v>2591.2415003999999</v>
      </c>
      <c r="AM259" s="296">
        <f>IF('Encargos e Benefícios'!C258=0,0,'Encargos e Benefícios'!AC258/'Encargos e Benefícios'!C258)</f>
        <v>917.59</v>
      </c>
      <c r="AN259" s="297">
        <f>IF('Encargos e Benefícios'!C258=0,0,'Encargos e Benefícios'!AD258/'Encargos e Benefícios'!C258)</f>
        <v>5519.7915003999997</v>
      </c>
      <c r="AO259" s="188">
        <v>3219.15</v>
      </c>
      <c r="AP259" s="298">
        <v>1764.5</v>
      </c>
      <c r="AQ259" s="298">
        <v>4673.8</v>
      </c>
      <c r="AR259" s="299" t="s">
        <v>118</v>
      </c>
      <c r="AS259" s="188"/>
    </row>
    <row r="260" spans="1:45">
      <c r="A260" s="286">
        <v>254</v>
      </c>
      <c r="B260" s="81" t="str">
        <f>'Encargos e Benefícios'!B259</f>
        <v>Socioeducador - NC</v>
      </c>
      <c r="C260" s="287">
        <f>'Encargos e Benefícios'!C259</f>
        <v>2</v>
      </c>
      <c r="D260" s="288" t="s">
        <v>496</v>
      </c>
      <c r="E260" s="300">
        <v>45658</v>
      </c>
      <c r="F260" s="301">
        <v>47058</v>
      </c>
      <c r="G260" s="293"/>
      <c r="H260" s="294"/>
      <c r="I260" s="256"/>
      <c r="J260" s="256"/>
      <c r="K260" s="256"/>
      <c r="L260" s="256"/>
      <c r="M260" s="293">
        <v>45778</v>
      </c>
      <c r="N260" s="294">
        <v>5.8400000000000001E-2</v>
      </c>
      <c r="O260" s="256">
        <f>'Encargos e Benefícios'!W259*5.84%</f>
        <v>61.810560000000002</v>
      </c>
      <c r="P260" s="256">
        <f>('Encargos e Benefícios'!X259+'Encargos e Benefícios'!Y259+'Encargos e Benefícios'!Z259+'Encargos e Benefícios'!AA259+'Encargos e Benefícios'!AB259)*5.84%</f>
        <v>36.470799999999997</v>
      </c>
      <c r="Q260" s="256">
        <f>'Encargos e Benefícios'!V259*5.84%</f>
        <v>8.8931520000000006</v>
      </c>
      <c r="R260" s="256"/>
      <c r="S260" s="293">
        <v>46143</v>
      </c>
      <c r="T260" s="294">
        <v>5.8400000000000001E-2</v>
      </c>
      <c r="U260" s="256">
        <f>('Encargos e Benefícios'!W259+'Gastos com Pessoal'!O260)*5.84%</f>
        <v>65.420296703999995</v>
      </c>
      <c r="V260" s="256">
        <f>('Encargos e Benefícios'!X259+'Encargos e Benefícios'!Y259+'Encargos e Benefícios'!Z259+'Encargos e Benefícios'!AA259+'Encargos e Benefícios'!AB259+'Gastos com Pessoal'!P260)*5.84%</f>
        <v>38.600694720000007</v>
      </c>
      <c r="W260" s="256">
        <f>('Encargos e Benefícios'!V259+'Gastos com Pessoal'!Q260)*5.84%</f>
        <v>9.4125120768000006</v>
      </c>
      <c r="X260" s="256"/>
      <c r="Y260" s="293">
        <v>46508</v>
      </c>
      <c r="Z260" s="294">
        <v>5.8400000000000001E-2</v>
      </c>
      <c r="AA260" s="256">
        <f>('Encargos e Benefícios'!W259+'Gastos com Pessoal'!O260+'Gastos com Pessoal'!U260)*5.84%</f>
        <v>69.240842031513608</v>
      </c>
      <c r="AB260" s="256">
        <f>('Encargos e Benefícios'!X259+'Encargos e Benefícios'!Y259+'Encargos e Benefícios'!Z259+'Encargos e Benefícios'!AA259+'Encargos e Benefícios'!AB259+'Gastos com Pessoal'!P260+'Gastos com Pessoal'!V260)*5.84%</f>
        <v>40.854975291648003</v>
      </c>
      <c r="AC260" s="256">
        <f>('Encargos e Benefícios'!V259+'Gastos com Pessoal'!Q260+'Gastos com Pessoal'!W260)*5.84%</f>
        <v>9.9622027820851216</v>
      </c>
      <c r="AD260" s="256"/>
      <c r="AE260" s="293">
        <v>46874</v>
      </c>
      <c r="AF260" s="294">
        <v>5.8400000000000001E-2</v>
      </c>
      <c r="AG260" s="256">
        <f>('Encargos e Benefícios'!W259+'Gastos com Pessoal'!O260+'Gastos com Pessoal'!U260+'Gastos com Pessoal'!AA260)*5.84%</f>
        <v>73.284507206154004</v>
      </c>
      <c r="AH260" s="256">
        <f>('Encargos e Benefícios'!X259+'Encargos e Benefícios'!Y259+'Encargos e Benefícios'!Z259+'Encargos e Benefícios'!AA259+'Encargos e Benefícios'!AB259+'Gastos com Pessoal'!P260+'Gastos com Pessoal'!V260+'Gastos com Pessoal'!AB260)*5.84%</f>
        <v>43.240905848680242</v>
      </c>
      <c r="AI260" s="256">
        <f>('Encargos e Benefícios'!V259+'Gastos com Pessoal'!Q260+'Gastos com Pessoal'!W260+'Gastos com Pessoal'!AC260)*5.84%</f>
        <v>10.543995424558892</v>
      </c>
      <c r="AJ260" s="257"/>
      <c r="AK260" s="296">
        <f>'Encargos e Benefícios'!D259</f>
        <v>2010.96</v>
      </c>
      <c r="AL260" s="296">
        <f>IF('Encargos e Benefícios'!C259=0,0,'Encargos e Benefícios'!U259/'Encargos e Benefícios'!C259)</f>
        <v>3553.5688062933345</v>
      </c>
      <c r="AM260" s="296">
        <f>IF('Encargos e Benefícios'!C259=0,0,'Encargos e Benefícios'!AC259/'Encargos e Benefícios'!C259)</f>
        <v>917.59000000000015</v>
      </c>
      <c r="AN260" s="297">
        <f>IF('Encargos e Benefícios'!C259=0,0,'Encargos e Benefícios'!AD259/'Encargos e Benefícios'!C259)</f>
        <v>6482.1188062933343</v>
      </c>
      <c r="AO260" s="188">
        <v>3219.15</v>
      </c>
      <c r="AP260" s="298">
        <v>1764.5</v>
      </c>
      <c r="AQ260" s="298">
        <v>4673.8</v>
      </c>
      <c r="AR260" s="299" t="s">
        <v>118</v>
      </c>
      <c r="AS260" s="188"/>
    </row>
    <row r="261" spans="1:45" ht="13" thickBot="1">
      <c r="A261" s="286">
        <v>255</v>
      </c>
      <c r="B261" s="81" t="str">
        <f>'Encargos e Benefícios'!B260</f>
        <v>Socioeducador - N</v>
      </c>
      <c r="C261" s="287">
        <f>'Encargos e Benefícios'!C260</f>
        <v>6</v>
      </c>
      <c r="D261" s="288" t="s">
        <v>496</v>
      </c>
      <c r="E261" s="300">
        <v>45658</v>
      </c>
      <c r="F261" s="301">
        <v>47058</v>
      </c>
      <c r="G261" s="293"/>
      <c r="H261" s="294"/>
      <c r="I261" s="256"/>
      <c r="J261" s="256"/>
      <c r="K261" s="256"/>
      <c r="L261" s="256"/>
      <c r="M261" s="293">
        <v>45778</v>
      </c>
      <c r="N261" s="294">
        <v>5.8400000000000001E-2</v>
      </c>
      <c r="O261" s="256">
        <f>'Encargos e Benefícios'!W260*5.84%</f>
        <v>185.43168000000003</v>
      </c>
      <c r="P261" s="256">
        <f>('Encargos e Benefícios'!X260+'Encargos e Benefícios'!Y260+'Encargos e Benefícios'!Z260+'Encargos e Benefícios'!AA260+'Encargos e Benefícios'!AB260)*5.84%</f>
        <v>109.41240000000001</v>
      </c>
      <c r="Q261" s="256">
        <f>'Encargos e Benefícios'!V260*5.84%</f>
        <v>26.679456000000002</v>
      </c>
      <c r="R261" s="256"/>
      <c r="S261" s="293">
        <v>46143</v>
      </c>
      <c r="T261" s="294">
        <v>5.8400000000000001E-2</v>
      </c>
      <c r="U261" s="256">
        <f>('Encargos e Benefícios'!W260+'Gastos com Pessoal'!O261)*5.84%</f>
        <v>196.26089011200003</v>
      </c>
      <c r="V261" s="256">
        <f>('Encargos e Benefícios'!X260+'Encargos e Benefícios'!Y260+'Encargos e Benefícios'!Z260+'Encargos e Benefícios'!AA260+'Encargos e Benefícios'!AB260+'Gastos com Pessoal'!P261)*5.84%</f>
        <v>115.80208415999999</v>
      </c>
      <c r="W261" s="256">
        <f>('Encargos e Benefícios'!V260+'Gastos com Pessoal'!Q261)*5.84%</f>
        <v>28.237536230400003</v>
      </c>
      <c r="X261" s="256"/>
      <c r="Y261" s="293">
        <v>46508</v>
      </c>
      <c r="Z261" s="294">
        <v>5.8400000000000001E-2</v>
      </c>
      <c r="AA261" s="256">
        <f>('Encargos e Benefícios'!W260+'Gastos com Pessoal'!O261+'Gastos com Pessoal'!U261)*5.84%</f>
        <v>207.72252609454083</v>
      </c>
      <c r="AB261" s="256">
        <f>('Encargos e Benefícios'!X260+'Encargos e Benefícios'!Y260+'Encargos e Benefícios'!Z260+'Encargos e Benefícios'!AA260+'Encargos e Benefícios'!AB260+'Gastos com Pessoal'!P261+'Gastos com Pessoal'!V261)*5.84%</f>
        <v>122.56492587494398</v>
      </c>
      <c r="AC261" s="256">
        <f>('Encargos e Benefícios'!V260+'Gastos com Pessoal'!Q261+'Gastos com Pessoal'!W261)*5.84%</f>
        <v>29.886608346255361</v>
      </c>
      <c r="AD261" s="256"/>
      <c r="AE261" s="293">
        <v>46874</v>
      </c>
      <c r="AF261" s="294">
        <v>5.8400000000000001E-2</v>
      </c>
      <c r="AG261" s="256">
        <f>('Encargos e Benefícios'!W260+'Gastos com Pessoal'!O261+'Gastos com Pessoal'!U261+'Gastos com Pessoal'!AA261)*5.84%</f>
        <v>219.853521618462</v>
      </c>
      <c r="AH261" s="256">
        <f>('Encargos e Benefícios'!X260+'Encargos e Benefícios'!Y260+'Encargos e Benefícios'!Z260+'Encargos e Benefícios'!AA260+'Encargos e Benefícios'!AB260+'Gastos com Pessoal'!P261+'Gastos com Pessoal'!V261+'Gastos com Pessoal'!AB261)*5.84%</f>
        <v>129.72271754604071</v>
      </c>
      <c r="AI261" s="256">
        <f>('Encargos e Benefícios'!V260+'Gastos com Pessoal'!Q261+'Gastos com Pessoal'!W261+'Gastos com Pessoal'!AC261)*5.84%</f>
        <v>31.631986273676677</v>
      </c>
      <c r="AJ261" s="257"/>
      <c r="AK261" s="296">
        <f>'Encargos e Benefícios'!D260</f>
        <v>2010.96</v>
      </c>
      <c r="AL261" s="296">
        <f>IF('Encargos e Benefícios'!C260=0,0,'Encargos e Benefícios'!U260/'Encargos e Benefícios'!C260)</f>
        <v>3202.4049162933329</v>
      </c>
      <c r="AM261" s="296">
        <f>IF('Encargos e Benefícios'!C260=0,0,'Encargos e Benefícios'!AC260/'Encargos e Benefícios'!C260)</f>
        <v>917.59</v>
      </c>
      <c r="AN261" s="297">
        <f>IF('Encargos e Benefícios'!C260=0,0,'Encargos e Benefícios'!AD260/'Encargos e Benefícios'!C260)</f>
        <v>6130.9549162933326</v>
      </c>
      <c r="AO261" s="188">
        <v>3219.15</v>
      </c>
      <c r="AP261" s="298">
        <v>1764.5</v>
      </c>
      <c r="AQ261" s="298">
        <v>4673.8</v>
      </c>
      <c r="AR261" s="299" t="s">
        <v>118</v>
      </c>
      <c r="AS261" s="188"/>
    </row>
    <row r="262" spans="1:45">
      <c r="A262" s="286">
        <v>256</v>
      </c>
      <c r="B262" s="81" t="str">
        <f>'Encargos e Benefícios'!B261</f>
        <v>Diretor Geral de Unidade Socioeducativa</v>
      </c>
      <c r="C262" s="287">
        <f>'Encargos e Benefícios'!C261</f>
        <v>1</v>
      </c>
      <c r="D262" s="288">
        <v>40</v>
      </c>
      <c r="E262" s="289">
        <v>45658</v>
      </c>
      <c r="F262" s="290">
        <v>47058</v>
      </c>
      <c r="G262" s="293"/>
      <c r="H262" s="294"/>
      <c r="I262" s="256"/>
      <c r="J262" s="256"/>
      <c r="K262" s="256"/>
      <c r="L262" s="256"/>
      <c r="M262" s="293">
        <v>45778</v>
      </c>
      <c r="N262" s="294">
        <v>5.8400000000000001E-2</v>
      </c>
      <c r="O262" s="256">
        <f>'Encargos e Benefícios'!W261*5.84%</f>
        <v>30.905280000000001</v>
      </c>
      <c r="P262" s="256">
        <f>('Encargos e Benefícios'!X261+'Encargos e Benefícios'!Y261+'Encargos e Benefícios'!Z261+'Encargos e Benefícios'!AA261+'Encargos e Benefícios'!AB261)*5.84%</f>
        <v>18.235399999999998</v>
      </c>
      <c r="Q262" s="256">
        <f>'Encargos e Benefícios'!V261*5.84%</f>
        <v>0</v>
      </c>
      <c r="R262" s="256"/>
      <c r="S262" s="293">
        <v>46143</v>
      </c>
      <c r="T262" s="294">
        <v>5.8400000000000001E-2</v>
      </c>
      <c r="U262" s="256">
        <f>('Encargos e Benefícios'!W261+'Gastos com Pessoal'!O262)*5.84%</f>
        <v>32.710148351999997</v>
      </c>
      <c r="V262" s="256">
        <f>('Encargos e Benefícios'!X261+'Encargos e Benefícios'!Y261+'Encargos e Benefícios'!Z261+'Encargos e Benefícios'!AA261+'Encargos e Benefícios'!AB261+'Gastos com Pessoal'!P262)*5.84%</f>
        <v>19.300347360000004</v>
      </c>
      <c r="W262" s="256">
        <f>('Encargos e Benefícios'!V261+'Gastos com Pessoal'!Q262)*5.84%</f>
        <v>0</v>
      </c>
      <c r="X262" s="256"/>
      <c r="Y262" s="293">
        <v>46508</v>
      </c>
      <c r="Z262" s="294">
        <v>5.8400000000000001E-2</v>
      </c>
      <c r="AA262" s="256">
        <f>('Encargos e Benefícios'!W261+'Gastos com Pessoal'!O262+'Gastos com Pessoal'!U262)*5.84%</f>
        <v>34.620421015756804</v>
      </c>
      <c r="AB262" s="256">
        <f>('Encargos e Benefícios'!X261+'Encargos e Benefícios'!Y261+'Encargos e Benefícios'!Z261+'Encargos e Benefícios'!AA261+'Encargos e Benefícios'!AB261+'Gastos com Pessoal'!P262+'Gastos com Pessoal'!V262)*5.84%</f>
        <v>20.427487645824002</v>
      </c>
      <c r="AC262" s="256">
        <f>('Encargos e Benefícios'!V261+'Gastos com Pessoal'!Q262+'Gastos com Pessoal'!W262)*5.84%</f>
        <v>0</v>
      </c>
      <c r="AD262" s="256"/>
      <c r="AE262" s="293">
        <v>46874</v>
      </c>
      <c r="AF262" s="294">
        <v>5.8400000000000001E-2</v>
      </c>
      <c r="AG262" s="256">
        <f>('Encargos e Benefícios'!W261+'Gastos com Pessoal'!O262+'Gastos com Pessoal'!U262+'Gastos com Pessoal'!AA262)*5.84%</f>
        <v>36.642253603077002</v>
      </c>
      <c r="AH262" s="256">
        <f>('Encargos e Benefícios'!X261+'Encargos e Benefícios'!Y261+'Encargos e Benefícios'!Z261+'Encargos e Benefícios'!AA261+'Encargos e Benefícios'!AB261+'Gastos com Pessoal'!P262+'Gastos com Pessoal'!V262+'Gastos com Pessoal'!AB262)*5.84%</f>
        <v>21.620452924340121</v>
      </c>
      <c r="AI262" s="256">
        <f>('Encargos e Benefícios'!V261+'Gastos com Pessoal'!Q262+'Gastos com Pessoal'!W262+'Gastos com Pessoal'!AC262)*5.84%</f>
        <v>0</v>
      </c>
      <c r="AJ262" s="257"/>
      <c r="AK262" s="296">
        <f>'Encargos e Benefícios'!D261</f>
        <v>6879.6</v>
      </c>
      <c r="AL262" s="296">
        <f>IF('Encargos e Benefícios'!C261=0,0,'Encargos e Benefícios'!U261/'Encargos e Benefícios'!C261)</f>
        <v>5400.8682000000008</v>
      </c>
      <c r="AM262" s="296">
        <f>IF('Encargos e Benefícios'!C261=0,0,'Encargos e Benefícios'!AC261/'Encargos e Benefícios'!C261)</f>
        <v>841.45</v>
      </c>
      <c r="AN262" s="297">
        <f>IF('Encargos e Benefícios'!C261=0,0,'Encargos e Benefícios'!AD261/'Encargos e Benefícios'!C261)</f>
        <v>13121.918200000002</v>
      </c>
      <c r="AO262" s="188">
        <v>6052.24</v>
      </c>
      <c r="AP262" s="298">
        <v>4239.6899999999996</v>
      </c>
      <c r="AQ262" s="298">
        <v>7864.78</v>
      </c>
      <c r="AR262" s="299" t="s">
        <v>119</v>
      </c>
      <c r="AS262" s="188"/>
    </row>
    <row r="263" spans="1:45">
      <c r="A263" s="286">
        <v>257</v>
      </c>
      <c r="B263" s="81" t="str">
        <f>'Encargos e Benefícios'!B262</f>
        <v>Subdiretor de Segurança</v>
      </c>
      <c r="C263" s="287">
        <f>'Encargos e Benefícios'!C262</f>
        <v>1</v>
      </c>
      <c r="D263" s="288">
        <v>40</v>
      </c>
      <c r="E263" s="300">
        <v>45658</v>
      </c>
      <c r="F263" s="301">
        <v>47058</v>
      </c>
      <c r="G263" s="293"/>
      <c r="H263" s="294"/>
      <c r="I263" s="256"/>
      <c r="J263" s="256"/>
      <c r="K263" s="256"/>
      <c r="L263" s="256"/>
      <c r="M263" s="293">
        <v>45778</v>
      </c>
      <c r="N263" s="294">
        <v>5.8400000000000001E-2</v>
      </c>
      <c r="O263" s="256">
        <f>'Encargos e Benefícios'!W262*5.84%</f>
        <v>30.905280000000001</v>
      </c>
      <c r="P263" s="256">
        <f>('Encargos e Benefícios'!X262+'Encargos e Benefícios'!Y262+'Encargos e Benefícios'!Z262+'Encargos e Benefícios'!AA262+'Encargos e Benefícios'!AB262)*5.84%</f>
        <v>18.235399999999998</v>
      </c>
      <c r="Q263" s="256">
        <f>'Encargos e Benefícios'!V262*5.84%</f>
        <v>0</v>
      </c>
      <c r="R263" s="256"/>
      <c r="S263" s="293">
        <v>46143</v>
      </c>
      <c r="T263" s="294">
        <v>5.8400000000000001E-2</v>
      </c>
      <c r="U263" s="256">
        <f>('Encargos e Benefícios'!W262+'Gastos com Pessoal'!O263)*5.84%</f>
        <v>32.710148351999997</v>
      </c>
      <c r="V263" s="256">
        <f>('Encargos e Benefícios'!X262+'Encargos e Benefícios'!Y262+'Encargos e Benefícios'!Z262+'Encargos e Benefícios'!AA262+'Encargos e Benefícios'!AB262+'Gastos com Pessoal'!P263)*5.84%</f>
        <v>19.300347360000004</v>
      </c>
      <c r="W263" s="256">
        <f>('Encargos e Benefícios'!V262+'Gastos com Pessoal'!Q263)*5.84%</f>
        <v>0</v>
      </c>
      <c r="X263" s="256"/>
      <c r="Y263" s="293">
        <v>46508</v>
      </c>
      <c r="Z263" s="294">
        <v>5.8400000000000001E-2</v>
      </c>
      <c r="AA263" s="256">
        <f>('Encargos e Benefícios'!W262+'Gastos com Pessoal'!O263+'Gastos com Pessoal'!U263)*5.84%</f>
        <v>34.620421015756804</v>
      </c>
      <c r="AB263" s="256">
        <f>('Encargos e Benefícios'!X262+'Encargos e Benefícios'!Y262+'Encargos e Benefícios'!Z262+'Encargos e Benefícios'!AA262+'Encargos e Benefícios'!AB262+'Gastos com Pessoal'!P263+'Gastos com Pessoal'!V263)*5.84%</f>
        <v>20.427487645824002</v>
      </c>
      <c r="AC263" s="256">
        <f>('Encargos e Benefícios'!V262+'Gastos com Pessoal'!Q263+'Gastos com Pessoal'!W263)*5.84%</f>
        <v>0</v>
      </c>
      <c r="AD263" s="256"/>
      <c r="AE263" s="293">
        <v>46874</v>
      </c>
      <c r="AF263" s="294">
        <v>5.8400000000000001E-2</v>
      </c>
      <c r="AG263" s="256">
        <f>('Encargos e Benefícios'!W262+'Gastos com Pessoal'!O263+'Gastos com Pessoal'!U263+'Gastos com Pessoal'!AA263)*5.84%</f>
        <v>36.642253603077002</v>
      </c>
      <c r="AH263" s="256">
        <f>('Encargos e Benefícios'!X262+'Encargos e Benefícios'!Y262+'Encargos e Benefícios'!Z262+'Encargos e Benefícios'!AA262+'Encargos e Benefícios'!AB262+'Gastos com Pessoal'!P263+'Gastos com Pessoal'!V263+'Gastos com Pessoal'!AB263)*5.84%</f>
        <v>21.620452924340121</v>
      </c>
      <c r="AI263" s="256">
        <f>('Encargos e Benefícios'!V262+'Gastos com Pessoal'!Q263+'Gastos com Pessoal'!W263+'Gastos com Pessoal'!AC263)*5.84%</f>
        <v>0</v>
      </c>
      <c r="AJ263" s="257"/>
      <c r="AK263" s="296">
        <f>'Encargos e Benefícios'!D262</f>
        <v>3993.98</v>
      </c>
      <c r="AL263" s="296">
        <f>IF('Encargos e Benefícios'!C262=0,0,'Encargos e Benefícios'!U262/'Encargos e Benefícios'!C262)</f>
        <v>4659.1662746111106</v>
      </c>
      <c r="AM263" s="296">
        <f>IF('Encargos e Benefícios'!C262=0,0,'Encargos e Benefícios'!AC262/'Encargos e Benefícios'!C262)</f>
        <v>841.45</v>
      </c>
      <c r="AN263" s="297">
        <f>IF('Encargos e Benefícios'!C262=0,0,'Encargos e Benefícios'!AD262/'Encargos e Benefícios'!C262)</f>
        <v>9494.5962746111109</v>
      </c>
      <c r="AO263" s="188">
        <v>4968.99</v>
      </c>
      <c r="AP263" s="298">
        <v>3773.6</v>
      </c>
      <c r="AQ263" s="298">
        <v>6164.38</v>
      </c>
      <c r="AR263" s="299" t="s">
        <v>119</v>
      </c>
      <c r="AS263" s="188"/>
    </row>
    <row r="264" spans="1:45">
      <c r="A264" s="286">
        <v>258</v>
      </c>
      <c r="B264" s="81" t="str">
        <f>'Encargos e Benefícios'!B263</f>
        <v>Advogado</v>
      </c>
      <c r="C264" s="287">
        <f>'Encargos e Benefícios'!C263</f>
        <v>1</v>
      </c>
      <c r="D264" s="288">
        <v>30</v>
      </c>
      <c r="E264" s="300">
        <v>45658</v>
      </c>
      <c r="F264" s="301">
        <v>47058</v>
      </c>
      <c r="G264" s="293"/>
      <c r="H264" s="294"/>
      <c r="I264" s="256"/>
      <c r="J264" s="256"/>
      <c r="K264" s="256"/>
      <c r="L264" s="256"/>
      <c r="M264" s="293">
        <v>45778</v>
      </c>
      <c r="N264" s="294">
        <v>5.8400000000000001E-2</v>
      </c>
      <c r="O264" s="256">
        <f>'Encargos e Benefícios'!W263*5.84%</f>
        <v>30.905280000000001</v>
      </c>
      <c r="P264" s="256">
        <f>('Encargos e Benefícios'!X263+'Encargos e Benefícios'!Y263+'Encargos e Benefícios'!Z263+'Encargos e Benefícios'!AA263+'Encargos e Benefícios'!AB263)*5.84%</f>
        <v>18.235399999999998</v>
      </c>
      <c r="Q264" s="256">
        <f>'Encargos e Benefícios'!V263*5.84%</f>
        <v>6.8841919999999996</v>
      </c>
      <c r="R264" s="256"/>
      <c r="S264" s="293">
        <v>46143</v>
      </c>
      <c r="T264" s="294">
        <v>5.8400000000000001E-2</v>
      </c>
      <c r="U264" s="256">
        <f>('Encargos e Benefícios'!W263+'Gastos com Pessoal'!O264)*5.84%</f>
        <v>32.710148351999997</v>
      </c>
      <c r="V264" s="256">
        <f>('Encargos e Benefícios'!X263+'Encargos e Benefícios'!Y263+'Encargos e Benefícios'!Z263+'Encargos e Benefícios'!AA263+'Encargos e Benefícios'!AB263+'Gastos com Pessoal'!P264)*5.84%</f>
        <v>19.300347360000004</v>
      </c>
      <c r="W264" s="256">
        <f>('Encargos e Benefícios'!V263+'Gastos com Pessoal'!Q264)*5.84%</f>
        <v>7.2862288128000001</v>
      </c>
      <c r="X264" s="256"/>
      <c r="Y264" s="293">
        <v>46508</v>
      </c>
      <c r="Z264" s="294">
        <v>5.8400000000000001E-2</v>
      </c>
      <c r="AA264" s="256">
        <f>('Encargos e Benefícios'!W263+'Gastos com Pessoal'!O264+'Gastos com Pessoal'!U264)*5.84%</f>
        <v>34.620421015756804</v>
      </c>
      <c r="AB264" s="256">
        <f>('Encargos e Benefícios'!X263+'Encargos e Benefícios'!Y263+'Encargos e Benefícios'!Z263+'Encargos e Benefícios'!AA263+'Encargos e Benefícios'!AB263+'Gastos com Pessoal'!P264+'Gastos com Pessoal'!V264)*5.84%</f>
        <v>20.427487645824002</v>
      </c>
      <c r="AC264" s="256">
        <f>('Encargos e Benefícios'!V263+'Gastos com Pessoal'!Q264+'Gastos com Pessoal'!W264)*5.84%</f>
        <v>7.7117445754675193</v>
      </c>
      <c r="AD264" s="256"/>
      <c r="AE264" s="293">
        <v>46874</v>
      </c>
      <c r="AF264" s="294">
        <v>5.8400000000000001E-2</v>
      </c>
      <c r="AG264" s="256">
        <f>('Encargos e Benefícios'!W263+'Gastos com Pessoal'!O264+'Gastos com Pessoal'!U264+'Gastos com Pessoal'!AA264)*5.84%</f>
        <v>36.642253603077002</v>
      </c>
      <c r="AH264" s="256">
        <f>('Encargos e Benefícios'!X263+'Encargos e Benefícios'!Y263+'Encargos e Benefícios'!Z263+'Encargos e Benefícios'!AA263+'Encargos e Benefícios'!AB263+'Gastos com Pessoal'!P264+'Gastos com Pessoal'!V264+'Gastos com Pessoal'!AB264)*5.84%</f>
        <v>21.620452924340121</v>
      </c>
      <c r="AI264" s="256">
        <f>('Encargos e Benefícios'!V263+'Gastos com Pessoal'!Q264+'Gastos com Pessoal'!W264+'Gastos com Pessoal'!AC264)*5.84%</f>
        <v>8.1621104586748228</v>
      </c>
      <c r="AJ264" s="257"/>
      <c r="AK264" s="296">
        <f>'Encargos e Benefícios'!D263</f>
        <v>2751.84</v>
      </c>
      <c r="AL264" s="296">
        <f>IF('Encargos e Benefícios'!C263=0,0,'Encargos e Benefícios'!U263/'Encargos e Benefícios'!C263)</f>
        <v>2198.8730400000004</v>
      </c>
      <c r="AM264" s="296">
        <f>IF('Encargos e Benefícios'!C263=0,0,'Encargos e Benefícios'!AC263/'Encargos e Benefícios'!C263)</f>
        <v>959.33000000000015</v>
      </c>
      <c r="AN264" s="297">
        <f>IF('Encargos e Benefícios'!C263=0,0,'Encargos e Benefícios'!AD263/'Encargos e Benefícios'!C263)</f>
        <v>5910.0430400000005</v>
      </c>
      <c r="AO264" s="188">
        <v>2365.86</v>
      </c>
      <c r="AP264" s="298">
        <v>1700</v>
      </c>
      <c r="AQ264" s="298">
        <v>3031.72</v>
      </c>
      <c r="AR264" s="299" t="s">
        <v>119</v>
      </c>
      <c r="AS264" s="188"/>
    </row>
    <row r="265" spans="1:45">
      <c r="A265" s="286">
        <v>259</v>
      </c>
      <c r="B265" s="81" t="str">
        <f>'Encargos e Benefícios'!B264</f>
        <v>Assistente Social</v>
      </c>
      <c r="C265" s="287">
        <f>'Encargos e Benefícios'!C264</f>
        <v>1</v>
      </c>
      <c r="D265" s="288">
        <v>30</v>
      </c>
      <c r="E265" s="300">
        <v>45658</v>
      </c>
      <c r="F265" s="301">
        <v>47058</v>
      </c>
      <c r="G265" s="293"/>
      <c r="H265" s="294"/>
      <c r="I265" s="256"/>
      <c r="J265" s="256"/>
      <c r="K265" s="256"/>
      <c r="L265" s="256"/>
      <c r="M265" s="293">
        <v>45778</v>
      </c>
      <c r="N265" s="294">
        <v>5.8400000000000001E-2</v>
      </c>
      <c r="O265" s="256">
        <f>'Encargos e Benefícios'!W264*5.84%</f>
        <v>30.905280000000001</v>
      </c>
      <c r="P265" s="256">
        <f>('Encargos e Benefícios'!X264+'Encargos e Benefícios'!Y264+'Encargos e Benefícios'!Z264+'Encargos e Benefícios'!AA264+'Encargos e Benefícios'!AB264)*5.84%</f>
        <v>18.235399999999998</v>
      </c>
      <c r="Q265" s="256">
        <f>'Encargos e Benefícios'!V264*5.84%</f>
        <v>6.8841919999999996</v>
      </c>
      <c r="R265" s="256"/>
      <c r="S265" s="293">
        <v>46143</v>
      </c>
      <c r="T265" s="294">
        <v>5.8400000000000001E-2</v>
      </c>
      <c r="U265" s="256">
        <f>('Encargos e Benefícios'!W264+'Gastos com Pessoal'!O265)*5.84%</f>
        <v>32.710148351999997</v>
      </c>
      <c r="V265" s="256">
        <f>('Encargos e Benefícios'!X264+'Encargos e Benefícios'!Y264+'Encargos e Benefícios'!Z264+'Encargos e Benefícios'!AA264+'Encargos e Benefícios'!AB264+'Gastos com Pessoal'!P265)*5.84%</f>
        <v>19.300347360000004</v>
      </c>
      <c r="W265" s="256">
        <f>('Encargos e Benefícios'!V264+'Gastos com Pessoal'!Q265)*5.84%</f>
        <v>7.2862288128000001</v>
      </c>
      <c r="X265" s="256"/>
      <c r="Y265" s="293">
        <v>46508</v>
      </c>
      <c r="Z265" s="294">
        <v>5.8400000000000001E-2</v>
      </c>
      <c r="AA265" s="256">
        <f>('Encargos e Benefícios'!W264+'Gastos com Pessoal'!O265+'Gastos com Pessoal'!U265)*5.84%</f>
        <v>34.620421015756804</v>
      </c>
      <c r="AB265" s="256">
        <f>('Encargos e Benefícios'!X264+'Encargos e Benefícios'!Y264+'Encargos e Benefícios'!Z264+'Encargos e Benefícios'!AA264+'Encargos e Benefícios'!AB264+'Gastos com Pessoal'!P265+'Gastos com Pessoal'!V265)*5.84%</f>
        <v>20.427487645824002</v>
      </c>
      <c r="AC265" s="256">
        <f>('Encargos e Benefícios'!V264+'Gastos com Pessoal'!Q265+'Gastos com Pessoal'!W265)*5.84%</f>
        <v>7.7117445754675193</v>
      </c>
      <c r="AD265" s="256"/>
      <c r="AE265" s="293">
        <v>46874</v>
      </c>
      <c r="AF265" s="294">
        <v>5.8400000000000001E-2</v>
      </c>
      <c r="AG265" s="256">
        <f>('Encargos e Benefícios'!W264+'Gastos com Pessoal'!O265+'Gastos com Pessoal'!U265+'Gastos com Pessoal'!AA265)*5.84%</f>
        <v>36.642253603077002</v>
      </c>
      <c r="AH265" s="256">
        <f>('Encargos e Benefícios'!X264+'Encargos e Benefícios'!Y264+'Encargos e Benefícios'!Z264+'Encargos e Benefícios'!AA264+'Encargos e Benefícios'!AB264+'Gastos com Pessoal'!P265+'Gastos com Pessoal'!V265+'Gastos com Pessoal'!AB265)*5.84%</f>
        <v>21.620452924340121</v>
      </c>
      <c r="AI265" s="256">
        <f>('Encargos e Benefícios'!V264+'Gastos com Pessoal'!Q265+'Gastos com Pessoal'!W265+'Gastos com Pessoal'!AC265)*5.84%</f>
        <v>8.1621104586748228</v>
      </c>
      <c r="AJ265" s="257"/>
      <c r="AK265" s="296">
        <f>'Encargos e Benefícios'!D264</f>
        <v>2751.84</v>
      </c>
      <c r="AL265" s="296">
        <f>IF('Encargos e Benefícios'!C264=0,0,'Encargos e Benefícios'!U264/'Encargos e Benefícios'!C264)</f>
        <v>2198.8730400000004</v>
      </c>
      <c r="AM265" s="296">
        <f>IF('Encargos e Benefícios'!C264=0,0,'Encargos e Benefícios'!AC264/'Encargos e Benefícios'!C264)</f>
        <v>959.33000000000015</v>
      </c>
      <c r="AN265" s="297">
        <f>IF('Encargos e Benefícios'!C264=0,0,'Encargos e Benefícios'!AD264/'Encargos e Benefícios'!C264)</f>
        <v>5910.0430400000005</v>
      </c>
      <c r="AO265" s="188">
        <v>3479.77</v>
      </c>
      <c r="AP265" s="298">
        <v>2252.3200000000002</v>
      </c>
      <c r="AQ265" s="298">
        <v>4707.22</v>
      </c>
      <c r="AR265" s="299" t="s">
        <v>119</v>
      </c>
      <c r="AS265" s="188"/>
    </row>
    <row r="266" spans="1:45">
      <c r="A266" s="286">
        <v>260</v>
      </c>
      <c r="B266" s="81" t="str">
        <f>'Encargos e Benefícios'!B265</f>
        <v>Pedagogo</v>
      </c>
      <c r="C266" s="287">
        <f>'Encargos e Benefícios'!C265</f>
        <v>1</v>
      </c>
      <c r="D266" s="288">
        <v>30</v>
      </c>
      <c r="E266" s="300">
        <v>45658</v>
      </c>
      <c r="F266" s="301">
        <v>47058</v>
      </c>
      <c r="G266" s="293"/>
      <c r="H266" s="294"/>
      <c r="I266" s="256"/>
      <c r="J266" s="256"/>
      <c r="K266" s="256"/>
      <c r="L266" s="256"/>
      <c r="M266" s="293">
        <v>45778</v>
      </c>
      <c r="N266" s="294">
        <v>5.8400000000000001E-2</v>
      </c>
      <c r="O266" s="256">
        <f>'Encargos e Benefícios'!W265*5.84%</f>
        <v>30.905280000000001</v>
      </c>
      <c r="P266" s="256">
        <f>('Encargos e Benefícios'!X265+'Encargos e Benefícios'!Y265+'Encargos e Benefícios'!Z265+'Encargos e Benefícios'!AA265+'Encargos e Benefícios'!AB265)*5.84%</f>
        <v>18.235399999999998</v>
      </c>
      <c r="Q266" s="256">
        <f>'Encargos e Benefícios'!V265*5.84%</f>
        <v>6.8841919999999996</v>
      </c>
      <c r="R266" s="256"/>
      <c r="S266" s="293">
        <v>46143</v>
      </c>
      <c r="T266" s="294">
        <v>5.8400000000000001E-2</v>
      </c>
      <c r="U266" s="256">
        <f>('Encargos e Benefícios'!W265+'Gastos com Pessoal'!O266)*5.84%</f>
        <v>32.710148351999997</v>
      </c>
      <c r="V266" s="256">
        <f>('Encargos e Benefícios'!X265+'Encargos e Benefícios'!Y265+'Encargos e Benefícios'!Z265+'Encargos e Benefícios'!AA265+'Encargos e Benefícios'!AB265+'Gastos com Pessoal'!P266)*5.84%</f>
        <v>19.300347360000004</v>
      </c>
      <c r="W266" s="256">
        <f>('Encargos e Benefícios'!V265+'Gastos com Pessoal'!Q266)*5.84%</f>
        <v>7.2862288128000001</v>
      </c>
      <c r="X266" s="256"/>
      <c r="Y266" s="293">
        <v>46508</v>
      </c>
      <c r="Z266" s="294">
        <v>5.8400000000000001E-2</v>
      </c>
      <c r="AA266" s="256">
        <f>('Encargos e Benefícios'!W265+'Gastos com Pessoal'!O266+'Gastos com Pessoal'!U266)*5.84%</f>
        <v>34.620421015756804</v>
      </c>
      <c r="AB266" s="256">
        <f>('Encargos e Benefícios'!X265+'Encargos e Benefícios'!Y265+'Encargos e Benefícios'!Z265+'Encargos e Benefícios'!AA265+'Encargos e Benefícios'!AB265+'Gastos com Pessoal'!P266+'Gastos com Pessoal'!V266)*5.84%</f>
        <v>20.427487645824002</v>
      </c>
      <c r="AC266" s="256">
        <f>('Encargos e Benefícios'!V265+'Gastos com Pessoal'!Q266+'Gastos com Pessoal'!W266)*5.84%</f>
        <v>7.7117445754675193</v>
      </c>
      <c r="AD266" s="256"/>
      <c r="AE266" s="293">
        <v>46874</v>
      </c>
      <c r="AF266" s="294">
        <v>5.8400000000000001E-2</v>
      </c>
      <c r="AG266" s="256">
        <f>('Encargos e Benefícios'!W265+'Gastos com Pessoal'!O266+'Gastos com Pessoal'!U266+'Gastos com Pessoal'!AA266)*5.84%</f>
        <v>36.642253603077002</v>
      </c>
      <c r="AH266" s="256">
        <f>('Encargos e Benefícios'!X265+'Encargos e Benefícios'!Y265+'Encargos e Benefícios'!Z265+'Encargos e Benefícios'!AA265+'Encargos e Benefícios'!AB265+'Gastos com Pessoal'!P266+'Gastos com Pessoal'!V266+'Gastos com Pessoal'!AB266)*5.84%</f>
        <v>21.620452924340121</v>
      </c>
      <c r="AI266" s="256">
        <f>('Encargos e Benefícios'!V265+'Gastos com Pessoal'!Q266+'Gastos com Pessoal'!W266+'Gastos com Pessoal'!AC266)*5.84%</f>
        <v>8.1621104586748228</v>
      </c>
      <c r="AJ266" s="257"/>
      <c r="AK266" s="296">
        <f>'Encargos e Benefícios'!D265</f>
        <v>2751.84</v>
      </c>
      <c r="AL266" s="296">
        <f>IF('Encargos e Benefícios'!C265=0,0,'Encargos e Benefícios'!U265/'Encargos e Benefícios'!C265)</f>
        <v>2198.8730400000004</v>
      </c>
      <c r="AM266" s="296">
        <f>IF('Encargos e Benefícios'!C265=0,0,'Encargos e Benefícios'!AC265/'Encargos e Benefícios'!C265)</f>
        <v>959.33000000000015</v>
      </c>
      <c r="AN266" s="297">
        <f>IF('Encargos e Benefícios'!C265=0,0,'Encargos e Benefícios'!AD265/'Encargos e Benefícios'!C265)</f>
        <v>5910.0430400000005</v>
      </c>
      <c r="AO266" s="188">
        <v>2293.52</v>
      </c>
      <c r="AP266" s="298">
        <v>1700</v>
      </c>
      <c r="AQ266" s="298">
        <v>2887.04</v>
      </c>
      <c r="AR266" s="299" t="s">
        <v>119</v>
      </c>
      <c r="AS266" s="188"/>
    </row>
    <row r="267" spans="1:45">
      <c r="A267" s="286">
        <v>261</v>
      </c>
      <c r="B267" s="81" t="str">
        <f>'Encargos e Benefícios'!B266</f>
        <v>Psicologo</v>
      </c>
      <c r="C267" s="287">
        <f>'Encargos e Benefícios'!C266</f>
        <v>1</v>
      </c>
      <c r="D267" s="288">
        <v>30</v>
      </c>
      <c r="E267" s="300">
        <v>45658</v>
      </c>
      <c r="F267" s="301">
        <v>47058</v>
      </c>
      <c r="G267" s="293"/>
      <c r="H267" s="294"/>
      <c r="I267" s="256"/>
      <c r="J267" s="256"/>
      <c r="K267" s="256"/>
      <c r="L267" s="256"/>
      <c r="M267" s="293">
        <v>45778</v>
      </c>
      <c r="N267" s="294">
        <v>5.8400000000000001E-2</v>
      </c>
      <c r="O267" s="256">
        <f>'Encargos e Benefícios'!W266*5.84%</f>
        <v>30.905280000000001</v>
      </c>
      <c r="P267" s="256">
        <f>('Encargos e Benefícios'!X266+'Encargos e Benefícios'!Y266+'Encargos e Benefícios'!Z266+'Encargos e Benefícios'!AA266+'Encargos e Benefícios'!AB266)*5.84%</f>
        <v>18.235399999999998</v>
      </c>
      <c r="Q267" s="256">
        <f>'Encargos e Benefícios'!V266*5.84%</f>
        <v>6.8841919999999996</v>
      </c>
      <c r="R267" s="256"/>
      <c r="S267" s="293">
        <v>46143</v>
      </c>
      <c r="T267" s="294">
        <v>5.8400000000000001E-2</v>
      </c>
      <c r="U267" s="256">
        <f>('Encargos e Benefícios'!W266+'Gastos com Pessoal'!O267)*5.84%</f>
        <v>32.710148351999997</v>
      </c>
      <c r="V267" s="256">
        <f>('Encargos e Benefícios'!X266+'Encargos e Benefícios'!Y266+'Encargos e Benefícios'!Z266+'Encargos e Benefícios'!AA266+'Encargos e Benefícios'!AB266+'Gastos com Pessoal'!P267)*5.84%</f>
        <v>19.300347360000004</v>
      </c>
      <c r="W267" s="256">
        <f>('Encargos e Benefícios'!V266+'Gastos com Pessoal'!Q267)*5.84%</f>
        <v>7.2862288128000001</v>
      </c>
      <c r="X267" s="256"/>
      <c r="Y267" s="293">
        <v>46508</v>
      </c>
      <c r="Z267" s="294">
        <v>5.8400000000000001E-2</v>
      </c>
      <c r="AA267" s="256">
        <f>('Encargos e Benefícios'!W266+'Gastos com Pessoal'!O267+'Gastos com Pessoal'!U267)*5.84%</f>
        <v>34.620421015756804</v>
      </c>
      <c r="AB267" s="256">
        <f>('Encargos e Benefícios'!X266+'Encargos e Benefícios'!Y266+'Encargos e Benefícios'!Z266+'Encargos e Benefícios'!AA266+'Encargos e Benefícios'!AB266+'Gastos com Pessoal'!P267+'Gastos com Pessoal'!V267)*5.84%</f>
        <v>20.427487645824002</v>
      </c>
      <c r="AC267" s="256">
        <f>('Encargos e Benefícios'!V266+'Gastos com Pessoal'!Q267+'Gastos com Pessoal'!W267)*5.84%</f>
        <v>7.7117445754675193</v>
      </c>
      <c r="AD267" s="256"/>
      <c r="AE267" s="293">
        <v>46874</v>
      </c>
      <c r="AF267" s="294">
        <v>5.8400000000000001E-2</v>
      </c>
      <c r="AG267" s="256">
        <f>('Encargos e Benefícios'!W266+'Gastos com Pessoal'!O267+'Gastos com Pessoal'!U267+'Gastos com Pessoal'!AA267)*5.84%</f>
        <v>36.642253603077002</v>
      </c>
      <c r="AH267" s="256">
        <f>('Encargos e Benefícios'!X266+'Encargos e Benefícios'!Y266+'Encargos e Benefícios'!Z266+'Encargos e Benefícios'!AA266+'Encargos e Benefícios'!AB266+'Gastos com Pessoal'!P267+'Gastos com Pessoal'!V267+'Gastos com Pessoal'!AB267)*5.84%</f>
        <v>21.620452924340121</v>
      </c>
      <c r="AI267" s="256">
        <f>('Encargos e Benefícios'!V266+'Gastos com Pessoal'!Q267+'Gastos com Pessoal'!W267+'Gastos com Pessoal'!AC267)*5.84%</f>
        <v>8.1621104586748228</v>
      </c>
      <c r="AJ267" s="257"/>
      <c r="AK267" s="296">
        <f>'Encargos e Benefícios'!D266</f>
        <v>2751.84</v>
      </c>
      <c r="AL267" s="296">
        <f>IF('Encargos e Benefícios'!C266=0,0,'Encargos e Benefícios'!U266/'Encargos e Benefícios'!C266)</f>
        <v>2198.8730400000004</v>
      </c>
      <c r="AM267" s="296">
        <f>IF('Encargos e Benefícios'!C266=0,0,'Encargos e Benefícios'!AC266/'Encargos e Benefícios'!C266)</f>
        <v>959.33000000000015</v>
      </c>
      <c r="AN267" s="297">
        <f>IF('Encargos e Benefícios'!C266=0,0,'Encargos e Benefícios'!AD266/'Encargos e Benefícios'!C266)</f>
        <v>5910.0430400000005</v>
      </c>
      <c r="AO267" s="188">
        <v>3202.11</v>
      </c>
      <c r="AP267" s="298">
        <v>1700</v>
      </c>
      <c r="AQ267" s="298">
        <v>4704.22</v>
      </c>
      <c r="AR267" s="299" t="s">
        <v>119</v>
      </c>
      <c r="AS267" s="188"/>
    </row>
    <row r="268" spans="1:45">
      <c r="A268" s="286">
        <v>262</v>
      </c>
      <c r="B268" s="81" t="str">
        <f>'Encargos e Benefícios'!B267</f>
        <v>Terapeuta Ocupacional</v>
      </c>
      <c r="C268" s="287">
        <f>'Encargos e Benefícios'!C267</f>
        <v>1</v>
      </c>
      <c r="D268" s="288">
        <v>30</v>
      </c>
      <c r="E268" s="300">
        <v>45658</v>
      </c>
      <c r="F268" s="301">
        <v>47058</v>
      </c>
      <c r="G268" s="293"/>
      <c r="H268" s="294"/>
      <c r="I268" s="256"/>
      <c r="J268" s="256"/>
      <c r="K268" s="256"/>
      <c r="L268" s="256"/>
      <c r="M268" s="293">
        <v>45778</v>
      </c>
      <c r="N268" s="294">
        <v>5.8400000000000001E-2</v>
      </c>
      <c r="O268" s="256">
        <f>'Encargos e Benefícios'!W267*5.84%</f>
        <v>30.905280000000001</v>
      </c>
      <c r="P268" s="256">
        <f>('Encargos e Benefícios'!X267+'Encargos e Benefícios'!Y267+'Encargos e Benefícios'!Z267+'Encargos e Benefícios'!AA267+'Encargos e Benefícios'!AB267)*5.84%</f>
        <v>18.235399999999998</v>
      </c>
      <c r="Q268" s="256">
        <f>'Encargos e Benefícios'!V267*5.84%</f>
        <v>6.8841919999999996</v>
      </c>
      <c r="R268" s="256"/>
      <c r="S268" s="293">
        <v>46143</v>
      </c>
      <c r="T268" s="294">
        <v>5.8400000000000001E-2</v>
      </c>
      <c r="U268" s="256">
        <f>('Encargos e Benefícios'!W267+'Gastos com Pessoal'!O268)*5.84%</f>
        <v>32.710148351999997</v>
      </c>
      <c r="V268" s="256">
        <f>('Encargos e Benefícios'!X267+'Encargos e Benefícios'!Y267+'Encargos e Benefícios'!Z267+'Encargos e Benefícios'!AA267+'Encargos e Benefícios'!AB267+'Gastos com Pessoal'!P268)*5.84%</f>
        <v>19.300347360000004</v>
      </c>
      <c r="W268" s="256">
        <f>('Encargos e Benefícios'!V267+'Gastos com Pessoal'!Q268)*5.84%</f>
        <v>7.2862288128000001</v>
      </c>
      <c r="X268" s="256"/>
      <c r="Y268" s="293">
        <v>46508</v>
      </c>
      <c r="Z268" s="294">
        <v>5.8400000000000001E-2</v>
      </c>
      <c r="AA268" s="256">
        <f>('Encargos e Benefícios'!W267+'Gastos com Pessoal'!O268+'Gastos com Pessoal'!U268)*5.84%</f>
        <v>34.620421015756804</v>
      </c>
      <c r="AB268" s="256">
        <f>('Encargos e Benefícios'!X267+'Encargos e Benefícios'!Y267+'Encargos e Benefícios'!Z267+'Encargos e Benefícios'!AA267+'Encargos e Benefícios'!AB267+'Gastos com Pessoal'!P268+'Gastos com Pessoal'!V268)*5.84%</f>
        <v>20.427487645824002</v>
      </c>
      <c r="AC268" s="256">
        <f>('Encargos e Benefícios'!V267+'Gastos com Pessoal'!Q268+'Gastos com Pessoal'!W268)*5.84%</f>
        <v>7.7117445754675193</v>
      </c>
      <c r="AD268" s="256"/>
      <c r="AE268" s="293">
        <v>46874</v>
      </c>
      <c r="AF268" s="294">
        <v>5.8400000000000001E-2</v>
      </c>
      <c r="AG268" s="256">
        <f>('Encargos e Benefícios'!W267+'Gastos com Pessoal'!O268+'Gastos com Pessoal'!U268+'Gastos com Pessoal'!AA268)*5.84%</f>
        <v>36.642253603077002</v>
      </c>
      <c r="AH268" s="256">
        <f>('Encargos e Benefícios'!X267+'Encargos e Benefícios'!Y267+'Encargos e Benefícios'!Z267+'Encargos e Benefícios'!AA267+'Encargos e Benefícios'!AB267+'Gastos com Pessoal'!P268+'Gastos com Pessoal'!V268+'Gastos com Pessoal'!AB268)*5.84%</f>
        <v>21.620452924340121</v>
      </c>
      <c r="AI268" s="256">
        <f>('Encargos e Benefícios'!V267+'Gastos com Pessoal'!Q268+'Gastos com Pessoal'!W268+'Gastos com Pessoal'!AC268)*5.84%</f>
        <v>8.1621104586748228</v>
      </c>
      <c r="AJ268" s="257"/>
      <c r="AK268" s="296">
        <f>'Encargos e Benefícios'!D267</f>
        <v>2751.84</v>
      </c>
      <c r="AL268" s="296">
        <f>IF('Encargos e Benefícios'!C267=0,0,'Encargos e Benefícios'!U267/'Encargos e Benefícios'!C267)</f>
        <v>2198.8730400000004</v>
      </c>
      <c r="AM268" s="296">
        <f>IF('Encargos e Benefícios'!C267=0,0,'Encargos e Benefícios'!AC267/'Encargos e Benefícios'!C267)</f>
        <v>959.33000000000015</v>
      </c>
      <c r="AN268" s="297">
        <f>IF('Encargos e Benefícios'!C267=0,0,'Encargos e Benefícios'!AD267/'Encargos e Benefícios'!C267)</f>
        <v>5910.0430400000005</v>
      </c>
      <c r="AO268" s="188">
        <v>3478.27</v>
      </c>
      <c r="AP268" s="298">
        <v>2252.3200000000002</v>
      </c>
      <c r="AQ268" s="298">
        <v>4704.22</v>
      </c>
      <c r="AR268" s="299" t="s">
        <v>119</v>
      </c>
      <c r="AS268" s="188"/>
    </row>
    <row r="269" spans="1:45">
      <c r="A269" s="286">
        <v>263</v>
      </c>
      <c r="B269" s="81" t="str">
        <f>'Encargos e Benefícios'!B268</f>
        <v>Administrativo</v>
      </c>
      <c r="C269" s="287">
        <f>'Encargos e Benefícios'!C268</f>
        <v>1</v>
      </c>
      <c r="D269" s="288">
        <v>40</v>
      </c>
      <c r="E269" s="300">
        <v>45658</v>
      </c>
      <c r="F269" s="301">
        <v>47058</v>
      </c>
      <c r="G269" s="293"/>
      <c r="H269" s="294"/>
      <c r="I269" s="256"/>
      <c r="J269" s="256"/>
      <c r="K269" s="256"/>
      <c r="L269" s="256"/>
      <c r="M269" s="293">
        <v>45778</v>
      </c>
      <c r="N269" s="294">
        <v>5.8400000000000001E-2</v>
      </c>
      <c r="O269" s="256">
        <f>'Encargos e Benefícios'!W268*5.84%</f>
        <v>30.905280000000001</v>
      </c>
      <c r="P269" s="256">
        <f>('Encargos e Benefícios'!X268+'Encargos e Benefícios'!Y268+'Encargos e Benefícios'!Z268+'Encargos e Benefícios'!AA268+'Encargos e Benefícios'!AB268)*5.84%</f>
        <v>18.235399999999998</v>
      </c>
      <c r="Q269" s="256">
        <f>'Encargos e Benefícios'!V268*5.84%</f>
        <v>6.8841919999999996</v>
      </c>
      <c r="R269" s="256"/>
      <c r="S269" s="293">
        <v>46143</v>
      </c>
      <c r="T269" s="294">
        <v>5.8400000000000001E-2</v>
      </c>
      <c r="U269" s="256">
        <f>('Encargos e Benefícios'!W268+'Gastos com Pessoal'!O269)*5.84%</f>
        <v>32.710148351999997</v>
      </c>
      <c r="V269" s="256">
        <f>('Encargos e Benefícios'!X268+'Encargos e Benefícios'!Y268+'Encargos e Benefícios'!Z268+'Encargos e Benefícios'!AA268+'Encargos e Benefícios'!AB268+'Gastos com Pessoal'!P269)*5.84%</f>
        <v>19.300347360000004</v>
      </c>
      <c r="W269" s="256">
        <f>('Encargos e Benefícios'!V268+'Gastos com Pessoal'!Q269)*5.84%</f>
        <v>7.2862288128000001</v>
      </c>
      <c r="X269" s="256"/>
      <c r="Y269" s="293">
        <v>46508</v>
      </c>
      <c r="Z269" s="294">
        <v>5.8400000000000001E-2</v>
      </c>
      <c r="AA269" s="256">
        <f>('Encargos e Benefícios'!W268+'Gastos com Pessoal'!O269+'Gastos com Pessoal'!U269)*5.84%</f>
        <v>34.620421015756804</v>
      </c>
      <c r="AB269" s="256">
        <f>('Encargos e Benefícios'!X268+'Encargos e Benefícios'!Y268+'Encargos e Benefícios'!Z268+'Encargos e Benefícios'!AA268+'Encargos e Benefícios'!AB268+'Gastos com Pessoal'!P269+'Gastos com Pessoal'!V269)*5.84%</f>
        <v>20.427487645824002</v>
      </c>
      <c r="AC269" s="256">
        <f>('Encargos e Benefícios'!V268+'Gastos com Pessoal'!Q269+'Gastos com Pessoal'!W269)*5.84%</f>
        <v>7.7117445754675193</v>
      </c>
      <c r="AD269" s="256"/>
      <c r="AE269" s="293">
        <v>46874</v>
      </c>
      <c r="AF269" s="294">
        <v>5.8400000000000001E-2</v>
      </c>
      <c r="AG269" s="256">
        <f>('Encargos e Benefícios'!W268+'Gastos com Pessoal'!O269+'Gastos com Pessoal'!U269+'Gastos com Pessoal'!AA269)*5.84%</f>
        <v>36.642253603077002</v>
      </c>
      <c r="AH269" s="256">
        <f>('Encargos e Benefícios'!X268+'Encargos e Benefícios'!Y268+'Encargos e Benefícios'!Z268+'Encargos e Benefícios'!AA268+'Encargos e Benefícios'!AB268+'Gastos com Pessoal'!P269+'Gastos com Pessoal'!V269+'Gastos com Pessoal'!AB269)*5.84%</f>
        <v>21.620452924340121</v>
      </c>
      <c r="AI269" s="256">
        <f>('Encargos e Benefícios'!V268+'Gastos com Pessoal'!Q269+'Gastos com Pessoal'!W269+'Gastos com Pessoal'!AC269)*5.84%</f>
        <v>8.1621104586748228</v>
      </c>
      <c r="AJ269" s="257"/>
      <c r="AK269" s="296">
        <f>'Encargos e Benefícios'!D268</f>
        <v>1852.2</v>
      </c>
      <c r="AL269" s="296">
        <f>IF('Encargos e Benefícios'!C268=0,0,'Encargos e Benefícios'!U268/'Encargos e Benefícios'!C268)</f>
        <v>1480.0106999999996</v>
      </c>
      <c r="AM269" s="296">
        <f>IF('Encargos e Benefícios'!C268=0,0,'Encargos e Benefícios'!AC268/'Encargos e Benefícios'!C268)</f>
        <v>959.33000000000015</v>
      </c>
      <c r="AN269" s="297">
        <f>IF('Encargos e Benefícios'!C268=0,0,'Encargos e Benefícios'!AD268/'Encargos e Benefícios'!C268)</f>
        <v>4291.5406999999996</v>
      </c>
      <c r="AO269" s="188">
        <v>1786.2</v>
      </c>
      <c r="AP269" s="298">
        <v>1352.9</v>
      </c>
      <c r="AQ269" s="298">
        <v>2219.4899999999998</v>
      </c>
      <c r="AR269" s="299" t="s">
        <v>119</v>
      </c>
      <c r="AS269" s="188"/>
    </row>
    <row r="270" spans="1:45">
      <c r="A270" s="286">
        <v>264</v>
      </c>
      <c r="B270" s="81" t="str">
        <f>'Encargos e Benefícios'!B269</f>
        <v>Auxiliar Educacional</v>
      </c>
      <c r="C270" s="287">
        <f>'Encargos e Benefícios'!C269</f>
        <v>1</v>
      </c>
      <c r="D270" s="288">
        <v>30</v>
      </c>
      <c r="E270" s="300">
        <v>45658</v>
      </c>
      <c r="F270" s="301">
        <v>47058</v>
      </c>
      <c r="G270" s="293"/>
      <c r="H270" s="294"/>
      <c r="I270" s="256"/>
      <c r="J270" s="256"/>
      <c r="K270" s="256"/>
      <c r="L270" s="256"/>
      <c r="M270" s="293">
        <v>45778</v>
      </c>
      <c r="N270" s="294">
        <v>5.8400000000000001E-2</v>
      </c>
      <c r="O270" s="256">
        <f>'Encargos e Benefícios'!W269*5.84%</f>
        <v>30.905280000000001</v>
      </c>
      <c r="P270" s="256">
        <f>('Encargos e Benefícios'!X269+'Encargos e Benefícios'!Y269+'Encargos e Benefícios'!Z269+'Encargos e Benefícios'!AA269+'Encargos e Benefícios'!AB269)*5.84%</f>
        <v>18.235399999999998</v>
      </c>
      <c r="Q270" s="256">
        <f>'Encargos e Benefícios'!V269*5.84%</f>
        <v>6.8841919999999996</v>
      </c>
      <c r="R270" s="256"/>
      <c r="S270" s="293">
        <v>46143</v>
      </c>
      <c r="T270" s="294">
        <v>5.8400000000000001E-2</v>
      </c>
      <c r="U270" s="256">
        <f>('Encargos e Benefícios'!W269+'Gastos com Pessoal'!O270)*5.84%</f>
        <v>32.710148351999997</v>
      </c>
      <c r="V270" s="256">
        <f>('Encargos e Benefícios'!X269+'Encargos e Benefícios'!Y269+'Encargos e Benefícios'!Z269+'Encargos e Benefícios'!AA269+'Encargos e Benefícios'!AB269+'Gastos com Pessoal'!P270)*5.84%</f>
        <v>19.300347360000004</v>
      </c>
      <c r="W270" s="256">
        <f>('Encargos e Benefícios'!V269+'Gastos com Pessoal'!Q270)*5.84%</f>
        <v>7.2862288128000001</v>
      </c>
      <c r="X270" s="256"/>
      <c r="Y270" s="293">
        <v>46508</v>
      </c>
      <c r="Z270" s="294">
        <v>5.8400000000000001E-2</v>
      </c>
      <c r="AA270" s="256">
        <f>('Encargos e Benefícios'!W269+'Gastos com Pessoal'!O270+'Gastos com Pessoal'!U270)*5.84%</f>
        <v>34.620421015756804</v>
      </c>
      <c r="AB270" s="256">
        <f>('Encargos e Benefícios'!X269+'Encargos e Benefícios'!Y269+'Encargos e Benefícios'!Z269+'Encargos e Benefícios'!AA269+'Encargos e Benefícios'!AB269+'Gastos com Pessoal'!P270+'Gastos com Pessoal'!V270)*5.84%</f>
        <v>20.427487645824002</v>
      </c>
      <c r="AC270" s="256">
        <f>('Encargos e Benefícios'!V269+'Gastos com Pessoal'!Q270+'Gastos com Pessoal'!W270)*5.84%</f>
        <v>7.7117445754675193</v>
      </c>
      <c r="AD270" s="256"/>
      <c r="AE270" s="293">
        <v>46874</v>
      </c>
      <c r="AF270" s="294">
        <v>5.8400000000000001E-2</v>
      </c>
      <c r="AG270" s="256">
        <f>('Encargos e Benefícios'!W269+'Gastos com Pessoal'!O270+'Gastos com Pessoal'!U270+'Gastos com Pessoal'!AA270)*5.84%</f>
        <v>36.642253603077002</v>
      </c>
      <c r="AH270" s="256">
        <f>('Encargos e Benefícios'!X269+'Encargos e Benefícios'!Y269+'Encargos e Benefícios'!Z269+'Encargos e Benefícios'!AA269+'Encargos e Benefícios'!AB269+'Gastos com Pessoal'!P270+'Gastos com Pessoal'!V270+'Gastos com Pessoal'!AB270)*5.84%</f>
        <v>21.620452924340121</v>
      </c>
      <c r="AI270" s="256">
        <f>('Encargos e Benefícios'!V269+'Gastos com Pessoal'!Q270+'Gastos com Pessoal'!W270+'Gastos com Pessoal'!AC270)*5.84%</f>
        <v>8.1621104586748228</v>
      </c>
      <c r="AJ270" s="257"/>
      <c r="AK270" s="296">
        <f>'Encargos e Benefícios'!D269</f>
        <v>1737.89</v>
      </c>
      <c r="AL270" s="296">
        <f>IF('Encargos e Benefícios'!C269=0,0,'Encargos e Benefícios'!U269/'Encargos e Benefícios'!C269)</f>
        <v>1388.6706594444449</v>
      </c>
      <c r="AM270" s="296">
        <f>IF('Encargos e Benefícios'!C269=0,0,'Encargos e Benefícios'!AC269/'Encargos e Benefícios'!C269)</f>
        <v>959.33000000000015</v>
      </c>
      <c r="AN270" s="297">
        <f>IF('Encargos e Benefícios'!C269=0,0,'Encargos e Benefícios'!AD269/'Encargos e Benefícios'!C269)</f>
        <v>4085.8906594444452</v>
      </c>
      <c r="AO270" s="188">
        <v>1756.04</v>
      </c>
      <c r="AP270" s="298">
        <v>1400</v>
      </c>
      <c r="AQ270" s="298">
        <v>2112.08</v>
      </c>
      <c r="AR270" s="299" t="s">
        <v>119</v>
      </c>
      <c r="AS270" s="188"/>
    </row>
    <row r="271" spans="1:45">
      <c r="A271" s="286">
        <v>265</v>
      </c>
      <c r="B271" s="81" t="str">
        <f>'Encargos e Benefícios'!B270</f>
        <v>Auxiliar de Serviços Gerais</v>
      </c>
      <c r="C271" s="287">
        <f>'Encargos e Benefícios'!C270</f>
        <v>1</v>
      </c>
      <c r="D271" s="288">
        <v>30</v>
      </c>
      <c r="E271" s="300">
        <v>45658</v>
      </c>
      <c r="F271" s="301">
        <v>47058</v>
      </c>
      <c r="G271" s="293"/>
      <c r="H271" s="294"/>
      <c r="I271" s="256"/>
      <c r="J271" s="256"/>
      <c r="K271" s="256"/>
      <c r="L271" s="256"/>
      <c r="M271" s="293">
        <v>45778</v>
      </c>
      <c r="N271" s="294">
        <v>5.8400000000000001E-2</v>
      </c>
      <c r="O271" s="256">
        <f>'Encargos e Benefícios'!W270*5.84%</f>
        <v>30.905280000000001</v>
      </c>
      <c r="P271" s="256">
        <f>('Encargos e Benefícios'!X270+'Encargos e Benefícios'!Y270+'Encargos e Benefícios'!Z270+'Encargos e Benefícios'!AA270+'Encargos e Benefícios'!AB270)*5.84%</f>
        <v>18.235399999999998</v>
      </c>
      <c r="Q271" s="256">
        <f>'Encargos e Benefícios'!V270*5.84%</f>
        <v>6.8841919999999996</v>
      </c>
      <c r="R271" s="256"/>
      <c r="S271" s="293">
        <v>46143</v>
      </c>
      <c r="T271" s="294">
        <v>5.8400000000000001E-2</v>
      </c>
      <c r="U271" s="256">
        <f>('Encargos e Benefícios'!W270+'Gastos com Pessoal'!O271)*5.84%</f>
        <v>32.710148351999997</v>
      </c>
      <c r="V271" s="256">
        <f>('Encargos e Benefícios'!X270+'Encargos e Benefícios'!Y270+'Encargos e Benefícios'!Z270+'Encargos e Benefícios'!AA270+'Encargos e Benefícios'!AB270+'Gastos com Pessoal'!P271)*5.84%</f>
        <v>19.300347360000004</v>
      </c>
      <c r="W271" s="256">
        <f>('Encargos e Benefícios'!V270+'Gastos com Pessoal'!Q271)*5.84%</f>
        <v>7.2862288128000001</v>
      </c>
      <c r="X271" s="256"/>
      <c r="Y271" s="293">
        <v>46508</v>
      </c>
      <c r="Z271" s="294">
        <v>5.8400000000000001E-2</v>
      </c>
      <c r="AA271" s="256">
        <f>('Encargos e Benefícios'!W270+'Gastos com Pessoal'!O271+'Gastos com Pessoal'!U271)*5.84%</f>
        <v>34.620421015756804</v>
      </c>
      <c r="AB271" s="256">
        <f>('Encargos e Benefícios'!X270+'Encargos e Benefícios'!Y270+'Encargos e Benefícios'!Z270+'Encargos e Benefícios'!AA270+'Encargos e Benefícios'!AB270+'Gastos com Pessoal'!P271+'Gastos com Pessoal'!V271)*5.84%</f>
        <v>20.427487645824002</v>
      </c>
      <c r="AC271" s="256">
        <f>('Encargos e Benefícios'!V270+'Gastos com Pessoal'!Q271+'Gastos com Pessoal'!W271)*5.84%</f>
        <v>7.7117445754675193</v>
      </c>
      <c r="AD271" s="256"/>
      <c r="AE271" s="293">
        <v>46874</v>
      </c>
      <c r="AF271" s="294">
        <v>5.8400000000000001E-2</v>
      </c>
      <c r="AG271" s="256">
        <f>('Encargos e Benefícios'!W270+'Gastos com Pessoal'!O271+'Gastos com Pessoal'!U271+'Gastos com Pessoal'!AA271)*5.84%</f>
        <v>36.642253603077002</v>
      </c>
      <c r="AH271" s="256">
        <f>('Encargos e Benefícios'!X270+'Encargos e Benefícios'!Y270+'Encargos e Benefícios'!Z270+'Encargos e Benefícios'!AA270+'Encargos e Benefícios'!AB270+'Gastos com Pessoal'!P271+'Gastos com Pessoal'!V271+'Gastos com Pessoal'!AB271)*5.84%</f>
        <v>21.620452924340121</v>
      </c>
      <c r="AI271" s="256">
        <f>('Encargos e Benefícios'!V270+'Gastos com Pessoal'!Q271+'Gastos com Pessoal'!W271+'Gastos com Pessoal'!AC271)*5.84%</f>
        <v>8.1621104586748228</v>
      </c>
      <c r="AJ271" s="257"/>
      <c r="AK271" s="296">
        <f>'Encargos e Benefícios'!D270</f>
        <v>1465.88</v>
      </c>
      <c r="AL271" s="296">
        <f>IF('Encargos e Benefícios'!C270=0,0,'Encargos e Benefícios'!U270/'Encargos e Benefícios'!C270)</f>
        <v>1171.3195577777778</v>
      </c>
      <c r="AM271" s="296">
        <f>IF('Encargos e Benefícios'!C270=0,0,'Encargos e Benefícios'!AC270/'Encargos e Benefícios'!C270)</f>
        <v>959.33000000000015</v>
      </c>
      <c r="AN271" s="297">
        <f>IF('Encargos e Benefícios'!C270=0,0,'Encargos e Benefícios'!AD270/'Encargos e Benefícios'!C270)</f>
        <v>3596.5295577777779</v>
      </c>
      <c r="AO271" s="188">
        <v>1380.2</v>
      </c>
      <c r="AP271" s="298">
        <v>1320</v>
      </c>
      <c r="AQ271" s="298">
        <v>1440.4</v>
      </c>
      <c r="AR271" s="299" t="s">
        <v>119</v>
      </c>
      <c r="AS271" s="188"/>
    </row>
    <row r="272" spans="1:45">
      <c r="A272" s="286">
        <v>266</v>
      </c>
      <c r="B272" s="81" t="str">
        <f>'Encargos e Benefícios'!B271</f>
        <v>Motorista</v>
      </c>
      <c r="C272" s="287">
        <f>'Encargos e Benefícios'!C271</f>
        <v>1</v>
      </c>
      <c r="D272" s="288">
        <v>40</v>
      </c>
      <c r="E272" s="300">
        <v>45658</v>
      </c>
      <c r="F272" s="301">
        <v>47058</v>
      </c>
      <c r="G272" s="293"/>
      <c r="H272" s="294"/>
      <c r="I272" s="256"/>
      <c r="J272" s="256"/>
      <c r="K272" s="256"/>
      <c r="L272" s="256"/>
      <c r="M272" s="293">
        <v>45778</v>
      </c>
      <c r="N272" s="294">
        <v>5.8400000000000001E-2</v>
      </c>
      <c r="O272" s="256">
        <f>'Encargos e Benefícios'!W271*5.84%</f>
        <v>30.905280000000001</v>
      </c>
      <c r="P272" s="256">
        <f>('Encargos e Benefícios'!X271+'Encargos e Benefícios'!Y271+'Encargos e Benefícios'!Z271+'Encargos e Benefícios'!AA271+'Encargos e Benefícios'!AB271)*5.84%</f>
        <v>18.235399999999998</v>
      </c>
      <c r="Q272" s="256">
        <f>'Encargos e Benefícios'!V271*5.84%</f>
        <v>6.8841919999999996</v>
      </c>
      <c r="R272" s="256"/>
      <c r="S272" s="293">
        <v>46143</v>
      </c>
      <c r="T272" s="294">
        <v>5.8400000000000001E-2</v>
      </c>
      <c r="U272" s="256">
        <f>('Encargos e Benefícios'!W271+'Gastos com Pessoal'!O272)*5.84%</f>
        <v>32.710148351999997</v>
      </c>
      <c r="V272" s="256">
        <f>('Encargos e Benefícios'!X271+'Encargos e Benefícios'!Y271+'Encargos e Benefícios'!Z271+'Encargos e Benefícios'!AA271+'Encargos e Benefícios'!AB271+'Gastos com Pessoal'!P272)*5.84%</f>
        <v>19.300347360000004</v>
      </c>
      <c r="W272" s="256">
        <f>('Encargos e Benefícios'!V271+'Gastos com Pessoal'!Q272)*5.84%</f>
        <v>7.2862288128000001</v>
      </c>
      <c r="X272" s="256"/>
      <c r="Y272" s="293">
        <v>46508</v>
      </c>
      <c r="Z272" s="294">
        <v>5.8400000000000001E-2</v>
      </c>
      <c r="AA272" s="256">
        <f>('Encargos e Benefícios'!W271+'Gastos com Pessoal'!O272+'Gastos com Pessoal'!U272)*5.84%</f>
        <v>34.620421015756804</v>
      </c>
      <c r="AB272" s="256">
        <f>('Encargos e Benefícios'!X271+'Encargos e Benefícios'!Y271+'Encargos e Benefícios'!Z271+'Encargos e Benefícios'!AA271+'Encargos e Benefícios'!AB271+'Gastos com Pessoal'!P272+'Gastos com Pessoal'!V272)*5.84%</f>
        <v>20.427487645824002</v>
      </c>
      <c r="AC272" s="256">
        <f>('Encargos e Benefícios'!V271+'Gastos com Pessoal'!Q272+'Gastos com Pessoal'!W272)*5.84%</f>
        <v>7.7117445754675193</v>
      </c>
      <c r="AD272" s="256"/>
      <c r="AE272" s="293">
        <v>46874</v>
      </c>
      <c r="AF272" s="294">
        <v>5.8400000000000001E-2</v>
      </c>
      <c r="AG272" s="256">
        <f>('Encargos e Benefícios'!W271+'Gastos com Pessoal'!O272+'Gastos com Pessoal'!U272+'Gastos com Pessoal'!AA272)*5.84%</f>
        <v>36.642253603077002</v>
      </c>
      <c r="AH272" s="256">
        <f>('Encargos e Benefícios'!X271+'Encargos e Benefícios'!Y271+'Encargos e Benefícios'!Z271+'Encargos e Benefícios'!AA271+'Encargos e Benefícios'!AB271+'Gastos com Pessoal'!P272+'Gastos com Pessoal'!V272+'Gastos com Pessoal'!AB272)*5.84%</f>
        <v>21.620452924340121</v>
      </c>
      <c r="AI272" s="256">
        <f>('Encargos e Benefícios'!V271+'Gastos com Pessoal'!Q272+'Gastos com Pessoal'!W272+'Gastos com Pessoal'!AC272)*5.84%</f>
        <v>8.1621104586748228</v>
      </c>
      <c r="AJ272" s="257"/>
      <c r="AK272" s="296">
        <f>'Encargos e Benefícios'!D271</f>
        <v>1537.21</v>
      </c>
      <c r="AL272" s="296">
        <f>IF('Encargos e Benefícios'!C271=0,0,'Encargos e Benefícios'!U271/'Encargos e Benefícios'!C271)</f>
        <v>1228.3161905555557</v>
      </c>
      <c r="AM272" s="296">
        <f>IF('Encargos e Benefícios'!C271=0,0,'Encargos e Benefícios'!AC271/'Encargos e Benefícios'!C271)</f>
        <v>959.33000000000015</v>
      </c>
      <c r="AN272" s="297">
        <f>IF('Encargos e Benefícios'!C271=0,0,'Encargos e Benefícios'!AD271/'Encargos e Benefícios'!C271)</f>
        <v>3724.8561905555562</v>
      </c>
      <c r="AO272" s="188">
        <v>1676.09</v>
      </c>
      <c r="AP272" s="298">
        <v>1377.85</v>
      </c>
      <c r="AQ272" s="298">
        <v>1974.32</v>
      </c>
      <c r="AR272" s="299" t="s">
        <v>119</v>
      </c>
      <c r="AS272" s="188"/>
    </row>
    <row r="273" spans="1:45">
      <c r="A273" s="286">
        <v>267</v>
      </c>
      <c r="B273" s="81" t="str">
        <f>'Encargos e Benefícios'!B272</f>
        <v>Socioeducador - DC</v>
      </c>
      <c r="C273" s="287">
        <f>'Encargos e Benefícios'!C272</f>
        <v>2</v>
      </c>
      <c r="D273" s="288" t="s">
        <v>496</v>
      </c>
      <c r="E273" s="300">
        <v>45658</v>
      </c>
      <c r="F273" s="301">
        <v>47058</v>
      </c>
      <c r="G273" s="293"/>
      <c r="H273" s="294"/>
      <c r="I273" s="256"/>
      <c r="J273" s="256"/>
      <c r="K273" s="256"/>
      <c r="L273" s="256"/>
      <c r="M273" s="293">
        <v>45778</v>
      </c>
      <c r="N273" s="294">
        <v>5.8400000000000001E-2</v>
      </c>
      <c r="O273" s="256">
        <f>'Encargos e Benefícios'!W272*5.84%</f>
        <v>61.810560000000002</v>
      </c>
      <c r="P273" s="256">
        <f>('Encargos e Benefícios'!X272+'Encargos e Benefícios'!Y272+'Encargos e Benefícios'!Z272+'Encargos e Benefícios'!AA272+'Encargos e Benefícios'!AB272)*5.84%</f>
        <v>36.470799999999997</v>
      </c>
      <c r="Q273" s="256">
        <f>'Encargos e Benefícios'!V272*5.84%</f>
        <v>9.3872160000000004</v>
      </c>
      <c r="R273" s="256"/>
      <c r="S273" s="293">
        <v>46143</v>
      </c>
      <c r="T273" s="294">
        <v>5.8400000000000001E-2</v>
      </c>
      <c r="U273" s="256">
        <f>('Encargos e Benefícios'!W272+'Gastos com Pessoal'!O273)*5.84%</f>
        <v>65.420296703999995</v>
      </c>
      <c r="V273" s="256">
        <f>('Encargos e Benefícios'!X272+'Encargos e Benefícios'!Y272+'Encargos e Benefícios'!Z272+'Encargos e Benefícios'!AA272+'Encargos e Benefícios'!AB272+'Gastos com Pessoal'!P273)*5.84%</f>
        <v>38.600694720000007</v>
      </c>
      <c r="W273" s="256">
        <f>('Encargos e Benefícios'!V272+'Gastos com Pessoal'!Q273)*5.84%</f>
        <v>9.9354294143999997</v>
      </c>
      <c r="X273" s="256"/>
      <c r="Y273" s="293">
        <v>46508</v>
      </c>
      <c r="Z273" s="294">
        <v>5.8400000000000001E-2</v>
      </c>
      <c r="AA273" s="256">
        <f>('Encargos e Benefícios'!W272+'Gastos com Pessoal'!O273+'Gastos com Pessoal'!U273)*5.84%</f>
        <v>69.240842031513608</v>
      </c>
      <c r="AB273" s="256">
        <f>('Encargos e Benefícios'!X272+'Encargos e Benefícios'!Y272+'Encargos e Benefícios'!Z272+'Encargos e Benefícios'!AA272+'Encargos e Benefícios'!AB272+'Gastos com Pessoal'!P273+'Gastos com Pessoal'!V273)*5.84%</f>
        <v>40.854975291648003</v>
      </c>
      <c r="AC273" s="256">
        <f>('Encargos e Benefícios'!V272+'Gastos com Pessoal'!Q273+'Gastos com Pessoal'!W273)*5.84%</f>
        <v>10.515658492200961</v>
      </c>
      <c r="AD273" s="256"/>
      <c r="AE273" s="293">
        <v>46874</v>
      </c>
      <c r="AF273" s="294">
        <v>5.8400000000000001E-2</v>
      </c>
      <c r="AG273" s="256">
        <f>('Encargos e Benefícios'!W272+'Gastos com Pessoal'!O273+'Gastos com Pessoal'!U273+'Gastos com Pessoal'!AA273)*5.84%</f>
        <v>73.284507206154004</v>
      </c>
      <c r="AH273" s="256">
        <f>('Encargos e Benefícios'!X272+'Encargos e Benefícios'!Y272+'Encargos e Benefícios'!Z272+'Encargos e Benefícios'!AA272+'Encargos e Benefícios'!AB272+'Gastos com Pessoal'!P273+'Gastos com Pessoal'!V273+'Gastos com Pessoal'!AB273)*5.84%</f>
        <v>43.240905848680242</v>
      </c>
      <c r="AI273" s="256">
        <f>('Encargos e Benefícios'!V272+'Gastos com Pessoal'!Q273+'Gastos com Pessoal'!W273+'Gastos com Pessoal'!AC273)*5.84%</f>
        <v>11.129772948145497</v>
      </c>
      <c r="AJ273" s="257"/>
      <c r="AK273" s="296">
        <f>'Encargos e Benefícios'!D272</f>
        <v>2010.96</v>
      </c>
      <c r="AL273" s="296">
        <f>IF('Encargos e Benefícios'!C272=0,0,'Encargos e Benefícios'!U272/'Encargos e Benefícios'!C272)</f>
        <v>2942.4053904000002</v>
      </c>
      <c r="AM273" s="296">
        <f>IF('Encargos e Benefícios'!C272=0,0,'Encargos e Benefícios'!AC272/'Encargos e Benefícios'!C272)</f>
        <v>921.82000000000016</v>
      </c>
      <c r="AN273" s="297">
        <f>IF('Encargos e Benefícios'!C272=0,0,'Encargos e Benefícios'!AD272/'Encargos e Benefícios'!C272)</f>
        <v>5875.1853904</v>
      </c>
      <c r="AO273" s="188">
        <v>3219.15</v>
      </c>
      <c r="AP273" s="298">
        <v>1764.5</v>
      </c>
      <c r="AQ273" s="298">
        <v>4673.8</v>
      </c>
      <c r="AR273" s="299" t="s">
        <v>119</v>
      </c>
      <c r="AS273" s="188"/>
    </row>
    <row r="274" spans="1:45">
      <c r="A274" s="286">
        <v>268</v>
      </c>
      <c r="B274" s="81" t="str">
        <f>'Encargos e Benefícios'!B273</f>
        <v>Socioeducador - D</v>
      </c>
      <c r="C274" s="287">
        <f>'Encargos e Benefícios'!C273</f>
        <v>12</v>
      </c>
      <c r="D274" s="288" t="s">
        <v>496</v>
      </c>
      <c r="E274" s="300">
        <v>45658</v>
      </c>
      <c r="F274" s="301">
        <v>47058</v>
      </c>
      <c r="G274" s="293"/>
      <c r="H274" s="294"/>
      <c r="I274" s="256"/>
      <c r="J274" s="256"/>
      <c r="K274" s="256"/>
      <c r="L274" s="256"/>
      <c r="M274" s="293">
        <v>45778</v>
      </c>
      <c r="N274" s="294">
        <v>5.8400000000000001E-2</v>
      </c>
      <c r="O274" s="256">
        <f>'Encargos e Benefícios'!W273*5.84%</f>
        <v>370.86336000000006</v>
      </c>
      <c r="P274" s="256">
        <f>('Encargos e Benefícios'!X273+'Encargos e Benefícios'!Y273+'Encargos e Benefícios'!Z273+'Encargos e Benefícios'!AA273+'Encargos e Benefícios'!AB273)*5.84%</f>
        <v>218.82480000000001</v>
      </c>
      <c r="Q274" s="256">
        <f>'Encargos e Benefícios'!V273*5.84%</f>
        <v>56.323296000000006</v>
      </c>
      <c r="R274" s="256"/>
      <c r="S274" s="293">
        <v>46143</v>
      </c>
      <c r="T274" s="294">
        <v>5.8400000000000001E-2</v>
      </c>
      <c r="U274" s="256">
        <f>('Encargos e Benefícios'!W273+'Gastos com Pessoal'!O274)*5.84%</f>
        <v>392.52178022400005</v>
      </c>
      <c r="V274" s="256">
        <f>('Encargos e Benefícios'!X273+'Encargos e Benefícios'!Y273+'Encargos e Benefícios'!Z273+'Encargos e Benefícios'!AA273+'Encargos e Benefícios'!AB273+'Gastos com Pessoal'!P274)*5.84%</f>
        <v>231.60416831999999</v>
      </c>
      <c r="W274" s="256">
        <f>('Encargos e Benefícios'!V273+'Gastos com Pessoal'!Q274)*5.84%</f>
        <v>59.612576486400002</v>
      </c>
      <c r="X274" s="256"/>
      <c r="Y274" s="293">
        <v>46508</v>
      </c>
      <c r="Z274" s="294">
        <v>5.8400000000000001E-2</v>
      </c>
      <c r="AA274" s="256">
        <f>('Encargos e Benefícios'!W273+'Gastos com Pessoal'!O274+'Gastos com Pessoal'!U274)*5.84%</f>
        <v>415.44505218908165</v>
      </c>
      <c r="AB274" s="256">
        <f>('Encargos e Benefícios'!X273+'Encargos e Benefícios'!Y273+'Encargos e Benefícios'!Z273+'Encargos e Benefícios'!AA273+'Encargos e Benefícios'!AB273+'Gastos com Pessoal'!P274+'Gastos com Pessoal'!V274)*5.84%</f>
        <v>245.12985174988796</v>
      </c>
      <c r="AC274" s="256">
        <f>('Encargos e Benefícios'!V273+'Gastos com Pessoal'!Q274+'Gastos com Pessoal'!W274)*5.84%</f>
        <v>63.09395095320577</v>
      </c>
      <c r="AD274" s="256"/>
      <c r="AE274" s="293">
        <v>46874</v>
      </c>
      <c r="AF274" s="294">
        <v>5.8400000000000001E-2</v>
      </c>
      <c r="AG274" s="256">
        <f>('Encargos e Benefícios'!W273+'Gastos com Pessoal'!O274+'Gastos com Pessoal'!U274+'Gastos com Pessoal'!AA274)*5.84%</f>
        <v>439.70704323692399</v>
      </c>
      <c r="AH274" s="256">
        <f>('Encargos e Benefícios'!X273+'Encargos e Benefícios'!Y273+'Encargos e Benefícios'!Z273+'Encargos e Benefícios'!AA273+'Encargos e Benefícios'!AB273+'Gastos com Pessoal'!P274+'Gastos com Pessoal'!V274+'Gastos com Pessoal'!AB274)*5.84%</f>
        <v>259.44543509208142</v>
      </c>
      <c r="AI274" s="256">
        <f>('Encargos e Benefícios'!V273+'Gastos com Pessoal'!Q274+'Gastos com Pessoal'!W274+'Gastos com Pessoal'!AC274)*5.84%</f>
        <v>66.77863768887299</v>
      </c>
      <c r="AJ274" s="257"/>
      <c r="AK274" s="296">
        <f>'Encargos e Benefícios'!D273</f>
        <v>2010.96</v>
      </c>
      <c r="AL274" s="296">
        <f>IF('Encargos e Benefícios'!C273=0,0,'Encargos e Benefícios'!U273/'Encargos e Benefícios'!C273)</f>
        <v>2591.2415003999999</v>
      </c>
      <c r="AM274" s="296">
        <f>IF('Encargos e Benefícios'!C273=0,0,'Encargos e Benefícios'!AC273/'Encargos e Benefícios'!C273)</f>
        <v>921.82</v>
      </c>
      <c r="AN274" s="297">
        <f>IF('Encargos e Benefícios'!C273=0,0,'Encargos e Benefícios'!AD273/'Encargos e Benefícios'!C273)</f>
        <v>5524.0215003999992</v>
      </c>
      <c r="AO274" s="188">
        <v>3219.15</v>
      </c>
      <c r="AP274" s="298">
        <v>1764.5</v>
      </c>
      <c r="AQ274" s="298">
        <v>4673.8</v>
      </c>
      <c r="AR274" s="299" t="s">
        <v>119</v>
      </c>
      <c r="AS274" s="188"/>
    </row>
    <row r="275" spans="1:45">
      <c r="A275" s="286">
        <v>269</v>
      </c>
      <c r="B275" s="81" t="str">
        <f>'Encargos e Benefícios'!B274</f>
        <v>Socioeducador - NC</v>
      </c>
      <c r="C275" s="287">
        <f>'Encargos e Benefícios'!C274</f>
        <v>2</v>
      </c>
      <c r="D275" s="288" t="s">
        <v>496</v>
      </c>
      <c r="E275" s="300">
        <v>45658</v>
      </c>
      <c r="F275" s="301">
        <v>47058</v>
      </c>
      <c r="G275" s="293"/>
      <c r="H275" s="294"/>
      <c r="I275" s="256"/>
      <c r="J275" s="256"/>
      <c r="K275" s="256"/>
      <c r="L275" s="256"/>
      <c r="M275" s="293">
        <v>45778</v>
      </c>
      <c r="N275" s="294">
        <v>5.8400000000000001E-2</v>
      </c>
      <c r="O275" s="256">
        <f>'Encargos e Benefícios'!W274*5.84%</f>
        <v>61.810560000000002</v>
      </c>
      <c r="P275" s="256">
        <f>('Encargos e Benefícios'!X274+'Encargos e Benefícios'!Y274+'Encargos e Benefícios'!Z274+'Encargos e Benefícios'!AA274+'Encargos e Benefícios'!AB274)*5.84%</f>
        <v>36.470799999999997</v>
      </c>
      <c r="Q275" s="256">
        <f>'Encargos e Benefícios'!V274*5.84%</f>
        <v>9.3872160000000004</v>
      </c>
      <c r="R275" s="256"/>
      <c r="S275" s="293">
        <v>46143</v>
      </c>
      <c r="T275" s="294">
        <v>5.8400000000000001E-2</v>
      </c>
      <c r="U275" s="256">
        <f>('Encargos e Benefícios'!W274+'Gastos com Pessoal'!O275)*5.84%</f>
        <v>65.420296703999995</v>
      </c>
      <c r="V275" s="256">
        <f>('Encargos e Benefícios'!X274+'Encargos e Benefícios'!Y274+'Encargos e Benefícios'!Z274+'Encargos e Benefícios'!AA274+'Encargos e Benefícios'!AB274+'Gastos com Pessoal'!P275)*5.84%</f>
        <v>38.600694720000007</v>
      </c>
      <c r="W275" s="256">
        <f>('Encargos e Benefícios'!V274+'Gastos com Pessoal'!Q275)*5.84%</f>
        <v>9.9354294143999997</v>
      </c>
      <c r="X275" s="256"/>
      <c r="Y275" s="293">
        <v>46508</v>
      </c>
      <c r="Z275" s="294">
        <v>5.8400000000000001E-2</v>
      </c>
      <c r="AA275" s="256">
        <f>('Encargos e Benefícios'!W274+'Gastos com Pessoal'!O275+'Gastos com Pessoal'!U275)*5.84%</f>
        <v>69.240842031513608</v>
      </c>
      <c r="AB275" s="256">
        <f>('Encargos e Benefícios'!X274+'Encargos e Benefícios'!Y274+'Encargos e Benefícios'!Z274+'Encargos e Benefícios'!AA274+'Encargos e Benefícios'!AB274+'Gastos com Pessoal'!P275+'Gastos com Pessoal'!V275)*5.84%</f>
        <v>40.854975291648003</v>
      </c>
      <c r="AC275" s="256">
        <f>('Encargos e Benefícios'!V274+'Gastos com Pessoal'!Q275+'Gastos com Pessoal'!W275)*5.84%</f>
        <v>10.515658492200961</v>
      </c>
      <c r="AD275" s="256"/>
      <c r="AE275" s="293">
        <v>46874</v>
      </c>
      <c r="AF275" s="294">
        <v>5.8400000000000001E-2</v>
      </c>
      <c r="AG275" s="256">
        <f>('Encargos e Benefícios'!W274+'Gastos com Pessoal'!O275+'Gastos com Pessoal'!U275+'Gastos com Pessoal'!AA275)*5.84%</f>
        <v>73.284507206154004</v>
      </c>
      <c r="AH275" s="256">
        <f>('Encargos e Benefícios'!X274+'Encargos e Benefícios'!Y274+'Encargos e Benefícios'!Z274+'Encargos e Benefícios'!AA274+'Encargos e Benefícios'!AB274+'Gastos com Pessoal'!P275+'Gastos com Pessoal'!V275+'Gastos com Pessoal'!AB275)*5.84%</f>
        <v>43.240905848680242</v>
      </c>
      <c r="AI275" s="256">
        <f>('Encargos e Benefícios'!V274+'Gastos com Pessoal'!Q275+'Gastos com Pessoal'!W275+'Gastos com Pessoal'!AC275)*5.84%</f>
        <v>11.129772948145497</v>
      </c>
      <c r="AJ275" s="257"/>
      <c r="AK275" s="296">
        <f>'Encargos e Benefícios'!D274</f>
        <v>2010.96</v>
      </c>
      <c r="AL275" s="296">
        <f>IF('Encargos e Benefícios'!C274=0,0,'Encargos e Benefícios'!U274/'Encargos e Benefícios'!C274)</f>
        <v>3553.5688062933345</v>
      </c>
      <c r="AM275" s="296">
        <f>IF('Encargos e Benefícios'!C274=0,0,'Encargos e Benefícios'!AC274/'Encargos e Benefícios'!C274)</f>
        <v>921.82000000000016</v>
      </c>
      <c r="AN275" s="297">
        <f>IF('Encargos e Benefícios'!C274=0,0,'Encargos e Benefícios'!AD274/'Encargos e Benefícios'!C274)</f>
        <v>6486.3488062933338</v>
      </c>
      <c r="AO275" s="188">
        <v>3219.15</v>
      </c>
      <c r="AP275" s="298">
        <v>1764.5</v>
      </c>
      <c r="AQ275" s="298">
        <v>4673.8</v>
      </c>
      <c r="AR275" s="299" t="s">
        <v>119</v>
      </c>
      <c r="AS275" s="188"/>
    </row>
    <row r="276" spans="1:45" ht="13" thickBot="1">
      <c r="A276" s="286">
        <v>270</v>
      </c>
      <c r="B276" s="81" t="str">
        <f>'Encargos e Benefícios'!B275</f>
        <v>Socioeducador - N</v>
      </c>
      <c r="C276" s="287">
        <f>'Encargos e Benefícios'!C275</f>
        <v>6</v>
      </c>
      <c r="D276" s="288" t="s">
        <v>496</v>
      </c>
      <c r="E276" s="300">
        <v>45658</v>
      </c>
      <c r="F276" s="301">
        <v>47058</v>
      </c>
      <c r="G276" s="293"/>
      <c r="H276" s="294"/>
      <c r="I276" s="256"/>
      <c r="J276" s="256"/>
      <c r="K276" s="256"/>
      <c r="L276" s="256"/>
      <c r="M276" s="293">
        <v>45778</v>
      </c>
      <c r="N276" s="294">
        <v>5.8400000000000001E-2</v>
      </c>
      <c r="O276" s="256">
        <f>'Encargos e Benefícios'!W275*5.84%</f>
        <v>185.43168000000003</v>
      </c>
      <c r="P276" s="256">
        <f>('Encargos e Benefícios'!X275+'Encargos e Benefícios'!Y275+'Encargos e Benefícios'!Z275+'Encargos e Benefícios'!AA275+'Encargos e Benefícios'!AB275)*5.84%</f>
        <v>109.41240000000001</v>
      </c>
      <c r="Q276" s="256">
        <f>'Encargos e Benefícios'!V275*5.84%</f>
        <v>28.161648000000003</v>
      </c>
      <c r="R276" s="256"/>
      <c r="S276" s="293">
        <v>46143</v>
      </c>
      <c r="T276" s="294">
        <v>5.8400000000000001E-2</v>
      </c>
      <c r="U276" s="256">
        <f>('Encargos e Benefícios'!W275+'Gastos com Pessoal'!O276)*5.84%</f>
        <v>196.26089011200003</v>
      </c>
      <c r="V276" s="256">
        <f>('Encargos e Benefícios'!X275+'Encargos e Benefícios'!Y275+'Encargos e Benefícios'!Z275+'Encargos e Benefícios'!AA275+'Encargos e Benefícios'!AB275+'Gastos com Pessoal'!P276)*5.84%</f>
        <v>115.80208415999999</v>
      </c>
      <c r="W276" s="256">
        <f>('Encargos e Benefícios'!V275+'Gastos com Pessoal'!Q276)*5.84%</f>
        <v>29.806288243200001</v>
      </c>
      <c r="X276" s="256"/>
      <c r="Y276" s="293">
        <v>46508</v>
      </c>
      <c r="Z276" s="294">
        <v>5.8400000000000001E-2</v>
      </c>
      <c r="AA276" s="256">
        <f>('Encargos e Benefícios'!W275+'Gastos com Pessoal'!O276+'Gastos com Pessoal'!U276)*5.84%</f>
        <v>207.72252609454083</v>
      </c>
      <c r="AB276" s="256">
        <f>('Encargos e Benefícios'!X275+'Encargos e Benefícios'!Y275+'Encargos e Benefícios'!Z275+'Encargos e Benefícios'!AA275+'Encargos e Benefícios'!AB275+'Gastos com Pessoal'!P276+'Gastos com Pessoal'!V276)*5.84%</f>
        <v>122.56492587494398</v>
      </c>
      <c r="AC276" s="256">
        <f>('Encargos e Benefícios'!V275+'Gastos com Pessoal'!Q276+'Gastos com Pessoal'!W276)*5.84%</f>
        <v>31.546975476602885</v>
      </c>
      <c r="AD276" s="256"/>
      <c r="AE276" s="293">
        <v>46874</v>
      </c>
      <c r="AF276" s="294">
        <v>5.8400000000000001E-2</v>
      </c>
      <c r="AG276" s="256">
        <f>('Encargos e Benefícios'!W275+'Gastos com Pessoal'!O276+'Gastos com Pessoal'!U276+'Gastos com Pessoal'!AA276)*5.84%</f>
        <v>219.853521618462</v>
      </c>
      <c r="AH276" s="256">
        <f>('Encargos e Benefícios'!X275+'Encargos e Benefícios'!Y275+'Encargos e Benefícios'!Z275+'Encargos e Benefícios'!AA275+'Encargos e Benefícios'!AB275+'Gastos com Pessoal'!P276+'Gastos com Pessoal'!V276+'Gastos com Pessoal'!AB276)*5.84%</f>
        <v>129.72271754604071</v>
      </c>
      <c r="AI276" s="256">
        <f>('Encargos e Benefícios'!V275+'Gastos com Pessoal'!Q276+'Gastos com Pessoal'!W276+'Gastos com Pessoal'!AC276)*5.84%</f>
        <v>33.389318844436495</v>
      </c>
      <c r="AJ276" s="257"/>
      <c r="AK276" s="296">
        <f>'Encargos e Benefícios'!D275</f>
        <v>2010.96</v>
      </c>
      <c r="AL276" s="296">
        <f>IF('Encargos e Benefícios'!C275=0,0,'Encargos e Benefícios'!U275/'Encargos e Benefícios'!C275)</f>
        <v>3202.4049162933329</v>
      </c>
      <c r="AM276" s="296">
        <f>IF('Encargos e Benefícios'!C275=0,0,'Encargos e Benefícios'!AC275/'Encargos e Benefícios'!C275)</f>
        <v>921.82</v>
      </c>
      <c r="AN276" s="297">
        <f>IF('Encargos e Benefícios'!C275=0,0,'Encargos e Benefícios'!AD275/'Encargos e Benefícios'!C275)</f>
        <v>6135.1849162933322</v>
      </c>
      <c r="AO276" s="188">
        <v>3219.15</v>
      </c>
      <c r="AP276" s="298">
        <v>1764.5</v>
      </c>
      <c r="AQ276" s="298">
        <v>4673.8</v>
      </c>
      <c r="AR276" s="299" t="s">
        <v>119</v>
      </c>
      <c r="AS276" s="188"/>
    </row>
    <row r="277" spans="1:45">
      <c r="A277" s="286">
        <v>271</v>
      </c>
      <c r="B277" s="81" t="str">
        <f>'Encargos e Benefícios'!B276</f>
        <v>Diretor Geral de Unidade Socioeducativa</v>
      </c>
      <c r="C277" s="287">
        <f>'Encargos e Benefícios'!C276</f>
        <v>1</v>
      </c>
      <c r="D277" s="288">
        <v>40</v>
      </c>
      <c r="E277" s="289">
        <v>45658</v>
      </c>
      <c r="F277" s="290">
        <v>47058</v>
      </c>
      <c r="G277" s="293"/>
      <c r="H277" s="294"/>
      <c r="I277" s="256"/>
      <c r="J277" s="256"/>
      <c r="K277" s="256"/>
      <c r="L277" s="256"/>
      <c r="M277" s="293">
        <v>45778</v>
      </c>
      <c r="N277" s="294">
        <v>5.8400000000000001E-2</v>
      </c>
      <c r="O277" s="256">
        <f>'Encargos e Benefícios'!W276*5.84%</f>
        <v>30.905280000000001</v>
      </c>
      <c r="P277" s="256">
        <f>('Encargos e Benefícios'!X276+'Encargos e Benefícios'!Y276+'Encargos e Benefícios'!Z276+'Encargos e Benefícios'!AA276+'Encargos e Benefícios'!AB276)*5.84%</f>
        <v>18.235399999999998</v>
      </c>
      <c r="Q277" s="256">
        <f>'Encargos e Benefícios'!V276*5.84%</f>
        <v>0</v>
      </c>
      <c r="R277" s="256"/>
      <c r="S277" s="293">
        <v>46143</v>
      </c>
      <c r="T277" s="294">
        <v>5.8400000000000001E-2</v>
      </c>
      <c r="U277" s="256">
        <f>('Encargos e Benefícios'!W276+'Gastos com Pessoal'!O277)*5.84%</f>
        <v>32.710148351999997</v>
      </c>
      <c r="V277" s="256">
        <f>('Encargos e Benefícios'!X276+'Encargos e Benefícios'!Y276+'Encargos e Benefícios'!Z276+'Encargos e Benefícios'!AA276+'Encargos e Benefícios'!AB276+'Gastos com Pessoal'!P277)*5.84%</f>
        <v>19.300347360000004</v>
      </c>
      <c r="W277" s="256">
        <f>('Encargos e Benefícios'!V276+'Gastos com Pessoal'!Q277)*5.84%</f>
        <v>0</v>
      </c>
      <c r="X277" s="256"/>
      <c r="Y277" s="293">
        <v>46508</v>
      </c>
      <c r="Z277" s="294">
        <v>5.8400000000000001E-2</v>
      </c>
      <c r="AA277" s="256">
        <f>('Encargos e Benefícios'!W276+'Gastos com Pessoal'!O277+'Gastos com Pessoal'!U277)*5.84%</f>
        <v>34.620421015756804</v>
      </c>
      <c r="AB277" s="256">
        <f>('Encargos e Benefícios'!X276+'Encargos e Benefícios'!Y276+'Encargos e Benefícios'!Z276+'Encargos e Benefícios'!AA276+'Encargos e Benefícios'!AB276+'Gastos com Pessoal'!P277+'Gastos com Pessoal'!V277)*5.84%</f>
        <v>20.427487645824002</v>
      </c>
      <c r="AC277" s="256">
        <f>('Encargos e Benefícios'!V276+'Gastos com Pessoal'!Q277+'Gastos com Pessoal'!W277)*5.84%</f>
        <v>0</v>
      </c>
      <c r="AD277" s="256"/>
      <c r="AE277" s="293">
        <v>46874</v>
      </c>
      <c r="AF277" s="294">
        <v>5.8400000000000001E-2</v>
      </c>
      <c r="AG277" s="256">
        <f>('Encargos e Benefícios'!W276+'Gastos com Pessoal'!O277+'Gastos com Pessoal'!U277+'Gastos com Pessoal'!AA277)*5.84%</f>
        <v>36.642253603077002</v>
      </c>
      <c r="AH277" s="256">
        <f>('Encargos e Benefícios'!X276+'Encargos e Benefícios'!Y276+'Encargos e Benefícios'!Z276+'Encargos e Benefícios'!AA276+'Encargos e Benefícios'!AB276+'Gastos com Pessoal'!P277+'Gastos com Pessoal'!V277+'Gastos com Pessoal'!AB277)*5.84%</f>
        <v>21.620452924340121</v>
      </c>
      <c r="AI277" s="256">
        <f>('Encargos e Benefícios'!V276+'Gastos com Pessoal'!Q277+'Gastos com Pessoal'!W277+'Gastos com Pessoal'!AC277)*5.84%</f>
        <v>0</v>
      </c>
      <c r="AJ277" s="257"/>
      <c r="AK277" s="296">
        <f>'Encargos e Benefícios'!D276</f>
        <v>6879.6</v>
      </c>
      <c r="AL277" s="296">
        <f>IF('Encargos e Benefícios'!C276=0,0,'Encargos e Benefícios'!U276/'Encargos e Benefícios'!C276)</f>
        <v>5400.8682000000008</v>
      </c>
      <c r="AM277" s="296">
        <f>IF('Encargos e Benefícios'!C276=0,0,'Encargos e Benefícios'!AC276/'Encargos e Benefícios'!C276)</f>
        <v>841.45</v>
      </c>
      <c r="AN277" s="297">
        <f>IF('Encargos e Benefícios'!C276=0,0,'Encargos e Benefícios'!AD276/'Encargos e Benefícios'!C276)</f>
        <v>13121.918200000002</v>
      </c>
      <c r="AO277" s="188">
        <v>6052.24</v>
      </c>
      <c r="AP277" s="298">
        <v>4239.6899999999996</v>
      </c>
      <c r="AQ277" s="298">
        <v>7864.78</v>
      </c>
      <c r="AR277" s="299" t="s">
        <v>120</v>
      </c>
      <c r="AS277" s="188"/>
    </row>
    <row r="278" spans="1:45">
      <c r="A278" s="286">
        <v>272</v>
      </c>
      <c r="B278" s="81" t="str">
        <f>'Encargos e Benefícios'!B277</f>
        <v>Subdiretor de Segurança</v>
      </c>
      <c r="C278" s="287">
        <f>'Encargos e Benefícios'!C277</f>
        <v>1</v>
      </c>
      <c r="D278" s="288">
        <v>40</v>
      </c>
      <c r="E278" s="300">
        <v>45658</v>
      </c>
      <c r="F278" s="301">
        <v>47058</v>
      </c>
      <c r="G278" s="293"/>
      <c r="H278" s="294"/>
      <c r="I278" s="256"/>
      <c r="J278" s="256"/>
      <c r="K278" s="256"/>
      <c r="L278" s="256"/>
      <c r="M278" s="293">
        <v>45778</v>
      </c>
      <c r="N278" s="294">
        <v>5.8400000000000001E-2</v>
      </c>
      <c r="O278" s="256">
        <f>'Encargos e Benefícios'!W277*5.84%</f>
        <v>30.905280000000001</v>
      </c>
      <c r="P278" s="256">
        <f>('Encargos e Benefícios'!X277+'Encargos e Benefícios'!Y277+'Encargos e Benefícios'!Z277+'Encargos e Benefícios'!AA277+'Encargos e Benefícios'!AB277)*5.84%</f>
        <v>18.235399999999998</v>
      </c>
      <c r="Q278" s="256">
        <f>'Encargos e Benefícios'!V277*5.84%</f>
        <v>0</v>
      </c>
      <c r="R278" s="256"/>
      <c r="S278" s="293">
        <v>46143</v>
      </c>
      <c r="T278" s="294">
        <v>5.8400000000000001E-2</v>
      </c>
      <c r="U278" s="256">
        <f>('Encargos e Benefícios'!W277+'Gastos com Pessoal'!O278)*5.84%</f>
        <v>32.710148351999997</v>
      </c>
      <c r="V278" s="256">
        <f>('Encargos e Benefícios'!X277+'Encargos e Benefícios'!Y277+'Encargos e Benefícios'!Z277+'Encargos e Benefícios'!AA277+'Encargos e Benefícios'!AB277+'Gastos com Pessoal'!P278)*5.84%</f>
        <v>19.300347360000004</v>
      </c>
      <c r="W278" s="256">
        <f>('Encargos e Benefícios'!V277+'Gastos com Pessoal'!Q278)*5.84%</f>
        <v>0</v>
      </c>
      <c r="X278" s="256"/>
      <c r="Y278" s="293">
        <v>46508</v>
      </c>
      <c r="Z278" s="294">
        <v>5.8400000000000001E-2</v>
      </c>
      <c r="AA278" s="256">
        <f>('Encargos e Benefícios'!W277+'Gastos com Pessoal'!O278+'Gastos com Pessoal'!U278)*5.84%</f>
        <v>34.620421015756804</v>
      </c>
      <c r="AB278" s="256">
        <f>('Encargos e Benefícios'!X277+'Encargos e Benefícios'!Y277+'Encargos e Benefícios'!Z277+'Encargos e Benefícios'!AA277+'Encargos e Benefícios'!AB277+'Gastos com Pessoal'!P278+'Gastos com Pessoal'!V278)*5.84%</f>
        <v>20.427487645824002</v>
      </c>
      <c r="AC278" s="256">
        <f>('Encargos e Benefícios'!V277+'Gastos com Pessoal'!Q278+'Gastos com Pessoal'!W278)*5.84%</f>
        <v>0</v>
      </c>
      <c r="AD278" s="256"/>
      <c r="AE278" s="293">
        <v>46874</v>
      </c>
      <c r="AF278" s="294">
        <v>5.8400000000000001E-2</v>
      </c>
      <c r="AG278" s="256">
        <f>('Encargos e Benefícios'!W277+'Gastos com Pessoal'!O278+'Gastos com Pessoal'!U278+'Gastos com Pessoal'!AA278)*5.84%</f>
        <v>36.642253603077002</v>
      </c>
      <c r="AH278" s="256">
        <f>('Encargos e Benefícios'!X277+'Encargos e Benefícios'!Y277+'Encargos e Benefícios'!Z277+'Encargos e Benefícios'!AA277+'Encargos e Benefícios'!AB277+'Gastos com Pessoal'!P278+'Gastos com Pessoal'!V278+'Gastos com Pessoal'!AB278)*5.84%</f>
        <v>21.620452924340121</v>
      </c>
      <c r="AI278" s="256">
        <f>('Encargos e Benefícios'!V277+'Gastos com Pessoal'!Q278+'Gastos com Pessoal'!W278+'Gastos com Pessoal'!AC278)*5.84%</f>
        <v>0</v>
      </c>
      <c r="AJ278" s="257"/>
      <c r="AK278" s="296">
        <f>'Encargos e Benefícios'!D277</f>
        <v>3993.98</v>
      </c>
      <c r="AL278" s="296">
        <f>IF('Encargos e Benefícios'!C277=0,0,'Encargos e Benefícios'!U277/'Encargos e Benefícios'!C277)</f>
        <v>4659.1662746111106</v>
      </c>
      <c r="AM278" s="296">
        <f>IF('Encargos e Benefícios'!C277=0,0,'Encargos e Benefícios'!AC277/'Encargos e Benefícios'!C277)</f>
        <v>841.45</v>
      </c>
      <c r="AN278" s="297">
        <f>IF('Encargos e Benefícios'!C277=0,0,'Encargos e Benefícios'!AD277/'Encargos e Benefícios'!C277)</f>
        <v>9494.5962746111109</v>
      </c>
      <c r="AO278" s="188">
        <v>4968.99</v>
      </c>
      <c r="AP278" s="298">
        <v>3773.6</v>
      </c>
      <c r="AQ278" s="298">
        <v>6164.38</v>
      </c>
      <c r="AR278" s="299" t="s">
        <v>120</v>
      </c>
      <c r="AS278" s="188"/>
    </row>
    <row r="279" spans="1:45">
      <c r="A279" s="286">
        <v>273</v>
      </c>
      <c r="B279" s="81" t="str">
        <f>'Encargos e Benefícios'!B278</f>
        <v>Advogado</v>
      </c>
      <c r="C279" s="287">
        <f>'Encargos e Benefícios'!C278</f>
        <v>1</v>
      </c>
      <c r="D279" s="288">
        <v>30</v>
      </c>
      <c r="E279" s="300">
        <v>45658</v>
      </c>
      <c r="F279" s="301">
        <v>47058</v>
      </c>
      <c r="G279" s="293"/>
      <c r="H279" s="294"/>
      <c r="I279" s="256"/>
      <c r="J279" s="256"/>
      <c r="K279" s="256"/>
      <c r="L279" s="256"/>
      <c r="M279" s="293">
        <v>45778</v>
      </c>
      <c r="N279" s="294">
        <v>5.8400000000000001E-2</v>
      </c>
      <c r="O279" s="256">
        <f>'Encargos e Benefícios'!W278*5.84%</f>
        <v>30.905280000000001</v>
      </c>
      <c r="P279" s="256">
        <f>('Encargos e Benefícios'!X278+'Encargos e Benefícios'!Y278+'Encargos e Benefícios'!Z278+'Encargos e Benefícios'!AA278+'Encargos e Benefícios'!AB278)*5.84%</f>
        <v>18.235399999999998</v>
      </c>
      <c r="Q279" s="256">
        <f>'Encargos e Benefícios'!V278*5.84%</f>
        <v>5.7967840000000006</v>
      </c>
      <c r="R279" s="256"/>
      <c r="S279" s="293">
        <v>46143</v>
      </c>
      <c r="T279" s="294">
        <v>5.8400000000000001E-2</v>
      </c>
      <c r="U279" s="256">
        <f>('Encargos e Benefícios'!W278+'Gastos com Pessoal'!O279)*5.84%</f>
        <v>32.710148351999997</v>
      </c>
      <c r="V279" s="256">
        <f>('Encargos e Benefícios'!X278+'Encargos e Benefícios'!Y278+'Encargos e Benefícios'!Z278+'Encargos e Benefícios'!AA278+'Encargos e Benefícios'!AB278+'Gastos com Pessoal'!P279)*5.84%</f>
        <v>19.300347360000004</v>
      </c>
      <c r="W279" s="256">
        <f>('Encargos e Benefícios'!V278+'Gastos com Pessoal'!Q279)*5.84%</f>
        <v>6.1353161856000007</v>
      </c>
      <c r="X279" s="256"/>
      <c r="Y279" s="293">
        <v>46508</v>
      </c>
      <c r="Z279" s="294">
        <v>5.8400000000000001E-2</v>
      </c>
      <c r="AA279" s="256">
        <f>('Encargos e Benefícios'!W278+'Gastos com Pessoal'!O279+'Gastos com Pessoal'!U279)*5.84%</f>
        <v>34.620421015756804</v>
      </c>
      <c r="AB279" s="256">
        <f>('Encargos e Benefícios'!X278+'Encargos e Benefícios'!Y278+'Encargos e Benefícios'!Z278+'Encargos e Benefícios'!AA278+'Encargos e Benefícios'!AB278+'Gastos com Pessoal'!P279+'Gastos com Pessoal'!V279)*5.84%</f>
        <v>20.427487645824002</v>
      </c>
      <c r="AC279" s="256">
        <f>('Encargos e Benefícios'!V278+'Gastos com Pessoal'!Q279+'Gastos com Pessoal'!W279)*5.84%</f>
        <v>6.493618650839041</v>
      </c>
      <c r="AD279" s="256"/>
      <c r="AE279" s="293">
        <v>46874</v>
      </c>
      <c r="AF279" s="294">
        <v>5.8400000000000001E-2</v>
      </c>
      <c r="AG279" s="256">
        <f>('Encargos e Benefícios'!W278+'Gastos com Pessoal'!O279+'Gastos com Pessoal'!U279+'Gastos com Pessoal'!AA279)*5.84%</f>
        <v>36.642253603077002</v>
      </c>
      <c r="AH279" s="256">
        <f>('Encargos e Benefícios'!X278+'Encargos e Benefícios'!Y278+'Encargos e Benefícios'!Z278+'Encargos e Benefícios'!AA278+'Encargos e Benefícios'!AB278+'Gastos com Pessoal'!P279+'Gastos com Pessoal'!V279+'Gastos com Pessoal'!AB279)*5.84%</f>
        <v>21.620452924340121</v>
      </c>
      <c r="AI279" s="256">
        <f>('Encargos e Benefícios'!V278+'Gastos com Pessoal'!Q279+'Gastos com Pessoal'!W279+'Gastos com Pessoal'!AC279)*5.84%</f>
        <v>6.8728459800480408</v>
      </c>
      <c r="AJ279" s="257"/>
      <c r="AK279" s="296">
        <f>'Encargos e Benefícios'!D278</f>
        <v>2751.84</v>
      </c>
      <c r="AL279" s="296">
        <f>IF('Encargos e Benefícios'!C278=0,0,'Encargos e Benefícios'!U278/'Encargos e Benefícios'!C278)</f>
        <v>2198.8730400000004</v>
      </c>
      <c r="AM279" s="296">
        <f>IF('Encargos e Benefícios'!C278=0,0,'Encargos e Benefícios'!AC278/'Encargos e Benefícios'!C278)</f>
        <v>940.71</v>
      </c>
      <c r="AN279" s="297">
        <f>IF('Encargos e Benefícios'!C278=0,0,'Encargos e Benefícios'!AD278/'Encargos e Benefícios'!C278)</f>
        <v>5891.4230400000006</v>
      </c>
      <c r="AO279" s="188">
        <v>2365.86</v>
      </c>
      <c r="AP279" s="298">
        <v>1700</v>
      </c>
      <c r="AQ279" s="298">
        <v>3031.72</v>
      </c>
      <c r="AR279" s="299" t="s">
        <v>120</v>
      </c>
      <c r="AS279" s="188"/>
    </row>
    <row r="280" spans="1:45">
      <c r="A280" s="286">
        <v>274</v>
      </c>
      <c r="B280" s="81" t="str">
        <f>'Encargos e Benefícios'!B279</f>
        <v>Assistente Social</v>
      </c>
      <c r="C280" s="287">
        <f>'Encargos e Benefícios'!C279</f>
        <v>1</v>
      </c>
      <c r="D280" s="288">
        <v>30</v>
      </c>
      <c r="E280" s="300">
        <v>45658</v>
      </c>
      <c r="F280" s="301">
        <v>47058</v>
      </c>
      <c r="G280" s="293"/>
      <c r="H280" s="294"/>
      <c r="I280" s="256"/>
      <c r="J280" s="256"/>
      <c r="K280" s="256"/>
      <c r="L280" s="256"/>
      <c r="M280" s="293">
        <v>45778</v>
      </c>
      <c r="N280" s="294">
        <v>5.8400000000000001E-2</v>
      </c>
      <c r="O280" s="256">
        <f>'Encargos e Benefícios'!W279*5.84%</f>
        <v>30.905280000000001</v>
      </c>
      <c r="P280" s="256">
        <f>('Encargos e Benefícios'!X279+'Encargos e Benefícios'!Y279+'Encargos e Benefícios'!Z279+'Encargos e Benefícios'!AA279+'Encargos e Benefícios'!AB279)*5.84%</f>
        <v>18.235399999999998</v>
      </c>
      <c r="Q280" s="256">
        <f>'Encargos e Benefícios'!V279*5.84%</f>
        <v>5.7967840000000006</v>
      </c>
      <c r="R280" s="256"/>
      <c r="S280" s="293">
        <v>46143</v>
      </c>
      <c r="T280" s="294">
        <v>5.8400000000000001E-2</v>
      </c>
      <c r="U280" s="256">
        <f>('Encargos e Benefícios'!W279+'Gastos com Pessoal'!O280)*5.84%</f>
        <v>32.710148351999997</v>
      </c>
      <c r="V280" s="256">
        <f>('Encargos e Benefícios'!X279+'Encargos e Benefícios'!Y279+'Encargos e Benefícios'!Z279+'Encargos e Benefícios'!AA279+'Encargos e Benefícios'!AB279+'Gastos com Pessoal'!P280)*5.84%</f>
        <v>19.300347360000004</v>
      </c>
      <c r="W280" s="256">
        <f>('Encargos e Benefícios'!V279+'Gastos com Pessoal'!Q280)*5.84%</f>
        <v>6.1353161856000007</v>
      </c>
      <c r="X280" s="256"/>
      <c r="Y280" s="293">
        <v>46508</v>
      </c>
      <c r="Z280" s="294">
        <v>5.8400000000000001E-2</v>
      </c>
      <c r="AA280" s="256">
        <f>('Encargos e Benefícios'!W279+'Gastos com Pessoal'!O280+'Gastos com Pessoal'!U280)*5.84%</f>
        <v>34.620421015756804</v>
      </c>
      <c r="AB280" s="256">
        <f>('Encargos e Benefícios'!X279+'Encargos e Benefícios'!Y279+'Encargos e Benefícios'!Z279+'Encargos e Benefícios'!AA279+'Encargos e Benefícios'!AB279+'Gastos com Pessoal'!P280+'Gastos com Pessoal'!V280)*5.84%</f>
        <v>20.427487645824002</v>
      </c>
      <c r="AC280" s="256">
        <f>('Encargos e Benefícios'!V279+'Gastos com Pessoal'!Q280+'Gastos com Pessoal'!W280)*5.84%</f>
        <v>6.493618650839041</v>
      </c>
      <c r="AD280" s="256"/>
      <c r="AE280" s="293">
        <v>46874</v>
      </c>
      <c r="AF280" s="294">
        <v>5.8400000000000001E-2</v>
      </c>
      <c r="AG280" s="256">
        <f>('Encargos e Benefícios'!W279+'Gastos com Pessoal'!O280+'Gastos com Pessoal'!U280+'Gastos com Pessoal'!AA280)*5.84%</f>
        <v>36.642253603077002</v>
      </c>
      <c r="AH280" s="256">
        <f>('Encargos e Benefícios'!X279+'Encargos e Benefícios'!Y279+'Encargos e Benefícios'!Z279+'Encargos e Benefícios'!AA279+'Encargos e Benefícios'!AB279+'Gastos com Pessoal'!P280+'Gastos com Pessoal'!V280+'Gastos com Pessoal'!AB280)*5.84%</f>
        <v>21.620452924340121</v>
      </c>
      <c r="AI280" s="256">
        <f>('Encargos e Benefícios'!V279+'Gastos com Pessoal'!Q280+'Gastos com Pessoal'!W280+'Gastos com Pessoal'!AC280)*5.84%</f>
        <v>6.8728459800480408</v>
      </c>
      <c r="AJ280" s="257"/>
      <c r="AK280" s="296">
        <f>'Encargos e Benefícios'!D279</f>
        <v>2751.84</v>
      </c>
      <c r="AL280" s="296">
        <f>IF('Encargos e Benefícios'!C279=0,0,'Encargos e Benefícios'!U279/'Encargos e Benefícios'!C279)</f>
        <v>2198.8730400000004</v>
      </c>
      <c r="AM280" s="296">
        <f>IF('Encargos e Benefícios'!C279=0,0,'Encargos e Benefícios'!AC279/'Encargos e Benefícios'!C279)</f>
        <v>940.71</v>
      </c>
      <c r="AN280" s="297">
        <f>IF('Encargos e Benefícios'!C279=0,0,'Encargos e Benefícios'!AD279/'Encargos e Benefícios'!C279)</f>
        <v>5891.4230400000006</v>
      </c>
      <c r="AO280" s="188">
        <v>3479.77</v>
      </c>
      <c r="AP280" s="298">
        <v>2252.3200000000002</v>
      </c>
      <c r="AQ280" s="298">
        <v>4707.22</v>
      </c>
      <c r="AR280" s="299" t="s">
        <v>120</v>
      </c>
      <c r="AS280" s="188"/>
    </row>
    <row r="281" spans="1:45">
      <c r="A281" s="286">
        <v>275</v>
      </c>
      <c r="B281" s="81" t="str">
        <f>'Encargos e Benefícios'!B280</f>
        <v>Pedagogo</v>
      </c>
      <c r="C281" s="287">
        <f>'Encargos e Benefícios'!C280</f>
        <v>1</v>
      </c>
      <c r="D281" s="288">
        <v>30</v>
      </c>
      <c r="E281" s="300">
        <v>45658</v>
      </c>
      <c r="F281" s="301">
        <v>47058</v>
      </c>
      <c r="G281" s="293"/>
      <c r="H281" s="294"/>
      <c r="I281" s="256"/>
      <c r="J281" s="256"/>
      <c r="K281" s="256"/>
      <c r="L281" s="256"/>
      <c r="M281" s="293">
        <v>45778</v>
      </c>
      <c r="N281" s="294">
        <v>5.8400000000000001E-2</v>
      </c>
      <c r="O281" s="256">
        <f>'Encargos e Benefícios'!W280*5.84%</f>
        <v>30.905280000000001</v>
      </c>
      <c r="P281" s="256">
        <f>('Encargos e Benefícios'!X280+'Encargos e Benefícios'!Y280+'Encargos e Benefícios'!Z280+'Encargos e Benefícios'!AA280+'Encargos e Benefícios'!AB280)*5.84%</f>
        <v>18.235399999999998</v>
      </c>
      <c r="Q281" s="256">
        <f>'Encargos e Benefícios'!V280*5.84%</f>
        <v>5.7967840000000006</v>
      </c>
      <c r="R281" s="256"/>
      <c r="S281" s="293">
        <v>46143</v>
      </c>
      <c r="T281" s="294">
        <v>5.8400000000000001E-2</v>
      </c>
      <c r="U281" s="256">
        <f>('Encargos e Benefícios'!W280+'Gastos com Pessoal'!O281)*5.84%</f>
        <v>32.710148351999997</v>
      </c>
      <c r="V281" s="256">
        <f>('Encargos e Benefícios'!X280+'Encargos e Benefícios'!Y280+'Encargos e Benefícios'!Z280+'Encargos e Benefícios'!AA280+'Encargos e Benefícios'!AB280+'Gastos com Pessoal'!P281)*5.84%</f>
        <v>19.300347360000004</v>
      </c>
      <c r="W281" s="256">
        <f>('Encargos e Benefícios'!V280+'Gastos com Pessoal'!Q281)*5.84%</f>
        <v>6.1353161856000007</v>
      </c>
      <c r="X281" s="256"/>
      <c r="Y281" s="293">
        <v>46508</v>
      </c>
      <c r="Z281" s="294">
        <v>5.8400000000000001E-2</v>
      </c>
      <c r="AA281" s="256">
        <f>('Encargos e Benefícios'!W280+'Gastos com Pessoal'!O281+'Gastos com Pessoal'!U281)*5.84%</f>
        <v>34.620421015756804</v>
      </c>
      <c r="AB281" s="256">
        <f>('Encargos e Benefícios'!X280+'Encargos e Benefícios'!Y280+'Encargos e Benefícios'!Z280+'Encargos e Benefícios'!AA280+'Encargos e Benefícios'!AB280+'Gastos com Pessoal'!P281+'Gastos com Pessoal'!V281)*5.84%</f>
        <v>20.427487645824002</v>
      </c>
      <c r="AC281" s="256">
        <f>('Encargos e Benefícios'!V280+'Gastos com Pessoal'!Q281+'Gastos com Pessoal'!W281)*5.84%</f>
        <v>6.493618650839041</v>
      </c>
      <c r="AD281" s="256"/>
      <c r="AE281" s="293">
        <v>46874</v>
      </c>
      <c r="AF281" s="294">
        <v>5.8400000000000001E-2</v>
      </c>
      <c r="AG281" s="256">
        <f>('Encargos e Benefícios'!W280+'Gastos com Pessoal'!O281+'Gastos com Pessoal'!U281+'Gastos com Pessoal'!AA281)*5.84%</f>
        <v>36.642253603077002</v>
      </c>
      <c r="AH281" s="256">
        <f>('Encargos e Benefícios'!X280+'Encargos e Benefícios'!Y280+'Encargos e Benefícios'!Z280+'Encargos e Benefícios'!AA280+'Encargos e Benefícios'!AB280+'Gastos com Pessoal'!P281+'Gastos com Pessoal'!V281+'Gastos com Pessoal'!AB281)*5.84%</f>
        <v>21.620452924340121</v>
      </c>
      <c r="AI281" s="256">
        <f>('Encargos e Benefícios'!V280+'Gastos com Pessoal'!Q281+'Gastos com Pessoal'!W281+'Gastos com Pessoal'!AC281)*5.84%</f>
        <v>6.8728459800480408</v>
      </c>
      <c r="AJ281" s="257"/>
      <c r="AK281" s="296">
        <f>'Encargos e Benefícios'!D280</f>
        <v>2751.84</v>
      </c>
      <c r="AL281" s="296">
        <f>IF('Encargos e Benefícios'!C280=0,0,'Encargos e Benefícios'!U280/'Encargos e Benefícios'!C280)</f>
        <v>2198.8730400000004</v>
      </c>
      <c r="AM281" s="296">
        <f>IF('Encargos e Benefícios'!C280=0,0,'Encargos e Benefícios'!AC280/'Encargos e Benefícios'!C280)</f>
        <v>940.71</v>
      </c>
      <c r="AN281" s="297">
        <f>IF('Encargos e Benefícios'!C280=0,0,'Encargos e Benefícios'!AD280/'Encargos e Benefícios'!C280)</f>
        <v>5891.4230400000006</v>
      </c>
      <c r="AO281" s="188">
        <v>2293.52</v>
      </c>
      <c r="AP281" s="298">
        <v>1700</v>
      </c>
      <c r="AQ281" s="298">
        <v>2887.04</v>
      </c>
      <c r="AR281" s="299" t="s">
        <v>120</v>
      </c>
      <c r="AS281" s="188"/>
    </row>
    <row r="282" spans="1:45">
      <c r="A282" s="286">
        <v>276</v>
      </c>
      <c r="B282" s="81" t="str">
        <f>'Encargos e Benefícios'!B281</f>
        <v>Psicologo</v>
      </c>
      <c r="C282" s="287">
        <f>'Encargos e Benefícios'!C281</f>
        <v>1</v>
      </c>
      <c r="D282" s="288">
        <v>30</v>
      </c>
      <c r="E282" s="300">
        <v>45658</v>
      </c>
      <c r="F282" s="301">
        <v>47058</v>
      </c>
      <c r="G282" s="293"/>
      <c r="H282" s="294"/>
      <c r="I282" s="256"/>
      <c r="J282" s="256"/>
      <c r="K282" s="256"/>
      <c r="L282" s="256"/>
      <c r="M282" s="293">
        <v>45778</v>
      </c>
      <c r="N282" s="294">
        <v>5.8400000000000001E-2</v>
      </c>
      <c r="O282" s="256">
        <f>'Encargos e Benefícios'!W281*5.84%</f>
        <v>30.905280000000001</v>
      </c>
      <c r="P282" s="256">
        <f>('Encargos e Benefícios'!X281+'Encargos e Benefícios'!Y281+'Encargos e Benefícios'!Z281+'Encargos e Benefícios'!AA281+'Encargos e Benefícios'!AB281)*5.84%</f>
        <v>18.235399999999998</v>
      </c>
      <c r="Q282" s="256">
        <f>'Encargos e Benefícios'!V281*5.84%</f>
        <v>5.7967840000000006</v>
      </c>
      <c r="R282" s="256"/>
      <c r="S282" s="293">
        <v>46143</v>
      </c>
      <c r="T282" s="294">
        <v>5.8400000000000001E-2</v>
      </c>
      <c r="U282" s="256">
        <f>('Encargos e Benefícios'!W281+'Gastos com Pessoal'!O282)*5.84%</f>
        <v>32.710148351999997</v>
      </c>
      <c r="V282" s="256">
        <f>('Encargos e Benefícios'!X281+'Encargos e Benefícios'!Y281+'Encargos e Benefícios'!Z281+'Encargos e Benefícios'!AA281+'Encargos e Benefícios'!AB281+'Gastos com Pessoal'!P282)*5.84%</f>
        <v>19.300347360000004</v>
      </c>
      <c r="W282" s="256">
        <f>('Encargos e Benefícios'!V281+'Gastos com Pessoal'!Q282)*5.84%</f>
        <v>6.1353161856000007</v>
      </c>
      <c r="X282" s="256"/>
      <c r="Y282" s="293">
        <v>46508</v>
      </c>
      <c r="Z282" s="294">
        <v>5.8400000000000001E-2</v>
      </c>
      <c r="AA282" s="256">
        <f>('Encargos e Benefícios'!W281+'Gastos com Pessoal'!O282+'Gastos com Pessoal'!U282)*5.84%</f>
        <v>34.620421015756804</v>
      </c>
      <c r="AB282" s="256">
        <f>('Encargos e Benefícios'!X281+'Encargos e Benefícios'!Y281+'Encargos e Benefícios'!Z281+'Encargos e Benefícios'!AA281+'Encargos e Benefícios'!AB281+'Gastos com Pessoal'!P282+'Gastos com Pessoal'!V282)*5.84%</f>
        <v>20.427487645824002</v>
      </c>
      <c r="AC282" s="256">
        <f>('Encargos e Benefícios'!V281+'Gastos com Pessoal'!Q282+'Gastos com Pessoal'!W282)*5.84%</f>
        <v>6.493618650839041</v>
      </c>
      <c r="AD282" s="256"/>
      <c r="AE282" s="293">
        <v>46874</v>
      </c>
      <c r="AF282" s="294">
        <v>5.8400000000000001E-2</v>
      </c>
      <c r="AG282" s="256">
        <f>('Encargos e Benefícios'!W281+'Gastos com Pessoal'!O282+'Gastos com Pessoal'!U282+'Gastos com Pessoal'!AA282)*5.84%</f>
        <v>36.642253603077002</v>
      </c>
      <c r="AH282" s="256">
        <f>('Encargos e Benefícios'!X281+'Encargos e Benefícios'!Y281+'Encargos e Benefícios'!Z281+'Encargos e Benefícios'!AA281+'Encargos e Benefícios'!AB281+'Gastos com Pessoal'!P282+'Gastos com Pessoal'!V282+'Gastos com Pessoal'!AB282)*5.84%</f>
        <v>21.620452924340121</v>
      </c>
      <c r="AI282" s="256">
        <f>('Encargos e Benefícios'!V281+'Gastos com Pessoal'!Q282+'Gastos com Pessoal'!W282+'Gastos com Pessoal'!AC282)*5.84%</f>
        <v>6.8728459800480408</v>
      </c>
      <c r="AJ282" s="257"/>
      <c r="AK282" s="296">
        <f>'Encargos e Benefícios'!D281</f>
        <v>2751.84</v>
      </c>
      <c r="AL282" s="296">
        <f>IF('Encargos e Benefícios'!C281=0,0,'Encargos e Benefícios'!U281/'Encargos e Benefícios'!C281)</f>
        <v>2198.8730400000004</v>
      </c>
      <c r="AM282" s="296">
        <f>IF('Encargos e Benefícios'!C281=0,0,'Encargos e Benefícios'!AC281/'Encargos e Benefícios'!C281)</f>
        <v>940.71</v>
      </c>
      <c r="AN282" s="297">
        <f>IF('Encargos e Benefícios'!C281=0,0,'Encargos e Benefícios'!AD281/'Encargos e Benefícios'!C281)</f>
        <v>5891.4230400000006</v>
      </c>
      <c r="AO282" s="188">
        <v>3202.11</v>
      </c>
      <c r="AP282" s="298">
        <v>1700</v>
      </c>
      <c r="AQ282" s="298">
        <v>4704.22</v>
      </c>
      <c r="AR282" s="299" t="s">
        <v>120</v>
      </c>
      <c r="AS282" s="188"/>
    </row>
    <row r="283" spans="1:45">
      <c r="A283" s="286">
        <v>277</v>
      </c>
      <c r="B283" s="81" t="str">
        <f>'Encargos e Benefícios'!B282</f>
        <v>Terapeuta Ocupacional</v>
      </c>
      <c r="C283" s="287">
        <f>'Encargos e Benefícios'!C282</f>
        <v>1</v>
      </c>
      <c r="D283" s="288">
        <v>30</v>
      </c>
      <c r="E283" s="300">
        <v>45658</v>
      </c>
      <c r="F283" s="301">
        <v>47058</v>
      </c>
      <c r="G283" s="293"/>
      <c r="H283" s="294"/>
      <c r="I283" s="256"/>
      <c r="J283" s="256"/>
      <c r="K283" s="256"/>
      <c r="L283" s="256"/>
      <c r="M283" s="293">
        <v>45778</v>
      </c>
      <c r="N283" s="294">
        <v>5.8400000000000001E-2</v>
      </c>
      <c r="O283" s="256">
        <f>'Encargos e Benefícios'!W282*5.84%</f>
        <v>30.905280000000001</v>
      </c>
      <c r="P283" s="256">
        <f>('Encargos e Benefícios'!X282+'Encargos e Benefícios'!Y282+'Encargos e Benefícios'!Z282+'Encargos e Benefícios'!AA282+'Encargos e Benefícios'!AB282)*5.84%</f>
        <v>18.235399999999998</v>
      </c>
      <c r="Q283" s="256">
        <f>'Encargos e Benefícios'!V282*5.84%</f>
        <v>5.7967840000000006</v>
      </c>
      <c r="R283" s="256"/>
      <c r="S283" s="293">
        <v>46143</v>
      </c>
      <c r="T283" s="294">
        <v>5.8400000000000001E-2</v>
      </c>
      <c r="U283" s="256">
        <f>('Encargos e Benefícios'!W282+'Gastos com Pessoal'!O283)*5.84%</f>
        <v>32.710148351999997</v>
      </c>
      <c r="V283" s="256">
        <f>('Encargos e Benefícios'!X282+'Encargos e Benefícios'!Y282+'Encargos e Benefícios'!Z282+'Encargos e Benefícios'!AA282+'Encargos e Benefícios'!AB282+'Gastos com Pessoal'!P283)*5.84%</f>
        <v>19.300347360000004</v>
      </c>
      <c r="W283" s="256">
        <f>('Encargos e Benefícios'!V282+'Gastos com Pessoal'!Q283)*5.84%</f>
        <v>6.1353161856000007</v>
      </c>
      <c r="X283" s="256"/>
      <c r="Y283" s="293">
        <v>46508</v>
      </c>
      <c r="Z283" s="294">
        <v>5.8400000000000001E-2</v>
      </c>
      <c r="AA283" s="256">
        <f>('Encargos e Benefícios'!W282+'Gastos com Pessoal'!O283+'Gastos com Pessoal'!U283)*5.84%</f>
        <v>34.620421015756804</v>
      </c>
      <c r="AB283" s="256">
        <f>('Encargos e Benefícios'!X282+'Encargos e Benefícios'!Y282+'Encargos e Benefícios'!Z282+'Encargos e Benefícios'!AA282+'Encargos e Benefícios'!AB282+'Gastos com Pessoal'!P283+'Gastos com Pessoal'!V283)*5.84%</f>
        <v>20.427487645824002</v>
      </c>
      <c r="AC283" s="256">
        <f>('Encargos e Benefícios'!V282+'Gastos com Pessoal'!Q283+'Gastos com Pessoal'!W283)*5.84%</f>
        <v>6.493618650839041</v>
      </c>
      <c r="AD283" s="256"/>
      <c r="AE283" s="293">
        <v>46874</v>
      </c>
      <c r="AF283" s="294">
        <v>5.8400000000000001E-2</v>
      </c>
      <c r="AG283" s="256">
        <f>('Encargos e Benefícios'!W282+'Gastos com Pessoal'!O283+'Gastos com Pessoal'!U283+'Gastos com Pessoal'!AA283)*5.84%</f>
        <v>36.642253603077002</v>
      </c>
      <c r="AH283" s="256">
        <f>('Encargos e Benefícios'!X282+'Encargos e Benefícios'!Y282+'Encargos e Benefícios'!Z282+'Encargos e Benefícios'!AA282+'Encargos e Benefícios'!AB282+'Gastos com Pessoal'!P283+'Gastos com Pessoal'!V283+'Gastos com Pessoal'!AB283)*5.84%</f>
        <v>21.620452924340121</v>
      </c>
      <c r="AI283" s="256">
        <f>('Encargos e Benefícios'!V282+'Gastos com Pessoal'!Q283+'Gastos com Pessoal'!W283+'Gastos com Pessoal'!AC283)*5.84%</f>
        <v>6.8728459800480408</v>
      </c>
      <c r="AJ283" s="257"/>
      <c r="AK283" s="296">
        <f>'Encargos e Benefícios'!D282</f>
        <v>2751.84</v>
      </c>
      <c r="AL283" s="296">
        <f>IF('Encargos e Benefícios'!C282=0,0,'Encargos e Benefícios'!U282/'Encargos e Benefícios'!C282)</f>
        <v>2198.8730400000004</v>
      </c>
      <c r="AM283" s="296">
        <f>IF('Encargos e Benefícios'!C282=0,0,'Encargos e Benefícios'!AC282/'Encargos e Benefícios'!C282)</f>
        <v>940.71</v>
      </c>
      <c r="AN283" s="297">
        <f>IF('Encargos e Benefícios'!C282=0,0,'Encargos e Benefícios'!AD282/'Encargos e Benefícios'!C282)</f>
        <v>5891.4230400000006</v>
      </c>
      <c r="AO283" s="188">
        <v>3478.27</v>
      </c>
      <c r="AP283" s="298">
        <v>2252.3200000000002</v>
      </c>
      <c r="AQ283" s="298">
        <v>4704.22</v>
      </c>
      <c r="AR283" s="299" t="s">
        <v>120</v>
      </c>
      <c r="AS283" s="188"/>
    </row>
    <row r="284" spans="1:45">
      <c r="A284" s="286">
        <v>278</v>
      </c>
      <c r="B284" s="81" t="str">
        <f>'Encargos e Benefícios'!B283</f>
        <v>Administrativo</v>
      </c>
      <c r="C284" s="287">
        <f>'Encargos e Benefícios'!C283</f>
        <v>1</v>
      </c>
      <c r="D284" s="288">
        <v>40</v>
      </c>
      <c r="E284" s="300">
        <v>45658</v>
      </c>
      <c r="F284" s="301">
        <v>47058</v>
      </c>
      <c r="G284" s="293"/>
      <c r="H284" s="294"/>
      <c r="I284" s="256"/>
      <c r="J284" s="256"/>
      <c r="K284" s="256"/>
      <c r="L284" s="256"/>
      <c r="M284" s="293">
        <v>45778</v>
      </c>
      <c r="N284" s="294">
        <v>5.8400000000000001E-2</v>
      </c>
      <c r="O284" s="256">
        <f>'Encargos e Benefícios'!W283*5.84%</f>
        <v>30.905280000000001</v>
      </c>
      <c r="P284" s="256">
        <f>('Encargos e Benefícios'!X283+'Encargos e Benefícios'!Y283+'Encargos e Benefícios'!Z283+'Encargos e Benefícios'!AA283+'Encargos e Benefícios'!AB283)*5.84%</f>
        <v>18.235399999999998</v>
      </c>
      <c r="Q284" s="256">
        <f>'Encargos e Benefícios'!V283*5.84%</f>
        <v>5.7967840000000006</v>
      </c>
      <c r="R284" s="256"/>
      <c r="S284" s="293">
        <v>46143</v>
      </c>
      <c r="T284" s="294">
        <v>5.8400000000000001E-2</v>
      </c>
      <c r="U284" s="256">
        <f>('Encargos e Benefícios'!W283+'Gastos com Pessoal'!O284)*5.84%</f>
        <v>32.710148351999997</v>
      </c>
      <c r="V284" s="256">
        <f>('Encargos e Benefícios'!X283+'Encargos e Benefícios'!Y283+'Encargos e Benefícios'!Z283+'Encargos e Benefícios'!AA283+'Encargos e Benefícios'!AB283+'Gastos com Pessoal'!P284)*5.84%</f>
        <v>19.300347360000004</v>
      </c>
      <c r="W284" s="256">
        <f>('Encargos e Benefícios'!V283+'Gastos com Pessoal'!Q284)*5.84%</f>
        <v>6.1353161856000007</v>
      </c>
      <c r="X284" s="256"/>
      <c r="Y284" s="293">
        <v>46508</v>
      </c>
      <c r="Z284" s="294">
        <v>5.8400000000000001E-2</v>
      </c>
      <c r="AA284" s="256">
        <f>('Encargos e Benefícios'!W283+'Gastos com Pessoal'!O284+'Gastos com Pessoal'!U284)*5.84%</f>
        <v>34.620421015756804</v>
      </c>
      <c r="AB284" s="256">
        <f>('Encargos e Benefícios'!X283+'Encargos e Benefícios'!Y283+'Encargos e Benefícios'!Z283+'Encargos e Benefícios'!AA283+'Encargos e Benefícios'!AB283+'Gastos com Pessoal'!P284+'Gastos com Pessoal'!V284)*5.84%</f>
        <v>20.427487645824002</v>
      </c>
      <c r="AC284" s="256">
        <f>('Encargos e Benefícios'!V283+'Gastos com Pessoal'!Q284+'Gastos com Pessoal'!W284)*5.84%</f>
        <v>6.493618650839041</v>
      </c>
      <c r="AD284" s="256"/>
      <c r="AE284" s="293">
        <v>46874</v>
      </c>
      <c r="AF284" s="294">
        <v>5.8400000000000001E-2</v>
      </c>
      <c r="AG284" s="256">
        <f>('Encargos e Benefícios'!W283+'Gastos com Pessoal'!O284+'Gastos com Pessoal'!U284+'Gastos com Pessoal'!AA284)*5.84%</f>
        <v>36.642253603077002</v>
      </c>
      <c r="AH284" s="256">
        <f>('Encargos e Benefícios'!X283+'Encargos e Benefícios'!Y283+'Encargos e Benefícios'!Z283+'Encargos e Benefícios'!AA283+'Encargos e Benefícios'!AB283+'Gastos com Pessoal'!P284+'Gastos com Pessoal'!V284+'Gastos com Pessoal'!AB284)*5.84%</f>
        <v>21.620452924340121</v>
      </c>
      <c r="AI284" s="256">
        <f>('Encargos e Benefícios'!V283+'Gastos com Pessoal'!Q284+'Gastos com Pessoal'!W284+'Gastos com Pessoal'!AC284)*5.84%</f>
        <v>6.8728459800480408</v>
      </c>
      <c r="AJ284" s="257"/>
      <c r="AK284" s="296">
        <f>'Encargos e Benefícios'!D283</f>
        <v>1852.2</v>
      </c>
      <c r="AL284" s="296">
        <f>IF('Encargos e Benefícios'!C283=0,0,'Encargos e Benefícios'!U283/'Encargos e Benefícios'!C283)</f>
        <v>1480.0106999999996</v>
      </c>
      <c r="AM284" s="296">
        <f>IF('Encargos e Benefícios'!C283=0,0,'Encargos e Benefícios'!AC283/'Encargos e Benefícios'!C283)</f>
        <v>940.71</v>
      </c>
      <c r="AN284" s="297">
        <f>IF('Encargos e Benefícios'!C283=0,0,'Encargos e Benefícios'!AD283/'Encargos e Benefícios'!C283)</f>
        <v>4272.9206999999997</v>
      </c>
      <c r="AO284" s="188">
        <v>1786.2</v>
      </c>
      <c r="AP284" s="298">
        <v>1352.9</v>
      </c>
      <c r="AQ284" s="298">
        <v>2219.4899999999998</v>
      </c>
      <c r="AR284" s="299" t="s">
        <v>120</v>
      </c>
      <c r="AS284" s="188"/>
    </row>
    <row r="285" spans="1:45">
      <c r="A285" s="286">
        <v>279</v>
      </c>
      <c r="B285" s="81" t="str">
        <f>'Encargos e Benefícios'!B284</f>
        <v>Auxiliar Educacional</v>
      </c>
      <c r="C285" s="287">
        <f>'Encargos e Benefícios'!C284</f>
        <v>1</v>
      </c>
      <c r="D285" s="288">
        <v>30</v>
      </c>
      <c r="E285" s="300">
        <v>45658</v>
      </c>
      <c r="F285" s="301">
        <v>47058</v>
      </c>
      <c r="G285" s="293"/>
      <c r="H285" s="294"/>
      <c r="I285" s="256"/>
      <c r="J285" s="256"/>
      <c r="K285" s="256"/>
      <c r="L285" s="256"/>
      <c r="M285" s="293">
        <v>45778</v>
      </c>
      <c r="N285" s="294">
        <v>5.8400000000000001E-2</v>
      </c>
      <c r="O285" s="256">
        <f>'Encargos e Benefícios'!W284*5.84%</f>
        <v>30.905280000000001</v>
      </c>
      <c r="P285" s="256">
        <f>('Encargos e Benefícios'!X284+'Encargos e Benefícios'!Y284+'Encargos e Benefícios'!Z284+'Encargos e Benefícios'!AA284+'Encargos e Benefícios'!AB284)*5.84%</f>
        <v>18.235399999999998</v>
      </c>
      <c r="Q285" s="256">
        <f>'Encargos e Benefícios'!V284*5.84%</f>
        <v>5.7967840000000006</v>
      </c>
      <c r="R285" s="256"/>
      <c r="S285" s="293">
        <v>46143</v>
      </c>
      <c r="T285" s="294">
        <v>5.8400000000000001E-2</v>
      </c>
      <c r="U285" s="256">
        <f>('Encargos e Benefícios'!W284+'Gastos com Pessoal'!O285)*5.84%</f>
        <v>32.710148351999997</v>
      </c>
      <c r="V285" s="256">
        <f>('Encargos e Benefícios'!X284+'Encargos e Benefícios'!Y284+'Encargos e Benefícios'!Z284+'Encargos e Benefícios'!AA284+'Encargos e Benefícios'!AB284+'Gastos com Pessoal'!P285)*5.84%</f>
        <v>19.300347360000004</v>
      </c>
      <c r="W285" s="256">
        <f>('Encargos e Benefícios'!V284+'Gastos com Pessoal'!Q285)*5.84%</f>
        <v>6.1353161856000007</v>
      </c>
      <c r="X285" s="256"/>
      <c r="Y285" s="293">
        <v>46508</v>
      </c>
      <c r="Z285" s="294">
        <v>5.8400000000000001E-2</v>
      </c>
      <c r="AA285" s="256">
        <f>('Encargos e Benefícios'!W284+'Gastos com Pessoal'!O285+'Gastos com Pessoal'!U285)*5.84%</f>
        <v>34.620421015756804</v>
      </c>
      <c r="AB285" s="256">
        <f>('Encargos e Benefícios'!X284+'Encargos e Benefícios'!Y284+'Encargos e Benefícios'!Z284+'Encargos e Benefícios'!AA284+'Encargos e Benefícios'!AB284+'Gastos com Pessoal'!P285+'Gastos com Pessoal'!V285)*5.84%</f>
        <v>20.427487645824002</v>
      </c>
      <c r="AC285" s="256">
        <f>('Encargos e Benefícios'!V284+'Gastos com Pessoal'!Q285+'Gastos com Pessoal'!W285)*5.84%</f>
        <v>6.493618650839041</v>
      </c>
      <c r="AD285" s="256"/>
      <c r="AE285" s="293">
        <v>46874</v>
      </c>
      <c r="AF285" s="294">
        <v>5.8400000000000001E-2</v>
      </c>
      <c r="AG285" s="256">
        <f>('Encargos e Benefícios'!W284+'Gastos com Pessoal'!O285+'Gastos com Pessoal'!U285+'Gastos com Pessoal'!AA285)*5.84%</f>
        <v>36.642253603077002</v>
      </c>
      <c r="AH285" s="256">
        <f>('Encargos e Benefícios'!X284+'Encargos e Benefícios'!Y284+'Encargos e Benefícios'!Z284+'Encargos e Benefícios'!AA284+'Encargos e Benefícios'!AB284+'Gastos com Pessoal'!P285+'Gastos com Pessoal'!V285+'Gastos com Pessoal'!AB285)*5.84%</f>
        <v>21.620452924340121</v>
      </c>
      <c r="AI285" s="256">
        <f>('Encargos e Benefícios'!V284+'Gastos com Pessoal'!Q285+'Gastos com Pessoal'!W285+'Gastos com Pessoal'!AC285)*5.84%</f>
        <v>6.8728459800480408</v>
      </c>
      <c r="AJ285" s="257"/>
      <c r="AK285" s="296">
        <f>'Encargos e Benefícios'!D284</f>
        <v>1737.89</v>
      </c>
      <c r="AL285" s="296">
        <f>IF('Encargos e Benefícios'!C284=0,0,'Encargos e Benefícios'!U284/'Encargos e Benefícios'!C284)</f>
        <v>1388.6706594444449</v>
      </c>
      <c r="AM285" s="296">
        <f>IF('Encargos e Benefícios'!C284=0,0,'Encargos e Benefícios'!AC284/'Encargos e Benefícios'!C284)</f>
        <v>940.71</v>
      </c>
      <c r="AN285" s="297">
        <f>IF('Encargos e Benefícios'!C284=0,0,'Encargos e Benefícios'!AD284/'Encargos e Benefícios'!C284)</f>
        <v>4067.2706594444453</v>
      </c>
      <c r="AO285" s="188">
        <v>1756.04</v>
      </c>
      <c r="AP285" s="298">
        <v>1400</v>
      </c>
      <c r="AQ285" s="298">
        <v>2112.08</v>
      </c>
      <c r="AR285" s="299" t="s">
        <v>120</v>
      </c>
      <c r="AS285" s="188"/>
    </row>
    <row r="286" spans="1:45">
      <c r="A286" s="286">
        <v>280</v>
      </c>
      <c r="B286" s="81" t="str">
        <f>'Encargos e Benefícios'!B285</f>
        <v>Auxiliar de Serviços Gerais</v>
      </c>
      <c r="C286" s="287">
        <f>'Encargos e Benefícios'!C285</f>
        <v>1</v>
      </c>
      <c r="D286" s="288">
        <v>30</v>
      </c>
      <c r="E286" s="300">
        <v>45658</v>
      </c>
      <c r="F286" s="301">
        <v>47058</v>
      </c>
      <c r="G286" s="293"/>
      <c r="H286" s="294"/>
      <c r="I286" s="256"/>
      <c r="J286" s="256"/>
      <c r="K286" s="256"/>
      <c r="L286" s="256"/>
      <c r="M286" s="293">
        <v>45778</v>
      </c>
      <c r="N286" s="294">
        <v>5.8400000000000001E-2</v>
      </c>
      <c r="O286" s="256">
        <f>'Encargos e Benefícios'!W285*5.84%</f>
        <v>30.905280000000001</v>
      </c>
      <c r="P286" s="256">
        <f>('Encargos e Benefícios'!X285+'Encargos e Benefícios'!Y285+'Encargos e Benefícios'!Z285+'Encargos e Benefícios'!AA285+'Encargos e Benefícios'!AB285)*5.84%</f>
        <v>18.235399999999998</v>
      </c>
      <c r="Q286" s="256">
        <f>'Encargos e Benefícios'!V285*5.84%</f>
        <v>5.7967840000000006</v>
      </c>
      <c r="R286" s="256"/>
      <c r="S286" s="293">
        <v>46143</v>
      </c>
      <c r="T286" s="294">
        <v>5.8400000000000001E-2</v>
      </c>
      <c r="U286" s="256">
        <f>('Encargos e Benefícios'!W285+'Gastos com Pessoal'!O286)*5.84%</f>
        <v>32.710148351999997</v>
      </c>
      <c r="V286" s="256">
        <f>('Encargos e Benefícios'!X285+'Encargos e Benefícios'!Y285+'Encargos e Benefícios'!Z285+'Encargos e Benefícios'!AA285+'Encargos e Benefícios'!AB285+'Gastos com Pessoal'!P286)*5.84%</f>
        <v>19.300347360000004</v>
      </c>
      <c r="W286" s="256">
        <f>('Encargos e Benefícios'!V285+'Gastos com Pessoal'!Q286)*5.84%</f>
        <v>6.1353161856000007</v>
      </c>
      <c r="X286" s="256"/>
      <c r="Y286" s="293">
        <v>46508</v>
      </c>
      <c r="Z286" s="294">
        <v>5.8400000000000001E-2</v>
      </c>
      <c r="AA286" s="256">
        <f>('Encargos e Benefícios'!W285+'Gastos com Pessoal'!O286+'Gastos com Pessoal'!U286)*5.84%</f>
        <v>34.620421015756804</v>
      </c>
      <c r="AB286" s="256">
        <f>('Encargos e Benefícios'!X285+'Encargos e Benefícios'!Y285+'Encargos e Benefícios'!Z285+'Encargos e Benefícios'!AA285+'Encargos e Benefícios'!AB285+'Gastos com Pessoal'!P286+'Gastos com Pessoal'!V286)*5.84%</f>
        <v>20.427487645824002</v>
      </c>
      <c r="AC286" s="256">
        <f>('Encargos e Benefícios'!V285+'Gastos com Pessoal'!Q286+'Gastos com Pessoal'!W286)*5.84%</f>
        <v>6.493618650839041</v>
      </c>
      <c r="AD286" s="256"/>
      <c r="AE286" s="293">
        <v>46874</v>
      </c>
      <c r="AF286" s="294">
        <v>5.8400000000000001E-2</v>
      </c>
      <c r="AG286" s="256">
        <f>('Encargos e Benefícios'!W285+'Gastos com Pessoal'!O286+'Gastos com Pessoal'!U286+'Gastos com Pessoal'!AA286)*5.84%</f>
        <v>36.642253603077002</v>
      </c>
      <c r="AH286" s="256">
        <f>('Encargos e Benefícios'!X285+'Encargos e Benefícios'!Y285+'Encargos e Benefícios'!Z285+'Encargos e Benefícios'!AA285+'Encargos e Benefícios'!AB285+'Gastos com Pessoal'!P286+'Gastos com Pessoal'!V286+'Gastos com Pessoal'!AB286)*5.84%</f>
        <v>21.620452924340121</v>
      </c>
      <c r="AI286" s="256">
        <f>('Encargos e Benefícios'!V285+'Gastos com Pessoal'!Q286+'Gastos com Pessoal'!W286+'Gastos com Pessoal'!AC286)*5.84%</f>
        <v>6.8728459800480408</v>
      </c>
      <c r="AJ286" s="257"/>
      <c r="AK286" s="296">
        <f>'Encargos e Benefícios'!D285</f>
        <v>1465.88</v>
      </c>
      <c r="AL286" s="296">
        <f>IF('Encargos e Benefícios'!C285=0,0,'Encargos e Benefícios'!U285/'Encargos e Benefícios'!C285)</f>
        <v>1171.3195577777778</v>
      </c>
      <c r="AM286" s="296">
        <f>IF('Encargos e Benefícios'!C285=0,0,'Encargos e Benefícios'!AC285/'Encargos e Benefícios'!C285)</f>
        <v>940.71</v>
      </c>
      <c r="AN286" s="297">
        <f>IF('Encargos e Benefícios'!C285=0,0,'Encargos e Benefícios'!AD285/'Encargos e Benefícios'!C285)</f>
        <v>3577.909557777778</v>
      </c>
      <c r="AO286" s="188">
        <v>1380.2</v>
      </c>
      <c r="AP286" s="298">
        <v>1320</v>
      </c>
      <c r="AQ286" s="298">
        <v>1440.4</v>
      </c>
      <c r="AR286" s="299" t="s">
        <v>120</v>
      </c>
      <c r="AS286" s="188"/>
    </row>
    <row r="287" spans="1:45">
      <c r="A287" s="286">
        <v>281</v>
      </c>
      <c r="B287" s="81" t="str">
        <f>'Encargos e Benefícios'!B286</f>
        <v>Motorista</v>
      </c>
      <c r="C287" s="287">
        <f>'Encargos e Benefícios'!C286</f>
        <v>1</v>
      </c>
      <c r="D287" s="288">
        <v>40</v>
      </c>
      <c r="E287" s="300">
        <v>45658</v>
      </c>
      <c r="F287" s="301">
        <v>47058</v>
      </c>
      <c r="G287" s="293"/>
      <c r="H287" s="294"/>
      <c r="I287" s="256"/>
      <c r="J287" s="256"/>
      <c r="K287" s="256"/>
      <c r="L287" s="256"/>
      <c r="M287" s="293">
        <v>45778</v>
      </c>
      <c r="N287" s="294">
        <v>5.8400000000000001E-2</v>
      </c>
      <c r="O287" s="256">
        <f>'Encargos e Benefícios'!W286*5.84%</f>
        <v>30.905280000000001</v>
      </c>
      <c r="P287" s="256">
        <f>('Encargos e Benefícios'!X286+'Encargos e Benefícios'!Y286+'Encargos e Benefícios'!Z286+'Encargos e Benefícios'!AA286+'Encargos e Benefícios'!AB286)*5.84%</f>
        <v>18.235399999999998</v>
      </c>
      <c r="Q287" s="256">
        <f>'Encargos e Benefícios'!V286*5.84%</f>
        <v>5.7967840000000006</v>
      </c>
      <c r="R287" s="256"/>
      <c r="S287" s="293">
        <v>46143</v>
      </c>
      <c r="T287" s="294">
        <v>5.8400000000000001E-2</v>
      </c>
      <c r="U287" s="256">
        <f>('Encargos e Benefícios'!W286+'Gastos com Pessoal'!O287)*5.84%</f>
        <v>32.710148351999997</v>
      </c>
      <c r="V287" s="256">
        <f>('Encargos e Benefícios'!X286+'Encargos e Benefícios'!Y286+'Encargos e Benefícios'!Z286+'Encargos e Benefícios'!AA286+'Encargos e Benefícios'!AB286+'Gastos com Pessoal'!P287)*5.84%</f>
        <v>19.300347360000004</v>
      </c>
      <c r="W287" s="256">
        <f>('Encargos e Benefícios'!V286+'Gastos com Pessoal'!Q287)*5.84%</f>
        <v>6.1353161856000007</v>
      </c>
      <c r="X287" s="256"/>
      <c r="Y287" s="293">
        <v>46508</v>
      </c>
      <c r="Z287" s="294">
        <v>5.8400000000000001E-2</v>
      </c>
      <c r="AA287" s="256">
        <f>('Encargos e Benefícios'!W286+'Gastos com Pessoal'!O287+'Gastos com Pessoal'!U287)*5.84%</f>
        <v>34.620421015756804</v>
      </c>
      <c r="AB287" s="256">
        <f>('Encargos e Benefícios'!X286+'Encargos e Benefícios'!Y286+'Encargos e Benefícios'!Z286+'Encargos e Benefícios'!AA286+'Encargos e Benefícios'!AB286+'Gastos com Pessoal'!P287+'Gastos com Pessoal'!V287)*5.84%</f>
        <v>20.427487645824002</v>
      </c>
      <c r="AC287" s="256">
        <f>('Encargos e Benefícios'!V286+'Gastos com Pessoal'!Q287+'Gastos com Pessoal'!W287)*5.84%</f>
        <v>6.493618650839041</v>
      </c>
      <c r="AD287" s="256"/>
      <c r="AE287" s="293">
        <v>46874</v>
      </c>
      <c r="AF287" s="294">
        <v>5.8400000000000001E-2</v>
      </c>
      <c r="AG287" s="256">
        <f>('Encargos e Benefícios'!W286+'Gastos com Pessoal'!O287+'Gastos com Pessoal'!U287+'Gastos com Pessoal'!AA287)*5.84%</f>
        <v>36.642253603077002</v>
      </c>
      <c r="AH287" s="256">
        <f>('Encargos e Benefícios'!X286+'Encargos e Benefícios'!Y286+'Encargos e Benefícios'!Z286+'Encargos e Benefícios'!AA286+'Encargos e Benefícios'!AB286+'Gastos com Pessoal'!P287+'Gastos com Pessoal'!V287+'Gastos com Pessoal'!AB287)*5.84%</f>
        <v>21.620452924340121</v>
      </c>
      <c r="AI287" s="256">
        <f>('Encargos e Benefícios'!V286+'Gastos com Pessoal'!Q287+'Gastos com Pessoal'!W287+'Gastos com Pessoal'!AC287)*5.84%</f>
        <v>6.8728459800480408</v>
      </c>
      <c r="AJ287" s="257"/>
      <c r="AK287" s="296">
        <f>'Encargos e Benefícios'!D286</f>
        <v>1537.21</v>
      </c>
      <c r="AL287" s="296">
        <f>IF('Encargos e Benefícios'!C286=0,0,'Encargos e Benefícios'!U286/'Encargos e Benefícios'!C286)</f>
        <v>1228.3161905555557</v>
      </c>
      <c r="AM287" s="296">
        <f>IF('Encargos e Benefícios'!C286=0,0,'Encargos e Benefícios'!AC286/'Encargos e Benefícios'!C286)</f>
        <v>940.71</v>
      </c>
      <c r="AN287" s="297">
        <f>IF('Encargos e Benefícios'!C286=0,0,'Encargos e Benefícios'!AD286/'Encargos e Benefícios'!C286)</f>
        <v>3706.2361905555558</v>
      </c>
      <c r="AO287" s="188">
        <v>1676.09</v>
      </c>
      <c r="AP287" s="298">
        <v>1377.85</v>
      </c>
      <c r="AQ287" s="298">
        <v>1974.32</v>
      </c>
      <c r="AR287" s="299" t="s">
        <v>120</v>
      </c>
      <c r="AS287" s="188"/>
    </row>
    <row r="288" spans="1:45">
      <c r="A288" s="286">
        <v>282</v>
      </c>
      <c r="B288" s="81" t="str">
        <f>'Encargos e Benefícios'!B287</f>
        <v>Socioeducador - DC</v>
      </c>
      <c r="C288" s="287">
        <f>'Encargos e Benefícios'!C287</f>
        <v>2</v>
      </c>
      <c r="D288" s="288" t="s">
        <v>496</v>
      </c>
      <c r="E288" s="300">
        <v>45658</v>
      </c>
      <c r="F288" s="301">
        <v>47058</v>
      </c>
      <c r="G288" s="293"/>
      <c r="H288" s="294"/>
      <c r="I288" s="256"/>
      <c r="J288" s="256"/>
      <c r="K288" s="256"/>
      <c r="L288" s="256"/>
      <c r="M288" s="293">
        <v>45778</v>
      </c>
      <c r="N288" s="294">
        <v>5.8400000000000001E-2</v>
      </c>
      <c r="O288" s="256">
        <f>'Encargos e Benefícios'!W287*5.84%</f>
        <v>61.810560000000002</v>
      </c>
      <c r="P288" s="256">
        <f>('Encargos e Benefícios'!X287+'Encargos e Benefícios'!Y287+'Encargos e Benefícios'!Z287+'Encargos e Benefícios'!AA287+'Encargos e Benefícios'!AB287)*5.84%</f>
        <v>36.470799999999997</v>
      </c>
      <c r="Q288" s="256">
        <f>'Encargos e Benefícios'!V287*5.84%</f>
        <v>7.9050240000000009</v>
      </c>
      <c r="R288" s="256"/>
      <c r="S288" s="293">
        <v>46143</v>
      </c>
      <c r="T288" s="294">
        <v>5.8400000000000001E-2</v>
      </c>
      <c r="U288" s="256">
        <f>('Encargos e Benefícios'!W287+'Gastos com Pessoal'!O288)*5.84%</f>
        <v>65.420296703999995</v>
      </c>
      <c r="V288" s="256">
        <f>('Encargos e Benefícios'!X287+'Encargos e Benefícios'!Y287+'Encargos e Benefícios'!Z287+'Encargos e Benefícios'!AA287+'Encargos e Benefícios'!AB287+'Gastos com Pessoal'!P288)*5.84%</f>
        <v>38.600694720000007</v>
      </c>
      <c r="W288" s="256">
        <f>('Encargos e Benefícios'!V287+'Gastos com Pessoal'!Q288)*5.84%</f>
        <v>8.3666774016000005</v>
      </c>
      <c r="X288" s="256"/>
      <c r="Y288" s="293">
        <v>46508</v>
      </c>
      <c r="Z288" s="294">
        <v>5.8400000000000001E-2</v>
      </c>
      <c r="AA288" s="256">
        <f>('Encargos e Benefícios'!W287+'Gastos com Pessoal'!O288+'Gastos com Pessoal'!U288)*5.84%</f>
        <v>69.240842031513608</v>
      </c>
      <c r="AB288" s="256">
        <f>('Encargos e Benefícios'!X287+'Encargos e Benefícios'!Y287+'Encargos e Benefícios'!Z287+'Encargos e Benefícios'!AA287+'Encargos e Benefícios'!AB287+'Gastos com Pessoal'!P288+'Gastos com Pessoal'!V288)*5.84%</f>
        <v>40.854975291648003</v>
      </c>
      <c r="AC288" s="256">
        <f>('Encargos e Benefícios'!V287+'Gastos com Pessoal'!Q288+'Gastos com Pessoal'!W288)*5.84%</f>
        <v>8.8552913618534408</v>
      </c>
      <c r="AD288" s="256"/>
      <c r="AE288" s="293">
        <v>46874</v>
      </c>
      <c r="AF288" s="294">
        <v>5.8400000000000001E-2</v>
      </c>
      <c r="AG288" s="256">
        <f>('Encargos e Benefícios'!W287+'Gastos com Pessoal'!O288+'Gastos com Pessoal'!U288+'Gastos com Pessoal'!AA288)*5.84%</f>
        <v>73.284507206154004</v>
      </c>
      <c r="AH288" s="256">
        <f>('Encargos e Benefícios'!X287+'Encargos e Benefícios'!Y287+'Encargos e Benefícios'!Z287+'Encargos e Benefícios'!AA287+'Encargos e Benefícios'!AB287+'Gastos com Pessoal'!P288+'Gastos com Pessoal'!V288+'Gastos com Pessoal'!AB288)*5.84%</f>
        <v>43.240905848680242</v>
      </c>
      <c r="AI288" s="256">
        <f>('Encargos e Benefícios'!V287+'Gastos com Pessoal'!Q288+'Gastos com Pessoal'!W288+'Gastos com Pessoal'!AC288)*5.84%</f>
        <v>9.3724403773856828</v>
      </c>
      <c r="AJ288" s="257"/>
      <c r="AK288" s="296">
        <f>'Encargos e Benefícios'!D287</f>
        <v>2010.96</v>
      </c>
      <c r="AL288" s="296">
        <f>IF('Encargos e Benefícios'!C287=0,0,'Encargos e Benefícios'!U287/'Encargos e Benefícios'!C287)</f>
        <v>2942.4053904000002</v>
      </c>
      <c r="AM288" s="296">
        <f>IF('Encargos e Benefícios'!C287=0,0,'Encargos e Benefícios'!AC287/'Encargos e Benefícios'!C287)</f>
        <v>909.13000000000011</v>
      </c>
      <c r="AN288" s="297">
        <f>IF('Encargos e Benefícios'!C287=0,0,'Encargos e Benefícios'!AD287/'Encargos e Benefícios'!C287)</f>
        <v>5862.4953904000004</v>
      </c>
      <c r="AO288" s="188">
        <v>3219.15</v>
      </c>
      <c r="AP288" s="298">
        <v>1764.5</v>
      </c>
      <c r="AQ288" s="298">
        <v>4673.8</v>
      </c>
      <c r="AR288" s="299" t="s">
        <v>120</v>
      </c>
      <c r="AS288" s="188"/>
    </row>
    <row r="289" spans="1:45">
      <c r="A289" s="286">
        <v>283</v>
      </c>
      <c r="B289" s="81" t="str">
        <f>'Encargos e Benefícios'!B288</f>
        <v>Socioeducador - D</v>
      </c>
      <c r="C289" s="287">
        <f>'Encargos e Benefícios'!C288</f>
        <v>12</v>
      </c>
      <c r="D289" s="288" t="s">
        <v>496</v>
      </c>
      <c r="E289" s="300">
        <v>45658</v>
      </c>
      <c r="F289" s="301">
        <v>47058</v>
      </c>
      <c r="G289" s="293"/>
      <c r="H289" s="294"/>
      <c r="I289" s="256"/>
      <c r="J289" s="256"/>
      <c r="K289" s="256"/>
      <c r="L289" s="256"/>
      <c r="M289" s="293">
        <v>45778</v>
      </c>
      <c r="N289" s="294">
        <v>5.8400000000000001E-2</v>
      </c>
      <c r="O289" s="256">
        <f>'Encargos e Benefícios'!W288*5.84%</f>
        <v>370.86336000000006</v>
      </c>
      <c r="P289" s="256">
        <f>('Encargos e Benefícios'!X288+'Encargos e Benefícios'!Y288+'Encargos e Benefícios'!Z288+'Encargos e Benefícios'!AA288+'Encargos e Benefícios'!AB288)*5.84%</f>
        <v>218.82480000000001</v>
      </c>
      <c r="Q289" s="256">
        <f>'Encargos e Benefícios'!V288*5.84%</f>
        <v>47.430144000000006</v>
      </c>
      <c r="R289" s="256"/>
      <c r="S289" s="293">
        <v>46143</v>
      </c>
      <c r="T289" s="294">
        <v>5.8400000000000001E-2</v>
      </c>
      <c r="U289" s="256">
        <f>('Encargos e Benefícios'!W288+'Gastos com Pessoal'!O289)*5.84%</f>
        <v>392.52178022400005</v>
      </c>
      <c r="V289" s="256">
        <f>('Encargos e Benefícios'!X288+'Encargos e Benefícios'!Y288+'Encargos e Benefícios'!Z288+'Encargos e Benefícios'!AA288+'Encargos e Benefícios'!AB288+'Gastos com Pessoal'!P289)*5.84%</f>
        <v>231.60416831999999</v>
      </c>
      <c r="W289" s="256">
        <f>('Encargos e Benefícios'!V288+'Gastos com Pessoal'!Q289)*5.84%</f>
        <v>50.20006440960001</v>
      </c>
      <c r="X289" s="256"/>
      <c r="Y289" s="293">
        <v>46508</v>
      </c>
      <c r="Z289" s="294">
        <v>5.8400000000000001E-2</v>
      </c>
      <c r="AA289" s="256">
        <f>('Encargos e Benefícios'!W288+'Gastos com Pessoal'!O289+'Gastos com Pessoal'!U289)*5.84%</f>
        <v>415.44505218908165</v>
      </c>
      <c r="AB289" s="256">
        <f>('Encargos e Benefícios'!X288+'Encargos e Benefícios'!Y288+'Encargos e Benefícios'!Z288+'Encargos e Benefícios'!AA288+'Encargos e Benefícios'!AB288+'Gastos com Pessoal'!P289+'Gastos com Pessoal'!V289)*5.84%</f>
        <v>245.12985174988796</v>
      </c>
      <c r="AC289" s="256">
        <f>('Encargos e Benefícios'!V288+'Gastos com Pessoal'!Q289+'Gastos com Pessoal'!W289)*5.84%</f>
        <v>53.131748171120648</v>
      </c>
      <c r="AD289" s="256"/>
      <c r="AE289" s="293">
        <v>46874</v>
      </c>
      <c r="AF289" s="294">
        <v>5.8400000000000001E-2</v>
      </c>
      <c r="AG289" s="256">
        <f>('Encargos e Benefícios'!W288+'Gastos com Pessoal'!O289+'Gastos com Pessoal'!U289+'Gastos com Pessoal'!AA289)*5.84%</f>
        <v>439.70704323692399</v>
      </c>
      <c r="AH289" s="256">
        <f>('Encargos e Benefícios'!X288+'Encargos e Benefícios'!Y288+'Encargos e Benefícios'!Z288+'Encargos e Benefícios'!AA288+'Encargos e Benefícios'!AB288+'Gastos com Pessoal'!P289+'Gastos com Pessoal'!V289+'Gastos com Pessoal'!AB289)*5.84%</f>
        <v>259.44543509208142</v>
      </c>
      <c r="AI289" s="256">
        <f>('Encargos e Benefícios'!V288+'Gastos com Pessoal'!Q289+'Gastos com Pessoal'!W289+'Gastos com Pessoal'!AC289)*5.84%</f>
        <v>56.234642264314097</v>
      </c>
      <c r="AJ289" s="257"/>
      <c r="AK289" s="296">
        <f>'Encargos e Benefícios'!D288</f>
        <v>2010.96</v>
      </c>
      <c r="AL289" s="296">
        <f>IF('Encargos e Benefícios'!C288=0,0,'Encargos e Benefícios'!U288/'Encargos e Benefícios'!C288)</f>
        <v>2591.2415003999999</v>
      </c>
      <c r="AM289" s="296">
        <f>IF('Encargos e Benefícios'!C288=0,0,'Encargos e Benefícios'!AC288/'Encargos e Benefícios'!C288)</f>
        <v>909.13</v>
      </c>
      <c r="AN289" s="297">
        <f>IF('Encargos e Benefícios'!C288=0,0,'Encargos e Benefícios'!AD288/'Encargos e Benefícios'!C288)</f>
        <v>5511.3315003999996</v>
      </c>
      <c r="AO289" s="188">
        <v>3219.15</v>
      </c>
      <c r="AP289" s="298">
        <v>1764.5</v>
      </c>
      <c r="AQ289" s="298">
        <v>4673.8</v>
      </c>
      <c r="AR289" s="299" t="s">
        <v>120</v>
      </c>
      <c r="AS289" s="188"/>
    </row>
    <row r="290" spans="1:45">
      <c r="A290" s="286">
        <v>284</v>
      </c>
      <c r="B290" s="81" t="str">
        <f>'Encargos e Benefícios'!B289</f>
        <v>Socioeducador - NC</v>
      </c>
      <c r="C290" s="287">
        <f>'Encargos e Benefícios'!C289</f>
        <v>2</v>
      </c>
      <c r="D290" s="288" t="s">
        <v>496</v>
      </c>
      <c r="E290" s="300">
        <v>45658</v>
      </c>
      <c r="F290" s="301">
        <v>47058</v>
      </c>
      <c r="G290" s="293"/>
      <c r="H290" s="294"/>
      <c r="I290" s="256"/>
      <c r="J290" s="256"/>
      <c r="K290" s="256"/>
      <c r="L290" s="256"/>
      <c r="M290" s="293">
        <v>45778</v>
      </c>
      <c r="N290" s="294">
        <v>5.8400000000000001E-2</v>
      </c>
      <c r="O290" s="256">
        <f>'Encargos e Benefícios'!W289*5.84%</f>
        <v>61.810560000000002</v>
      </c>
      <c r="P290" s="256">
        <f>('Encargos e Benefícios'!X289+'Encargos e Benefícios'!Y289+'Encargos e Benefícios'!Z289+'Encargos e Benefícios'!AA289+'Encargos e Benefícios'!AB289)*5.84%</f>
        <v>36.470799999999997</v>
      </c>
      <c r="Q290" s="256">
        <f>'Encargos e Benefícios'!V289*5.84%</f>
        <v>7.9050240000000009</v>
      </c>
      <c r="R290" s="256"/>
      <c r="S290" s="293">
        <v>46143</v>
      </c>
      <c r="T290" s="294">
        <v>5.8400000000000001E-2</v>
      </c>
      <c r="U290" s="256">
        <f>('Encargos e Benefícios'!W289+'Gastos com Pessoal'!O290)*5.84%</f>
        <v>65.420296703999995</v>
      </c>
      <c r="V290" s="256">
        <f>('Encargos e Benefícios'!X289+'Encargos e Benefícios'!Y289+'Encargos e Benefícios'!Z289+'Encargos e Benefícios'!AA289+'Encargos e Benefícios'!AB289+'Gastos com Pessoal'!P290)*5.84%</f>
        <v>38.600694720000007</v>
      </c>
      <c r="W290" s="256">
        <f>('Encargos e Benefícios'!V289+'Gastos com Pessoal'!Q290)*5.84%</f>
        <v>8.3666774016000005</v>
      </c>
      <c r="X290" s="256"/>
      <c r="Y290" s="293">
        <v>46508</v>
      </c>
      <c r="Z290" s="294">
        <v>5.8400000000000001E-2</v>
      </c>
      <c r="AA290" s="256">
        <f>('Encargos e Benefícios'!W289+'Gastos com Pessoal'!O290+'Gastos com Pessoal'!U290)*5.84%</f>
        <v>69.240842031513608</v>
      </c>
      <c r="AB290" s="256">
        <f>('Encargos e Benefícios'!X289+'Encargos e Benefícios'!Y289+'Encargos e Benefícios'!Z289+'Encargos e Benefícios'!AA289+'Encargos e Benefícios'!AB289+'Gastos com Pessoal'!P290+'Gastos com Pessoal'!V290)*5.84%</f>
        <v>40.854975291648003</v>
      </c>
      <c r="AC290" s="256">
        <f>('Encargos e Benefícios'!V289+'Gastos com Pessoal'!Q290+'Gastos com Pessoal'!W290)*5.84%</f>
        <v>8.8552913618534408</v>
      </c>
      <c r="AD290" s="256"/>
      <c r="AE290" s="293">
        <v>46874</v>
      </c>
      <c r="AF290" s="294">
        <v>5.8400000000000001E-2</v>
      </c>
      <c r="AG290" s="256">
        <f>('Encargos e Benefícios'!W289+'Gastos com Pessoal'!O290+'Gastos com Pessoal'!U290+'Gastos com Pessoal'!AA290)*5.84%</f>
        <v>73.284507206154004</v>
      </c>
      <c r="AH290" s="256">
        <f>('Encargos e Benefícios'!X289+'Encargos e Benefícios'!Y289+'Encargos e Benefícios'!Z289+'Encargos e Benefícios'!AA289+'Encargos e Benefícios'!AB289+'Gastos com Pessoal'!P290+'Gastos com Pessoal'!V290+'Gastos com Pessoal'!AB290)*5.84%</f>
        <v>43.240905848680242</v>
      </c>
      <c r="AI290" s="256">
        <f>('Encargos e Benefícios'!V289+'Gastos com Pessoal'!Q290+'Gastos com Pessoal'!W290+'Gastos com Pessoal'!AC290)*5.84%</f>
        <v>9.3724403773856828</v>
      </c>
      <c r="AJ290" s="257"/>
      <c r="AK290" s="296">
        <f>'Encargos e Benefícios'!D289</f>
        <v>2010.96</v>
      </c>
      <c r="AL290" s="296">
        <f>IF('Encargos e Benefícios'!C289=0,0,'Encargos e Benefícios'!U289/'Encargos e Benefícios'!C289)</f>
        <v>3553.5688062933345</v>
      </c>
      <c r="AM290" s="296">
        <f>IF('Encargos e Benefícios'!C289=0,0,'Encargos e Benefícios'!AC289/'Encargos e Benefícios'!C289)</f>
        <v>909.13000000000011</v>
      </c>
      <c r="AN290" s="297">
        <f>IF('Encargos e Benefícios'!C289=0,0,'Encargos e Benefícios'!AD289/'Encargos e Benefícios'!C289)</f>
        <v>6473.6588062933342</v>
      </c>
      <c r="AO290" s="188">
        <v>3219.15</v>
      </c>
      <c r="AP290" s="298">
        <v>1764.5</v>
      </c>
      <c r="AQ290" s="298">
        <v>4673.8</v>
      </c>
      <c r="AR290" s="299" t="s">
        <v>120</v>
      </c>
      <c r="AS290" s="188"/>
    </row>
    <row r="291" spans="1:45">
      <c r="A291" s="286">
        <v>285</v>
      </c>
      <c r="B291" s="81" t="str">
        <f>'Encargos e Benefícios'!B290</f>
        <v>Socioeducador - N</v>
      </c>
      <c r="C291" s="287">
        <f>'Encargos e Benefícios'!C290</f>
        <v>6</v>
      </c>
      <c r="D291" s="288" t="s">
        <v>496</v>
      </c>
      <c r="E291" s="300">
        <v>45658</v>
      </c>
      <c r="F291" s="301">
        <v>47058</v>
      </c>
      <c r="G291" s="293"/>
      <c r="H291" s="294"/>
      <c r="I291" s="256"/>
      <c r="J291" s="256"/>
      <c r="K291" s="256"/>
      <c r="L291" s="256"/>
      <c r="M291" s="293">
        <v>45778</v>
      </c>
      <c r="N291" s="294">
        <v>5.8400000000000001E-2</v>
      </c>
      <c r="O291" s="256">
        <f>'Encargos e Benefícios'!W290*5.84%</f>
        <v>185.43168000000003</v>
      </c>
      <c r="P291" s="256">
        <f>('Encargos e Benefícios'!X290+'Encargos e Benefícios'!Y290+'Encargos e Benefícios'!Z290+'Encargos e Benefícios'!AA290+'Encargos e Benefícios'!AB290)*5.84%</f>
        <v>109.41240000000001</v>
      </c>
      <c r="Q291" s="256">
        <f>'Encargos e Benefícios'!V290*5.84%</f>
        <v>23.715072000000003</v>
      </c>
      <c r="R291" s="256"/>
      <c r="S291" s="293">
        <v>46143</v>
      </c>
      <c r="T291" s="294">
        <v>5.8400000000000001E-2</v>
      </c>
      <c r="U291" s="256">
        <f>('Encargos e Benefícios'!W290+'Gastos com Pessoal'!O291)*5.84%</f>
        <v>196.26089011200003</v>
      </c>
      <c r="V291" s="256">
        <f>('Encargos e Benefícios'!X290+'Encargos e Benefícios'!Y290+'Encargos e Benefícios'!Z290+'Encargos e Benefícios'!AA290+'Encargos e Benefícios'!AB290+'Gastos com Pessoal'!P291)*5.84%</f>
        <v>115.80208415999999</v>
      </c>
      <c r="W291" s="256">
        <f>('Encargos e Benefícios'!V290+'Gastos com Pessoal'!Q291)*5.84%</f>
        <v>25.100032204800005</v>
      </c>
      <c r="X291" s="256"/>
      <c r="Y291" s="293">
        <v>46508</v>
      </c>
      <c r="Z291" s="294">
        <v>5.8400000000000001E-2</v>
      </c>
      <c r="AA291" s="256">
        <f>('Encargos e Benefícios'!W290+'Gastos com Pessoal'!O291+'Gastos com Pessoal'!U291)*5.84%</f>
        <v>207.72252609454083</v>
      </c>
      <c r="AB291" s="256">
        <f>('Encargos e Benefícios'!X290+'Encargos e Benefícios'!Y290+'Encargos e Benefícios'!Z290+'Encargos e Benefícios'!AA290+'Encargos e Benefícios'!AB290+'Gastos com Pessoal'!P291+'Gastos com Pessoal'!V291)*5.84%</f>
        <v>122.56492587494398</v>
      </c>
      <c r="AC291" s="256">
        <f>('Encargos e Benefícios'!V290+'Gastos com Pessoal'!Q291+'Gastos com Pessoal'!W291)*5.84%</f>
        <v>26.565874085560324</v>
      </c>
      <c r="AD291" s="256"/>
      <c r="AE291" s="293">
        <v>46874</v>
      </c>
      <c r="AF291" s="294">
        <v>5.8400000000000001E-2</v>
      </c>
      <c r="AG291" s="256">
        <f>('Encargos e Benefícios'!W290+'Gastos com Pessoal'!O291+'Gastos com Pessoal'!U291+'Gastos com Pessoal'!AA291)*5.84%</f>
        <v>219.853521618462</v>
      </c>
      <c r="AH291" s="256">
        <f>('Encargos e Benefícios'!X290+'Encargos e Benefícios'!Y290+'Encargos e Benefícios'!Z290+'Encargos e Benefícios'!AA290+'Encargos e Benefícios'!AB290+'Gastos com Pessoal'!P291+'Gastos com Pessoal'!V291+'Gastos com Pessoal'!AB291)*5.84%</f>
        <v>129.72271754604071</v>
      </c>
      <c r="AI291" s="256">
        <f>('Encargos e Benefícios'!V290+'Gastos com Pessoal'!Q291+'Gastos com Pessoal'!W291+'Gastos com Pessoal'!AC291)*5.84%</f>
        <v>28.117321132157048</v>
      </c>
      <c r="AJ291" s="257"/>
      <c r="AK291" s="296">
        <f>'Encargos e Benefícios'!D290</f>
        <v>2010.96</v>
      </c>
      <c r="AL291" s="296">
        <f>IF('Encargos e Benefícios'!C290=0,0,'Encargos e Benefícios'!U290/'Encargos e Benefícios'!C290)</f>
        <v>3202.4049162933329</v>
      </c>
      <c r="AM291" s="296">
        <f>IF('Encargos e Benefícios'!C290=0,0,'Encargos e Benefícios'!AC290/'Encargos e Benefícios'!C290)</f>
        <v>909.13</v>
      </c>
      <c r="AN291" s="297">
        <f>IF('Encargos e Benefícios'!C290=0,0,'Encargos e Benefícios'!AD290/'Encargos e Benefícios'!C290)</f>
        <v>6122.4949162933326</v>
      </c>
      <c r="AO291" s="188">
        <v>3219.15</v>
      </c>
      <c r="AP291" s="298">
        <v>1764.5</v>
      </c>
      <c r="AQ291" s="298">
        <v>4673.8</v>
      </c>
      <c r="AR291" s="299" t="s">
        <v>120</v>
      </c>
      <c r="AS291" s="188"/>
    </row>
    <row r="292" spans="1:45">
      <c r="A292" s="286">
        <v>286</v>
      </c>
      <c r="B292" s="81" t="str">
        <f>'Encargos e Benefícios'!B291</f>
        <v>Coordenador Técnico 1</v>
      </c>
      <c r="C292" s="287">
        <f>'Encargos e Benefícios'!C291</f>
        <v>1</v>
      </c>
      <c r="D292" s="288">
        <v>40</v>
      </c>
      <c r="E292" s="300">
        <v>45658</v>
      </c>
      <c r="F292" s="301">
        <v>47058</v>
      </c>
      <c r="G292" s="293"/>
      <c r="H292" s="294"/>
      <c r="I292" s="256"/>
      <c r="J292" s="256"/>
      <c r="K292" s="256"/>
      <c r="L292" s="256"/>
      <c r="M292" s="293">
        <v>45778</v>
      </c>
      <c r="N292" s="294">
        <v>5.8400000000000001E-2</v>
      </c>
      <c r="O292" s="256">
        <f>'Encargos e Benefícios'!W291*5.84%</f>
        <v>30.905280000000001</v>
      </c>
      <c r="P292" s="256">
        <f>('Encargos e Benefícios'!X291+'Encargos e Benefícios'!Y291+'Encargos e Benefícios'!Z291+'Encargos e Benefícios'!AA291+'Encargos e Benefícios'!AB291)*5.84%</f>
        <v>18.235399999999998</v>
      </c>
      <c r="Q292" s="256">
        <f>'Encargos e Benefícios'!V291*5.84%</f>
        <v>0</v>
      </c>
      <c r="R292" s="256"/>
      <c r="S292" s="293">
        <v>46143</v>
      </c>
      <c r="T292" s="294">
        <v>5.8400000000000001E-2</v>
      </c>
      <c r="U292" s="256">
        <f>('Encargos e Benefícios'!W291+'Gastos com Pessoal'!O292)*5.84%</f>
        <v>32.710148351999997</v>
      </c>
      <c r="V292" s="256">
        <f>('Encargos e Benefícios'!X291+'Encargos e Benefícios'!Y291+'Encargos e Benefícios'!Z291+'Encargos e Benefícios'!AA291+'Encargos e Benefícios'!AB291+'Gastos com Pessoal'!P292)*5.84%</f>
        <v>19.300347360000004</v>
      </c>
      <c r="W292" s="256">
        <f>('Encargos e Benefícios'!V291+'Gastos com Pessoal'!Q292)*5.84%</f>
        <v>0</v>
      </c>
      <c r="X292" s="256"/>
      <c r="Y292" s="293">
        <v>46508</v>
      </c>
      <c r="Z292" s="294">
        <v>5.8400000000000001E-2</v>
      </c>
      <c r="AA292" s="256">
        <f>('Encargos e Benefícios'!W291+'Gastos com Pessoal'!O292+'Gastos com Pessoal'!U292)*5.84%</f>
        <v>34.620421015756804</v>
      </c>
      <c r="AB292" s="256">
        <f>('Encargos e Benefícios'!X291+'Encargos e Benefícios'!Y291+'Encargos e Benefícios'!Z291+'Encargos e Benefícios'!AA291+'Encargos e Benefícios'!AB291+'Gastos com Pessoal'!P292+'Gastos com Pessoal'!V292)*5.84%</f>
        <v>20.427487645824002</v>
      </c>
      <c r="AC292" s="256">
        <f>('Encargos e Benefícios'!V291+'Gastos com Pessoal'!Q292+'Gastos com Pessoal'!W292)*5.84%</f>
        <v>0</v>
      </c>
      <c r="AD292" s="256"/>
      <c r="AE292" s="293">
        <v>46874</v>
      </c>
      <c r="AF292" s="294">
        <v>5.8400000000000001E-2</v>
      </c>
      <c r="AG292" s="256">
        <f>('Encargos e Benefícios'!W291+'Gastos com Pessoal'!O292+'Gastos com Pessoal'!U292+'Gastos com Pessoal'!AA292)*5.84%</f>
        <v>36.642253603077002</v>
      </c>
      <c r="AH292" s="256">
        <f>('Encargos e Benefícios'!X291+'Encargos e Benefícios'!Y291+'Encargos e Benefícios'!Z291+'Encargos e Benefícios'!AA291+'Encargos e Benefícios'!AB291+'Gastos com Pessoal'!P292+'Gastos com Pessoal'!V292+'Gastos com Pessoal'!AB292)*5.84%</f>
        <v>21.620452924340121</v>
      </c>
      <c r="AI292" s="256">
        <f>('Encargos e Benefícios'!V291+'Gastos com Pessoal'!Q292+'Gastos com Pessoal'!W292+'Gastos com Pessoal'!AC292)*5.84%</f>
        <v>0</v>
      </c>
      <c r="AJ292" s="257"/>
      <c r="AK292" s="296">
        <f>'Encargos e Benefícios'!D291</f>
        <v>7620.48</v>
      </c>
      <c r="AL292" s="296">
        <f>IF('Encargos e Benefícios'!C291=0,0,'Encargos e Benefícios'!U291/'Encargos e Benefícios'!C291)</f>
        <v>7830.0326600000017</v>
      </c>
      <c r="AM292" s="296">
        <f>IF('Encargos e Benefícios'!C291=0,0,'Encargos e Benefícios'!AC291/'Encargos e Benefícios'!C291)</f>
        <v>841.45</v>
      </c>
      <c r="AN292" s="297">
        <f>IF('Encargos e Benefícios'!C291=0,0,'Encargos e Benefícios'!AD291/'Encargos e Benefícios'!C291)</f>
        <v>16291.962660000001</v>
      </c>
      <c r="AO292" s="188"/>
      <c r="AP292" s="298"/>
      <c r="AQ292" s="298"/>
      <c r="AR292" s="299" t="s">
        <v>101</v>
      </c>
      <c r="AS292" s="188"/>
    </row>
    <row r="293" spans="1:45">
      <c r="A293" s="286">
        <v>287</v>
      </c>
      <c r="B293" s="81" t="str">
        <f>'Encargos e Benefícios'!B292</f>
        <v>Coordenador Técnico 2</v>
      </c>
      <c r="C293" s="287">
        <f>'Encargos e Benefícios'!C292</f>
        <v>2</v>
      </c>
      <c r="D293" s="288">
        <v>40</v>
      </c>
      <c r="E293" s="300">
        <v>45658</v>
      </c>
      <c r="F293" s="301">
        <v>47058</v>
      </c>
      <c r="G293" s="293"/>
      <c r="H293" s="294"/>
      <c r="I293" s="256"/>
      <c r="J293" s="256"/>
      <c r="K293" s="256"/>
      <c r="L293" s="256"/>
      <c r="M293" s="293">
        <v>45778</v>
      </c>
      <c r="N293" s="294">
        <v>5.8400000000000001E-2</v>
      </c>
      <c r="O293" s="256">
        <f>'Encargos e Benefícios'!W292*5.84%</f>
        <v>61.810560000000002</v>
      </c>
      <c r="P293" s="256">
        <f>('Encargos e Benefícios'!X292+'Encargos e Benefícios'!Y292+'Encargos e Benefícios'!Z292+'Encargos e Benefícios'!AA292+'Encargos e Benefícios'!AB292)*5.84%</f>
        <v>36.470799999999997</v>
      </c>
      <c r="Q293" s="256">
        <f>'Encargos e Benefícios'!V292*5.84%</f>
        <v>0</v>
      </c>
      <c r="R293" s="256"/>
      <c r="S293" s="293">
        <v>46143</v>
      </c>
      <c r="T293" s="294">
        <v>5.8400000000000001E-2</v>
      </c>
      <c r="U293" s="256">
        <f>('Encargos e Benefícios'!W292+'Gastos com Pessoal'!O293)*5.84%</f>
        <v>65.420296703999995</v>
      </c>
      <c r="V293" s="256">
        <f>('Encargos e Benefícios'!X292+'Encargos e Benefícios'!Y292+'Encargos e Benefícios'!Z292+'Encargos e Benefícios'!AA292+'Encargos e Benefícios'!AB292+'Gastos com Pessoal'!P293)*5.84%</f>
        <v>38.600694720000007</v>
      </c>
      <c r="W293" s="256">
        <f>('Encargos e Benefícios'!V292+'Gastos com Pessoal'!Q293)*5.84%</f>
        <v>0</v>
      </c>
      <c r="X293" s="256"/>
      <c r="Y293" s="293">
        <v>46508</v>
      </c>
      <c r="Z293" s="294">
        <v>5.8400000000000001E-2</v>
      </c>
      <c r="AA293" s="256">
        <f>('Encargos e Benefícios'!W292+'Gastos com Pessoal'!O293+'Gastos com Pessoal'!U293)*5.84%</f>
        <v>69.240842031513608</v>
      </c>
      <c r="AB293" s="256">
        <f>('Encargos e Benefícios'!X292+'Encargos e Benefícios'!Y292+'Encargos e Benefícios'!Z292+'Encargos e Benefícios'!AA292+'Encargos e Benefícios'!AB292+'Gastos com Pessoal'!P293+'Gastos com Pessoal'!V293)*5.84%</f>
        <v>40.854975291648003</v>
      </c>
      <c r="AC293" s="256">
        <f>('Encargos e Benefícios'!V292+'Gastos com Pessoal'!Q293+'Gastos com Pessoal'!W293)*5.84%</f>
        <v>0</v>
      </c>
      <c r="AD293" s="256"/>
      <c r="AE293" s="293">
        <v>46874</v>
      </c>
      <c r="AF293" s="294">
        <v>5.8400000000000001E-2</v>
      </c>
      <c r="AG293" s="256">
        <f>('Encargos e Benefícios'!W292+'Gastos com Pessoal'!O293+'Gastos com Pessoal'!U293+'Gastos com Pessoal'!AA293)*5.84%</f>
        <v>73.284507206154004</v>
      </c>
      <c r="AH293" s="256">
        <f>('Encargos e Benefícios'!X292+'Encargos e Benefícios'!Y292+'Encargos e Benefícios'!Z292+'Encargos e Benefícios'!AA292+'Encargos e Benefícios'!AB292+'Gastos com Pessoal'!P293+'Gastos com Pessoal'!V293+'Gastos com Pessoal'!AB293)*5.84%</f>
        <v>43.240905848680242</v>
      </c>
      <c r="AI293" s="256">
        <f>('Encargos e Benefícios'!V292+'Gastos com Pessoal'!Q293+'Gastos com Pessoal'!W293+'Gastos com Pessoal'!AC293)*5.84%</f>
        <v>0</v>
      </c>
      <c r="AJ293" s="257"/>
      <c r="AK293" s="296">
        <f>'Encargos e Benefícios'!D292</f>
        <v>6667.92</v>
      </c>
      <c r="AL293" s="296">
        <f>IF('Encargos e Benefícios'!C292=0,0,'Encargos e Benefícios'!U292/'Encargos e Benefícios'!C292)</f>
        <v>6158.4538900000007</v>
      </c>
      <c r="AM293" s="296">
        <f>IF('Encargos e Benefícios'!C292=0,0,'Encargos e Benefícios'!AC292/'Encargos e Benefícios'!C292)</f>
        <v>841.45</v>
      </c>
      <c r="AN293" s="297">
        <f>IF('Encargos e Benefícios'!C292=0,0,'Encargos e Benefícios'!AD292/'Encargos e Benefícios'!C292)</f>
        <v>13667.823890000001</v>
      </c>
      <c r="AO293" s="188"/>
      <c r="AP293" s="298"/>
      <c r="AQ293" s="298"/>
      <c r="AR293" s="299" t="s">
        <v>101</v>
      </c>
      <c r="AS293" s="188"/>
    </row>
    <row r="294" spans="1:45" ht="13" thickBot="1">
      <c r="A294" s="286">
        <v>288</v>
      </c>
      <c r="B294" s="81" t="str">
        <f>'Encargos e Benefícios'!B293</f>
        <v>Analista Administrativo</v>
      </c>
      <c r="C294" s="287">
        <f>'Encargos e Benefícios'!C293</f>
        <v>5</v>
      </c>
      <c r="D294" s="288">
        <v>44</v>
      </c>
      <c r="E294" s="300">
        <v>45658</v>
      </c>
      <c r="F294" s="301">
        <v>47058</v>
      </c>
      <c r="G294" s="293"/>
      <c r="H294" s="294"/>
      <c r="I294" s="256"/>
      <c r="J294" s="256"/>
      <c r="K294" s="256"/>
      <c r="L294" s="256"/>
      <c r="M294" s="293">
        <v>45778</v>
      </c>
      <c r="N294" s="304">
        <v>5.8400000000000001E-2</v>
      </c>
      <c r="O294" s="256">
        <f>'Encargos e Benefícios'!W293*5.84%</f>
        <v>154.5264</v>
      </c>
      <c r="P294" s="256">
        <f>('Encargos e Benefícios'!X293+'Encargos e Benefícios'!Y293+'Encargos e Benefícios'!Z293+'Encargos e Benefícios'!AA293+'Encargos e Benefícios'!AB293)*5.84%</f>
        <v>91.177000000000007</v>
      </c>
      <c r="Q294" s="256">
        <f>'Encargos e Benefícios'!V293*5.84%</f>
        <v>27.17352</v>
      </c>
      <c r="R294" s="256"/>
      <c r="S294" s="293">
        <v>46143</v>
      </c>
      <c r="T294" s="294">
        <v>5.8400000000000001E-2</v>
      </c>
      <c r="U294" s="256">
        <f>('Encargos e Benefícios'!W293+'Gastos com Pessoal'!O294)*5.84%</f>
        <v>163.55074176000002</v>
      </c>
      <c r="V294" s="256">
        <f>('Encargos e Benefícios'!X293+'Encargos e Benefícios'!Y293+'Encargos e Benefícios'!Z293+'Encargos e Benefícios'!AA293+'Encargos e Benefícios'!AB293+'Gastos com Pessoal'!P294)*5.84%</f>
        <v>96.501736799999989</v>
      </c>
      <c r="W294" s="256">
        <f>('Encargos e Benefícios'!V293+'Gastos com Pessoal'!Q294)*5.84%</f>
        <v>28.760453567999999</v>
      </c>
      <c r="X294" s="256"/>
      <c r="Y294" s="293">
        <v>46508</v>
      </c>
      <c r="Z294" s="294">
        <v>5.8400000000000001E-2</v>
      </c>
      <c r="AA294" s="256">
        <f>('Encargos e Benefícios'!W293+'Gastos com Pessoal'!O294+'Gastos com Pessoal'!U294)*5.84%</f>
        <v>173.10210507878404</v>
      </c>
      <c r="AB294" s="256">
        <f>('Encargos e Benefícios'!X293+'Encargos e Benefícios'!Y293+'Encargos e Benefícios'!Z293+'Encargos e Benefícios'!AA293+'Encargos e Benefícios'!AB293+'Gastos com Pessoal'!P294+'Gastos com Pessoal'!V294)*5.84%</f>
        <v>102.13743822911999</v>
      </c>
      <c r="AC294" s="256">
        <f>('Encargos e Benefícios'!V293+'Gastos com Pessoal'!Q294+'Gastos com Pessoal'!W294)*5.84%</f>
        <v>30.440064056371202</v>
      </c>
      <c r="AD294" s="256"/>
      <c r="AE294" s="293">
        <v>46874</v>
      </c>
      <c r="AF294" s="294">
        <v>5.8400000000000001E-2</v>
      </c>
      <c r="AG294" s="256">
        <f>('Encargos e Benefícios'!W293+'Gastos com Pessoal'!O294+'Gastos com Pessoal'!U294+'Gastos com Pessoal'!AA294)*5.84%</f>
        <v>183.211268015385</v>
      </c>
      <c r="AH294" s="256">
        <f>('Encargos e Benefícios'!X293+'Encargos e Benefícios'!Y293+'Encargos e Benefícios'!Z293+'Encargos e Benefícios'!AA293+'Encargos e Benefícios'!AB293+'Gastos com Pessoal'!P294+'Gastos com Pessoal'!V294+'Gastos com Pessoal'!AB294)*5.84%</f>
        <v>108.10226462170058</v>
      </c>
      <c r="AI294" s="256">
        <f>('Encargos e Benefícios'!V293+'Gastos com Pessoal'!Q294+'Gastos com Pessoal'!W294+'Gastos com Pessoal'!AC294)*5.84%</f>
        <v>32.217763797263274</v>
      </c>
      <c r="AJ294" s="257"/>
      <c r="AK294" s="296">
        <f>'Encargos e Benefícios'!D293</f>
        <v>2963.52</v>
      </c>
      <c r="AL294" s="296">
        <f>IF('Encargos e Benefícios'!C293=0,0,'Encargos e Benefícios'!U293/'Encargos e Benefícios'!C293)</f>
        <v>2326.5278399999997</v>
      </c>
      <c r="AM294" s="296">
        <f>IF('Encargos e Benefícios'!C293=0,0,'Encargos e Benefícios'!AC293/'Encargos e Benefícios'!C293)</f>
        <v>934.51</v>
      </c>
      <c r="AN294" s="297">
        <f>IF('Encargos e Benefícios'!C293=0,0,'Encargos e Benefícios'!AD293/'Encargos e Benefícios'!C293)</f>
        <v>6224.5578399999995</v>
      </c>
      <c r="AO294" s="188"/>
      <c r="AP294" s="298"/>
      <c r="AQ294" s="298"/>
      <c r="AR294" s="299" t="s">
        <v>101</v>
      </c>
      <c r="AS294" s="188"/>
    </row>
    <row r="295" spans="1:45" ht="13" thickBot="1">
      <c r="A295" s="286">
        <v>289</v>
      </c>
      <c r="B295" s="81" t="str">
        <f>'Encargos e Benefícios'!B294</f>
        <v>Diretor Geral de Unidade Socioeducativa</v>
      </c>
      <c r="C295" s="287">
        <f>'Encargos e Benefícios'!C294</f>
        <v>1</v>
      </c>
      <c r="D295" s="288">
        <v>40</v>
      </c>
      <c r="E295" s="300">
        <v>45658</v>
      </c>
      <c r="F295" s="301">
        <v>47058</v>
      </c>
      <c r="G295" s="293"/>
      <c r="H295" s="292"/>
      <c r="I295" s="256"/>
      <c r="J295" s="256"/>
      <c r="K295" s="256"/>
      <c r="L295" s="256"/>
      <c r="M295" s="293">
        <v>45778</v>
      </c>
      <c r="N295" s="292">
        <v>5.8400000000000001E-2</v>
      </c>
      <c r="O295" s="256">
        <f>'Encargos e Benefícios'!W294*5.84%</f>
        <v>30.905280000000001</v>
      </c>
      <c r="P295" s="256">
        <f>('Encargos e Benefícios'!X294+'Encargos e Benefícios'!Y294+'Encargos e Benefícios'!Z294+'Encargos e Benefícios'!AA294+'Encargos e Benefícios'!AB294)*5.84%</f>
        <v>18.235399999999998</v>
      </c>
      <c r="Q295" s="256">
        <f>'Encargos e Benefícios'!V294*5.84%</f>
        <v>0</v>
      </c>
      <c r="R295" s="256"/>
      <c r="S295" s="293">
        <v>46143</v>
      </c>
      <c r="T295" s="294">
        <v>5.8400000000000001E-2</v>
      </c>
      <c r="U295" s="256">
        <f>('Encargos e Benefícios'!W294+'Gastos com Pessoal'!O295)*5.84%</f>
        <v>32.710148351999997</v>
      </c>
      <c r="V295" s="256">
        <f>('Encargos e Benefícios'!X294+'Encargos e Benefícios'!Y294+'Encargos e Benefícios'!Z294+'Encargos e Benefícios'!AA294+'Encargos e Benefícios'!AB294+'Gastos com Pessoal'!P295)*5.84%</f>
        <v>19.300347360000004</v>
      </c>
      <c r="W295" s="256">
        <f>('Encargos e Benefícios'!V294+'Gastos com Pessoal'!Q295)*5.84%</f>
        <v>0</v>
      </c>
      <c r="X295" s="256"/>
      <c r="Y295" s="293">
        <v>46508</v>
      </c>
      <c r="Z295" s="294">
        <v>5.8400000000000001E-2</v>
      </c>
      <c r="AA295" s="256">
        <f>('Encargos e Benefícios'!W294+'Gastos com Pessoal'!O295+'Gastos com Pessoal'!U295)*5.84%</f>
        <v>34.620421015756804</v>
      </c>
      <c r="AB295" s="256">
        <f>('Encargos e Benefícios'!X294+'Encargos e Benefícios'!Y294+'Encargos e Benefícios'!Z294+'Encargos e Benefícios'!AA294+'Encargos e Benefícios'!AB294+'Gastos com Pessoal'!P295+'Gastos com Pessoal'!V295)*5.84%</f>
        <v>20.427487645824002</v>
      </c>
      <c r="AC295" s="256">
        <f>('Encargos e Benefícios'!V294+'Gastos com Pessoal'!Q295+'Gastos com Pessoal'!W295)*5.84%</f>
        <v>0</v>
      </c>
      <c r="AD295" s="256"/>
      <c r="AE295" s="293">
        <v>46874</v>
      </c>
      <c r="AF295" s="294">
        <v>5.8400000000000001E-2</v>
      </c>
      <c r="AG295" s="256">
        <f>('Encargos e Benefícios'!W294+'Gastos com Pessoal'!O295+'Gastos com Pessoal'!U295+'Gastos com Pessoal'!AA295)*5.84%</f>
        <v>36.642253603077002</v>
      </c>
      <c r="AH295" s="256">
        <f>('Encargos e Benefícios'!X294+'Encargos e Benefícios'!Y294+'Encargos e Benefícios'!Z294+'Encargos e Benefícios'!AA294+'Encargos e Benefícios'!AB294+'Gastos com Pessoal'!P295+'Gastos com Pessoal'!V295+'Gastos com Pessoal'!AB295)*5.84%</f>
        <v>21.620452924340121</v>
      </c>
      <c r="AI295" s="256">
        <f>('Encargos e Benefícios'!V294+'Gastos com Pessoal'!Q295+'Gastos com Pessoal'!W295+'Gastos com Pessoal'!AC295)*5.84%</f>
        <v>0</v>
      </c>
      <c r="AJ295" s="257"/>
      <c r="AK295" s="296">
        <f>'Encargos e Benefícios'!D294</f>
        <v>6879.6</v>
      </c>
      <c r="AL295" s="296">
        <f>IF('Encargos e Benefícios'!C294=0,0,'Encargos e Benefícios'!U294/'Encargos e Benefícios'!C294)</f>
        <v>5400.8682000000008</v>
      </c>
      <c r="AM295" s="296">
        <f>IF('Encargos e Benefícios'!C294=0,0,'Encargos e Benefícios'!AC294/'Encargos e Benefícios'!C294)</f>
        <v>841.45</v>
      </c>
      <c r="AN295" s="297">
        <f>IF('Encargos e Benefícios'!C294=0,0,'Encargos e Benefícios'!AD294/'Encargos e Benefícios'!C294)</f>
        <v>13121.918200000002</v>
      </c>
      <c r="AO295" s="188">
        <v>6052.24</v>
      </c>
      <c r="AP295" s="298">
        <v>4239.6899999999996</v>
      </c>
      <c r="AQ295" s="298">
        <v>7864.78</v>
      </c>
      <c r="AR295" s="302" t="s">
        <v>688</v>
      </c>
      <c r="AS295" s="188"/>
    </row>
    <row r="296" spans="1:45" ht="13" thickBot="1">
      <c r="A296" s="286">
        <v>290</v>
      </c>
      <c r="B296" s="81" t="str">
        <f>'Encargos e Benefícios'!B295</f>
        <v>Subdiretor de Segurança</v>
      </c>
      <c r="C296" s="287">
        <f>'Encargos e Benefícios'!C295</f>
        <v>1</v>
      </c>
      <c r="D296" s="288">
        <v>40</v>
      </c>
      <c r="E296" s="300">
        <v>45658</v>
      </c>
      <c r="F296" s="301">
        <v>47058</v>
      </c>
      <c r="G296" s="293"/>
      <c r="H296" s="292"/>
      <c r="I296" s="256"/>
      <c r="J296" s="256"/>
      <c r="K296" s="256"/>
      <c r="L296" s="256"/>
      <c r="M296" s="293">
        <v>45778</v>
      </c>
      <c r="N296" s="292">
        <v>5.8400000000000001E-2</v>
      </c>
      <c r="O296" s="256">
        <f>'Encargos e Benefícios'!W295*5.84%</f>
        <v>30.905280000000001</v>
      </c>
      <c r="P296" s="256">
        <f>('Encargos e Benefícios'!X295+'Encargos e Benefícios'!Y295+'Encargos e Benefícios'!Z295+'Encargos e Benefícios'!AA295+'Encargos e Benefícios'!AB295)*5.84%</f>
        <v>18.235399999999998</v>
      </c>
      <c r="Q296" s="256">
        <f>'Encargos e Benefícios'!V295*5.84%</f>
        <v>0</v>
      </c>
      <c r="R296" s="256"/>
      <c r="S296" s="293">
        <v>46143</v>
      </c>
      <c r="T296" s="294">
        <v>5.8400000000000001E-2</v>
      </c>
      <c r="U296" s="256">
        <f>('Encargos e Benefícios'!W295+'Gastos com Pessoal'!O296)*5.84%</f>
        <v>32.710148351999997</v>
      </c>
      <c r="V296" s="256">
        <f>('Encargos e Benefícios'!X295+'Encargos e Benefícios'!Y295+'Encargos e Benefícios'!Z295+'Encargos e Benefícios'!AA295+'Encargos e Benefícios'!AB295+'Gastos com Pessoal'!P296)*5.84%</f>
        <v>19.300347360000004</v>
      </c>
      <c r="W296" s="256">
        <f>('Encargos e Benefícios'!V295+'Gastos com Pessoal'!Q296)*5.84%</f>
        <v>0</v>
      </c>
      <c r="X296" s="256"/>
      <c r="Y296" s="293">
        <v>46508</v>
      </c>
      <c r="Z296" s="294">
        <v>5.8400000000000001E-2</v>
      </c>
      <c r="AA296" s="256">
        <f>('Encargos e Benefícios'!W295+'Gastos com Pessoal'!O296+'Gastos com Pessoal'!U296)*5.84%</f>
        <v>34.620421015756804</v>
      </c>
      <c r="AB296" s="256">
        <f>('Encargos e Benefícios'!X295+'Encargos e Benefícios'!Y295+'Encargos e Benefícios'!Z295+'Encargos e Benefícios'!AA295+'Encargos e Benefícios'!AB295+'Gastos com Pessoal'!P296+'Gastos com Pessoal'!V296)*5.84%</f>
        <v>20.427487645824002</v>
      </c>
      <c r="AC296" s="256">
        <f>('Encargos e Benefícios'!V295+'Gastos com Pessoal'!Q296+'Gastos com Pessoal'!W296)*5.84%</f>
        <v>0</v>
      </c>
      <c r="AD296" s="256"/>
      <c r="AE296" s="293">
        <v>46874</v>
      </c>
      <c r="AF296" s="294">
        <v>5.8400000000000001E-2</v>
      </c>
      <c r="AG296" s="256">
        <f>('Encargos e Benefícios'!W295+'Gastos com Pessoal'!O296+'Gastos com Pessoal'!U296+'Gastos com Pessoal'!AA296)*5.84%</f>
        <v>36.642253603077002</v>
      </c>
      <c r="AH296" s="256">
        <f>('Encargos e Benefícios'!X295+'Encargos e Benefícios'!Y295+'Encargos e Benefícios'!Z295+'Encargos e Benefícios'!AA295+'Encargos e Benefícios'!AB295+'Gastos com Pessoal'!P296+'Gastos com Pessoal'!V296+'Gastos com Pessoal'!AB296)*5.84%</f>
        <v>21.620452924340121</v>
      </c>
      <c r="AI296" s="256">
        <f>('Encargos e Benefícios'!V295+'Gastos com Pessoal'!Q296+'Gastos com Pessoal'!W296+'Gastos com Pessoal'!AC296)*5.84%</f>
        <v>0</v>
      </c>
      <c r="AJ296" s="257"/>
      <c r="AK296" s="296">
        <f>'Encargos e Benefícios'!D295</f>
        <v>3993.98</v>
      </c>
      <c r="AL296" s="296">
        <f>IF('Encargos e Benefícios'!C295=0,0,'Encargos e Benefícios'!U295/'Encargos e Benefícios'!C295)</f>
        <v>4659.1662746111106</v>
      </c>
      <c r="AM296" s="296">
        <f>IF('Encargos e Benefícios'!C295=0,0,'Encargos e Benefícios'!AC295/'Encargos e Benefícios'!C295)</f>
        <v>841.45</v>
      </c>
      <c r="AN296" s="297">
        <f>IF('Encargos e Benefícios'!C295=0,0,'Encargos e Benefícios'!AD295/'Encargos e Benefícios'!C295)</f>
        <v>9494.5962746111109</v>
      </c>
      <c r="AO296" s="188">
        <v>4968.99</v>
      </c>
      <c r="AP296" s="298">
        <v>3773.6</v>
      </c>
      <c r="AQ296" s="298">
        <v>6164.38</v>
      </c>
      <c r="AR296" s="302" t="s">
        <v>688</v>
      </c>
      <c r="AS296" s="188"/>
    </row>
    <row r="297" spans="1:45" ht="13" thickBot="1">
      <c r="A297" s="286">
        <v>291</v>
      </c>
      <c r="B297" s="81" t="str">
        <f>'Encargos e Benefícios'!B296</f>
        <v>Advogado</v>
      </c>
      <c r="C297" s="287">
        <f>'Encargos e Benefícios'!C296</f>
        <v>1</v>
      </c>
      <c r="D297" s="288">
        <v>30</v>
      </c>
      <c r="E297" s="300">
        <v>45717</v>
      </c>
      <c r="F297" s="301">
        <v>47058</v>
      </c>
      <c r="G297" s="293"/>
      <c r="H297" s="292"/>
      <c r="I297" s="256"/>
      <c r="J297" s="256"/>
      <c r="K297" s="256"/>
      <c r="L297" s="256"/>
      <c r="M297" s="293">
        <v>45778</v>
      </c>
      <c r="N297" s="292">
        <v>5.8400000000000001E-2</v>
      </c>
      <c r="O297" s="256">
        <f>'Encargos e Benefícios'!W296*5.84%</f>
        <v>30.905280000000001</v>
      </c>
      <c r="P297" s="256">
        <f>('Encargos e Benefícios'!X296+'Encargos e Benefícios'!Y296+'Encargos e Benefícios'!Z296+'Encargos e Benefícios'!AA296+'Encargos e Benefícios'!AB296)*5.84%</f>
        <v>18.235399999999998</v>
      </c>
      <c r="Q297" s="256">
        <f>'Encargos e Benefícios'!V296*5.84%</f>
        <v>5.7967840000000006</v>
      </c>
      <c r="R297" s="256"/>
      <c r="S297" s="293">
        <v>46143</v>
      </c>
      <c r="T297" s="294">
        <v>5.8400000000000001E-2</v>
      </c>
      <c r="U297" s="256">
        <f>('Encargos e Benefícios'!W296+'Gastos com Pessoal'!O297)*5.84%</f>
        <v>32.710148351999997</v>
      </c>
      <c r="V297" s="256">
        <f>('Encargos e Benefícios'!X296+'Encargos e Benefícios'!Y296+'Encargos e Benefícios'!Z296+'Encargos e Benefícios'!AA296+'Encargos e Benefícios'!AB296+'Gastos com Pessoal'!P297)*5.84%</f>
        <v>19.300347360000004</v>
      </c>
      <c r="W297" s="256">
        <f>('Encargos e Benefícios'!V296+'Gastos com Pessoal'!Q297)*5.84%</f>
        <v>6.1353161856000007</v>
      </c>
      <c r="X297" s="256"/>
      <c r="Y297" s="293">
        <v>46508</v>
      </c>
      <c r="Z297" s="294">
        <v>5.8400000000000001E-2</v>
      </c>
      <c r="AA297" s="256">
        <f>('Encargos e Benefícios'!W296+'Gastos com Pessoal'!O297+'Gastos com Pessoal'!U297)*5.84%</f>
        <v>34.620421015756804</v>
      </c>
      <c r="AB297" s="256">
        <f>('Encargos e Benefícios'!X296+'Encargos e Benefícios'!Y296+'Encargos e Benefícios'!Z296+'Encargos e Benefícios'!AA296+'Encargos e Benefícios'!AB296+'Gastos com Pessoal'!P297+'Gastos com Pessoal'!V297)*5.84%</f>
        <v>20.427487645824002</v>
      </c>
      <c r="AC297" s="256">
        <f>('Encargos e Benefícios'!V296+'Gastos com Pessoal'!Q297+'Gastos com Pessoal'!W297)*5.84%</f>
        <v>6.493618650839041</v>
      </c>
      <c r="AD297" s="256"/>
      <c r="AE297" s="293">
        <v>46874</v>
      </c>
      <c r="AF297" s="294">
        <v>5.8400000000000001E-2</v>
      </c>
      <c r="AG297" s="256">
        <f>('Encargos e Benefícios'!W296+'Gastos com Pessoal'!O297+'Gastos com Pessoal'!U297+'Gastos com Pessoal'!AA297)*5.84%</f>
        <v>36.642253603077002</v>
      </c>
      <c r="AH297" s="256">
        <f>('Encargos e Benefícios'!X296+'Encargos e Benefícios'!Y296+'Encargos e Benefícios'!Z296+'Encargos e Benefícios'!AA296+'Encargos e Benefícios'!AB296+'Gastos com Pessoal'!P297+'Gastos com Pessoal'!V297+'Gastos com Pessoal'!AB297)*5.84%</f>
        <v>21.620452924340121</v>
      </c>
      <c r="AI297" s="256">
        <f>('Encargos e Benefícios'!V296+'Gastos com Pessoal'!Q297+'Gastos com Pessoal'!W297+'Gastos com Pessoal'!AC297)*5.84%</f>
        <v>6.8728459800480408</v>
      </c>
      <c r="AJ297" s="257"/>
      <c r="AK297" s="296">
        <f>'Encargos e Benefícios'!D296</f>
        <v>2751.84</v>
      </c>
      <c r="AL297" s="296">
        <f>IF('Encargos e Benefícios'!C296=0,0,'Encargos e Benefícios'!U296/'Encargos e Benefícios'!C296)</f>
        <v>2198.8730400000004</v>
      </c>
      <c r="AM297" s="296">
        <f>IF('Encargos e Benefícios'!C296=0,0,'Encargos e Benefícios'!AC296/'Encargos e Benefícios'!C296)</f>
        <v>940.71</v>
      </c>
      <c r="AN297" s="297">
        <f>IF('Encargos e Benefícios'!C296=0,0,'Encargos e Benefícios'!AD296/'Encargos e Benefícios'!C296)</f>
        <v>5891.4230400000006</v>
      </c>
      <c r="AO297" s="188">
        <v>2365.86</v>
      </c>
      <c r="AP297" s="298">
        <v>1700</v>
      </c>
      <c r="AQ297" s="298">
        <v>3031.72</v>
      </c>
      <c r="AR297" s="302" t="s">
        <v>688</v>
      </c>
      <c r="AS297" s="188"/>
    </row>
    <row r="298" spans="1:45" ht="13" thickBot="1">
      <c r="A298" s="286">
        <v>292</v>
      </c>
      <c r="B298" s="81" t="str">
        <f>'Encargos e Benefícios'!B297</f>
        <v>Assistente Social</v>
      </c>
      <c r="C298" s="287">
        <f>'Encargos e Benefícios'!C297</f>
        <v>1</v>
      </c>
      <c r="D298" s="288">
        <v>30</v>
      </c>
      <c r="E298" s="300">
        <v>45717</v>
      </c>
      <c r="F298" s="301">
        <v>47058</v>
      </c>
      <c r="G298" s="293"/>
      <c r="H298" s="292"/>
      <c r="I298" s="256"/>
      <c r="J298" s="256"/>
      <c r="K298" s="256"/>
      <c r="L298" s="256"/>
      <c r="M298" s="293">
        <v>45778</v>
      </c>
      <c r="N298" s="292">
        <v>5.8400000000000001E-2</v>
      </c>
      <c r="O298" s="256">
        <f>'Encargos e Benefícios'!W297*5.84%</f>
        <v>30.905280000000001</v>
      </c>
      <c r="P298" s="256">
        <f>('Encargos e Benefícios'!X297+'Encargos e Benefícios'!Y297+'Encargos e Benefícios'!Z297+'Encargos e Benefícios'!AA297+'Encargos e Benefícios'!AB297)*5.84%</f>
        <v>18.235399999999998</v>
      </c>
      <c r="Q298" s="256">
        <f>'Encargos e Benefícios'!V297*5.84%</f>
        <v>5.7967840000000006</v>
      </c>
      <c r="R298" s="256"/>
      <c r="S298" s="293">
        <v>46143</v>
      </c>
      <c r="T298" s="294">
        <v>5.8400000000000001E-2</v>
      </c>
      <c r="U298" s="256">
        <f>('Encargos e Benefícios'!W297+'Gastos com Pessoal'!O298)*5.84%</f>
        <v>32.710148351999997</v>
      </c>
      <c r="V298" s="256">
        <f>('Encargos e Benefícios'!X297+'Encargos e Benefícios'!Y297+'Encargos e Benefícios'!Z297+'Encargos e Benefícios'!AA297+'Encargos e Benefícios'!AB297+'Gastos com Pessoal'!P298)*5.84%</f>
        <v>19.300347360000004</v>
      </c>
      <c r="W298" s="256">
        <f>('Encargos e Benefícios'!V297+'Gastos com Pessoal'!Q298)*5.84%</f>
        <v>6.1353161856000007</v>
      </c>
      <c r="X298" s="256"/>
      <c r="Y298" s="293">
        <v>46508</v>
      </c>
      <c r="Z298" s="294">
        <v>5.8400000000000001E-2</v>
      </c>
      <c r="AA298" s="256">
        <f>('Encargos e Benefícios'!W297+'Gastos com Pessoal'!O298+'Gastos com Pessoal'!U298)*5.84%</f>
        <v>34.620421015756804</v>
      </c>
      <c r="AB298" s="256">
        <f>('Encargos e Benefícios'!X297+'Encargos e Benefícios'!Y297+'Encargos e Benefícios'!Z297+'Encargos e Benefícios'!AA297+'Encargos e Benefícios'!AB297+'Gastos com Pessoal'!P298+'Gastos com Pessoal'!V298)*5.84%</f>
        <v>20.427487645824002</v>
      </c>
      <c r="AC298" s="256">
        <f>('Encargos e Benefícios'!V297+'Gastos com Pessoal'!Q298+'Gastos com Pessoal'!W298)*5.84%</f>
        <v>6.493618650839041</v>
      </c>
      <c r="AD298" s="256"/>
      <c r="AE298" s="293">
        <v>46874</v>
      </c>
      <c r="AF298" s="294">
        <v>5.8400000000000001E-2</v>
      </c>
      <c r="AG298" s="256">
        <f>('Encargos e Benefícios'!W297+'Gastos com Pessoal'!O298+'Gastos com Pessoal'!U298+'Gastos com Pessoal'!AA298)*5.84%</f>
        <v>36.642253603077002</v>
      </c>
      <c r="AH298" s="256">
        <f>('Encargos e Benefícios'!X297+'Encargos e Benefícios'!Y297+'Encargos e Benefícios'!Z297+'Encargos e Benefícios'!AA297+'Encargos e Benefícios'!AB297+'Gastos com Pessoal'!P298+'Gastos com Pessoal'!V298+'Gastos com Pessoal'!AB298)*5.84%</f>
        <v>21.620452924340121</v>
      </c>
      <c r="AI298" s="256">
        <f>('Encargos e Benefícios'!V297+'Gastos com Pessoal'!Q298+'Gastos com Pessoal'!W298+'Gastos com Pessoal'!AC298)*5.84%</f>
        <v>6.8728459800480408</v>
      </c>
      <c r="AJ298" s="257"/>
      <c r="AK298" s="296">
        <f>'Encargos e Benefícios'!D297</f>
        <v>2751.84</v>
      </c>
      <c r="AL298" s="296">
        <f>IF('Encargos e Benefícios'!C297=0,0,'Encargos e Benefícios'!U297/'Encargos e Benefícios'!C297)</f>
        <v>2198.8730400000004</v>
      </c>
      <c r="AM298" s="296">
        <f>IF('Encargos e Benefícios'!C297=0,0,'Encargos e Benefícios'!AC297/'Encargos e Benefícios'!C297)</f>
        <v>940.71</v>
      </c>
      <c r="AN298" s="297">
        <f>IF('Encargos e Benefícios'!C297=0,0,'Encargos e Benefícios'!AD297/'Encargos e Benefícios'!C297)</f>
        <v>5891.4230400000006</v>
      </c>
      <c r="AO298" s="188">
        <v>3479.77</v>
      </c>
      <c r="AP298" s="298">
        <v>2252.3200000000002</v>
      </c>
      <c r="AQ298" s="298">
        <v>4707.22</v>
      </c>
      <c r="AR298" s="302" t="s">
        <v>688</v>
      </c>
      <c r="AS298" s="188"/>
    </row>
    <row r="299" spans="1:45" ht="13" thickBot="1">
      <c r="A299" s="286">
        <v>293</v>
      </c>
      <c r="B299" s="81" t="str">
        <f>'Encargos e Benefícios'!B298</f>
        <v>Pedagogo</v>
      </c>
      <c r="C299" s="287">
        <f>'Encargos e Benefícios'!C298</f>
        <v>1</v>
      </c>
      <c r="D299" s="288">
        <v>30</v>
      </c>
      <c r="E299" s="300">
        <v>45717</v>
      </c>
      <c r="F299" s="301">
        <v>47058</v>
      </c>
      <c r="G299" s="293"/>
      <c r="H299" s="292"/>
      <c r="I299" s="256"/>
      <c r="J299" s="256"/>
      <c r="K299" s="256"/>
      <c r="L299" s="256"/>
      <c r="M299" s="293">
        <v>45778</v>
      </c>
      <c r="N299" s="292">
        <v>5.8400000000000001E-2</v>
      </c>
      <c r="O299" s="256">
        <f>'Encargos e Benefícios'!W298*5.84%</f>
        <v>30.905280000000001</v>
      </c>
      <c r="P299" s="256">
        <f>('Encargos e Benefícios'!X298+'Encargos e Benefícios'!Y298+'Encargos e Benefícios'!Z298+'Encargos e Benefícios'!AA298+'Encargos e Benefícios'!AB298)*5.84%</f>
        <v>18.235399999999998</v>
      </c>
      <c r="Q299" s="256">
        <f>'Encargos e Benefícios'!V298*5.84%</f>
        <v>5.7967840000000006</v>
      </c>
      <c r="R299" s="256"/>
      <c r="S299" s="293">
        <v>46143</v>
      </c>
      <c r="T299" s="294">
        <v>5.8400000000000001E-2</v>
      </c>
      <c r="U299" s="256">
        <f>('Encargos e Benefícios'!W298+'Gastos com Pessoal'!O299)*5.84%</f>
        <v>32.710148351999997</v>
      </c>
      <c r="V299" s="256">
        <f>('Encargos e Benefícios'!X298+'Encargos e Benefícios'!Y298+'Encargos e Benefícios'!Z298+'Encargos e Benefícios'!AA298+'Encargos e Benefícios'!AB298+'Gastos com Pessoal'!P299)*5.84%</f>
        <v>19.300347360000004</v>
      </c>
      <c r="W299" s="256">
        <f>('Encargos e Benefícios'!V298+'Gastos com Pessoal'!Q299)*5.84%</f>
        <v>6.1353161856000007</v>
      </c>
      <c r="X299" s="256"/>
      <c r="Y299" s="293">
        <v>46508</v>
      </c>
      <c r="Z299" s="294">
        <v>5.8400000000000001E-2</v>
      </c>
      <c r="AA299" s="256">
        <f>('Encargos e Benefícios'!W298+'Gastos com Pessoal'!O299+'Gastos com Pessoal'!U299)*5.84%</f>
        <v>34.620421015756804</v>
      </c>
      <c r="AB299" s="256">
        <f>('Encargos e Benefícios'!X298+'Encargos e Benefícios'!Y298+'Encargos e Benefícios'!Z298+'Encargos e Benefícios'!AA298+'Encargos e Benefícios'!AB298+'Gastos com Pessoal'!P299+'Gastos com Pessoal'!V299)*5.84%</f>
        <v>20.427487645824002</v>
      </c>
      <c r="AC299" s="256">
        <f>('Encargos e Benefícios'!V298+'Gastos com Pessoal'!Q299+'Gastos com Pessoal'!W299)*5.84%</f>
        <v>6.493618650839041</v>
      </c>
      <c r="AD299" s="256"/>
      <c r="AE299" s="293">
        <v>46874</v>
      </c>
      <c r="AF299" s="294">
        <v>5.8400000000000001E-2</v>
      </c>
      <c r="AG299" s="256">
        <f>('Encargos e Benefícios'!W298+'Gastos com Pessoal'!O299+'Gastos com Pessoal'!U299+'Gastos com Pessoal'!AA299)*5.84%</f>
        <v>36.642253603077002</v>
      </c>
      <c r="AH299" s="256">
        <f>('Encargos e Benefícios'!X298+'Encargos e Benefícios'!Y298+'Encargos e Benefícios'!Z298+'Encargos e Benefícios'!AA298+'Encargos e Benefícios'!AB298+'Gastos com Pessoal'!P299+'Gastos com Pessoal'!V299+'Gastos com Pessoal'!AB299)*5.84%</f>
        <v>21.620452924340121</v>
      </c>
      <c r="AI299" s="256">
        <f>('Encargos e Benefícios'!V298+'Gastos com Pessoal'!Q299+'Gastos com Pessoal'!W299+'Gastos com Pessoal'!AC299)*5.84%</f>
        <v>6.8728459800480408</v>
      </c>
      <c r="AJ299" s="257"/>
      <c r="AK299" s="296">
        <f>'Encargos e Benefícios'!D298</f>
        <v>2751.84</v>
      </c>
      <c r="AL299" s="296">
        <f>IF('Encargos e Benefícios'!C298=0,0,'Encargos e Benefícios'!U298/'Encargos e Benefícios'!C298)</f>
        <v>2198.8730400000004</v>
      </c>
      <c r="AM299" s="296">
        <f>IF('Encargos e Benefícios'!C298=0,0,'Encargos e Benefícios'!AC298/'Encargos e Benefícios'!C298)</f>
        <v>940.71</v>
      </c>
      <c r="AN299" s="297">
        <f>IF('Encargos e Benefícios'!C298=0,0,'Encargos e Benefícios'!AD298/'Encargos e Benefícios'!C298)</f>
        <v>5891.4230400000006</v>
      </c>
      <c r="AO299" s="188">
        <v>2293.52</v>
      </c>
      <c r="AP299" s="298">
        <v>1700</v>
      </c>
      <c r="AQ299" s="298">
        <v>2887.04</v>
      </c>
      <c r="AR299" s="302" t="s">
        <v>688</v>
      </c>
      <c r="AS299" s="188"/>
    </row>
    <row r="300" spans="1:45" ht="13" thickBot="1">
      <c r="A300" s="286">
        <v>294</v>
      </c>
      <c r="B300" s="81" t="str">
        <f>'Encargos e Benefícios'!B299</f>
        <v>Psicologo</v>
      </c>
      <c r="C300" s="287">
        <f>'Encargos e Benefícios'!C299</f>
        <v>1</v>
      </c>
      <c r="D300" s="288">
        <v>30</v>
      </c>
      <c r="E300" s="300">
        <v>45717</v>
      </c>
      <c r="F300" s="301">
        <v>47058</v>
      </c>
      <c r="G300" s="293"/>
      <c r="H300" s="292"/>
      <c r="I300" s="256"/>
      <c r="J300" s="256"/>
      <c r="K300" s="256"/>
      <c r="L300" s="256"/>
      <c r="M300" s="293">
        <v>45778</v>
      </c>
      <c r="N300" s="292">
        <v>5.8400000000000001E-2</v>
      </c>
      <c r="O300" s="256">
        <f>'Encargos e Benefícios'!W299*5.84%</f>
        <v>30.905280000000001</v>
      </c>
      <c r="P300" s="256">
        <f>('Encargos e Benefícios'!X299+'Encargos e Benefícios'!Y299+'Encargos e Benefícios'!Z299+'Encargos e Benefícios'!AA299+'Encargos e Benefícios'!AB299)*5.84%</f>
        <v>18.235399999999998</v>
      </c>
      <c r="Q300" s="256">
        <f>'Encargos e Benefícios'!V299*5.84%</f>
        <v>5.7967840000000006</v>
      </c>
      <c r="R300" s="256"/>
      <c r="S300" s="293">
        <v>46143</v>
      </c>
      <c r="T300" s="294">
        <v>5.8400000000000001E-2</v>
      </c>
      <c r="U300" s="256">
        <f>('Encargos e Benefícios'!W299+'Gastos com Pessoal'!O300)*5.84%</f>
        <v>32.710148351999997</v>
      </c>
      <c r="V300" s="256">
        <f>('Encargos e Benefícios'!X299+'Encargos e Benefícios'!Y299+'Encargos e Benefícios'!Z299+'Encargos e Benefícios'!AA299+'Encargos e Benefícios'!AB299+'Gastos com Pessoal'!P300)*5.84%</f>
        <v>19.300347360000004</v>
      </c>
      <c r="W300" s="256">
        <f>('Encargos e Benefícios'!V299+'Gastos com Pessoal'!Q300)*5.84%</f>
        <v>6.1353161856000007</v>
      </c>
      <c r="X300" s="256"/>
      <c r="Y300" s="293">
        <v>46508</v>
      </c>
      <c r="Z300" s="294">
        <v>5.8400000000000001E-2</v>
      </c>
      <c r="AA300" s="256">
        <f>('Encargos e Benefícios'!W299+'Gastos com Pessoal'!O300+'Gastos com Pessoal'!U300)*5.84%</f>
        <v>34.620421015756804</v>
      </c>
      <c r="AB300" s="256">
        <f>('Encargos e Benefícios'!X299+'Encargos e Benefícios'!Y299+'Encargos e Benefícios'!Z299+'Encargos e Benefícios'!AA299+'Encargos e Benefícios'!AB299+'Gastos com Pessoal'!P300+'Gastos com Pessoal'!V300)*5.84%</f>
        <v>20.427487645824002</v>
      </c>
      <c r="AC300" s="256">
        <f>('Encargos e Benefícios'!V299+'Gastos com Pessoal'!Q300+'Gastos com Pessoal'!W300)*5.84%</f>
        <v>6.493618650839041</v>
      </c>
      <c r="AD300" s="256"/>
      <c r="AE300" s="293">
        <v>46874</v>
      </c>
      <c r="AF300" s="294">
        <v>5.8400000000000001E-2</v>
      </c>
      <c r="AG300" s="256">
        <f>('Encargos e Benefícios'!W299+'Gastos com Pessoal'!O300+'Gastos com Pessoal'!U300+'Gastos com Pessoal'!AA300)*5.84%</f>
        <v>36.642253603077002</v>
      </c>
      <c r="AH300" s="256">
        <f>('Encargos e Benefícios'!X299+'Encargos e Benefícios'!Y299+'Encargos e Benefícios'!Z299+'Encargos e Benefícios'!AA299+'Encargos e Benefícios'!AB299+'Gastos com Pessoal'!P300+'Gastos com Pessoal'!V300+'Gastos com Pessoal'!AB300)*5.84%</f>
        <v>21.620452924340121</v>
      </c>
      <c r="AI300" s="256">
        <f>('Encargos e Benefícios'!V299+'Gastos com Pessoal'!Q300+'Gastos com Pessoal'!W300+'Gastos com Pessoal'!AC300)*5.84%</f>
        <v>6.8728459800480408</v>
      </c>
      <c r="AJ300" s="257"/>
      <c r="AK300" s="296">
        <f>'Encargos e Benefícios'!D299</f>
        <v>2751.84</v>
      </c>
      <c r="AL300" s="296">
        <f>IF('Encargos e Benefícios'!C299=0,0,'Encargos e Benefícios'!U299/'Encargos e Benefícios'!C299)</f>
        <v>2198.8730400000004</v>
      </c>
      <c r="AM300" s="296">
        <f>IF('Encargos e Benefícios'!C299=0,0,'Encargos e Benefícios'!AC299/'Encargos e Benefícios'!C299)</f>
        <v>940.71</v>
      </c>
      <c r="AN300" s="297">
        <f>IF('Encargos e Benefícios'!C299=0,0,'Encargos e Benefícios'!AD299/'Encargos e Benefícios'!C299)</f>
        <v>5891.4230400000006</v>
      </c>
      <c r="AO300" s="188">
        <v>3202.11</v>
      </c>
      <c r="AP300" s="298">
        <v>1700</v>
      </c>
      <c r="AQ300" s="298">
        <v>4704.22</v>
      </c>
      <c r="AR300" s="302" t="s">
        <v>688</v>
      </c>
      <c r="AS300" s="188"/>
    </row>
    <row r="301" spans="1:45" ht="13" thickBot="1">
      <c r="A301" s="286">
        <v>295</v>
      </c>
      <c r="B301" s="81" t="str">
        <f>'Encargos e Benefícios'!B300</f>
        <v>Terapeuta Ocupacional</v>
      </c>
      <c r="C301" s="287">
        <f>'Encargos e Benefícios'!C300</f>
        <v>1</v>
      </c>
      <c r="D301" s="288">
        <v>30</v>
      </c>
      <c r="E301" s="300">
        <v>45717</v>
      </c>
      <c r="F301" s="301">
        <v>47058</v>
      </c>
      <c r="G301" s="293"/>
      <c r="H301" s="292"/>
      <c r="I301" s="256"/>
      <c r="J301" s="256"/>
      <c r="K301" s="256"/>
      <c r="L301" s="256"/>
      <c r="M301" s="293">
        <v>45778</v>
      </c>
      <c r="N301" s="292">
        <v>5.8400000000000001E-2</v>
      </c>
      <c r="O301" s="256">
        <f>'Encargos e Benefícios'!W300*5.84%</f>
        <v>30.905280000000001</v>
      </c>
      <c r="P301" s="256">
        <f>('Encargos e Benefícios'!X300+'Encargos e Benefícios'!Y300+'Encargos e Benefícios'!Z300+'Encargos e Benefícios'!AA300+'Encargos e Benefícios'!AB300)*5.84%</f>
        <v>18.235399999999998</v>
      </c>
      <c r="Q301" s="256">
        <f>'Encargos e Benefícios'!V300*5.84%</f>
        <v>5.7967840000000006</v>
      </c>
      <c r="R301" s="256"/>
      <c r="S301" s="293">
        <v>46143</v>
      </c>
      <c r="T301" s="294">
        <v>5.8400000000000001E-2</v>
      </c>
      <c r="U301" s="256">
        <f>('Encargos e Benefícios'!W300+'Gastos com Pessoal'!O301)*5.84%</f>
        <v>32.710148351999997</v>
      </c>
      <c r="V301" s="256">
        <f>('Encargos e Benefícios'!X300+'Encargos e Benefícios'!Y300+'Encargos e Benefícios'!Z300+'Encargos e Benefícios'!AA300+'Encargos e Benefícios'!AB300+'Gastos com Pessoal'!P301)*5.84%</f>
        <v>19.300347360000004</v>
      </c>
      <c r="W301" s="256">
        <f>('Encargos e Benefícios'!V300+'Gastos com Pessoal'!Q301)*5.84%</f>
        <v>6.1353161856000007</v>
      </c>
      <c r="X301" s="256"/>
      <c r="Y301" s="293">
        <v>46508</v>
      </c>
      <c r="Z301" s="294">
        <v>5.8400000000000001E-2</v>
      </c>
      <c r="AA301" s="256">
        <f>('Encargos e Benefícios'!W300+'Gastos com Pessoal'!O301+'Gastos com Pessoal'!U301)*5.84%</f>
        <v>34.620421015756804</v>
      </c>
      <c r="AB301" s="256">
        <f>('Encargos e Benefícios'!X300+'Encargos e Benefícios'!Y300+'Encargos e Benefícios'!Z300+'Encargos e Benefícios'!AA300+'Encargos e Benefícios'!AB300+'Gastos com Pessoal'!P301+'Gastos com Pessoal'!V301)*5.84%</f>
        <v>20.427487645824002</v>
      </c>
      <c r="AC301" s="256">
        <f>('Encargos e Benefícios'!V300+'Gastos com Pessoal'!Q301+'Gastos com Pessoal'!W301)*5.84%</f>
        <v>6.493618650839041</v>
      </c>
      <c r="AD301" s="256"/>
      <c r="AE301" s="293">
        <v>46874</v>
      </c>
      <c r="AF301" s="294">
        <v>5.8400000000000001E-2</v>
      </c>
      <c r="AG301" s="256">
        <f>('Encargos e Benefícios'!W300+'Gastos com Pessoal'!O301+'Gastos com Pessoal'!U301+'Gastos com Pessoal'!AA301)*5.84%</f>
        <v>36.642253603077002</v>
      </c>
      <c r="AH301" s="256">
        <f>('Encargos e Benefícios'!X300+'Encargos e Benefícios'!Y300+'Encargos e Benefícios'!Z300+'Encargos e Benefícios'!AA300+'Encargos e Benefícios'!AB300+'Gastos com Pessoal'!P301+'Gastos com Pessoal'!V301+'Gastos com Pessoal'!AB301)*5.84%</f>
        <v>21.620452924340121</v>
      </c>
      <c r="AI301" s="256">
        <f>('Encargos e Benefícios'!V300+'Gastos com Pessoal'!Q301+'Gastos com Pessoal'!W301+'Gastos com Pessoal'!AC301)*5.84%</f>
        <v>6.8728459800480408</v>
      </c>
      <c r="AJ301" s="257"/>
      <c r="AK301" s="296">
        <f>'Encargos e Benefícios'!D300</f>
        <v>2751.84</v>
      </c>
      <c r="AL301" s="296">
        <f>IF('Encargos e Benefícios'!C300=0,0,'Encargos e Benefícios'!U300/'Encargos e Benefícios'!C300)</f>
        <v>2198.8730400000004</v>
      </c>
      <c r="AM301" s="296">
        <f>IF('Encargos e Benefícios'!C300=0,0,'Encargos e Benefícios'!AC300/'Encargos e Benefícios'!C300)</f>
        <v>940.71</v>
      </c>
      <c r="AN301" s="297">
        <f>IF('Encargos e Benefícios'!C300=0,0,'Encargos e Benefícios'!AD300/'Encargos e Benefícios'!C300)</f>
        <v>5891.4230400000006</v>
      </c>
      <c r="AO301" s="188">
        <v>3478.27</v>
      </c>
      <c r="AP301" s="298">
        <v>2252.3200000000002</v>
      </c>
      <c r="AQ301" s="298">
        <v>4704.22</v>
      </c>
      <c r="AR301" s="302" t="s">
        <v>688</v>
      </c>
      <c r="AS301" s="188"/>
    </row>
    <row r="302" spans="1:45" ht="13" thickBot="1">
      <c r="A302" s="286">
        <v>296</v>
      </c>
      <c r="B302" s="81" t="str">
        <f>'Encargos e Benefícios'!B301</f>
        <v>Administrativo</v>
      </c>
      <c r="C302" s="287">
        <f>'Encargos e Benefícios'!C301</f>
        <v>1</v>
      </c>
      <c r="D302" s="288">
        <v>40</v>
      </c>
      <c r="E302" s="300">
        <v>45717</v>
      </c>
      <c r="F302" s="301">
        <v>47058</v>
      </c>
      <c r="G302" s="293"/>
      <c r="H302" s="292"/>
      <c r="I302" s="256"/>
      <c r="J302" s="256"/>
      <c r="K302" s="256"/>
      <c r="L302" s="256"/>
      <c r="M302" s="293">
        <v>45778</v>
      </c>
      <c r="N302" s="292">
        <v>5.8400000000000001E-2</v>
      </c>
      <c r="O302" s="256">
        <f>'Encargos e Benefícios'!W301*5.84%</f>
        <v>30.905280000000001</v>
      </c>
      <c r="P302" s="256">
        <f>('Encargos e Benefícios'!X301+'Encargos e Benefícios'!Y301+'Encargos e Benefícios'!Z301+'Encargos e Benefícios'!AA301+'Encargos e Benefícios'!AB301)*5.84%</f>
        <v>18.235399999999998</v>
      </c>
      <c r="Q302" s="256">
        <f>'Encargos e Benefícios'!V301*5.84%</f>
        <v>5.7967840000000006</v>
      </c>
      <c r="R302" s="256"/>
      <c r="S302" s="293">
        <v>46143</v>
      </c>
      <c r="T302" s="294">
        <v>5.8400000000000001E-2</v>
      </c>
      <c r="U302" s="256">
        <f>('Encargos e Benefícios'!W301+'Gastos com Pessoal'!O302)*5.84%</f>
        <v>32.710148351999997</v>
      </c>
      <c r="V302" s="256">
        <f>('Encargos e Benefícios'!X301+'Encargos e Benefícios'!Y301+'Encargos e Benefícios'!Z301+'Encargos e Benefícios'!AA301+'Encargos e Benefícios'!AB301+'Gastos com Pessoal'!P302)*5.84%</f>
        <v>19.300347360000004</v>
      </c>
      <c r="W302" s="256">
        <f>('Encargos e Benefícios'!V301+'Gastos com Pessoal'!Q302)*5.84%</f>
        <v>6.1353161856000007</v>
      </c>
      <c r="X302" s="256"/>
      <c r="Y302" s="293">
        <v>46508</v>
      </c>
      <c r="Z302" s="294">
        <v>5.8400000000000001E-2</v>
      </c>
      <c r="AA302" s="256">
        <f>('Encargos e Benefícios'!W301+'Gastos com Pessoal'!O302+'Gastos com Pessoal'!U302)*5.84%</f>
        <v>34.620421015756804</v>
      </c>
      <c r="AB302" s="256">
        <f>('Encargos e Benefícios'!X301+'Encargos e Benefícios'!Y301+'Encargos e Benefícios'!Z301+'Encargos e Benefícios'!AA301+'Encargos e Benefícios'!AB301+'Gastos com Pessoal'!P302+'Gastos com Pessoal'!V302)*5.84%</f>
        <v>20.427487645824002</v>
      </c>
      <c r="AC302" s="256">
        <f>('Encargos e Benefícios'!V301+'Gastos com Pessoal'!Q302+'Gastos com Pessoal'!W302)*5.84%</f>
        <v>6.493618650839041</v>
      </c>
      <c r="AD302" s="256"/>
      <c r="AE302" s="293">
        <v>46874</v>
      </c>
      <c r="AF302" s="294">
        <v>5.8400000000000001E-2</v>
      </c>
      <c r="AG302" s="256">
        <f>('Encargos e Benefícios'!W301+'Gastos com Pessoal'!O302+'Gastos com Pessoal'!U302+'Gastos com Pessoal'!AA302)*5.84%</f>
        <v>36.642253603077002</v>
      </c>
      <c r="AH302" s="256">
        <f>('Encargos e Benefícios'!X301+'Encargos e Benefícios'!Y301+'Encargos e Benefícios'!Z301+'Encargos e Benefícios'!AA301+'Encargos e Benefícios'!AB301+'Gastos com Pessoal'!P302+'Gastos com Pessoal'!V302+'Gastos com Pessoal'!AB302)*5.84%</f>
        <v>21.620452924340121</v>
      </c>
      <c r="AI302" s="256">
        <f>('Encargos e Benefícios'!V301+'Gastos com Pessoal'!Q302+'Gastos com Pessoal'!W302+'Gastos com Pessoal'!AC302)*5.84%</f>
        <v>6.8728459800480408</v>
      </c>
      <c r="AJ302" s="257"/>
      <c r="AK302" s="296">
        <f>'Encargos e Benefícios'!D301</f>
        <v>1852.2</v>
      </c>
      <c r="AL302" s="296">
        <f>IF('Encargos e Benefícios'!C301=0,0,'Encargos e Benefícios'!U301/'Encargos e Benefícios'!C301)</f>
        <v>1480.0106999999996</v>
      </c>
      <c r="AM302" s="296">
        <f>IF('Encargos e Benefícios'!C301=0,0,'Encargos e Benefícios'!AC301/'Encargos e Benefícios'!C301)</f>
        <v>940.71</v>
      </c>
      <c r="AN302" s="297">
        <f>IF('Encargos e Benefícios'!C301=0,0,'Encargos e Benefícios'!AD301/'Encargos e Benefícios'!C301)</f>
        <v>4272.9206999999997</v>
      </c>
      <c r="AO302" s="188">
        <v>1786.2</v>
      </c>
      <c r="AP302" s="298">
        <v>1352.9</v>
      </c>
      <c r="AQ302" s="298">
        <v>2219.4899999999998</v>
      </c>
      <c r="AR302" s="302" t="s">
        <v>688</v>
      </c>
      <c r="AS302" s="188"/>
    </row>
    <row r="303" spans="1:45" ht="13" thickBot="1">
      <c r="A303" s="286">
        <v>297</v>
      </c>
      <c r="B303" s="81" t="str">
        <f>'Encargos e Benefícios'!B302</f>
        <v>Auxiliar Educacional</v>
      </c>
      <c r="C303" s="287">
        <f>'Encargos e Benefícios'!C302</f>
        <v>1</v>
      </c>
      <c r="D303" s="288">
        <v>30</v>
      </c>
      <c r="E303" s="300">
        <v>45717</v>
      </c>
      <c r="F303" s="301">
        <v>47058</v>
      </c>
      <c r="G303" s="293"/>
      <c r="H303" s="292"/>
      <c r="I303" s="256"/>
      <c r="J303" s="256"/>
      <c r="K303" s="256"/>
      <c r="L303" s="256"/>
      <c r="M303" s="293">
        <v>45778</v>
      </c>
      <c r="N303" s="292">
        <v>5.8400000000000001E-2</v>
      </c>
      <c r="O303" s="256">
        <f>'Encargos e Benefícios'!W302*5.84%</f>
        <v>30.905280000000001</v>
      </c>
      <c r="P303" s="256">
        <f>('Encargos e Benefícios'!X302+'Encargos e Benefícios'!Y302+'Encargos e Benefícios'!Z302+'Encargos e Benefícios'!AA302+'Encargos e Benefícios'!AB302)*5.84%</f>
        <v>18.235399999999998</v>
      </c>
      <c r="Q303" s="256">
        <f>'Encargos e Benefícios'!V302*5.84%</f>
        <v>5.7967840000000006</v>
      </c>
      <c r="R303" s="256"/>
      <c r="S303" s="293">
        <v>46143</v>
      </c>
      <c r="T303" s="294">
        <v>5.8400000000000001E-2</v>
      </c>
      <c r="U303" s="256">
        <f>('Encargos e Benefícios'!W302+'Gastos com Pessoal'!O303)*5.84%</f>
        <v>32.710148351999997</v>
      </c>
      <c r="V303" s="256">
        <f>('Encargos e Benefícios'!X302+'Encargos e Benefícios'!Y302+'Encargos e Benefícios'!Z302+'Encargos e Benefícios'!AA302+'Encargos e Benefícios'!AB302+'Gastos com Pessoal'!P303)*5.84%</f>
        <v>19.300347360000004</v>
      </c>
      <c r="W303" s="256">
        <f>('Encargos e Benefícios'!V302+'Gastos com Pessoal'!Q303)*5.84%</f>
        <v>6.1353161856000007</v>
      </c>
      <c r="X303" s="256"/>
      <c r="Y303" s="293">
        <v>46508</v>
      </c>
      <c r="Z303" s="294">
        <v>5.8400000000000001E-2</v>
      </c>
      <c r="AA303" s="256">
        <f>('Encargos e Benefícios'!W302+'Gastos com Pessoal'!O303+'Gastos com Pessoal'!U303)*5.84%</f>
        <v>34.620421015756804</v>
      </c>
      <c r="AB303" s="256">
        <f>('Encargos e Benefícios'!X302+'Encargos e Benefícios'!Y302+'Encargos e Benefícios'!Z302+'Encargos e Benefícios'!AA302+'Encargos e Benefícios'!AB302+'Gastos com Pessoal'!P303+'Gastos com Pessoal'!V303)*5.84%</f>
        <v>20.427487645824002</v>
      </c>
      <c r="AC303" s="256">
        <f>('Encargos e Benefícios'!V302+'Gastos com Pessoal'!Q303+'Gastos com Pessoal'!W303)*5.84%</f>
        <v>6.493618650839041</v>
      </c>
      <c r="AD303" s="256"/>
      <c r="AE303" s="293">
        <v>46874</v>
      </c>
      <c r="AF303" s="294">
        <v>5.8400000000000001E-2</v>
      </c>
      <c r="AG303" s="256">
        <f>('Encargos e Benefícios'!W302+'Gastos com Pessoal'!O303+'Gastos com Pessoal'!U303+'Gastos com Pessoal'!AA303)*5.84%</f>
        <v>36.642253603077002</v>
      </c>
      <c r="AH303" s="256">
        <f>('Encargos e Benefícios'!X302+'Encargos e Benefícios'!Y302+'Encargos e Benefícios'!Z302+'Encargos e Benefícios'!AA302+'Encargos e Benefícios'!AB302+'Gastos com Pessoal'!P303+'Gastos com Pessoal'!V303+'Gastos com Pessoal'!AB303)*5.84%</f>
        <v>21.620452924340121</v>
      </c>
      <c r="AI303" s="256">
        <f>('Encargos e Benefícios'!V302+'Gastos com Pessoal'!Q303+'Gastos com Pessoal'!W303+'Gastos com Pessoal'!AC303)*5.84%</f>
        <v>6.8728459800480408</v>
      </c>
      <c r="AJ303" s="257"/>
      <c r="AK303" s="296">
        <f>'Encargos e Benefícios'!D302</f>
        <v>1737.89</v>
      </c>
      <c r="AL303" s="296">
        <f>IF('Encargos e Benefícios'!C302=0,0,'Encargos e Benefícios'!U302/'Encargos e Benefícios'!C302)</f>
        <v>1388.6706594444449</v>
      </c>
      <c r="AM303" s="296">
        <f>IF('Encargos e Benefícios'!C302=0,0,'Encargos e Benefícios'!AC302/'Encargos e Benefícios'!C302)</f>
        <v>940.71</v>
      </c>
      <c r="AN303" s="297">
        <f>IF('Encargos e Benefícios'!C302=0,0,'Encargos e Benefícios'!AD302/'Encargos e Benefícios'!C302)</f>
        <v>4067.2706594444453</v>
      </c>
      <c r="AO303" s="188">
        <v>1756.04</v>
      </c>
      <c r="AP303" s="298">
        <v>1400</v>
      </c>
      <c r="AQ303" s="298">
        <v>2112.08</v>
      </c>
      <c r="AR303" s="302" t="s">
        <v>688</v>
      </c>
      <c r="AS303" s="188"/>
    </row>
    <row r="304" spans="1:45" ht="13" thickBot="1">
      <c r="A304" s="286">
        <v>298</v>
      </c>
      <c r="B304" s="81" t="str">
        <f>'Encargos e Benefícios'!B303</f>
        <v>Auxiliar de Serviços Gerais</v>
      </c>
      <c r="C304" s="287">
        <f>'Encargos e Benefícios'!C303</f>
        <v>1</v>
      </c>
      <c r="D304" s="288">
        <v>30</v>
      </c>
      <c r="E304" s="300">
        <v>45717</v>
      </c>
      <c r="F304" s="301">
        <v>47058</v>
      </c>
      <c r="G304" s="293"/>
      <c r="H304" s="292"/>
      <c r="I304" s="256"/>
      <c r="J304" s="256"/>
      <c r="K304" s="256"/>
      <c r="L304" s="256"/>
      <c r="M304" s="293">
        <v>45778</v>
      </c>
      <c r="N304" s="292">
        <v>5.8400000000000001E-2</v>
      </c>
      <c r="O304" s="256">
        <f>'Encargos e Benefícios'!W303*5.84%</f>
        <v>30.905280000000001</v>
      </c>
      <c r="P304" s="256">
        <f>('Encargos e Benefícios'!X303+'Encargos e Benefícios'!Y303+'Encargos e Benefícios'!Z303+'Encargos e Benefícios'!AA303+'Encargos e Benefícios'!AB303)*5.84%</f>
        <v>18.235399999999998</v>
      </c>
      <c r="Q304" s="256">
        <f>'Encargos e Benefícios'!V303*5.84%</f>
        <v>5.7967840000000006</v>
      </c>
      <c r="R304" s="256"/>
      <c r="S304" s="293">
        <v>46143</v>
      </c>
      <c r="T304" s="294">
        <v>5.8400000000000001E-2</v>
      </c>
      <c r="U304" s="256">
        <f>('Encargos e Benefícios'!W303+'Gastos com Pessoal'!O304)*5.84%</f>
        <v>32.710148351999997</v>
      </c>
      <c r="V304" s="256">
        <f>('Encargos e Benefícios'!X303+'Encargos e Benefícios'!Y303+'Encargos e Benefícios'!Z303+'Encargos e Benefícios'!AA303+'Encargos e Benefícios'!AB303+'Gastos com Pessoal'!P304)*5.84%</f>
        <v>19.300347360000004</v>
      </c>
      <c r="W304" s="256">
        <f>('Encargos e Benefícios'!V303+'Gastos com Pessoal'!Q304)*5.84%</f>
        <v>6.1353161856000007</v>
      </c>
      <c r="X304" s="256"/>
      <c r="Y304" s="293">
        <v>46508</v>
      </c>
      <c r="Z304" s="294">
        <v>5.8400000000000001E-2</v>
      </c>
      <c r="AA304" s="256">
        <f>('Encargos e Benefícios'!W303+'Gastos com Pessoal'!O304+'Gastos com Pessoal'!U304)*5.84%</f>
        <v>34.620421015756804</v>
      </c>
      <c r="AB304" s="256">
        <f>('Encargos e Benefícios'!X303+'Encargos e Benefícios'!Y303+'Encargos e Benefícios'!Z303+'Encargos e Benefícios'!AA303+'Encargos e Benefícios'!AB303+'Gastos com Pessoal'!P304+'Gastos com Pessoal'!V304)*5.84%</f>
        <v>20.427487645824002</v>
      </c>
      <c r="AC304" s="256">
        <f>('Encargos e Benefícios'!V303+'Gastos com Pessoal'!Q304+'Gastos com Pessoal'!W304)*5.84%</f>
        <v>6.493618650839041</v>
      </c>
      <c r="AD304" s="256"/>
      <c r="AE304" s="293">
        <v>46874</v>
      </c>
      <c r="AF304" s="294">
        <v>5.8400000000000001E-2</v>
      </c>
      <c r="AG304" s="256">
        <f>('Encargos e Benefícios'!W303+'Gastos com Pessoal'!O304+'Gastos com Pessoal'!U304+'Gastos com Pessoal'!AA304)*5.84%</f>
        <v>36.642253603077002</v>
      </c>
      <c r="AH304" s="256">
        <f>('Encargos e Benefícios'!X303+'Encargos e Benefícios'!Y303+'Encargos e Benefícios'!Z303+'Encargos e Benefícios'!AA303+'Encargos e Benefícios'!AB303+'Gastos com Pessoal'!P304+'Gastos com Pessoal'!V304+'Gastos com Pessoal'!AB304)*5.84%</f>
        <v>21.620452924340121</v>
      </c>
      <c r="AI304" s="256">
        <f>('Encargos e Benefícios'!V303+'Gastos com Pessoal'!Q304+'Gastos com Pessoal'!W304+'Gastos com Pessoal'!AC304)*5.84%</f>
        <v>6.8728459800480408</v>
      </c>
      <c r="AJ304" s="257"/>
      <c r="AK304" s="296">
        <f>'Encargos e Benefícios'!D303</f>
        <v>1465.88</v>
      </c>
      <c r="AL304" s="296">
        <f>IF('Encargos e Benefícios'!C303=0,0,'Encargos e Benefícios'!U303/'Encargos e Benefícios'!C303)</f>
        <v>1171.3195577777778</v>
      </c>
      <c r="AM304" s="296">
        <f>IF('Encargos e Benefícios'!C303=0,0,'Encargos e Benefícios'!AC303/'Encargos e Benefícios'!C303)</f>
        <v>940.71</v>
      </c>
      <c r="AN304" s="297">
        <f>IF('Encargos e Benefícios'!C303=0,0,'Encargos e Benefícios'!AD303/'Encargos e Benefícios'!C303)</f>
        <v>3577.909557777778</v>
      </c>
      <c r="AO304" s="188">
        <v>1380.2</v>
      </c>
      <c r="AP304" s="298">
        <v>1320</v>
      </c>
      <c r="AQ304" s="298">
        <v>1440.4</v>
      </c>
      <c r="AR304" s="302" t="s">
        <v>688</v>
      </c>
      <c r="AS304" s="188"/>
    </row>
    <row r="305" spans="1:45" ht="13" thickBot="1">
      <c r="A305" s="286">
        <v>299</v>
      </c>
      <c r="B305" s="81" t="str">
        <f>'Encargos e Benefícios'!B304</f>
        <v>Motorista</v>
      </c>
      <c r="C305" s="287">
        <f>'Encargos e Benefícios'!C304</f>
        <v>1</v>
      </c>
      <c r="D305" s="288">
        <v>40</v>
      </c>
      <c r="E305" s="300">
        <v>45717</v>
      </c>
      <c r="F305" s="301">
        <v>47058</v>
      </c>
      <c r="G305" s="293"/>
      <c r="H305" s="292"/>
      <c r="I305" s="256"/>
      <c r="J305" s="256"/>
      <c r="K305" s="256"/>
      <c r="L305" s="256"/>
      <c r="M305" s="293">
        <v>45778</v>
      </c>
      <c r="N305" s="292">
        <v>5.8400000000000001E-2</v>
      </c>
      <c r="O305" s="256">
        <f>'Encargos e Benefícios'!W304*5.84%</f>
        <v>30.905280000000001</v>
      </c>
      <c r="P305" s="256">
        <f>('Encargos e Benefícios'!X304+'Encargos e Benefícios'!Y304+'Encargos e Benefícios'!Z304+'Encargos e Benefícios'!AA304+'Encargos e Benefícios'!AB304)*5.84%</f>
        <v>18.235399999999998</v>
      </c>
      <c r="Q305" s="256">
        <f>'Encargos e Benefícios'!V304*5.84%</f>
        <v>5.7967840000000006</v>
      </c>
      <c r="R305" s="256"/>
      <c r="S305" s="293">
        <v>46143</v>
      </c>
      <c r="T305" s="294">
        <v>5.8400000000000001E-2</v>
      </c>
      <c r="U305" s="256">
        <f>('Encargos e Benefícios'!W304+'Gastos com Pessoal'!O305)*5.84%</f>
        <v>32.710148351999997</v>
      </c>
      <c r="V305" s="256">
        <f>('Encargos e Benefícios'!X304+'Encargos e Benefícios'!Y304+'Encargos e Benefícios'!Z304+'Encargos e Benefícios'!AA304+'Encargos e Benefícios'!AB304+'Gastos com Pessoal'!P305)*5.84%</f>
        <v>19.300347360000004</v>
      </c>
      <c r="W305" s="256">
        <f>('Encargos e Benefícios'!V304+'Gastos com Pessoal'!Q305)*5.84%</f>
        <v>6.1353161856000007</v>
      </c>
      <c r="X305" s="256"/>
      <c r="Y305" s="293">
        <v>46508</v>
      </c>
      <c r="Z305" s="294">
        <v>5.8400000000000001E-2</v>
      </c>
      <c r="AA305" s="256">
        <f>('Encargos e Benefícios'!W304+'Gastos com Pessoal'!O305+'Gastos com Pessoal'!U305)*5.84%</f>
        <v>34.620421015756804</v>
      </c>
      <c r="AB305" s="256">
        <f>('Encargos e Benefícios'!X304+'Encargos e Benefícios'!Y304+'Encargos e Benefícios'!Z304+'Encargos e Benefícios'!AA304+'Encargos e Benefícios'!AB304+'Gastos com Pessoal'!P305+'Gastos com Pessoal'!V305)*5.84%</f>
        <v>20.427487645824002</v>
      </c>
      <c r="AC305" s="256">
        <f>('Encargos e Benefícios'!V304+'Gastos com Pessoal'!Q305+'Gastos com Pessoal'!W305)*5.84%</f>
        <v>6.493618650839041</v>
      </c>
      <c r="AD305" s="256"/>
      <c r="AE305" s="293">
        <v>46874</v>
      </c>
      <c r="AF305" s="294">
        <v>5.8400000000000001E-2</v>
      </c>
      <c r="AG305" s="256">
        <f>('Encargos e Benefícios'!W304+'Gastos com Pessoal'!O305+'Gastos com Pessoal'!U305+'Gastos com Pessoal'!AA305)*5.84%</f>
        <v>36.642253603077002</v>
      </c>
      <c r="AH305" s="256">
        <f>('Encargos e Benefícios'!X304+'Encargos e Benefícios'!Y304+'Encargos e Benefícios'!Z304+'Encargos e Benefícios'!AA304+'Encargos e Benefícios'!AB304+'Gastos com Pessoal'!P305+'Gastos com Pessoal'!V305+'Gastos com Pessoal'!AB305)*5.84%</f>
        <v>21.620452924340121</v>
      </c>
      <c r="AI305" s="256">
        <f>('Encargos e Benefícios'!V304+'Gastos com Pessoal'!Q305+'Gastos com Pessoal'!W305+'Gastos com Pessoal'!AC305)*5.84%</f>
        <v>6.8728459800480408</v>
      </c>
      <c r="AJ305" s="257"/>
      <c r="AK305" s="296">
        <f>'Encargos e Benefícios'!D304</f>
        <v>1537.21</v>
      </c>
      <c r="AL305" s="296">
        <f>IF('Encargos e Benefícios'!C304=0,0,'Encargos e Benefícios'!U304/'Encargos e Benefícios'!C304)</f>
        <v>1228.3161905555557</v>
      </c>
      <c r="AM305" s="296">
        <f>IF('Encargos e Benefícios'!C304=0,0,'Encargos e Benefícios'!AC304/'Encargos e Benefícios'!C304)</f>
        <v>940.71</v>
      </c>
      <c r="AN305" s="297">
        <f>IF('Encargos e Benefícios'!C304=0,0,'Encargos e Benefícios'!AD304/'Encargos e Benefícios'!C304)</f>
        <v>3706.2361905555558</v>
      </c>
      <c r="AO305" s="188">
        <v>1676.09</v>
      </c>
      <c r="AP305" s="298">
        <v>1377.85</v>
      </c>
      <c r="AQ305" s="298">
        <v>1974.32</v>
      </c>
      <c r="AR305" s="302" t="s">
        <v>688</v>
      </c>
      <c r="AS305" s="188"/>
    </row>
    <row r="306" spans="1:45" ht="13" thickBot="1">
      <c r="A306" s="286">
        <v>300</v>
      </c>
      <c r="B306" s="81" t="str">
        <f>'Encargos e Benefícios'!B305</f>
        <v>Socioeducador - DC</v>
      </c>
      <c r="C306" s="287">
        <f>'Encargos e Benefícios'!C305</f>
        <v>2</v>
      </c>
      <c r="D306" s="288" t="s">
        <v>496</v>
      </c>
      <c r="E306" s="300">
        <v>45717</v>
      </c>
      <c r="F306" s="301">
        <v>47058</v>
      </c>
      <c r="G306" s="293"/>
      <c r="H306" s="292"/>
      <c r="I306" s="256"/>
      <c r="J306" s="256"/>
      <c r="K306" s="256"/>
      <c r="L306" s="256"/>
      <c r="M306" s="293">
        <v>45778</v>
      </c>
      <c r="N306" s="292">
        <v>5.8400000000000001E-2</v>
      </c>
      <c r="O306" s="256">
        <f>'Encargos e Benefícios'!W305*5.84%</f>
        <v>61.810560000000002</v>
      </c>
      <c r="P306" s="256">
        <f>('Encargos e Benefícios'!X305+'Encargos e Benefícios'!Y305+'Encargos e Benefícios'!Z305+'Encargos e Benefícios'!AA305+'Encargos e Benefícios'!AB305)*5.84%</f>
        <v>36.470799999999997</v>
      </c>
      <c r="Q306" s="256">
        <f>'Encargos e Benefícios'!V305*5.84%</f>
        <v>7.9050240000000009</v>
      </c>
      <c r="R306" s="256"/>
      <c r="S306" s="293">
        <v>46143</v>
      </c>
      <c r="T306" s="294">
        <v>5.8400000000000001E-2</v>
      </c>
      <c r="U306" s="256">
        <f>('Encargos e Benefícios'!W305+'Gastos com Pessoal'!O306)*5.84%</f>
        <v>65.420296703999995</v>
      </c>
      <c r="V306" s="256">
        <f>('Encargos e Benefícios'!X305+'Encargos e Benefícios'!Y305+'Encargos e Benefícios'!Z305+'Encargos e Benefícios'!AA305+'Encargos e Benefícios'!AB305+'Gastos com Pessoal'!P306)*5.84%</f>
        <v>38.600694720000007</v>
      </c>
      <c r="W306" s="256">
        <f>('Encargos e Benefícios'!V305+'Gastos com Pessoal'!Q306)*5.84%</f>
        <v>8.3666774016000005</v>
      </c>
      <c r="X306" s="256"/>
      <c r="Y306" s="293">
        <v>46508</v>
      </c>
      <c r="Z306" s="294">
        <v>5.8400000000000001E-2</v>
      </c>
      <c r="AA306" s="256">
        <f>('Encargos e Benefícios'!W305+'Gastos com Pessoal'!O306+'Gastos com Pessoal'!U306)*5.84%</f>
        <v>69.240842031513608</v>
      </c>
      <c r="AB306" s="256">
        <f>('Encargos e Benefícios'!X305+'Encargos e Benefícios'!Y305+'Encargos e Benefícios'!Z305+'Encargos e Benefícios'!AA305+'Encargos e Benefícios'!AB305+'Gastos com Pessoal'!P306+'Gastos com Pessoal'!V306)*5.84%</f>
        <v>40.854975291648003</v>
      </c>
      <c r="AC306" s="256">
        <f>('Encargos e Benefícios'!V305+'Gastos com Pessoal'!Q306+'Gastos com Pessoal'!W306)*5.84%</f>
        <v>8.8552913618534408</v>
      </c>
      <c r="AD306" s="256"/>
      <c r="AE306" s="293">
        <v>46874</v>
      </c>
      <c r="AF306" s="294">
        <v>5.8400000000000001E-2</v>
      </c>
      <c r="AG306" s="256">
        <f>('Encargos e Benefícios'!W305+'Gastos com Pessoal'!O306+'Gastos com Pessoal'!U306+'Gastos com Pessoal'!AA306)*5.84%</f>
        <v>73.284507206154004</v>
      </c>
      <c r="AH306" s="256">
        <f>('Encargos e Benefícios'!X305+'Encargos e Benefícios'!Y305+'Encargos e Benefícios'!Z305+'Encargos e Benefícios'!AA305+'Encargos e Benefícios'!AB305+'Gastos com Pessoal'!P306+'Gastos com Pessoal'!V306+'Gastos com Pessoal'!AB306)*5.84%</f>
        <v>43.240905848680242</v>
      </c>
      <c r="AI306" s="256">
        <f>('Encargos e Benefícios'!V305+'Gastos com Pessoal'!Q306+'Gastos com Pessoal'!W306+'Gastos com Pessoal'!AC306)*5.84%</f>
        <v>9.3724403773856828</v>
      </c>
      <c r="AJ306" s="257"/>
      <c r="AK306" s="296">
        <f>'Encargos e Benefícios'!D305</f>
        <v>2010.96</v>
      </c>
      <c r="AL306" s="296">
        <f>IF('Encargos e Benefícios'!C305=0,0,'Encargos e Benefícios'!U305/'Encargos e Benefícios'!C305)</f>
        <v>2894.4607523999998</v>
      </c>
      <c r="AM306" s="296">
        <f>IF('Encargos e Benefícios'!C305=0,0,'Encargos e Benefícios'!AC305/'Encargos e Benefícios'!C305)</f>
        <v>909.13000000000011</v>
      </c>
      <c r="AN306" s="297">
        <f>IF('Encargos e Benefícios'!C305=0,0,'Encargos e Benefícios'!AD305/'Encargos e Benefícios'!C305)</f>
        <v>5814.5507523999995</v>
      </c>
      <c r="AO306" s="188">
        <v>3219.15</v>
      </c>
      <c r="AP306" s="298">
        <v>1764.5</v>
      </c>
      <c r="AQ306" s="298">
        <v>4673.8</v>
      </c>
      <c r="AR306" s="302" t="s">
        <v>688</v>
      </c>
      <c r="AS306" s="188"/>
    </row>
    <row r="307" spans="1:45" ht="13" thickBot="1">
      <c r="A307" s="286">
        <v>301</v>
      </c>
      <c r="B307" s="81" t="str">
        <f>'Encargos e Benefícios'!B306</f>
        <v>Socioeducador - D</v>
      </c>
      <c r="C307" s="287">
        <f>'Encargos e Benefícios'!C306</f>
        <v>12</v>
      </c>
      <c r="D307" s="288" t="s">
        <v>496</v>
      </c>
      <c r="E307" s="300">
        <v>45717</v>
      </c>
      <c r="F307" s="301">
        <v>47058</v>
      </c>
      <c r="G307" s="293"/>
      <c r="H307" s="292"/>
      <c r="I307" s="256"/>
      <c r="J307" s="256"/>
      <c r="K307" s="256"/>
      <c r="L307" s="256"/>
      <c r="M307" s="293">
        <v>45778</v>
      </c>
      <c r="N307" s="292">
        <v>5.8400000000000001E-2</v>
      </c>
      <c r="O307" s="256">
        <f>'Encargos e Benefícios'!W306*5.84%</f>
        <v>370.86336000000006</v>
      </c>
      <c r="P307" s="256">
        <f>('Encargos e Benefícios'!X306+'Encargos e Benefícios'!Y306+'Encargos e Benefícios'!Z306+'Encargos e Benefícios'!AA306+'Encargos e Benefícios'!AB306)*5.84%</f>
        <v>218.82480000000001</v>
      </c>
      <c r="Q307" s="256">
        <f>'Encargos e Benefícios'!V306*5.84%</f>
        <v>47.430144000000006</v>
      </c>
      <c r="R307" s="256"/>
      <c r="S307" s="293">
        <v>46143</v>
      </c>
      <c r="T307" s="294">
        <v>5.8400000000000001E-2</v>
      </c>
      <c r="U307" s="256">
        <f>('Encargos e Benefícios'!W306+'Gastos com Pessoal'!O307)*5.84%</f>
        <v>392.52178022400005</v>
      </c>
      <c r="V307" s="256">
        <f>('Encargos e Benefícios'!X306+'Encargos e Benefícios'!Y306+'Encargos e Benefícios'!Z306+'Encargos e Benefícios'!AA306+'Encargos e Benefícios'!AB306+'Gastos com Pessoal'!P307)*5.84%</f>
        <v>231.60416831999999</v>
      </c>
      <c r="W307" s="256">
        <f>('Encargos e Benefícios'!V306+'Gastos com Pessoal'!Q307)*5.84%</f>
        <v>50.20006440960001</v>
      </c>
      <c r="X307" s="256"/>
      <c r="Y307" s="293">
        <v>46508</v>
      </c>
      <c r="Z307" s="294">
        <v>5.8400000000000001E-2</v>
      </c>
      <c r="AA307" s="256">
        <f>('Encargos e Benefícios'!W306+'Gastos com Pessoal'!O307+'Gastos com Pessoal'!U307)*5.84%</f>
        <v>415.44505218908165</v>
      </c>
      <c r="AB307" s="256">
        <f>('Encargos e Benefícios'!X306+'Encargos e Benefícios'!Y306+'Encargos e Benefícios'!Z306+'Encargos e Benefícios'!AA306+'Encargos e Benefícios'!AB306+'Gastos com Pessoal'!P307+'Gastos com Pessoal'!V307)*5.84%</f>
        <v>245.12985174988796</v>
      </c>
      <c r="AC307" s="256">
        <f>('Encargos e Benefícios'!V306+'Gastos com Pessoal'!Q307+'Gastos com Pessoal'!W307)*5.84%</f>
        <v>53.131748171120648</v>
      </c>
      <c r="AD307" s="256"/>
      <c r="AE307" s="293">
        <v>46874</v>
      </c>
      <c r="AF307" s="294">
        <v>5.8400000000000001E-2</v>
      </c>
      <c r="AG307" s="256">
        <f>('Encargos e Benefícios'!W306+'Gastos com Pessoal'!O307+'Gastos com Pessoal'!U307+'Gastos com Pessoal'!AA307)*5.84%</f>
        <v>439.70704323692399</v>
      </c>
      <c r="AH307" s="256">
        <f>('Encargos e Benefícios'!X306+'Encargos e Benefícios'!Y306+'Encargos e Benefícios'!Z306+'Encargos e Benefícios'!AA306+'Encargos e Benefícios'!AB306+'Gastos com Pessoal'!P307+'Gastos com Pessoal'!V307+'Gastos com Pessoal'!AB307)*5.84%</f>
        <v>259.44543509208142</v>
      </c>
      <c r="AI307" s="256">
        <f>('Encargos e Benefícios'!V306+'Gastos com Pessoal'!Q307+'Gastos com Pessoal'!W307+'Gastos com Pessoal'!AC307)*5.84%</f>
        <v>56.234642264314097</v>
      </c>
      <c r="AJ307" s="257"/>
      <c r="AK307" s="296">
        <f>'Encargos e Benefícios'!D306</f>
        <v>2010.96</v>
      </c>
      <c r="AL307" s="296">
        <f>IF('Encargos e Benefícios'!C306=0,0,'Encargos e Benefícios'!U306/'Encargos e Benefícios'!C306)</f>
        <v>2591.2415003999999</v>
      </c>
      <c r="AM307" s="296">
        <f>IF('Encargos e Benefícios'!C306=0,0,'Encargos e Benefícios'!AC306/'Encargos e Benefícios'!C306)</f>
        <v>909.13</v>
      </c>
      <c r="AN307" s="297">
        <f>IF('Encargos e Benefícios'!C306=0,0,'Encargos e Benefícios'!AD306/'Encargos e Benefícios'!C306)</f>
        <v>5511.3315003999996</v>
      </c>
      <c r="AO307" s="188">
        <v>3219.15</v>
      </c>
      <c r="AP307" s="298">
        <v>1764.5</v>
      </c>
      <c r="AQ307" s="298">
        <v>4673.8</v>
      </c>
      <c r="AR307" s="302" t="s">
        <v>688</v>
      </c>
      <c r="AS307" s="188"/>
    </row>
    <row r="308" spans="1:45" ht="13" thickBot="1">
      <c r="A308" s="286">
        <v>302</v>
      </c>
      <c r="B308" s="81" t="str">
        <f>'Encargos e Benefícios'!B307</f>
        <v>Socioeducador - NC</v>
      </c>
      <c r="C308" s="287">
        <f>'Encargos e Benefícios'!C307</f>
        <v>2</v>
      </c>
      <c r="D308" s="288" t="s">
        <v>496</v>
      </c>
      <c r="E308" s="300">
        <v>45717</v>
      </c>
      <c r="F308" s="301">
        <v>47058</v>
      </c>
      <c r="G308" s="293"/>
      <c r="H308" s="292"/>
      <c r="I308" s="256"/>
      <c r="J308" s="256"/>
      <c r="K308" s="256"/>
      <c r="L308" s="256"/>
      <c r="M308" s="293">
        <v>45778</v>
      </c>
      <c r="N308" s="292">
        <v>5.8400000000000001E-2</v>
      </c>
      <c r="O308" s="256">
        <f>'Encargos e Benefícios'!W307*5.84%</f>
        <v>61.810560000000002</v>
      </c>
      <c r="P308" s="256">
        <f>('Encargos e Benefícios'!X307+'Encargos e Benefícios'!Y307+'Encargos e Benefícios'!Z307+'Encargos e Benefícios'!AA307+'Encargos e Benefícios'!AB307)*5.84%</f>
        <v>36.470799999999997</v>
      </c>
      <c r="Q308" s="256">
        <f>'Encargos e Benefícios'!V307*5.84%</f>
        <v>7.9050240000000009</v>
      </c>
      <c r="R308" s="256"/>
      <c r="S308" s="293">
        <v>46143</v>
      </c>
      <c r="T308" s="294">
        <v>5.8400000000000001E-2</v>
      </c>
      <c r="U308" s="256">
        <f>('Encargos e Benefícios'!W307+'Gastos com Pessoal'!O308)*5.84%</f>
        <v>65.420296703999995</v>
      </c>
      <c r="V308" s="256">
        <f>('Encargos e Benefícios'!X307+'Encargos e Benefícios'!Y307+'Encargos e Benefícios'!Z307+'Encargos e Benefícios'!AA307+'Encargos e Benefícios'!AB307+'Gastos com Pessoal'!P308)*5.84%</f>
        <v>38.600694720000007</v>
      </c>
      <c r="W308" s="256">
        <f>('Encargos e Benefícios'!V307+'Gastos com Pessoal'!Q308)*5.84%</f>
        <v>8.3666774016000005</v>
      </c>
      <c r="X308" s="256"/>
      <c r="Y308" s="293">
        <v>46508</v>
      </c>
      <c r="Z308" s="294">
        <v>5.8400000000000001E-2</v>
      </c>
      <c r="AA308" s="256">
        <f>('Encargos e Benefícios'!W307+'Gastos com Pessoal'!O308+'Gastos com Pessoal'!U308)*5.84%</f>
        <v>69.240842031513608</v>
      </c>
      <c r="AB308" s="256">
        <f>('Encargos e Benefícios'!X307+'Encargos e Benefícios'!Y307+'Encargos e Benefícios'!Z307+'Encargos e Benefícios'!AA307+'Encargos e Benefícios'!AB307+'Gastos com Pessoal'!P308+'Gastos com Pessoal'!V308)*5.84%</f>
        <v>40.854975291648003</v>
      </c>
      <c r="AC308" s="256">
        <f>('Encargos e Benefícios'!V307+'Gastos com Pessoal'!Q308+'Gastos com Pessoal'!W308)*5.84%</f>
        <v>8.8552913618534408</v>
      </c>
      <c r="AD308" s="256"/>
      <c r="AE308" s="293">
        <v>46874</v>
      </c>
      <c r="AF308" s="294">
        <v>5.8400000000000001E-2</v>
      </c>
      <c r="AG308" s="256">
        <f>('Encargos e Benefícios'!W307+'Gastos com Pessoal'!O308+'Gastos com Pessoal'!U308+'Gastos com Pessoal'!AA308)*5.84%</f>
        <v>73.284507206154004</v>
      </c>
      <c r="AH308" s="256">
        <f>('Encargos e Benefícios'!X307+'Encargos e Benefícios'!Y307+'Encargos e Benefícios'!Z307+'Encargos e Benefícios'!AA307+'Encargos e Benefícios'!AB307+'Gastos com Pessoal'!P308+'Gastos com Pessoal'!V308+'Gastos com Pessoal'!AB308)*5.84%</f>
        <v>43.240905848680242</v>
      </c>
      <c r="AI308" s="256">
        <f>('Encargos e Benefícios'!V307+'Gastos com Pessoal'!Q308+'Gastos com Pessoal'!W308+'Gastos com Pessoal'!AC308)*5.84%</f>
        <v>9.3724403773856828</v>
      </c>
      <c r="AJ308" s="257"/>
      <c r="AK308" s="296">
        <f>'Encargos e Benefícios'!D307</f>
        <v>2010.96</v>
      </c>
      <c r="AL308" s="296">
        <f>IF('Encargos e Benefícios'!C307=0,0,'Encargos e Benefícios'!U307/'Encargos e Benefícios'!C307)</f>
        <v>3505.6241682933337</v>
      </c>
      <c r="AM308" s="296">
        <f>IF('Encargos e Benefícios'!C307=0,0,'Encargos e Benefícios'!AC307/'Encargos e Benefícios'!C307)</f>
        <v>909.13000000000011</v>
      </c>
      <c r="AN308" s="297">
        <f>IF('Encargos e Benefícios'!C307=0,0,'Encargos e Benefícios'!AD307/'Encargos e Benefícios'!C307)</f>
        <v>6425.7141682933334</v>
      </c>
      <c r="AO308" s="188">
        <v>3219.15</v>
      </c>
      <c r="AP308" s="298">
        <v>1764.5</v>
      </c>
      <c r="AQ308" s="298">
        <v>4673.8</v>
      </c>
      <c r="AR308" s="302" t="s">
        <v>688</v>
      </c>
      <c r="AS308" s="188"/>
    </row>
    <row r="309" spans="1:45" ht="13" thickBot="1">
      <c r="A309" s="286">
        <v>303</v>
      </c>
      <c r="B309" s="81" t="str">
        <f>'Encargos e Benefícios'!B308</f>
        <v>Socioeducador - N</v>
      </c>
      <c r="C309" s="287">
        <f>'Encargos e Benefícios'!C308</f>
        <v>6</v>
      </c>
      <c r="D309" s="288" t="s">
        <v>496</v>
      </c>
      <c r="E309" s="300">
        <v>45717</v>
      </c>
      <c r="F309" s="301">
        <v>47058</v>
      </c>
      <c r="G309" s="293"/>
      <c r="H309" s="292"/>
      <c r="I309" s="256"/>
      <c r="J309" s="256"/>
      <c r="K309" s="256"/>
      <c r="L309" s="256"/>
      <c r="M309" s="293">
        <v>45778</v>
      </c>
      <c r="N309" s="292">
        <v>5.8400000000000001E-2</v>
      </c>
      <c r="O309" s="256">
        <f>'Encargos e Benefícios'!W308*5.84%</f>
        <v>185.43168000000003</v>
      </c>
      <c r="P309" s="256">
        <f>('Encargos e Benefícios'!X308+'Encargos e Benefícios'!Y308+'Encargos e Benefícios'!Z308+'Encargos e Benefícios'!AA308+'Encargos e Benefícios'!AB308)*5.84%</f>
        <v>109.41240000000001</v>
      </c>
      <c r="Q309" s="256">
        <f>'Encargos e Benefícios'!V308*5.84%</f>
        <v>23.715072000000003</v>
      </c>
      <c r="R309" s="256"/>
      <c r="S309" s="293">
        <v>46143</v>
      </c>
      <c r="T309" s="294">
        <v>5.8400000000000001E-2</v>
      </c>
      <c r="U309" s="256">
        <f>('Encargos e Benefícios'!W308+'Gastos com Pessoal'!O309)*5.84%</f>
        <v>196.26089011200003</v>
      </c>
      <c r="V309" s="256">
        <f>('Encargos e Benefícios'!X308+'Encargos e Benefícios'!Y308+'Encargos e Benefícios'!Z308+'Encargos e Benefícios'!AA308+'Encargos e Benefícios'!AB308+'Gastos com Pessoal'!P309)*5.84%</f>
        <v>115.80208415999999</v>
      </c>
      <c r="W309" s="256">
        <f>('Encargos e Benefícios'!V308+'Gastos com Pessoal'!Q309)*5.84%</f>
        <v>25.100032204800005</v>
      </c>
      <c r="X309" s="256"/>
      <c r="Y309" s="293">
        <v>46508</v>
      </c>
      <c r="Z309" s="294">
        <v>5.8400000000000001E-2</v>
      </c>
      <c r="AA309" s="256">
        <f>('Encargos e Benefícios'!W308+'Gastos com Pessoal'!O309+'Gastos com Pessoal'!U309)*5.84%</f>
        <v>207.72252609454083</v>
      </c>
      <c r="AB309" s="256">
        <f>('Encargos e Benefícios'!X308+'Encargos e Benefícios'!Y308+'Encargos e Benefícios'!Z308+'Encargos e Benefícios'!AA308+'Encargos e Benefícios'!AB308+'Gastos com Pessoal'!P309+'Gastos com Pessoal'!V309)*5.84%</f>
        <v>122.56492587494398</v>
      </c>
      <c r="AC309" s="256">
        <f>('Encargos e Benefícios'!V308+'Gastos com Pessoal'!Q309+'Gastos com Pessoal'!W309)*5.84%</f>
        <v>26.565874085560324</v>
      </c>
      <c r="AD309" s="256"/>
      <c r="AE309" s="293">
        <v>46874</v>
      </c>
      <c r="AF309" s="294">
        <v>5.8400000000000001E-2</v>
      </c>
      <c r="AG309" s="256">
        <f>('Encargos e Benefícios'!W308+'Gastos com Pessoal'!O309+'Gastos com Pessoal'!U309+'Gastos com Pessoal'!AA309)*5.84%</f>
        <v>219.853521618462</v>
      </c>
      <c r="AH309" s="256">
        <f>('Encargos e Benefícios'!X308+'Encargos e Benefícios'!Y308+'Encargos e Benefícios'!Z308+'Encargos e Benefícios'!AA308+'Encargos e Benefícios'!AB308+'Gastos com Pessoal'!P309+'Gastos com Pessoal'!V309+'Gastos com Pessoal'!AB309)*5.84%</f>
        <v>129.72271754604071</v>
      </c>
      <c r="AI309" s="256">
        <f>('Encargos e Benefícios'!V308+'Gastos com Pessoal'!Q309+'Gastos com Pessoal'!W309+'Gastos com Pessoal'!AC309)*5.84%</f>
        <v>28.117321132157048</v>
      </c>
      <c r="AJ309" s="257"/>
      <c r="AK309" s="296">
        <f>'Encargos e Benefícios'!D308</f>
        <v>2010.96</v>
      </c>
      <c r="AL309" s="296">
        <f>IF('Encargos e Benefícios'!C308=0,0,'Encargos e Benefícios'!U308/'Encargos e Benefícios'!C308)</f>
        <v>3202.4049162933329</v>
      </c>
      <c r="AM309" s="296">
        <f>IF('Encargos e Benefícios'!C308=0,0,'Encargos e Benefícios'!AC308/'Encargos e Benefícios'!C308)</f>
        <v>909.13</v>
      </c>
      <c r="AN309" s="297">
        <f>IF('Encargos e Benefícios'!C308=0,0,'Encargos e Benefícios'!AD308/'Encargos e Benefícios'!C308)</f>
        <v>6122.4949162933326</v>
      </c>
      <c r="AO309" s="188">
        <v>3219.15</v>
      </c>
      <c r="AP309" s="298">
        <v>1764.5</v>
      </c>
      <c r="AQ309" s="298">
        <v>4673.8</v>
      </c>
      <c r="AR309" s="302" t="s">
        <v>688</v>
      </c>
      <c r="AS309" s="188"/>
    </row>
    <row r="310" spans="1:45" ht="13" thickBot="1">
      <c r="A310" s="286">
        <v>304</v>
      </c>
      <c r="B310" s="81" t="str">
        <f>'Encargos e Benefícios'!B309</f>
        <v>Diretor Geral de Unidade Socioeducativa</v>
      </c>
      <c r="C310" s="287">
        <f>'Encargos e Benefícios'!C309</f>
        <v>1</v>
      </c>
      <c r="D310" s="288">
        <v>40</v>
      </c>
      <c r="E310" s="300">
        <v>45748</v>
      </c>
      <c r="F310" s="301">
        <v>47058</v>
      </c>
      <c r="G310" s="293"/>
      <c r="H310" s="292"/>
      <c r="I310" s="256"/>
      <c r="J310" s="256"/>
      <c r="K310" s="256"/>
      <c r="L310" s="256"/>
      <c r="M310" s="293">
        <v>45778</v>
      </c>
      <c r="N310" s="292">
        <v>5.8400000000000001E-2</v>
      </c>
      <c r="O310" s="256">
        <f>'Encargos e Benefícios'!W309*5.84%</f>
        <v>30.905280000000001</v>
      </c>
      <c r="P310" s="256">
        <f>('Encargos e Benefícios'!X309+'Encargos e Benefícios'!Y309+'Encargos e Benefícios'!Z309+'Encargos e Benefícios'!AA309+'Encargos e Benefícios'!AB309)*5.84%</f>
        <v>18.235399999999998</v>
      </c>
      <c r="Q310" s="256">
        <f>'Encargos e Benefícios'!V309*5.84%</f>
        <v>0</v>
      </c>
      <c r="R310" s="256"/>
      <c r="S310" s="293">
        <v>46143</v>
      </c>
      <c r="T310" s="294">
        <v>5.8400000000000001E-2</v>
      </c>
      <c r="U310" s="256">
        <f>('Encargos e Benefícios'!W309+'Gastos com Pessoal'!O310)*5.84%</f>
        <v>32.710148351999997</v>
      </c>
      <c r="V310" s="256">
        <f>('Encargos e Benefícios'!X309+'Encargos e Benefícios'!Y309+'Encargos e Benefícios'!Z309+'Encargos e Benefícios'!AA309+'Encargos e Benefícios'!AB309+'Gastos com Pessoal'!P310)*5.84%</f>
        <v>19.300347360000004</v>
      </c>
      <c r="W310" s="256">
        <f>('Encargos e Benefícios'!V309+'Gastos com Pessoal'!Q310)*5.84%</f>
        <v>0</v>
      </c>
      <c r="X310" s="256"/>
      <c r="Y310" s="293">
        <v>46508</v>
      </c>
      <c r="Z310" s="294">
        <v>5.8400000000000001E-2</v>
      </c>
      <c r="AA310" s="256">
        <f>('Encargos e Benefícios'!W309+'Gastos com Pessoal'!O310+'Gastos com Pessoal'!U310)*5.84%</f>
        <v>34.620421015756804</v>
      </c>
      <c r="AB310" s="256">
        <f>('Encargos e Benefícios'!X309+'Encargos e Benefícios'!Y309+'Encargos e Benefícios'!Z309+'Encargos e Benefícios'!AA309+'Encargos e Benefícios'!AB309+'Gastos com Pessoal'!P310+'Gastos com Pessoal'!V310)*5.84%</f>
        <v>20.427487645824002</v>
      </c>
      <c r="AC310" s="256">
        <f>('Encargos e Benefícios'!V309+'Gastos com Pessoal'!Q310+'Gastos com Pessoal'!W310)*5.84%</f>
        <v>0</v>
      </c>
      <c r="AD310" s="256"/>
      <c r="AE310" s="293">
        <v>46874</v>
      </c>
      <c r="AF310" s="294">
        <v>5.8400000000000001E-2</v>
      </c>
      <c r="AG310" s="256">
        <f>('Encargos e Benefícios'!W309+'Gastos com Pessoal'!O310+'Gastos com Pessoal'!U310+'Gastos com Pessoal'!AA310)*5.84%</f>
        <v>36.642253603077002</v>
      </c>
      <c r="AH310" s="256">
        <f>('Encargos e Benefícios'!X309+'Encargos e Benefícios'!Y309+'Encargos e Benefícios'!Z309+'Encargos e Benefícios'!AA309+'Encargos e Benefícios'!AB309+'Gastos com Pessoal'!P310+'Gastos com Pessoal'!V310+'Gastos com Pessoal'!AB310)*5.84%</f>
        <v>21.620452924340121</v>
      </c>
      <c r="AI310" s="256">
        <f>('Encargos e Benefícios'!V309+'Gastos com Pessoal'!Q310+'Gastos com Pessoal'!W310+'Gastos com Pessoal'!AC310)*5.84%</f>
        <v>0</v>
      </c>
      <c r="AJ310" s="257"/>
      <c r="AK310" s="296">
        <f>'Encargos e Benefícios'!D309</f>
        <v>6879.6</v>
      </c>
      <c r="AL310" s="296">
        <f>IF('Encargos e Benefícios'!C309=0,0,'Encargos e Benefícios'!U309/'Encargos e Benefícios'!C309)</f>
        <v>5400.8682000000008</v>
      </c>
      <c r="AM310" s="296">
        <f>IF('Encargos e Benefícios'!C309=0,0,'Encargos e Benefícios'!AC309/'Encargos e Benefícios'!C309)</f>
        <v>841.45</v>
      </c>
      <c r="AN310" s="297">
        <f>IF('Encargos e Benefícios'!C309=0,0,'Encargos e Benefícios'!AD309/'Encargos e Benefícios'!C309)</f>
        <v>13121.918200000002</v>
      </c>
      <c r="AO310" s="188">
        <v>6052.24</v>
      </c>
      <c r="AP310" s="298">
        <v>4239.6899999999996</v>
      </c>
      <c r="AQ310" s="298">
        <v>7864.78</v>
      </c>
      <c r="AR310" s="302" t="s">
        <v>689</v>
      </c>
      <c r="AS310" s="188"/>
    </row>
    <row r="311" spans="1:45" ht="13" thickBot="1">
      <c r="A311" s="286">
        <v>305</v>
      </c>
      <c r="B311" s="81" t="str">
        <f>'Encargos e Benefícios'!B310</f>
        <v>Subdiretor de Segurança</v>
      </c>
      <c r="C311" s="287">
        <f>'Encargos e Benefícios'!C310</f>
        <v>1</v>
      </c>
      <c r="D311" s="288">
        <v>40</v>
      </c>
      <c r="E311" s="300">
        <v>45748</v>
      </c>
      <c r="F311" s="301">
        <v>47058</v>
      </c>
      <c r="G311" s="293"/>
      <c r="H311" s="292"/>
      <c r="I311" s="256"/>
      <c r="J311" s="256"/>
      <c r="K311" s="256"/>
      <c r="L311" s="256"/>
      <c r="M311" s="293">
        <v>45778</v>
      </c>
      <c r="N311" s="292">
        <v>5.8400000000000001E-2</v>
      </c>
      <c r="O311" s="256">
        <f>'Encargos e Benefícios'!W310*5.84%</f>
        <v>30.905280000000001</v>
      </c>
      <c r="P311" s="256">
        <f>('Encargos e Benefícios'!X310+'Encargos e Benefícios'!Y310+'Encargos e Benefícios'!Z310+'Encargos e Benefícios'!AA310+'Encargos e Benefícios'!AB310)*5.84%</f>
        <v>18.235399999999998</v>
      </c>
      <c r="Q311" s="256">
        <f>'Encargos e Benefícios'!V310*5.84%</f>
        <v>0</v>
      </c>
      <c r="R311" s="256"/>
      <c r="S311" s="293">
        <v>46143</v>
      </c>
      <c r="T311" s="294">
        <v>5.8400000000000001E-2</v>
      </c>
      <c r="U311" s="256">
        <f>('Encargos e Benefícios'!W310+'Gastos com Pessoal'!O311)*5.84%</f>
        <v>32.710148351999997</v>
      </c>
      <c r="V311" s="256">
        <f>('Encargos e Benefícios'!X310+'Encargos e Benefícios'!Y310+'Encargos e Benefícios'!Z310+'Encargos e Benefícios'!AA310+'Encargos e Benefícios'!AB310+'Gastos com Pessoal'!P311)*5.84%</f>
        <v>19.300347360000004</v>
      </c>
      <c r="W311" s="256">
        <f>('Encargos e Benefícios'!V310+'Gastos com Pessoal'!Q311)*5.84%</f>
        <v>0</v>
      </c>
      <c r="X311" s="256"/>
      <c r="Y311" s="293">
        <v>46508</v>
      </c>
      <c r="Z311" s="294">
        <v>5.8400000000000001E-2</v>
      </c>
      <c r="AA311" s="256">
        <f>('Encargos e Benefícios'!W310+'Gastos com Pessoal'!O311+'Gastos com Pessoal'!U311)*5.84%</f>
        <v>34.620421015756804</v>
      </c>
      <c r="AB311" s="256">
        <f>('Encargos e Benefícios'!X310+'Encargos e Benefícios'!Y310+'Encargos e Benefícios'!Z310+'Encargos e Benefícios'!AA310+'Encargos e Benefícios'!AB310+'Gastos com Pessoal'!P311+'Gastos com Pessoal'!V311)*5.84%</f>
        <v>20.427487645824002</v>
      </c>
      <c r="AC311" s="256">
        <f>('Encargos e Benefícios'!V310+'Gastos com Pessoal'!Q311+'Gastos com Pessoal'!W311)*5.84%</f>
        <v>0</v>
      </c>
      <c r="AD311" s="256"/>
      <c r="AE311" s="293">
        <v>46874</v>
      </c>
      <c r="AF311" s="294">
        <v>5.8400000000000001E-2</v>
      </c>
      <c r="AG311" s="256">
        <f>('Encargos e Benefícios'!W310+'Gastos com Pessoal'!O311+'Gastos com Pessoal'!U311+'Gastos com Pessoal'!AA311)*5.84%</f>
        <v>36.642253603077002</v>
      </c>
      <c r="AH311" s="256">
        <f>('Encargos e Benefícios'!X310+'Encargos e Benefícios'!Y310+'Encargos e Benefícios'!Z310+'Encargos e Benefícios'!AA310+'Encargos e Benefícios'!AB310+'Gastos com Pessoal'!P311+'Gastos com Pessoal'!V311+'Gastos com Pessoal'!AB311)*5.84%</f>
        <v>21.620452924340121</v>
      </c>
      <c r="AI311" s="256">
        <f>('Encargos e Benefícios'!V310+'Gastos com Pessoal'!Q311+'Gastos com Pessoal'!W311+'Gastos com Pessoal'!AC311)*5.84%</f>
        <v>0</v>
      </c>
      <c r="AJ311" s="257"/>
      <c r="AK311" s="296">
        <f>'Encargos e Benefícios'!D310</f>
        <v>3993.98</v>
      </c>
      <c r="AL311" s="296">
        <f>IF('Encargos e Benefícios'!C310=0,0,'Encargos e Benefícios'!U310/'Encargos e Benefícios'!C310)</f>
        <v>4659.1662746111106</v>
      </c>
      <c r="AM311" s="296">
        <f>IF('Encargos e Benefícios'!C310=0,0,'Encargos e Benefícios'!AC310/'Encargos e Benefícios'!C310)</f>
        <v>841.45</v>
      </c>
      <c r="AN311" s="297">
        <f>IF('Encargos e Benefícios'!C310=0,0,'Encargos e Benefícios'!AD310/'Encargos e Benefícios'!C310)</f>
        <v>9494.5962746111109</v>
      </c>
      <c r="AO311" s="188">
        <v>4968.99</v>
      </c>
      <c r="AP311" s="298">
        <v>3773.6</v>
      </c>
      <c r="AQ311" s="298">
        <v>6164.38</v>
      </c>
      <c r="AR311" s="302" t="s">
        <v>689</v>
      </c>
      <c r="AS311" s="188"/>
    </row>
    <row r="312" spans="1:45" ht="13" thickBot="1">
      <c r="A312" s="286">
        <v>306</v>
      </c>
      <c r="B312" s="81" t="str">
        <f>'Encargos e Benefícios'!B311</f>
        <v>Advogado</v>
      </c>
      <c r="C312" s="287">
        <f>'Encargos e Benefícios'!C311</f>
        <v>1</v>
      </c>
      <c r="D312" s="288">
        <v>30</v>
      </c>
      <c r="E312" s="300">
        <v>45809</v>
      </c>
      <c r="F312" s="301">
        <v>47058</v>
      </c>
      <c r="G312" s="293"/>
      <c r="H312" s="292"/>
      <c r="I312" s="256"/>
      <c r="J312" s="256"/>
      <c r="K312" s="256"/>
      <c r="L312" s="256"/>
      <c r="M312" s="293">
        <v>45778</v>
      </c>
      <c r="N312" s="292">
        <v>5.8400000000000001E-2</v>
      </c>
      <c r="O312" s="256">
        <f>'Encargos e Benefícios'!W311*5.84%</f>
        <v>30.905280000000001</v>
      </c>
      <c r="P312" s="256">
        <f>('Encargos e Benefícios'!X311+'Encargos e Benefícios'!Y311+'Encargos e Benefícios'!Z311+'Encargos e Benefícios'!AA311+'Encargos e Benefícios'!AB311)*5.84%</f>
        <v>18.235399999999998</v>
      </c>
      <c r="Q312" s="256">
        <f>'Encargos e Benefícios'!V311*5.84%</f>
        <v>5.7967840000000006</v>
      </c>
      <c r="R312" s="256"/>
      <c r="S312" s="293">
        <v>46143</v>
      </c>
      <c r="T312" s="294">
        <v>5.8400000000000001E-2</v>
      </c>
      <c r="U312" s="256">
        <f>('Encargos e Benefícios'!W311+'Gastos com Pessoal'!O312)*5.84%</f>
        <v>32.710148351999997</v>
      </c>
      <c r="V312" s="256">
        <f>('Encargos e Benefícios'!X311+'Encargos e Benefícios'!Y311+'Encargos e Benefícios'!Z311+'Encargos e Benefícios'!AA311+'Encargos e Benefícios'!AB311+'Gastos com Pessoal'!P312)*5.84%</f>
        <v>19.300347360000004</v>
      </c>
      <c r="W312" s="256">
        <f>('Encargos e Benefícios'!V311+'Gastos com Pessoal'!Q312)*5.84%</f>
        <v>6.1353161856000007</v>
      </c>
      <c r="X312" s="256"/>
      <c r="Y312" s="293">
        <v>46508</v>
      </c>
      <c r="Z312" s="294">
        <v>5.8400000000000001E-2</v>
      </c>
      <c r="AA312" s="256">
        <f>('Encargos e Benefícios'!W311+'Gastos com Pessoal'!O312+'Gastos com Pessoal'!U312)*5.84%</f>
        <v>34.620421015756804</v>
      </c>
      <c r="AB312" s="256">
        <f>('Encargos e Benefícios'!X311+'Encargos e Benefícios'!Y311+'Encargos e Benefícios'!Z311+'Encargos e Benefícios'!AA311+'Encargos e Benefícios'!AB311+'Gastos com Pessoal'!P312+'Gastos com Pessoal'!V312)*5.84%</f>
        <v>20.427487645824002</v>
      </c>
      <c r="AC312" s="256">
        <f>('Encargos e Benefícios'!V311+'Gastos com Pessoal'!Q312+'Gastos com Pessoal'!W312)*5.84%</f>
        <v>6.493618650839041</v>
      </c>
      <c r="AD312" s="256"/>
      <c r="AE312" s="293">
        <v>46874</v>
      </c>
      <c r="AF312" s="294">
        <v>5.8400000000000001E-2</v>
      </c>
      <c r="AG312" s="256">
        <f>('Encargos e Benefícios'!W311+'Gastos com Pessoal'!O312+'Gastos com Pessoal'!U312+'Gastos com Pessoal'!AA312)*5.84%</f>
        <v>36.642253603077002</v>
      </c>
      <c r="AH312" s="256">
        <f>('Encargos e Benefícios'!X311+'Encargos e Benefícios'!Y311+'Encargos e Benefícios'!Z311+'Encargos e Benefícios'!AA311+'Encargos e Benefícios'!AB311+'Gastos com Pessoal'!P312+'Gastos com Pessoal'!V312+'Gastos com Pessoal'!AB312)*5.84%</f>
        <v>21.620452924340121</v>
      </c>
      <c r="AI312" s="256">
        <f>('Encargos e Benefícios'!V311+'Gastos com Pessoal'!Q312+'Gastos com Pessoal'!W312+'Gastos com Pessoal'!AC312)*5.84%</f>
        <v>6.8728459800480408</v>
      </c>
      <c r="AJ312" s="257"/>
      <c r="AK312" s="296">
        <f>'Encargos e Benefícios'!D311</f>
        <v>2751.84</v>
      </c>
      <c r="AL312" s="296">
        <f>IF('Encargos e Benefícios'!C311=0,0,'Encargos e Benefícios'!U311/'Encargos e Benefícios'!C311)</f>
        <v>2198.8730400000004</v>
      </c>
      <c r="AM312" s="296">
        <f>IF('Encargos e Benefícios'!C311=0,0,'Encargos e Benefícios'!AC311/'Encargos e Benefícios'!C311)</f>
        <v>940.71</v>
      </c>
      <c r="AN312" s="297">
        <f>IF('Encargos e Benefícios'!C311=0,0,'Encargos e Benefícios'!AD311/'Encargos e Benefícios'!C311)</f>
        <v>5891.4230400000006</v>
      </c>
      <c r="AO312" s="188">
        <v>2365.86</v>
      </c>
      <c r="AP312" s="298">
        <v>1700</v>
      </c>
      <c r="AQ312" s="298">
        <v>3031.72</v>
      </c>
      <c r="AR312" s="302" t="s">
        <v>689</v>
      </c>
      <c r="AS312" s="188"/>
    </row>
    <row r="313" spans="1:45" ht="13" thickBot="1">
      <c r="A313" s="286">
        <v>307</v>
      </c>
      <c r="B313" s="81" t="str">
        <f>'Encargos e Benefícios'!B312</f>
        <v>Assistente Social</v>
      </c>
      <c r="C313" s="287">
        <f>'Encargos e Benefícios'!C312</f>
        <v>1</v>
      </c>
      <c r="D313" s="288">
        <v>30</v>
      </c>
      <c r="E313" s="300">
        <v>45809</v>
      </c>
      <c r="F313" s="301">
        <v>47058</v>
      </c>
      <c r="G313" s="293"/>
      <c r="H313" s="292"/>
      <c r="I313" s="256"/>
      <c r="J313" s="256"/>
      <c r="K313" s="256"/>
      <c r="L313" s="256"/>
      <c r="M313" s="293">
        <v>45778</v>
      </c>
      <c r="N313" s="292">
        <v>5.8400000000000001E-2</v>
      </c>
      <c r="O313" s="256">
        <f>'Encargos e Benefícios'!W312*5.84%</f>
        <v>30.905280000000001</v>
      </c>
      <c r="P313" s="256">
        <f>('Encargos e Benefícios'!X312+'Encargos e Benefícios'!Y312+'Encargos e Benefícios'!Z312+'Encargos e Benefícios'!AA312+'Encargos e Benefícios'!AB312)*5.84%</f>
        <v>18.235399999999998</v>
      </c>
      <c r="Q313" s="256">
        <f>'Encargos e Benefícios'!V312*5.84%</f>
        <v>5.7967840000000006</v>
      </c>
      <c r="R313" s="256"/>
      <c r="S313" s="293">
        <v>46143</v>
      </c>
      <c r="T313" s="294">
        <v>5.8400000000000001E-2</v>
      </c>
      <c r="U313" s="256">
        <f>('Encargos e Benefícios'!W312+'Gastos com Pessoal'!O313)*5.84%</f>
        <v>32.710148351999997</v>
      </c>
      <c r="V313" s="256">
        <f>('Encargos e Benefícios'!X312+'Encargos e Benefícios'!Y312+'Encargos e Benefícios'!Z312+'Encargos e Benefícios'!AA312+'Encargos e Benefícios'!AB312+'Gastos com Pessoal'!P313)*5.84%</f>
        <v>19.300347360000004</v>
      </c>
      <c r="W313" s="256">
        <f>('Encargos e Benefícios'!V312+'Gastos com Pessoal'!Q313)*5.84%</f>
        <v>6.1353161856000007</v>
      </c>
      <c r="X313" s="256"/>
      <c r="Y313" s="293">
        <v>46508</v>
      </c>
      <c r="Z313" s="294">
        <v>5.8400000000000001E-2</v>
      </c>
      <c r="AA313" s="256">
        <f>('Encargos e Benefícios'!W312+'Gastos com Pessoal'!O313+'Gastos com Pessoal'!U313)*5.84%</f>
        <v>34.620421015756804</v>
      </c>
      <c r="AB313" s="256">
        <f>('Encargos e Benefícios'!X312+'Encargos e Benefícios'!Y312+'Encargos e Benefícios'!Z312+'Encargos e Benefícios'!AA312+'Encargos e Benefícios'!AB312+'Gastos com Pessoal'!P313+'Gastos com Pessoal'!V313)*5.84%</f>
        <v>20.427487645824002</v>
      </c>
      <c r="AC313" s="256">
        <f>('Encargos e Benefícios'!V312+'Gastos com Pessoal'!Q313+'Gastos com Pessoal'!W313)*5.84%</f>
        <v>6.493618650839041</v>
      </c>
      <c r="AD313" s="256"/>
      <c r="AE313" s="293">
        <v>46874</v>
      </c>
      <c r="AF313" s="294">
        <v>5.8400000000000001E-2</v>
      </c>
      <c r="AG313" s="256">
        <f>('Encargos e Benefícios'!W312+'Gastos com Pessoal'!O313+'Gastos com Pessoal'!U313+'Gastos com Pessoal'!AA313)*5.84%</f>
        <v>36.642253603077002</v>
      </c>
      <c r="AH313" s="256">
        <f>('Encargos e Benefícios'!X312+'Encargos e Benefícios'!Y312+'Encargos e Benefícios'!Z312+'Encargos e Benefícios'!AA312+'Encargos e Benefícios'!AB312+'Gastos com Pessoal'!P313+'Gastos com Pessoal'!V313+'Gastos com Pessoal'!AB313)*5.84%</f>
        <v>21.620452924340121</v>
      </c>
      <c r="AI313" s="256">
        <f>('Encargos e Benefícios'!V312+'Gastos com Pessoal'!Q313+'Gastos com Pessoal'!W313+'Gastos com Pessoal'!AC313)*5.84%</f>
        <v>6.8728459800480408</v>
      </c>
      <c r="AJ313" s="257"/>
      <c r="AK313" s="296">
        <f>'Encargos e Benefícios'!D312</f>
        <v>2751.84</v>
      </c>
      <c r="AL313" s="296">
        <f>IF('Encargos e Benefícios'!C312=0,0,'Encargos e Benefícios'!U312/'Encargos e Benefícios'!C312)</f>
        <v>2198.8730400000004</v>
      </c>
      <c r="AM313" s="296">
        <f>IF('Encargos e Benefícios'!C312=0,0,'Encargos e Benefícios'!AC312/'Encargos e Benefícios'!C312)</f>
        <v>940.71</v>
      </c>
      <c r="AN313" s="297">
        <f>IF('Encargos e Benefícios'!C312=0,0,'Encargos e Benefícios'!AD312/'Encargos e Benefícios'!C312)</f>
        <v>5891.4230400000006</v>
      </c>
      <c r="AO313" s="188">
        <v>3479.77</v>
      </c>
      <c r="AP313" s="298">
        <v>2252.3200000000002</v>
      </c>
      <c r="AQ313" s="298">
        <v>4707.22</v>
      </c>
      <c r="AR313" s="302" t="s">
        <v>689</v>
      </c>
      <c r="AS313" s="188"/>
    </row>
    <row r="314" spans="1:45" ht="13" thickBot="1">
      <c r="A314" s="286">
        <v>308</v>
      </c>
      <c r="B314" s="81" t="str">
        <f>'Encargos e Benefícios'!B313</f>
        <v>Pedagogo</v>
      </c>
      <c r="C314" s="287">
        <f>'Encargos e Benefícios'!C313</f>
        <v>1</v>
      </c>
      <c r="D314" s="288">
        <v>30</v>
      </c>
      <c r="E314" s="300">
        <v>45809</v>
      </c>
      <c r="F314" s="301">
        <v>47058</v>
      </c>
      <c r="G314" s="293"/>
      <c r="H314" s="292"/>
      <c r="I314" s="256"/>
      <c r="J314" s="256"/>
      <c r="K314" s="256"/>
      <c r="L314" s="256"/>
      <c r="M314" s="293">
        <v>45778</v>
      </c>
      <c r="N314" s="292">
        <v>5.8400000000000001E-2</v>
      </c>
      <c r="O314" s="256">
        <f>'Encargos e Benefícios'!W313*5.84%</f>
        <v>30.905280000000001</v>
      </c>
      <c r="P314" s="256">
        <f>('Encargos e Benefícios'!X313+'Encargos e Benefícios'!Y313+'Encargos e Benefícios'!Z313+'Encargos e Benefícios'!AA313+'Encargos e Benefícios'!AB313)*5.84%</f>
        <v>18.235399999999998</v>
      </c>
      <c r="Q314" s="256">
        <f>'Encargos e Benefícios'!V313*5.84%</f>
        <v>5.7967840000000006</v>
      </c>
      <c r="R314" s="256"/>
      <c r="S314" s="293">
        <v>46143</v>
      </c>
      <c r="T314" s="294">
        <v>5.8400000000000001E-2</v>
      </c>
      <c r="U314" s="256">
        <f>('Encargos e Benefícios'!W313+'Gastos com Pessoal'!O314)*5.84%</f>
        <v>32.710148351999997</v>
      </c>
      <c r="V314" s="256">
        <f>('Encargos e Benefícios'!X313+'Encargos e Benefícios'!Y313+'Encargos e Benefícios'!Z313+'Encargos e Benefícios'!AA313+'Encargos e Benefícios'!AB313+'Gastos com Pessoal'!P314)*5.84%</f>
        <v>19.300347360000004</v>
      </c>
      <c r="W314" s="256">
        <f>('Encargos e Benefícios'!V313+'Gastos com Pessoal'!Q314)*5.84%</f>
        <v>6.1353161856000007</v>
      </c>
      <c r="X314" s="256"/>
      <c r="Y314" s="293">
        <v>46508</v>
      </c>
      <c r="Z314" s="294">
        <v>5.8400000000000001E-2</v>
      </c>
      <c r="AA314" s="256">
        <f>('Encargos e Benefícios'!W313+'Gastos com Pessoal'!O314+'Gastos com Pessoal'!U314)*5.84%</f>
        <v>34.620421015756804</v>
      </c>
      <c r="AB314" s="256">
        <f>('Encargos e Benefícios'!X313+'Encargos e Benefícios'!Y313+'Encargos e Benefícios'!Z313+'Encargos e Benefícios'!AA313+'Encargos e Benefícios'!AB313+'Gastos com Pessoal'!P314+'Gastos com Pessoal'!V314)*5.84%</f>
        <v>20.427487645824002</v>
      </c>
      <c r="AC314" s="256">
        <f>('Encargos e Benefícios'!V313+'Gastos com Pessoal'!Q314+'Gastos com Pessoal'!W314)*5.84%</f>
        <v>6.493618650839041</v>
      </c>
      <c r="AD314" s="256"/>
      <c r="AE314" s="293">
        <v>46874</v>
      </c>
      <c r="AF314" s="294">
        <v>5.8400000000000001E-2</v>
      </c>
      <c r="AG314" s="256">
        <f>('Encargos e Benefícios'!W313+'Gastos com Pessoal'!O314+'Gastos com Pessoal'!U314+'Gastos com Pessoal'!AA314)*5.84%</f>
        <v>36.642253603077002</v>
      </c>
      <c r="AH314" s="256">
        <f>('Encargos e Benefícios'!X313+'Encargos e Benefícios'!Y313+'Encargos e Benefícios'!Z313+'Encargos e Benefícios'!AA313+'Encargos e Benefícios'!AB313+'Gastos com Pessoal'!P314+'Gastos com Pessoal'!V314+'Gastos com Pessoal'!AB314)*5.84%</f>
        <v>21.620452924340121</v>
      </c>
      <c r="AI314" s="256">
        <f>('Encargos e Benefícios'!V313+'Gastos com Pessoal'!Q314+'Gastos com Pessoal'!W314+'Gastos com Pessoal'!AC314)*5.84%</f>
        <v>6.8728459800480408</v>
      </c>
      <c r="AJ314" s="257"/>
      <c r="AK314" s="296">
        <f>'Encargos e Benefícios'!D313</f>
        <v>2751.84</v>
      </c>
      <c r="AL314" s="296">
        <f>IF('Encargos e Benefícios'!C313=0,0,'Encargos e Benefícios'!U313/'Encargos e Benefícios'!C313)</f>
        <v>2198.8730400000004</v>
      </c>
      <c r="AM314" s="296">
        <f>IF('Encargos e Benefícios'!C313=0,0,'Encargos e Benefícios'!AC313/'Encargos e Benefícios'!C313)</f>
        <v>940.71</v>
      </c>
      <c r="AN314" s="297">
        <f>IF('Encargos e Benefícios'!C313=0,0,'Encargos e Benefícios'!AD313/'Encargos e Benefícios'!C313)</f>
        <v>5891.4230400000006</v>
      </c>
      <c r="AO314" s="188">
        <v>2293.52</v>
      </c>
      <c r="AP314" s="298">
        <v>1700</v>
      </c>
      <c r="AQ314" s="298">
        <v>2887.04</v>
      </c>
      <c r="AR314" s="302" t="s">
        <v>689</v>
      </c>
      <c r="AS314" s="188"/>
    </row>
    <row r="315" spans="1:45" ht="13" thickBot="1">
      <c r="A315" s="286">
        <v>309</v>
      </c>
      <c r="B315" s="81" t="str">
        <f>'Encargos e Benefícios'!B314</f>
        <v>Psicologo</v>
      </c>
      <c r="C315" s="287">
        <f>'Encargos e Benefícios'!C314</f>
        <v>1</v>
      </c>
      <c r="D315" s="288">
        <v>30</v>
      </c>
      <c r="E315" s="300">
        <v>45809</v>
      </c>
      <c r="F315" s="301">
        <v>47058</v>
      </c>
      <c r="G315" s="293"/>
      <c r="H315" s="292"/>
      <c r="I315" s="256"/>
      <c r="J315" s="256"/>
      <c r="K315" s="256"/>
      <c r="L315" s="256"/>
      <c r="M315" s="293">
        <v>45778</v>
      </c>
      <c r="N315" s="292">
        <v>5.8400000000000001E-2</v>
      </c>
      <c r="O315" s="256">
        <f>'Encargos e Benefícios'!W314*5.84%</f>
        <v>30.905280000000001</v>
      </c>
      <c r="P315" s="256">
        <f>('Encargos e Benefícios'!X314+'Encargos e Benefícios'!Y314+'Encargos e Benefícios'!Z314+'Encargos e Benefícios'!AA314+'Encargos e Benefícios'!AB314)*5.84%</f>
        <v>18.235399999999998</v>
      </c>
      <c r="Q315" s="256">
        <f>'Encargos e Benefícios'!V314*5.84%</f>
        <v>5.7967840000000006</v>
      </c>
      <c r="R315" s="256"/>
      <c r="S315" s="293">
        <v>46143</v>
      </c>
      <c r="T315" s="294">
        <v>5.8400000000000001E-2</v>
      </c>
      <c r="U315" s="256">
        <f>('Encargos e Benefícios'!W314+'Gastos com Pessoal'!O315)*5.84%</f>
        <v>32.710148351999997</v>
      </c>
      <c r="V315" s="256">
        <f>('Encargos e Benefícios'!X314+'Encargos e Benefícios'!Y314+'Encargos e Benefícios'!Z314+'Encargos e Benefícios'!AA314+'Encargos e Benefícios'!AB314+'Gastos com Pessoal'!P315)*5.84%</f>
        <v>19.300347360000004</v>
      </c>
      <c r="W315" s="256">
        <f>('Encargos e Benefícios'!V314+'Gastos com Pessoal'!Q315)*5.84%</f>
        <v>6.1353161856000007</v>
      </c>
      <c r="X315" s="256"/>
      <c r="Y315" s="293">
        <v>46508</v>
      </c>
      <c r="Z315" s="294">
        <v>5.8400000000000001E-2</v>
      </c>
      <c r="AA315" s="256">
        <f>('Encargos e Benefícios'!W314+'Gastos com Pessoal'!O315+'Gastos com Pessoal'!U315)*5.84%</f>
        <v>34.620421015756804</v>
      </c>
      <c r="AB315" s="256">
        <f>('Encargos e Benefícios'!X314+'Encargos e Benefícios'!Y314+'Encargos e Benefícios'!Z314+'Encargos e Benefícios'!AA314+'Encargos e Benefícios'!AB314+'Gastos com Pessoal'!P315+'Gastos com Pessoal'!V315)*5.84%</f>
        <v>20.427487645824002</v>
      </c>
      <c r="AC315" s="256">
        <f>('Encargos e Benefícios'!V314+'Gastos com Pessoal'!Q315+'Gastos com Pessoal'!W315)*5.84%</f>
        <v>6.493618650839041</v>
      </c>
      <c r="AD315" s="256"/>
      <c r="AE315" s="293">
        <v>46874</v>
      </c>
      <c r="AF315" s="294">
        <v>5.8400000000000001E-2</v>
      </c>
      <c r="AG315" s="256">
        <f>('Encargos e Benefícios'!W314+'Gastos com Pessoal'!O315+'Gastos com Pessoal'!U315+'Gastos com Pessoal'!AA315)*5.84%</f>
        <v>36.642253603077002</v>
      </c>
      <c r="AH315" s="256">
        <f>('Encargos e Benefícios'!X314+'Encargos e Benefícios'!Y314+'Encargos e Benefícios'!Z314+'Encargos e Benefícios'!AA314+'Encargos e Benefícios'!AB314+'Gastos com Pessoal'!P315+'Gastos com Pessoal'!V315+'Gastos com Pessoal'!AB315)*5.84%</f>
        <v>21.620452924340121</v>
      </c>
      <c r="AI315" s="256">
        <f>('Encargos e Benefícios'!V314+'Gastos com Pessoal'!Q315+'Gastos com Pessoal'!W315+'Gastos com Pessoal'!AC315)*5.84%</f>
        <v>6.8728459800480408</v>
      </c>
      <c r="AJ315" s="257"/>
      <c r="AK315" s="296">
        <f>'Encargos e Benefícios'!D314</f>
        <v>2751.84</v>
      </c>
      <c r="AL315" s="296">
        <f>IF('Encargos e Benefícios'!C314=0,0,'Encargos e Benefícios'!U314/'Encargos e Benefícios'!C314)</f>
        <v>2198.8730400000004</v>
      </c>
      <c r="AM315" s="296">
        <f>IF('Encargos e Benefícios'!C314=0,0,'Encargos e Benefícios'!AC314/'Encargos e Benefícios'!C314)</f>
        <v>940.71</v>
      </c>
      <c r="AN315" s="297">
        <f>IF('Encargos e Benefícios'!C314=0,0,'Encargos e Benefícios'!AD314/'Encargos e Benefícios'!C314)</f>
        <v>5891.4230400000006</v>
      </c>
      <c r="AO315" s="188">
        <v>3202.11</v>
      </c>
      <c r="AP315" s="298">
        <v>1700</v>
      </c>
      <c r="AQ315" s="298">
        <v>4704.22</v>
      </c>
      <c r="AR315" s="302" t="s">
        <v>689</v>
      </c>
      <c r="AS315" s="188"/>
    </row>
    <row r="316" spans="1:45" ht="13" thickBot="1">
      <c r="A316" s="286">
        <v>310</v>
      </c>
      <c r="B316" s="81" t="str">
        <f>'Encargos e Benefícios'!B315</f>
        <v>Terapeuta Ocupacional</v>
      </c>
      <c r="C316" s="287">
        <f>'Encargos e Benefícios'!C315</f>
        <v>1</v>
      </c>
      <c r="D316" s="288">
        <v>30</v>
      </c>
      <c r="E316" s="300">
        <v>45809</v>
      </c>
      <c r="F316" s="301">
        <v>47058</v>
      </c>
      <c r="G316" s="293"/>
      <c r="H316" s="292"/>
      <c r="I316" s="256"/>
      <c r="J316" s="256"/>
      <c r="K316" s="256"/>
      <c r="L316" s="256"/>
      <c r="M316" s="293">
        <v>45778</v>
      </c>
      <c r="N316" s="292">
        <v>5.8400000000000001E-2</v>
      </c>
      <c r="O316" s="256">
        <f>'Encargos e Benefícios'!W315*5.84%</f>
        <v>30.905280000000001</v>
      </c>
      <c r="P316" s="256">
        <f>('Encargos e Benefícios'!X315+'Encargos e Benefícios'!Y315+'Encargos e Benefícios'!Z315+'Encargos e Benefícios'!AA315+'Encargos e Benefícios'!AB315)*5.84%</f>
        <v>18.235399999999998</v>
      </c>
      <c r="Q316" s="256">
        <f>'Encargos e Benefícios'!V315*5.84%</f>
        <v>5.7967840000000006</v>
      </c>
      <c r="R316" s="256"/>
      <c r="S316" s="293">
        <v>46143</v>
      </c>
      <c r="T316" s="294">
        <v>5.8400000000000001E-2</v>
      </c>
      <c r="U316" s="256">
        <f>('Encargos e Benefícios'!W315+'Gastos com Pessoal'!O316)*5.84%</f>
        <v>32.710148351999997</v>
      </c>
      <c r="V316" s="256">
        <f>('Encargos e Benefícios'!X315+'Encargos e Benefícios'!Y315+'Encargos e Benefícios'!Z315+'Encargos e Benefícios'!AA315+'Encargos e Benefícios'!AB315+'Gastos com Pessoal'!P316)*5.84%</f>
        <v>19.300347360000004</v>
      </c>
      <c r="W316" s="256">
        <f>('Encargos e Benefícios'!V315+'Gastos com Pessoal'!Q316)*5.84%</f>
        <v>6.1353161856000007</v>
      </c>
      <c r="X316" s="256"/>
      <c r="Y316" s="293">
        <v>46508</v>
      </c>
      <c r="Z316" s="294">
        <v>5.8400000000000001E-2</v>
      </c>
      <c r="AA316" s="256">
        <f>('Encargos e Benefícios'!W315+'Gastos com Pessoal'!O316+'Gastos com Pessoal'!U316)*5.84%</f>
        <v>34.620421015756804</v>
      </c>
      <c r="AB316" s="256">
        <f>('Encargos e Benefícios'!X315+'Encargos e Benefícios'!Y315+'Encargos e Benefícios'!Z315+'Encargos e Benefícios'!AA315+'Encargos e Benefícios'!AB315+'Gastos com Pessoal'!P316+'Gastos com Pessoal'!V316)*5.84%</f>
        <v>20.427487645824002</v>
      </c>
      <c r="AC316" s="256">
        <f>('Encargos e Benefícios'!V315+'Gastos com Pessoal'!Q316+'Gastos com Pessoal'!W316)*5.84%</f>
        <v>6.493618650839041</v>
      </c>
      <c r="AD316" s="256"/>
      <c r="AE316" s="293">
        <v>46874</v>
      </c>
      <c r="AF316" s="294">
        <v>5.8400000000000001E-2</v>
      </c>
      <c r="AG316" s="256">
        <f>('Encargos e Benefícios'!W315+'Gastos com Pessoal'!O316+'Gastos com Pessoal'!U316+'Gastos com Pessoal'!AA316)*5.84%</f>
        <v>36.642253603077002</v>
      </c>
      <c r="AH316" s="256">
        <f>('Encargos e Benefícios'!X315+'Encargos e Benefícios'!Y315+'Encargos e Benefícios'!Z315+'Encargos e Benefícios'!AA315+'Encargos e Benefícios'!AB315+'Gastos com Pessoal'!P316+'Gastos com Pessoal'!V316+'Gastos com Pessoal'!AB316)*5.84%</f>
        <v>21.620452924340121</v>
      </c>
      <c r="AI316" s="256">
        <f>('Encargos e Benefícios'!V315+'Gastos com Pessoal'!Q316+'Gastos com Pessoal'!W316+'Gastos com Pessoal'!AC316)*5.84%</f>
        <v>6.8728459800480408</v>
      </c>
      <c r="AJ316" s="257"/>
      <c r="AK316" s="296">
        <f>'Encargos e Benefícios'!D315</f>
        <v>2751.84</v>
      </c>
      <c r="AL316" s="296">
        <f>IF('Encargos e Benefícios'!C315=0,0,'Encargos e Benefícios'!U315/'Encargos e Benefícios'!C315)</f>
        <v>2198.8730400000004</v>
      </c>
      <c r="AM316" s="296">
        <f>IF('Encargos e Benefícios'!C315=0,0,'Encargos e Benefícios'!AC315/'Encargos e Benefícios'!C315)</f>
        <v>940.71</v>
      </c>
      <c r="AN316" s="297">
        <f>IF('Encargos e Benefícios'!C315=0,0,'Encargos e Benefícios'!AD315/'Encargos e Benefícios'!C315)</f>
        <v>5891.4230400000006</v>
      </c>
      <c r="AO316" s="188">
        <v>3478.27</v>
      </c>
      <c r="AP316" s="298">
        <v>2252.3200000000002</v>
      </c>
      <c r="AQ316" s="298">
        <v>4704.22</v>
      </c>
      <c r="AR316" s="302" t="s">
        <v>689</v>
      </c>
      <c r="AS316" s="188"/>
    </row>
    <row r="317" spans="1:45" ht="13" thickBot="1">
      <c r="A317" s="286">
        <v>311</v>
      </c>
      <c r="B317" s="81" t="str">
        <f>'Encargos e Benefícios'!B316</f>
        <v>Administrativo</v>
      </c>
      <c r="C317" s="287">
        <f>'Encargos e Benefícios'!C316</f>
        <v>1</v>
      </c>
      <c r="D317" s="288">
        <v>40</v>
      </c>
      <c r="E317" s="300">
        <v>45809</v>
      </c>
      <c r="F317" s="301">
        <v>47058</v>
      </c>
      <c r="G317" s="293"/>
      <c r="H317" s="292"/>
      <c r="I317" s="256"/>
      <c r="J317" s="256"/>
      <c r="K317" s="256"/>
      <c r="L317" s="256"/>
      <c r="M317" s="293">
        <v>45778</v>
      </c>
      <c r="N317" s="292">
        <v>5.8400000000000001E-2</v>
      </c>
      <c r="O317" s="256">
        <f>'Encargos e Benefícios'!W316*5.84%</f>
        <v>30.905280000000001</v>
      </c>
      <c r="P317" s="256">
        <f>('Encargos e Benefícios'!X316+'Encargos e Benefícios'!Y316+'Encargos e Benefícios'!Z316+'Encargos e Benefícios'!AA316+'Encargos e Benefícios'!AB316)*5.84%</f>
        <v>18.235399999999998</v>
      </c>
      <c r="Q317" s="256">
        <f>'Encargos e Benefícios'!V316*5.84%</f>
        <v>5.7967840000000006</v>
      </c>
      <c r="R317" s="256"/>
      <c r="S317" s="293">
        <v>46143</v>
      </c>
      <c r="T317" s="294">
        <v>5.8400000000000001E-2</v>
      </c>
      <c r="U317" s="256">
        <f>('Encargos e Benefícios'!W316+'Gastos com Pessoal'!O317)*5.84%</f>
        <v>32.710148351999997</v>
      </c>
      <c r="V317" s="256">
        <f>('Encargos e Benefícios'!X316+'Encargos e Benefícios'!Y316+'Encargos e Benefícios'!Z316+'Encargos e Benefícios'!AA316+'Encargos e Benefícios'!AB316+'Gastos com Pessoal'!P317)*5.84%</f>
        <v>19.300347360000004</v>
      </c>
      <c r="W317" s="256">
        <f>('Encargos e Benefícios'!V316+'Gastos com Pessoal'!Q317)*5.84%</f>
        <v>6.1353161856000007</v>
      </c>
      <c r="X317" s="256"/>
      <c r="Y317" s="293">
        <v>46508</v>
      </c>
      <c r="Z317" s="294">
        <v>5.8400000000000001E-2</v>
      </c>
      <c r="AA317" s="256">
        <f>('Encargos e Benefícios'!W316+'Gastos com Pessoal'!O317+'Gastos com Pessoal'!U317)*5.84%</f>
        <v>34.620421015756804</v>
      </c>
      <c r="AB317" s="256">
        <f>('Encargos e Benefícios'!X316+'Encargos e Benefícios'!Y316+'Encargos e Benefícios'!Z316+'Encargos e Benefícios'!AA316+'Encargos e Benefícios'!AB316+'Gastos com Pessoal'!P317+'Gastos com Pessoal'!V317)*5.84%</f>
        <v>20.427487645824002</v>
      </c>
      <c r="AC317" s="256">
        <f>('Encargos e Benefícios'!V316+'Gastos com Pessoal'!Q317+'Gastos com Pessoal'!W317)*5.84%</f>
        <v>6.493618650839041</v>
      </c>
      <c r="AD317" s="256"/>
      <c r="AE317" s="293">
        <v>46874</v>
      </c>
      <c r="AF317" s="294">
        <v>5.8400000000000001E-2</v>
      </c>
      <c r="AG317" s="256">
        <f>('Encargos e Benefícios'!W316+'Gastos com Pessoal'!O317+'Gastos com Pessoal'!U317+'Gastos com Pessoal'!AA317)*5.84%</f>
        <v>36.642253603077002</v>
      </c>
      <c r="AH317" s="256">
        <f>('Encargos e Benefícios'!X316+'Encargos e Benefícios'!Y316+'Encargos e Benefícios'!Z316+'Encargos e Benefícios'!AA316+'Encargos e Benefícios'!AB316+'Gastos com Pessoal'!P317+'Gastos com Pessoal'!V317+'Gastos com Pessoal'!AB317)*5.84%</f>
        <v>21.620452924340121</v>
      </c>
      <c r="AI317" s="256">
        <f>('Encargos e Benefícios'!V316+'Gastos com Pessoal'!Q317+'Gastos com Pessoal'!W317+'Gastos com Pessoal'!AC317)*5.84%</f>
        <v>6.8728459800480408</v>
      </c>
      <c r="AJ317" s="257"/>
      <c r="AK317" s="296">
        <f>'Encargos e Benefícios'!D316</f>
        <v>1852.2</v>
      </c>
      <c r="AL317" s="296">
        <f>IF('Encargos e Benefícios'!C316=0,0,'Encargos e Benefícios'!U316/'Encargos e Benefícios'!C316)</f>
        <v>1480.0106999999996</v>
      </c>
      <c r="AM317" s="296">
        <f>IF('Encargos e Benefícios'!C316=0,0,'Encargos e Benefícios'!AC316/'Encargos e Benefícios'!C316)</f>
        <v>940.71</v>
      </c>
      <c r="AN317" s="297">
        <f>IF('Encargos e Benefícios'!C316=0,0,'Encargos e Benefícios'!AD316/'Encargos e Benefícios'!C316)</f>
        <v>4272.9206999999997</v>
      </c>
      <c r="AO317" s="188">
        <v>1786.2</v>
      </c>
      <c r="AP317" s="298">
        <v>1352.9</v>
      </c>
      <c r="AQ317" s="298">
        <v>2219.4899999999998</v>
      </c>
      <c r="AR317" s="302" t="s">
        <v>689</v>
      </c>
      <c r="AS317" s="188"/>
    </row>
    <row r="318" spans="1:45" ht="13" thickBot="1">
      <c r="A318" s="286">
        <v>312</v>
      </c>
      <c r="B318" s="81" t="str">
        <f>'Encargos e Benefícios'!B317</f>
        <v>Auxiliar Educacional</v>
      </c>
      <c r="C318" s="287">
        <f>'Encargos e Benefícios'!C317</f>
        <v>1</v>
      </c>
      <c r="D318" s="288">
        <v>30</v>
      </c>
      <c r="E318" s="300">
        <v>45809</v>
      </c>
      <c r="F318" s="301">
        <v>47058</v>
      </c>
      <c r="G318" s="293"/>
      <c r="H318" s="292"/>
      <c r="I318" s="256"/>
      <c r="J318" s="256"/>
      <c r="K318" s="256"/>
      <c r="L318" s="256"/>
      <c r="M318" s="293">
        <v>45778</v>
      </c>
      <c r="N318" s="292">
        <v>5.8400000000000001E-2</v>
      </c>
      <c r="O318" s="256">
        <f>'Encargos e Benefícios'!W317*5.84%</f>
        <v>30.905280000000001</v>
      </c>
      <c r="P318" s="256">
        <f>('Encargos e Benefícios'!X317+'Encargos e Benefícios'!Y317+'Encargos e Benefícios'!Z317+'Encargos e Benefícios'!AA317+'Encargos e Benefícios'!AB317)*5.84%</f>
        <v>18.235399999999998</v>
      </c>
      <c r="Q318" s="256">
        <f>'Encargos e Benefícios'!V317*5.84%</f>
        <v>5.7967840000000006</v>
      </c>
      <c r="R318" s="256"/>
      <c r="S318" s="293">
        <v>46143</v>
      </c>
      <c r="T318" s="294">
        <v>5.8400000000000001E-2</v>
      </c>
      <c r="U318" s="256">
        <f>('Encargos e Benefícios'!W317+'Gastos com Pessoal'!O318)*5.84%</f>
        <v>32.710148351999997</v>
      </c>
      <c r="V318" s="256">
        <f>('Encargos e Benefícios'!X317+'Encargos e Benefícios'!Y317+'Encargos e Benefícios'!Z317+'Encargos e Benefícios'!AA317+'Encargos e Benefícios'!AB317+'Gastos com Pessoal'!P318)*5.84%</f>
        <v>19.300347360000004</v>
      </c>
      <c r="W318" s="256">
        <f>('Encargos e Benefícios'!V317+'Gastos com Pessoal'!Q318)*5.84%</f>
        <v>6.1353161856000007</v>
      </c>
      <c r="X318" s="256"/>
      <c r="Y318" s="293">
        <v>46508</v>
      </c>
      <c r="Z318" s="294">
        <v>5.8400000000000001E-2</v>
      </c>
      <c r="AA318" s="256">
        <f>('Encargos e Benefícios'!W317+'Gastos com Pessoal'!O318+'Gastos com Pessoal'!U318)*5.84%</f>
        <v>34.620421015756804</v>
      </c>
      <c r="AB318" s="256">
        <f>('Encargos e Benefícios'!X317+'Encargos e Benefícios'!Y317+'Encargos e Benefícios'!Z317+'Encargos e Benefícios'!AA317+'Encargos e Benefícios'!AB317+'Gastos com Pessoal'!P318+'Gastos com Pessoal'!V318)*5.84%</f>
        <v>20.427487645824002</v>
      </c>
      <c r="AC318" s="256">
        <f>('Encargos e Benefícios'!V317+'Gastos com Pessoal'!Q318+'Gastos com Pessoal'!W318)*5.84%</f>
        <v>6.493618650839041</v>
      </c>
      <c r="AD318" s="256"/>
      <c r="AE318" s="293">
        <v>46874</v>
      </c>
      <c r="AF318" s="294">
        <v>5.8400000000000001E-2</v>
      </c>
      <c r="AG318" s="256">
        <f>('Encargos e Benefícios'!W317+'Gastos com Pessoal'!O318+'Gastos com Pessoal'!U318+'Gastos com Pessoal'!AA318)*5.84%</f>
        <v>36.642253603077002</v>
      </c>
      <c r="AH318" s="256">
        <f>('Encargos e Benefícios'!X317+'Encargos e Benefícios'!Y317+'Encargos e Benefícios'!Z317+'Encargos e Benefícios'!AA317+'Encargos e Benefícios'!AB317+'Gastos com Pessoal'!P318+'Gastos com Pessoal'!V318+'Gastos com Pessoal'!AB318)*5.84%</f>
        <v>21.620452924340121</v>
      </c>
      <c r="AI318" s="256">
        <f>('Encargos e Benefícios'!V317+'Gastos com Pessoal'!Q318+'Gastos com Pessoal'!W318+'Gastos com Pessoal'!AC318)*5.84%</f>
        <v>6.8728459800480408</v>
      </c>
      <c r="AJ318" s="257"/>
      <c r="AK318" s="296">
        <f>'Encargos e Benefícios'!D317</f>
        <v>1737.89</v>
      </c>
      <c r="AL318" s="296">
        <f>IF('Encargos e Benefícios'!C317=0,0,'Encargos e Benefícios'!U317/'Encargos e Benefícios'!C317)</f>
        <v>1388.6706594444449</v>
      </c>
      <c r="AM318" s="296">
        <f>IF('Encargos e Benefícios'!C317=0,0,'Encargos e Benefícios'!AC317/'Encargos e Benefícios'!C317)</f>
        <v>940.71</v>
      </c>
      <c r="AN318" s="297">
        <f>IF('Encargos e Benefícios'!C317=0,0,'Encargos e Benefícios'!AD317/'Encargos e Benefícios'!C317)</f>
        <v>4067.2706594444453</v>
      </c>
      <c r="AO318" s="188">
        <v>1756.04</v>
      </c>
      <c r="AP318" s="298">
        <v>1400</v>
      </c>
      <c r="AQ318" s="298">
        <v>2112.08</v>
      </c>
      <c r="AR318" s="302" t="s">
        <v>689</v>
      </c>
      <c r="AS318" s="188"/>
    </row>
    <row r="319" spans="1:45" ht="13" thickBot="1">
      <c r="A319" s="286">
        <v>313</v>
      </c>
      <c r="B319" s="81" t="str">
        <f>'Encargos e Benefícios'!B318</f>
        <v>Auxiliar de Serviços Gerais</v>
      </c>
      <c r="C319" s="287">
        <f>'Encargos e Benefícios'!C318</f>
        <v>1</v>
      </c>
      <c r="D319" s="288">
        <v>30</v>
      </c>
      <c r="E319" s="300">
        <v>45809</v>
      </c>
      <c r="F319" s="301">
        <v>47058</v>
      </c>
      <c r="G319" s="293"/>
      <c r="H319" s="292"/>
      <c r="I319" s="256"/>
      <c r="J319" s="256"/>
      <c r="K319" s="256"/>
      <c r="L319" s="256"/>
      <c r="M319" s="293">
        <v>45778</v>
      </c>
      <c r="N319" s="292">
        <v>5.8400000000000001E-2</v>
      </c>
      <c r="O319" s="256">
        <f>'Encargos e Benefícios'!W318*5.84%</f>
        <v>30.905280000000001</v>
      </c>
      <c r="P319" s="256">
        <f>('Encargos e Benefícios'!X318+'Encargos e Benefícios'!Y318+'Encargos e Benefícios'!Z318+'Encargos e Benefícios'!AA318+'Encargos e Benefícios'!AB318)*5.84%</f>
        <v>18.235399999999998</v>
      </c>
      <c r="Q319" s="256">
        <f>'Encargos e Benefícios'!V318*5.84%</f>
        <v>5.7967840000000006</v>
      </c>
      <c r="R319" s="256"/>
      <c r="S319" s="293">
        <v>46143</v>
      </c>
      <c r="T319" s="294">
        <v>5.8400000000000001E-2</v>
      </c>
      <c r="U319" s="256">
        <f>('Encargos e Benefícios'!W318+'Gastos com Pessoal'!O319)*5.84%</f>
        <v>32.710148351999997</v>
      </c>
      <c r="V319" s="256">
        <f>('Encargos e Benefícios'!X318+'Encargos e Benefícios'!Y318+'Encargos e Benefícios'!Z318+'Encargos e Benefícios'!AA318+'Encargos e Benefícios'!AB318+'Gastos com Pessoal'!P319)*5.84%</f>
        <v>19.300347360000004</v>
      </c>
      <c r="W319" s="256">
        <f>('Encargos e Benefícios'!V318+'Gastos com Pessoal'!Q319)*5.84%</f>
        <v>6.1353161856000007</v>
      </c>
      <c r="X319" s="256"/>
      <c r="Y319" s="293">
        <v>46508</v>
      </c>
      <c r="Z319" s="294">
        <v>5.8400000000000001E-2</v>
      </c>
      <c r="AA319" s="256">
        <f>('Encargos e Benefícios'!W318+'Gastos com Pessoal'!O319+'Gastos com Pessoal'!U319)*5.84%</f>
        <v>34.620421015756804</v>
      </c>
      <c r="AB319" s="256">
        <f>('Encargos e Benefícios'!X318+'Encargos e Benefícios'!Y318+'Encargos e Benefícios'!Z318+'Encargos e Benefícios'!AA318+'Encargos e Benefícios'!AB318+'Gastos com Pessoal'!P319+'Gastos com Pessoal'!V319)*5.84%</f>
        <v>20.427487645824002</v>
      </c>
      <c r="AC319" s="256">
        <f>('Encargos e Benefícios'!V318+'Gastos com Pessoal'!Q319+'Gastos com Pessoal'!W319)*5.84%</f>
        <v>6.493618650839041</v>
      </c>
      <c r="AD319" s="256"/>
      <c r="AE319" s="293">
        <v>46874</v>
      </c>
      <c r="AF319" s="294">
        <v>5.8400000000000001E-2</v>
      </c>
      <c r="AG319" s="256">
        <f>('Encargos e Benefícios'!W318+'Gastos com Pessoal'!O319+'Gastos com Pessoal'!U319+'Gastos com Pessoal'!AA319)*5.84%</f>
        <v>36.642253603077002</v>
      </c>
      <c r="AH319" s="256">
        <f>('Encargos e Benefícios'!X318+'Encargos e Benefícios'!Y318+'Encargos e Benefícios'!Z318+'Encargos e Benefícios'!AA318+'Encargos e Benefícios'!AB318+'Gastos com Pessoal'!P319+'Gastos com Pessoal'!V319+'Gastos com Pessoal'!AB319)*5.84%</f>
        <v>21.620452924340121</v>
      </c>
      <c r="AI319" s="256">
        <f>('Encargos e Benefícios'!V318+'Gastos com Pessoal'!Q319+'Gastos com Pessoal'!W319+'Gastos com Pessoal'!AC319)*5.84%</f>
        <v>6.8728459800480408</v>
      </c>
      <c r="AJ319" s="257"/>
      <c r="AK319" s="296">
        <f>'Encargos e Benefícios'!D318</f>
        <v>1465.88</v>
      </c>
      <c r="AL319" s="296">
        <f>IF('Encargos e Benefícios'!C318=0,0,'Encargos e Benefícios'!U318/'Encargos e Benefícios'!C318)</f>
        <v>1171.3195577777778</v>
      </c>
      <c r="AM319" s="296">
        <f>IF('Encargos e Benefícios'!C318=0,0,'Encargos e Benefícios'!AC318/'Encargos e Benefícios'!C318)</f>
        <v>940.71</v>
      </c>
      <c r="AN319" s="297">
        <f>IF('Encargos e Benefícios'!C318=0,0,'Encargos e Benefícios'!AD318/'Encargos e Benefícios'!C318)</f>
        <v>3577.909557777778</v>
      </c>
      <c r="AO319" s="188">
        <v>1380.2</v>
      </c>
      <c r="AP319" s="298">
        <v>1320</v>
      </c>
      <c r="AQ319" s="298">
        <v>1440.4</v>
      </c>
      <c r="AR319" s="302" t="s">
        <v>689</v>
      </c>
      <c r="AS319" s="188"/>
    </row>
    <row r="320" spans="1:45" ht="13" thickBot="1">
      <c r="A320" s="286">
        <v>314</v>
      </c>
      <c r="B320" s="81" t="str">
        <f>'Encargos e Benefícios'!B319</f>
        <v>Motorista</v>
      </c>
      <c r="C320" s="287">
        <f>'Encargos e Benefícios'!C319</f>
        <v>1</v>
      </c>
      <c r="D320" s="288">
        <v>40</v>
      </c>
      <c r="E320" s="300">
        <v>45809</v>
      </c>
      <c r="F320" s="301">
        <v>47058</v>
      </c>
      <c r="G320" s="293"/>
      <c r="H320" s="292"/>
      <c r="I320" s="256"/>
      <c r="J320" s="256"/>
      <c r="K320" s="256"/>
      <c r="L320" s="256"/>
      <c r="M320" s="293">
        <v>45778</v>
      </c>
      <c r="N320" s="292">
        <v>5.8400000000000001E-2</v>
      </c>
      <c r="O320" s="256">
        <f>'Encargos e Benefícios'!W319*5.84%</f>
        <v>30.905280000000001</v>
      </c>
      <c r="P320" s="256">
        <f>('Encargos e Benefícios'!X319+'Encargos e Benefícios'!Y319+'Encargos e Benefícios'!Z319+'Encargos e Benefícios'!AA319+'Encargos e Benefícios'!AB319)*5.84%</f>
        <v>18.235399999999998</v>
      </c>
      <c r="Q320" s="256">
        <f>'Encargos e Benefícios'!V319*5.84%</f>
        <v>5.7967840000000006</v>
      </c>
      <c r="R320" s="256"/>
      <c r="S320" s="293">
        <v>46143</v>
      </c>
      <c r="T320" s="294">
        <v>5.8400000000000001E-2</v>
      </c>
      <c r="U320" s="256">
        <f>('Encargos e Benefícios'!W319+'Gastos com Pessoal'!O320)*5.84%</f>
        <v>32.710148351999997</v>
      </c>
      <c r="V320" s="256">
        <f>('Encargos e Benefícios'!X319+'Encargos e Benefícios'!Y319+'Encargos e Benefícios'!Z319+'Encargos e Benefícios'!AA319+'Encargos e Benefícios'!AB319+'Gastos com Pessoal'!P320)*5.84%</f>
        <v>19.300347360000004</v>
      </c>
      <c r="W320" s="256">
        <f>('Encargos e Benefícios'!V319+'Gastos com Pessoal'!Q320)*5.84%</f>
        <v>6.1353161856000007</v>
      </c>
      <c r="X320" s="256"/>
      <c r="Y320" s="293">
        <v>46508</v>
      </c>
      <c r="Z320" s="294">
        <v>5.8400000000000001E-2</v>
      </c>
      <c r="AA320" s="256">
        <f>('Encargos e Benefícios'!W319+'Gastos com Pessoal'!O320+'Gastos com Pessoal'!U320)*5.84%</f>
        <v>34.620421015756804</v>
      </c>
      <c r="AB320" s="256">
        <f>('Encargos e Benefícios'!X319+'Encargos e Benefícios'!Y319+'Encargos e Benefícios'!Z319+'Encargos e Benefícios'!AA319+'Encargos e Benefícios'!AB319+'Gastos com Pessoal'!P320+'Gastos com Pessoal'!V320)*5.84%</f>
        <v>20.427487645824002</v>
      </c>
      <c r="AC320" s="256">
        <f>('Encargos e Benefícios'!V319+'Gastos com Pessoal'!Q320+'Gastos com Pessoal'!W320)*5.84%</f>
        <v>6.493618650839041</v>
      </c>
      <c r="AD320" s="256"/>
      <c r="AE320" s="293">
        <v>46874</v>
      </c>
      <c r="AF320" s="294">
        <v>5.8400000000000001E-2</v>
      </c>
      <c r="AG320" s="256">
        <f>('Encargos e Benefícios'!W319+'Gastos com Pessoal'!O320+'Gastos com Pessoal'!U320+'Gastos com Pessoal'!AA320)*5.84%</f>
        <v>36.642253603077002</v>
      </c>
      <c r="AH320" s="256">
        <f>('Encargos e Benefícios'!X319+'Encargos e Benefícios'!Y319+'Encargos e Benefícios'!Z319+'Encargos e Benefícios'!AA319+'Encargos e Benefícios'!AB319+'Gastos com Pessoal'!P320+'Gastos com Pessoal'!V320+'Gastos com Pessoal'!AB320)*5.84%</f>
        <v>21.620452924340121</v>
      </c>
      <c r="AI320" s="256">
        <f>('Encargos e Benefícios'!V319+'Gastos com Pessoal'!Q320+'Gastos com Pessoal'!W320+'Gastos com Pessoal'!AC320)*5.84%</f>
        <v>6.8728459800480408</v>
      </c>
      <c r="AJ320" s="257"/>
      <c r="AK320" s="296">
        <f>'Encargos e Benefícios'!D319</f>
        <v>1537.21</v>
      </c>
      <c r="AL320" s="296">
        <f>IF('Encargos e Benefícios'!C319=0,0,'Encargos e Benefícios'!U319/'Encargos e Benefícios'!C319)</f>
        <v>1228.3161905555557</v>
      </c>
      <c r="AM320" s="296">
        <f>IF('Encargos e Benefícios'!C319=0,0,'Encargos e Benefícios'!AC319/'Encargos e Benefícios'!C319)</f>
        <v>940.71</v>
      </c>
      <c r="AN320" s="297">
        <f>IF('Encargos e Benefícios'!C319=0,0,'Encargos e Benefícios'!AD319/'Encargos e Benefícios'!C319)</f>
        <v>3706.2361905555558</v>
      </c>
      <c r="AO320" s="188">
        <v>1676.09</v>
      </c>
      <c r="AP320" s="298">
        <v>1377.85</v>
      </c>
      <c r="AQ320" s="298">
        <v>1974.32</v>
      </c>
      <c r="AR320" s="302" t="s">
        <v>689</v>
      </c>
      <c r="AS320" s="188"/>
    </row>
    <row r="321" spans="1:45" ht="13" thickBot="1">
      <c r="A321" s="286">
        <v>315</v>
      </c>
      <c r="B321" s="81" t="str">
        <f>'Encargos e Benefícios'!B320</f>
        <v>Socioeducador - DC</v>
      </c>
      <c r="C321" s="287">
        <f>'Encargos e Benefícios'!C320</f>
        <v>2</v>
      </c>
      <c r="D321" s="288" t="s">
        <v>496</v>
      </c>
      <c r="E321" s="300">
        <v>45809</v>
      </c>
      <c r="F321" s="301">
        <v>47058</v>
      </c>
      <c r="G321" s="293"/>
      <c r="H321" s="292"/>
      <c r="I321" s="256"/>
      <c r="J321" s="256"/>
      <c r="K321" s="256"/>
      <c r="L321" s="256"/>
      <c r="M321" s="293">
        <v>45778</v>
      </c>
      <c r="N321" s="292">
        <v>5.8400000000000001E-2</v>
      </c>
      <c r="O321" s="256">
        <f>'Encargos e Benefícios'!W320*5.84%</f>
        <v>61.810560000000002</v>
      </c>
      <c r="P321" s="256">
        <f>('Encargos e Benefícios'!X320+'Encargos e Benefícios'!Y320+'Encargos e Benefícios'!Z320+'Encargos e Benefícios'!AA320+'Encargos e Benefícios'!AB320)*5.84%</f>
        <v>36.470799999999997</v>
      </c>
      <c r="Q321" s="256">
        <f>'Encargos e Benefícios'!V320*5.84%</f>
        <v>7.9050240000000009</v>
      </c>
      <c r="R321" s="256"/>
      <c r="S321" s="293">
        <v>46143</v>
      </c>
      <c r="T321" s="294">
        <v>5.8400000000000001E-2</v>
      </c>
      <c r="U321" s="256">
        <f>('Encargos e Benefícios'!W320+'Gastos com Pessoal'!O321)*5.84%</f>
        <v>65.420296703999995</v>
      </c>
      <c r="V321" s="256">
        <f>('Encargos e Benefícios'!X320+'Encargos e Benefícios'!Y320+'Encargos e Benefícios'!Z320+'Encargos e Benefícios'!AA320+'Encargos e Benefícios'!AB320+'Gastos com Pessoal'!P321)*5.84%</f>
        <v>38.600694720000007</v>
      </c>
      <c r="W321" s="256">
        <f>('Encargos e Benefícios'!V320+'Gastos com Pessoal'!Q321)*5.84%</f>
        <v>8.3666774016000005</v>
      </c>
      <c r="X321" s="256"/>
      <c r="Y321" s="293">
        <v>46508</v>
      </c>
      <c r="Z321" s="294">
        <v>5.8400000000000001E-2</v>
      </c>
      <c r="AA321" s="256">
        <f>('Encargos e Benefícios'!W320+'Gastos com Pessoal'!O321+'Gastos com Pessoal'!U321)*5.84%</f>
        <v>69.240842031513608</v>
      </c>
      <c r="AB321" s="256">
        <f>('Encargos e Benefícios'!X320+'Encargos e Benefícios'!Y320+'Encargos e Benefícios'!Z320+'Encargos e Benefícios'!AA320+'Encargos e Benefícios'!AB320+'Gastos com Pessoal'!P321+'Gastos com Pessoal'!V321)*5.84%</f>
        <v>40.854975291648003</v>
      </c>
      <c r="AC321" s="256">
        <f>('Encargos e Benefícios'!V320+'Gastos com Pessoal'!Q321+'Gastos com Pessoal'!W321)*5.84%</f>
        <v>8.8552913618534408</v>
      </c>
      <c r="AD321" s="256"/>
      <c r="AE321" s="293">
        <v>46874</v>
      </c>
      <c r="AF321" s="294">
        <v>5.8400000000000001E-2</v>
      </c>
      <c r="AG321" s="256">
        <f>('Encargos e Benefícios'!W320+'Gastos com Pessoal'!O321+'Gastos com Pessoal'!U321+'Gastos com Pessoal'!AA321)*5.84%</f>
        <v>73.284507206154004</v>
      </c>
      <c r="AH321" s="256">
        <f>('Encargos e Benefícios'!X320+'Encargos e Benefícios'!Y320+'Encargos e Benefícios'!Z320+'Encargos e Benefícios'!AA320+'Encargos e Benefícios'!AB320+'Gastos com Pessoal'!P321+'Gastos com Pessoal'!V321+'Gastos com Pessoal'!AB321)*5.84%</f>
        <v>43.240905848680242</v>
      </c>
      <c r="AI321" s="256">
        <f>('Encargos e Benefícios'!V320+'Gastos com Pessoal'!Q321+'Gastos com Pessoal'!W321+'Gastos com Pessoal'!AC321)*5.84%</f>
        <v>9.3724403773856828</v>
      </c>
      <c r="AJ321" s="257"/>
      <c r="AK321" s="296">
        <f>'Encargos e Benefícios'!D320</f>
        <v>2010.96</v>
      </c>
      <c r="AL321" s="296">
        <f>IF('Encargos e Benefícios'!C320=0,0,'Encargos e Benefícios'!U320/'Encargos e Benefícios'!C320)</f>
        <v>2894.4607523999998</v>
      </c>
      <c r="AM321" s="296">
        <f>IF('Encargos e Benefícios'!C320=0,0,'Encargos e Benefícios'!AC320/'Encargos e Benefícios'!C320)</f>
        <v>909.13000000000011</v>
      </c>
      <c r="AN321" s="297">
        <f>IF('Encargos e Benefícios'!C320=0,0,'Encargos e Benefícios'!AD320/'Encargos e Benefícios'!C320)</f>
        <v>5814.5507523999995</v>
      </c>
      <c r="AO321" s="188">
        <v>3219.15</v>
      </c>
      <c r="AP321" s="298">
        <v>1764.5</v>
      </c>
      <c r="AQ321" s="298">
        <v>4673.8</v>
      </c>
      <c r="AR321" s="302" t="s">
        <v>689</v>
      </c>
      <c r="AS321" s="188"/>
    </row>
    <row r="322" spans="1:45" ht="13" thickBot="1">
      <c r="A322" s="286">
        <v>316</v>
      </c>
      <c r="B322" s="81" t="str">
        <f>'Encargos e Benefícios'!B321</f>
        <v>Socioeducador - D</v>
      </c>
      <c r="C322" s="287">
        <f>'Encargos e Benefícios'!C321</f>
        <v>12</v>
      </c>
      <c r="D322" s="288" t="s">
        <v>496</v>
      </c>
      <c r="E322" s="300">
        <v>45809</v>
      </c>
      <c r="F322" s="301">
        <v>47058</v>
      </c>
      <c r="G322" s="293"/>
      <c r="H322" s="292"/>
      <c r="I322" s="256"/>
      <c r="J322" s="256"/>
      <c r="K322" s="256"/>
      <c r="L322" s="256"/>
      <c r="M322" s="293">
        <v>45778</v>
      </c>
      <c r="N322" s="292">
        <v>5.8400000000000001E-2</v>
      </c>
      <c r="O322" s="256">
        <f>'Encargos e Benefícios'!W321*5.84%</f>
        <v>370.86336000000006</v>
      </c>
      <c r="P322" s="256">
        <f>('Encargos e Benefícios'!X321+'Encargos e Benefícios'!Y321+'Encargos e Benefícios'!Z321+'Encargos e Benefícios'!AA321+'Encargos e Benefícios'!AB321)*5.84%</f>
        <v>218.82480000000001</v>
      </c>
      <c r="Q322" s="256">
        <f>'Encargos e Benefícios'!V321*5.84%</f>
        <v>47.430144000000006</v>
      </c>
      <c r="R322" s="256"/>
      <c r="S322" s="293">
        <v>46143</v>
      </c>
      <c r="T322" s="294">
        <v>5.8400000000000001E-2</v>
      </c>
      <c r="U322" s="256">
        <f>('Encargos e Benefícios'!W321+'Gastos com Pessoal'!O322)*5.84%</f>
        <v>392.52178022400005</v>
      </c>
      <c r="V322" s="256">
        <f>('Encargos e Benefícios'!X321+'Encargos e Benefícios'!Y321+'Encargos e Benefícios'!Z321+'Encargos e Benefícios'!AA321+'Encargos e Benefícios'!AB321+'Gastos com Pessoal'!P322)*5.84%</f>
        <v>231.60416831999999</v>
      </c>
      <c r="W322" s="256">
        <f>('Encargos e Benefícios'!V321+'Gastos com Pessoal'!Q322)*5.84%</f>
        <v>50.20006440960001</v>
      </c>
      <c r="X322" s="256"/>
      <c r="Y322" s="293">
        <v>46508</v>
      </c>
      <c r="Z322" s="294">
        <v>5.8400000000000001E-2</v>
      </c>
      <c r="AA322" s="256">
        <f>('Encargos e Benefícios'!W321+'Gastos com Pessoal'!O322+'Gastos com Pessoal'!U322)*5.84%</f>
        <v>415.44505218908165</v>
      </c>
      <c r="AB322" s="256">
        <f>('Encargos e Benefícios'!X321+'Encargos e Benefícios'!Y321+'Encargos e Benefícios'!Z321+'Encargos e Benefícios'!AA321+'Encargos e Benefícios'!AB321+'Gastos com Pessoal'!P322+'Gastos com Pessoal'!V322)*5.84%</f>
        <v>245.12985174988796</v>
      </c>
      <c r="AC322" s="256">
        <f>('Encargos e Benefícios'!V321+'Gastos com Pessoal'!Q322+'Gastos com Pessoal'!W322)*5.84%</f>
        <v>53.131748171120648</v>
      </c>
      <c r="AD322" s="256"/>
      <c r="AE322" s="293">
        <v>46874</v>
      </c>
      <c r="AF322" s="294">
        <v>5.8400000000000001E-2</v>
      </c>
      <c r="AG322" s="256">
        <f>('Encargos e Benefícios'!W321+'Gastos com Pessoal'!O322+'Gastos com Pessoal'!U322+'Gastos com Pessoal'!AA322)*5.84%</f>
        <v>439.70704323692399</v>
      </c>
      <c r="AH322" s="256">
        <f>('Encargos e Benefícios'!X321+'Encargos e Benefícios'!Y321+'Encargos e Benefícios'!Z321+'Encargos e Benefícios'!AA321+'Encargos e Benefícios'!AB321+'Gastos com Pessoal'!P322+'Gastos com Pessoal'!V322+'Gastos com Pessoal'!AB322)*5.84%</f>
        <v>259.44543509208142</v>
      </c>
      <c r="AI322" s="256">
        <f>('Encargos e Benefícios'!V321+'Gastos com Pessoal'!Q322+'Gastos com Pessoal'!W322+'Gastos com Pessoal'!AC322)*5.84%</f>
        <v>56.234642264314097</v>
      </c>
      <c r="AJ322" s="257"/>
      <c r="AK322" s="296">
        <f>'Encargos e Benefícios'!D321</f>
        <v>2010.96</v>
      </c>
      <c r="AL322" s="296">
        <f>IF('Encargos e Benefícios'!C321=0,0,'Encargos e Benefícios'!U321/'Encargos e Benefícios'!C321)</f>
        <v>2591.2415003999999</v>
      </c>
      <c r="AM322" s="296">
        <f>IF('Encargos e Benefícios'!C321=0,0,'Encargos e Benefícios'!AC321/'Encargos e Benefícios'!C321)</f>
        <v>909.13</v>
      </c>
      <c r="AN322" s="297">
        <f>IF('Encargos e Benefícios'!C321=0,0,'Encargos e Benefícios'!AD321/'Encargos e Benefícios'!C321)</f>
        <v>5511.3315003999996</v>
      </c>
      <c r="AO322" s="188">
        <v>3219.15</v>
      </c>
      <c r="AP322" s="298">
        <v>1764.5</v>
      </c>
      <c r="AQ322" s="298">
        <v>4673.8</v>
      </c>
      <c r="AR322" s="302" t="s">
        <v>689</v>
      </c>
      <c r="AS322" s="188"/>
    </row>
    <row r="323" spans="1:45" ht="13" thickBot="1">
      <c r="A323" s="286">
        <v>317</v>
      </c>
      <c r="B323" s="81" t="str">
        <f>'Encargos e Benefícios'!B322</f>
        <v>Socioeducador - NC</v>
      </c>
      <c r="C323" s="287">
        <f>'Encargos e Benefícios'!C322</f>
        <v>2</v>
      </c>
      <c r="D323" s="288" t="s">
        <v>496</v>
      </c>
      <c r="E323" s="300">
        <v>45809</v>
      </c>
      <c r="F323" s="301">
        <v>47058</v>
      </c>
      <c r="G323" s="293"/>
      <c r="H323" s="292"/>
      <c r="I323" s="256"/>
      <c r="J323" s="256"/>
      <c r="K323" s="256"/>
      <c r="L323" s="256"/>
      <c r="M323" s="293">
        <v>45778</v>
      </c>
      <c r="N323" s="292">
        <v>5.8400000000000001E-2</v>
      </c>
      <c r="O323" s="256">
        <f>'Encargos e Benefícios'!W322*5.84%</f>
        <v>61.810560000000002</v>
      </c>
      <c r="P323" s="256">
        <f>('Encargos e Benefícios'!X322+'Encargos e Benefícios'!Y322+'Encargos e Benefícios'!Z322+'Encargos e Benefícios'!AA322+'Encargos e Benefícios'!AB322)*5.84%</f>
        <v>36.470799999999997</v>
      </c>
      <c r="Q323" s="256">
        <f>'Encargos e Benefícios'!V322*5.84%</f>
        <v>7.9050240000000009</v>
      </c>
      <c r="R323" s="256"/>
      <c r="S323" s="293">
        <v>46143</v>
      </c>
      <c r="T323" s="294">
        <v>5.8400000000000001E-2</v>
      </c>
      <c r="U323" s="256">
        <f>('Encargos e Benefícios'!W322+'Gastos com Pessoal'!O323)*5.84%</f>
        <v>65.420296703999995</v>
      </c>
      <c r="V323" s="256">
        <f>('Encargos e Benefícios'!X322+'Encargos e Benefícios'!Y322+'Encargos e Benefícios'!Z322+'Encargos e Benefícios'!AA322+'Encargos e Benefícios'!AB322+'Gastos com Pessoal'!P323)*5.84%</f>
        <v>38.600694720000007</v>
      </c>
      <c r="W323" s="256">
        <f>('Encargos e Benefícios'!V322+'Gastos com Pessoal'!Q323)*5.84%</f>
        <v>8.3666774016000005</v>
      </c>
      <c r="X323" s="256"/>
      <c r="Y323" s="293">
        <v>46508</v>
      </c>
      <c r="Z323" s="294">
        <v>5.8400000000000001E-2</v>
      </c>
      <c r="AA323" s="256">
        <f>('Encargos e Benefícios'!W322+'Gastos com Pessoal'!O323+'Gastos com Pessoal'!U323)*5.84%</f>
        <v>69.240842031513608</v>
      </c>
      <c r="AB323" s="256">
        <f>('Encargos e Benefícios'!X322+'Encargos e Benefícios'!Y322+'Encargos e Benefícios'!Z322+'Encargos e Benefícios'!AA322+'Encargos e Benefícios'!AB322+'Gastos com Pessoal'!P323+'Gastos com Pessoal'!V323)*5.84%</f>
        <v>40.854975291648003</v>
      </c>
      <c r="AC323" s="256">
        <f>('Encargos e Benefícios'!V322+'Gastos com Pessoal'!Q323+'Gastos com Pessoal'!W323)*5.84%</f>
        <v>8.8552913618534408</v>
      </c>
      <c r="AD323" s="256"/>
      <c r="AE323" s="293">
        <v>46874</v>
      </c>
      <c r="AF323" s="294">
        <v>5.8400000000000001E-2</v>
      </c>
      <c r="AG323" s="256">
        <f>('Encargos e Benefícios'!W322+'Gastos com Pessoal'!O323+'Gastos com Pessoal'!U323+'Gastos com Pessoal'!AA323)*5.84%</f>
        <v>73.284507206154004</v>
      </c>
      <c r="AH323" s="256">
        <f>('Encargos e Benefícios'!X322+'Encargos e Benefícios'!Y322+'Encargos e Benefícios'!Z322+'Encargos e Benefícios'!AA322+'Encargos e Benefícios'!AB322+'Gastos com Pessoal'!P323+'Gastos com Pessoal'!V323+'Gastos com Pessoal'!AB323)*5.84%</f>
        <v>43.240905848680242</v>
      </c>
      <c r="AI323" s="256">
        <f>('Encargos e Benefícios'!V322+'Gastos com Pessoal'!Q323+'Gastos com Pessoal'!W323+'Gastos com Pessoal'!AC323)*5.84%</f>
        <v>9.3724403773856828</v>
      </c>
      <c r="AJ323" s="257"/>
      <c r="AK323" s="296">
        <f>'Encargos e Benefícios'!D322</f>
        <v>2010.96</v>
      </c>
      <c r="AL323" s="296">
        <f>IF('Encargos e Benefícios'!C322=0,0,'Encargos e Benefícios'!U322/'Encargos e Benefícios'!C322)</f>
        <v>3505.6241682933337</v>
      </c>
      <c r="AM323" s="296">
        <f>IF('Encargos e Benefícios'!C322=0,0,'Encargos e Benefícios'!AC322/'Encargos e Benefícios'!C322)</f>
        <v>909.13000000000011</v>
      </c>
      <c r="AN323" s="297">
        <f>IF('Encargos e Benefícios'!C322=0,0,'Encargos e Benefícios'!AD322/'Encargos e Benefícios'!C322)</f>
        <v>6425.7141682933334</v>
      </c>
      <c r="AO323" s="188">
        <v>3219.15</v>
      </c>
      <c r="AP323" s="298">
        <v>1764.5</v>
      </c>
      <c r="AQ323" s="298">
        <v>4673.8</v>
      </c>
      <c r="AR323" s="302" t="s">
        <v>689</v>
      </c>
      <c r="AS323" s="188"/>
    </row>
    <row r="324" spans="1:45" ht="13" thickBot="1">
      <c r="A324" s="286">
        <v>318</v>
      </c>
      <c r="B324" s="81" t="str">
        <f>'Encargos e Benefícios'!B323</f>
        <v>Socioeducador - N</v>
      </c>
      <c r="C324" s="287">
        <f>'Encargos e Benefícios'!C323</f>
        <v>6</v>
      </c>
      <c r="D324" s="288" t="s">
        <v>496</v>
      </c>
      <c r="E324" s="300">
        <v>45809</v>
      </c>
      <c r="F324" s="301">
        <v>47058</v>
      </c>
      <c r="G324" s="293"/>
      <c r="H324" s="292"/>
      <c r="I324" s="256"/>
      <c r="J324" s="256"/>
      <c r="K324" s="256"/>
      <c r="L324" s="256"/>
      <c r="M324" s="293">
        <v>45778</v>
      </c>
      <c r="N324" s="292">
        <v>5.8400000000000001E-2</v>
      </c>
      <c r="O324" s="256">
        <f>'Encargos e Benefícios'!W323*5.84%</f>
        <v>185.43168000000003</v>
      </c>
      <c r="P324" s="256">
        <f>('Encargos e Benefícios'!X323+'Encargos e Benefícios'!Y323+'Encargos e Benefícios'!Z323+'Encargos e Benefícios'!AA323+'Encargos e Benefícios'!AB323)*5.84%</f>
        <v>109.41240000000001</v>
      </c>
      <c r="Q324" s="256">
        <f>'Encargos e Benefícios'!V323*5.84%</f>
        <v>23.715072000000003</v>
      </c>
      <c r="R324" s="256"/>
      <c r="S324" s="293">
        <v>46143</v>
      </c>
      <c r="T324" s="294">
        <v>5.8400000000000001E-2</v>
      </c>
      <c r="U324" s="256">
        <f>('Encargos e Benefícios'!W323+'Gastos com Pessoal'!O324)*5.84%</f>
        <v>196.26089011200003</v>
      </c>
      <c r="V324" s="256">
        <f>('Encargos e Benefícios'!X323+'Encargos e Benefícios'!Y323+'Encargos e Benefícios'!Z323+'Encargos e Benefícios'!AA323+'Encargos e Benefícios'!AB323+'Gastos com Pessoal'!P324)*5.84%</f>
        <v>115.80208415999999</v>
      </c>
      <c r="W324" s="256">
        <f>('Encargos e Benefícios'!V323+'Gastos com Pessoal'!Q324)*5.84%</f>
        <v>25.100032204800005</v>
      </c>
      <c r="X324" s="256"/>
      <c r="Y324" s="293">
        <v>46508</v>
      </c>
      <c r="Z324" s="294">
        <v>5.8400000000000001E-2</v>
      </c>
      <c r="AA324" s="256">
        <f>('Encargos e Benefícios'!W323+'Gastos com Pessoal'!O324+'Gastos com Pessoal'!U324)*5.84%</f>
        <v>207.72252609454083</v>
      </c>
      <c r="AB324" s="256">
        <f>('Encargos e Benefícios'!X323+'Encargos e Benefícios'!Y323+'Encargos e Benefícios'!Z323+'Encargos e Benefícios'!AA323+'Encargos e Benefícios'!AB323+'Gastos com Pessoal'!P324+'Gastos com Pessoal'!V324)*5.84%</f>
        <v>122.56492587494398</v>
      </c>
      <c r="AC324" s="256">
        <f>('Encargos e Benefícios'!V323+'Gastos com Pessoal'!Q324+'Gastos com Pessoal'!W324)*5.84%</f>
        <v>26.565874085560324</v>
      </c>
      <c r="AD324" s="256"/>
      <c r="AE324" s="293">
        <v>46874</v>
      </c>
      <c r="AF324" s="294">
        <v>5.8400000000000001E-2</v>
      </c>
      <c r="AG324" s="256">
        <f>('Encargos e Benefícios'!W323+'Gastos com Pessoal'!O324+'Gastos com Pessoal'!U324+'Gastos com Pessoal'!AA324)*5.84%</f>
        <v>219.853521618462</v>
      </c>
      <c r="AH324" s="256">
        <f>('Encargos e Benefícios'!X323+'Encargos e Benefícios'!Y323+'Encargos e Benefícios'!Z323+'Encargos e Benefícios'!AA323+'Encargos e Benefícios'!AB323+'Gastos com Pessoal'!P324+'Gastos com Pessoal'!V324+'Gastos com Pessoal'!AB324)*5.84%</f>
        <v>129.72271754604071</v>
      </c>
      <c r="AI324" s="256">
        <f>('Encargos e Benefícios'!V323+'Gastos com Pessoal'!Q324+'Gastos com Pessoal'!W324+'Gastos com Pessoal'!AC324)*5.84%</f>
        <v>28.117321132157048</v>
      </c>
      <c r="AJ324" s="257"/>
      <c r="AK324" s="296">
        <f>'Encargos e Benefícios'!D323</f>
        <v>2010.96</v>
      </c>
      <c r="AL324" s="296">
        <f>IF('Encargos e Benefícios'!C323=0,0,'Encargos e Benefícios'!U323/'Encargos e Benefícios'!C323)</f>
        <v>3202.4049162933329</v>
      </c>
      <c r="AM324" s="296">
        <f>IF('Encargos e Benefícios'!C323=0,0,'Encargos e Benefícios'!AC323/'Encargos e Benefícios'!C323)</f>
        <v>909.13</v>
      </c>
      <c r="AN324" s="297">
        <f>IF('Encargos e Benefícios'!C323=0,0,'Encargos e Benefícios'!AD323/'Encargos e Benefícios'!C323)</f>
        <v>6122.4949162933326</v>
      </c>
      <c r="AO324" s="188">
        <v>3219.15</v>
      </c>
      <c r="AP324" s="298">
        <v>1764.5</v>
      </c>
      <c r="AQ324" s="298">
        <v>4673.8</v>
      </c>
      <c r="AR324" s="302" t="s">
        <v>689</v>
      </c>
      <c r="AS324" s="188"/>
    </row>
    <row r="325" spans="1:45" ht="13" thickBot="1">
      <c r="A325" s="286">
        <v>319</v>
      </c>
      <c r="B325" s="81" t="str">
        <f>'Encargos e Benefícios'!B324</f>
        <v>Analista Administrativo</v>
      </c>
      <c r="C325" s="287">
        <f>'Encargos e Benefícios'!C324</f>
        <v>1</v>
      </c>
      <c r="D325" s="288">
        <v>40</v>
      </c>
      <c r="E325" s="300">
        <v>45658</v>
      </c>
      <c r="F325" s="301">
        <v>47058</v>
      </c>
      <c r="G325" s="293"/>
      <c r="H325" s="292"/>
      <c r="I325" s="256"/>
      <c r="J325" s="256"/>
      <c r="K325" s="256"/>
      <c r="L325" s="256"/>
      <c r="M325" s="293">
        <v>45778</v>
      </c>
      <c r="N325" s="292">
        <v>5.8400000000000001E-2</v>
      </c>
      <c r="O325" s="256">
        <f>'Encargos e Benefícios'!W324*5.84%</f>
        <v>30.905280000000001</v>
      </c>
      <c r="P325" s="256">
        <f>('Encargos e Benefícios'!X324+'Encargos e Benefícios'!Y324+'Encargos e Benefícios'!Z324+'Encargos e Benefícios'!AA324+'Encargos e Benefícios'!AB324)*5.84%</f>
        <v>18.235399999999998</v>
      </c>
      <c r="Q325" s="256">
        <f>'Encargos e Benefícios'!V324*5.84%</f>
        <v>3.9525120000000005</v>
      </c>
      <c r="R325" s="256"/>
      <c r="S325" s="293">
        <v>46143</v>
      </c>
      <c r="T325" s="294">
        <v>5.8400000000000001E-2</v>
      </c>
      <c r="U325" s="256">
        <f>('Encargos e Benefícios'!W324+'Gastos com Pessoal'!O325)*5.84%</f>
        <v>32.710148351999997</v>
      </c>
      <c r="V325" s="256">
        <f>('Encargos e Benefícios'!X324+'Encargos e Benefícios'!Y324+'Encargos e Benefícios'!Z324+'Encargos e Benefícios'!AA324+'Encargos e Benefícios'!AB324+'Gastos com Pessoal'!P325)*5.84%</f>
        <v>19.300347360000004</v>
      </c>
      <c r="W325" s="256">
        <f>('Encargos e Benefícios'!V324+'Gastos com Pessoal'!Q325)*5.84%</f>
        <v>4.1833387008000003</v>
      </c>
      <c r="X325" s="256"/>
      <c r="Y325" s="293">
        <v>46508</v>
      </c>
      <c r="Z325" s="294">
        <v>5.8400000000000001E-2</v>
      </c>
      <c r="AA325" s="256">
        <f>('Encargos e Benefícios'!W324+'Gastos com Pessoal'!O325+'Gastos com Pessoal'!U325)*5.84%</f>
        <v>34.620421015756804</v>
      </c>
      <c r="AB325" s="256">
        <f>('Encargos e Benefícios'!X324+'Encargos e Benefícios'!Y324+'Encargos e Benefícios'!Z324+'Encargos e Benefícios'!AA324+'Encargos e Benefícios'!AB324+'Gastos com Pessoal'!P325+'Gastos com Pessoal'!V325)*5.84%</f>
        <v>20.427487645824002</v>
      </c>
      <c r="AC325" s="256">
        <f>('Encargos e Benefícios'!V324+'Gastos com Pessoal'!Q325+'Gastos com Pessoal'!W325)*5.84%</f>
        <v>4.4276456809267204</v>
      </c>
      <c r="AD325" s="256"/>
      <c r="AE325" s="293">
        <v>46874</v>
      </c>
      <c r="AF325" s="294">
        <v>5.8400000000000001E-2</v>
      </c>
      <c r="AG325" s="256">
        <f>('Encargos e Benefícios'!W324+'Gastos com Pessoal'!O325+'Gastos com Pessoal'!U325+'Gastos com Pessoal'!AA325)*5.84%</f>
        <v>36.642253603077002</v>
      </c>
      <c r="AH325" s="256">
        <f>('Encargos e Benefícios'!X324+'Encargos e Benefícios'!Y324+'Encargos e Benefícios'!Z324+'Encargos e Benefícios'!AA324+'Encargos e Benefícios'!AB324+'Gastos com Pessoal'!P325+'Gastos com Pessoal'!V325+'Gastos com Pessoal'!AB325)*5.84%</f>
        <v>21.620452924340121</v>
      </c>
      <c r="AI325" s="256">
        <f>('Encargos e Benefícios'!V324+'Gastos com Pessoal'!Q325+'Gastos com Pessoal'!W325+'Gastos com Pessoal'!AC325)*5.84%</f>
        <v>4.6862201886928414</v>
      </c>
      <c r="AJ325" s="257"/>
      <c r="AK325" s="296">
        <f>'Encargos e Benefícios'!D324</f>
        <v>2963.52</v>
      </c>
      <c r="AL325" s="296">
        <f>IF('Encargos e Benefícios'!C324=0,0,'Encargos e Benefícios'!U324/'Encargos e Benefícios'!C324)</f>
        <v>2353.5288000000005</v>
      </c>
      <c r="AM325" s="296">
        <f>IF('Encargos e Benefícios'!C324=0,0,'Encargos e Benefícios'!AC324/'Encargos e Benefícios'!C324)</f>
        <v>909.13000000000011</v>
      </c>
      <c r="AN325" s="297">
        <f>IF('Encargos e Benefícios'!C324=0,0,'Encargos e Benefícios'!AD324/'Encargos e Benefícios'!C324)</f>
        <v>6226.1788000000006</v>
      </c>
      <c r="AO325" s="188">
        <v>1521.14</v>
      </c>
      <c r="AP325" s="298">
        <v>3559.63</v>
      </c>
      <c r="AQ325" s="298">
        <v>5598.11</v>
      </c>
      <c r="AR325" s="302" t="s">
        <v>101</v>
      </c>
      <c r="AS325" s="188"/>
    </row>
    <row r="326" spans="1:45" ht="13" thickBot="1">
      <c r="A326" s="286">
        <v>320</v>
      </c>
      <c r="B326" s="81" t="str">
        <f>'Encargos e Benefícios'!B325</f>
        <v>Analista de Recrutamento e Seleção</v>
      </c>
      <c r="C326" s="287">
        <f>'Encargos e Benefícios'!C325</f>
        <v>1</v>
      </c>
      <c r="D326" s="288">
        <v>44</v>
      </c>
      <c r="E326" s="300">
        <v>45689</v>
      </c>
      <c r="F326" s="301">
        <v>47058</v>
      </c>
      <c r="G326" s="293"/>
      <c r="H326" s="292"/>
      <c r="I326" s="256"/>
      <c r="J326" s="256"/>
      <c r="K326" s="256"/>
      <c r="L326" s="256"/>
      <c r="M326" s="293">
        <v>45778</v>
      </c>
      <c r="N326" s="292">
        <v>5.8400000000000001E-2</v>
      </c>
      <c r="O326" s="256">
        <f>'Encargos e Benefícios'!W325*5.84%</f>
        <v>30.905280000000001</v>
      </c>
      <c r="P326" s="256">
        <f>('Encargos e Benefícios'!X325+'Encargos e Benefícios'!Y325+'Encargos e Benefícios'!Z325+'Encargos e Benefícios'!AA325+'Encargos e Benefícios'!AB325)*5.84%</f>
        <v>18.235399999999998</v>
      </c>
      <c r="Q326" s="256">
        <f>'Encargos e Benefícios'!V325*5.84%</f>
        <v>3.9525120000000005</v>
      </c>
      <c r="R326" s="256"/>
      <c r="S326" s="293">
        <v>46143</v>
      </c>
      <c r="T326" s="294">
        <v>5.8400000000000001E-2</v>
      </c>
      <c r="U326" s="256">
        <f>('Encargos e Benefícios'!W325+'Gastos com Pessoal'!O326)*5.84%</f>
        <v>32.710148351999997</v>
      </c>
      <c r="V326" s="256">
        <f>('Encargos e Benefícios'!X325+'Encargos e Benefícios'!Y325+'Encargos e Benefícios'!Z325+'Encargos e Benefícios'!AA325+'Encargos e Benefícios'!AB325+'Gastos com Pessoal'!P326)*5.84%</f>
        <v>19.300347360000004</v>
      </c>
      <c r="W326" s="256">
        <f>('Encargos e Benefícios'!V325+'Gastos com Pessoal'!Q326)*5.84%</f>
        <v>4.1833387008000003</v>
      </c>
      <c r="X326" s="256"/>
      <c r="Y326" s="293">
        <v>46508</v>
      </c>
      <c r="Z326" s="294">
        <v>5.8400000000000001E-2</v>
      </c>
      <c r="AA326" s="256">
        <f>('Encargos e Benefícios'!W325+'Gastos com Pessoal'!O326+'Gastos com Pessoal'!U326)*5.84%</f>
        <v>34.620421015756804</v>
      </c>
      <c r="AB326" s="256">
        <f>('Encargos e Benefícios'!X325+'Encargos e Benefícios'!Y325+'Encargos e Benefícios'!Z325+'Encargos e Benefícios'!AA325+'Encargos e Benefícios'!AB325+'Gastos com Pessoal'!P326+'Gastos com Pessoal'!V326)*5.84%</f>
        <v>20.427487645824002</v>
      </c>
      <c r="AC326" s="256">
        <f>('Encargos e Benefícios'!V325+'Gastos com Pessoal'!Q326+'Gastos com Pessoal'!W326)*5.84%</f>
        <v>4.4276456809267204</v>
      </c>
      <c r="AD326" s="256"/>
      <c r="AE326" s="293">
        <v>46874</v>
      </c>
      <c r="AF326" s="294">
        <v>5.8400000000000001E-2</v>
      </c>
      <c r="AG326" s="256">
        <f>('Encargos e Benefícios'!W325+'Gastos com Pessoal'!O326+'Gastos com Pessoal'!U326+'Gastos com Pessoal'!AA326)*5.84%</f>
        <v>36.642253603077002</v>
      </c>
      <c r="AH326" s="256">
        <f>('Encargos e Benefícios'!X325+'Encargos e Benefícios'!Y325+'Encargos e Benefícios'!Z325+'Encargos e Benefícios'!AA325+'Encargos e Benefícios'!AB325+'Gastos com Pessoal'!P326+'Gastos com Pessoal'!V326+'Gastos com Pessoal'!AB326)*5.84%</f>
        <v>21.620452924340121</v>
      </c>
      <c r="AI326" s="256">
        <f>('Encargos e Benefícios'!V325+'Gastos com Pessoal'!Q326+'Gastos com Pessoal'!W326+'Gastos com Pessoal'!AC326)*5.84%</f>
        <v>4.6862201886928414</v>
      </c>
      <c r="AJ326" s="257"/>
      <c r="AK326" s="296">
        <f>'Encargos e Benefícios'!D325</f>
        <v>4500</v>
      </c>
      <c r="AL326" s="296">
        <f>IF('Encargos e Benefícios'!C325=0,0,'Encargos e Benefícios'!U325/'Encargos e Benefícios'!C325)</f>
        <v>3573.75</v>
      </c>
      <c r="AM326" s="296">
        <f>IF('Encargos e Benefícios'!C325=0,0,'Encargos e Benefícios'!AC325/'Encargos e Benefícios'!C325)</f>
        <v>909.13000000000011</v>
      </c>
      <c r="AN326" s="297">
        <f>IF('Encargos e Benefícios'!C325=0,0,'Encargos e Benefícios'!AD325/'Encargos e Benefícios'!C325)</f>
        <v>8982.880000000001</v>
      </c>
      <c r="AO326" s="188">
        <v>2129.71</v>
      </c>
      <c r="AP326" s="298">
        <v>3664.61</v>
      </c>
      <c r="AQ326" s="298">
        <v>5199.5</v>
      </c>
      <c r="AR326" s="302" t="s">
        <v>101</v>
      </c>
      <c r="AS326" s="188"/>
    </row>
    <row r="327" spans="1:45" ht="13" thickBot="1">
      <c r="A327" s="286">
        <v>321</v>
      </c>
      <c r="B327" s="81" t="str">
        <f>'Encargos e Benefícios'!B326</f>
        <v>Analista de Recursos Humanos</v>
      </c>
      <c r="C327" s="287">
        <f>'Encargos e Benefícios'!C326</f>
        <v>1</v>
      </c>
      <c r="D327" s="288">
        <v>44</v>
      </c>
      <c r="E327" s="300">
        <v>45689</v>
      </c>
      <c r="F327" s="301">
        <v>47058</v>
      </c>
      <c r="G327" s="293"/>
      <c r="H327" s="292"/>
      <c r="I327" s="256"/>
      <c r="J327" s="256"/>
      <c r="K327" s="256"/>
      <c r="L327" s="256"/>
      <c r="M327" s="293">
        <v>45778</v>
      </c>
      <c r="N327" s="292">
        <v>5.8400000000000001E-2</v>
      </c>
      <c r="O327" s="256">
        <f>'Encargos e Benefícios'!W326*5.84%</f>
        <v>30.905280000000001</v>
      </c>
      <c r="P327" s="256">
        <f>('Encargos e Benefícios'!X326+'Encargos e Benefícios'!Y326+'Encargos e Benefícios'!Z326+'Encargos e Benefícios'!AA326+'Encargos e Benefícios'!AB326)*5.84%</f>
        <v>18.159479999999999</v>
      </c>
      <c r="Q327" s="256">
        <f>'Encargos e Benefícios'!V326*5.84%</f>
        <v>0</v>
      </c>
      <c r="R327" s="256"/>
      <c r="S327" s="293">
        <v>46143</v>
      </c>
      <c r="T327" s="294">
        <v>5.8400000000000001E-2</v>
      </c>
      <c r="U327" s="256">
        <f>('Encargos e Benefícios'!W326+'Gastos com Pessoal'!O327)*5.84%</f>
        <v>32.710148351999997</v>
      </c>
      <c r="V327" s="256">
        <f>('Encargos e Benefícios'!X326+'Encargos e Benefícios'!Y326+'Encargos e Benefícios'!Z326+'Encargos e Benefícios'!AA326+'Encargos e Benefícios'!AB326+'Gastos com Pessoal'!P327)*5.84%</f>
        <v>19.219993631999998</v>
      </c>
      <c r="W327" s="256">
        <f>('Encargos e Benefícios'!V326+'Gastos com Pessoal'!Q327)*5.84%</f>
        <v>0</v>
      </c>
      <c r="X327" s="256"/>
      <c r="Y327" s="293">
        <v>46508</v>
      </c>
      <c r="Z327" s="294">
        <v>5.8400000000000001E-2</v>
      </c>
      <c r="AA327" s="256">
        <f>('Encargos e Benefícios'!W326+'Gastos com Pessoal'!O327+'Gastos com Pessoal'!U327)*5.84%</f>
        <v>34.620421015756804</v>
      </c>
      <c r="AB327" s="256">
        <f>('Encargos e Benefícios'!X326+'Encargos e Benefícios'!Y326+'Encargos e Benefícios'!Z326+'Encargos e Benefícios'!AA326+'Encargos e Benefícios'!AB326+'Gastos com Pessoal'!P327+'Gastos com Pessoal'!V327)*5.84%</f>
        <v>20.342441260108799</v>
      </c>
      <c r="AC327" s="256">
        <f>('Encargos e Benefícios'!V326+'Gastos com Pessoal'!Q327+'Gastos com Pessoal'!W327)*5.84%</f>
        <v>0</v>
      </c>
      <c r="AD327" s="256"/>
      <c r="AE327" s="293">
        <v>46874</v>
      </c>
      <c r="AF327" s="294">
        <v>5.8400000000000001E-2</v>
      </c>
      <c r="AG327" s="256">
        <f>('Encargos e Benefícios'!W326+'Gastos com Pessoal'!O327+'Gastos com Pessoal'!U327+'Gastos com Pessoal'!AA327)*5.84%</f>
        <v>36.642253603077002</v>
      </c>
      <c r="AH327" s="256">
        <f>('Encargos e Benefícios'!X326+'Encargos e Benefícios'!Y326+'Encargos e Benefícios'!Z326+'Encargos e Benefícios'!AA326+'Encargos e Benefícios'!AB326+'Gastos com Pessoal'!P327+'Gastos com Pessoal'!V327+'Gastos com Pessoal'!AB327)*5.84%</f>
        <v>21.530439829699151</v>
      </c>
      <c r="AI327" s="256">
        <f>('Encargos e Benefícios'!V326+'Gastos com Pessoal'!Q327+'Gastos com Pessoal'!W327+'Gastos com Pessoal'!AC327)*5.84%</f>
        <v>0</v>
      </c>
      <c r="AJ327" s="257"/>
      <c r="AK327" s="296">
        <f>'Encargos e Benefícios'!D326</f>
        <v>4500</v>
      </c>
      <c r="AL327" s="296">
        <f>IF('Encargos e Benefícios'!C326=0,0,'Encargos e Benefícios'!U326/'Encargos e Benefícios'!C326)</f>
        <v>3573.75</v>
      </c>
      <c r="AM327" s="296">
        <f>IF('Encargos e Benefícios'!C326=0,0,'Encargos e Benefícios'!AC326/'Encargos e Benefícios'!C326)</f>
        <v>840.15000000000009</v>
      </c>
      <c r="AN327" s="297">
        <f>IF('Encargos e Benefícios'!C326=0,0,'Encargos e Benefícios'!AD326/'Encargos e Benefícios'!C326)</f>
        <v>8913.9</v>
      </c>
      <c r="AO327" s="188">
        <v>2223.02</v>
      </c>
      <c r="AP327" s="298">
        <v>3825.17</v>
      </c>
      <c r="AQ327" s="298">
        <v>5427.31</v>
      </c>
      <c r="AR327" s="302" t="s">
        <v>101</v>
      </c>
      <c r="AS327" s="188"/>
    </row>
    <row r="328" spans="1:45" ht="13" thickBot="1">
      <c r="A328" s="286">
        <v>322</v>
      </c>
      <c r="B328" s="81" t="str">
        <f>'Encargos e Benefícios'!B327</f>
        <v>Coordenador Técnico 3</v>
      </c>
      <c r="C328" s="287">
        <f>'Encargos e Benefícios'!C327</f>
        <v>1</v>
      </c>
      <c r="D328" s="288">
        <v>22</v>
      </c>
      <c r="E328" s="300">
        <v>45658</v>
      </c>
      <c r="F328" s="301">
        <v>47058</v>
      </c>
      <c r="G328" s="293"/>
      <c r="H328" s="292"/>
      <c r="I328" s="256"/>
      <c r="J328" s="256"/>
      <c r="K328" s="256"/>
      <c r="L328" s="256"/>
      <c r="M328" s="293">
        <v>45778</v>
      </c>
      <c r="N328" s="292">
        <v>5.8400000000000001E-2</v>
      </c>
      <c r="O328" s="256">
        <f>'Encargos e Benefícios'!W327*5.84%</f>
        <v>30.905280000000001</v>
      </c>
      <c r="P328" s="256">
        <f>('Encargos e Benefícios'!X327+'Encargos e Benefícios'!Y327+'Encargos e Benefícios'!Z327+'Encargos e Benefícios'!AA327+'Encargos e Benefícios'!AB327)*5.84%</f>
        <v>18.159479999999999</v>
      </c>
      <c r="Q328" s="256">
        <f>'Encargos e Benefícios'!V327*5.84%</f>
        <v>0</v>
      </c>
      <c r="R328" s="256"/>
      <c r="S328" s="293">
        <v>46143</v>
      </c>
      <c r="T328" s="294">
        <v>5.8400000000000001E-2</v>
      </c>
      <c r="U328" s="256">
        <f>('Encargos e Benefícios'!W327+'Gastos com Pessoal'!O328)*5.84%</f>
        <v>32.710148351999997</v>
      </c>
      <c r="V328" s="256">
        <f>('Encargos e Benefícios'!X327+'Encargos e Benefícios'!Y327+'Encargos e Benefícios'!Z327+'Encargos e Benefícios'!AA327+'Encargos e Benefícios'!AB327+'Gastos com Pessoal'!P328)*5.84%</f>
        <v>19.219993631999998</v>
      </c>
      <c r="W328" s="256">
        <f>('Encargos e Benefícios'!V327+'Gastos com Pessoal'!Q328)*5.84%</f>
        <v>0</v>
      </c>
      <c r="X328" s="256"/>
      <c r="Y328" s="293">
        <v>46508</v>
      </c>
      <c r="Z328" s="294">
        <v>5.8400000000000001E-2</v>
      </c>
      <c r="AA328" s="256">
        <f>('Encargos e Benefícios'!W327+'Gastos com Pessoal'!O328+'Gastos com Pessoal'!U328)*5.84%</f>
        <v>34.620421015756804</v>
      </c>
      <c r="AB328" s="256">
        <f>('Encargos e Benefícios'!X327+'Encargos e Benefícios'!Y327+'Encargos e Benefícios'!Z327+'Encargos e Benefícios'!AA327+'Encargos e Benefícios'!AB327+'Gastos com Pessoal'!P328+'Gastos com Pessoal'!V328)*5.84%</f>
        <v>20.342441260108799</v>
      </c>
      <c r="AC328" s="256">
        <f>('Encargos e Benefícios'!V327+'Gastos com Pessoal'!Q328+'Gastos com Pessoal'!W328)*5.84%</f>
        <v>0</v>
      </c>
      <c r="AD328" s="256"/>
      <c r="AE328" s="293">
        <v>46874</v>
      </c>
      <c r="AF328" s="294">
        <v>5.8400000000000001E-2</v>
      </c>
      <c r="AG328" s="256">
        <f>('Encargos e Benefícios'!W327+'Gastos com Pessoal'!O328+'Gastos com Pessoal'!U328+'Gastos com Pessoal'!AA328)*5.84%</f>
        <v>36.642253603077002</v>
      </c>
      <c r="AH328" s="256">
        <f>('Encargos e Benefícios'!X327+'Encargos e Benefícios'!Y327+'Encargos e Benefícios'!Z327+'Encargos e Benefícios'!AA327+'Encargos e Benefícios'!AB327+'Gastos com Pessoal'!P328+'Gastos com Pessoal'!V328+'Gastos com Pessoal'!AB328)*5.84%</f>
        <v>21.530439829699151</v>
      </c>
      <c r="AI328" s="256">
        <f>('Encargos e Benefícios'!V327+'Gastos com Pessoal'!Q328+'Gastos com Pessoal'!W328+'Gastos com Pessoal'!AC328)*5.84%</f>
        <v>0</v>
      </c>
      <c r="AJ328" s="257"/>
      <c r="AK328" s="296">
        <f>'Encargos e Benefícios'!D327</f>
        <v>3704.4</v>
      </c>
      <c r="AL328" s="296">
        <f>IF('Encargos e Benefícios'!C327=0,0,'Encargos e Benefícios'!U327/'Encargos e Benefícios'!C327)</f>
        <v>3894.5109999999995</v>
      </c>
      <c r="AM328" s="296">
        <f>IF('Encargos e Benefícios'!C327=0,0,'Encargos e Benefícios'!AC327/'Encargos e Benefícios'!C327)</f>
        <v>840.15000000000009</v>
      </c>
      <c r="AN328" s="297">
        <f>IF('Encargos e Benefícios'!C327=0,0,'Encargos e Benefícios'!AD327/'Encargos e Benefícios'!C327)</f>
        <v>8439.0609999999997</v>
      </c>
      <c r="AO328" s="188">
        <v>4078.22</v>
      </c>
      <c r="AP328" s="298">
        <v>7863.02</v>
      </c>
      <c r="AQ328" s="298">
        <v>11647.81</v>
      </c>
      <c r="AR328" s="302" t="s">
        <v>101</v>
      </c>
      <c r="AS328" s="188"/>
    </row>
    <row r="329" spans="1:45" ht="13" thickBot="1">
      <c r="A329" s="286">
        <v>323</v>
      </c>
      <c r="B329" s="81" t="str">
        <f>'Encargos e Benefícios'!B328</f>
        <v>Coordenador Técnico 2</v>
      </c>
      <c r="C329" s="287">
        <f>'Encargos e Benefícios'!C328</f>
        <v>1</v>
      </c>
      <c r="D329" s="288">
        <v>44</v>
      </c>
      <c r="E329" s="300">
        <v>45658</v>
      </c>
      <c r="F329" s="301">
        <v>47058</v>
      </c>
      <c r="G329" s="293"/>
      <c r="H329" s="292"/>
      <c r="I329" s="256"/>
      <c r="J329" s="256"/>
      <c r="K329" s="256"/>
      <c r="L329" s="256"/>
      <c r="M329" s="293">
        <v>45778</v>
      </c>
      <c r="N329" s="292">
        <v>5.8400000000000001E-2</v>
      </c>
      <c r="O329" s="256">
        <f>'Encargos e Benefícios'!W328*5.84%</f>
        <v>30.905280000000001</v>
      </c>
      <c r="P329" s="256">
        <f>('Encargos e Benefícios'!X328+'Encargos e Benefícios'!Y328+'Encargos e Benefícios'!Z328+'Encargos e Benefícios'!AA328+'Encargos e Benefícios'!AB328)*5.84%</f>
        <v>18.159479999999999</v>
      </c>
      <c r="Q329" s="256">
        <f>'Encargos e Benefícios'!V328*5.84%</f>
        <v>0</v>
      </c>
      <c r="R329" s="256"/>
      <c r="S329" s="293">
        <v>46143</v>
      </c>
      <c r="T329" s="294">
        <v>5.8400000000000001E-2</v>
      </c>
      <c r="U329" s="256">
        <f>('Encargos e Benefícios'!W328+'Gastos com Pessoal'!O329)*5.84%</f>
        <v>32.710148351999997</v>
      </c>
      <c r="V329" s="256">
        <f>('Encargos e Benefícios'!X328+'Encargos e Benefícios'!Y328+'Encargos e Benefícios'!Z328+'Encargos e Benefícios'!AA328+'Encargos e Benefícios'!AB328+'Gastos com Pessoal'!P329)*5.84%</f>
        <v>19.219993631999998</v>
      </c>
      <c r="W329" s="256">
        <f>('Encargos e Benefícios'!V328+'Gastos com Pessoal'!Q329)*5.84%</f>
        <v>0</v>
      </c>
      <c r="X329" s="256"/>
      <c r="Y329" s="293">
        <v>46508</v>
      </c>
      <c r="Z329" s="294">
        <v>5.8400000000000001E-2</v>
      </c>
      <c r="AA329" s="256">
        <f>('Encargos e Benefícios'!W328+'Gastos com Pessoal'!O329+'Gastos com Pessoal'!U329)*5.84%</f>
        <v>34.620421015756804</v>
      </c>
      <c r="AB329" s="256">
        <f>('Encargos e Benefícios'!X328+'Encargos e Benefícios'!Y328+'Encargos e Benefícios'!Z328+'Encargos e Benefícios'!AA328+'Encargos e Benefícios'!AB328+'Gastos com Pessoal'!P329+'Gastos com Pessoal'!V329)*5.84%</f>
        <v>20.342441260108799</v>
      </c>
      <c r="AC329" s="256">
        <f>('Encargos e Benefícios'!V328+'Gastos com Pessoal'!Q329+'Gastos com Pessoal'!W329)*5.84%</f>
        <v>0</v>
      </c>
      <c r="AD329" s="256"/>
      <c r="AE329" s="293">
        <v>46874</v>
      </c>
      <c r="AF329" s="294">
        <v>5.8400000000000001E-2</v>
      </c>
      <c r="AG329" s="256">
        <f>('Encargos e Benefícios'!W328+'Gastos com Pessoal'!O329+'Gastos com Pessoal'!U329+'Gastos com Pessoal'!AA329)*5.84%</f>
        <v>36.642253603077002</v>
      </c>
      <c r="AH329" s="256">
        <f>('Encargos e Benefícios'!X328+'Encargos e Benefícios'!Y328+'Encargos e Benefícios'!Z328+'Encargos e Benefícios'!AA328+'Encargos e Benefícios'!AB328+'Gastos com Pessoal'!P329+'Gastos com Pessoal'!V329+'Gastos com Pessoal'!AB329)*5.84%</f>
        <v>21.530439829699151</v>
      </c>
      <c r="AI329" s="256">
        <f>('Encargos e Benefícios'!V328+'Gastos com Pessoal'!Q329+'Gastos com Pessoal'!W329+'Gastos com Pessoal'!AC329)*5.84%</f>
        <v>0</v>
      </c>
      <c r="AJ329" s="257"/>
      <c r="AK329" s="296">
        <f>'Encargos e Benefícios'!D328</f>
        <v>7408.81</v>
      </c>
      <c r="AL329" s="296">
        <f>IF('Encargos e Benefícios'!C328=0,0,'Encargos e Benefícios'!U328/'Encargos e Benefícios'!C328)</f>
        <v>6941.8299416666659</v>
      </c>
      <c r="AM329" s="296">
        <f>IF('Encargos e Benefícios'!C328=0,0,'Encargos e Benefícios'!AC328/'Encargos e Benefícios'!C328)</f>
        <v>840.15000000000009</v>
      </c>
      <c r="AN329" s="297">
        <f>IF('Encargos e Benefícios'!C328=0,0,'Encargos e Benefícios'!AD328/'Encargos e Benefícios'!C328)</f>
        <v>15190.789941666666</v>
      </c>
      <c r="AO329" s="188">
        <v>4078.22</v>
      </c>
      <c r="AP329" s="298">
        <v>7863.02</v>
      </c>
      <c r="AQ329" s="298">
        <v>11647.81</v>
      </c>
      <c r="AR329" s="302" t="s">
        <v>101</v>
      </c>
      <c r="AS329" s="188"/>
    </row>
    <row r="330" spans="1:45" ht="13" thickBot="1">
      <c r="A330" s="286">
        <v>324</v>
      </c>
      <c r="B330" s="81">
        <f>'Encargos e Benefícios'!B329</f>
        <v>0</v>
      </c>
      <c r="C330" s="287">
        <f>'Encargos e Benefícios'!C329</f>
        <v>0</v>
      </c>
      <c r="D330" s="288"/>
      <c r="E330" s="300"/>
      <c r="F330" s="301"/>
      <c r="G330" s="293"/>
      <c r="H330" s="292"/>
      <c r="I330" s="256"/>
      <c r="J330" s="256"/>
      <c r="K330" s="256"/>
      <c r="L330" s="256"/>
      <c r="M330" s="293"/>
      <c r="N330" s="292"/>
      <c r="O330" s="256">
        <f>'Encargos e Benefícios'!W329*5.84%</f>
        <v>0</v>
      </c>
      <c r="P330" s="256">
        <f>('Encargos e Benefícios'!X329+'Encargos e Benefícios'!Y329+'Encargos e Benefícios'!Z329+'Encargos e Benefícios'!AA329+'Encargos e Benefícios'!AB329)*5.84%</f>
        <v>0</v>
      </c>
      <c r="Q330" s="256">
        <f>'Encargos e Benefícios'!V329*5.84%</f>
        <v>0</v>
      </c>
      <c r="R330" s="256"/>
      <c r="S330" s="293"/>
      <c r="T330" s="294"/>
      <c r="U330" s="256">
        <f>('Encargos e Benefícios'!W329+'Gastos com Pessoal'!O330)*5.84%</f>
        <v>0</v>
      </c>
      <c r="V330" s="256">
        <f>('Encargos e Benefícios'!X329+'Encargos e Benefícios'!Y329+'Encargos e Benefícios'!Z329+'Encargos e Benefícios'!AA329+'Encargos e Benefícios'!AB329+'Gastos com Pessoal'!P330)*5.84%</f>
        <v>0</v>
      </c>
      <c r="W330" s="256">
        <f>('Encargos e Benefícios'!V329+'Gastos com Pessoal'!Q330)*5.84%</f>
        <v>0</v>
      </c>
      <c r="X330" s="256"/>
      <c r="Y330" s="293"/>
      <c r="Z330" s="294"/>
      <c r="AA330" s="256">
        <f>('Encargos e Benefícios'!W329+'Gastos com Pessoal'!O330+'Gastos com Pessoal'!U330)*5.84%</f>
        <v>0</v>
      </c>
      <c r="AB330" s="256">
        <f>('Encargos e Benefícios'!X329+'Encargos e Benefícios'!Y329+'Encargos e Benefícios'!Z329+'Encargos e Benefícios'!AA329+'Encargos e Benefícios'!AB329+'Gastos com Pessoal'!P330+'Gastos com Pessoal'!V330)*5.84%</f>
        <v>0</v>
      </c>
      <c r="AC330" s="256">
        <f>('Encargos e Benefícios'!V329+'Gastos com Pessoal'!Q330+'Gastos com Pessoal'!W330)*5.84%</f>
        <v>0</v>
      </c>
      <c r="AD330" s="256"/>
      <c r="AE330" s="293"/>
      <c r="AF330" s="294"/>
      <c r="AG330" s="256">
        <f>('Encargos e Benefícios'!W329+'Gastos com Pessoal'!O330+'Gastos com Pessoal'!U330+'Gastos com Pessoal'!AA330)*5.84%</f>
        <v>0</v>
      </c>
      <c r="AH330" s="256">
        <f>('Encargos e Benefícios'!X329+'Encargos e Benefícios'!Y329+'Encargos e Benefícios'!Z329+'Encargos e Benefícios'!AA329+'Encargos e Benefícios'!AB329+'Gastos com Pessoal'!P330+'Gastos com Pessoal'!V330+'Gastos com Pessoal'!AB330)*5.84%</f>
        <v>0</v>
      </c>
      <c r="AI330" s="256">
        <f>('Encargos e Benefícios'!V329+'Gastos com Pessoal'!Q330+'Gastos com Pessoal'!W330+'Gastos com Pessoal'!AC330)*5.84%</f>
        <v>0</v>
      </c>
      <c r="AJ330" s="257"/>
      <c r="AK330" s="296">
        <f>'Encargos e Benefícios'!D329</f>
        <v>0</v>
      </c>
      <c r="AL330" s="296">
        <f>IF('Encargos e Benefícios'!C329=0,0,'Encargos e Benefícios'!U329/'Encargos e Benefícios'!C329)</f>
        <v>0</v>
      </c>
      <c r="AM330" s="296">
        <f>IF('Encargos e Benefícios'!C329=0,0,'Encargos e Benefícios'!AC329/'Encargos e Benefícios'!C329)</f>
        <v>0</v>
      </c>
      <c r="AN330" s="297">
        <f>IF('Encargos e Benefícios'!C329=0,0,'Encargos e Benefícios'!AD329/'Encargos e Benefícios'!C329)</f>
        <v>0</v>
      </c>
      <c r="AO330" s="188"/>
      <c r="AP330" s="298"/>
      <c r="AQ330" s="298"/>
      <c r="AR330" s="302"/>
      <c r="AS330" s="188"/>
    </row>
    <row r="331" spans="1:45" ht="13" thickBot="1">
      <c r="A331" s="286">
        <v>325</v>
      </c>
      <c r="B331" s="81">
        <f>'Encargos e Benefícios'!B330</f>
        <v>0</v>
      </c>
      <c r="C331" s="287">
        <f>'Encargos e Benefícios'!C330</f>
        <v>0</v>
      </c>
      <c r="D331" s="288"/>
      <c r="E331" s="300"/>
      <c r="F331" s="301"/>
      <c r="G331" s="293"/>
      <c r="H331" s="292"/>
      <c r="I331" s="256"/>
      <c r="J331" s="256"/>
      <c r="K331" s="256"/>
      <c r="L331" s="256"/>
      <c r="M331" s="293"/>
      <c r="N331" s="292"/>
      <c r="O331" s="256">
        <f>'Encargos e Benefícios'!W330*5.84%</f>
        <v>0</v>
      </c>
      <c r="P331" s="256">
        <f>('Encargos e Benefícios'!X330+'Encargos e Benefícios'!Y330+'Encargos e Benefícios'!Z330+'Encargos e Benefícios'!AA330+'Encargos e Benefícios'!AB330)*5.84%</f>
        <v>0</v>
      </c>
      <c r="Q331" s="256"/>
      <c r="R331" s="256"/>
      <c r="S331" s="293"/>
      <c r="T331" s="294"/>
      <c r="U331" s="256">
        <f>('Encargos e Benefícios'!W330+'Gastos com Pessoal'!O331)*5.84%</f>
        <v>0</v>
      </c>
      <c r="V331" s="256">
        <f>('Encargos e Benefícios'!X330+'Encargos e Benefícios'!Y330+'Encargos e Benefícios'!Z330+'Encargos e Benefícios'!AA330+'Encargos e Benefícios'!AB330+'Gastos com Pessoal'!P331)*5.84%</f>
        <v>0</v>
      </c>
      <c r="W331" s="256"/>
      <c r="X331" s="256"/>
      <c r="Y331" s="293"/>
      <c r="Z331" s="294"/>
      <c r="AA331" s="256">
        <f>('Encargos e Benefícios'!W330+'Gastos com Pessoal'!O331+'Gastos com Pessoal'!U331)*5.84%</f>
        <v>0</v>
      </c>
      <c r="AB331" s="256">
        <f>('Encargos e Benefícios'!X330+'Encargos e Benefícios'!Y330+'Encargos e Benefícios'!Z330+'Encargos e Benefícios'!AA330+'Encargos e Benefícios'!AB330+'Gastos com Pessoal'!P331+'Gastos com Pessoal'!V331)*5.84%</f>
        <v>0</v>
      </c>
      <c r="AC331" s="256"/>
      <c r="AD331" s="256"/>
      <c r="AE331" s="293"/>
      <c r="AF331" s="294"/>
      <c r="AG331" s="256">
        <f>('Encargos e Benefícios'!W330+'Gastos com Pessoal'!O331+'Gastos com Pessoal'!U331+'Gastos com Pessoal'!AA331)*5.84%</f>
        <v>0</v>
      </c>
      <c r="AH331" s="256">
        <f>('Encargos e Benefícios'!X330+'Encargos e Benefícios'!Y330+'Encargos e Benefícios'!Z330+'Encargos e Benefícios'!AA330+'Encargos e Benefícios'!AB330+'Gastos com Pessoal'!P331+'Gastos com Pessoal'!V331+'Gastos com Pessoal'!AB331)*5.84%</f>
        <v>0</v>
      </c>
      <c r="AI331" s="256"/>
      <c r="AJ331" s="257"/>
      <c r="AK331" s="296">
        <f>'Encargos e Benefícios'!D330</f>
        <v>0</v>
      </c>
      <c r="AL331" s="296">
        <f>IF('Encargos e Benefícios'!C330=0,0,'Encargos e Benefícios'!U330/'Encargos e Benefícios'!C330)</f>
        <v>0</v>
      </c>
      <c r="AM331" s="296">
        <f>IF('Encargos e Benefícios'!C330=0,0,'Encargos e Benefícios'!AC330/'Encargos e Benefícios'!C330)</f>
        <v>0</v>
      </c>
      <c r="AN331" s="297">
        <f>IF('Encargos e Benefícios'!C330=0,0,'Encargos e Benefícios'!AD330/'Encargos e Benefícios'!C330)</f>
        <v>0</v>
      </c>
      <c r="AO331" s="188"/>
      <c r="AP331" s="298"/>
      <c r="AQ331" s="298"/>
      <c r="AR331" s="302"/>
      <c r="AS331" s="188"/>
    </row>
    <row r="332" spans="1:45" ht="13" hidden="1" thickBot="1">
      <c r="A332" s="286">
        <v>326</v>
      </c>
      <c r="B332" s="81">
        <f>'Encargos e Benefícios'!B331</f>
        <v>0</v>
      </c>
      <c r="C332" s="287">
        <f>'Encargos e Benefícios'!C331</f>
        <v>0</v>
      </c>
      <c r="D332" s="288"/>
      <c r="E332" s="300"/>
      <c r="F332" s="301"/>
      <c r="G332" s="293"/>
      <c r="H332" s="292"/>
      <c r="I332" s="256"/>
      <c r="J332" s="256"/>
      <c r="K332" s="256"/>
      <c r="L332" s="256"/>
      <c r="M332" s="293"/>
      <c r="N332" s="292"/>
      <c r="O332" s="256"/>
      <c r="P332" s="256"/>
      <c r="Q332" s="256"/>
      <c r="R332" s="256"/>
      <c r="S332" s="293"/>
      <c r="T332" s="294"/>
      <c r="U332" s="256"/>
      <c r="V332" s="256"/>
      <c r="W332" s="256"/>
      <c r="X332" s="256"/>
      <c r="Y332" s="293"/>
      <c r="Z332" s="294"/>
      <c r="AA332" s="256"/>
      <c r="AB332" s="256"/>
      <c r="AC332" s="256"/>
      <c r="AD332" s="256"/>
      <c r="AE332" s="293"/>
      <c r="AF332" s="294"/>
      <c r="AG332" s="256"/>
      <c r="AH332" s="256"/>
      <c r="AI332" s="256"/>
      <c r="AJ332" s="257"/>
      <c r="AK332" s="296">
        <f>'Encargos e Benefícios'!D331</f>
        <v>0</v>
      </c>
      <c r="AL332" s="296">
        <f>IF('Encargos e Benefícios'!C331=0,0,'Encargos e Benefícios'!U331/'Encargos e Benefícios'!C331)</f>
        <v>0</v>
      </c>
      <c r="AM332" s="296">
        <f>IF('Encargos e Benefícios'!C331=0,0,'Encargos e Benefícios'!AC331/'Encargos e Benefícios'!C331)</f>
        <v>0</v>
      </c>
      <c r="AN332" s="297">
        <f>IF('Encargos e Benefícios'!C331=0,0,'Encargos e Benefícios'!AD331/'Encargos e Benefícios'!C331)</f>
        <v>0</v>
      </c>
      <c r="AO332" s="188"/>
      <c r="AP332" s="298"/>
      <c r="AQ332" s="298"/>
      <c r="AR332" s="302"/>
      <c r="AS332" s="188"/>
    </row>
    <row r="333" spans="1:45" ht="13" hidden="1" thickBot="1">
      <c r="A333" s="286">
        <v>327</v>
      </c>
      <c r="B333" s="81">
        <f>'Encargos e Benefícios'!B332</f>
        <v>0</v>
      </c>
      <c r="C333" s="287">
        <f>'Encargos e Benefícios'!C332</f>
        <v>0</v>
      </c>
      <c r="D333" s="288"/>
      <c r="E333" s="300"/>
      <c r="F333" s="301"/>
      <c r="G333" s="293"/>
      <c r="H333" s="292"/>
      <c r="I333" s="256"/>
      <c r="J333" s="256"/>
      <c r="K333" s="256"/>
      <c r="L333" s="256"/>
      <c r="M333" s="293"/>
      <c r="N333" s="292"/>
      <c r="O333" s="256"/>
      <c r="P333" s="256"/>
      <c r="Q333" s="256"/>
      <c r="R333" s="256"/>
      <c r="S333" s="293"/>
      <c r="T333" s="294"/>
      <c r="U333" s="256"/>
      <c r="V333" s="256"/>
      <c r="W333" s="256"/>
      <c r="X333" s="256"/>
      <c r="Y333" s="293"/>
      <c r="Z333" s="294"/>
      <c r="AA333" s="256"/>
      <c r="AB333" s="256"/>
      <c r="AC333" s="256"/>
      <c r="AD333" s="256"/>
      <c r="AE333" s="293"/>
      <c r="AF333" s="294"/>
      <c r="AG333" s="256"/>
      <c r="AH333" s="256"/>
      <c r="AI333" s="256"/>
      <c r="AJ333" s="257"/>
      <c r="AK333" s="296">
        <f>'Encargos e Benefícios'!D332</f>
        <v>0</v>
      </c>
      <c r="AL333" s="296">
        <f>IF('Encargos e Benefícios'!C332=0,0,'Encargos e Benefícios'!U332/'Encargos e Benefícios'!C332)</f>
        <v>0</v>
      </c>
      <c r="AM333" s="296">
        <f>IF('Encargos e Benefícios'!C332=0,0,'Encargos e Benefícios'!AC332/'Encargos e Benefícios'!C332)</f>
        <v>0</v>
      </c>
      <c r="AN333" s="297">
        <f>IF('Encargos e Benefícios'!C332=0,0,'Encargos e Benefícios'!AD332/'Encargos e Benefícios'!C332)</f>
        <v>0</v>
      </c>
      <c r="AO333" s="188"/>
      <c r="AP333" s="298"/>
      <c r="AQ333" s="298"/>
      <c r="AR333" s="302"/>
      <c r="AS333" s="188"/>
    </row>
    <row r="334" spans="1:45" ht="13" hidden="1" thickBot="1">
      <c r="A334" s="286">
        <v>328</v>
      </c>
      <c r="B334" s="81">
        <f>'Encargos e Benefícios'!B333</f>
        <v>0</v>
      </c>
      <c r="C334" s="287">
        <f>'Encargos e Benefícios'!C333</f>
        <v>0</v>
      </c>
      <c r="D334" s="288"/>
      <c r="E334" s="300"/>
      <c r="F334" s="301"/>
      <c r="G334" s="293"/>
      <c r="H334" s="292"/>
      <c r="I334" s="256"/>
      <c r="J334" s="256"/>
      <c r="K334" s="256"/>
      <c r="L334" s="256"/>
      <c r="M334" s="293"/>
      <c r="N334" s="292"/>
      <c r="O334" s="256"/>
      <c r="P334" s="256"/>
      <c r="Q334" s="256"/>
      <c r="R334" s="256"/>
      <c r="S334" s="293"/>
      <c r="T334" s="294"/>
      <c r="U334" s="256"/>
      <c r="V334" s="256"/>
      <c r="W334" s="256"/>
      <c r="X334" s="256"/>
      <c r="Y334" s="293"/>
      <c r="Z334" s="294"/>
      <c r="AA334" s="256"/>
      <c r="AB334" s="256"/>
      <c r="AC334" s="256"/>
      <c r="AD334" s="256"/>
      <c r="AE334" s="293"/>
      <c r="AF334" s="294"/>
      <c r="AG334" s="256"/>
      <c r="AH334" s="256"/>
      <c r="AI334" s="256"/>
      <c r="AJ334" s="257"/>
      <c r="AK334" s="296">
        <f>'Encargos e Benefícios'!D333</f>
        <v>0</v>
      </c>
      <c r="AL334" s="296">
        <f>IF('Encargos e Benefícios'!C333=0,0,'Encargos e Benefícios'!U333/'Encargos e Benefícios'!C333)</f>
        <v>0</v>
      </c>
      <c r="AM334" s="296">
        <f>IF('Encargos e Benefícios'!C333=0,0,'Encargos e Benefícios'!AC333/'Encargos e Benefícios'!C333)</f>
        <v>0</v>
      </c>
      <c r="AN334" s="297">
        <f>IF('Encargos e Benefícios'!C333=0,0,'Encargos e Benefícios'!AD333/'Encargos e Benefícios'!C333)</f>
        <v>0</v>
      </c>
      <c r="AO334" s="188"/>
      <c r="AP334" s="298"/>
      <c r="AQ334" s="298"/>
      <c r="AR334" s="302"/>
      <c r="AS334" s="188"/>
    </row>
    <row r="335" spans="1:45" ht="13" hidden="1" thickBot="1">
      <c r="A335" s="286">
        <v>329</v>
      </c>
      <c r="B335" s="81">
        <f>'Encargos e Benefícios'!B334</f>
        <v>0</v>
      </c>
      <c r="C335" s="287">
        <f>'Encargos e Benefícios'!C334</f>
        <v>0</v>
      </c>
      <c r="D335" s="288"/>
      <c r="E335" s="300"/>
      <c r="F335" s="301"/>
      <c r="G335" s="293"/>
      <c r="H335" s="292"/>
      <c r="I335" s="256"/>
      <c r="J335" s="256"/>
      <c r="K335" s="256"/>
      <c r="L335" s="256"/>
      <c r="M335" s="293"/>
      <c r="N335" s="292"/>
      <c r="O335" s="256"/>
      <c r="P335" s="256"/>
      <c r="Q335" s="256"/>
      <c r="R335" s="256"/>
      <c r="S335" s="293"/>
      <c r="T335" s="294"/>
      <c r="U335" s="256"/>
      <c r="V335" s="256"/>
      <c r="W335" s="256"/>
      <c r="X335" s="256"/>
      <c r="Y335" s="293"/>
      <c r="Z335" s="294"/>
      <c r="AA335" s="256"/>
      <c r="AB335" s="256"/>
      <c r="AC335" s="256"/>
      <c r="AD335" s="256"/>
      <c r="AE335" s="293"/>
      <c r="AF335" s="294"/>
      <c r="AG335" s="256"/>
      <c r="AH335" s="256"/>
      <c r="AI335" s="256"/>
      <c r="AJ335" s="257"/>
      <c r="AK335" s="296">
        <f>'Encargos e Benefícios'!D334</f>
        <v>0</v>
      </c>
      <c r="AL335" s="296">
        <f>IF('Encargos e Benefícios'!C334=0,0,'Encargos e Benefícios'!U334/'Encargos e Benefícios'!C334)</f>
        <v>0</v>
      </c>
      <c r="AM335" s="296">
        <f>IF('Encargos e Benefícios'!C334=0,0,'Encargos e Benefícios'!AC334/'Encargos e Benefícios'!C334)</f>
        <v>0</v>
      </c>
      <c r="AN335" s="297">
        <f>IF('Encargos e Benefícios'!C334=0,0,'Encargos e Benefícios'!AD334/'Encargos e Benefícios'!C334)</f>
        <v>0</v>
      </c>
      <c r="AO335" s="188"/>
      <c r="AP335" s="298"/>
      <c r="AQ335" s="298"/>
      <c r="AR335" s="302"/>
      <c r="AS335" s="188"/>
    </row>
    <row r="336" spans="1:45" ht="13" hidden="1" thickBot="1">
      <c r="A336" s="286">
        <v>330</v>
      </c>
      <c r="B336" s="81">
        <f>'Encargos e Benefícios'!B335</f>
        <v>0</v>
      </c>
      <c r="C336" s="287">
        <f>'Encargos e Benefícios'!C335</f>
        <v>0</v>
      </c>
      <c r="D336" s="288"/>
      <c r="E336" s="300"/>
      <c r="F336" s="301"/>
      <c r="G336" s="293"/>
      <c r="H336" s="292"/>
      <c r="I336" s="256"/>
      <c r="J336" s="256"/>
      <c r="K336" s="256"/>
      <c r="L336" s="256"/>
      <c r="M336" s="293"/>
      <c r="N336" s="292"/>
      <c r="O336" s="256"/>
      <c r="P336" s="256"/>
      <c r="Q336" s="256"/>
      <c r="R336" s="256"/>
      <c r="S336" s="293"/>
      <c r="T336" s="294"/>
      <c r="U336" s="256"/>
      <c r="V336" s="256"/>
      <c r="W336" s="256"/>
      <c r="X336" s="256"/>
      <c r="Y336" s="293"/>
      <c r="Z336" s="294"/>
      <c r="AA336" s="256"/>
      <c r="AB336" s="256"/>
      <c r="AC336" s="256"/>
      <c r="AD336" s="256"/>
      <c r="AE336" s="293"/>
      <c r="AF336" s="294"/>
      <c r="AG336" s="256"/>
      <c r="AH336" s="256"/>
      <c r="AI336" s="256"/>
      <c r="AJ336" s="257"/>
      <c r="AK336" s="296">
        <f>'Encargos e Benefícios'!D335</f>
        <v>0</v>
      </c>
      <c r="AL336" s="296">
        <f>IF('Encargos e Benefícios'!C335=0,0,'Encargos e Benefícios'!U335/'Encargos e Benefícios'!C335)</f>
        <v>0</v>
      </c>
      <c r="AM336" s="296">
        <f>IF('Encargos e Benefícios'!C335=0,0,'Encargos e Benefícios'!AC335/'Encargos e Benefícios'!C335)</f>
        <v>0</v>
      </c>
      <c r="AN336" s="297">
        <f>IF('Encargos e Benefícios'!C335=0,0,'Encargos e Benefícios'!AD335/'Encargos e Benefícios'!C335)</f>
        <v>0</v>
      </c>
      <c r="AO336" s="188"/>
      <c r="AP336" s="298"/>
      <c r="AQ336" s="298"/>
      <c r="AR336" s="302"/>
      <c r="AS336" s="188"/>
    </row>
    <row r="337" spans="1:45" ht="13" hidden="1" thickBot="1">
      <c r="A337" s="286">
        <v>331</v>
      </c>
      <c r="B337" s="81">
        <f>'Encargos e Benefícios'!B336</f>
        <v>0</v>
      </c>
      <c r="C337" s="287">
        <f>'Encargos e Benefícios'!C336</f>
        <v>0</v>
      </c>
      <c r="D337" s="288"/>
      <c r="E337" s="300"/>
      <c r="F337" s="301"/>
      <c r="G337" s="293"/>
      <c r="H337" s="292"/>
      <c r="I337" s="256"/>
      <c r="J337" s="256"/>
      <c r="K337" s="256"/>
      <c r="L337" s="256"/>
      <c r="M337" s="293"/>
      <c r="N337" s="292"/>
      <c r="O337" s="256"/>
      <c r="P337" s="256"/>
      <c r="Q337" s="256"/>
      <c r="R337" s="256"/>
      <c r="S337" s="293"/>
      <c r="T337" s="294"/>
      <c r="U337" s="256"/>
      <c r="V337" s="256"/>
      <c r="W337" s="256"/>
      <c r="X337" s="256"/>
      <c r="Y337" s="293"/>
      <c r="Z337" s="294"/>
      <c r="AA337" s="256"/>
      <c r="AB337" s="256"/>
      <c r="AC337" s="256"/>
      <c r="AD337" s="256"/>
      <c r="AE337" s="293"/>
      <c r="AF337" s="294"/>
      <c r="AG337" s="256"/>
      <c r="AH337" s="256"/>
      <c r="AI337" s="256"/>
      <c r="AJ337" s="257"/>
      <c r="AK337" s="296">
        <f>'Encargos e Benefícios'!D336</f>
        <v>0</v>
      </c>
      <c r="AL337" s="296">
        <f>IF('Encargos e Benefícios'!C336=0,0,'Encargos e Benefícios'!U336/'Encargos e Benefícios'!C336)</f>
        <v>0</v>
      </c>
      <c r="AM337" s="296">
        <f>IF('Encargos e Benefícios'!C336=0,0,'Encargos e Benefícios'!AC336/'Encargos e Benefícios'!C336)</f>
        <v>0</v>
      </c>
      <c r="AN337" s="297">
        <f>IF('Encargos e Benefícios'!C336=0,0,'Encargos e Benefícios'!AD336/'Encargos e Benefícios'!C336)</f>
        <v>0</v>
      </c>
      <c r="AO337" s="188"/>
      <c r="AP337" s="298"/>
      <c r="AQ337" s="298"/>
      <c r="AR337" s="302"/>
      <c r="AS337" s="188"/>
    </row>
    <row r="338" spans="1:45" ht="13" hidden="1" thickBot="1">
      <c r="A338" s="286">
        <v>332</v>
      </c>
      <c r="B338" s="81">
        <f>'Encargos e Benefícios'!B337</f>
        <v>0</v>
      </c>
      <c r="C338" s="287">
        <f>'Encargos e Benefícios'!C337</f>
        <v>0</v>
      </c>
      <c r="D338" s="288"/>
      <c r="E338" s="300"/>
      <c r="F338" s="301"/>
      <c r="G338" s="293"/>
      <c r="H338" s="292"/>
      <c r="I338" s="256"/>
      <c r="J338" s="256"/>
      <c r="K338" s="256"/>
      <c r="L338" s="256"/>
      <c r="M338" s="293"/>
      <c r="N338" s="292"/>
      <c r="O338" s="256"/>
      <c r="P338" s="256"/>
      <c r="Q338" s="256"/>
      <c r="R338" s="256"/>
      <c r="S338" s="293"/>
      <c r="T338" s="294"/>
      <c r="U338" s="256"/>
      <c r="V338" s="256"/>
      <c r="W338" s="256"/>
      <c r="X338" s="256"/>
      <c r="Y338" s="293"/>
      <c r="Z338" s="294"/>
      <c r="AA338" s="256"/>
      <c r="AB338" s="256"/>
      <c r="AC338" s="256"/>
      <c r="AD338" s="256"/>
      <c r="AE338" s="293"/>
      <c r="AF338" s="294"/>
      <c r="AG338" s="256"/>
      <c r="AH338" s="256"/>
      <c r="AI338" s="256"/>
      <c r="AJ338" s="257"/>
      <c r="AK338" s="296">
        <f>'Encargos e Benefícios'!D337</f>
        <v>0</v>
      </c>
      <c r="AL338" s="296">
        <f>IF('Encargos e Benefícios'!C337=0,0,'Encargos e Benefícios'!U337/'Encargos e Benefícios'!C337)</f>
        <v>0</v>
      </c>
      <c r="AM338" s="296">
        <f>IF('Encargos e Benefícios'!C337=0,0,'Encargos e Benefícios'!AC337/'Encargos e Benefícios'!C337)</f>
        <v>0</v>
      </c>
      <c r="AN338" s="297">
        <f>IF('Encargos e Benefícios'!C337=0,0,'Encargos e Benefícios'!AD337/'Encargos e Benefícios'!C337)</f>
        <v>0</v>
      </c>
      <c r="AO338" s="188"/>
      <c r="AP338" s="298"/>
      <c r="AQ338" s="298"/>
      <c r="AR338" s="302"/>
      <c r="AS338" s="188"/>
    </row>
    <row r="339" spans="1:45" ht="13" hidden="1" thickBot="1">
      <c r="A339" s="286">
        <v>333</v>
      </c>
      <c r="B339" s="81">
        <f>'Encargos e Benefícios'!B338</f>
        <v>0</v>
      </c>
      <c r="C339" s="287">
        <f>'Encargos e Benefícios'!C338</f>
        <v>0</v>
      </c>
      <c r="D339" s="288"/>
      <c r="E339" s="300"/>
      <c r="F339" s="301"/>
      <c r="G339" s="293"/>
      <c r="H339" s="292"/>
      <c r="I339" s="256"/>
      <c r="J339" s="256"/>
      <c r="K339" s="256"/>
      <c r="L339" s="256"/>
      <c r="M339" s="293"/>
      <c r="N339" s="292"/>
      <c r="O339" s="256"/>
      <c r="P339" s="256"/>
      <c r="Q339" s="256"/>
      <c r="R339" s="256"/>
      <c r="S339" s="293"/>
      <c r="T339" s="294"/>
      <c r="U339" s="256"/>
      <c r="V339" s="256"/>
      <c r="W339" s="256"/>
      <c r="X339" s="256"/>
      <c r="Y339" s="293"/>
      <c r="Z339" s="294"/>
      <c r="AA339" s="256"/>
      <c r="AB339" s="256"/>
      <c r="AC339" s="256"/>
      <c r="AD339" s="256"/>
      <c r="AE339" s="293"/>
      <c r="AF339" s="294"/>
      <c r="AG339" s="256"/>
      <c r="AH339" s="256"/>
      <c r="AI339" s="256"/>
      <c r="AJ339" s="257"/>
      <c r="AK339" s="296">
        <f>'Encargos e Benefícios'!D338</f>
        <v>0</v>
      </c>
      <c r="AL339" s="296">
        <f>IF('Encargos e Benefícios'!C338=0,0,'Encargos e Benefícios'!U338/'Encargos e Benefícios'!C338)</f>
        <v>0</v>
      </c>
      <c r="AM339" s="296">
        <f>IF('Encargos e Benefícios'!C338=0,0,'Encargos e Benefícios'!AC338/'Encargos e Benefícios'!C338)</f>
        <v>0</v>
      </c>
      <c r="AN339" s="297">
        <f>IF('Encargos e Benefícios'!C338=0,0,'Encargos e Benefícios'!AD338/'Encargos e Benefícios'!C338)</f>
        <v>0</v>
      </c>
      <c r="AO339" s="188"/>
      <c r="AP339" s="298"/>
      <c r="AQ339" s="298"/>
      <c r="AR339" s="302"/>
      <c r="AS339" s="188"/>
    </row>
    <row r="340" spans="1:45" ht="13" hidden="1" thickBot="1">
      <c r="A340" s="286">
        <v>334</v>
      </c>
      <c r="B340" s="81">
        <f>'Encargos e Benefícios'!B339</f>
        <v>0</v>
      </c>
      <c r="C340" s="287">
        <f>'Encargos e Benefícios'!C339</f>
        <v>0</v>
      </c>
      <c r="D340" s="288"/>
      <c r="E340" s="300"/>
      <c r="F340" s="301"/>
      <c r="G340" s="293"/>
      <c r="H340" s="292"/>
      <c r="I340" s="256"/>
      <c r="J340" s="256"/>
      <c r="K340" s="256"/>
      <c r="L340" s="256"/>
      <c r="M340" s="293"/>
      <c r="N340" s="292"/>
      <c r="O340" s="256"/>
      <c r="P340" s="256"/>
      <c r="Q340" s="256"/>
      <c r="R340" s="256"/>
      <c r="S340" s="293"/>
      <c r="T340" s="294"/>
      <c r="U340" s="256"/>
      <c r="V340" s="256"/>
      <c r="W340" s="256"/>
      <c r="X340" s="256"/>
      <c r="Y340" s="293"/>
      <c r="Z340" s="294"/>
      <c r="AA340" s="256"/>
      <c r="AB340" s="256"/>
      <c r="AC340" s="256"/>
      <c r="AD340" s="256"/>
      <c r="AE340" s="293"/>
      <c r="AF340" s="294"/>
      <c r="AG340" s="256"/>
      <c r="AH340" s="256"/>
      <c r="AI340" s="256"/>
      <c r="AJ340" s="257"/>
      <c r="AK340" s="296">
        <f>'Encargos e Benefícios'!D339</f>
        <v>0</v>
      </c>
      <c r="AL340" s="296">
        <f>IF('Encargos e Benefícios'!C339=0,0,'Encargos e Benefícios'!U339/'Encargos e Benefícios'!C339)</f>
        <v>0</v>
      </c>
      <c r="AM340" s="296">
        <f>IF('Encargos e Benefícios'!C339=0,0,'Encargos e Benefícios'!AC339/'Encargos e Benefícios'!C339)</f>
        <v>0</v>
      </c>
      <c r="AN340" s="297">
        <f>IF('Encargos e Benefícios'!C339=0,0,'Encargos e Benefícios'!AD339/'Encargos e Benefícios'!C339)</f>
        <v>0</v>
      </c>
      <c r="AO340" s="188"/>
      <c r="AP340" s="298"/>
      <c r="AQ340" s="298"/>
      <c r="AR340" s="302"/>
      <c r="AS340" s="188"/>
    </row>
    <row r="341" spans="1:45" ht="13" hidden="1" thickBot="1">
      <c r="A341" s="286">
        <v>335</v>
      </c>
      <c r="B341" s="81">
        <f>'Encargos e Benefícios'!B340</f>
        <v>0</v>
      </c>
      <c r="C341" s="287">
        <f>'Encargos e Benefícios'!C340</f>
        <v>0</v>
      </c>
      <c r="D341" s="288"/>
      <c r="E341" s="300"/>
      <c r="F341" s="301"/>
      <c r="G341" s="293"/>
      <c r="H341" s="292"/>
      <c r="I341" s="256"/>
      <c r="J341" s="256"/>
      <c r="K341" s="256"/>
      <c r="L341" s="256"/>
      <c r="M341" s="293"/>
      <c r="N341" s="292"/>
      <c r="O341" s="256"/>
      <c r="P341" s="256"/>
      <c r="Q341" s="256"/>
      <c r="R341" s="256"/>
      <c r="S341" s="293"/>
      <c r="T341" s="294"/>
      <c r="U341" s="256"/>
      <c r="V341" s="256"/>
      <c r="W341" s="256"/>
      <c r="X341" s="256"/>
      <c r="Y341" s="293"/>
      <c r="Z341" s="294"/>
      <c r="AA341" s="256"/>
      <c r="AB341" s="256"/>
      <c r="AC341" s="256"/>
      <c r="AD341" s="256"/>
      <c r="AE341" s="293"/>
      <c r="AF341" s="294"/>
      <c r="AG341" s="256"/>
      <c r="AH341" s="256"/>
      <c r="AI341" s="256"/>
      <c r="AJ341" s="257"/>
      <c r="AK341" s="296">
        <f>'Encargos e Benefícios'!D340</f>
        <v>0</v>
      </c>
      <c r="AL341" s="296">
        <f>IF('Encargos e Benefícios'!C340=0,0,'Encargos e Benefícios'!U340/'Encargos e Benefícios'!C340)</f>
        <v>0</v>
      </c>
      <c r="AM341" s="296">
        <f>IF('Encargos e Benefícios'!C340=0,0,'Encargos e Benefícios'!AC340/'Encargos e Benefícios'!C340)</f>
        <v>0</v>
      </c>
      <c r="AN341" s="297">
        <f>IF('Encargos e Benefícios'!C340=0,0,'Encargos e Benefícios'!AD340/'Encargos e Benefícios'!C340)</f>
        <v>0</v>
      </c>
      <c r="AO341" s="188"/>
      <c r="AP341" s="298"/>
      <c r="AQ341" s="298"/>
      <c r="AR341" s="302"/>
      <c r="AS341" s="188"/>
    </row>
    <row r="342" spans="1:45" ht="13" hidden="1" thickBot="1">
      <c r="A342" s="286">
        <v>336</v>
      </c>
      <c r="B342" s="81">
        <f>'Encargos e Benefícios'!B341</f>
        <v>0</v>
      </c>
      <c r="C342" s="287">
        <f>'Encargos e Benefícios'!C341</f>
        <v>0</v>
      </c>
      <c r="D342" s="288"/>
      <c r="E342" s="300"/>
      <c r="F342" s="301"/>
      <c r="G342" s="293"/>
      <c r="H342" s="292"/>
      <c r="I342" s="256"/>
      <c r="J342" s="256"/>
      <c r="K342" s="256"/>
      <c r="L342" s="256"/>
      <c r="M342" s="293"/>
      <c r="N342" s="292"/>
      <c r="O342" s="256"/>
      <c r="P342" s="256"/>
      <c r="Q342" s="256"/>
      <c r="R342" s="256"/>
      <c r="S342" s="293"/>
      <c r="T342" s="294"/>
      <c r="U342" s="256"/>
      <c r="V342" s="256"/>
      <c r="W342" s="256"/>
      <c r="X342" s="256"/>
      <c r="Y342" s="293"/>
      <c r="Z342" s="294"/>
      <c r="AA342" s="256"/>
      <c r="AB342" s="256"/>
      <c r="AC342" s="256"/>
      <c r="AD342" s="256"/>
      <c r="AE342" s="293"/>
      <c r="AF342" s="294"/>
      <c r="AG342" s="256"/>
      <c r="AH342" s="256"/>
      <c r="AI342" s="256"/>
      <c r="AJ342" s="257"/>
      <c r="AK342" s="296">
        <f>'Encargos e Benefícios'!D341</f>
        <v>0</v>
      </c>
      <c r="AL342" s="296">
        <f>IF('Encargos e Benefícios'!C341=0,0,'Encargos e Benefícios'!U341/'Encargos e Benefícios'!C341)</f>
        <v>0</v>
      </c>
      <c r="AM342" s="296">
        <f>IF('Encargos e Benefícios'!C341=0,0,'Encargos e Benefícios'!AC341/'Encargos e Benefícios'!C341)</f>
        <v>0</v>
      </c>
      <c r="AN342" s="297">
        <f>IF('Encargos e Benefícios'!C341=0,0,'Encargos e Benefícios'!AD341/'Encargos e Benefícios'!C341)</f>
        <v>0</v>
      </c>
      <c r="AO342" s="188"/>
      <c r="AP342" s="298"/>
      <c r="AQ342" s="298"/>
      <c r="AR342" s="302"/>
      <c r="AS342" s="188"/>
    </row>
    <row r="343" spans="1:45" ht="13" hidden="1" thickBot="1">
      <c r="A343" s="286">
        <v>337</v>
      </c>
      <c r="B343" s="81">
        <f>'Encargos e Benefícios'!B342</f>
        <v>0</v>
      </c>
      <c r="C343" s="287">
        <f>'Encargos e Benefícios'!C342</f>
        <v>0</v>
      </c>
      <c r="D343" s="288"/>
      <c r="E343" s="300"/>
      <c r="F343" s="301"/>
      <c r="G343" s="293"/>
      <c r="H343" s="292"/>
      <c r="I343" s="256"/>
      <c r="J343" s="256"/>
      <c r="K343" s="256"/>
      <c r="L343" s="256"/>
      <c r="M343" s="293"/>
      <c r="N343" s="292"/>
      <c r="O343" s="256"/>
      <c r="P343" s="256"/>
      <c r="Q343" s="256"/>
      <c r="R343" s="256"/>
      <c r="S343" s="293"/>
      <c r="T343" s="294"/>
      <c r="U343" s="256"/>
      <c r="V343" s="256"/>
      <c r="W343" s="256"/>
      <c r="X343" s="256"/>
      <c r="Y343" s="293"/>
      <c r="Z343" s="294"/>
      <c r="AA343" s="256"/>
      <c r="AB343" s="256"/>
      <c r="AC343" s="256"/>
      <c r="AD343" s="256"/>
      <c r="AE343" s="293"/>
      <c r="AF343" s="294"/>
      <c r="AG343" s="256"/>
      <c r="AH343" s="256"/>
      <c r="AI343" s="256"/>
      <c r="AJ343" s="257"/>
      <c r="AK343" s="296">
        <f>'Encargos e Benefícios'!D342</f>
        <v>0</v>
      </c>
      <c r="AL343" s="296">
        <f>IF('Encargos e Benefícios'!C342=0,0,'Encargos e Benefícios'!U342/'Encargos e Benefícios'!C342)</f>
        <v>0</v>
      </c>
      <c r="AM343" s="296">
        <f>IF('Encargos e Benefícios'!C342=0,0,'Encargos e Benefícios'!AC342/'Encargos e Benefícios'!C342)</f>
        <v>0</v>
      </c>
      <c r="AN343" s="297">
        <f>IF('Encargos e Benefícios'!C342=0,0,'Encargos e Benefícios'!AD342/'Encargos e Benefícios'!C342)</f>
        <v>0</v>
      </c>
      <c r="AO343" s="188"/>
      <c r="AP343" s="298"/>
      <c r="AQ343" s="298"/>
      <c r="AR343" s="302"/>
      <c r="AS343" s="188"/>
    </row>
    <row r="344" spans="1:45" ht="13" hidden="1" thickBot="1">
      <c r="A344" s="286">
        <v>338</v>
      </c>
      <c r="B344" s="81">
        <f>'Encargos e Benefícios'!B343</f>
        <v>0</v>
      </c>
      <c r="C344" s="287">
        <f>'Encargos e Benefícios'!C343</f>
        <v>0</v>
      </c>
      <c r="D344" s="288"/>
      <c r="E344" s="300"/>
      <c r="F344" s="301"/>
      <c r="G344" s="293"/>
      <c r="H344" s="292"/>
      <c r="I344" s="256"/>
      <c r="J344" s="256"/>
      <c r="K344" s="256"/>
      <c r="L344" s="256"/>
      <c r="M344" s="293"/>
      <c r="N344" s="292"/>
      <c r="O344" s="256"/>
      <c r="P344" s="256"/>
      <c r="Q344" s="256"/>
      <c r="R344" s="256"/>
      <c r="S344" s="293"/>
      <c r="T344" s="294"/>
      <c r="U344" s="256"/>
      <c r="V344" s="256"/>
      <c r="W344" s="256"/>
      <c r="X344" s="256"/>
      <c r="Y344" s="293"/>
      <c r="Z344" s="294"/>
      <c r="AA344" s="256"/>
      <c r="AB344" s="256"/>
      <c r="AC344" s="256"/>
      <c r="AD344" s="256"/>
      <c r="AE344" s="293"/>
      <c r="AF344" s="294"/>
      <c r="AG344" s="256"/>
      <c r="AH344" s="256"/>
      <c r="AI344" s="256"/>
      <c r="AJ344" s="257"/>
      <c r="AK344" s="296">
        <f>'Encargos e Benefícios'!D343</f>
        <v>0</v>
      </c>
      <c r="AL344" s="296">
        <f>IF('Encargos e Benefícios'!C343=0,0,'Encargos e Benefícios'!U343/'Encargos e Benefícios'!C343)</f>
        <v>0</v>
      </c>
      <c r="AM344" s="296">
        <f>IF('Encargos e Benefícios'!C343=0,0,'Encargos e Benefícios'!AC343/'Encargos e Benefícios'!C343)</f>
        <v>0</v>
      </c>
      <c r="AN344" s="297">
        <f>IF('Encargos e Benefícios'!C343=0,0,'Encargos e Benefícios'!AD343/'Encargos e Benefícios'!C343)</f>
        <v>0</v>
      </c>
      <c r="AO344" s="188"/>
      <c r="AP344" s="298"/>
      <c r="AQ344" s="298"/>
      <c r="AR344" s="302"/>
      <c r="AS344" s="188"/>
    </row>
    <row r="345" spans="1:45" ht="13" hidden="1" thickBot="1">
      <c r="A345" s="286">
        <v>339</v>
      </c>
      <c r="B345" s="81">
        <f>'Encargos e Benefícios'!B344</f>
        <v>0</v>
      </c>
      <c r="C345" s="287">
        <f>'Encargos e Benefícios'!C344</f>
        <v>0</v>
      </c>
      <c r="D345" s="288"/>
      <c r="E345" s="300"/>
      <c r="F345" s="301"/>
      <c r="G345" s="293"/>
      <c r="H345" s="292"/>
      <c r="I345" s="256"/>
      <c r="J345" s="256"/>
      <c r="K345" s="256"/>
      <c r="L345" s="256"/>
      <c r="M345" s="293"/>
      <c r="N345" s="292"/>
      <c r="O345" s="256"/>
      <c r="P345" s="256"/>
      <c r="Q345" s="256"/>
      <c r="R345" s="256"/>
      <c r="S345" s="293"/>
      <c r="T345" s="294"/>
      <c r="U345" s="256"/>
      <c r="V345" s="256"/>
      <c r="W345" s="256"/>
      <c r="X345" s="256"/>
      <c r="Y345" s="293"/>
      <c r="Z345" s="294"/>
      <c r="AA345" s="256"/>
      <c r="AB345" s="256"/>
      <c r="AC345" s="256"/>
      <c r="AD345" s="256"/>
      <c r="AE345" s="293"/>
      <c r="AF345" s="294"/>
      <c r="AG345" s="256"/>
      <c r="AH345" s="256"/>
      <c r="AI345" s="256"/>
      <c r="AJ345" s="257"/>
      <c r="AK345" s="296">
        <f>'Encargos e Benefícios'!D344</f>
        <v>0</v>
      </c>
      <c r="AL345" s="296">
        <f>IF('Encargos e Benefícios'!C344=0,0,'Encargos e Benefícios'!U344/'Encargos e Benefícios'!C344)</f>
        <v>0</v>
      </c>
      <c r="AM345" s="296">
        <f>IF('Encargos e Benefícios'!C344=0,0,'Encargos e Benefícios'!AC344/'Encargos e Benefícios'!C344)</f>
        <v>0</v>
      </c>
      <c r="AN345" s="297">
        <f>IF('Encargos e Benefícios'!C344=0,0,'Encargos e Benefícios'!AD344/'Encargos e Benefícios'!C344)</f>
        <v>0</v>
      </c>
      <c r="AO345" s="188"/>
      <c r="AP345" s="298"/>
      <c r="AQ345" s="298"/>
      <c r="AR345" s="302"/>
      <c r="AS345" s="188"/>
    </row>
    <row r="346" spans="1:45" ht="13" hidden="1" thickBot="1">
      <c r="A346" s="286">
        <v>340</v>
      </c>
      <c r="B346" s="81">
        <f>'Encargos e Benefícios'!B345</f>
        <v>0</v>
      </c>
      <c r="C346" s="287">
        <f>'Encargos e Benefícios'!C345</f>
        <v>0</v>
      </c>
      <c r="D346" s="288"/>
      <c r="E346" s="300"/>
      <c r="F346" s="301"/>
      <c r="G346" s="293"/>
      <c r="H346" s="292"/>
      <c r="I346" s="256"/>
      <c r="J346" s="256"/>
      <c r="K346" s="256"/>
      <c r="L346" s="256"/>
      <c r="M346" s="293"/>
      <c r="N346" s="292"/>
      <c r="O346" s="256"/>
      <c r="P346" s="256"/>
      <c r="Q346" s="256"/>
      <c r="R346" s="256"/>
      <c r="S346" s="293"/>
      <c r="T346" s="294"/>
      <c r="U346" s="256"/>
      <c r="V346" s="256"/>
      <c r="W346" s="256"/>
      <c r="X346" s="256"/>
      <c r="Y346" s="293"/>
      <c r="Z346" s="294"/>
      <c r="AA346" s="256"/>
      <c r="AB346" s="256"/>
      <c r="AC346" s="256"/>
      <c r="AD346" s="256"/>
      <c r="AE346" s="293"/>
      <c r="AF346" s="294"/>
      <c r="AG346" s="256"/>
      <c r="AH346" s="256"/>
      <c r="AI346" s="256"/>
      <c r="AJ346" s="257"/>
      <c r="AK346" s="296">
        <f>'Encargos e Benefícios'!D345</f>
        <v>0</v>
      </c>
      <c r="AL346" s="296">
        <f>IF('Encargos e Benefícios'!C345=0,0,'Encargos e Benefícios'!U345/'Encargos e Benefícios'!C345)</f>
        <v>0</v>
      </c>
      <c r="AM346" s="296">
        <f>IF('Encargos e Benefícios'!C345=0,0,'Encargos e Benefícios'!AC345/'Encargos e Benefícios'!C345)</f>
        <v>0</v>
      </c>
      <c r="AN346" s="297">
        <f>IF('Encargos e Benefícios'!C345=0,0,'Encargos e Benefícios'!AD345/'Encargos e Benefícios'!C345)</f>
        <v>0</v>
      </c>
      <c r="AO346" s="188"/>
      <c r="AP346" s="298"/>
      <c r="AQ346" s="298"/>
      <c r="AR346" s="302"/>
      <c r="AS346" s="188"/>
    </row>
    <row r="347" spans="1:45" ht="13" hidden="1" thickBot="1">
      <c r="A347" s="286">
        <v>341</v>
      </c>
      <c r="B347" s="81">
        <f>'Encargos e Benefícios'!B346</f>
        <v>0</v>
      </c>
      <c r="C347" s="287">
        <f>'Encargos e Benefícios'!C346</f>
        <v>0</v>
      </c>
      <c r="D347" s="288"/>
      <c r="E347" s="300"/>
      <c r="F347" s="301"/>
      <c r="G347" s="293"/>
      <c r="H347" s="292"/>
      <c r="I347" s="256"/>
      <c r="J347" s="256"/>
      <c r="K347" s="256"/>
      <c r="L347" s="256"/>
      <c r="M347" s="293"/>
      <c r="N347" s="292"/>
      <c r="O347" s="256"/>
      <c r="P347" s="256"/>
      <c r="Q347" s="256"/>
      <c r="R347" s="256"/>
      <c r="S347" s="293"/>
      <c r="T347" s="294"/>
      <c r="U347" s="256"/>
      <c r="V347" s="256"/>
      <c r="W347" s="256"/>
      <c r="X347" s="256"/>
      <c r="Y347" s="293"/>
      <c r="Z347" s="294"/>
      <c r="AA347" s="256"/>
      <c r="AB347" s="256"/>
      <c r="AC347" s="256"/>
      <c r="AD347" s="256"/>
      <c r="AE347" s="293"/>
      <c r="AF347" s="294"/>
      <c r="AG347" s="256"/>
      <c r="AH347" s="256"/>
      <c r="AI347" s="256"/>
      <c r="AJ347" s="257"/>
      <c r="AK347" s="296">
        <f>'Encargos e Benefícios'!D346</f>
        <v>0</v>
      </c>
      <c r="AL347" s="296">
        <f>IF('Encargos e Benefícios'!C346=0,0,'Encargos e Benefícios'!U346/'Encargos e Benefícios'!C346)</f>
        <v>0</v>
      </c>
      <c r="AM347" s="296">
        <f>IF('Encargos e Benefícios'!C346=0,0,'Encargos e Benefícios'!AC346/'Encargos e Benefícios'!C346)</f>
        <v>0</v>
      </c>
      <c r="AN347" s="297">
        <f>IF('Encargos e Benefícios'!C346=0,0,'Encargos e Benefícios'!AD346/'Encargos e Benefícios'!C346)</f>
        <v>0</v>
      </c>
      <c r="AO347" s="188"/>
      <c r="AP347" s="298"/>
      <c r="AQ347" s="298"/>
      <c r="AR347" s="302"/>
      <c r="AS347" s="188"/>
    </row>
    <row r="348" spans="1:45" ht="13" hidden="1" thickBot="1">
      <c r="A348" s="286">
        <v>342</v>
      </c>
      <c r="B348" s="81">
        <f>'Encargos e Benefícios'!B347</f>
        <v>0</v>
      </c>
      <c r="C348" s="287">
        <f>'Encargos e Benefícios'!C347</f>
        <v>0</v>
      </c>
      <c r="D348" s="288"/>
      <c r="E348" s="300"/>
      <c r="F348" s="301"/>
      <c r="G348" s="293"/>
      <c r="H348" s="292"/>
      <c r="I348" s="256"/>
      <c r="J348" s="256"/>
      <c r="K348" s="256"/>
      <c r="L348" s="256"/>
      <c r="M348" s="293"/>
      <c r="N348" s="292"/>
      <c r="O348" s="256"/>
      <c r="P348" s="256"/>
      <c r="Q348" s="256"/>
      <c r="R348" s="256"/>
      <c r="S348" s="293"/>
      <c r="T348" s="294"/>
      <c r="U348" s="256"/>
      <c r="V348" s="256"/>
      <c r="W348" s="256"/>
      <c r="X348" s="256"/>
      <c r="Y348" s="293"/>
      <c r="Z348" s="294"/>
      <c r="AA348" s="256"/>
      <c r="AB348" s="256"/>
      <c r="AC348" s="256"/>
      <c r="AD348" s="256"/>
      <c r="AE348" s="293"/>
      <c r="AF348" s="294"/>
      <c r="AG348" s="256"/>
      <c r="AH348" s="256"/>
      <c r="AI348" s="256"/>
      <c r="AJ348" s="257"/>
      <c r="AK348" s="296">
        <f>'Encargos e Benefícios'!D347</f>
        <v>0</v>
      </c>
      <c r="AL348" s="296">
        <f>IF('Encargos e Benefícios'!C347=0,0,'Encargos e Benefícios'!U347/'Encargos e Benefícios'!C347)</f>
        <v>0</v>
      </c>
      <c r="AM348" s="296">
        <f>IF('Encargos e Benefícios'!C347=0,0,'Encargos e Benefícios'!AC347/'Encargos e Benefícios'!C347)</f>
        <v>0</v>
      </c>
      <c r="AN348" s="297">
        <f>IF('Encargos e Benefícios'!C347=0,0,'Encargos e Benefícios'!AD347/'Encargos e Benefícios'!C347)</f>
        <v>0</v>
      </c>
      <c r="AO348" s="188"/>
      <c r="AP348" s="298"/>
      <c r="AQ348" s="298"/>
      <c r="AR348" s="302"/>
      <c r="AS348" s="188"/>
    </row>
    <row r="349" spans="1:45" ht="13" hidden="1" thickBot="1">
      <c r="A349" s="286">
        <v>343</v>
      </c>
      <c r="B349" s="81">
        <f>'Encargos e Benefícios'!B348</f>
        <v>0</v>
      </c>
      <c r="C349" s="287">
        <f>'Encargos e Benefícios'!C348</f>
        <v>0</v>
      </c>
      <c r="D349" s="288"/>
      <c r="E349" s="300"/>
      <c r="F349" s="301"/>
      <c r="G349" s="293"/>
      <c r="H349" s="292"/>
      <c r="I349" s="256"/>
      <c r="J349" s="256"/>
      <c r="K349" s="256"/>
      <c r="L349" s="256"/>
      <c r="M349" s="293"/>
      <c r="N349" s="292"/>
      <c r="O349" s="256"/>
      <c r="P349" s="256"/>
      <c r="Q349" s="256"/>
      <c r="R349" s="256"/>
      <c r="S349" s="293"/>
      <c r="T349" s="294"/>
      <c r="U349" s="256"/>
      <c r="V349" s="256"/>
      <c r="W349" s="256"/>
      <c r="X349" s="256"/>
      <c r="Y349" s="293"/>
      <c r="Z349" s="294"/>
      <c r="AA349" s="256"/>
      <c r="AB349" s="256"/>
      <c r="AC349" s="256"/>
      <c r="AD349" s="256"/>
      <c r="AE349" s="293"/>
      <c r="AF349" s="294"/>
      <c r="AG349" s="256"/>
      <c r="AH349" s="256"/>
      <c r="AI349" s="256"/>
      <c r="AJ349" s="257"/>
      <c r="AK349" s="296">
        <f>'Encargos e Benefícios'!D348</f>
        <v>0</v>
      </c>
      <c r="AL349" s="296">
        <f>IF('Encargos e Benefícios'!C348=0,0,'Encargos e Benefícios'!U348/'Encargos e Benefícios'!C348)</f>
        <v>0</v>
      </c>
      <c r="AM349" s="296">
        <f>IF('Encargos e Benefícios'!C348=0,0,'Encargos e Benefícios'!AC348/'Encargos e Benefícios'!C348)</f>
        <v>0</v>
      </c>
      <c r="AN349" s="297">
        <f>IF('Encargos e Benefícios'!C348=0,0,'Encargos e Benefícios'!AD348/'Encargos e Benefícios'!C348)</f>
        <v>0</v>
      </c>
      <c r="AO349" s="188"/>
      <c r="AP349" s="298"/>
      <c r="AQ349" s="298"/>
      <c r="AR349" s="302"/>
      <c r="AS349" s="188"/>
    </row>
    <row r="350" spans="1:45" ht="13" hidden="1" thickBot="1">
      <c r="A350" s="286">
        <v>344</v>
      </c>
      <c r="B350" s="81">
        <f>'Encargos e Benefícios'!B349</f>
        <v>0</v>
      </c>
      <c r="C350" s="287">
        <f>'Encargos e Benefícios'!C349</f>
        <v>0</v>
      </c>
      <c r="D350" s="288"/>
      <c r="E350" s="300"/>
      <c r="F350" s="301"/>
      <c r="G350" s="293"/>
      <c r="H350" s="292"/>
      <c r="I350" s="256"/>
      <c r="J350" s="256"/>
      <c r="K350" s="256"/>
      <c r="L350" s="256"/>
      <c r="M350" s="293"/>
      <c r="N350" s="292"/>
      <c r="O350" s="256"/>
      <c r="P350" s="256"/>
      <c r="Q350" s="256"/>
      <c r="R350" s="256"/>
      <c r="S350" s="293"/>
      <c r="T350" s="294"/>
      <c r="U350" s="256"/>
      <c r="V350" s="256"/>
      <c r="W350" s="256"/>
      <c r="X350" s="256"/>
      <c r="Y350" s="293"/>
      <c r="Z350" s="294"/>
      <c r="AA350" s="256"/>
      <c r="AB350" s="256"/>
      <c r="AC350" s="256"/>
      <c r="AD350" s="256"/>
      <c r="AE350" s="293"/>
      <c r="AF350" s="294"/>
      <c r="AG350" s="256"/>
      <c r="AH350" s="256"/>
      <c r="AI350" s="256"/>
      <c r="AJ350" s="257"/>
      <c r="AK350" s="296">
        <f>'Encargos e Benefícios'!D349</f>
        <v>0</v>
      </c>
      <c r="AL350" s="296">
        <f>IF('Encargos e Benefícios'!C349=0,0,'Encargos e Benefícios'!U349/'Encargos e Benefícios'!C349)</f>
        <v>0</v>
      </c>
      <c r="AM350" s="296">
        <f>IF('Encargos e Benefícios'!C349=0,0,'Encargos e Benefícios'!AC349/'Encargos e Benefícios'!C349)</f>
        <v>0</v>
      </c>
      <c r="AN350" s="297">
        <f>IF('Encargos e Benefícios'!C349=0,0,'Encargos e Benefícios'!AD349/'Encargos e Benefícios'!C349)</f>
        <v>0</v>
      </c>
      <c r="AO350" s="188"/>
      <c r="AP350" s="298"/>
      <c r="AQ350" s="298"/>
      <c r="AR350" s="302"/>
      <c r="AS350" s="188"/>
    </row>
    <row r="351" spans="1:45" ht="13" hidden="1" thickBot="1">
      <c r="A351" s="286">
        <v>345</v>
      </c>
      <c r="B351" s="81">
        <f>'Encargos e Benefícios'!B350</f>
        <v>0</v>
      </c>
      <c r="C351" s="287">
        <f>'Encargos e Benefícios'!C350</f>
        <v>0</v>
      </c>
      <c r="D351" s="288"/>
      <c r="E351" s="300"/>
      <c r="F351" s="301"/>
      <c r="G351" s="293"/>
      <c r="H351" s="292"/>
      <c r="I351" s="256"/>
      <c r="J351" s="256"/>
      <c r="K351" s="256"/>
      <c r="L351" s="256"/>
      <c r="M351" s="293"/>
      <c r="N351" s="292"/>
      <c r="O351" s="256"/>
      <c r="P351" s="256"/>
      <c r="Q351" s="256"/>
      <c r="R351" s="256"/>
      <c r="S351" s="293"/>
      <c r="T351" s="294"/>
      <c r="U351" s="256"/>
      <c r="V351" s="256"/>
      <c r="W351" s="256"/>
      <c r="X351" s="256"/>
      <c r="Y351" s="293"/>
      <c r="Z351" s="294"/>
      <c r="AA351" s="256"/>
      <c r="AB351" s="256"/>
      <c r="AC351" s="256"/>
      <c r="AD351" s="256"/>
      <c r="AE351" s="293"/>
      <c r="AF351" s="294"/>
      <c r="AG351" s="256"/>
      <c r="AH351" s="256"/>
      <c r="AI351" s="256"/>
      <c r="AJ351" s="257"/>
      <c r="AK351" s="296">
        <f>'Encargos e Benefícios'!D350</f>
        <v>0</v>
      </c>
      <c r="AL351" s="296">
        <f>IF('Encargos e Benefícios'!C350=0,0,'Encargos e Benefícios'!U350/'Encargos e Benefícios'!C350)</f>
        <v>0</v>
      </c>
      <c r="AM351" s="296">
        <f>IF('Encargos e Benefícios'!C350=0,0,'Encargos e Benefícios'!AC350/'Encargos e Benefícios'!C350)</f>
        <v>0</v>
      </c>
      <c r="AN351" s="297">
        <f>IF('Encargos e Benefícios'!C350=0,0,'Encargos e Benefícios'!AD350/'Encargos e Benefícios'!C350)</f>
        <v>0</v>
      </c>
      <c r="AO351" s="188"/>
      <c r="AP351" s="298"/>
      <c r="AQ351" s="298"/>
      <c r="AR351" s="302"/>
      <c r="AS351" s="188"/>
    </row>
    <row r="352" spans="1:45" ht="13" hidden="1" thickBot="1">
      <c r="A352" s="286">
        <v>346</v>
      </c>
      <c r="B352" s="81">
        <f>'Encargos e Benefícios'!B351</f>
        <v>0</v>
      </c>
      <c r="C352" s="287">
        <f>'Encargos e Benefícios'!C351</f>
        <v>0</v>
      </c>
      <c r="D352" s="288"/>
      <c r="E352" s="300"/>
      <c r="F352" s="301"/>
      <c r="G352" s="293"/>
      <c r="H352" s="292"/>
      <c r="I352" s="256"/>
      <c r="J352" s="256"/>
      <c r="K352" s="256"/>
      <c r="L352" s="256"/>
      <c r="M352" s="293"/>
      <c r="N352" s="292"/>
      <c r="O352" s="256"/>
      <c r="P352" s="256"/>
      <c r="Q352" s="256"/>
      <c r="R352" s="256"/>
      <c r="S352" s="293"/>
      <c r="T352" s="294"/>
      <c r="U352" s="256"/>
      <c r="V352" s="256"/>
      <c r="W352" s="256"/>
      <c r="X352" s="256"/>
      <c r="Y352" s="293"/>
      <c r="Z352" s="294"/>
      <c r="AA352" s="256"/>
      <c r="AB352" s="256"/>
      <c r="AC352" s="256"/>
      <c r="AD352" s="256"/>
      <c r="AE352" s="293"/>
      <c r="AF352" s="294"/>
      <c r="AG352" s="256"/>
      <c r="AH352" s="256"/>
      <c r="AI352" s="256"/>
      <c r="AJ352" s="257"/>
      <c r="AK352" s="296">
        <f>'Encargos e Benefícios'!D351</f>
        <v>0</v>
      </c>
      <c r="AL352" s="296">
        <f>IF('Encargos e Benefícios'!C351=0,0,'Encargos e Benefícios'!U351/'Encargos e Benefícios'!C351)</f>
        <v>0</v>
      </c>
      <c r="AM352" s="296">
        <f>IF('Encargos e Benefícios'!C351=0,0,'Encargos e Benefícios'!AC351/'Encargos e Benefícios'!C351)</f>
        <v>0</v>
      </c>
      <c r="AN352" s="297">
        <f>IF('Encargos e Benefícios'!C351=0,0,'Encargos e Benefícios'!AD351/'Encargos e Benefícios'!C351)</f>
        <v>0</v>
      </c>
      <c r="AO352" s="188"/>
      <c r="AP352" s="298"/>
      <c r="AQ352" s="298"/>
      <c r="AR352" s="302"/>
      <c r="AS352" s="188"/>
    </row>
    <row r="353" spans="1:45" ht="13" hidden="1" thickBot="1">
      <c r="A353" s="286">
        <v>347</v>
      </c>
      <c r="B353" s="81">
        <f>'Encargos e Benefícios'!B352</f>
        <v>0</v>
      </c>
      <c r="C353" s="287">
        <f>'Encargos e Benefícios'!C352</f>
        <v>0</v>
      </c>
      <c r="D353" s="288"/>
      <c r="E353" s="300"/>
      <c r="F353" s="301"/>
      <c r="G353" s="293"/>
      <c r="H353" s="292"/>
      <c r="I353" s="256"/>
      <c r="J353" s="256"/>
      <c r="K353" s="256"/>
      <c r="L353" s="256"/>
      <c r="M353" s="293"/>
      <c r="N353" s="292"/>
      <c r="O353" s="256"/>
      <c r="P353" s="256"/>
      <c r="Q353" s="256"/>
      <c r="R353" s="256"/>
      <c r="S353" s="293"/>
      <c r="T353" s="294"/>
      <c r="U353" s="256"/>
      <c r="V353" s="256"/>
      <c r="W353" s="256"/>
      <c r="X353" s="256"/>
      <c r="Y353" s="293"/>
      <c r="Z353" s="294"/>
      <c r="AA353" s="256"/>
      <c r="AB353" s="256"/>
      <c r="AC353" s="256"/>
      <c r="AD353" s="256"/>
      <c r="AE353" s="293"/>
      <c r="AF353" s="294"/>
      <c r="AG353" s="256"/>
      <c r="AH353" s="256"/>
      <c r="AI353" s="256"/>
      <c r="AJ353" s="257"/>
      <c r="AK353" s="296">
        <f>'Encargos e Benefícios'!D352</f>
        <v>0</v>
      </c>
      <c r="AL353" s="296">
        <f>IF('Encargos e Benefícios'!C352=0,0,'Encargos e Benefícios'!U352/'Encargos e Benefícios'!C352)</f>
        <v>0</v>
      </c>
      <c r="AM353" s="296">
        <f>IF('Encargos e Benefícios'!C352=0,0,'Encargos e Benefícios'!AC352/'Encargos e Benefícios'!C352)</f>
        <v>0</v>
      </c>
      <c r="AN353" s="297">
        <f>IF('Encargos e Benefícios'!C352=0,0,'Encargos e Benefícios'!AD352/'Encargos e Benefícios'!C352)</f>
        <v>0</v>
      </c>
      <c r="AO353" s="188"/>
      <c r="AP353" s="298"/>
      <c r="AQ353" s="298"/>
      <c r="AR353" s="302"/>
      <c r="AS353" s="188"/>
    </row>
    <row r="354" spans="1:45" ht="13" hidden="1" thickBot="1">
      <c r="A354" s="286">
        <v>348</v>
      </c>
      <c r="B354" s="81">
        <f>'Encargos e Benefícios'!B353</f>
        <v>0</v>
      </c>
      <c r="C354" s="287">
        <f>'Encargos e Benefícios'!C353</f>
        <v>0</v>
      </c>
      <c r="D354" s="288"/>
      <c r="E354" s="300"/>
      <c r="F354" s="301"/>
      <c r="G354" s="293"/>
      <c r="H354" s="292"/>
      <c r="I354" s="256"/>
      <c r="J354" s="256"/>
      <c r="K354" s="256"/>
      <c r="L354" s="256"/>
      <c r="M354" s="293"/>
      <c r="N354" s="292"/>
      <c r="O354" s="256"/>
      <c r="P354" s="256"/>
      <c r="Q354" s="256"/>
      <c r="R354" s="256"/>
      <c r="S354" s="293"/>
      <c r="T354" s="294"/>
      <c r="U354" s="256"/>
      <c r="V354" s="256"/>
      <c r="W354" s="256"/>
      <c r="X354" s="256"/>
      <c r="Y354" s="293"/>
      <c r="Z354" s="294"/>
      <c r="AA354" s="256"/>
      <c r="AB354" s="256"/>
      <c r="AC354" s="256"/>
      <c r="AD354" s="256"/>
      <c r="AE354" s="293"/>
      <c r="AF354" s="294"/>
      <c r="AG354" s="256"/>
      <c r="AH354" s="256"/>
      <c r="AI354" s="256"/>
      <c r="AJ354" s="257"/>
      <c r="AK354" s="296">
        <f>'Encargos e Benefícios'!D353</f>
        <v>0</v>
      </c>
      <c r="AL354" s="296">
        <f>IF('Encargos e Benefícios'!C353=0,0,'Encargos e Benefícios'!U353/'Encargos e Benefícios'!C353)</f>
        <v>0</v>
      </c>
      <c r="AM354" s="296">
        <f>IF('Encargos e Benefícios'!C353=0,0,'Encargos e Benefícios'!AC353/'Encargos e Benefícios'!C353)</f>
        <v>0</v>
      </c>
      <c r="AN354" s="297">
        <f>IF('Encargos e Benefícios'!C353=0,0,'Encargos e Benefícios'!AD353/'Encargos e Benefícios'!C353)</f>
        <v>0</v>
      </c>
      <c r="AO354" s="188"/>
      <c r="AP354" s="298"/>
      <c r="AQ354" s="298"/>
      <c r="AR354" s="302"/>
      <c r="AS354" s="188"/>
    </row>
    <row r="355" spans="1:45" ht="13" hidden="1" thickBot="1">
      <c r="A355" s="286">
        <v>349</v>
      </c>
      <c r="B355" s="81">
        <f>'Encargos e Benefícios'!B354</f>
        <v>0</v>
      </c>
      <c r="C355" s="287">
        <f>'Encargos e Benefícios'!C354</f>
        <v>0</v>
      </c>
      <c r="D355" s="288"/>
      <c r="E355" s="300"/>
      <c r="F355" s="301"/>
      <c r="G355" s="293"/>
      <c r="H355" s="292"/>
      <c r="I355" s="256"/>
      <c r="J355" s="256"/>
      <c r="K355" s="256"/>
      <c r="L355" s="256"/>
      <c r="M355" s="293"/>
      <c r="N355" s="292"/>
      <c r="O355" s="256"/>
      <c r="P355" s="256"/>
      <c r="Q355" s="256"/>
      <c r="R355" s="256"/>
      <c r="S355" s="293"/>
      <c r="T355" s="294"/>
      <c r="U355" s="256"/>
      <c r="V355" s="256"/>
      <c r="W355" s="256"/>
      <c r="X355" s="256"/>
      <c r="Y355" s="293"/>
      <c r="Z355" s="294"/>
      <c r="AA355" s="256"/>
      <c r="AB355" s="256"/>
      <c r="AC355" s="256"/>
      <c r="AD355" s="256"/>
      <c r="AE355" s="293"/>
      <c r="AF355" s="294"/>
      <c r="AG355" s="256"/>
      <c r="AH355" s="256"/>
      <c r="AI355" s="256"/>
      <c r="AJ355" s="257"/>
      <c r="AK355" s="296">
        <f>'Encargos e Benefícios'!D354</f>
        <v>0</v>
      </c>
      <c r="AL355" s="296">
        <f>IF('Encargos e Benefícios'!C354=0,0,'Encargos e Benefícios'!U354/'Encargos e Benefícios'!C354)</f>
        <v>0</v>
      </c>
      <c r="AM355" s="296">
        <f>IF('Encargos e Benefícios'!C354=0,0,'Encargos e Benefícios'!AC354/'Encargos e Benefícios'!C354)</f>
        <v>0</v>
      </c>
      <c r="AN355" s="297">
        <f>IF('Encargos e Benefícios'!C354=0,0,'Encargos e Benefícios'!AD354/'Encargos e Benefícios'!C354)</f>
        <v>0</v>
      </c>
      <c r="AO355" s="188"/>
      <c r="AP355" s="298"/>
      <c r="AQ355" s="298"/>
      <c r="AR355" s="302"/>
      <c r="AS355" s="188"/>
    </row>
    <row r="356" spans="1:45" ht="13" hidden="1" thickBot="1">
      <c r="A356" s="286">
        <v>350</v>
      </c>
      <c r="B356" s="81">
        <f>'Encargos e Benefícios'!B355</f>
        <v>0</v>
      </c>
      <c r="C356" s="287">
        <f>'Encargos e Benefícios'!C355</f>
        <v>0</v>
      </c>
      <c r="D356" s="288"/>
      <c r="E356" s="300"/>
      <c r="F356" s="301"/>
      <c r="G356" s="293"/>
      <c r="H356" s="292"/>
      <c r="I356" s="256"/>
      <c r="J356" s="256"/>
      <c r="K356" s="256"/>
      <c r="L356" s="256"/>
      <c r="M356" s="293"/>
      <c r="N356" s="292"/>
      <c r="O356" s="256"/>
      <c r="P356" s="256"/>
      <c r="Q356" s="256"/>
      <c r="R356" s="256"/>
      <c r="S356" s="293"/>
      <c r="T356" s="294"/>
      <c r="U356" s="256"/>
      <c r="V356" s="256"/>
      <c r="W356" s="256"/>
      <c r="X356" s="256"/>
      <c r="Y356" s="293"/>
      <c r="Z356" s="294"/>
      <c r="AA356" s="256"/>
      <c r="AB356" s="256"/>
      <c r="AC356" s="256"/>
      <c r="AD356" s="256"/>
      <c r="AE356" s="293"/>
      <c r="AF356" s="294"/>
      <c r="AG356" s="256"/>
      <c r="AH356" s="256"/>
      <c r="AI356" s="256"/>
      <c r="AJ356" s="257"/>
      <c r="AK356" s="296">
        <f>'Encargos e Benefícios'!D355</f>
        <v>0</v>
      </c>
      <c r="AL356" s="296">
        <f>IF('Encargos e Benefícios'!C355=0,0,'Encargos e Benefícios'!U355/'Encargos e Benefícios'!C355)</f>
        <v>0</v>
      </c>
      <c r="AM356" s="296">
        <f>IF('Encargos e Benefícios'!C355=0,0,'Encargos e Benefícios'!AC355/'Encargos e Benefícios'!C355)</f>
        <v>0</v>
      </c>
      <c r="AN356" s="297">
        <f>IF('Encargos e Benefícios'!C355=0,0,'Encargos e Benefícios'!AD355/'Encargos e Benefícios'!C355)</f>
        <v>0</v>
      </c>
      <c r="AO356" s="188"/>
      <c r="AP356" s="298"/>
      <c r="AQ356" s="298"/>
      <c r="AR356" s="302"/>
      <c r="AS356" s="188"/>
    </row>
    <row r="357" spans="1:45" ht="13" hidden="1" thickBot="1">
      <c r="A357" s="286">
        <v>351</v>
      </c>
      <c r="B357" s="81">
        <f>'Encargos e Benefícios'!B356</f>
        <v>0</v>
      </c>
      <c r="C357" s="287">
        <f>'Encargos e Benefícios'!C356</f>
        <v>0</v>
      </c>
      <c r="D357" s="288"/>
      <c r="E357" s="300"/>
      <c r="F357" s="301"/>
      <c r="G357" s="293"/>
      <c r="H357" s="292"/>
      <c r="I357" s="256"/>
      <c r="J357" s="256"/>
      <c r="K357" s="256"/>
      <c r="L357" s="256"/>
      <c r="M357" s="293"/>
      <c r="N357" s="292"/>
      <c r="O357" s="256"/>
      <c r="P357" s="256"/>
      <c r="Q357" s="256"/>
      <c r="R357" s="256"/>
      <c r="S357" s="293"/>
      <c r="T357" s="294"/>
      <c r="U357" s="256"/>
      <c r="V357" s="256"/>
      <c r="W357" s="256"/>
      <c r="X357" s="256"/>
      <c r="Y357" s="293"/>
      <c r="Z357" s="294"/>
      <c r="AA357" s="256"/>
      <c r="AB357" s="256"/>
      <c r="AC357" s="256"/>
      <c r="AD357" s="256"/>
      <c r="AE357" s="293"/>
      <c r="AF357" s="294"/>
      <c r="AG357" s="256"/>
      <c r="AH357" s="256"/>
      <c r="AI357" s="256"/>
      <c r="AJ357" s="257"/>
      <c r="AK357" s="296">
        <f>'Encargos e Benefícios'!D356</f>
        <v>0</v>
      </c>
      <c r="AL357" s="296">
        <f>IF('Encargos e Benefícios'!C356=0,0,'Encargos e Benefícios'!U356/'Encargos e Benefícios'!C356)</f>
        <v>0</v>
      </c>
      <c r="AM357" s="296">
        <f>IF('Encargos e Benefícios'!C356=0,0,'Encargos e Benefícios'!AC356/'Encargos e Benefícios'!C356)</f>
        <v>0</v>
      </c>
      <c r="AN357" s="297">
        <f>IF('Encargos e Benefícios'!C356=0,0,'Encargos e Benefícios'!AD356/'Encargos e Benefícios'!C356)</f>
        <v>0</v>
      </c>
      <c r="AO357" s="188"/>
      <c r="AP357" s="298"/>
      <c r="AQ357" s="298"/>
      <c r="AR357" s="302"/>
      <c r="AS357" s="188"/>
    </row>
    <row r="358" spans="1:45" ht="13" hidden="1" thickBot="1">
      <c r="A358" s="286">
        <v>352</v>
      </c>
      <c r="B358" s="81">
        <f>'Encargos e Benefícios'!B357</f>
        <v>0</v>
      </c>
      <c r="C358" s="287">
        <f>'Encargos e Benefícios'!C357</f>
        <v>0</v>
      </c>
      <c r="D358" s="288"/>
      <c r="E358" s="300"/>
      <c r="F358" s="301"/>
      <c r="G358" s="293"/>
      <c r="H358" s="292"/>
      <c r="I358" s="256"/>
      <c r="J358" s="256"/>
      <c r="K358" s="256"/>
      <c r="L358" s="256"/>
      <c r="M358" s="293"/>
      <c r="N358" s="292"/>
      <c r="O358" s="256"/>
      <c r="P358" s="256"/>
      <c r="Q358" s="256"/>
      <c r="R358" s="256"/>
      <c r="S358" s="293"/>
      <c r="T358" s="294"/>
      <c r="U358" s="256"/>
      <c r="V358" s="256"/>
      <c r="W358" s="256"/>
      <c r="X358" s="256"/>
      <c r="Y358" s="293"/>
      <c r="Z358" s="294"/>
      <c r="AA358" s="256"/>
      <c r="AB358" s="256"/>
      <c r="AC358" s="256"/>
      <c r="AD358" s="256"/>
      <c r="AE358" s="293"/>
      <c r="AF358" s="294"/>
      <c r="AG358" s="256"/>
      <c r="AH358" s="256"/>
      <c r="AI358" s="256"/>
      <c r="AJ358" s="257"/>
      <c r="AK358" s="296">
        <f>'Encargos e Benefícios'!D357</f>
        <v>0</v>
      </c>
      <c r="AL358" s="296">
        <f>IF('Encargos e Benefícios'!C357=0,0,'Encargos e Benefícios'!U357/'Encargos e Benefícios'!C357)</f>
        <v>0</v>
      </c>
      <c r="AM358" s="296">
        <f>IF('Encargos e Benefícios'!C357=0,0,'Encargos e Benefícios'!AC357/'Encargos e Benefícios'!C357)</f>
        <v>0</v>
      </c>
      <c r="AN358" s="297">
        <f>IF('Encargos e Benefícios'!C357=0,0,'Encargos e Benefícios'!AD357/'Encargos e Benefícios'!C357)</f>
        <v>0</v>
      </c>
      <c r="AO358" s="188"/>
      <c r="AP358" s="298"/>
      <c r="AQ358" s="298"/>
      <c r="AR358" s="302"/>
      <c r="AS358" s="188"/>
    </row>
    <row r="359" spans="1:45" ht="13" hidden="1" thickBot="1">
      <c r="A359" s="286">
        <v>353</v>
      </c>
      <c r="B359" s="81">
        <f>'Encargos e Benefícios'!B358</f>
        <v>0</v>
      </c>
      <c r="C359" s="287">
        <f>'Encargos e Benefícios'!C358</f>
        <v>0</v>
      </c>
      <c r="D359" s="288"/>
      <c r="E359" s="300"/>
      <c r="F359" s="301"/>
      <c r="G359" s="293"/>
      <c r="H359" s="292"/>
      <c r="I359" s="256"/>
      <c r="J359" s="256"/>
      <c r="K359" s="256"/>
      <c r="L359" s="256"/>
      <c r="M359" s="293"/>
      <c r="N359" s="292"/>
      <c r="O359" s="256"/>
      <c r="P359" s="256"/>
      <c r="Q359" s="256"/>
      <c r="R359" s="256"/>
      <c r="S359" s="293"/>
      <c r="T359" s="294"/>
      <c r="U359" s="256"/>
      <c r="V359" s="256"/>
      <c r="W359" s="256"/>
      <c r="X359" s="256"/>
      <c r="Y359" s="293"/>
      <c r="Z359" s="294"/>
      <c r="AA359" s="256"/>
      <c r="AB359" s="256"/>
      <c r="AC359" s="256"/>
      <c r="AD359" s="256"/>
      <c r="AE359" s="293"/>
      <c r="AF359" s="294"/>
      <c r="AG359" s="256"/>
      <c r="AH359" s="256"/>
      <c r="AI359" s="256"/>
      <c r="AJ359" s="257"/>
      <c r="AK359" s="296">
        <f>'Encargos e Benefícios'!D358</f>
        <v>0</v>
      </c>
      <c r="AL359" s="296">
        <f>IF('Encargos e Benefícios'!C358=0,0,'Encargos e Benefícios'!U358/'Encargos e Benefícios'!C358)</f>
        <v>0</v>
      </c>
      <c r="AM359" s="296">
        <f>IF('Encargos e Benefícios'!C358=0,0,'Encargos e Benefícios'!AC358/'Encargos e Benefícios'!C358)</f>
        <v>0</v>
      </c>
      <c r="AN359" s="297">
        <f>IF('Encargos e Benefícios'!C358=0,0,'Encargos e Benefícios'!AD358/'Encargos e Benefícios'!C358)</f>
        <v>0</v>
      </c>
      <c r="AO359" s="188"/>
      <c r="AP359" s="298"/>
      <c r="AQ359" s="298"/>
      <c r="AR359" s="302"/>
      <c r="AS359" s="188"/>
    </row>
    <row r="360" spans="1:45" ht="13" hidden="1" thickBot="1">
      <c r="A360" s="286">
        <v>354</v>
      </c>
      <c r="B360" s="81">
        <f>'Encargos e Benefícios'!B359</f>
        <v>0</v>
      </c>
      <c r="C360" s="287">
        <f>'Encargos e Benefícios'!C359</f>
        <v>0</v>
      </c>
      <c r="D360" s="288"/>
      <c r="E360" s="300"/>
      <c r="F360" s="301"/>
      <c r="G360" s="293"/>
      <c r="H360" s="292"/>
      <c r="I360" s="256"/>
      <c r="J360" s="256"/>
      <c r="K360" s="256"/>
      <c r="L360" s="256"/>
      <c r="M360" s="293"/>
      <c r="N360" s="292"/>
      <c r="O360" s="256"/>
      <c r="P360" s="256"/>
      <c r="Q360" s="256"/>
      <c r="R360" s="256"/>
      <c r="S360" s="293"/>
      <c r="T360" s="294"/>
      <c r="U360" s="256"/>
      <c r="V360" s="256"/>
      <c r="W360" s="256"/>
      <c r="X360" s="256"/>
      <c r="Y360" s="293"/>
      <c r="Z360" s="294"/>
      <c r="AA360" s="256"/>
      <c r="AB360" s="256"/>
      <c r="AC360" s="256"/>
      <c r="AD360" s="256"/>
      <c r="AE360" s="293"/>
      <c r="AF360" s="294"/>
      <c r="AG360" s="256"/>
      <c r="AH360" s="256"/>
      <c r="AI360" s="256"/>
      <c r="AJ360" s="257"/>
      <c r="AK360" s="296">
        <f>'Encargos e Benefícios'!D359</f>
        <v>0</v>
      </c>
      <c r="AL360" s="296">
        <f>IF('Encargos e Benefícios'!C359=0,0,'Encargos e Benefícios'!U359/'Encargos e Benefícios'!C359)</f>
        <v>0</v>
      </c>
      <c r="AM360" s="296">
        <f>IF('Encargos e Benefícios'!C359=0,0,'Encargos e Benefícios'!AC359/'Encargos e Benefícios'!C359)</f>
        <v>0</v>
      </c>
      <c r="AN360" s="297">
        <f>IF('Encargos e Benefícios'!C359=0,0,'Encargos e Benefícios'!AD359/'Encargos e Benefícios'!C359)</f>
        <v>0</v>
      </c>
      <c r="AO360" s="188"/>
      <c r="AP360" s="298"/>
      <c r="AQ360" s="298"/>
      <c r="AR360" s="302"/>
      <c r="AS360" s="188"/>
    </row>
    <row r="361" spans="1:45" ht="13" hidden="1" thickBot="1">
      <c r="A361" s="286">
        <v>355</v>
      </c>
      <c r="B361" s="81">
        <f>'Encargos e Benefícios'!B360</f>
        <v>0</v>
      </c>
      <c r="C361" s="287">
        <f>'Encargos e Benefícios'!C360</f>
        <v>0</v>
      </c>
      <c r="D361" s="288"/>
      <c r="E361" s="300"/>
      <c r="F361" s="301"/>
      <c r="G361" s="293"/>
      <c r="H361" s="292"/>
      <c r="I361" s="256"/>
      <c r="J361" s="256"/>
      <c r="K361" s="256"/>
      <c r="L361" s="256"/>
      <c r="M361" s="293"/>
      <c r="N361" s="292"/>
      <c r="O361" s="256"/>
      <c r="P361" s="256"/>
      <c r="Q361" s="256"/>
      <c r="R361" s="256"/>
      <c r="S361" s="293"/>
      <c r="T361" s="294"/>
      <c r="U361" s="256"/>
      <c r="V361" s="256"/>
      <c r="W361" s="256"/>
      <c r="X361" s="256"/>
      <c r="Y361" s="293"/>
      <c r="Z361" s="294"/>
      <c r="AA361" s="256"/>
      <c r="AB361" s="256"/>
      <c r="AC361" s="256"/>
      <c r="AD361" s="256"/>
      <c r="AE361" s="293"/>
      <c r="AF361" s="294"/>
      <c r="AG361" s="256"/>
      <c r="AH361" s="256"/>
      <c r="AI361" s="256"/>
      <c r="AJ361" s="257"/>
      <c r="AK361" s="296">
        <f>'Encargos e Benefícios'!D360</f>
        <v>0</v>
      </c>
      <c r="AL361" s="296">
        <f>IF('Encargos e Benefícios'!C360=0,0,'Encargos e Benefícios'!U360/'Encargos e Benefícios'!C360)</f>
        <v>0</v>
      </c>
      <c r="AM361" s="296">
        <f>IF('Encargos e Benefícios'!C360=0,0,'Encargos e Benefícios'!AC360/'Encargos e Benefícios'!C360)</f>
        <v>0</v>
      </c>
      <c r="AN361" s="297">
        <f>IF('Encargos e Benefícios'!C360=0,0,'Encargos e Benefícios'!AD360/'Encargos e Benefícios'!C360)</f>
        <v>0</v>
      </c>
      <c r="AO361" s="188"/>
      <c r="AP361" s="298"/>
      <c r="AQ361" s="298"/>
      <c r="AR361" s="302"/>
      <c r="AS361" s="188"/>
    </row>
    <row r="362" spans="1:45" ht="13" hidden="1" thickBot="1">
      <c r="A362" s="286">
        <v>356</v>
      </c>
      <c r="B362" s="81">
        <f>'Encargos e Benefícios'!B361</f>
        <v>0</v>
      </c>
      <c r="C362" s="287">
        <f>'Encargos e Benefícios'!C361</f>
        <v>0</v>
      </c>
      <c r="D362" s="288"/>
      <c r="E362" s="300"/>
      <c r="F362" s="301"/>
      <c r="G362" s="293"/>
      <c r="H362" s="292"/>
      <c r="I362" s="256"/>
      <c r="J362" s="256"/>
      <c r="K362" s="256"/>
      <c r="L362" s="256"/>
      <c r="M362" s="293"/>
      <c r="N362" s="292"/>
      <c r="O362" s="256"/>
      <c r="P362" s="256"/>
      <c r="Q362" s="256"/>
      <c r="R362" s="256"/>
      <c r="S362" s="293"/>
      <c r="T362" s="294"/>
      <c r="U362" s="256"/>
      <c r="V362" s="256"/>
      <c r="W362" s="256"/>
      <c r="X362" s="256"/>
      <c r="Y362" s="293"/>
      <c r="Z362" s="294"/>
      <c r="AA362" s="256"/>
      <c r="AB362" s="256"/>
      <c r="AC362" s="256"/>
      <c r="AD362" s="256"/>
      <c r="AE362" s="293"/>
      <c r="AF362" s="294"/>
      <c r="AG362" s="256"/>
      <c r="AH362" s="256"/>
      <c r="AI362" s="256"/>
      <c r="AJ362" s="257"/>
      <c r="AK362" s="296">
        <f>'Encargos e Benefícios'!D361</f>
        <v>0</v>
      </c>
      <c r="AL362" s="296">
        <f>IF('Encargos e Benefícios'!C361=0,0,'Encargos e Benefícios'!U361/'Encargos e Benefícios'!C361)</f>
        <v>0</v>
      </c>
      <c r="AM362" s="296">
        <f>IF('Encargos e Benefícios'!C361=0,0,'Encargos e Benefícios'!AC361/'Encargos e Benefícios'!C361)</f>
        <v>0</v>
      </c>
      <c r="AN362" s="297">
        <f>IF('Encargos e Benefícios'!C361=0,0,'Encargos e Benefícios'!AD361/'Encargos e Benefícios'!C361)</f>
        <v>0</v>
      </c>
      <c r="AO362" s="188"/>
      <c r="AP362" s="298"/>
      <c r="AQ362" s="298"/>
      <c r="AR362" s="302"/>
      <c r="AS362" s="188"/>
    </row>
    <row r="363" spans="1:45" ht="13" hidden="1" thickBot="1">
      <c r="A363" s="286">
        <v>357</v>
      </c>
      <c r="B363" s="81">
        <f>'Encargos e Benefícios'!B362</f>
        <v>0</v>
      </c>
      <c r="C363" s="287">
        <f>'Encargos e Benefícios'!C362</f>
        <v>0</v>
      </c>
      <c r="D363" s="288"/>
      <c r="E363" s="300"/>
      <c r="F363" s="301"/>
      <c r="G363" s="293"/>
      <c r="H363" s="292"/>
      <c r="I363" s="256"/>
      <c r="J363" s="256"/>
      <c r="K363" s="256"/>
      <c r="L363" s="256"/>
      <c r="M363" s="293"/>
      <c r="N363" s="292"/>
      <c r="O363" s="256"/>
      <c r="P363" s="256"/>
      <c r="Q363" s="256"/>
      <c r="R363" s="256"/>
      <c r="S363" s="293"/>
      <c r="T363" s="294"/>
      <c r="U363" s="256"/>
      <c r="V363" s="256"/>
      <c r="W363" s="256"/>
      <c r="X363" s="256"/>
      <c r="Y363" s="293"/>
      <c r="Z363" s="294"/>
      <c r="AA363" s="256"/>
      <c r="AB363" s="256"/>
      <c r="AC363" s="256"/>
      <c r="AD363" s="256"/>
      <c r="AE363" s="293"/>
      <c r="AF363" s="294"/>
      <c r="AG363" s="256"/>
      <c r="AH363" s="256"/>
      <c r="AI363" s="256"/>
      <c r="AJ363" s="257"/>
      <c r="AK363" s="296">
        <f>'Encargos e Benefícios'!D362</f>
        <v>0</v>
      </c>
      <c r="AL363" s="296">
        <f>IF('Encargos e Benefícios'!C362=0,0,'Encargos e Benefícios'!U362/'Encargos e Benefícios'!C362)</f>
        <v>0</v>
      </c>
      <c r="AM363" s="296">
        <f>IF('Encargos e Benefícios'!C362=0,0,'Encargos e Benefícios'!AC362/'Encargos e Benefícios'!C362)</f>
        <v>0</v>
      </c>
      <c r="AN363" s="297">
        <f>IF('Encargos e Benefícios'!C362=0,0,'Encargos e Benefícios'!AD362/'Encargos e Benefícios'!C362)</f>
        <v>0</v>
      </c>
      <c r="AO363" s="188"/>
      <c r="AP363" s="298"/>
      <c r="AQ363" s="298"/>
      <c r="AR363" s="302"/>
      <c r="AS363" s="188"/>
    </row>
    <row r="364" spans="1:45" ht="13" hidden="1" thickBot="1">
      <c r="A364" s="286">
        <v>358</v>
      </c>
      <c r="B364" s="81">
        <f>'Encargos e Benefícios'!B363</f>
        <v>0</v>
      </c>
      <c r="C364" s="287">
        <f>'Encargos e Benefícios'!C363</f>
        <v>0</v>
      </c>
      <c r="D364" s="288"/>
      <c r="E364" s="300"/>
      <c r="F364" s="301"/>
      <c r="G364" s="293"/>
      <c r="H364" s="292"/>
      <c r="I364" s="256"/>
      <c r="J364" s="256"/>
      <c r="K364" s="256"/>
      <c r="L364" s="256"/>
      <c r="M364" s="293"/>
      <c r="N364" s="292"/>
      <c r="O364" s="256"/>
      <c r="P364" s="256"/>
      <c r="Q364" s="256"/>
      <c r="R364" s="256"/>
      <c r="S364" s="293"/>
      <c r="T364" s="294"/>
      <c r="U364" s="256"/>
      <c r="V364" s="256"/>
      <c r="W364" s="256"/>
      <c r="X364" s="256"/>
      <c r="Y364" s="293"/>
      <c r="Z364" s="294"/>
      <c r="AA364" s="256"/>
      <c r="AB364" s="256"/>
      <c r="AC364" s="256"/>
      <c r="AD364" s="256"/>
      <c r="AE364" s="293"/>
      <c r="AF364" s="294"/>
      <c r="AG364" s="256"/>
      <c r="AH364" s="256"/>
      <c r="AI364" s="256"/>
      <c r="AJ364" s="257"/>
      <c r="AK364" s="296">
        <f>'Encargos e Benefícios'!D363</f>
        <v>0</v>
      </c>
      <c r="AL364" s="296">
        <f>IF('Encargos e Benefícios'!C363=0,0,'Encargos e Benefícios'!U363/'Encargos e Benefícios'!C363)</f>
        <v>0</v>
      </c>
      <c r="AM364" s="296">
        <f>IF('Encargos e Benefícios'!C363=0,0,'Encargos e Benefícios'!AC363/'Encargos e Benefícios'!C363)</f>
        <v>0</v>
      </c>
      <c r="AN364" s="297">
        <f>IF('Encargos e Benefícios'!C363=0,0,'Encargos e Benefícios'!AD363/'Encargos e Benefícios'!C363)</f>
        <v>0</v>
      </c>
      <c r="AO364" s="188"/>
      <c r="AP364" s="298"/>
      <c r="AQ364" s="298"/>
      <c r="AR364" s="302"/>
      <c r="AS364" s="188"/>
    </row>
    <row r="365" spans="1:45" ht="13" hidden="1" thickBot="1">
      <c r="A365" s="286">
        <v>359</v>
      </c>
      <c r="B365" s="81">
        <f>'Encargos e Benefícios'!B364</f>
        <v>0</v>
      </c>
      <c r="C365" s="287">
        <f>'Encargos e Benefícios'!C364</f>
        <v>0</v>
      </c>
      <c r="D365" s="288"/>
      <c r="E365" s="300"/>
      <c r="F365" s="301"/>
      <c r="G365" s="293"/>
      <c r="H365" s="292"/>
      <c r="I365" s="256"/>
      <c r="J365" s="256"/>
      <c r="K365" s="256"/>
      <c r="L365" s="256"/>
      <c r="M365" s="293"/>
      <c r="N365" s="292"/>
      <c r="O365" s="256"/>
      <c r="P365" s="256"/>
      <c r="Q365" s="256"/>
      <c r="R365" s="256"/>
      <c r="S365" s="293"/>
      <c r="T365" s="294"/>
      <c r="U365" s="256"/>
      <c r="V365" s="256"/>
      <c r="W365" s="256"/>
      <c r="X365" s="256"/>
      <c r="Y365" s="293"/>
      <c r="Z365" s="294"/>
      <c r="AA365" s="256"/>
      <c r="AB365" s="256"/>
      <c r="AC365" s="256"/>
      <c r="AD365" s="256"/>
      <c r="AE365" s="293"/>
      <c r="AF365" s="294"/>
      <c r="AG365" s="256"/>
      <c r="AH365" s="256"/>
      <c r="AI365" s="256"/>
      <c r="AJ365" s="257"/>
      <c r="AK365" s="296">
        <f>'Encargos e Benefícios'!D364</f>
        <v>0</v>
      </c>
      <c r="AL365" s="296">
        <f>IF('Encargos e Benefícios'!C364=0,0,'Encargos e Benefícios'!U364/'Encargos e Benefícios'!C364)</f>
        <v>0</v>
      </c>
      <c r="AM365" s="296">
        <f>IF('Encargos e Benefícios'!C364=0,0,'Encargos e Benefícios'!AC364/'Encargos e Benefícios'!C364)</f>
        <v>0</v>
      </c>
      <c r="AN365" s="297">
        <f>IF('Encargos e Benefícios'!C364=0,0,'Encargos e Benefícios'!AD364/'Encargos e Benefícios'!C364)</f>
        <v>0</v>
      </c>
      <c r="AO365" s="188"/>
      <c r="AP365" s="298"/>
      <c r="AQ365" s="298"/>
      <c r="AR365" s="302"/>
      <c r="AS365" s="188"/>
    </row>
    <row r="366" spans="1:45" ht="13" hidden="1" thickBot="1">
      <c r="A366" s="286">
        <v>360</v>
      </c>
      <c r="B366" s="81">
        <f>'Encargos e Benefícios'!B365</f>
        <v>0</v>
      </c>
      <c r="C366" s="287">
        <f>'Encargos e Benefícios'!C365</f>
        <v>0</v>
      </c>
      <c r="D366" s="288"/>
      <c r="E366" s="300"/>
      <c r="F366" s="301"/>
      <c r="G366" s="293"/>
      <c r="H366" s="292"/>
      <c r="I366" s="256"/>
      <c r="J366" s="256"/>
      <c r="K366" s="256"/>
      <c r="L366" s="256"/>
      <c r="M366" s="293"/>
      <c r="N366" s="292"/>
      <c r="O366" s="256"/>
      <c r="P366" s="256"/>
      <c r="Q366" s="256"/>
      <c r="R366" s="256"/>
      <c r="S366" s="293"/>
      <c r="T366" s="294"/>
      <c r="U366" s="256"/>
      <c r="V366" s="256"/>
      <c r="W366" s="256"/>
      <c r="X366" s="256"/>
      <c r="Y366" s="293"/>
      <c r="Z366" s="294"/>
      <c r="AA366" s="256"/>
      <c r="AB366" s="256"/>
      <c r="AC366" s="256"/>
      <c r="AD366" s="256"/>
      <c r="AE366" s="293"/>
      <c r="AF366" s="294"/>
      <c r="AG366" s="256"/>
      <c r="AH366" s="256"/>
      <c r="AI366" s="256"/>
      <c r="AJ366" s="257"/>
      <c r="AK366" s="296">
        <f>'Encargos e Benefícios'!D365</f>
        <v>0</v>
      </c>
      <c r="AL366" s="296">
        <f>IF('Encargos e Benefícios'!C365=0,0,'Encargos e Benefícios'!U365/'Encargos e Benefícios'!C365)</f>
        <v>0</v>
      </c>
      <c r="AM366" s="296">
        <f>IF('Encargos e Benefícios'!C365=0,0,'Encargos e Benefícios'!AC365/'Encargos e Benefícios'!C365)</f>
        <v>0</v>
      </c>
      <c r="AN366" s="297">
        <f>IF('Encargos e Benefícios'!C365=0,0,'Encargos e Benefícios'!AD365/'Encargos e Benefícios'!C365)</f>
        <v>0</v>
      </c>
      <c r="AO366" s="188"/>
      <c r="AP366" s="298"/>
      <c r="AQ366" s="298"/>
      <c r="AR366" s="302"/>
      <c r="AS366" s="188"/>
    </row>
    <row r="367" spans="1:45" ht="13" hidden="1" thickBot="1">
      <c r="A367" s="286">
        <v>361</v>
      </c>
      <c r="B367" s="81">
        <f>'Encargos e Benefícios'!B366</f>
        <v>0</v>
      </c>
      <c r="C367" s="287">
        <f>'Encargos e Benefícios'!C366</f>
        <v>0</v>
      </c>
      <c r="D367" s="288"/>
      <c r="E367" s="300"/>
      <c r="F367" s="301"/>
      <c r="G367" s="293"/>
      <c r="H367" s="292"/>
      <c r="I367" s="256"/>
      <c r="J367" s="256"/>
      <c r="K367" s="256"/>
      <c r="L367" s="256"/>
      <c r="M367" s="293"/>
      <c r="N367" s="292"/>
      <c r="O367" s="256"/>
      <c r="P367" s="256"/>
      <c r="Q367" s="256"/>
      <c r="R367" s="256"/>
      <c r="S367" s="293"/>
      <c r="T367" s="294"/>
      <c r="U367" s="256"/>
      <c r="V367" s="256"/>
      <c r="W367" s="256"/>
      <c r="X367" s="256"/>
      <c r="Y367" s="293"/>
      <c r="Z367" s="294"/>
      <c r="AA367" s="256"/>
      <c r="AB367" s="256"/>
      <c r="AC367" s="256"/>
      <c r="AD367" s="256"/>
      <c r="AE367" s="293"/>
      <c r="AF367" s="294"/>
      <c r="AG367" s="256"/>
      <c r="AH367" s="256"/>
      <c r="AI367" s="256"/>
      <c r="AJ367" s="257"/>
      <c r="AK367" s="296">
        <f>'Encargos e Benefícios'!D366</f>
        <v>0</v>
      </c>
      <c r="AL367" s="296">
        <f>IF('Encargos e Benefícios'!C366=0,0,'Encargos e Benefícios'!U366/'Encargos e Benefícios'!C366)</f>
        <v>0</v>
      </c>
      <c r="AM367" s="296">
        <f>IF('Encargos e Benefícios'!C366=0,0,'Encargos e Benefícios'!AC366/'Encargos e Benefícios'!C366)</f>
        <v>0</v>
      </c>
      <c r="AN367" s="297">
        <f>IF('Encargos e Benefícios'!C366=0,0,'Encargos e Benefícios'!AD366/'Encargos e Benefícios'!C366)</f>
        <v>0</v>
      </c>
      <c r="AO367" s="188"/>
      <c r="AP367" s="298"/>
      <c r="AQ367" s="298"/>
      <c r="AR367" s="302"/>
      <c r="AS367" s="188"/>
    </row>
    <row r="368" spans="1:45" ht="13" hidden="1" thickBot="1">
      <c r="A368" s="286">
        <v>362</v>
      </c>
      <c r="B368" s="81">
        <f>'Encargos e Benefícios'!B367</f>
        <v>0</v>
      </c>
      <c r="C368" s="287">
        <f>'Encargos e Benefícios'!C367</f>
        <v>0</v>
      </c>
      <c r="D368" s="288"/>
      <c r="E368" s="300"/>
      <c r="F368" s="301"/>
      <c r="G368" s="293"/>
      <c r="H368" s="292"/>
      <c r="I368" s="256"/>
      <c r="J368" s="256"/>
      <c r="K368" s="256"/>
      <c r="L368" s="256"/>
      <c r="M368" s="293"/>
      <c r="N368" s="292"/>
      <c r="O368" s="256"/>
      <c r="P368" s="256"/>
      <c r="Q368" s="256"/>
      <c r="R368" s="256"/>
      <c r="S368" s="293"/>
      <c r="T368" s="294"/>
      <c r="U368" s="256"/>
      <c r="V368" s="256"/>
      <c r="W368" s="256"/>
      <c r="X368" s="256"/>
      <c r="Y368" s="293"/>
      <c r="Z368" s="294"/>
      <c r="AA368" s="256"/>
      <c r="AB368" s="256"/>
      <c r="AC368" s="256"/>
      <c r="AD368" s="256"/>
      <c r="AE368" s="293"/>
      <c r="AF368" s="294"/>
      <c r="AG368" s="256"/>
      <c r="AH368" s="256"/>
      <c r="AI368" s="256"/>
      <c r="AJ368" s="257"/>
      <c r="AK368" s="296">
        <f>'Encargos e Benefícios'!D367</f>
        <v>0</v>
      </c>
      <c r="AL368" s="296">
        <f>IF('Encargos e Benefícios'!C367=0,0,'Encargos e Benefícios'!U367/'Encargos e Benefícios'!C367)</f>
        <v>0</v>
      </c>
      <c r="AM368" s="296">
        <f>IF('Encargos e Benefícios'!C367=0,0,'Encargos e Benefícios'!AC367/'Encargos e Benefícios'!C367)</f>
        <v>0</v>
      </c>
      <c r="AN368" s="297">
        <f>IF('Encargos e Benefícios'!C367=0,0,'Encargos e Benefícios'!AD367/'Encargos e Benefícios'!C367)</f>
        <v>0</v>
      </c>
      <c r="AO368" s="188"/>
      <c r="AP368" s="298"/>
      <c r="AQ368" s="298"/>
      <c r="AR368" s="302"/>
      <c r="AS368" s="188"/>
    </row>
    <row r="369" spans="1:45" ht="13" hidden="1" thickBot="1">
      <c r="A369" s="286">
        <v>363</v>
      </c>
      <c r="B369" s="81">
        <f>'Encargos e Benefícios'!B368</f>
        <v>0</v>
      </c>
      <c r="C369" s="287">
        <f>'Encargos e Benefícios'!C368</f>
        <v>0</v>
      </c>
      <c r="D369" s="288"/>
      <c r="E369" s="300"/>
      <c r="F369" s="301"/>
      <c r="G369" s="293"/>
      <c r="H369" s="292"/>
      <c r="I369" s="256"/>
      <c r="J369" s="256"/>
      <c r="K369" s="256"/>
      <c r="L369" s="256"/>
      <c r="M369" s="293"/>
      <c r="N369" s="292"/>
      <c r="O369" s="256"/>
      <c r="P369" s="256"/>
      <c r="Q369" s="256"/>
      <c r="R369" s="256"/>
      <c r="S369" s="293"/>
      <c r="T369" s="294"/>
      <c r="U369" s="256"/>
      <c r="V369" s="256"/>
      <c r="W369" s="256"/>
      <c r="X369" s="256"/>
      <c r="Y369" s="293"/>
      <c r="Z369" s="294"/>
      <c r="AA369" s="256"/>
      <c r="AB369" s="256"/>
      <c r="AC369" s="256"/>
      <c r="AD369" s="256"/>
      <c r="AE369" s="293"/>
      <c r="AF369" s="294"/>
      <c r="AG369" s="256"/>
      <c r="AH369" s="256"/>
      <c r="AI369" s="256"/>
      <c r="AJ369" s="257"/>
      <c r="AK369" s="296">
        <f>'Encargos e Benefícios'!D368</f>
        <v>0</v>
      </c>
      <c r="AL369" s="296">
        <f>IF('Encargos e Benefícios'!C368=0,0,'Encargos e Benefícios'!U368/'Encargos e Benefícios'!C368)</f>
        <v>0</v>
      </c>
      <c r="AM369" s="296">
        <f>IF('Encargos e Benefícios'!C368=0,0,'Encargos e Benefícios'!AC368/'Encargos e Benefícios'!C368)</f>
        <v>0</v>
      </c>
      <c r="AN369" s="297">
        <f>IF('Encargos e Benefícios'!C368=0,0,'Encargos e Benefícios'!AD368/'Encargos e Benefícios'!C368)</f>
        <v>0</v>
      </c>
      <c r="AO369" s="188"/>
      <c r="AP369" s="298"/>
      <c r="AQ369" s="298"/>
      <c r="AR369" s="302"/>
      <c r="AS369" s="188"/>
    </row>
    <row r="370" spans="1:45" ht="13" hidden="1" thickBot="1">
      <c r="A370" s="286">
        <v>364</v>
      </c>
      <c r="B370" s="81">
        <f>'Encargos e Benefícios'!B369</f>
        <v>0</v>
      </c>
      <c r="C370" s="287">
        <f>'Encargos e Benefícios'!C369</f>
        <v>0</v>
      </c>
      <c r="D370" s="288"/>
      <c r="E370" s="300"/>
      <c r="F370" s="301"/>
      <c r="G370" s="293"/>
      <c r="H370" s="292"/>
      <c r="I370" s="256"/>
      <c r="J370" s="256"/>
      <c r="K370" s="256"/>
      <c r="L370" s="256"/>
      <c r="M370" s="293"/>
      <c r="N370" s="292"/>
      <c r="O370" s="256"/>
      <c r="P370" s="256"/>
      <c r="Q370" s="256"/>
      <c r="R370" s="256"/>
      <c r="S370" s="293"/>
      <c r="T370" s="294"/>
      <c r="U370" s="256"/>
      <c r="V370" s="256"/>
      <c r="W370" s="256"/>
      <c r="X370" s="256"/>
      <c r="Y370" s="293"/>
      <c r="Z370" s="294"/>
      <c r="AA370" s="256"/>
      <c r="AB370" s="256"/>
      <c r="AC370" s="256"/>
      <c r="AD370" s="256"/>
      <c r="AE370" s="293"/>
      <c r="AF370" s="294"/>
      <c r="AG370" s="256"/>
      <c r="AH370" s="256"/>
      <c r="AI370" s="256"/>
      <c r="AJ370" s="257"/>
      <c r="AK370" s="296">
        <f>'Encargos e Benefícios'!D369</f>
        <v>0</v>
      </c>
      <c r="AL370" s="296">
        <f>IF('Encargos e Benefícios'!C369=0,0,'Encargos e Benefícios'!U369/'Encargos e Benefícios'!C369)</f>
        <v>0</v>
      </c>
      <c r="AM370" s="296">
        <f>IF('Encargos e Benefícios'!C369=0,0,'Encargos e Benefícios'!AC369/'Encargos e Benefícios'!C369)</f>
        <v>0</v>
      </c>
      <c r="AN370" s="297">
        <f>IF('Encargos e Benefícios'!C369=0,0,'Encargos e Benefícios'!AD369/'Encargos e Benefícios'!C369)</f>
        <v>0</v>
      </c>
      <c r="AO370" s="188"/>
      <c r="AP370" s="298"/>
      <c r="AQ370" s="298"/>
      <c r="AR370" s="302"/>
      <c r="AS370" s="188"/>
    </row>
    <row r="371" spans="1:45" ht="13" hidden="1" thickBot="1">
      <c r="A371" s="286">
        <v>365</v>
      </c>
      <c r="B371" s="81">
        <f>'Encargos e Benefícios'!B370</f>
        <v>0</v>
      </c>
      <c r="C371" s="287">
        <f>'Encargos e Benefícios'!C370</f>
        <v>0</v>
      </c>
      <c r="D371" s="288"/>
      <c r="E371" s="300"/>
      <c r="F371" s="301"/>
      <c r="G371" s="293"/>
      <c r="H371" s="292"/>
      <c r="I371" s="256"/>
      <c r="J371" s="256"/>
      <c r="K371" s="256"/>
      <c r="L371" s="256"/>
      <c r="M371" s="293"/>
      <c r="N371" s="292"/>
      <c r="O371" s="256"/>
      <c r="P371" s="256"/>
      <c r="Q371" s="256"/>
      <c r="R371" s="256"/>
      <c r="S371" s="293"/>
      <c r="T371" s="294"/>
      <c r="U371" s="256"/>
      <c r="V371" s="256"/>
      <c r="W371" s="256"/>
      <c r="X371" s="256"/>
      <c r="Y371" s="293"/>
      <c r="Z371" s="294"/>
      <c r="AA371" s="256"/>
      <c r="AB371" s="256"/>
      <c r="AC371" s="256"/>
      <c r="AD371" s="256"/>
      <c r="AE371" s="293"/>
      <c r="AF371" s="294"/>
      <c r="AG371" s="256"/>
      <c r="AH371" s="256"/>
      <c r="AI371" s="256"/>
      <c r="AJ371" s="257"/>
      <c r="AK371" s="296">
        <f>'Encargos e Benefícios'!D370</f>
        <v>0</v>
      </c>
      <c r="AL371" s="296">
        <f>IF('Encargos e Benefícios'!C370=0,0,'Encargos e Benefícios'!U370/'Encargos e Benefícios'!C370)</f>
        <v>0</v>
      </c>
      <c r="AM371" s="296">
        <f>IF('Encargos e Benefícios'!C370=0,0,'Encargos e Benefícios'!AC370/'Encargos e Benefícios'!C370)</f>
        <v>0</v>
      </c>
      <c r="AN371" s="297">
        <f>IF('Encargos e Benefícios'!C370=0,0,'Encargos e Benefícios'!AD370/'Encargos e Benefícios'!C370)</f>
        <v>0</v>
      </c>
      <c r="AO371" s="188"/>
      <c r="AP371" s="298"/>
      <c r="AQ371" s="298"/>
      <c r="AR371" s="302"/>
      <c r="AS371" s="188"/>
    </row>
    <row r="372" spans="1:45" ht="13" hidden="1" thickBot="1">
      <c r="A372" s="286">
        <v>366</v>
      </c>
      <c r="B372" s="81">
        <f>'Encargos e Benefícios'!B371</f>
        <v>0</v>
      </c>
      <c r="C372" s="287">
        <f>'Encargos e Benefícios'!C371</f>
        <v>0</v>
      </c>
      <c r="D372" s="288"/>
      <c r="E372" s="300"/>
      <c r="F372" s="301"/>
      <c r="G372" s="293"/>
      <c r="H372" s="292"/>
      <c r="I372" s="256"/>
      <c r="J372" s="256"/>
      <c r="K372" s="256"/>
      <c r="L372" s="256"/>
      <c r="M372" s="293"/>
      <c r="N372" s="292"/>
      <c r="O372" s="256"/>
      <c r="P372" s="256"/>
      <c r="Q372" s="256"/>
      <c r="R372" s="256"/>
      <c r="S372" s="293"/>
      <c r="T372" s="294"/>
      <c r="U372" s="256"/>
      <c r="V372" s="256"/>
      <c r="W372" s="256"/>
      <c r="X372" s="256"/>
      <c r="Y372" s="293"/>
      <c r="Z372" s="294"/>
      <c r="AA372" s="256"/>
      <c r="AB372" s="256"/>
      <c r="AC372" s="256"/>
      <c r="AD372" s="256"/>
      <c r="AE372" s="293"/>
      <c r="AF372" s="294"/>
      <c r="AG372" s="256"/>
      <c r="AH372" s="256"/>
      <c r="AI372" s="256"/>
      <c r="AJ372" s="257"/>
      <c r="AK372" s="296">
        <f>'Encargos e Benefícios'!D371</f>
        <v>0</v>
      </c>
      <c r="AL372" s="296">
        <f>IF('Encargos e Benefícios'!C371=0,0,'Encargos e Benefícios'!U371/'Encargos e Benefícios'!C371)</f>
        <v>0</v>
      </c>
      <c r="AM372" s="296">
        <f>IF('Encargos e Benefícios'!C371=0,0,'Encargos e Benefícios'!AC371/'Encargos e Benefícios'!C371)</f>
        <v>0</v>
      </c>
      <c r="AN372" s="297">
        <f>IF('Encargos e Benefícios'!C371=0,0,'Encargos e Benefícios'!AD371/'Encargos e Benefícios'!C371)</f>
        <v>0</v>
      </c>
      <c r="AO372" s="188"/>
      <c r="AP372" s="298"/>
      <c r="AQ372" s="298"/>
      <c r="AR372" s="302"/>
      <c r="AS372" s="188"/>
    </row>
    <row r="373" spans="1:45" ht="13" hidden="1" thickBot="1">
      <c r="A373" s="286">
        <v>367</v>
      </c>
      <c r="B373" s="81">
        <f>'Encargos e Benefícios'!B372</f>
        <v>0</v>
      </c>
      <c r="C373" s="287">
        <f>'Encargos e Benefícios'!C372</f>
        <v>0</v>
      </c>
      <c r="D373" s="288"/>
      <c r="E373" s="300"/>
      <c r="F373" s="301"/>
      <c r="G373" s="293"/>
      <c r="H373" s="292"/>
      <c r="I373" s="256"/>
      <c r="J373" s="256"/>
      <c r="K373" s="256"/>
      <c r="L373" s="256"/>
      <c r="M373" s="293"/>
      <c r="N373" s="292"/>
      <c r="O373" s="256"/>
      <c r="P373" s="256"/>
      <c r="Q373" s="256"/>
      <c r="R373" s="256"/>
      <c r="S373" s="293"/>
      <c r="T373" s="294"/>
      <c r="U373" s="256"/>
      <c r="V373" s="256"/>
      <c r="W373" s="256"/>
      <c r="X373" s="256"/>
      <c r="Y373" s="293"/>
      <c r="Z373" s="294"/>
      <c r="AA373" s="256"/>
      <c r="AB373" s="256"/>
      <c r="AC373" s="256"/>
      <c r="AD373" s="256"/>
      <c r="AE373" s="293"/>
      <c r="AF373" s="294"/>
      <c r="AG373" s="256"/>
      <c r="AH373" s="256"/>
      <c r="AI373" s="256"/>
      <c r="AJ373" s="257"/>
      <c r="AK373" s="296">
        <f>'Encargos e Benefícios'!D372</f>
        <v>0</v>
      </c>
      <c r="AL373" s="296">
        <f>IF('Encargos e Benefícios'!C372=0,0,'Encargos e Benefícios'!U372/'Encargos e Benefícios'!C372)</f>
        <v>0</v>
      </c>
      <c r="AM373" s="296">
        <f>IF('Encargos e Benefícios'!C372=0,0,'Encargos e Benefícios'!AC372/'Encargos e Benefícios'!C372)</f>
        <v>0</v>
      </c>
      <c r="AN373" s="297">
        <f>IF('Encargos e Benefícios'!C372=0,0,'Encargos e Benefícios'!AD372/'Encargos e Benefícios'!C372)</f>
        <v>0</v>
      </c>
      <c r="AO373" s="188"/>
      <c r="AP373" s="298"/>
      <c r="AQ373" s="298"/>
      <c r="AR373" s="302"/>
      <c r="AS373" s="188"/>
    </row>
    <row r="374" spans="1:45" ht="13" hidden="1" thickBot="1">
      <c r="A374" s="286">
        <v>368</v>
      </c>
      <c r="B374" s="81">
        <f>'Encargos e Benefícios'!B373</f>
        <v>0</v>
      </c>
      <c r="C374" s="287">
        <f>'Encargos e Benefícios'!C373</f>
        <v>0</v>
      </c>
      <c r="D374" s="288"/>
      <c r="E374" s="300"/>
      <c r="F374" s="301"/>
      <c r="G374" s="293"/>
      <c r="H374" s="292"/>
      <c r="I374" s="256"/>
      <c r="J374" s="256"/>
      <c r="K374" s="256"/>
      <c r="L374" s="256"/>
      <c r="M374" s="293"/>
      <c r="N374" s="292"/>
      <c r="O374" s="256"/>
      <c r="P374" s="256"/>
      <c r="Q374" s="256"/>
      <c r="R374" s="256"/>
      <c r="S374" s="293"/>
      <c r="T374" s="294"/>
      <c r="U374" s="256"/>
      <c r="V374" s="256"/>
      <c r="W374" s="256"/>
      <c r="X374" s="256"/>
      <c r="Y374" s="293"/>
      <c r="Z374" s="294"/>
      <c r="AA374" s="256"/>
      <c r="AB374" s="256"/>
      <c r="AC374" s="256"/>
      <c r="AD374" s="256"/>
      <c r="AE374" s="293"/>
      <c r="AF374" s="294"/>
      <c r="AG374" s="256"/>
      <c r="AH374" s="256"/>
      <c r="AI374" s="256"/>
      <c r="AJ374" s="257"/>
      <c r="AK374" s="296">
        <f>'Encargos e Benefícios'!D373</f>
        <v>0</v>
      </c>
      <c r="AL374" s="296">
        <f>IF('Encargos e Benefícios'!C373=0,0,'Encargos e Benefícios'!U373/'Encargos e Benefícios'!C373)</f>
        <v>0</v>
      </c>
      <c r="AM374" s="296">
        <f>IF('Encargos e Benefícios'!C373=0,0,'Encargos e Benefícios'!AC373/'Encargos e Benefícios'!C373)</f>
        <v>0</v>
      </c>
      <c r="AN374" s="297">
        <f>IF('Encargos e Benefícios'!C373=0,0,'Encargos e Benefícios'!AD373/'Encargos e Benefícios'!C373)</f>
        <v>0</v>
      </c>
      <c r="AO374" s="188"/>
      <c r="AP374" s="298"/>
      <c r="AQ374" s="298"/>
      <c r="AR374" s="302"/>
      <c r="AS374" s="188"/>
    </row>
    <row r="375" spans="1:45" ht="13" hidden="1" thickBot="1">
      <c r="A375" s="286">
        <v>369</v>
      </c>
      <c r="B375" s="81">
        <f>'Encargos e Benefícios'!B374</f>
        <v>0</v>
      </c>
      <c r="C375" s="287">
        <f>'Encargos e Benefícios'!C374</f>
        <v>0</v>
      </c>
      <c r="D375" s="288"/>
      <c r="E375" s="300"/>
      <c r="F375" s="301"/>
      <c r="G375" s="293"/>
      <c r="H375" s="292"/>
      <c r="I375" s="256"/>
      <c r="J375" s="256"/>
      <c r="K375" s="256"/>
      <c r="L375" s="256"/>
      <c r="M375" s="293"/>
      <c r="N375" s="292"/>
      <c r="O375" s="256"/>
      <c r="P375" s="256"/>
      <c r="Q375" s="256"/>
      <c r="R375" s="256"/>
      <c r="S375" s="293"/>
      <c r="T375" s="294"/>
      <c r="U375" s="256"/>
      <c r="V375" s="256"/>
      <c r="W375" s="256"/>
      <c r="X375" s="256"/>
      <c r="Y375" s="293"/>
      <c r="Z375" s="294"/>
      <c r="AA375" s="256"/>
      <c r="AB375" s="256"/>
      <c r="AC375" s="256"/>
      <c r="AD375" s="256"/>
      <c r="AE375" s="293"/>
      <c r="AF375" s="294"/>
      <c r="AG375" s="256"/>
      <c r="AH375" s="256"/>
      <c r="AI375" s="256"/>
      <c r="AJ375" s="257"/>
      <c r="AK375" s="296">
        <f>'Encargos e Benefícios'!D374</f>
        <v>0</v>
      </c>
      <c r="AL375" s="296">
        <f>IF('Encargos e Benefícios'!C374=0,0,'Encargos e Benefícios'!U374/'Encargos e Benefícios'!C374)</f>
        <v>0</v>
      </c>
      <c r="AM375" s="296">
        <f>IF('Encargos e Benefícios'!C374=0,0,'Encargos e Benefícios'!AC374/'Encargos e Benefícios'!C374)</f>
        <v>0</v>
      </c>
      <c r="AN375" s="297">
        <f>IF('Encargos e Benefícios'!C374=0,0,'Encargos e Benefícios'!AD374/'Encargos e Benefícios'!C374)</f>
        <v>0</v>
      </c>
      <c r="AO375" s="188"/>
      <c r="AP375" s="298"/>
      <c r="AQ375" s="298"/>
      <c r="AR375" s="302"/>
      <c r="AS375" s="188"/>
    </row>
    <row r="376" spans="1:45" ht="13" hidden="1" thickBot="1">
      <c r="A376" s="286">
        <v>370</v>
      </c>
      <c r="B376" s="81">
        <f>'Encargos e Benefícios'!B375</f>
        <v>0</v>
      </c>
      <c r="C376" s="287">
        <f>'Encargos e Benefícios'!C375</f>
        <v>0</v>
      </c>
      <c r="D376" s="288"/>
      <c r="E376" s="300"/>
      <c r="F376" s="301"/>
      <c r="G376" s="293"/>
      <c r="H376" s="292"/>
      <c r="I376" s="256"/>
      <c r="J376" s="256"/>
      <c r="K376" s="256"/>
      <c r="L376" s="256"/>
      <c r="M376" s="293"/>
      <c r="N376" s="292"/>
      <c r="O376" s="256"/>
      <c r="P376" s="256"/>
      <c r="Q376" s="256"/>
      <c r="R376" s="256"/>
      <c r="S376" s="293"/>
      <c r="T376" s="294"/>
      <c r="U376" s="256"/>
      <c r="V376" s="256"/>
      <c r="W376" s="256"/>
      <c r="X376" s="256"/>
      <c r="Y376" s="293"/>
      <c r="Z376" s="294"/>
      <c r="AA376" s="256"/>
      <c r="AB376" s="256"/>
      <c r="AC376" s="256"/>
      <c r="AD376" s="256"/>
      <c r="AE376" s="293"/>
      <c r="AF376" s="294"/>
      <c r="AG376" s="256"/>
      <c r="AH376" s="256"/>
      <c r="AI376" s="256"/>
      <c r="AJ376" s="257"/>
      <c r="AK376" s="296">
        <f>'Encargos e Benefícios'!D375</f>
        <v>0</v>
      </c>
      <c r="AL376" s="296">
        <f>IF('Encargos e Benefícios'!C375=0,0,'Encargos e Benefícios'!U375/'Encargos e Benefícios'!C375)</f>
        <v>0</v>
      </c>
      <c r="AM376" s="296">
        <f>IF('Encargos e Benefícios'!C375=0,0,'Encargos e Benefícios'!AC375/'Encargos e Benefícios'!C375)</f>
        <v>0</v>
      </c>
      <c r="AN376" s="297">
        <f>IF('Encargos e Benefícios'!C375=0,0,'Encargos e Benefícios'!AD375/'Encargos e Benefícios'!C375)</f>
        <v>0</v>
      </c>
      <c r="AO376" s="188"/>
      <c r="AP376" s="298"/>
      <c r="AQ376" s="298"/>
      <c r="AR376" s="302"/>
      <c r="AS376" s="188"/>
    </row>
    <row r="377" spans="1:45" ht="13" hidden="1" thickBot="1">
      <c r="A377" s="286">
        <v>371</v>
      </c>
      <c r="B377" s="81">
        <f>'Encargos e Benefícios'!B376</f>
        <v>0</v>
      </c>
      <c r="C377" s="287">
        <f>'Encargos e Benefícios'!C376</f>
        <v>0</v>
      </c>
      <c r="D377" s="288"/>
      <c r="E377" s="300"/>
      <c r="F377" s="301"/>
      <c r="G377" s="293"/>
      <c r="H377" s="292"/>
      <c r="I377" s="256"/>
      <c r="J377" s="256"/>
      <c r="K377" s="256"/>
      <c r="L377" s="256"/>
      <c r="M377" s="293"/>
      <c r="N377" s="292"/>
      <c r="O377" s="256"/>
      <c r="P377" s="256"/>
      <c r="Q377" s="256"/>
      <c r="R377" s="256"/>
      <c r="S377" s="293"/>
      <c r="T377" s="294"/>
      <c r="U377" s="256"/>
      <c r="V377" s="256"/>
      <c r="W377" s="256"/>
      <c r="X377" s="256"/>
      <c r="Y377" s="293"/>
      <c r="Z377" s="294"/>
      <c r="AA377" s="256"/>
      <c r="AB377" s="256"/>
      <c r="AC377" s="256"/>
      <c r="AD377" s="256"/>
      <c r="AE377" s="293"/>
      <c r="AF377" s="294"/>
      <c r="AG377" s="256"/>
      <c r="AH377" s="256"/>
      <c r="AI377" s="256"/>
      <c r="AJ377" s="257"/>
      <c r="AK377" s="296">
        <f>'Encargos e Benefícios'!D376</f>
        <v>0</v>
      </c>
      <c r="AL377" s="296">
        <f>IF('Encargos e Benefícios'!C376=0,0,'Encargos e Benefícios'!U376/'Encargos e Benefícios'!C376)</f>
        <v>0</v>
      </c>
      <c r="AM377" s="296">
        <f>IF('Encargos e Benefícios'!C376=0,0,'Encargos e Benefícios'!AC376/'Encargos e Benefícios'!C376)</f>
        <v>0</v>
      </c>
      <c r="AN377" s="297">
        <f>IF('Encargos e Benefícios'!C376=0,0,'Encargos e Benefícios'!AD376/'Encargos e Benefícios'!C376)</f>
        <v>0</v>
      </c>
      <c r="AO377" s="188"/>
      <c r="AP377" s="298"/>
      <c r="AQ377" s="298"/>
      <c r="AR377" s="302"/>
      <c r="AS377" s="188"/>
    </row>
    <row r="378" spans="1:45" ht="13" hidden="1" thickBot="1">
      <c r="A378" s="286">
        <v>372</v>
      </c>
      <c r="B378" s="81">
        <f>'Encargos e Benefícios'!B377</f>
        <v>0</v>
      </c>
      <c r="C378" s="287">
        <f>'Encargos e Benefícios'!C377</f>
        <v>0</v>
      </c>
      <c r="D378" s="288"/>
      <c r="E378" s="300"/>
      <c r="F378" s="301"/>
      <c r="G378" s="293"/>
      <c r="H378" s="292"/>
      <c r="I378" s="256"/>
      <c r="J378" s="256"/>
      <c r="K378" s="256"/>
      <c r="L378" s="256"/>
      <c r="M378" s="293"/>
      <c r="N378" s="292"/>
      <c r="O378" s="256"/>
      <c r="P378" s="256"/>
      <c r="Q378" s="256"/>
      <c r="R378" s="256"/>
      <c r="S378" s="293"/>
      <c r="T378" s="294"/>
      <c r="U378" s="256"/>
      <c r="V378" s="256"/>
      <c r="W378" s="256"/>
      <c r="X378" s="256"/>
      <c r="Y378" s="293"/>
      <c r="Z378" s="294"/>
      <c r="AA378" s="256"/>
      <c r="AB378" s="256"/>
      <c r="AC378" s="256"/>
      <c r="AD378" s="256"/>
      <c r="AE378" s="293"/>
      <c r="AF378" s="294"/>
      <c r="AG378" s="256"/>
      <c r="AH378" s="256"/>
      <c r="AI378" s="256"/>
      <c r="AJ378" s="257"/>
      <c r="AK378" s="296">
        <f>'Encargos e Benefícios'!D377</f>
        <v>0</v>
      </c>
      <c r="AL378" s="296">
        <f>IF('Encargos e Benefícios'!C377=0,0,'Encargos e Benefícios'!U377/'Encargos e Benefícios'!C377)</f>
        <v>0</v>
      </c>
      <c r="AM378" s="296">
        <f>IF('Encargos e Benefícios'!C377=0,0,'Encargos e Benefícios'!AC377/'Encargos e Benefícios'!C377)</f>
        <v>0</v>
      </c>
      <c r="AN378" s="297">
        <f>IF('Encargos e Benefícios'!C377=0,0,'Encargos e Benefícios'!AD377/'Encargos e Benefícios'!C377)</f>
        <v>0</v>
      </c>
      <c r="AO378" s="188"/>
      <c r="AP378" s="298"/>
      <c r="AQ378" s="298"/>
      <c r="AR378" s="302"/>
      <c r="AS378" s="188"/>
    </row>
    <row r="379" spans="1:45" ht="13" hidden="1" thickBot="1">
      <c r="A379" s="286">
        <v>373</v>
      </c>
      <c r="B379" s="81">
        <f>'Encargos e Benefícios'!B378</f>
        <v>0</v>
      </c>
      <c r="C379" s="287">
        <f>'Encargos e Benefícios'!C378</f>
        <v>0</v>
      </c>
      <c r="D379" s="288"/>
      <c r="E379" s="300"/>
      <c r="F379" s="301"/>
      <c r="G379" s="293"/>
      <c r="H379" s="292"/>
      <c r="I379" s="256"/>
      <c r="J379" s="256"/>
      <c r="K379" s="256"/>
      <c r="L379" s="256"/>
      <c r="M379" s="293"/>
      <c r="N379" s="292"/>
      <c r="O379" s="256"/>
      <c r="P379" s="256"/>
      <c r="Q379" s="256"/>
      <c r="R379" s="256"/>
      <c r="S379" s="293"/>
      <c r="T379" s="294"/>
      <c r="U379" s="256"/>
      <c r="V379" s="256"/>
      <c r="W379" s="256"/>
      <c r="X379" s="256"/>
      <c r="Y379" s="293"/>
      <c r="Z379" s="294"/>
      <c r="AA379" s="256"/>
      <c r="AB379" s="256"/>
      <c r="AC379" s="256"/>
      <c r="AD379" s="256"/>
      <c r="AE379" s="293"/>
      <c r="AF379" s="294"/>
      <c r="AG379" s="256"/>
      <c r="AH379" s="256"/>
      <c r="AI379" s="256"/>
      <c r="AJ379" s="257"/>
      <c r="AK379" s="296">
        <f>'Encargos e Benefícios'!D378</f>
        <v>0</v>
      </c>
      <c r="AL379" s="296">
        <f>IF('Encargos e Benefícios'!C378=0,0,'Encargos e Benefícios'!U378/'Encargos e Benefícios'!C378)</f>
        <v>0</v>
      </c>
      <c r="AM379" s="296">
        <f>IF('Encargos e Benefícios'!C378=0,0,'Encargos e Benefícios'!AC378/'Encargos e Benefícios'!C378)</f>
        <v>0</v>
      </c>
      <c r="AN379" s="297">
        <f>IF('Encargos e Benefícios'!C378=0,0,'Encargos e Benefícios'!AD378/'Encargos e Benefícios'!C378)</f>
        <v>0</v>
      </c>
      <c r="AO379" s="188"/>
      <c r="AP379" s="298"/>
      <c r="AQ379" s="298"/>
      <c r="AR379" s="302"/>
      <c r="AS379" s="188"/>
    </row>
    <row r="380" spans="1:45" ht="13" hidden="1" thickBot="1">
      <c r="A380" s="286">
        <v>374</v>
      </c>
      <c r="B380" s="81">
        <f>'Encargos e Benefícios'!B379</f>
        <v>0</v>
      </c>
      <c r="C380" s="287">
        <f>'Encargos e Benefícios'!C379</f>
        <v>0</v>
      </c>
      <c r="D380" s="288"/>
      <c r="E380" s="300"/>
      <c r="F380" s="301"/>
      <c r="G380" s="293"/>
      <c r="H380" s="292"/>
      <c r="I380" s="256"/>
      <c r="J380" s="256"/>
      <c r="K380" s="256"/>
      <c r="L380" s="256"/>
      <c r="M380" s="293"/>
      <c r="N380" s="292"/>
      <c r="O380" s="256"/>
      <c r="P380" s="256"/>
      <c r="Q380" s="256"/>
      <c r="R380" s="256"/>
      <c r="S380" s="293"/>
      <c r="T380" s="294"/>
      <c r="U380" s="256"/>
      <c r="V380" s="256"/>
      <c r="W380" s="256"/>
      <c r="X380" s="256"/>
      <c r="Y380" s="293"/>
      <c r="Z380" s="294"/>
      <c r="AA380" s="256"/>
      <c r="AB380" s="256"/>
      <c r="AC380" s="256"/>
      <c r="AD380" s="256"/>
      <c r="AE380" s="293"/>
      <c r="AF380" s="294"/>
      <c r="AG380" s="256"/>
      <c r="AH380" s="256"/>
      <c r="AI380" s="256"/>
      <c r="AJ380" s="257"/>
      <c r="AK380" s="296">
        <f>'Encargos e Benefícios'!D379</f>
        <v>0</v>
      </c>
      <c r="AL380" s="296">
        <f>IF('Encargos e Benefícios'!C379=0,0,'Encargos e Benefícios'!U379/'Encargos e Benefícios'!C379)</f>
        <v>0</v>
      </c>
      <c r="AM380" s="296">
        <f>IF('Encargos e Benefícios'!C379=0,0,'Encargos e Benefícios'!AC379/'Encargos e Benefícios'!C379)</f>
        <v>0</v>
      </c>
      <c r="AN380" s="297">
        <f>IF('Encargos e Benefícios'!C379=0,0,'Encargos e Benefícios'!AD379/'Encargos e Benefícios'!C379)</f>
        <v>0</v>
      </c>
      <c r="AO380" s="188"/>
      <c r="AP380" s="298"/>
      <c r="AQ380" s="298"/>
      <c r="AR380" s="302"/>
      <c r="AS380" s="188"/>
    </row>
    <row r="381" spans="1:45" ht="13" hidden="1" thickBot="1">
      <c r="A381" s="286">
        <v>375</v>
      </c>
      <c r="B381" s="81">
        <f>'Encargos e Benefícios'!B380</f>
        <v>0</v>
      </c>
      <c r="C381" s="287">
        <f>'Encargos e Benefícios'!C380</f>
        <v>0</v>
      </c>
      <c r="D381" s="288"/>
      <c r="E381" s="300"/>
      <c r="F381" s="301"/>
      <c r="G381" s="293"/>
      <c r="H381" s="292"/>
      <c r="I381" s="256"/>
      <c r="J381" s="256"/>
      <c r="K381" s="256"/>
      <c r="L381" s="256"/>
      <c r="M381" s="293"/>
      <c r="N381" s="292"/>
      <c r="O381" s="256"/>
      <c r="P381" s="256"/>
      <c r="Q381" s="256"/>
      <c r="R381" s="256"/>
      <c r="S381" s="293"/>
      <c r="T381" s="294"/>
      <c r="U381" s="256"/>
      <c r="V381" s="256"/>
      <c r="W381" s="256"/>
      <c r="X381" s="256"/>
      <c r="Y381" s="293"/>
      <c r="Z381" s="294"/>
      <c r="AA381" s="256"/>
      <c r="AB381" s="256"/>
      <c r="AC381" s="256"/>
      <c r="AD381" s="256"/>
      <c r="AE381" s="293"/>
      <c r="AF381" s="294"/>
      <c r="AG381" s="256"/>
      <c r="AH381" s="256"/>
      <c r="AI381" s="256"/>
      <c r="AJ381" s="257"/>
      <c r="AK381" s="296">
        <f>'Encargos e Benefícios'!D380</f>
        <v>0</v>
      </c>
      <c r="AL381" s="296">
        <f>IF('Encargos e Benefícios'!C380=0,0,'Encargos e Benefícios'!U380/'Encargos e Benefícios'!C380)</f>
        <v>0</v>
      </c>
      <c r="AM381" s="296">
        <f>IF('Encargos e Benefícios'!C380=0,0,'Encargos e Benefícios'!AC380/'Encargos e Benefícios'!C380)</f>
        <v>0</v>
      </c>
      <c r="AN381" s="297">
        <f>IF('Encargos e Benefícios'!C380=0,0,'Encargos e Benefícios'!AD380/'Encargos e Benefícios'!C380)</f>
        <v>0</v>
      </c>
      <c r="AO381" s="188"/>
      <c r="AP381" s="298"/>
      <c r="AQ381" s="298"/>
      <c r="AR381" s="302"/>
      <c r="AS381" s="188"/>
    </row>
    <row r="382" spans="1:45" ht="13" hidden="1" thickBot="1">
      <c r="A382" s="286">
        <v>376</v>
      </c>
      <c r="B382" s="81">
        <f>'Encargos e Benefícios'!B381</f>
        <v>0</v>
      </c>
      <c r="C382" s="287">
        <f>'Encargos e Benefícios'!C381</f>
        <v>0</v>
      </c>
      <c r="D382" s="288"/>
      <c r="E382" s="300"/>
      <c r="F382" s="301"/>
      <c r="G382" s="293"/>
      <c r="H382" s="292"/>
      <c r="I382" s="256"/>
      <c r="J382" s="256"/>
      <c r="K382" s="256"/>
      <c r="L382" s="256"/>
      <c r="M382" s="293"/>
      <c r="N382" s="292"/>
      <c r="O382" s="256"/>
      <c r="P382" s="256"/>
      <c r="Q382" s="256"/>
      <c r="R382" s="256"/>
      <c r="S382" s="293"/>
      <c r="T382" s="294"/>
      <c r="U382" s="256"/>
      <c r="V382" s="256"/>
      <c r="W382" s="256"/>
      <c r="X382" s="256"/>
      <c r="Y382" s="293"/>
      <c r="Z382" s="294"/>
      <c r="AA382" s="256"/>
      <c r="AB382" s="256"/>
      <c r="AC382" s="256"/>
      <c r="AD382" s="256"/>
      <c r="AE382" s="293"/>
      <c r="AF382" s="294"/>
      <c r="AG382" s="256"/>
      <c r="AH382" s="256"/>
      <c r="AI382" s="256"/>
      <c r="AJ382" s="257"/>
      <c r="AK382" s="296">
        <f>'Encargos e Benefícios'!D381</f>
        <v>0</v>
      </c>
      <c r="AL382" s="296">
        <f>IF('Encargos e Benefícios'!C381=0,0,'Encargos e Benefícios'!U381/'Encargos e Benefícios'!C381)</f>
        <v>0</v>
      </c>
      <c r="AM382" s="296">
        <f>IF('Encargos e Benefícios'!C381=0,0,'Encargos e Benefícios'!AC381/'Encargos e Benefícios'!C381)</f>
        <v>0</v>
      </c>
      <c r="AN382" s="297">
        <f>IF('Encargos e Benefícios'!C381=0,0,'Encargos e Benefícios'!AD381/'Encargos e Benefícios'!C381)</f>
        <v>0</v>
      </c>
      <c r="AO382" s="188"/>
      <c r="AP382" s="298"/>
      <c r="AQ382" s="298"/>
      <c r="AR382" s="302"/>
      <c r="AS382" s="188"/>
    </row>
    <row r="383" spans="1:45" ht="13" hidden="1" thickBot="1">
      <c r="A383" s="286">
        <v>377</v>
      </c>
      <c r="B383" s="81">
        <f>'Encargos e Benefícios'!B382</f>
        <v>0</v>
      </c>
      <c r="C383" s="287">
        <f>'Encargos e Benefícios'!C382</f>
        <v>0</v>
      </c>
      <c r="D383" s="288"/>
      <c r="E383" s="300"/>
      <c r="F383" s="301"/>
      <c r="G383" s="293"/>
      <c r="H383" s="292"/>
      <c r="I383" s="256"/>
      <c r="J383" s="256"/>
      <c r="K383" s="256"/>
      <c r="L383" s="256"/>
      <c r="M383" s="293"/>
      <c r="N383" s="292"/>
      <c r="O383" s="256"/>
      <c r="P383" s="256"/>
      <c r="Q383" s="256"/>
      <c r="R383" s="256"/>
      <c r="S383" s="293"/>
      <c r="T383" s="294"/>
      <c r="U383" s="256"/>
      <c r="V383" s="256"/>
      <c r="W383" s="256"/>
      <c r="X383" s="256"/>
      <c r="Y383" s="293"/>
      <c r="Z383" s="294"/>
      <c r="AA383" s="256"/>
      <c r="AB383" s="256"/>
      <c r="AC383" s="256"/>
      <c r="AD383" s="256"/>
      <c r="AE383" s="293"/>
      <c r="AF383" s="294"/>
      <c r="AG383" s="256"/>
      <c r="AH383" s="256"/>
      <c r="AI383" s="256"/>
      <c r="AJ383" s="257"/>
      <c r="AK383" s="296">
        <f>'Encargos e Benefícios'!D382</f>
        <v>0</v>
      </c>
      <c r="AL383" s="296">
        <f>IF('Encargos e Benefícios'!C382=0,0,'Encargos e Benefícios'!U382/'Encargos e Benefícios'!C382)</f>
        <v>0</v>
      </c>
      <c r="AM383" s="296">
        <f>IF('Encargos e Benefícios'!C382=0,0,'Encargos e Benefícios'!AC382/'Encargos e Benefícios'!C382)</f>
        <v>0</v>
      </c>
      <c r="AN383" s="297">
        <f>IF('Encargos e Benefícios'!C382=0,0,'Encargos e Benefícios'!AD382/'Encargos e Benefícios'!C382)</f>
        <v>0</v>
      </c>
      <c r="AO383" s="188"/>
      <c r="AP383" s="298"/>
      <c r="AQ383" s="298"/>
      <c r="AR383" s="302"/>
      <c r="AS383" s="188"/>
    </row>
    <row r="384" spans="1:45" ht="13" hidden="1" thickBot="1">
      <c r="A384" s="286">
        <v>378</v>
      </c>
      <c r="B384" s="81">
        <f>'Encargos e Benefícios'!B383</f>
        <v>0</v>
      </c>
      <c r="C384" s="287">
        <f>'Encargos e Benefícios'!C383</f>
        <v>0</v>
      </c>
      <c r="D384" s="288"/>
      <c r="E384" s="300"/>
      <c r="F384" s="301"/>
      <c r="G384" s="293"/>
      <c r="H384" s="292"/>
      <c r="I384" s="256"/>
      <c r="J384" s="256"/>
      <c r="K384" s="256"/>
      <c r="L384" s="256"/>
      <c r="M384" s="293"/>
      <c r="N384" s="292"/>
      <c r="O384" s="256"/>
      <c r="P384" s="256"/>
      <c r="Q384" s="256"/>
      <c r="R384" s="256"/>
      <c r="S384" s="293"/>
      <c r="T384" s="294"/>
      <c r="U384" s="256"/>
      <c r="V384" s="256"/>
      <c r="W384" s="256"/>
      <c r="X384" s="256"/>
      <c r="Y384" s="293"/>
      <c r="Z384" s="294"/>
      <c r="AA384" s="256"/>
      <c r="AB384" s="256"/>
      <c r="AC384" s="256"/>
      <c r="AD384" s="256"/>
      <c r="AE384" s="293"/>
      <c r="AF384" s="294"/>
      <c r="AG384" s="256"/>
      <c r="AH384" s="256"/>
      <c r="AI384" s="256"/>
      <c r="AJ384" s="257"/>
      <c r="AK384" s="296">
        <f>'Encargos e Benefícios'!D383</f>
        <v>0</v>
      </c>
      <c r="AL384" s="296">
        <f>IF('Encargos e Benefícios'!C383=0,0,'Encargos e Benefícios'!U383/'Encargos e Benefícios'!C383)</f>
        <v>0</v>
      </c>
      <c r="AM384" s="296">
        <f>IF('Encargos e Benefícios'!C383=0,0,'Encargos e Benefícios'!AC383/'Encargos e Benefícios'!C383)</f>
        <v>0</v>
      </c>
      <c r="AN384" s="297">
        <f>IF('Encargos e Benefícios'!C383=0,0,'Encargos e Benefícios'!AD383/'Encargos e Benefícios'!C383)</f>
        <v>0</v>
      </c>
      <c r="AO384" s="188"/>
      <c r="AP384" s="298"/>
      <c r="AQ384" s="298"/>
      <c r="AR384" s="302"/>
      <c r="AS384" s="188"/>
    </row>
    <row r="385" spans="1:45" ht="13" hidden="1" thickBot="1">
      <c r="A385" s="286">
        <v>379</v>
      </c>
      <c r="B385" s="81">
        <f>'Encargos e Benefícios'!B384</f>
        <v>0</v>
      </c>
      <c r="C385" s="287">
        <f>'Encargos e Benefícios'!C384</f>
        <v>0</v>
      </c>
      <c r="D385" s="288"/>
      <c r="E385" s="300"/>
      <c r="F385" s="301"/>
      <c r="G385" s="293"/>
      <c r="H385" s="292"/>
      <c r="I385" s="256"/>
      <c r="J385" s="256"/>
      <c r="K385" s="256"/>
      <c r="L385" s="256"/>
      <c r="M385" s="293"/>
      <c r="N385" s="292"/>
      <c r="O385" s="256"/>
      <c r="P385" s="256"/>
      <c r="Q385" s="256"/>
      <c r="R385" s="256"/>
      <c r="S385" s="293"/>
      <c r="T385" s="294"/>
      <c r="U385" s="256"/>
      <c r="V385" s="256"/>
      <c r="W385" s="256"/>
      <c r="X385" s="256"/>
      <c r="Y385" s="293"/>
      <c r="Z385" s="294"/>
      <c r="AA385" s="256"/>
      <c r="AB385" s="256"/>
      <c r="AC385" s="256"/>
      <c r="AD385" s="256"/>
      <c r="AE385" s="293"/>
      <c r="AF385" s="294"/>
      <c r="AG385" s="256"/>
      <c r="AH385" s="256"/>
      <c r="AI385" s="256"/>
      <c r="AJ385" s="257"/>
      <c r="AK385" s="296">
        <f>'Encargos e Benefícios'!D384</f>
        <v>0</v>
      </c>
      <c r="AL385" s="296">
        <f>IF('Encargos e Benefícios'!C384=0,0,'Encargos e Benefícios'!U384/'Encargos e Benefícios'!C384)</f>
        <v>0</v>
      </c>
      <c r="AM385" s="296">
        <f>IF('Encargos e Benefícios'!C384=0,0,'Encargos e Benefícios'!AC384/'Encargos e Benefícios'!C384)</f>
        <v>0</v>
      </c>
      <c r="AN385" s="297">
        <f>IF('Encargos e Benefícios'!C384=0,0,'Encargos e Benefícios'!AD384/'Encargos e Benefícios'!C384)</f>
        <v>0</v>
      </c>
      <c r="AO385" s="188"/>
      <c r="AP385" s="298"/>
      <c r="AQ385" s="298"/>
      <c r="AR385" s="302"/>
      <c r="AS385" s="188"/>
    </row>
    <row r="386" spans="1:45" ht="13" hidden="1" thickBot="1">
      <c r="A386" s="286">
        <v>380</v>
      </c>
      <c r="B386" s="81">
        <f>'Encargos e Benefícios'!B385</f>
        <v>0</v>
      </c>
      <c r="C386" s="287">
        <f>'Encargos e Benefícios'!C385</f>
        <v>0</v>
      </c>
      <c r="D386" s="288"/>
      <c r="E386" s="300"/>
      <c r="F386" s="301"/>
      <c r="G386" s="293"/>
      <c r="H386" s="292"/>
      <c r="I386" s="256"/>
      <c r="J386" s="256"/>
      <c r="K386" s="256"/>
      <c r="L386" s="256"/>
      <c r="M386" s="293"/>
      <c r="N386" s="292"/>
      <c r="O386" s="256"/>
      <c r="P386" s="256"/>
      <c r="Q386" s="256"/>
      <c r="R386" s="256"/>
      <c r="S386" s="293"/>
      <c r="T386" s="294"/>
      <c r="U386" s="256"/>
      <c r="V386" s="256"/>
      <c r="W386" s="256"/>
      <c r="X386" s="256"/>
      <c r="Y386" s="293"/>
      <c r="Z386" s="294"/>
      <c r="AA386" s="256"/>
      <c r="AB386" s="256"/>
      <c r="AC386" s="256"/>
      <c r="AD386" s="256"/>
      <c r="AE386" s="293"/>
      <c r="AF386" s="294"/>
      <c r="AG386" s="256"/>
      <c r="AH386" s="256"/>
      <c r="AI386" s="256"/>
      <c r="AJ386" s="257"/>
      <c r="AK386" s="296">
        <f>'Encargos e Benefícios'!D385</f>
        <v>0</v>
      </c>
      <c r="AL386" s="296">
        <f>IF('Encargos e Benefícios'!C385=0,0,'Encargos e Benefícios'!U385/'Encargos e Benefícios'!C385)</f>
        <v>0</v>
      </c>
      <c r="AM386" s="296">
        <f>IF('Encargos e Benefícios'!C385=0,0,'Encargos e Benefícios'!AC385/'Encargos e Benefícios'!C385)</f>
        <v>0</v>
      </c>
      <c r="AN386" s="297">
        <f>IF('Encargos e Benefícios'!C385=0,0,'Encargos e Benefícios'!AD385/'Encargos e Benefícios'!C385)</f>
        <v>0</v>
      </c>
      <c r="AO386" s="188"/>
      <c r="AP386" s="298"/>
      <c r="AQ386" s="298"/>
      <c r="AR386" s="302"/>
      <c r="AS386" s="188"/>
    </row>
    <row r="387" spans="1:45" ht="13" hidden="1" thickBot="1">
      <c r="A387" s="286">
        <v>381</v>
      </c>
      <c r="B387" s="81">
        <f>'Encargos e Benefícios'!B386</f>
        <v>0</v>
      </c>
      <c r="C387" s="287">
        <f>'Encargos e Benefícios'!C386</f>
        <v>0</v>
      </c>
      <c r="D387" s="288"/>
      <c r="E387" s="300"/>
      <c r="F387" s="301"/>
      <c r="G387" s="293"/>
      <c r="H387" s="292"/>
      <c r="I387" s="256"/>
      <c r="J387" s="256"/>
      <c r="K387" s="256"/>
      <c r="L387" s="256"/>
      <c r="M387" s="293"/>
      <c r="N387" s="292"/>
      <c r="O387" s="256"/>
      <c r="P387" s="256"/>
      <c r="Q387" s="256"/>
      <c r="R387" s="256"/>
      <c r="S387" s="293"/>
      <c r="T387" s="294"/>
      <c r="U387" s="256"/>
      <c r="V387" s="256"/>
      <c r="W387" s="256"/>
      <c r="X387" s="256"/>
      <c r="Y387" s="293"/>
      <c r="Z387" s="294"/>
      <c r="AA387" s="256"/>
      <c r="AB387" s="256"/>
      <c r="AC387" s="256"/>
      <c r="AD387" s="256"/>
      <c r="AE387" s="293"/>
      <c r="AF387" s="294"/>
      <c r="AG387" s="256"/>
      <c r="AH387" s="256"/>
      <c r="AI387" s="256"/>
      <c r="AJ387" s="257"/>
      <c r="AK387" s="296">
        <f>'Encargos e Benefícios'!D386</f>
        <v>0</v>
      </c>
      <c r="AL387" s="296">
        <f>IF('Encargos e Benefícios'!C386=0,0,'Encargos e Benefícios'!U386/'Encargos e Benefícios'!C386)</f>
        <v>0</v>
      </c>
      <c r="AM387" s="296">
        <f>IF('Encargos e Benefícios'!C386=0,0,'Encargos e Benefícios'!AC386/'Encargos e Benefícios'!C386)</f>
        <v>0</v>
      </c>
      <c r="AN387" s="297">
        <f>IF('Encargos e Benefícios'!C386=0,0,'Encargos e Benefícios'!AD386/'Encargos e Benefícios'!C386)</f>
        <v>0</v>
      </c>
      <c r="AO387" s="188"/>
      <c r="AP387" s="298"/>
      <c r="AQ387" s="298"/>
      <c r="AR387" s="302"/>
      <c r="AS387" s="188"/>
    </row>
    <row r="388" spans="1:45" ht="13" hidden="1" thickBot="1">
      <c r="A388" s="286">
        <v>382</v>
      </c>
      <c r="B388" s="81">
        <f>'Encargos e Benefícios'!B387</f>
        <v>0</v>
      </c>
      <c r="C388" s="287">
        <f>'Encargos e Benefícios'!C387</f>
        <v>0</v>
      </c>
      <c r="D388" s="288"/>
      <c r="E388" s="300"/>
      <c r="F388" s="301"/>
      <c r="G388" s="293"/>
      <c r="H388" s="292"/>
      <c r="I388" s="256"/>
      <c r="J388" s="256"/>
      <c r="K388" s="256"/>
      <c r="L388" s="256"/>
      <c r="M388" s="293"/>
      <c r="N388" s="292"/>
      <c r="O388" s="256"/>
      <c r="P388" s="256"/>
      <c r="Q388" s="256"/>
      <c r="R388" s="256"/>
      <c r="S388" s="293"/>
      <c r="T388" s="294"/>
      <c r="U388" s="256"/>
      <c r="V388" s="256"/>
      <c r="W388" s="256"/>
      <c r="X388" s="256"/>
      <c r="Y388" s="293"/>
      <c r="Z388" s="294"/>
      <c r="AA388" s="256"/>
      <c r="AB388" s="256"/>
      <c r="AC388" s="256"/>
      <c r="AD388" s="256"/>
      <c r="AE388" s="293"/>
      <c r="AF388" s="294"/>
      <c r="AG388" s="256"/>
      <c r="AH388" s="256"/>
      <c r="AI388" s="256"/>
      <c r="AJ388" s="257"/>
      <c r="AK388" s="296">
        <f>'Encargos e Benefícios'!D387</f>
        <v>0</v>
      </c>
      <c r="AL388" s="296">
        <f>IF('Encargos e Benefícios'!C387=0,0,'Encargos e Benefícios'!U387/'Encargos e Benefícios'!C387)</f>
        <v>0</v>
      </c>
      <c r="AM388" s="296">
        <f>IF('Encargos e Benefícios'!C387=0,0,'Encargos e Benefícios'!AC387/'Encargos e Benefícios'!C387)</f>
        <v>0</v>
      </c>
      <c r="AN388" s="297">
        <f>IF('Encargos e Benefícios'!C387=0,0,'Encargos e Benefícios'!AD387/'Encargos e Benefícios'!C387)</f>
        <v>0</v>
      </c>
      <c r="AO388" s="188"/>
      <c r="AP388" s="298"/>
      <c r="AQ388" s="298"/>
      <c r="AR388" s="302"/>
      <c r="AS388" s="188"/>
    </row>
    <row r="389" spans="1:45" ht="13" hidden="1" thickBot="1">
      <c r="A389" s="286">
        <v>383</v>
      </c>
      <c r="B389" s="81">
        <f>'Encargos e Benefícios'!B388</f>
        <v>0</v>
      </c>
      <c r="C389" s="287">
        <f>'Encargos e Benefícios'!C388</f>
        <v>0</v>
      </c>
      <c r="D389" s="288"/>
      <c r="E389" s="300"/>
      <c r="F389" s="301"/>
      <c r="G389" s="293"/>
      <c r="H389" s="292"/>
      <c r="I389" s="256"/>
      <c r="J389" s="256"/>
      <c r="K389" s="256"/>
      <c r="L389" s="256"/>
      <c r="M389" s="293"/>
      <c r="N389" s="292"/>
      <c r="O389" s="256"/>
      <c r="P389" s="256"/>
      <c r="Q389" s="256"/>
      <c r="R389" s="256"/>
      <c r="S389" s="293"/>
      <c r="T389" s="294"/>
      <c r="U389" s="256"/>
      <c r="V389" s="256"/>
      <c r="W389" s="256"/>
      <c r="X389" s="256"/>
      <c r="Y389" s="293"/>
      <c r="Z389" s="294"/>
      <c r="AA389" s="256"/>
      <c r="AB389" s="256"/>
      <c r="AC389" s="256"/>
      <c r="AD389" s="256"/>
      <c r="AE389" s="293"/>
      <c r="AF389" s="294"/>
      <c r="AG389" s="256"/>
      <c r="AH389" s="256"/>
      <c r="AI389" s="256"/>
      <c r="AJ389" s="257"/>
      <c r="AK389" s="296">
        <f>'Encargos e Benefícios'!D388</f>
        <v>0</v>
      </c>
      <c r="AL389" s="296">
        <f>IF('Encargos e Benefícios'!C388=0,0,'Encargos e Benefícios'!U388/'Encargos e Benefícios'!C388)</f>
        <v>0</v>
      </c>
      <c r="AM389" s="296">
        <f>IF('Encargos e Benefícios'!C388=0,0,'Encargos e Benefícios'!AC388/'Encargos e Benefícios'!C388)</f>
        <v>0</v>
      </c>
      <c r="AN389" s="297">
        <f>IF('Encargos e Benefícios'!C388=0,0,'Encargos e Benefícios'!AD388/'Encargos e Benefícios'!C388)</f>
        <v>0</v>
      </c>
      <c r="AO389" s="188"/>
      <c r="AP389" s="298"/>
      <c r="AQ389" s="298"/>
      <c r="AR389" s="302"/>
      <c r="AS389" s="188"/>
    </row>
    <row r="390" spans="1:45" ht="13" hidden="1" thickBot="1">
      <c r="A390" s="286">
        <v>384</v>
      </c>
      <c r="B390" s="81">
        <f>'Encargos e Benefícios'!B389</f>
        <v>0</v>
      </c>
      <c r="C390" s="287">
        <f>'Encargos e Benefícios'!C389</f>
        <v>0</v>
      </c>
      <c r="D390" s="288"/>
      <c r="E390" s="300"/>
      <c r="F390" s="301"/>
      <c r="G390" s="293"/>
      <c r="H390" s="292"/>
      <c r="I390" s="256"/>
      <c r="J390" s="256"/>
      <c r="K390" s="256"/>
      <c r="L390" s="256"/>
      <c r="M390" s="293"/>
      <c r="N390" s="292"/>
      <c r="O390" s="256"/>
      <c r="P390" s="256"/>
      <c r="Q390" s="256"/>
      <c r="R390" s="256"/>
      <c r="S390" s="293"/>
      <c r="T390" s="294"/>
      <c r="U390" s="256"/>
      <c r="V390" s="256"/>
      <c r="W390" s="256"/>
      <c r="X390" s="256"/>
      <c r="Y390" s="293"/>
      <c r="Z390" s="294"/>
      <c r="AA390" s="256"/>
      <c r="AB390" s="256"/>
      <c r="AC390" s="256"/>
      <c r="AD390" s="256"/>
      <c r="AE390" s="293"/>
      <c r="AF390" s="294"/>
      <c r="AG390" s="256"/>
      <c r="AH390" s="256"/>
      <c r="AI390" s="256"/>
      <c r="AJ390" s="257"/>
      <c r="AK390" s="296">
        <f>'Encargos e Benefícios'!D389</f>
        <v>0</v>
      </c>
      <c r="AL390" s="296">
        <f>IF('Encargos e Benefícios'!C389=0,0,'Encargos e Benefícios'!U389/'Encargos e Benefícios'!C389)</f>
        <v>0</v>
      </c>
      <c r="AM390" s="296">
        <f>IF('Encargos e Benefícios'!C389=0,0,'Encargos e Benefícios'!AC389/'Encargos e Benefícios'!C389)</f>
        <v>0</v>
      </c>
      <c r="AN390" s="297">
        <f>IF('Encargos e Benefícios'!C389=0,0,'Encargos e Benefícios'!AD389/'Encargos e Benefícios'!C389)</f>
        <v>0</v>
      </c>
      <c r="AO390" s="188"/>
      <c r="AP390" s="298"/>
      <c r="AQ390" s="298"/>
      <c r="AR390" s="302"/>
      <c r="AS390" s="188"/>
    </row>
    <row r="391" spans="1:45" ht="13" hidden="1" thickBot="1">
      <c r="A391" s="286">
        <v>385</v>
      </c>
      <c r="B391" s="81">
        <f>'Encargos e Benefícios'!B390</f>
        <v>0</v>
      </c>
      <c r="C391" s="287">
        <f>'Encargos e Benefícios'!C390</f>
        <v>0</v>
      </c>
      <c r="D391" s="288"/>
      <c r="E391" s="300"/>
      <c r="F391" s="301"/>
      <c r="G391" s="293"/>
      <c r="H391" s="292"/>
      <c r="I391" s="256"/>
      <c r="J391" s="256"/>
      <c r="K391" s="256"/>
      <c r="L391" s="256"/>
      <c r="M391" s="293"/>
      <c r="N391" s="292"/>
      <c r="O391" s="256"/>
      <c r="P391" s="256"/>
      <c r="Q391" s="256"/>
      <c r="R391" s="256"/>
      <c r="S391" s="293"/>
      <c r="T391" s="294"/>
      <c r="U391" s="256"/>
      <c r="V391" s="256"/>
      <c r="W391" s="256"/>
      <c r="X391" s="256"/>
      <c r="Y391" s="293"/>
      <c r="Z391" s="294"/>
      <c r="AA391" s="256"/>
      <c r="AB391" s="256"/>
      <c r="AC391" s="256"/>
      <c r="AD391" s="256"/>
      <c r="AE391" s="293"/>
      <c r="AF391" s="294"/>
      <c r="AG391" s="256"/>
      <c r="AH391" s="256"/>
      <c r="AI391" s="256"/>
      <c r="AJ391" s="257"/>
      <c r="AK391" s="296">
        <f>'Encargos e Benefícios'!D390</f>
        <v>0</v>
      </c>
      <c r="AL391" s="296">
        <f>IF('Encargos e Benefícios'!C390=0,0,'Encargos e Benefícios'!U390/'Encargos e Benefícios'!C390)</f>
        <v>0</v>
      </c>
      <c r="AM391" s="296">
        <f>IF('Encargos e Benefícios'!C390=0,0,'Encargos e Benefícios'!AC390/'Encargos e Benefícios'!C390)</f>
        <v>0</v>
      </c>
      <c r="AN391" s="297">
        <f>IF('Encargos e Benefícios'!C390=0,0,'Encargos e Benefícios'!AD390/'Encargos e Benefícios'!C390)</f>
        <v>0</v>
      </c>
      <c r="AO391" s="188"/>
      <c r="AP391" s="298"/>
      <c r="AQ391" s="298"/>
      <c r="AR391" s="302"/>
      <c r="AS391" s="188"/>
    </row>
    <row r="392" spans="1:45" ht="13" hidden="1" thickBot="1">
      <c r="A392" s="286">
        <v>386</v>
      </c>
      <c r="B392" s="81">
        <f>'Encargos e Benefícios'!B391</f>
        <v>0</v>
      </c>
      <c r="C392" s="287">
        <f>'Encargos e Benefícios'!C391</f>
        <v>0</v>
      </c>
      <c r="D392" s="288"/>
      <c r="E392" s="300"/>
      <c r="F392" s="301"/>
      <c r="G392" s="293"/>
      <c r="H392" s="292"/>
      <c r="I392" s="256"/>
      <c r="J392" s="256"/>
      <c r="K392" s="256"/>
      <c r="L392" s="256"/>
      <c r="M392" s="293"/>
      <c r="N392" s="292"/>
      <c r="O392" s="256"/>
      <c r="P392" s="256"/>
      <c r="Q392" s="256"/>
      <c r="R392" s="256"/>
      <c r="S392" s="293"/>
      <c r="T392" s="294"/>
      <c r="U392" s="256"/>
      <c r="V392" s="256"/>
      <c r="W392" s="256"/>
      <c r="X392" s="256"/>
      <c r="Y392" s="293"/>
      <c r="Z392" s="294"/>
      <c r="AA392" s="256"/>
      <c r="AB392" s="256"/>
      <c r="AC392" s="256"/>
      <c r="AD392" s="256"/>
      <c r="AE392" s="293"/>
      <c r="AF392" s="294"/>
      <c r="AG392" s="256"/>
      <c r="AH392" s="256"/>
      <c r="AI392" s="256"/>
      <c r="AJ392" s="257"/>
      <c r="AK392" s="296">
        <f>'Encargos e Benefícios'!D391</f>
        <v>0</v>
      </c>
      <c r="AL392" s="296">
        <f>IF('Encargos e Benefícios'!C391=0,0,'Encargos e Benefícios'!U391/'Encargos e Benefícios'!C391)</f>
        <v>0</v>
      </c>
      <c r="AM392" s="296">
        <f>IF('Encargos e Benefícios'!C391=0,0,'Encargos e Benefícios'!AC391/'Encargos e Benefícios'!C391)</f>
        <v>0</v>
      </c>
      <c r="AN392" s="297">
        <f>IF('Encargos e Benefícios'!C391=0,0,'Encargos e Benefícios'!AD391/'Encargos e Benefícios'!C391)</f>
        <v>0</v>
      </c>
      <c r="AO392" s="188"/>
      <c r="AP392" s="298"/>
      <c r="AQ392" s="298"/>
      <c r="AR392" s="302"/>
      <c r="AS392" s="188"/>
    </row>
    <row r="393" spans="1:45" ht="13" hidden="1" thickBot="1">
      <c r="A393" s="286">
        <v>387</v>
      </c>
      <c r="B393" s="81">
        <f>'Encargos e Benefícios'!B392</f>
        <v>0</v>
      </c>
      <c r="C393" s="287">
        <f>'Encargos e Benefícios'!C392</f>
        <v>0</v>
      </c>
      <c r="D393" s="288"/>
      <c r="E393" s="300"/>
      <c r="F393" s="301"/>
      <c r="G393" s="293"/>
      <c r="H393" s="292"/>
      <c r="I393" s="256"/>
      <c r="J393" s="256"/>
      <c r="K393" s="256"/>
      <c r="L393" s="256"/>
      <c r="M393" s="293"/>
      <c r="N393" s="292"/>
      <c r="O393" s="256"/>
      <c r="P393" s="256"/>
      <c r="Q393" s="256"/>
      <c r="R393" s="256"/>
      <c r="S393" s="293"/>
      <c r="T393" s="294"/>
      <c r="U393" s="256"/>
      <c r="V393" s="256"/>
      <c r="W393" s="256"/>
      <c r="X393" s="256"/>
      <c r="Y393" s="293"/>
      <c r="Z393" s="294"/>
      <c r="AA393" s="256"/>
      <c r="AB393" s="256"/>
      <c r="AC393" s="256"/>
      <c r="AD393" s="256"/>
      <c r="AE393" s="293"/>
      <c r="AF393" s="294"/>
      <c r="AG393" s="256"/>
      <c r="AH393" s="256"/>
      <c r="AI393" s="256"/>
      <c r="AJ393" s="257"/>
      <c r="AK393" s="296">
        <f>'Encargos e Benefícios'!D392</f>
        <v>0</v>
      </c>
      <c r="AL393" s="296">
        <f>IF('Encargos e Benefícios'!C392=0,0,'Encargos e Benefícios'!U392/'Encargos e Benefícios'!C392)</f>
        <v>0</v>
      </c>
      <c r="AM393" s="296">
        <f>IF('Encargos e Benefícios'!C392=0,0,'Encargos e Benefícios'!AC392/'Encargos e Benefícios'!C392)</f>
        <v>0</v>
      </c>
      <c r="AN393" s="297">
        <f>IF('Encargos e Benefícios'!C392=0,0,'Encargos e Benefícios'!AD392/'Encargos e Benefícios'!C392)</f>
        <v>0</v>
      </c>
      <c r="AO393" s="188"/>
      <c r="AP393" s="298"/>
      <c r="AQ393" s="298"/>
      <c r="AR393" s="302"/>
      <c r="AS393" s="188"/>
    </row>
    <row r="394" spans="1:45" ht="13" hidden="1" thickBot="1">
      <c r="A394" s="286">
        <v>388</v>
      </c>
      <c r="B394" s="81">
        <f>'Encargos e Benefícios'!B393</f>
        <v>0</v>
      </c>
      <c r="C394" s="287">
        <f>'Encargos e Benefícios'!C393</f>
        <v>0</v>
      </c>
      <c r="D394" s="288"/>
      <c r="E394" s="300"/>
      <c r="F394" s="301"/>
      <c r="G394" s="293"/>
      <c r="H394" s="292"/>
      <c r="I394" s="256"/>
      <c r="J394" s="256"/>
      <c r="K394" s="256"/>
      <c r="L394" s="256"/>
      <c r="M394" s="293"/>
      <c r="N394" s="292"/>
      <c r="O394" s="256"/>
      <c r="P394" s="256"/>
      <c r="Q394" s="256"/>
      <c r="R394" s="256"/>
      <c r="S394" s="293"/>
      <c r="T394" s="294"/>
      <c r="U394" s="256"/>
      <c r="V394" s="256"/>
      <c r="W394" s="256"/>
      <c r="X394" s="256"/>
      <c r="Y394" s="293"/>
      <c r="Z394" s="294"/>
      <c r="AA394" s="256"/>
      <c r="AB394" s="256"/>
      <c r="AC394" s="256"/>
      <c r="AD394" s="256"/>
      <c r="AE394" s="293"/>
      <c r="AF394" s="294"/>
      <c r="AG394" s="256"/>
      <c r="AH394" s="256"/>
      <c r="AI394" s="256"/>
      <c r="AJ394" s="257"/>
      <c r="AK394" s="296">
        <f>'Encargos e Benefícios'!D393</f>
        <v>0</v>
      </c>
      <c r="AL394" s="296">
        <f>IF('Encargos e Benefícios'!C393=0,0,'Encargos e Benefícios'!U393/'Encargos e Benefícios'!C393)</f>
        <v>0</v>
      </c>
      <c r="AM394" s="296">
        <f>IF('Encargos e Benefícios'!C393=0,0,'Encargos e Benefícios'!AC393/'Encargos e Benefícios'!C393)</f>
        <v>0</v>
      </c>
      <c r="AN394" s="297">
        <f>IF('Encargos e Benefícios'!C393=0,0,'Encargos e Benefícios'!AD393/'Encargos e Benefícios'!C393)</f>
        <v>0</v>
      </c>
      <c r="AO394" s="188"/>
      <c r="AP394" s="298"/>
      <c r="AQ394" s="298"/>
      <c r="AR394" s="302"/>
      <c r="AS394" s="188"/>
    </row>
    <row r="395" spans="1:45" ht="13" hidden="1" thickBot="1">
      <c r="A395" s="286">
        <v>389</v>
      </c>
      <c r="B395" s="81">
        <f>'Encargos e Benefícios'!B394</f>
        <v>0</v>
      </c>
      <c r="C395" s="287">
        <f>'Encargos e Benefícios'!C394</f>
        <v>0</v>
      </c>
      <c r="D395" s="288"/>
      <c r="E395" s="300"/>
      <c r="F395" s="301"/>
      <c r="G395" s="293"/>
      <c r="H395" s="292"/>
      <c r="I395" s="256"/>
      <c r="J395" s="256"/>
      <c r="K395" s="256"/>
      <c r="L395" s="256"/>
      <c r="M395" s="293"/>
      <c r="N395" s="292"/>
      <c r="O395" s="256"/>
      <c r="P395" s="256"/>
      <c r="Q395" s="256"/>
      <c r="R395" s="256"/>
      <c r="S395" s="293"/>
      <c r="T395" s="294"/>
      <c r="U395" s="256"/>
      <c r="V395" s="256"/>
      <c r="W395" s="256"/>
      <c r="X395" s="256"/>
      <c r="Y395" s="293"/>
      <c r="Z395" s="294"/>
      <c r="AA395" s="256"/>
      <c r="AB395" s="256"/>
      <c r="AC395" s="256"/>
      <c r="AD395" s="256"/>
      <c r="AE395" s="293"/>
      <c r="AF395" s="294"/>
      <c r="AG395" s="256"/>
      <c r="AH395" s="256"/>
      <c r="AI395" s="256"/>
      <c r="AJ395" s="257"/>
      <c r="AK395" s="296">
        <f>'Encargos e Benefícios'!D394</f>
        <v>0</v>
      </c>
      <c r="AL395" s="296">
        <f>IF('Encargos e Benefícios'!C394=0,0,'Encargos e Benefícios'!U394/'Encargos e Benefícios'!C394)</f>
        <v>0</v>
      </c>
      <c r="AM395" s="296">
        <f>IF('Encargos e Benefícios'!C394=0,0,'Encargos e Benefícios'!AC394/'Encargos e Benefícios'!C394)</f>
        <v>0</v>
      </c>
      <c r="AN395" s="297">
        <f>IF('Encargos e Benefícios'!C394=0,0,'Encargos e Benefícios'!AD394/'Encargos e Benefícios'!C394)</f>
        <v>0</v>
      </c>
      <c r="AO395" s="188"/>
      <c r="AP395" s="298"/>
      <c r="AQ395" s="298"/>
      <c r="AR395" s="302"/>
      <c r="AS395" s="188"/>
    </row>
    <row r="396" spans="1:45" ht="13" hidden="1" thickBot="1">
      <c r="A396" s="286">
        <v>390</v>
      </c>
      <c r="B396" s="81">
        <f>'Encargos e Benefícios'!B395</f>
        <v>0</v>
      </c>
      <c r="C396" s="287">
        <f>'Encargos e Benefícios'!C395</f>
        <v>0</v>
      </c>
      <c r="D396" s="288"/>
      <c r="E396" s="300"/>
      <c r="F396" s="301"/>
      <c r="G396" s="293"/>
      <c r="H396" s="292"/>
      <c r="I396" s="256"/>
      <c r="J396" s="256"/>
      <c r="K396" s="256"/>
      <c r="L396" s="256"/>
      <c r="M396" s="293"/>
      <c r="N396" s="292"/>
      <c r="O396" s="256"/>
      <c r="P396" s="256"/>
      <c r="Q396" s="256"/>
      <c r="R396" s="256"/>
      <c r="S396" s="293"/>
      <c r="T396" s="294"/>
      <c r="U396" s="256"/>
      <c r="V396" s="256"/>
      <c r="W396" s="256"/>
      <c r="X396" s="256"/>
      <c r="Y396" s="293"/>
      <c r="Z396" s="294"/>
      <c r="AA396" s="256"/>
      <c r="AB396" s="256"/>
      <c r="AC396" s="256"/>
      <c r="AD396" s="256"/>
      <c r="AE396" s="293"/>
      <c r="AF396" s="294"/>
      <c r="AG396" s="256"/>
      <c r="AH396" s="256"/>
      <c r="AI396" s="256"/>
      <c r="AJ396" s="257"/>
      <c r="AK396" s="296">
        <f>'Encargos e Benefícios'!D395</f>
        <v>0</v>
      </c>
      <c r="AL396" s="296">
        <f>IF('Encargos e Benefícios'!C395=0,0,'Encargos e Benefícios'!U395/'Encargos e Benefícios'!C395)</f>
        <v>0</v>
      </c>
      <c r="AM396" s="296">
        <f>IF('Encargos e Benefícios'!C395=0,0,'Encargos e Benefícios'!AC395/'Encargos e Benefícios'!C395)</f>
        <v>0</v>
      </c>
      <c r="AN396" s="297">
        <f>IF('Encargos e Benefícios'!C395=0,0,'Encargos e Benefícios'!AD395/'Encargos e Benefícios'!C395)</f>
        <v>0</v>
      </c>
      <c r="AO396" s="188"/>
      <c r="AP396" s="298"/>
      <c r="AQ396" s="298"/>
      <c r="AR396" s="302"/>
      <c r="AS396" s="188"/>
    </row>
    <row r="397" spans="1:45" ht="13" hidden="1" thickBot="1">
      <c r="A397" s="286">
        <v>391</v>
      </c>
      <c r="B397" s="81">
        <f>'Encargos e Benefícios'!B396</f>
        <v>0</v>
      </c>
      <c r="C397" s="287">
        <f>'Encargos e Benefícios'!C396</f>
        <v>0</v>
      </c>
      <c r="D397" s="288"/>
      <c r="E397" s="300"/>
      <c r="F397" s="301"/>
      <c r="G397" s="293"/>
      <c r="H397" s="292"/>
      <c r="I397" s="256"/>
      <c r="J397" s="256"/>
      <c r="K397" s="256"/>
      <c r="L397" s="256"/>
      <c r="M397" s="293"/>
      <c r="N397" s="292"/>
      <c r="O397" s="256"/>
      <c r="P397" s="256"/>
      <c r="Q397" s="256"/>
      <c r="R397" s="256"/>
      <c r="S397" s="293"/>
      <c r="T397" s="294"/>
      <c r="U397" s="256"/>
      <c r="V397" s="256"/>
      <c r="W397" s="256"/>
      <c r="X397" s="256"/>
      <c r="Y397" s="293"/>
      <c r="Z397" s="294"/>
      <c r="AA397" s="256"/>
      <c r="AB397" s="256"/>
      <c r="AC397" s="256"/>
      <c r="AD397" s="256"/>
      <c r="AE397" s="293"/>
      <c r="AF397" s="294"/>
      <c r="AG397" s="256"/>
      <c r="AH397" s="256"/>
      <c r="AI397" s="256"/>
      <c r="AJ397" s="257"/>
      <c r="AK397" s="296">
        <f>'Encargos e Benefícios'!D396</f>
        <v>0</v>
      </c>
      <c r="AL397" s="296">
        <f>IF('Encargos e Benefícios'!C396=0,0,'Encargos e Benefícios'!U396/'Encargos e Benefícios'!C396)</f>
        <v>0</v>
      </c>
      <c r="AM397" s="296">
        <f>IF('Encargos e Benefícios'!C396=0,0,'Encargos e Benefícios'!AC396/'Encargos e Benefícios'!C396)</f>
        <v>0</v>
      </c>
      <c r="AN397" s="297">
        <f>IF('Encargos e Benefícios'!C396=0,0,'Encargos e Benefícios'!AD396/'Encargos e Benefícios'!C396)</f>
        <v>0</v>
      </c>
      <c r="AO397" s="188"/>
      <c r="AP397" s="298"/>
      <c r="AQ397" s="298"/>
      <c r="AR397" s="302"/>
      <c r="AS397" s="188"/>
    </row>
    <row r="398" spans="1:45" ht="13" hidden="1" thickBot="1">
      <c r="A398" s="286">
        <v>392</v>
      </c>
      <c r="B398" s="81">
        <f>'Encargos e Benefícios'!B397</f>
        <v>0</v>
      </c>
      <c r="C398" s="287">
        <f>'Encargos e Benefícios'!C397</f>
        <v>0</v>
      </c>
      <c r="D398" s="288"/>
      <c r="E398" s="300"/>
      <c r="F398" s="301"/>
      <c r="G398" s="293"/>
      <c r="H398" s="292"/>
      <c r="I398" s="256"/>
      <c r="J398" s="256"/>
      <c r="K398" s="256"/>
      <c r="L398" s="256"/>
      <c r="M398" s="293"/>
      <c r="N398" s="292"/>
      <c r="O398" s="256"/>
      <c r="P398" s="256"/>
      <c r="Q398" s="256"/>
      <c r="R398" s="256"/>
      <c r="S398" s="293"/>
      <c r="T398" s="294"/>
      <c r="U398" s="256"/>
      <c r="V398" s="256"/>
      <c r="W398" s="256"/>
      <c r="X398" s="256"/>
      <c r="Y398" s="293"/>
      <c r="Z398" s="294"/>
      <c r="AA398" s="256"/>
      <c r="AB398" s="256"/>
      <c r="AC398" s="256"/>
      <c r="AD398" s="256"/>
      <c r="AE398" s="293"/>
      <c r="AF398" s="294"/>
      <c r="AG398" s="256"/>
      <c r="AH398" s="256"/>
      <c r="AI398" s="256"/>
      <c r="AJ398" s="257"/>
      <c r="AK398" s="296">
        <f>'Encargos e Benefícios'!D397</f>
        <v>0</v>
      </c>
      <c r="AL398" s="296">
        <f>IF('Encargos e Benefícios'!C397=0,0,'Encargos e Benefícios'!U397/'Encargos e Benefícios'!C397)</f>
        <v>0</v>
      </c>
      <c r="AM398" s="296">
        <f>IF('Encargos e Benefícios'!C397=0,0,'Encargos e Benefícios'!AC397/'Encargos e Benefícios'!C397)</f>
        <v>0</v>
      </c>
      <c r="AN398" s="297">
        <f>IF('Encargos e Benefícios'!C397=0,0,'Encargos e Benefícios'!AD397/'Encargos e Benefícios'!C397)</f>
        <v>0</v>
      </c>
      <c r="AO398" s="188"/>
      <c r="AP398" s="298"/>
      <c r="AQ398" s="298"/>
      <c r="AR398" s="302"/>
      <c r="AS398" s="188"/>
    </row>
    <row r="399" spans="1:45" ht="13" hidden="1" thickBot="1">
      <c r="A399" s="286">
        <v>393</v>
      </c>
      <c r="B399" s="81">
        <f>'Encargos e Benefícios'!B398</f>
        <v>0</v>
      </c>
      <c r="C399" s="287">
        <f>'Encargos e Benefícios'!C398</f>
        <v>0</v>
      </c>
      <c r="D399" s="288"/>
      <c r="E399" s="300"/>
      <c r="F399" s="301"/>
      <c r="G399" s="293"/>
      <c r="H399" s="292"/>
      <c r="I399" s="256"/>
      <c r="J399" s="256"/>
      <c r="K399" s="256"/>
      <c r="L399" s="256"/>
      <c r="M399" s="293"/>
      <c r="N399" s="292"/>
      <c r="O399" s="256"/>
      <c r="P399" s="256"/>
      <c r="Q399" s="256"/>
      <c r="R399" s="256"/>
      <c r="S399" s="293"/>
      <c r="T399" s="294"/>
      <c r="U399" s="256"/>
      <c r="V399" s="256"/>
      <c r="W399" s="256"/>
      <c r="X399" s="256"/>
      <c r="Y399" s="293"/>
      <c r="Z399" s="294"/>
      <c r="AA399" s="256"/>
      <c r="AB399" s="256"/>
      <c r="AC399" s="256"/>
      <c r="AD399" s="256"/>
      <c r="AE399" s="293"/>
      <c r="AF399" s="294"/>
      <c r="AG399" s="256"/>
      <c r="AH399" s="256"/>
      <c r="AI399" s="256"/>
      <c r="AJ399" s="257"/>
      <c r="AK399" s="296">
        <f>'Encargos e Benefícios'!D398</f>
        <v>0</v>
      </c>
      <c r="AL399" s="296">
        <f>IF('Encargos e Benefícios'!C398=0,0,'Encargos e Benefícios'!U398/'Encargos e Benefícios'!C398)</f>
        <v>0</v>
      </c>
      <c r="AM399" s="296">
        <f>IF('Encargos e Benefícios'!C398=0,0,'Encargos e Benefícios'!AC398/'Encargos e Benefícios'!C398)</f>
        <v>0</v>
      </c>
      <c r="AN399" s="297">
        <f>IF('Encargos e Benefícios'!C398=0,0,'Encargos e Benefícios'!AD398/'Encargos e Benefícios'!C398)</f>
        <v>0</v>
      </c>
      <c r="AO399" s="188"/>
      <c r="AP399" s="298"/>
      <c r="AQ399" s="298"/>
      <c r="AR399" s="302"/>
      <c r="AS399" s="188"/>
    </row>
    <row r="400" spans="1:45" ht="13" hidden="1" thickBot="1">
      <c r="A400" s="286">
        <v>394</v>
      </c>
      <c r="B400" s="81">
        <f>'Encargos e Benefícios'!B399</f>
        <v>0</v>
      </c>
      <c r="C400" s="287">
        <f>'Encargos e Benefícios'!C399</f>
        <v>0</v>
      </c>
      <c r="D400" s="288"/>
      <c r="E400" s="300"/>
      <c r="F400" s="301"/>
      <c r="G400" s="293"/>
      <c r="H400" s="292"/>
      <c r="I400" s="256"/>
      <c r="J400" s="256"/>
      <c r="K400" s="256"/>
      <c r="L400" s="256"/>
      <c r="M400" s="293"/>
      <c r="N400" s="292"/>
      <c r="O400" s="256"/>
      <c r="P400" s="256"/>
      <c r="Q400" s="256"/>
      <c r="R400" s="256"/>
      <c r="S400" s="293"/>
      <c r="T400" s="294"/>
      <c r="U400" s="256"/>
      <c r="V400" s="256"/>
      <c r="W400" s="256"/>
      <c r="X400" s="256"/>
      <c r="Y400" s="293"/>
      <c r="Z400" s="294"/>
      <c r="AA400" s="256"/>
      <c r="AB400" s="256"/>
      <c r="AC400" s="256"/>
      <c r="AD400" s="256"/>
      <c r="AE400" s="293"/>
      <c r="AF400" s="294"/>
      <c r="AG400" s="256"/>
      <c r="AH400" s="256"/>
      <c r="AI400" s="256"/>
      <c r="AJ400" s="257"/>
      <c r="AK400" s="296">
        <f>'Encargos e Benefícios'!D399</f>
        <v>0</v>
      </c>
      <c r="AL400" s="296">
        <f>IF('Encargos e Benefícios'!C399=0,0,'Encargos e Benefícios'!U399/'Encargos e Benefícios'!C399)</f>
        <v>0</v>
      </c>
      <c r="AM400" s="296">
        <f>IF('Encargos e Benefícios'!C399=0,0,'Encargos e Benefícios'!AC399/'Encargos e Benefícios'!C399)</f>
        <v>0</v>
      </c>
      <c r="AN400" s="297">
        <f>IF('Encargos e Benefícios'!C399=0,0,'Encargos e Benefícios'!AD399/'Encargos e Benefícios'!C399)</f>
        <v>0</v>
      </c>
      <c r="AO400" s="188"/>
      <c r="AP400" s="298"/>
      <c r="AQ400" s="298"/>
      <c r="AR400" s="302"/>
      <c r="AS400" s="188"/>
    </row>
    <row r="401" spans="1:45" ht="13" hidden="1" thickBot="1">
      <c r="A401" s="286">
        <v>395</v>
      </c>
      <c r="B401" s="81">
        <f>'Encargos e Benefícios'!B400</f>
        <v>0</v>
      </c>
      <c r="C401" s="287">
        <f>'Encargos e Benefícios'!C400</f>
        <v>0</v>
      </c>
      <c r="D401" s="288"/>
      <c r="E401" s="300"/>
      <c r="F401" s="301"/>
      <c r="G401" s="293"/>
      <c r="H401" s="292"/>
      <c r="I401" s="256"/>
      <c r="J401" s="256"/>
      <c r="K401" s="256"/>
      <c r="L401" s="256"/>
      <c r="M401" s="293"/>
      <c r="N401" s="292"/>
      <c r="O401" s="256"/>
      <c r="P401" s="256"/>
      <c r="Q401" s="256"/>
      <c r="R401" s="256"/>
      <c r="S401" s="293"/>
      <c r="T401" s="294"/>
      <c r="U401" s="256"/>
      <c r="V401" s="256"/>
      <c r="W401" s="256"/>
      <c r="X401" s="256"/>
      <c r="Y401" s="293"/>
      <c r="Z401" s="294"/>
      <c r="AA401" s="256"/>
      <c r="AB401" s="256"/>
      <c r="AC401" s="256"/>
      <c r="AD401" s="256"/>
      <c r="AE401" s="293"/>
      <c r="AF401" s="294"/>
      <c r="AG401" s="256"/>
      <c r="AH401" s="256"/>
      <c r="AI401" s="256"/>
      <c r="AJ401" s="257"/>
      <c r="AK401" s="296">
        <f>'Encargos e Benefícios'!D400</f>
        <v>0</v>
      </c>
      <c r="AL401" s="296">
        <f>IF('Encargos e Benefícios'!C400=0,0,'Encargos e Benefícios'!U400/'Encargos e Benefícios'!C400)</f>
        <v>0</v>
      </c>
      <c r="AM401" s="296">
        <f>IF('Encargos e Benefícios'!C400=0,0,'Encargos e Benefícios'!AC400/'Encargos e Benefícios'!C400)</f>
        <v>0</v>
      </c>
      <c r="AN401" s="297">
        <f>IF('Encargos e Benefícios'!C400=0,0,'Encargos e Benefícios'!AD400/'Encargos e Benefícios'!C400)</f>
        <v>0</v>
      </c>
      <c r="AO401" s="188"/>
      <c r="AP401" s="298"/>
      <c r="AQ401" s="298"/>
      <c r="AR401" s="302"/>
      <c r="AS401" s="188"/>
    </row>
    <row r="402" spans="1:45" ht="13" hidden="1" thickBot="1">
      <c r="A402" s="286">
        <v>396</v>
      </c>
      <c r="B402" s="81">
        <f>'Encargos e Benefícios'!B401</f>
        <v>0</v>
      </c>
      <c r="C402" s="287">
        <f>'Encargos e Benefícios'!C401</f>
        <v>0</v>
      </c>
      <c r="D402" s="288"/>
      <c r="E402" s="300"/>
      <c r="F402" s="301"/>
      <c r="G402" s="293"/>
      <c r="H402" s="292"/>
      <c r="I402" s="256"/>
      <c r="J402" s="256"/>
      <c r="K402" s="256"/>
      <c r="L402" s="256"/>
      <c r="M402" s="293"/>
      <c r="N402" s="292"/>
      <c r="O402" s="256"/>
      <c r="P402" s="256"/>
      <c r="Q402" s="256"/>
      <c r="R402" s="256"/>
      <c r="S402" s="293"/>
      <c r="T402" s="294"/>
      <c r="U402" s="256"/>
      <c r="V402" s="256"/>
      <c r="W402" s="256"/>
      <c r="X402" s="256"/>
      <c r="Y402" s="293"/>
      <c r="Z402" s="294"/>
      <c r="AA402" s="256"/>
      <c r="AB402" s="256"/>
      <c r="AC402" s="256"/>
      <c r="AD402" s="256"/>
      <c r="AE402" s="293"/>
      <c r="AF402" s="294"/>
      <c r="AG402" s="256"/>
      <c r="AH402" s="256"/>
      <c r="AI402" s="256"/>
      <c r="AJ402" s="257"/>
      <c r="AK402" s="296">
        <f>'Encargos e Benefícios'!D401</f>
        <v>0</v>
      </c>
      <c r="AL402" s="296">
        <f>IF('Encargos e Benefícios'!C401=0,0,'Encargos e Benefícios'!U401/'Encargos e Benefícios'!C401)</f>
        <v>0</v>
      </c>
      <c r="AM402" s="296">
        <f>IF('Encargos e Benefícios'!C401=0,0,'Encargos e Benefícios'!AC401/'Encargos e Benefícios'!C401)</f>
        <v>0</v>
      </c>
      <c r="AN402" s="297">
        <f>IF('Encargos e Benefícios'!C401=0,0,'Encargos e Benefícios'!AD401/'Encargos e Benefícios'!C401)</f>
        <v>0</v>
      </c>
      <c r="AO402" s="188"/>
      <c r="AP402" s="298"/>
      <c r="AQ402" s="298"/>
      <c r="AR402" s="302"/>
      <c r="AS402" s="188"/>
    </row>
    <row r="403" spans="1:45" ht="13" hidden="1" thickBot="1">
      <c r="A403" s="286">
        <v>397</v>
      </c>
      <c r="B403" s="81">
        <f>'Encargos e Benefícios'!B402</f>
        <v>0</v>
      </c>
      <c r="C403" s="287">
        <f>'Encargos e Benefícios'!C402</f>
        <v>0</v>
      </c>
      <c r="D403" s="288"/>
      <c r="E403" s="300"/>
      <c r="F403" s="301"/>
      <c r="G403" s="293"/>
      <c r="H403" s="292"/>
      <c r="I403" s="256"/>
      <c r="J403" s="256"/>
      <c r="K403" s="256"/>
      <c r="L403" s="256"/>
      <c r="M403" s="293"/>
      <c r="N403" s="292"/>
      <c r="O403" s="256"/>
      <c r="P403" s="256"/>
      <c r="Q403" s="256"/>
      <c r="R403" s="256"/>
      <c r="S403" s="293"/>
      <c r="T403" s="294"/>
      <c r="U403" s="256"/>
      <c r="V403" s="256"/>
      <c r="W403" s="256"/>
      <c r="X403" s="256"/>
      <c r="Y403" s="293"/>
      <c r="Z403" s="294"/>
      <c r="AA403" s="256"/>
      <c r="AB403" s="256"/>
      <c r="AC403" s="256"/>
      <c r="AD403" s="256"/>
      <c r="AE403" s="293"/>
      <c r="AF403" s="294"/>
      <c r="AG403" s="256"/>
      <c r="AH403" s="256"/>
      <c r="AI403" s="256"/>
      <c r="AJ403" s="257"/>
      <c r="AK403" s="296">
        <f>'Encargos e Benefícios'!D402</f>
        <v>0</v>
      </c>
      <c r="AL403" s="296">
        <f>IF('Encargos e Benefícios'!C402=0,0,'Encargos e Benefícios'!U402/'Encargos e Benefícios'!C402)</f>
        <v>0</v>
      </c>
      <c r="AM403" s="296">
        <f>IF('Encargos e Benefícios'!C402=0,0,'Encargos e Benefícios'!AC402/'Encargos e Benefícios'!C402)</f>
        <v>0</v>
      </c>
      <c r="AN403" s="297">
        <f>IF('Encargos e Benefícios'!C402=0,0,'Encargos e Benefícios'!AD402/'Encargos e Benefícios'!C402)</f>
        <v>0</v>
      </c>
      <c r="AO403" s="188"/>
      <c r="AP403" s="298"/>
      <c r="AQ403" s="298"/>
      <c r="AR403" s="302"/>
      <c r="AS403" s="188"/>
    </row>
    <row r="404" spans="1:45" ht="13" hidden="1" thickBot="1">
      <c r="A404" s="286">
        <v>398</v>
      </c>
      <c r="B404" s="81">
        <f>'Encargos e Benefícios'!B403</f>
        <v>0</v>
      </c>
      <c r="C404" s="287">
        <f>'Encargos e Benefícios'!C403</f>
        <v>0</v>
      </c>
      <c r="D404" s="288"/>
      <c r="E404" s="300"/>
      <c r="F404" s="301"/>
      <c r="G404" s="293"/>
      <c r="H404" s="292"/>
      <c r="I404" s="256"/>
      <c r="J404" s="256"/>
      <c r="K404" s="256"/>
      <c r="L404" s="256"/>
      <c r="M404" s="293"/>
      <c r="N404" s="292"/>
      <c r="O404" s="256"/>
      <c r="P404" s="256"/>
      <c r="Q404" s="256"/>
      <c r="R404" s="256"/>
      <c r="S404" s="293"/>
      <c r="T404" s="294"/>
      <c r="U404" s="256"/>
      <c r="V404" s="256"/>
      <c r="W404" s="256"/>
      <c r="X404" s="256"/>
      <c r="Y404" s="293"/>
      <c r="Z404" s="294"/>
      <c r="AA404" s="256"/>
      <c r="AB404" s="256"/>
      <c r="AC404" s="256"/>
      <c r="AD404" s="256"/>
      <c r="AE404" s="293"/>
      <c r="AF404" s="294"/>
      <c r="AG404" s="256"/>
      <c r="AH404" s="256"/>
      <c r="AI404" s="256"/>
      <c r="AJ404" s="257"/>
      <c r="AK404" s="296">
        <f>'Encargos e Benefícios'!D403</f>
        <v>0</v>
      </c>
      <c r="AL404" s="296">
        <f>IF('Encargos e Benefícios'!C403=0,0,'Encargos e Benefícios'!U403/'Encargos e Benefícios'!C403)</f>
        <v>0</v>
      </c>
      <c r="AM404" s="296">
        <f>IF('Encargos e Benefícios'!C403=0,0,'Encargos e Benefícios'!AC403/'Encargos e Benefícios'!C403)</f>
        <v>0</v>
      </c>
      <c r="AN404" s="297">
        <f>IF('Encargos e Benefícios'!C403=0,0,'Encargos e Benefícios'!AD403/'Encargos e Benefícios'!C403)</f>
        <v>0</v>
      </c>
      <c r="AO404" s="188"/>
      <c r="AP404" s="298"/>
      <c r="AQ404" s="298"/>
      <c r="AR404" s="302"/>
      <c r="AS404" s="188"/>
    </row>
    <row r="405" spans="1:45" ht="13" hidden="1" thickBot="1">
      <c r="A405" s="286">
        <v>399</v>
      </c>
      <c r="B405" s="81">
        <f>'Encargos e Benefícios'!B404</f>
        <v>0</v>
      </c>
      <c r="C405" s="287">
        <f>'Encargos e Benefícios'!C404</f>
        <v>0</v>
      </c>
      <c r="D405" s="288"/>
      <c r="E405" s="300"/>
      <c r="F405" s="301"/>
      <c r="G405" s="293"/>
      <c r="H405" s="292"/>
      <c r="I405" s="256"/>
      <c r="J405" s="256"/>
      <c r="K405" s="256"/>
      <c r="L405" s="256"/>
      <c r="M405" s="293"/>
      <c r="N405" s="292"/>
      <c r="O405" s="256"/>
      <c r="P405" s="256"/>
      <c r="Q405" s="256"/>
      <c r="R405" s="256"/>
      <c r="S405" s="293"/>
      <c r="T405" s="294"/>
      <c r="U405" s="256"/>
      <c r="V405" s="256"/>
      <c r="W405" s="256"/>
      <c r="X405" s="256"/>
      <c r="Y405" s="293"/>
      <c r="Z405" s="294"/>
      <c r="AA405" s="256"/>
      <c r="AB405" s="256"/>
      <c r="AC405" s="256"/>
      <c r="AD405" s="256"/>
      <c r="AE405" s="293"/>
      <c r="AF405" s="294"/>
      <c r="AG405" s="256"/>
      <c r="AH405" s="256"/>
      <c r="AI405" s="256"/>
      <c r="AJ405" s="257"/>
      <c r="AK405" s="296">
        <f>'Encargos e Benefícios'!D404</f>
        <v>0</v>
      </c>
      <c r="AL405" s="296">
        <f>IF('Encargos e Benefícios'!C404=0,0,'Encargos e Benefícios'!U404/'Encargos e Benefícios'!C404)</f>
        <v>0</v>
      </c>
      <c r="AM405" s="296">
        <f>IF('Encargos e Benefícios'!C404=0,0,'Encargos e Benefícios'!AC404/'Encargos e Benefícios'!C404)</f>
        <v>0</v>
      </c>
      <c r="AN405" s="297">
        <f>IF('Encargos e Benefícios'!C404=0,0,'Encargos e Benefícios'!AD404/'Encargos e Benefícios'!C404)</f>
        <v>0</v>
      </c>
      <c r="AO405" s="188"/>
      <c r="AP405" s="298"/>
      <c r="AQ405" s="298"/>
      <c r="AR405" s="302"/>
      <c r="AS405" s="188"/>
    </row>
    <row r="406" spans="1:45" ht="13" hidden="1" thickBot="1">
      <c r="A406" s="286">
        <v>400</v>
      </c>
      <c r="B406" s="81">
        <f>'Encargos e Benefícios'!B405</f>
        <v>0</v>
      </c>
      <c r="C406" s="287">
        <f>'Encargos e Benefícios'!C405</f>
        <v>0</v>
      </c>
      <c r="D406" s="288"/>
      <c r="E406" s="300"/>
      <c r="F406" s="301"/>
      <c r="G406" s="293"/>
      <c r="H406" s="292"/>
      <c r="I406" s="256"/>
      <c r="J406" s="256"/>
      <c r="K406" s="256"/>
      <c r="L406" s="256"/>
      <c r="M406" s="293"/>
      <c r="N406" s="292"/>
      <c r="O406" s="256"/>
      <c r="P406" s="256"/>
      <c r="Q406" s="256"/>
      <c r="R406" s="256"/>
      <c r="S406" s="293"/>
      <c r="T406" s="294"/>
      <c r="U406" s="256"/>
      <c r="V406" s="256"/>
      <c r="W406" s="256"/>
      <c r="X406" s="256"/>
      <c r="Y406" s="293"/>
      <c r="Z406" s="294"/>
      <c r="AA406" s="256"/>
      <c r="AB406" s="256"/>
      <c r="AC406" s="256"/>
      <c r="AD406" s="256"/>
      <c r="AE406" s="293"/>
      <c r="AF406" s="294"/>
      <c r="AG406" s="256"/>
      <c r="AH406" s="256"/>
      <c r="AI406" s="256"/>
      <c r="AJ406" s="257"/>
      <c r="AK406" s="296">
        <f>'Encargos e Benefícios'!D405</f>
        <v>0</v>
      </c>
      <c r="AL406" s="296">
        <f>IF('Encargos e Benefícios'!C405=0,0,'Encargos e Benefícios'!U405/'Encargos e Benefícios'!C405)</f>
        <v>0</v>
      </c>
      <c r="AM406" s="296">
        <f>IF('Encargos e Benefícios'!C405=0,0,'Encargos e Benefícios'!AC405/'Encargos e Benefícios'!C405)</f>
        <v>0</v>
      </c>
      <c r="AN406" s="297">
        <f>IF('Encargos e Benefícios'!C405=0,0,'Encargos e Benefícios'!AD405/'Encargos e Benefícios'!C405)</f>
        <v>0</v>
      </c>
      <c r="AO406" s="188"/>
      <c r="AP406" s="298"/>
      <c r="AQ406" s="298"/>
      <c r="AR406" s="302"/>
      <c r="AS406" s="188"/>
    </row>
    <row r="407" spans="1:45" ht="13" hidden="1" thickBot="1">
      <c r="A407" s="286">
        <v>401</v>
      </c>
      <c r="B407" s="81">
        <f>'Encargos e Benefícios'!B406</f>
        <v>0</v>
      </c>
      <c r="C407" s="287">
        <f>'Encargos e Benefícios'!C406</f>
        <v>0</v>
      </c>
      <c r="D407" s="288"/>
      <c r="E407" s="300"/>
      <c r="F407" s="301"/>
      <c r="G407" s="293"/>
      <c r="H407" s="292"/>
      <c r="I407" s="256"/>
      <c r="J407" s="256"/>
      <c r="K407" s="256"/>
      <c r="L407" s="256"/>
      <c r="M407" s="293"/>
      <c r="N407" s="292"/>
      <c r="O407" s="256"/>
      <c r="P407" s="256"/>
      <c r="Q407" s="256"/>
      <c r="R407" s="256"/>
      <c r="S407" s="293"/>
      <c r="T407" s="294"/>
      <c r="U407" s="256"/>
      <c r="V407" s="256"/>
      <c r="W407" s="256"/>
      <c r="X407" s="256"/>
      <c r="Y407" s="293"/>
      <c r="Z407" s="294"/>
      <c r="AA407" s="256"/>
      <c r="AB407" s="256"/>
      <c r="AC407" s="256"/>
      <c r="AD407" s="256"/>
      <c r="AE407" s="293"/>
      <c r="AF407" s="294"/>
      <c r="AG407" s="256"/>
      <c r="AH407" s="256"/>
      <c r="AI407" s="256"/>
      <c r="AJ407" s="257"/>
      <c r="AK407" s="296">
        <f>'Encargos e Benefícios'!D406</f>
        <v>0</v>
      </c>
      <c r="AL407" s="296">
        <f>IF('Encargos e Benefícios'!C406=0,0,'Encargos e Benefícios'!U406/'Encargos e Benefícios'!C406)</f>
        <v>0</v>
      </c>
      <c r="AM407" s="296">
        <f>IF('Encargos e Benefícios'!C406=0,0,'Encargos e Benefícios'!AC406/'Encargos e Benefícios'!C406)</f>
        <v>0</v>
      </c>
      <c r="AN407" s="297">
        <f>IF('Encargos e Benefícios'!C406=0,0,'Encargos e Benefícios'!AD406/'Encargos e Benefícios'!C406)</f>
        <v>0</v>
      </c>
      <c r="AO407" s="188"/>
      <c r="AP407" s="298"/>
      <c r="AQ407" s="298"/>
      <c r="AR407" s="302"/>
      <c r="AS407" s="188"/>
    </row>
    <row r="408" spans="1:45" ht="13" hidden="1" thickBot="1">
      <c r="A408" s="286">
        <v>402</v>
      </c>
      <c r="B408" s="81">
        <f>'Encargos e Benefícios'!B407</f>
        <v>0</v>
      </c>
      <c r="C408" s="287">
        <f>'Encargos e Benefícios'!C407</f>
        <v>0</v>
      </c>
      <c r="D408" s="288"/>
      <c r="E408" s="300"/>
      <c r="F408" s="301"/>
      <c r="G408" s="293"/>
      <c r="H408" s="292"/>
      <c r="I408" s="256"/>
      <c r="J408" s="256"/>
      <c r="K408" s="256"/>
      <c r="L408" s="256"/>
      <c r="M408" s="293"/>
      <c r="N408" s="292"/>
      <c r="O408" s="256"/>
      <c r="P408" s="256"/>
      <c r="Q408" s="256"/>
      <c r="R408" s="256"/>
      <c r="S408" s="293"/>
      <c r="T408" s="294"/>
      <c r="U408" s="256"/>
      <c r="V408" s="256"/>
      <c r="W408" s="256"/>
      <c r="X408" s="256"/>
      <c r="Y408" s="293"/>
      <c r="Z408" s="294"/>
      <c r="AA408" s="256"/>
      <c r="AB408" s="256"/>
      <c r="AC408" s="256"/>
      <c r="AD408" s="256"/>
      <c r="AE408" s="293"/>
      <c r="AF408" s="294"/>
      <c r="AG408" s="256"/>
      <c r="AH408" s="256"/>
      <c r="AI408" s="256"/>
      <c r="AJ408" s="257"/>
      <c r="AK408" s="296">
        <f>'Encargos e Benefícios'!D407</f>
        <v>0</v>
      </c>
      <c r="AL408" s="296">
        <f>IF('Encargos e Benefícios'!C407=0,0,'Encargos e Benefícios'!U407/'Encargos e Benefícios'!C407)</f>
        <v>0</v>
      </c>
      <c r="AM408" s="296">
        <f>IF('Encargos e Benefícios'!C407=0,0,'Encargos e Benefícios'!AC407/'Encargos e Benefícios'!C407)</f>
        <v>0</v>
      </c>
      <c r="AN408" s="297">
        <f>IF('Encargos e Benefícios'!C407=0,0,'Encargos e Benefícios'!AD407/'Encargos e Benefícios'!C407)</f>
        <v>0</v>
      </c>
      <c r="AO408" s="188"/>
      <c r="AP408" s="298"/>
      <c r="AQ408" s="298"/>
      <c r="AR408" s="302"/>
      <c r="AS408" s="188"/>
    </row>
    <row r="409" spans="1:45" ht="13" hidden="1" thickBot="1">
      <c r="A409" s="286">
        <v>403</v>
      </c>
      <c r="B409" s="81">
        <f>'Encargos e Benefícios'!B408</f>
        <v>0</v>
      </c>
      <c r="C409" s="287">
        <f>'Encargos e Benefícios'!C408</f>
        <v>0</v>
      </c>
      <c r="D409" s="288"/>
      <c r="E409" s="300"/>
      <c r="F409" s="301"/>
      <c r="G409" s="293"/>
      <c r="H409" s="292"/>
      <c r="I409" s="256"/>
      <c r="J409" s="256"/>
      <c r="K409" s="256"/>
      <c r="L409" s="256"/>
      <c r="M409" s="293"/>
      <c r="N409" s="292"/>
      <c r="O409" s="256"/>
      <c r="P409" s="256"/>
      <c r="Q409" s="256"/>
      <c r="R409" s="256"/>
      <c r="S409" s="293"/>
      <c r="T409" s="294"/>
      <c r="U409" s="256"/>
      <c r="V409" s="256"/>
      <c r="W409" s="256"/>
      <c r="X409" s="256"/>
      <c r="Y409" s="293"/>
      <c r="Z409" s="294"/>
      <c r="AA409" s="256"/>
      <c r="AB409" s="256"/>
      <c r="AC409" s="256"/>
      <c r="AD409" s="256"/>
      <c r="AE409" s="293"/>
      <c r="AF409" s="294"/>
      <c r="AG409" s="256"/>
      <c r="AH409" s="256"/>
      <c r="AI409" s="256"/>
      <c r="AJ409" s="257"/>
      <c r="AK409" s="296">
        <f>'Encargos e Benefícios'!D408</f>
        <v>0</v>
      </c>
      <c r="AL409" s="296">
        <f>IF('Encargos e Benefícios'!C408=0,0,'Encargos e Benefícios'!U408/'Encargos e Benefícios'!C408)</f>
        <v>0</v>
      </c>
      <c r="AM409" s="296">
        <f>IF('Encargos e Benefícios'!C408=0,0,'Encargos e Benefícios'!AC408/'Encargos e Benefícios'!C408)</f>
        <v>0</v>
      </c>
      <c r="AN409" s="297">
        <f>IF('Encargos e Benefícios'!C408=0,0,'Encargos e Benefícios'!AD408/'Encargos e Benefícios'!C408)</f>
        <v>0</v>
      </c>
      <c r="AO409" s="188"/>
      <c r="AP409" s="298"/>
      <c r="AQ409" s="298"/>
      <c r="AR409" s="302"/>
      <c r="AS409" s="188"/>
    </row>
    <row r="410" spans="1:45" ht="13" hidden="1" thickBot="1">
      <c r="A410" s="286">
        <v>404</v>
      </c>
      <c r="B410" s="81">
        <f>'Encargos e Benefícios'!B409</f>
        <v>0</v>
      </c>
      <c r="C410" s="287">
        <f>'Encargos e Benefícios'!C409</f>
        <v>0</v>
      </c>
      <c r="D410" s="288"/>
      <c r="E410" s="300"/>
      <c r="F410" s="301"/>
      <c r="G410" s="293"/>
      <c r="H410" s="292"/>
      <c r="I410" s="256"/>
      <c r="J410" s="256"/>
      <c r="K410" s="256"/>
      <c r="L410" s="256"/>
      <c r="M410" s="293"/>
      <c r="N410" s="292"/>
      <c r="O410" s="256"/>
      <c r="P410" s="256"/>
      <c r="Q410" s="256"/>
      <c r="R410" s="256"/>
      <c r="S410" s="293"/>
      <c r="T410" s="294"/>
      <c r="U410" s="256"/>
      <c r="V410" s="256"/>
      <c r="W410" s="256"/>
      <c r="X410" s="256"/>
      <c r="Y410" s="293"/>
      <c r="Z410" s="294"/>
      <c r="AA410" s="256"/>
      <c r="AB410" s="256"/>
      <c r="AC410" s="256"/>
      <c r="AD410" s="256"/>
      <c r="AE410" s="293"/>
      <c r="AF410" s="294"/>
      <c r="AG410" s="256"/>
      <c r="AH410" s="256"/>
      <c r="AI410" s="256"/>
      <c r="AJ410" s="257"/>
      <c r="AK410" s="296">
        <f>'Encargos e Benefícios'!D409</f>
        <v>0</v>
      </c>
      <c r="AL410" s="296">
        <f>IF('Encargos e Benefícios'!C409=0,0,'Encargos e Benefícios'!U409/'Encargos e Benefícios'!C409)</f>
        <v>0</v>
      </c>
      <c r="AM410" s="296">
        <f>IF('Encargos e Benefícios'!C409=0,0,'Encargos e Benefícios'!AC409/'Encargos e Benefícios'!C409)</f>
        <v>0</v>
      </c>
      <c r="AN410" s="297">
        <f>IF('Encargos e Benefícios'!C409=0,0,'Encargos e Benefícios'!AD409/'Encargos e Benefícios'!C409)</f>
        <v>0</v>
      </c>
      <c r="AO410" s="188"/>
      <c r="AP410" s="298"/>
      <c r="AQ410" s="298"/>
      <c r="AR410" s="302"/>
      <c r="AS410" s="188"/>
    </row>
    <row r="411" spans="1:45" ht="13" hidden="1" thickBot="1">
      <c r="A411" s="286">
        <v>405</v>
      </c>
      <c r="B411" s="81">
        <f>'Encargos e Benefícios'!B410</f>
        <v>0</v>
      </c>
      <c r="C411" s="287">
        <f>'Encargos e Benefícios'!C410</f>
        <v>0</v>
      </c>
      <c r="D411" s="288"/>
      <c r="E411" s="300"/>
      <c r="F411" s="301"/>
      <c r="G411" s="293"/>
      <c r="H411" s="292"/>
      <c r="I411" s="256"/>
      <c r="J411" s="256"/>
      <c r="K411" s="256"/>
      <c r="L411" s="256"/>
      <c r="M411" s="293"/>
      <c r="N411" s="292"/>
      <c r="O411" s="256"/>
      <c r="P411" s="256"/>
      <c r="Q411" s="256"/>
      <c r="R411" s="256"/>
      <c r="S411" s="293"/>
      <c r="T411" s="294"/>
      <c r="U411" s="256"/>
      <c r="V411" s="256"/>
      <c r="W411" s="256"/>
      <c r="X411" s="256"/>
      <c r="Y411" s="293"/>
      <c r="Z411" s="294"/>
      <c r="AA411" s="256"/>
      <c r="AB411" s="256"/>
      <c r="AC411" s="256"/>
      <c r="AD411" s="256"/>
      <c r="AE411" s="293"/>
      <c r="AF411" s="294"/>
      <c r="AG411" s="256"/>
      <c r="AH411" s="256"/>
      <c r="AI411" s="256"/>
      <c r="AJ411" s="257"/>
      <c r="AK411" s="296">
        <f>'Encargos e Benefícios'!D410</f>
        <v>0</v>
      </c>
      <c r="AL411" s="296">
        <f>IF('Encargos e Benefícios'!C410=0,0,'Encargos e Benefícios'!U410/'Encargos e Benefícios'!C410)</f>
        <v>0</v>
      </c>
      <c r="AM411" s="296">
        <f>IF('Encargos e Benefícios'!C410=0,0,'Encargos e Benefícios'!AC410/'Encargos e Benefícios'!C410)</f>
        <v>0</v>
      </c>
      <c r="AN411" s="297">
        <f>IF('Encargos e Benefícios'!C410=0,0,'Encargos e Benefícios'!AD410/'Encargos e Benefícios'!C410)</f>
        <v>0</v>
      </c>
      <c r="AO411" s="188"/>
      <c r="AP411" s="298"/>
      <c r="AQ411" s="298"/>
      <c r="AR411" s="302"/>
      <c r="AS411" s="188"/>
    </row>
    <row r="412" spans="1:45" ht="13" hidden="1" thickBot="1">
      <c r="A412" s="286">
        <v>406</v>
      </c>
      <c r="B412" s="81">
        <f>'Encargos e Benefícios'!B411</f>
        <v>0</v>
      </c>
      <c r="C412" s="287">
        <f>'Encargos e Benefícios'!C411</f>
        <v>0</v>
      </c>
      <c r="D412" s="288"/>
      <c r="E412" s="300"/>
      <c r="F412" s="301"/>
      <c r="G412" s="293"/>
      <c r="H412" s="292"/>
      <c r="I412" s="256"/>
      <c r="J412" s="256"/>
      <c r="K412" s="256"/>
      <c r="L412" s="256"/>
      <c r="M412" s="293"/>
      <c r="N412" s="292"/>
      <c r="O412" s="256"/>
      <c r="P412" s="256"/>
      <c r="Q412" s="256"/>
      <c r="R412" s="256"/>
      <c r="S412" s="293"/>
      <c r="T412" s="294"/>
      <c r="U412" s="256"/>
      <c r="V412" s="256"/>
      <c r="W412" s="256"/>
      <c r="X412" s="256"/>
      <c r="Y412" s="293"/>
      <c r="Z412" s="294"/>
      <c r="AA412" s="256"/>
      <c r="AB412" s="256"/>
      <c r="AC412" s="256"/>
      <c r="AD412" s="256"/>
      <c r="AE412" s="293"/>
      <c r="AF412" s="294"/>
      <c r="AG412" s="256"/>
      <c r="AH412" s="256"/>
      <c r="AI412" s="256"/>
      <c r="AJ412" s="257"/>
      <c r="AK412" s="296">
        <f>'Encargos e Benefícios'!D411</f>
        <v>0</v>
      </c>
      <c r="AL412" s="296">
        <f>IF('Encargos e Benefícios'!C411=0,0,'Encargos e Benefícios'!U411/'Encargos e Benefícios'!C411)</f>
        <v>0</v>
      </c>
      <c r="AM412" s="296">
        <f>IF('Encargos e Benefícios'!C411=0,0,'Encargos e Benefícios'!AC411/'Encargos e Benefícios'!C411)</f>
        <v>0</v>
      </c>
      <c r="AN412" s="297">
        <f>IF('Encargos e Benefícios'!C411=0,0,'Encargos e Benefícios'!AD411/'Encargos e Benefícios'!C411)</f>
        <v>0</v>
      </c>
      <c r="AO412" s="188"/>
      <c r="AP412" s="298"/>
      <c r="AQ412" s="298"/>
      <c r="AR412" s="302"/>
      <c r="AS412" s="188"/>
    </row>
    <row r="413" spans="1:45" ht="13" hidden="1" thickBot="1">
      <c r="A413" s="286">
        <v>407</v>
      </c>
      <c r="B413" s="81">
        <f>'Encargos e Benefícios'!B412</f>
        <v>0</v>
      </c>
      <c r="C413" s="287">
        <f>'Encargos e Benefícios'!C412</f>
        <v>0</v>
      </c>
      <c r="D413" s="288"/>
      <c r="E413" s="300"/>
      <c r="F413" s="301"/>
      <c r="G413" s="293"/>
      <c r="H413" s="292"/>
      <c r="I413" s="256"/>
      <c r="J413" s="256"/>
      <c r="K413" s="256"/>
      <c r="L413" s="256"/>
      <c r="M413" s="293"/>
      <c r="N413" s="292"/>
      <c r="O413" s="256"/>
      <c r="P413" s="256"/>
      <c r="Q413" s="256"/>
      <c r="R413" s="256"/>
      <c r="S413" s="293"/>
      <c r="T413" s="294"/>
      <c r="U413" s="256"/>
      <c r="V413" s="256"/>
      <c r="W413" s="256"/>
      <c r="X413" s="256"/>
      <c r="Y413" s="293"/>
      <c r="Z413" s="294"/>
      <c r="AA413" s="256"/>
      <c r="AB413" s="256"/>
      <c r="AC413" s="256"/>
      <c r="AD413" s="256"/>
      <c r="AE413" s="293"/>
      <c r="AF413" s="294"/>
      <c r="AG413" s="256"/>
      <c r="AH413" s="256"/>
      <c r="AI413" s="256"/>
      <c r="AJ413" s="257"/>
      <c r="AK413" s="296">
        <f>'Encargos e Benefícios'!D412</f>
        <v>0</v>
      </c>
      <c r="AL413" s="296">
        <f>IF('Encargos e Benefícios'!C412=0,0,'Encargos e Benefícios'!U412/'Encargos e Benefícios'!C412)</f>
        <v>0</v>
      </c>
      <c r="AM413" s="296">
        <f>IF('Encargos e Benefícios'!C412=0,0,'Encargos e Benefícios'!AC412/'Encargos e Benefícios'!C412)</f>
        <v>0</v>
      </c>
      <c r="AN413" s="297">
        <f>IF('Encargos e Benefícios'!C412=0,0,'Encargos e Benefícios'!AD412/'Encargos e Benefícios'!C412)</f>
        <v>0</v>
      </c>
      <c r="AO413" s="188"/>
      <c r="AP413" s="298"/>
      <c r="AQ413" s="298"/>
      <c r="AR413" s="302"/>
      <c r="AS413" s="188"/>
    </row>
    <row r="414" spans="1:45" ht="13" hidden="1" thickBot="1">
      <c r="A414" s="286">
        <v>408</v>
      </c>
      <c r="B414" s="81">
        <f>'Encargos e Benefícios'!B413</f>
        <v>0</v>
      </c>
      <c r="C414" s="287">
        <f>'Encargos e Benefícios'!C413</f>
        <v>0</v>
      </c>
      <c r="D414" s="288"/>
      <c r="E414" s="300"/>
      <c r="F414" s="301"/>
      <c r="G414" s="293"/>
      <c r="H414" s="292"/>
      <c r="I414" s="256"/>
      <c r="J414" s="256"/>
      <c r="K414" s="256"/>
      <c r="L414" s="256"/>
      <c r="M414" s="293"/>
      <c r="N414" s="292"/>
      <c r="O414" s="256"/>
      <c r="P414" s="256"/>
      <c r="Q414" s="256"/>
      <c r="R414" s="256"/>
      <c r="S414" s="293"/>
      <c r="T414" s="294"/>
      <c r="U414" s="256"/>
      <c r="V414" s="256"/>
      <c r="W414" s="256"/>
      <c r="X414" s="256"/>
      <c r="Y414" s="293"/>
      <c r="Z414" s="294"/>
      <c r="AA414" s="256"/>
      <c r="AB414" s="256"/>
      <c r="AC414" s="256"/>
      <c r="AD414" s="256"/>
      <c r="AE414" s="293"/>
      <c r="AF414" s="294"/>
      <c r="AG414" s="256"/>
      <c r="AH414" s="256"/>
      <c r="AI414" s="256"/>
      <c r="AJ414" s="257"/>
      <c r="AK414" s="296">
        <f>'Encargos e Benefícios'!D413</f>
        <v>0</v>
      </c>
      <c r="AL414" s="296">
        <f>IF('Encargos e Benefícios'!C413=0,0,'Encargos e Benefícios'!U413/'Encargos e Benefícios'!C413)</f>
        <v>0</v>
      </c>
      <c r="AM414" s="296">
        <f>IF('Encargos e Benefícios'!C413=0,0,'Encargos e Benefícios'!AC413/'Encargos e Benefícios'!C413)</f>
        <v>0</v>
      </c>
      <c r="AN414" s="297">
        <f>IF('Encargos e Benefícios'!C413=0,0,'Encargos e Benefícios'!AD413/'Encargos e Benefícios'!C413)</f>
        <v>0</v>
      </c>
      <c r="AO414" s="188"/>
      <c r="AP414" s="298"/>
      <c r="AQ414" s="298"/>
      <c r="AR414" s="302"/>
      <c r="AS414" s="188"/>
    </row>
    <row r="415" spans="1:45" ht="13" hidden="1" thickBot="1">
      <c r="A415" s="286">
        <v>409</v>
      </c>
      <c r="B415" s="81">
        <f>'Encargos e Benefícios'!B414</f>
        <v>0</v>
      </c>
      <c r="C415" s="287">
        <f>'Encargos e Benefícios'!C414</f>
        <v>0</v>
      </c>
      <c r="D415" s="288"/>
      <c r="E415" s="300"/>
      <c r="F415" s="301"/>
      <c r="G415" s="293"/>
      <c r="H415" s="292"/>
      <c r="I415" s="256"/>
      <c r="J415" s="256"/>
      <c r="K415" s="256"/>
      <c r="L415" s="256"/>
      <c r="M415" s="293"/>
      <c r="N415" s="292"/>
      <c r="O415" s="256"/>
      <c r="P415" s="256"/>
      <c r="Q415" s="256"/>
      <c r="R415" s="256"/>
      <c r="S415" s="293"/>
      <c r="T415" s="294"/>
      <c r="U415" s="256"/>
      <c r="V415" s="256"/>
      <c r="W415" s="256"/>
      <c r="X415" s="256"/>
      <c r="Y415" s="293"/>
      <c r="Z415" s="294"/>
      <c r="AA415" s="256"/>
      <c r="AB415" s="256"/>
      <c r="AC415" s="256"/>
      <c r="AD415" s="256"/>
      <c r="AE415" s="293"/>
      <c r="AF415" s="294"/>
      <c r="AG415" s="256"/>
      <c r="AH415" s="256"/>
      <c r="AI415" s="256"/>
      <c r="AJ415" s="257"/>
      <c r="AK415" s="296">
        <f>'Encargos e Benefícios'!D414</f>
        <v>0</v>
      </c>
      <c r="AL415" s="296">
        <f>IF('Encargos e Benefícios'!C414=0,0,'Encargos e Benefícios'!U414/'Encargos e Benefícios'!C414)</f>
        <v>0</v>
      </c>
      <c r="AM415" s="296">
        <f>IF('Encargos e Benefícios'!C414=0,0,'Encargos e Benefícios'!AC414/'Encargos e Benefícios'!C414)</f>
        <v>0</v>
      </c>
      <c r="AN415" s="297">
        <f>IF('Encargos e Benefícios'!C414=0,0,'Encargos e Benefícios'!AD414/'Encargos e Benefícios'!C414)</f>
        <v>0</v>
      </c>
      <c r="AO415" s="188"/>
      <c r="AP415" s="298"/>
      <c r="AQ415" s="298"/>
      <c r="AR415" s="302"/>
      <c r="AS415" s="188"/>
    </row>
    <row r="416" spans="1:45" ht="13" hidden="1" thickBot="1">
      <c r="A416" s="286">
        <v>410</v>
      </c>
      <c r="B416" s="81">
        <f>'Encargos e Benefícios'!B415</f>
        <v>0</v>
      </c>
      <c r="C416" s="287">
        <f>'Encargos e Benefícios'!C415</f>
        <v>0</v>
      </c>
      <c r="D416" s="288"/>
      <c r="E416" s="300"/>
      <c r="F416" s="301"/>
      <c r="G416" s="293"/>
      <c r="H416" s="292"/>
      <c r="I416" s="256"/>
      <c r="J416" s="256"/>
      <c r="K416" s="256"/>
      <c r="L416" s="256"/>
      <c r="M416" s="293"/>
      <c r="N416" s="292"/>
      <c r="O416" s="256"/>
      <c r="P416" s="256"/>
      <c r="Q416" s="256"/>
      <c r="R416" s="256"/>
      <c r="S416" s="293"/>
      <c r="T416" s="294"/>
      <c r="U416" s="256"/>
      <c r="V416" s="256"/>
      <c r="W416" s="256"/>
      <c r="X416" s="256"/>
      <c r="Y416" s="293"/>
      <c r="Z416" s="294"/>
      <c r="AA416" s="256"/>
      <c r="AB416" s="256"/>
      <c r="AC416" s="256"/>
      <c r="AD416" s="256"/>
      <c r="AE416" s="293"/>
      <c r="AF416" s="294"/>
      <c r="AG416" s="256"/>
      <c r="AH416" s="256"/>
      <c r="AI416" s="256"/>
      <c r="AJ416" s="257"/>
      <c r="AK416" s="296">
        <f>'Encargos e Benefícios'!D415</f>
        <v>0</v>
      </c>
      <c r="AL416" s="296">
        <f>IF('Encargos e Benefícios'!C415=0,0,'Encargos e Benefícios'!U415/'Encargos e Benefícios'!C415)</f>
        <v>0</v>
      </c>
      <c r="AM416" s="296">
        <f>IF('Encargos e Benefícios'!C415=0,0,'Encargos e Benefícios'!AC415/'Encargos e Benefícios'!C415)</f>
        <v>0</v>
      </c>
      <c r="AN416" s="297">
        <f>IF('Encargos e Benefícios'!C415=0,0,'Encargos e Benefícios'!AD415/'Encargos e Benefícios'!C415)</f>
        <v>0</v>
      </c>
      <c r="AO416" s="188"/>
      <c r="AP416" s="298"/>
      <c r="AQ416" s="298"/>
      <c r="AR416" s="302"/>
      <c r="AS416" s="188"/>
    </row>
    <row r="417" spans="1:45" ht="13" hidden="1" thickBot="1">
      <c r="A417" s="286">
        <v>411</v>
      </c>
      <c r="B417" s="81">
        <f>'Encargos e Benefícios'!B416</f>
        <v>0</v>
      </c>
      <c r="C417" s="287">
        <f>'Encargos e Benefícios'!C416</f>
        <v>0</v>
      </c>
      <c r="D417" s="288"/>
      <c r="E417" s="300"/>
      <c r="F417" s="301"/>
      <c r="G417" s="293"/>
      <c r="H417" s="292"/>
      <c r="I417" s="256"/>
      <c r="J417" s="256"/>
      <c r="K417" s="256"/>
      <c r="L417" s="256"/>
      <c r="M417" s="293"/>
      <c r="N417" s="292"/>
      <c r="O417" s="256"/>
      <c r="P417" s="256"/>
      <c r="Q417" s="256"/>
      <c r="R417" s="256"/>
      <c r="S417" s="293"/>
      <c r="T417" s="294"/>
      <c r="U417" s="256"/>
      <c r="V417" s="256"/>
      <c r="W417" s="256"/>
      <c r="X417" s="256"/>
      <c r="Y417" s="293"/>
      <c r="Z417" s="294"/>
      <c r="AA417" s="256"/>
      <c r="AB417" s="256"/>
      <c r="AC417" s="256"/>
      <c r="AD417" s="256"/>
      <c r="AE417" s="293"/>
      <c r="AF417" s="294"/>
      <c r="AG417" s="256"/>
      <c r="AH417" s="256"/>
      <c r="AI417" s="256"/>
      <c r="AJ417" s="257"/>
      <c r="AK417" s="296">
        <f>'Encargos e Benefícios'!D416</f>
        <v>0</v>
      </c>
      <c r="AL417" s="296">
        <f>IF('Encargos e Benefícios'!C416=0,0,'Encargos e Benefícios'!U416/'Encargos e Benefícios'!C416)</f>
        <v>0</v>
      </c>
      <c r="AM417" s="296">
        <f>IF('Encargos e Benefícios'!C416=0,0,'Encargos e Benefícios'!AC416/'Encargos e Benefícios'!C416)</f>
        <v>0</v>
      </c>
      <c r="AN417" s="297">
        <f>IF('Encargos e Benefícios'!C416=0,0,'Encargos e Benefícios'!AD416/'Encargos e Benefícios'!C416)</f>
        <v>0</v>
      </c>
      <c r="AO417" s="188"/>
      <c r="AP417" s="298"/>
      <c r="AQ417" s="298"/>
      <c r="AR417" s="302"/>
      <c r="AS417" s="188"/>
    </row>
    <row r="418" spans="1:45" ht="13" hidden="1" thickBot="1">
      <c r="A418" s="286">
        <v>412</v>
      </c>
      <c r="B418" s="81">
        <f>'Encargos e Benefícios'!B417</f>
        <v>0</v>
      </c>
      <c r="C418" s="287">
        <f>'Encargos e Benefícios'!C417</f>
        <v>0</v>
      </c>
      <c r="D418" s="288"/>
      <c r="E418" s="300"/>
      <c r="F418" s="301"/>
      <c r="G418" s="293"/>
      <c r="H418" s="292"/>
      <c r="I418" s="256"/>
      <c r="J418" s="256"/>
      <c r="K418" s="256"/>
      <c r="L418" s="256"/>
      <c r="M418" s="293"/>
      <c r="N418" s="292"/>
      <c r="O418" s="256"/>
      <c r="P418" s="256"/>
      <c r="Q418" s="256"/>
      <c r="R418" s="256"/>
      <c r="S418" s="293"/>
      <c r="T418" s="294"/>
      <c r="U418" s="256"/>
      <c r="V418" s="256"/>
      <c r="W418" s="256"/>
      <c r="X418" s="256"/>
      <c r="Y418" s="293"/>
      <c r="Z418" s="294"/>
      <c r="AA418" s="256"/>
      <c r="AB418" s="256"/>
      <c r="AC418" s="256"/>
      <c r="AD418" s="256"/>
      <c r="AE418" s="293"/>
      <c r="AF418" s="294"/>
      <c r="AG418" s="256"/>
      <c r="AH418" s="256"/>
      <c r="AI418" s="256"/>
      <c r="AJ418" s="257"/>
      <c r="AK418" s="296">
        <f>'Encargos e Benefícios'!D417</f>
        <v>0</v>
      </c>
      <c r="AL418" s="296">
        <f>IF('Encargos e Benefícios'!C417=0,0,'Encargos e Benefícios'!U417/'Encargos e Benefícios'!C417)</f>
        <v>0</v>
      </c>
      <c r="AM418" s="296">
        <f>IF('Encargos e Benefícios'!C417=0,0,'Encargos e Benefícios'!AC417/'Encargos e Benefícios'!C417)</f>
        <v>0</v>
      </c>
      <c r="AN418" s="297">
        <f>IF('Encargos e Benefícios'!C417=0,0,'Encargos e Benefícios'!AD417/'Encargos e Benefícios'!C417)</f>
        <v>0</v>
      </c>
      <c r="AO418" s="188"/>
      <c r="AP418" s="298"/>
      <c r="AQ418" s="298"/>
      <c r="AR418" s="302"/>
      <c r="AS418" s="188"/>
    </row>
    <row r="419" spans="1:45" ht="13" hidden="1" thickBot="1">
      <c r="A419" s="286">
        <v>413</v>
      </c>
      <c r="B419" s="81">
        <f>'Encargos e Benefícios'!B418</f>
        <v>0</v>
      </c>
      <c r="C419" s="287">
        <f>'Encargos e Benefícios'!C418</f>
        <v>0</v>
      </c>
      <c r="D419" s="288"/>
      <c r="E419" s="300"/>
      <c r="F419" s="301"/>
      <c r="G419" s="293"/>
      <c r="H419" s="292"/>
      <c r="I419" s="256"/>
      <c r="J419" s="256"/>
      <c r="K419" s="256"/>
      <c r="L419" s="256"/>
      <c r="M419" s="293"/>
      <c r="N419" s="292"/>
      <c r="O419" s="256"/>
      <c r="P419" s="256"/>
      <c r="Q419" s="256"/>
      <c r="R419" s="256"/>
      <c r="S419" s="293"/>
      <c r="T419" s="294"/>
      <c r="U419" s="256"/>
      <c r="V419" s="256"/>
      <c r="W419" s="256"/>
      <c r="X419" s="256"/>
      <c r="Y419" s="293"/>
      <c r="Z419" s="294"/>
      <c r="AA419" s="256"/>
      <c r="AB419" s="256"/>
      <c r="AC419" s="256"/>
      <c r="AD419" s="256"/>
      <c r="AE419" s="293"/>
      <c r="AF419" s="294"/>
      <c r="AG419" s="256"/>
      <c r="AH419" s="256"/>
      <c r="AI419" s="256"/>
      <c r="AJ419" s="257"/>
      <c r="AK419" s="296">
        <f>'Encargos e Benefícios'!D418</f>
        <v>0</v>
      </c>
      <c r="AL419" s="296">
        <f>IF('Encargos e Benefícios'!C418=0,0,'Encargos e Benefícios'!U418/'Encargos e Benefícios'!C418)</f>
        <v>0</v>
      </c>
      <c r="AM419" s="296">
        <f>IF('Encargos e Benefícios'!C418=0,0,'Encargos e Benefícios'!AC418/'Encargos e Benefícios'!C418)</f>
        <v>0</v>
      </c>
      <c r="AN419" s="297">
        <f>IF('Encargos e Benefícios'!C418=0,0,'Encargos e Benefícios'!AD418/'Encargos e Benefícios'!C418)</f>
        <v>0</v>
      </c>
      <c r="AO419" s="188"/>
      <c r="AP419" s="298"/>
      <c r="AQ419" s="298"/>
      <c r="AR419" s="302"/>
      <c r="AS419" s="188"/>
    </row>
    <row r="420" spans="1:45" ht="13" hidden="1" thickBot="1">
      <c r="A420" s="286">
        <v>414</v>
      </c>
      <c r="B420" s="81">
        <f>'Encargos e Benefícios'!B419</f>
        <v>0</v>
      </c>
      <c r="C420" s="287">
        <f>'Encargos e Benefícios'!C419</f>
        <v>0</v>
      </c>
      <c r="D420" s="288"/>
      <c r="E420" s="300"/>
      <c r="F420" s="301"/>
      <c r="G420" s="293"/>
      <c r="H420" s="292"/>
      <c r="I420" s="256"/>
      <c r="J420" s="256"/>
      <c r="K420" s="256"/>
      <c r="L420" s="256"/>
      <c r="M420" s="293"/>
      <c r="N420" s="292"/>
      <c r="O420" s="256"/>
      <c r="P420" s="256"/>
      <c r="Q420" s="256"/>
      <c r="R420" s="256"/>
      <c r="S420" s="293"/>
      <c r="T420" s="294"/>
      <c r="U420" s="256"/>
      <c r="V420" s="256"/>
      <c r="W420" s="256"/>
      <c r="X420" s="256"/>
      <c r="Y420" s="293"/>
      <c r="Z420" s="294"/>
      <c r="AA420" s="256"/>
      <c r="AB420" s="256"/>
      <c r="AC420" s="256"/>
      <c r="AD420" s="256"/>
      <c r="AE420" s="293"/>
      <c r="AF420" s="294"/>
      <c r="AG420" s="256"/>
      <c r="AH420" s="256"/>
      <c r="AI420" s="256"/>
      <c r="AJ420" s="257"/>
      <c r="AK420" s="296">
        <f>'Encargos e Benefícios'!D419</f>
        <v>0</v>
      </c>
      <c r="AL420" s="296">
        <f>IF('Encargos e Benefícios'!C419=0,0,'Encargos e Benefícios'!U419/'Encargos e Benefícios'!C419)</f>
        <v>0</v>
      </c>
      <c r="AM420" s="296">
        <f>IF('Encargos e Benefícios'!C419=0,0,'Encargos e Benefícios'!AC419/'Encargos e Benefícios'!C419)</f>
        <v>0</v>
      </c>
      <c r="AN420" s="297">
        <f>IF('Encargos e Benefícios'!C419=0,0,'Encargos e Benefícios'!AD419/'Encargos e Benefícios'!C419)</f>
        <v>0</v>
      </c>
      <c r="AO420" s="188"/>
      <c r="AP420" s="298"/>
      <c r="AQ420" s="298"/>
      <c r="AR420" s="302"/>
      <c r="AS420" s="188"/>
    </row>
    <row r="421" spans="1:45" ht="13" hidden="1" thickBot="1">
      <c r="A421" s="286">
        <v>415</v>
      </c>
      <c r="B421" s="81">
        <f>'Encargos e Benefícios'!B420</f>
        <v>0</v>
      </c>
      <c r="C421" s="287">
        <f>'Encargos e Benefícios'!C420</f>
        <v>0</v>
      </c>
      <c r="D421" s="288"/>
      <c r="E421" s="300"/>
      <c r="F421" s="301"/>
      <c r="G421" s="293"/>
      <c r="H421" s="292"/>
      <c r="I421" s="256"/>
      <c r="J421" s="256"/>
      <c r="K421" s="256"/>
      <c r="L421" s="256"/>
      <c r="M421" s="293"/>
      <c r="N421" s="292"/>
      <c r="O421" s="256"/>
      <c r="P421" s="256"/>
      <c r="Q421" s="256"/>
      <c r="R421" s="256"/>
      <c r="S421" s="293"/>
      <c r="T421" s="294"/>
      <c r="U421" s="256"/>
      <c r="V421" s="256"/>
      <c r="W421" s="256"/>
      <c r="X421" s="256"/>
      <c r="Y421" s="293"/>
      <c r="Z421" s="294"/>
      <c r="AA421" s="256"/>
      <c r="AB421" s="256"/>
      <c r="AC421" s="256"/>
      <c r="AD421" s="256"/>
      <c r="AE421" s="293"/>
      <c r="AF421" s="294"/>
      <c r="AG421" s="256"/>
      <c r="AH421" s="256"/>
      <c r="AI421" s="256"/>
      <c r="AJ421" s="257"/>
      <c r="AK421" s="296">
        <f>'Encargos e Benefícios'!D420</f>
        <v>0</v>
      </c>
      <c r="AL421" s="296">
        <f>IF('Encargos e Benefícios'!C420=0,0,'Encargos e Benefícios'!U420/'Encargos e Benefícios'!C420)</f>
        <v>0</v>
      </c>
      <c r="AM421" s="296">
        <f>IF('Encargos e Benefícios'!C420=0,0,'Encargos e Benefícios'!AC420/'Encargos e Benefícios'!C420)</f>
        <v>0</v>
      </c>
      <c r="AN421" s="297">
        <f>IF('Encargos e Benefícios'!C420=0,0,'Encargos e Benefícios'!AD420/'Encargos e Benefícios'!C420)</f>
        <v>0</v>
      </c>
      <c r="AO421" s="188"/>
      <c r="AP421" s="298"/>
      <c r="AQ421" s="298"/>
      <c r="AR421" s="302"/>
      <c r="AS421" s="188"/>
    </row>
    <row r="422" spans="1:45" ht="13" hidden="1" thickBot="1">
      <c r="A422" s="286">
        <v>416</v>
      </c>
      <c r="B422" s="81">
        <f>'Encargos e Benefícios'!B421</f>
        <v>0</v>
      </c>
      <c r="C422" s="287">
        <f>'Encargos e Benefícios'!C421</f>
        <v>0</v>
      </c>
      <c r="D422" s="288"/>
      <c r="E422" s="300"/>
      <c r="F422" s="301"/>
      <c r="G422" s="293"/>
      <c r="H422" s="292"/>
      <c r="I422" s="256"/>
      <c r="J422" s="256"/>
      <c r="K422" s="256"/>
      <c r="L422" s="256"/>
      <c r="M422" s="293"/>
      <c r="N422" s="292"/>
      <c r="O422" s="256"/>
      <c r="P422" s="256"/>
      <c r="Q422" s="256"/>
      <c r="R422" s="256"/>
      <c r="S422" s="293"/>
      <c r="T422" s="294"/>
      <c r="U422" s="256"/>
      <c r="V422" s="256"/>
      <c r="W422" s="256"/>
      <c r="X422" s="256"/>
      <c r="Y422" s="293"/>
      <c r="Z422" s="294"/>
      <c r="AA422" s="256"/>
      <c r="AB422" s="256"/>
      <c r="AC422" s="256"/>
      <c r="AD422" s="256"/>
      <c r="AE422" s="293"/>
      <c r="AF422" s="294"/>
      <c r="AG422" s="256"/>
      <c r="AH422" s="256"/>
      <c r="AI422" s="256"/>
      <c r="AJ422" s="257"/>
      <c r="AK422" s="296">
        <f>'Encargos e Benefícios'!D421</f>
        <v>0</v>
      </c>
      <c r="AL422" s="296">
        <f>IF('Encargos e Benefícios'!C421=0,0,'Encargos e Benefícios'!U421/'Encargos e Benefícios'!C421)</f>
        <v>0</v>
      </c>
      <c r="AM422" s="296">
        <f>IF('Encargos e Benefícios'!C421=0,0,'Encargos e Benefícios'!AC421/'Encargos e Benefícios'!C421)</f>
        <v>0</v>
      </c>
      <c r="AN422" s="297">
        <f>IF('Encargos e Benefícios'!C421=0,0,'Encargos e Benefícios'!AD421/'Encargos e Benefícios'!C421)</f>
        <v>0</v>
      </c>
      <c r="AO422" s="188"/>
      <c r="AP422" s="298"/>
      <c r="AQ422" s="298"/>
      <c r="AR422" s="302"/>
      <c r="AS422" s="188"/>
    </row>
    <row r="423" spans="1:45" ht="13" hidden="1" thickBot="1">
      <c r="A423" s="286">
        <v>417</v>
      </c>
      <c r="B423" s="81">
        <f>'Encargos e Benefícios'!B422</f>
        <v>0</v>
      </c>
      <c r="C423" s="287">
        <f>'Encargos e Benefícios'!C422</f>
        <v>0</v>
      </c>
      <c r="D423" s="288"/>
      <c r="E423" s="300"/>
      <c r="F423" s="301"/>
      <c r="G423" s="293"/>
      <c r="H423" s="292"/>
      <c r="I423" s="256"/>
      <c r="J423" s="256"/>
      <c r="K423" s="256"/>
      <c r="L423" s="256"/>
      <c r="M423" s="293"/>
      <c r="N423" s="292"/>
      <c r="O423" s="256"/>
      <c r="P423" s="256"/>
      <c r="Q423" s="256"/>
      <c r="R423" s="256"/>
      <c r="S423" s="293"/>
      <c r="T423" s="294"/>
      <c r="U423" s="256"/>
      <c r="V423" s="256"/>
      <c r="W423" s="256"/>
      <c r="X423" s="256"/>
      <c r="Y423" s="293"/>
      <c r="Z423" s="294"/>
      <c r="AA423" s="256"/>
      <c r="AB423" s="256"/>
      <c r="AC423" s="256"/>
      <c r="AD423" s="256"/>
      <c r="AE423" s="293"/>
      <c r="AF423" s="294"/>
      <c r="AG423" s="256"/>
      <c r="AH423" s="256"/>
      <c r="AI423" s="256"/>
      <c r="AJ423" s="257"/>
      <c r="AK423" s="296">
        <f>'Encargos e Benefícios'!D422</f>
        <v>0</v>
      </c>
      <c r="AL423" s="296">
        <f>IF('Encargos e Benefícios'!C422=0,0,'Encargos e Benefícios'!U422/'Encargos e Benefícios'!C422)</f>
        <v>0</v>
      </c>
      <c r="AM423" s="296">
        <f>IF('Encargos e Benefícios'!C422=0,0,'Encargos e Benefícios'!AC422/'Encargos e Benefícios'!C422)</f>
        <v>0</v>
      </c>
      <c r="AN423" s="297">
        <f>IF('Encargos e Benefícios'!C422=0,0,'Encargos e Benefícios'!AD422/'Encargos e Benefícios'!C422)</f>
        <v>0</v>
      </c>
      <c r="AO423" s="188"/>
      <c r="AP423" s="298"/>
      <c r="AQ423" s="298"/>
      <c r="AR423" s="302"/>
      <c r="AS423" s="188"/>
    </row>
    <row r="424" spans="1:45" ht="13" hidden="1" thickBot="1">
      <c r="A424" s="286">
        <v>418</v>
      </c>
      <c r="B424" s="81">
        <f>'Encargos e Benefícios'!B423</f>
        <v>0</v>
      </c>
      <c r="C424" s="287">
        <f>'Encargos e Benefícios'!C423</f>
        <v>0</v>
      </c>
      <c r="D424" s="288"/>
      <c r="E424" s="300"/>
      <c r="F424" s="301"/>
      <c r="G424" s="293"/>
      <c r="H424" s="292"/>
      <c r="I424" s="256"/>
      <c r="J424" s="256"/>
      <c r="K424" s="256"/>
      <c r="L424" s="256"/>
      <c r="M424" s="293"/>
      <c r="N424" s="292"/>
      <c r="O424" s="256"/>
      <c r="P424" s="256"/>
      <c r="Q424" s="256"/>
      <c r="R424" s="256"/>
      <c r="S424" s="293"/>
      <c r="T424" s="294"/>
      <c r="U424" s="256"/>
      <c r="V424" s="256"/>
      <c r="W424" s="256"/>
      <c r="X424" s="256"/>
      <c r="Y424" s="293"/>
      <c r="Z424" s="294"/>
      <c r="AA424" s="256"/>
      <c r="AB424" s="256"/>
      <c r="AC424" s="256"/>
      <c r="AD424" s="256"/>
      <c r="AE424" s="293"/>
      <c r="AF424" s="294"/>
      <c r="AG424" s="256"/>
      <c r="AH424" s="256"/>
      <c r="AI424" s="256"/>
      <c r="AJ424" s="257"/>
      <c r="AK424" s="296">
        <f>'Encargos e Benefícios'!D423</f>
        <v>0</v>
      </c>
      <c r="AL424" s="296">
        <f>IF('Encargos e Benefícios'!C423=0,0,'Encargos e Benefícios'!U423/'Encargos e Benefícios'!C423)</f>
        <v>0</v>
      </c>
      <c r="AM424" s="296">
        <f>IF('Encargos e Benefícios'!C423=0,0,'Encargos e Benefícios'!AC423/'Encargos e Benefícios'!C423)</f>
        <v>0</v>
      </c>
      <c r="AN424" s="297">
        <f>IF('Encargos e Benefícios'!C423=0,0,'Encargos e Benefícios'!AD423/'Encargos e Benefícios'!C423)</f>
        <v>0</v>
      </c>
      <c r="AO424" s="188"/>
      <c r="AP424" s="298"/>
      <c r="AQ424" s="298"/>
      <c r="AR424" s="302"/>
      <c r="AS424" s="188"/>
    </row>
    <row r="425" spans="1:45" ht="13" hidden="1" thickBot="1">
      <c r="A425" s="286">
        <v>419</v>
      </c>
      <c r="B425" s="81">
        <f>'Encargos e Benefícios'!B424</f>
        <v>0</v>
      </c>
      <c r="C425" s="287">
        <f>'Encargos e Benefícios'!C424</f>
        <v>0</v>
      </c>
      <c r="D425" s="288"/>
      <c r="E425" s="300"/>
      <c r="F425" s="301"/>
      <c r="G425" s="293"/>
      <c r="H425" s="292"/>
      <c r="I425" s="256"/>
      <c r="J425" s="256"/>
      <c r="K425" s="256"/>
      <c r="L425" s="256"/>
      <c r="M425" s="293"/>
      <c r="N425" s="292"/>
      <c r="O425" s="256"/>
      <c r="P425" s="256"/>
      <c r="Q425" s="256"/>
      <c r="R425" s="256"/>
      <c r="S425" s="293"/>
      <c r="T425" s="294"/>
      <c r="U425" s="256"/>
      <c r="V425" s="256"/>
      <c r="W425" s="256"/>
      <c r="X425" s="256"/>
      <c r="Y425" s="293"/>
      <c r="Z425" s="294"/>
      <c r="AA425" s="256"/>
      <c r="AB425" s="256"/>
      <c r="AC425" s="256"/>
      <c r="AD425" s="256"/>
      <c r="AE425" s="293"/>
      <c r="AF425" s="294"/>
      <c r="AG425" s="256"/>
      <c r="AH425" s="256"/>
      <c r="AI425" s="256"/>
      <c r="AJ425" s="257"/>
      <c r="AK425" s="296">
        <f>'Encargos e Benefícios'!D424</f>
        <v>0</v>
      </c>
      <c r="AL425" s="296">
        <f>IF('Encargos e Benefícios'!C424=0,0,'Encargos e Benefícios'!U424/'Encargos e Benefícios'!C424)</f>
        <v>0</v>
      </c>
      <c r="AM425" s="296">
        <f>IF('Encargos e Benefícios'!C424=0,0,'Encargos e Benefícios'!AC424/'Encargos e Benefícios'!C424)</f>
        <v>0</v>
      </c>
      <c r="AN425" s="297">
        <f>IF('Encargos e Benefícios'!C424=0,0,'Encargos e Benefícios'!AD424/'Encargos e Benefícios'!C424)</f>
        <v>0</v>
      </c>
      <c r="AO425" s="188"/>
      <c r="AP425" s="298"/>
      <c r="AQ425" s="298"/>
      <c r="AR425" s="302"/>
      <c r="AS425" s="188"/>
    </row>
    <row r="426" spans="1:45" ht="13" hidden="1" thickBot="1">
      <c r="A426" s="286">
        <v>420</v>
      </c>
      <c r="B426" s="81">
        <f>'Encargos e Benefícios'!B425</f>
        <v>0</v>
      </c>
      <c r="C426" s="287">
        <f>'Encargos e Benefícios'!C425</f>
        <v>0</v>
      </c>
      <c r="D426" s="288"/>
      <c r="E426" s="300"/>
      <c r="F426" s="301"/>
      <c r="G426" s="293"/>
      <c r="H426" s="292"/>
      <c r="I426" s="256"/>
      <c r="J426" s="256"/>
      <c r="K426" s="256"/>
      <c r="L426" s="256"/>
      <c r="M426" s="293"/>
      <c r="N426" s="292"/>
      <c r="O426" s="256"/>
      <c r="P426" s="256"/>
      <c r="Q426" s="256"/>
      <c r="R426" s="256"/>
      <c r="S426" s="293"/>
      <c r="T426" s="294"/>
      <c r="U426" s="256"/>
      <c r="V426" s="256"/>
      <c r="W426" s="256"/>
      <c r="X426" s="256"/>
      <c r="Y426" s="293"/>
      <c r="Z426" s="294"/>
      <c r="AA426" s="256"/>
      <c r="AB426" s="256"/>
      <c r="AC426" s="256"/>
      <c r="AD426" s="256"/>
      <c r="AE426" s="293"/>
      <c r="AF426" s="294"/>
      <c r="AG426" s="256"/>
      <c r="AH426" s="256"/>
      <c r="AI426" s="256"/>
      <c r="AJ426" s="257"/>
      <c r="AK426" s="296">
        <f>'Encargos e Benefícios'!D425</f>
        <v>0</v>
      </c>
      <c r="AL426" s="296">
        <f>IF('Encargos e Benefícios'!C425=0,0,'Encargos e Benefícios'!U425/'Encargos e Benefícios'!C425)</f>
        <v>0</v>
      </c>
      <c r="AM426" s="296">
        <f>IF('Encargos e Benefícios'!C425=0,0,'Encargos e Benefícios'!AC425/'Encargos e Benefícios'!C425)</f>
        <v>0</v>
      </c>
      <c r="AN426" s="297">
        <f>IF('Encargos e Benefícios'!C425=0,0,'Encargos e Benefícios'!AD425/'Encargos e Benefícios'!C425)</f>
        <v>0</v>
      </c>
      <c r="AO426" s="188"/>
      <c r="AP426" s="298"/>
      <c r="AQ426" s="298"/>
      <c r="AR426" s="302"/>
      <c r="AS426" s="188"/>
    </row>
    <row r="427" spans="1:45" ht="13" hidden="1" thickBot="1">
      <c r="A427" s="286">
        <v>421</v>
      </c>
      <c r="B427" s="81">
        <f>'Encargos e Benefícios'!B426</f>
        <v>0</v>
      </c>
      <c r="C427" s="287">
        <f>'Encargos e Benefícios'!C426</f>
        <v>0</v>
      </c>
      <c r="D427" s="288"/>
      <c r="E427" s="300"/>
      <c r="F427" s="301"/>
      <c r="G427" s="293"/>
      <c r="H427" s="292"/>
      <c r="I427" s="256"/>
      <c r="J427" s="256"/>
      <c r="K427" s="256"/>
      <c r="L427" s="256"/>
      <c r="M427" s="293"/>
      <c r="N427" s="292"/>
      <c r="O427" s="256"/>
      <c r="P427" s="256"/>
      <c r="Q427" s="256"/>
      <c r="R427" s="256"/>
      <c r="S427" s="293"/>
      <c r="T427" s="294"/>
      <c r="U427" s="256"/>
      <c r="V427" s="256"/>
      <c r="W427" s="256"/>
      <c r="X427" s="256"/>
      <c r="Y427" s="293"/>
      <c r="Z427" s="294"/>
      <c r="AA427" s="256"/>
      <c r="AB427" s="256"/>
      <c r="AC427" s="256"/>
      <c r="AD427" s="256"/>
      <c r="AE427" s="293"/>
      <c r="AF427" s="294"/>
      <c r="AG427" s="256"/>
      <c r="AH427" s="256"/>
      <c r="AI427" s="256"/>
      <c r="AJ427" s="257"/>
      <c r="AK427" s="296">
        <f>'Encargos e Benefícios'!D426</f>
        <v>0</v>
      </c>
      <c r="AL427" s="296">
        <f>IF('Encargos e Benefícios'!C426=0,0,'Encargos e Benefícios'!U426/'Encargos e Benefícios'!C426)</f>
        <v>0</v>
      </c>
      <c r="AM427" s="296">
        <f>IF('Encargos e Benefícios'!C426=0,0,'Encargos e Benefícios'!AC426/'Encargos e Benefícios'!C426)</f>
        <v>0</v>
      </c>
      <c r="AN427" s="297">
        <f>IF('Encargos e Benefícios'!C426=0,0,'Encargos e Benefícios'!AD426/'Encargos e Benefícios'!C426)</f>
        <v>0</v>
      </c>
      <c r="AO427" s="188"/>
      <c r="AP427" s="298"/>
      <c r="AQ427" s="298"/>
      <c r="AR427" s="302"/>
      <c r="AS427" s="188"/>
    </row>
    <row r="428" spans="1:45" ht="13" hidden="1" thickBot="1">
      <c r="A428" s="286">
        <v>422</v>
      </c>
      <c r="B428" s="81">
        <f>'Encargos e Benefícios'!B427</f>
        <v>0</v>
      </c>
      <c r="C428" s="287">
        <f>'Encargos e Benefícios'!C427</f>
        <v>0</v>
      </c>
      <c r="D428" s="288"/>
      <c r="E428" s="300"/>
      <c r="F428" s="301"/>
      <c r="G428" s="293"/>
      <c r="H428" s="292"/>
      <c r="I428" s="256"/>
      <c r="J428" s="256"/>
      <c r="K428" s="256"/>
      <c r="L428" s="256"/>
      <c r="M428" s="293"/>
      <c r="N428" s="292"/>
      <c r="O428" s="256"/>
      <c r="P428" s="256"/>
      <c r="Q428" s="256"/>
      <c r="R428" s="256"/>
      <c r="S428" s="293"/>
      <c r="T428" s="294"/>
      <c r="U428" s="256"/>
      <c r="V428" s="256"/>
      <c r="W428" s="256"/>
      <c r="X428" s="256"/>
      <c r="Y428" s="293"/>
      <c r="Z428" s="294"/>
      <c r="AA428" s="256"/>
      <c r="AB428" s="256"/>
      <c r="AC428" s="256"/>
      <c r="AD428" s="256"/>
      <c r="AE428" s="293"/>
      <c r="AF428" s="294"/>
      <c r="AG428" s="256"/>
      <c r="AH428" s="256"/>
      <c r="AI428" s="256"/>
      <c r="AJ428" s="257"/>
      <c r="AK428" s="296">
        <f>'Encargos e Benefícios'!D427</f>
        <v>0</v>
      </c>
      <c r="AL428" s="296">
        <f>IF('Encargos e Benefícios'!C427=0,0,'Encargos e Benefícios'!U427/'Encargos e Benefícios'!C427)</f>
        <v>0</v>
      </c>
      <c r="AM428" s="296">
        <f>IF('Encargos e Benefícios'!C427=0,0,'Encargos e Benefícios'!AC427/'Encargos e Benefícios'!C427)</f>
        <v>0</v>
      </c>
      <c r="AN428" s="297">
        <f>IF('Encargos e Benefícios'!C427=0,0,'Encargos e Benefícios'!AD427/'Encargos e Benefícios'!C427)</f>
        <v>0</v>
      </c>
      <c r="AO428" s="188"/>
      <c r="AP428" s="298"/>
      <c r="AQ428" s="298"/>
      <c r="AR428" s="302"/>
      <c r="AS428" s="188"/>
    </row>
    <row r="429" spans="1:45" ht="13" hidden="1" thickBot="1">
      <c r="A429" s="286">
        <v>423</v>
      </c>
      <c r="B429" s="81">
        <f>'Encargos e Benefícios'!B428</f>
        <v>0</v>
      </c>
      <c r="C429" s="287">
        <f>'Encargos e Benefícios'!C428</f>
        <v>0</v>
      </c>
      <c r="D429" s="288"/>
      <c r="E429" s="300"/>
      <c r="F429" s="301"/>
      <c r="G429" s="293"/>
      <c r="H429" s="292"/>
      <c r="I429" s="256"/>
      <c r="J429" s="256"/>
      <c r="K429" s="256"/>
      <c r="L429" s="256"/>
      <c r="M429" s="293"/>
      <c r="N429" s="292"/>
      <c r="O429" s="256"/>
      <c r="P429" s="256"/>
      <c r="Q429" s="256"/>
      <c r="R429" s="256"/>
      <c r="S429" s="293"/>
      <c r="T429" s="294"/>
      <c r="U429" s="256"/>
      <c r="V429" s="256"/>
      <c r="W429" s="256"/>
      <c r="X429" s="256"/>
      <c r="Y429" s="293"/>
      <c r="Z429" s="294"/>
      <c r="AA429" s="256"/>
      <c r="AB429" s="256"/>
      <c r="AC429" s="256"/>
      <c r="AD429" s="256"/>
      <c r="AE429" s="293"/>
      <c r="AF429" s="294"/>
      <c r="AG429" s="256"/>
      <c r="AH429" s="256"/>
      <c r="AI429" s="256"/>
      <c r="AJ429" s="257"/>
      <c r="AK429" s="296">
        <f>'Encargos e Benefícios'!D428</f>
        <v>0</v>
      </c>
      <c r="AL429" s="296">
        <f>IF('Encargos e Benefícios'!C428=0,0,'Encargos e Benefícios'!U428/'Encargos e Benefícios'!C428)</f>
        <v>0</v>
      </c>
      <c r="AM429" s="296">
        <f>IF('Encargos e Benefícios'!C428=0,0,'Encargos e Benefícios'!AC428/'Encargos e Benefícios'!C428)</f>
        <v>0</v>
      </c>
      <c r="AN429" s="297">
        <f>IF('Encargos e Benefícios'!C428=0,0,'Encargos e Benefícios'!AD428/'Encargos e Benefícios'!C428)</f>
        <v>0</v>
      </c>
      <c r="AO429" s="188"/>
      <c r="AP429" s="298"/>
      <c r="AQ429" s="298"/>
      <c r="AR429" s="302"/>
      <c r="AS429" s="188"/>
    </row>
    <row r="430" spans="1:45" ht="13" hidden="1" thickBot="1">
      <c r="A430" s="286">
        <v>424</v>
      </c>
      <c r="B430" s="81">
        <f>'Encargos e Benefícios'!B429</f>
        <v>0</v>
      </c>
      <c r="C430" s="287">
        <f>'Encargos e Benefícios'!C429</f>
        <v>0</v>
      </c>
      <c r="D430" s="288"/>
      <c r="E430" s="300"/>
      <c r="F430" s="301"/>
      <c r="G430" s="293"/>
      <c r="H430" s="292"/>
      <c r="I430" s="256"/>
      <c r="J430" s="256"/>
      <c r="K430" s="256"/>
      <c r="L430" s="256"/>
      <c r="M430" s="293"/>
      <c r="N430" s="292"/>
      <c r="O430" s="256"/>
      <c r="P430" s="256"/>
      <c r="Q430" s="256"/>
      <c r="R430" s="256"/>
      <c r="S430" s="293"/>
      <c r="T430" s="294"/>
      <c r="U430" s="256"/>
      <c r="V430" s="256"/>
      <c r="W430" s="256"/>
      <c r="X430" s="256"/>
      <c r="Y430" s="293"/>
      <c r="Z430" s="294"/>
      <c r="AA430" s="256"/>
      <c r="AB430" s="256"/>
      <c r="AC430" s="256"/>
      <c r="AD430" s="256"/>
      <c r="AE430" s="293"/>
      <c r="AF430" s="294"/>
      <c r="AG430" s="256"/>
      <c r="AH430" s="256"/>
      <c r="AI430" s="256"/>
      <c r="AJ430" s="257"/>
      <c r="AK430" s="296">
        <f>'Encargos e Benefícios'!D429</f>
        <v>0</v>
      </c>
      <c r="AL430" s="296">
        <f>IF('Encargos e Benefícios'!C429=0,0,'Encargos e Benefícios'!U429/'Encargos e Benefícios'!C429)</f>
        <v>0</v>
      </c>
      <c r="AM430" s="296">
        <f>IF('Encargos e Benefícios'!C429=0,0,'Encargos e Benefícios'!AC429/'Encargos e Benefícios'!C429)</f>
        <v>0</v>
      </c>
      <c r="AN430" s="297">
        <f>IF('Encargos e Benefícios'!C429=0,0,'Encargos e Benefícios'!AD429/'Encargos e Benefícios'!C429)</f>
        <v>0</v>
      </c>
      <c r="AO430" s="188"/>
      <c r="AP430" s="298"/>
      <c r="AQ430" s="298"/>
      <c r="AR430" s="302"/>
      <c r="AS430" s="188"/>
    </row>
    <row r="431" spans="1:45" ht="13" hidden="1" thickBot="1">
      <c r="A431" s="286">
        <v>425</v>
      </c>
      <c r="B431" s="81">
        <f>'Encargos e Benefícios'!B430</f>
        <v>0</v>
      </c>
      <c r="C431" s="287">
        <f>'Encargos e Benefícios'!C430</f>
        <v>0</v>
      </c>
      <c r="D431" s="288"/>
      <c r="E431" s="300"/>
      <c r="F431" s="301"/>
      <c r="G431" s="293"/>
      <c r="H431" s="292"/>
      <c r="I431" s="256"/>
      <c r="J431" s="256"/>
      <c r="K431" s="256"/>
      <c r="L431" s="256"/>
      <c r="M431" s="293"/>
      <c r="N431" s="292"/>
      <c r="O431" s="256"/>
      <c r="P431" s="256"/>
      <c r="Q431" s="256"/>
      <c r="R431" s="256"/>
      <c r="S431" s="293"/>
      <c r="T431" s="294"/>
      <c r="U431" s="256"/>
      <c r="V431" s="256"/>
      <c r="W431" s="256"/>
      <c r="X431" s="256"/>
      <c r="Y431" s="293"/>
      <c r="Z431" s="294"/>
      <c r="AA431" s="256"/>
      <c r="AB431" s="256"/>
      <c r="AC431" s="256"/>
      <c r="AD431" s="256"/>
      <c r="AE431" s="293"/>
      <c r="AF431" s="294"/>
      <c r="AG431" s="256"/>
      <c r="AH431" s="256"/>
      <c r="AI431" s="256"/>
      <c r="AJ431" s="257"/>
      <c r="AK431" s="296">
        <f>'Encargos e Benefícios'!D430</f>
        <v>0</v>
      </c>
      <c r="AL431" s="296">
        <f>IF('Encargos e Benefícios'!C430=0,0,'Encargos e Benefícios'!U430/'Encargos e Benefícios'!C430)</f>
        <v>0</v>
      </c>
      <c r="AM431" s="296">
        <f>IF('Encargos e Benefícios'!C430=0,0,'Encargos e Benefícios'!AC430/'Encargos e Benefícios'!C430)</f>
        <v>0</v>
      </c>
      <c r="AN431" s="297">
        <f>IF('Encargos e Benefícios'!C430=0,0,'Encargos e Benefícios'!AD430/'Encargos e Benefícios'!C430)</f>
        <v>0</v>
      </c>
      <c r="AO431" s="188"/>
      <c r="AP431" s="298"/>
      <c r="AQ431" s="298"/>
      <c r="AR431" s="302"/>
      <c r="AS431" s="188"/>
    </row>
    <row r="432" spans="1:45" ht="13" hidden="1" thickBot="1">
      <c r="A432" s="286">
        <v>426</v>
      </c>
      <c r="B432" s="81">
        <f>'Encargos e Benefícios'!B431</f>
        <v>0</v>
      </c>
      <c r="C432" s="287">
        <f>'Encargos e Benefícios'!C431</f>
        <v>0</v>
      </c>
      <c r="D432" s="288"/>
      <c r="E432" s="300"/>
      <c r="F432" s="301"/>
      <c r="G432" s="293"/>
      <c r="H432" s="292"/>
      <c r="I432" s="256"/>
      <c r="J432" s="256"/>
      <c r="K432" s="256"/>
      <c r="L432" s="256"/>
      <c r="M432" s="293"/>
      <c r="N432" s="292"/>
      <c r="O432" s="256"/>
      <c r="P432" s="256"/>
      <c r="Q432" s="256"/>
      <c r="R432" s="256"/>
      <c r="S432" s="293"/>
      <c r="T432" s="294"/>
      <c r="U432" s="256"/>
      <c r="V432" s="256"/>
      <c r="W432" s="256"/>
      <c r="X432" s="256"/>
      <c r="Y432" s="293"/>
      <c r="Z432" s="294"/>
      <c r="AA432" s="256"/>
      <c r="AB432" s="256"/>
      <c r="AC432" s="256"/>
      <c r="AD432" s="256"/>
      <c r="AE432" s="293"/>
      <c r="AF432" s="294"/>
      <c r="AG432" s="256"/>
      <c r="AH432" s="256"/>
      <c r="AI432" s="256"/>
      <c r="AJ432" s="257"/>
      <c r="AK432" s="296">
        <f>'Encargos e Benefícios'!D431</f>
        <v>0</v>
      </c>
      <c r="AL432" s="296">
        <f>IF('Encargos e Benefícios'!C431=0,0,'Encargos e Benefícios'!U431/'Encargos e Benefícios'!C431)</f>
        <v>0</v>
      </c>
      <c r="AM432" s="296">
        <f>IF('Encargos e Benefícios'!C431=0,0,'Encargos e Benefícios'!AC431/'Encargos e Benefícios'!C431)</f>
        <v>0</v>
      </c>
      <c r="AN432" s="297">
        <f>IF('Encargos e Benefícios'!C431=0,0,'Encargos e Benefícios'!AD431/'Encargos e Benefícios'!C431)</f>
        <v>0</v>
      </c>
      <c r="AO432" s="188"/>
      <c r="AP432" s="298"/>
      <c r="AQ432" s="298"/>
      <c r="AR432" s="302"/>
      <c r="AS432" s="188"/>
    </row>
    <row r="433" spans="1:45" ht="13" hidden="1" thickBot="1">
      <c r="A433" s="286">
        <v>427</v>
      </c>
      <c r="B433" s="81">
        <f>'Encargos e Benefícios'!B432</f>
        <v>0</v>
      </c>
      <c r="C433" s="287">
        <f>'Encargos e Benefícios'!C432</f>
        <v>0</v>
      </c>
      <c r="D433" s="288"/>
      <c r="E433" s="300"/>
      <c r="F433" s="301"/>
      <c r="G433" s="293"/>
      <c r="H433" s="292"/>
      <c r="I433" s="256"/>
      <c r="J433" s="256"/>
      <c r="K433" s="256"/>
      <c r="L433" s="256"/>
      <c r="M433" s="293"/>
      <c r="N433" s="292"/>
      <c r="O433" s="256"/>
      <c r="P433" s="256"/>
      <c r="Q433" s="256"/>
      <c r="R433" s="256"/>
      <c r="S433" s="293"/>
      <c r="T433" s="294"/>
      <c r="U433" s="256"/>
      <c r="V433" s="256"/>
      <c r="W433" s="256"/>
      <c r="X433" s="256"/>
      <c r="Y433" s="293"/>
      <c r="Z433" s="294"/>
      <c r="AA433" s="256"/>
      <c r="AB433" s="256"/>
      <c r="AC433" s="256"/>
      <c r="AD433" s="256"/>
      <c r="AE433" s="293"/>
      <c r="AF433" s="294"/>
      <c r="AG433" s="256"/>
      <c r="AH433" s="256"/>
      <c r="AI433" s="256"/>
      <c r="AJ433" s="257"/>
      <c r="AK433" s="296">
        <f>'Encargos e Benefícios'!D432</f>
        <v>0</v>
      </c>
      <c r="AL433" s="296">
        <f>IF('Encargos e Benefícios'!C432=0,0,'Encargos e Benefícios'!U432/'Encargos e Benefícios'!C432)</f>
        <v>0</v>
      </c>
      <c r="AM433" s="296">
        <f>IF('Encargos e Benefícios'!C432=0,0,'Encargos e Benefícios'!AC432/'Encargos e Benefícios'!C432)</f>
        <v>0</v>
      </c>
      <c r="AN433" s="297">
        <f>IF('Encargos e Benefícios'!C432=0,0,'Encargos e Benefícios'!AD432/'Encargos e Benefícios'!C432)</f>
        <v>0</v>
      </c>
      <c r="AO433" s="188"/>
      <c r="AP433" s="298"/>
      <c r="AQ433" s="298"/>
      <c r="AR433" s="302"/>
      <c r="AS433" s="188"/>
    </row>
    <row r="434" spans="1:45" ht="13" hidden="1" thickBot="1">
      <c r="A434" s="286">
        <v>428</v>
      </c>
      <c r="B434" s="81">
        <f>'Encargos e Benefícios'!B433</f>
        <v>0</v>
      </c>
      <c r="C434" s="287">
        <f>'Encargos e Benefícios'!C433</f>
        <v>0</v>
      </c>
      <c r="D434" s="288"/>
      <c r="E434" s="300"/>
      <c r="F434" s="301"/>
      <c r="G434" s="293"/>
      <c r="H434" s="292"/>
      <c r="I434" s="256"/>
      <c r="J434" s="256"/>
      <c r="K434" s="256"/>
      <c r="L434" s="256"/>
      <c r="M434" s="293"/>
      <c r="N434" s="292"/>
      <c r="O434" s="256"/>
      <c r="P434" s="256"/>
      <c r="Q434" s="256"/>
      <c r="R434" s="256"/>
      <c r="S434" s="293"/>
      <c r="T434" s="294"/>
      <c r="U434" s="256"/>
      <c r="V434" s="256"/>
      <c r="W434" s="256"/>
      <c r="X434" s="256"/>
      <c r="Y434" s="293"/>
      <c r="Z434" s="294"/>
      <c r="AA434" s="256"/>
      <c r="AB434" s="256"/>
      <c r="AC434" s="256"/>
      <c r="AD434" s="256"/>
      <c r="AE434" s="293"/>
      <c r="AF434" s="294"/>
      <c r="AG434" s="256"/>
      <c r="AH434" s="256"/>
      <c r="AI434" s="256"/>
      <c r="AJ434" s="257"/>
      <c r="AK434" s="296">
        <f>'Encargos e Benefícios'!D433</f>
        <v>0</v>
      </c>
      <c r="AL434" s="296">
        <f>IF('Encargos e Benefícios'!C433=0,0,'Encargos e Benefícios'!U433/'Encargos e Benefícios'!C433)</f>
        <v>0</v>
      </c>
      <c r="AM434" s="296">
        <f>IF('Encargos e Benefícios'!C433=0,0,'Encargos e Benefícios'!AC433/'Encargos e Benefícios'!C433)</f>
        <v>0</v>
      </c>
      <c r="AN434" s="297">
        <f>IF('Encargos e Benefícios'!C433=0,0,'Encargos e Benefícios'!AD433/'Encargos e Benefícios'!C433)</f>
        <v>0</v>
      </c>
      <c r="AO434" s="188"/>
      <c r="AP434" s="298"/>
      <c r="AQ434" s="298"/>
      <c r="AR434" s="302"/>
      <c r="AS434" s="188"/>
    </row>
    <row r="435" spans="1:45" ht="13" hidden="1" thickBot="1">
      <c r="A435" s="286">
        <v>429</v>
      </c>
      <c r="B435" s="81">
        <f>'Encargos e Benefícios'!B434</f>
        <v>0</v>
      </c>
      <c r="C435" s="287">
        <f>'Encargos e Benefícios'!C434</f>
        <v>0</v>
      </c>
      <c r="D435" s="288"/>
      <c r="E435" s="300"/>
      <c r="F435" s="301"/>
      <c r="G435" s="293"/>
      <c r="H435" s="292"/>
      <c r="I435" s="256"/>
      <c r="J435" s="256"/>
      <c r="K435" s="256"/>
      <c r="L435" s="256"/>
      <c r="M435" s="293"/>
      <c r="N435" s="292"/>
      <c r="O435" s="256"/>
      <c r="P435" s="256"/>
      <c r="Q435" s="256"/>
      <c r="R435" s="256"/>
      <c r="S435" s="293"/>
      <c r="T435" s="294"/>
      <c r="U435" s="256"/>
      <c r="V435" s="256"/>
      <c r="W435" s="256"/>
      <c r="X435" s="256"/>
      <c r="Y435" s="293"/>
      <c r="Z435" s="294"/>
      <c r="AA435" s="256"/>
      <c r="AB435" s="256"/>
      <c r="AC435" s="256"/>
      <c r="AD435" s="256"/>
      <c r="AE435" s="293"/>
      <c r="AF435" s="294"/>
      <c r="AG435" s="256"/>
      <c r="AH435" s="256"/>
      <c r="AI435" s="256"/>
      <c r="AJ435" s="257"/>
      <c r="AK435" s="296">
        <f>'Encargos e Benefícios'!D434</f>
        <v>0</v>
      </c>
      <c r="AL435" s="296">
        <f>IF('Encargos e Benefícios'!C434=0,0,'Encargos e Benefícios'!U434/'Encargos e Benefícios'!C434)</f>
        <v>0</v>
      </c>
      <c r="AM435" s="296">
        <f>IF('Encargos e Benefícios'!C434=0,0,'Encargos e Benefícios'!AC434/'Encargos e Benefícios'!C434)</f>
        <v>0</v>
      </c>
      <c r="AN435" s="297">
        <f>IF('Encargos e Benefícios'!C434=0,0,'Encargos e Benefícios'!AD434/'Encargos e Benefícios'!C434)</f>
        <v>0</v>
      </c>
      <c r="AO435" s="188"/>
      <c r="AP435" s="298"/>
      <c r="AQ435" s="298"/>
      <c r="AR435" s="302"/>
      <c r="AS435" s="188"/>
    </row>
    <row r="436" spans="1:45" ht="13" hidden="1" thickBot="1">
      <c r="A436" s="286">
        <v>430</v>
      </c>
      <c r="B436" s="81">
        <f>'Encargos e Benefícios'!B435</f>
        <v>0</v>
      </c>
      <c r="C436" s="287">
        <f>'Encargos e Benefícios'!C435</f>
        <v>0</v>
      </c>
      <c r="D436" s="288"/>
      <c r="E436" s="300"/>
      <c r="F436" s="301"/>
      <c r="G436" s="293"/>
      <c r="H436" s="292"/>
      <c r="I436" s="256"/>
      <c r="J436" s="256"/>
      <c r="K436" s="256"/>
      <c r="L436" s="256"/>
      <c r="M436" s="293"/>
      <c r="N436" s="292"/>
      <c r="O436" s="256"/>
      <c r="P436" s="256"/>
      <c r="Q436" s="256"/>
      <c r="R436" s="256"/>
      <c r="S436" s="293"/>
      <c r="T436" s="294"/>
      <c r="U436" s="256"/>
      <c r="V436" s="256"/>
      <c r="W436" s="256"/>
      <c r="X436" s="256"/>
      <c r="Y436" s="293"/>
      <c r="Z436" s="294"/>
      <c r="AA436" s="256"/>
      <c r="AB436" s="256"/>
      <c r="AC436" s="256"/>
      <c r="AD436" s="256"/>
      <c r="AE436" s="293"/>
      <c r="AF436" s="294"/>
      <c r="AG436" s="256"/>
      <c r="AH436" s="256"/>
      <c r="AI436" s="256"/>
      <c r="AJ436" s="257"/>
      <c r="AK436" s="296">
        <f>'Encargos e Benefícios'!D435</f>
        <v>0</v>
      </c>
      <c r="AL436" s="296">
        <f>IF('Encargos e Benefícios'!C435=0,0,'Encargos e Benefícios'!U435/'Encargos e Benefícios'!C435)</f>
        <v>0</v>
      </c>
      <c r="AM436" s="296">
        <f>IF('Encargos e Benefícios'!C435=0,0,'Encargos e Benefícios'!AC435/'Encargos e Benefícios'!C435)</f>
        <v>0</v>
      </c>
      <c r="AN436" s="297">
        <f>IF('Encargos e Benefícios'!C435=0,0,'Encargos e Benefícios'!AD435/'Encargos e Benefícios'!C435)</f>
        <v>0</v>
      </c>
      <c r="AO436" s="188"/>
      <c r="AP436" s="298"/>
      <c r="AQ436" s="298"/>
      <c r="AR436" s="302"/>
      <c r="AS436" s="188"/>
    </row>
    <row r="437" spans="1:45" ht="13" hidden="1" thickBot="1">
      <c r="A437" s="286">
        <v>431</v>
      </c>
      <c r="B437" s="81">
        <f>'Encargos e Benefícios'!B436</f>
        <v>0</v>
      </c>
      <c r="C437" s="287">
        <f>'Encargos e Benefícios'!C436</f>
        <v>0</v>
      </c>
      <c r="D437" s="288"/>
      <c r="E437" s="300"/>
      <c r="F437" s="301"/>
      <c r="G437" s="293"/>
      <c r="H437" s="292"/>
      <c r="I437" s="256"/>
      <c r="J437" s="256"/>
      <c r="K437" s="256"/>
      <c r="L437" s="256"/>
      <c r="M437" s="293"/>
      <c r="N437" s="292"/>
      <c r="O437" s="256"/>
      <c r="P437" s="256"/>
      <c r="Q437" s="256"/>
      <c r="R437" s="256"/>
      <c r="S437" s="293"/>
      <c r="T437" s="294"/>
      <c r="U437" s="256"/>
      <c r="V437" s="256"/>
      <c r="W437" s="256"/>
      <c r="X437" s="256"/>
      <c r="Y437" s="293"/>
      <c r="Z437" s="294"/>
      <c r="AA437" s="256"/>
      <c r="AB437" s="256"/>
      <c r="AC437" s="256"/>
      <c r="AD437" s="256"/>
      <c r="AE437" s="293"/>
      <c r="AF437" s="294"/>
      <c r="AG437" s="256"/>
      <c r="AH437" s="256"/>
      <c r="AI437" s="256"/>
      <c r="AJ437" s="257"/>
      <c r="AK437" s="296">
        <f>'Encargos e Benefícios'!D436</f>
        <v>0</v>
      </c>
      <c r="AL437" s="296">
        <f>IF('Encargos e Benefícios'!C436=0,0,'Encargos e Benefícios'!U436/'Encargos e Benefícios'!C436)</f>
        <v>0</v>
      </c>
      <c r="AM437" s="296">
        <f>IF('Encargos e Benefícios'!C436=0,0,'Encargos e Benefícios'!AC436/'Encargos e Benefícios'!C436)</f>
        <v>0</v>
      </c>
      <c r="AN437" s="297">
        <f>IF('Encargos e Benefícios'!C436=0,0,'Encargos e Benefícios'!AD436/'Encargos e Benefícios'!C436)</f>
        <v>0</v>
      </c>
      <c r="AO437" s="188"/>
      <c r="AP437" s="298"/>
      <c r="AQ437" s="298"/>
      <c r="AR437" s="302"/>
      <c r="AS437" s="188"/>
    </row>
    <row r="438" spans="1:45" ht="13" hidden="1" thickBot="1">
      <c r="A438" s="286">
        <v>432</v>
      </c>
      <c r="B438" s="81">
        <f>'Encargos e Benefícios'!B437</f>
        <v>0</v>
      </c>
      <c r="C438" s="287">
        <f>'Encargos e Benefícios'!C437</f>
        <v>0</v>
      </c>
      <c r="D438" s="288"/>
      <c r="E438" s="300"/>
      <c r="F438" s="301"/>
      <c r="G438" s="293"/>
      <c r="H438" s="292"/>
      <c r="I438" s="256"/>
      <c r="J438" s="256"/>
      <c r="K438" s="256"/>
      <c r="L438" s="256"/>
      <c r="M438" s="293"/>
      <c r="N438" s="292"/>
      <c r="O438" s="256"/>
      <c r="P438" s="256"/>
      <c r="Q438" s="256"/>
      <c r="R438" s="256"/>
      <c r="S438" s="293"/>
      <c r="T438" s="294"/>
      <c r="U438" s="256"/>
      <c r="V438" s="256"/>
      <c r="W438" s="256"/>
      <c r="X438" s="256"/>
      <c r="Y438" s="293"/>
      <c r="Z438" s="294"/>
      <c r="AA438" s="256"/>
      <c r="AB438" s="256"/>
      <c r="AC438" s="256"/>
      <c r="AD438" s="256"/>
      <c r="AE438" s="293"/>
      <c r="AF438" s="294"/>
      <c r="AG438" s="256"/>
      <c r="AH438" s="256"/>
      <c r="AI438" s="256"/>
      <c r="AJ438" s="257"/>
      <c r="AK438" s="296">
        <f>'Encargos e Benefícios'!D437</f>
        <v>0</v>
      </c>
      <c r="AL438" s="296">
        <f>IF('Encargos e Benefícios'!C437=0,0,'Encargos e Benefícios'!U437/'Encargos e Benefícios'!C437)</f>
        <v>0</v>
      </c>
      <c r="AM438" s="296">
        <f>IF('Encargos e Benefícios'!C437=0,0,'Encargos e Benefícios'!AC437/'Encargos e Benefícios'!C437)</f>
        <v>0</v>
      </c>
      <c r="AN438" s="297">
        <f>IF('Encargos e Benefícios'!C437=0,0,'Encargos e Benefícios'!AD437/'Encargos e Benefícios'!C437)</f>
        <v>0</v>
      </c>
      <c r="AO438" s="188"/>
      <c r="AP438" s="298"/>
      <c r="AQ438" s="298"/>
      <c r="AR438" s="302"/>
      <c r="AS438" s="188"/>
    </row>
    <row r="439" spans="1:45" ht="13" hidden="1" thickBot="1">
      <c r="A439" s="286">
        <v>433</v>
      </c>
      <c r="B439" s="81">
        <f>'Encargos e Benefícios'!B438</f>
        <v>0</v>
      </c>
      <c r="C439" s="287">
        <f>'Encargos e Benefícios'!C438</f>
        <v>0</v>
      </c>
      <c r="D439" s="288"/>
      <c r="E439" s="300"/>
      <c r="F439" s="301"/>
      <c r="G439" s="293"/>
      <c r="H439" s="292"/>
      <c r="I439" s="256"/>
      <c r="J439" s="256"/>
      <c r="K439" s="256"/>
      <c r="L439" s="256"/>
      <c r="M439" s="293"/>
      <c r="N439" s="292"/>
      <c r="O439" s="256"/>
      <c r="P439" s="256"/>
      <c r="Q439" s="256"/>
      <c r="R439" s="256"/>
      <c r="S439" s="293"/>
      <c r="T439" s="294"/>
      <c r="U439" s="256"/>
      <c r="V439" s="256"/>
      <c r="W439" s="256"/>
      <c r="X439" s="256"/>
      <c r="Y439" s="293"/>
      <c r="Z439" s="294"/>
      <c r="AA439" s="256"/>
      <c r="AB439" s="256"/>
      <c r="AC439" s="256"/>
      <c r="AD439" s="256"/>
      <c r="AE439" s="293"/>
      <c r="AF439" s="294"/>
      <c r="AG439" s="256"/>
      <c r="AH439" s="256"/>
      <c r="AI439" s="256"/>
      <c r="AJ439" s="257"/>
      <c r="AK439" s="296">
        <f>'Encargos e Benefícios'!D438</f>
        <v>0</v>
      </c>
      <c r="AL439" s="296">
        <f>IF('Encargos e Benefícios'!C438=0,0,'Encargos e Benefícios'!U438/'Encargos e Benefícios'!C438)</f>
        <v>0</v>
      </c>
      <c r="AM439" s="296">
        <f>IF('Encargos e Benefícios'!C438=0,0,'Encargos e Benefícios'!AC438/'Encargos e Benefícios'!C438)</f>
        <v>0</v>
      </c>
      <c r="AN439" s="297">
        <f>IF('Encargos e Benefícios'!C438=0,0,'Encargos e Benefícios'!AD438/'Encargos e Benefícios'!C438)</f>
        <v>0</v>
      </c>
      <c r="AO439" s="188"/>
      <c r="AP439" s="298"/>
      <c r="AQ439" s="298"/>
      <c r="AR439" s="302"/>
      <c r="AS439" s="188"/>
    </row>
    <row r="440" spans="1:45" ht="13" hidden="1" thickBot="1">
      <c r="A440" s="286">
        <v>434</v>
      </c>
      <c r="B440" s="81">
        <f>'Encargos e Benefícios'!B439</f>
        <v>0</v>
      </c>
      <c r="C440" s="287">
        <f>'Encargos e Benefícios'!C439</f>
        <v>0</v>
      </c>
      <c r="D440" s="288"/>
      <c r="E440" s="300"/>
      <c r="F440" s="301"/>
      <c r="G440" s="293"/>
      <c r="H440" s="292"/>
      <c r="I440" s="256"/>
      <c r="J440" s="256"/>
      <c r="K440" s="256"/>
      <c r="L440" s="256"/>
      <c r="M440" s="293"/>
      <c r="N440" s="292"/>
      <c r="O440" s="256"/>
      <c r="P440" s="256"/>
      <c r="Q440" s="256"/>
      <c r="R440" s="256"/>
      <c r="S440" s="293"/>
      <c r="T440" s="294"/>
      <c r="U440" s="256"/>
      <c r="V440" s="256"/>
      <c r="W440" s="256"/>
      <c r="X440" s="256"/>
      <c r="Y440" s="293"/>
      <c r="Z440" s="294"/>
      <c r="AA440" s="256"/>
      <c r="AB440" s="256"/>
      <c r="AC440" s="256"/>
      <c r="AD440" s="256"/>
      <c r="AE440" s="293"/>
      <c r="AF440" s="294"/>
      <c r="AG440" s="256"/>
      <c r="AH440" s="256"/>
      <c r="AI440" s="256"/>
      <c r="AJ440" s="257"/>
      <c r="AK440" s="296">
        <f>'Encargos e Benefícios'!D439</f>
        <v>0</v>
      </c>
      <c r="AL440" s="296">
        <f>IF('Encargos e Benefícios'!C439=0,0,'Encargos e Benefícios'!U439/'Encargos e Benefícios'!C439)</f>
        <v>0</v>
      </c>
      <c r="AM440" s="296">
        <f>IF('Encargos e Benefícios'!C439=0,0,'Encargos e Benefícios'!AC439/'Encargos e Benefícios'!C439)</f>
        <v>0</v>
      </c>
      <c r="AN440" s="297">
        <f>IF('Encargos e Benefícios'!C439=0,0,'Encargos e Benefícios'!AD439/'Encargos e Benefícios'!C439)</f>
        <v>0</v>
      </c>
      <c r="AO440" s="188"/>
      <c r="AP440" s="298"/>
      <c r="AQ440" s="298"/>
      <c r="AR440" s="302"/>
      <c r="AS440" s="188"/>
    </row>
    <row r="441" spans="1:45" ht="13" hidden="1" thickBot="1">
      <c r="A441" s="286">
        <v>435</v>
      </c>
      <c r="B441" s="81">
        <f>'Encargos e Benefícios'!B440</f>
        <v>0</v>
      </c>
      <c r="C441" s="287">
        <f>'Encargos e Benefícios'!C440</f>
        <v>0</v>
      </c>
      <c r="D441" s="288"/>
      <c r="E441" s="300"/>
      <c r="F441" s="301"/>
      <c r="G441" s="293"/>
      <c r="H441" s="292"/>
      <c r="I441" s="256"/>
      <c r="J441" s="256"/>
      <c r="K441" s="256"/>
      <c r="L441" s="256"/>
      <c r="M441" s="293"/>
      <c r="N441" s="292"/>
      <c r="O441" s="256"/>
      <c r="P441" s="256"/>
      <c r="Q441" s="256"/>
      <c r="R441" s="256"/>
      <c r="S441" s="293"/>
      <c r="T441" s="294"/>
      <c r="U441" s="256"/>
      <c r="V441" s="256"/>
      <c r="W441" s="256"/>
      <c r="X441" s="256"/>
      <c r="Y441" s="293"/>
      <c r="Z441" s="294"/>
      <c r="AA441" s="256"/>
      <c r="AB441" s="256"/>
      <c r="AC441" s="256"/>
      <c r="AD441" s="256"/>
      <c r="AE441" s="293"/>
      <c r="AF441" s="294"/>
      <c r="AG441" s="256"/>
      <c r="AH441" s="256"/>
      <c r="AI441" s="256"/>
      <c r="AJ441" s="257"/>
      <c r="AK441" s="296">
        <f>'Encargos e Benefícios'!D440</f>
        <v>0</v>
      </c>
      <c r="AL441" s="296">
        <f>IF('Encargos e Benefícios'!C440=0,0,'Encargos e Benefícios'!U440/'Encargos e Benefícios'!C440)</f>
        <v>0</v>
      </c>
      <c r="AM441" s="296">
        <f>IF('Encargos e Benefícios'!C440=0,0,'Encargos e Benefícios'!AC440/'Encargos e Benefícios'!C440)</f>
        <v>0</v>
      </c>
      <c r="AN441" s="297">
        <f>IF('Encargos e Benefícios'!C440=0,0,'Encargos e Benefícios'!AD440/'Encargos e Benefícios'!C440)</f>
        <v>0</v>
      </c>
      <c r="AO441" s="188"/>
      <c r="AP441" s="298"/>
      <c r="AQ441" s="298"/>
      <c r="AR441" s="302"/>
      <c r="AS441" s="188"/>
    </row>
    <row r="442" spans="1:45" ht="13" hidden="1" thickBot="1">
      <c r="A442" s="286">
        <v>436</v>
      </c>
      <c r="B442" s="81">
        <f>'Encargos e Benefícios'!B441</f>
        <v>0</v>
      </c>
      <c r="C442" s="287">
        <f>'Encargos e Benefícios'!C441</f>
        <v>0</v>
      </c>
      <c r="D442" s="288"/>
      <c r="E442" s="300"/>
      <c r="F442" s="301"/>
      <c r="G442" s="293"/>
      <c r="H442" s="292"/>
      <c r="I442" s="256"/>
      <c r="J442" s="256"/>
      <c r="K442" s="256"/>
      <c r="L442" s="256"/>
      <c r="M442" s="293"/>
      <c r="N442" s="292"/>
      <c r="O442" s="256"/>
      <c r="P442" s="256"/>
      <c r="Q442" s="256"/>
      <c r="R442" s="256"/>
      <c r="S442" s="293"/>
      <c r="T442" s="294"/>
      <c r="U442" s="256"/>
      <c r="V442" s="256"/>
      <c r="W442" s="256"/>
      <c r="X442" s="256"/>
      <c r="Y442" s="293"/>
      <c r="Z442" s="294"/>
      <c r="AA442" s="256"/>
      <c r="AB442" s="256"/>
      <c r="AC442" s="256"/>
      <c r="AD442" s="256"/>
      <c r="AE442" s="293"/>
      <c r="AF442" s="294"/>
      <c r="AG442" s="256"/>
      <c r="AH442" s="256"/>
      <c r="AI442" s="256"/>
      <c r="AJ442" s="257"/>
      <c r="AK442" s="296">
        <f>'Encargos e Benefícios'!D441</f>
        <v>0</v>
      </c>
      <c r="AL442" s="296">
        <f>IF('Encargos e Benefícios'!C441=0,0,'Encargos e Benefícios'!U441/'Encargos e Benefícios'!C441)</f>
        <v>0</v>
      </c>
      <c r="AM442" s="296">
        <f>IF('Encargos e Benefícios'!C441=0,0,'Encargos e Benefícios'!AC441/'Encargos e Benefícios'!C441)</f>
        <v>0</v>
      </c>
      <c r="AN442" s="297">
        <f>IF('Encargos e Benefícios'!C441=0,0,'Encargos e Benefícios'!AD441/'Encargos e Benefícios'!C441)</f>
        <v>0</v>
      </c>
      <c r="AO442" s="188"/>
      <c r="AP442" s="298"/>
      <c r="AQ442" s="298"/>
      <c r="AR442" s="302"/>
      <c r="AS442" s="188"/>
    </row>
    <row r="443" spans="1:45" ht="13" hidden="1" thickBot="1">
      <c r="A443" s="286">
        <v>437</v>
      </c>
      <c r="B443" s="81">
        <f>'Encargos e Benefícios'!B442</f>
        <v>0</v>
      </c>
      <c r="C443" s="287">
        <f>'Encargos e Benefícios'!C442</f>
        <v>0</v>
      </c>
      <c r="D443" s="288"/>
      <c r="E443" s="300"/>
      <c r="F443" s="301"/>
      <c r="G443" s="293"/>
      <c r="H443" s="292"/>
      <c r="I443" s="256"/>
      <c r="J443" s="256"/>
      <c r="K443" s="256"/>
      <c r="L443" s="256"/>
      <c r="M443" s="293"/>
      <c r="N443" s="292"/>
      <c r="O443" s="256"/>
      <c r="P443" s="256"/>
      <c r="Q443" s="256"/>
      <c r="R443" s="256"/>
      <c r="S443" s="293"/>
      <c r="T443" s="294"/>
      <c r="U443" s="256"/>
      <c r="V443" s="256"/>
      <c r="W443" s="256"/>
      <c r="X443" s="256"/>
      <c r="Y443" s="293"/>
      <c r="Z443" s="294"/>
      <c r="AA443" s="256"/>
      <c r="AB443" s="256"/>
      <c r="AC443" s="256"/>
      <c r="AD443" s="256"/>
      <c r="AE443" s="293"/>
      <c r="AF443" s="294"/>
      <c r="AG443" s="256"/>
      <c r="AH443" s="256"/>
      <c r="AI443" s="256"/>
      <c r="AJ443" s="257"/>
      <c r="AK443" s="296">
        <f>'Encargos e Benefícios'!D442</f>
        <v>0</v>
      </c>
      <c r="AL443" s="296">
        <f>IF('Encargos e Benefícios'!C442=0,0,'Encargos e Benefícios'!U442/'Encargos e Benefícios'!C442)</f>
        <v>0</v>
      </c>
      <c r="AM443" s="296">
        <f>IF('Encargos e Benefícios'!C442=0,0,'Encargos e Benefícios'!AC442/'Encargos e Benefícios'!C442)</f>
        <v>0</v>
      </c>
      <c r="AN443" s="297">
        <f>IF('Encargos e Benefícios'!C442=0,0,'Encargos e Benefícios'!AD442/'Encargos e Benefícios'!C442)</f>
        <v>0</v>
      </c>
      <c r="AO443" s="188"/>
      <c r="AP443" s="298"/>
      <c r="AQ443" s="298"/>
      <c r="AR443" s="302"/>
      <c r="AS443" s="188"/>
    </row>
    <row r="444" spans="1:45" ht="13" hidden="1" thickBot="1">
      <c r="A444" s="286">
        <v>438</v>
      </c>
      <c r="B444" s="81">
        <f>'Encargos e Benefícios'!B443</f>
        <v>0</v>
      </c>
      <c r="C444" s="287">
        <f>'Encargos e Benefícios'!C443</f>
        <v>0</v>
      </c>
      <c r="D444" s="288"/>
      <c r="E444" s="300"/>
      <c r="F444" s="301"/>
      <c r="G444" s="293"/>
      <c r="H444" s="292"/>
      <c r="I444" s="256"/>
      <c r="J444" s="256"/>
      <c r="K444" s="256"/>
      <c r="L444" s="256"/>
      <c r="M444" s="293"/>
      <c r="N444" s="292"/>
      <c r="O444" s="256"/>
      <c r="P444" s="256"/>
      <c r="Q444" s="256"/>
      <c r="R444" s="256"/>
      <c r="S444" s="293"/>
      <c r="T444" s="294"/>
      <c r="U444" s="256"/>
      <c r="V444" s="256"/>
      <c r="W444" s="256"/>
      <c r="X444" s="256"/>
      <c r="Y444" s="293"/>
      <c r="Z444" s="294"/>
      <c r="AA444" s="256"/>
      <c r="AB444" s="256"/>
      <c r="AC444" s="256"/>
      <c r="AD444" s="256"/>
      <c r="AE444" s="293"/>
      <c r="AF444" s="294"/>
      <c r="AG444" s="256"/>
      <c r="AH444" s="256"/>
      <c r="AI444" s="256"/>
      <c r="AJ444" s="257"/>
      <c r="AK444" s="296">
        <f>'Encargos e Benefícios'!D443</f>
        <v>0</v>
      </c>
      <c r="AL444" s="296">
        <f>IF('Encargos e Benefícios'!C443=0,0,'Encargos e Benefícios'!U443/'Encargos e Benefícios'!C443)</f>
        <v>0</v>
      </c>
      <c r="AM444" s="296">
        <f>IF('Encargos e Benefícios'!C443=0,0,'Encargos e Benefícios'!AC443/'Encargos e Benefícios'!C443)</f>
        <v>0</v>
      </c>
      <c r="AN444" s="297">
        <f>IF('Encargos e Benefícios'!C443=0,0,'Encargos e Benefícios'!AD443/'Encargos e Benefícios'!C443)</f>
        <v>0</v>
      </c>
      <c r="AO444" s="188"/>
      <c r="AP444" s="298"/>
      <c r="AQ444" s="298"/>
      <c r="AR444" s="302"/>
      <c r="AS444" s="188"/>
    </row>
    <row r="445" spans="1:45" ht="13" hidden="1" thickBot="1">
      <c r="A445" s="286">
        <v>439</v>
      </c>
      <c r="B445" s="81">
        <f>'Encargos e Benefícios'!B444</f>
        <v>0</v>
      </c>
      <c r="C445" s="287">
        <f>'Encargos e Benefícios'!C444</f>
        <v>0</v>
      </c>
      <c r="D445" s="288"/>
      <c r="E445" s="300"/>
      <c r="F445" s="301"/>
      <c r="G445" s="293"/>
      <c r="H445" s="292"/>
      <c r="I445" s="256"/>
      <c r="J445" s="256"/>
      <c r="K445" s="256"/>
      <c r="L445" s="256"/>
      <c r="M445" s="293"/>
      <c r="N445" s="292"/>
      <c r="O445" s="256"/>
      <c r="P445" s="256"/>
      <c r="Q445" s="256"/>
      <c r="R445" s="256"/>
      <c r="S445" s="293"/>
      <c r="T445" s="294"/>
      <c r="U445" s="256"/>
      <c r="V445" s="256"/>
      <c r="W445" s="256"/>
      <c r="X445" s="256"/>
      <c r="Y445" s="293"/>
      <c r="Z445" s="294"/>
      <c r="AA445" s="256"/>
      <c r="AB445" s="256"/>
      <c r="AC445" s="256"/>
      <c r="AD445" s="256"/>
      <c r="AE445" s="293"/>
      <c r="AF445" s="294"/>
      <c r="AG445" s="256"/>
      <c r="AH445" s="256"/>
      <c r="AI445" s="256"/>
      <c r="AJ445" s="257"/>
      <c r="AK445" s="296">
        <f>'Encargos e Benefícios'!D444</f>
        <v>0</v>
      </c>
      <c r="AL445" s="296">
        <f>IF('Encargos e Benefícios'!C444=0,0,'Encargos e Benefícios'!U444/'Encargos e Benefícios'!C444)</f>
        <v>0</v>
      </c>
      <c r="AM445" s="296">
        <f>IF('Encargos e Benefícios'!C444=0,0,'Encargos e Benefícios'!AC444/'Encargos e Benefícios'!C444)</f>
        <v>0</v>
      </c>
      <c r="AN445" s="297">
        <f>IF('Encargos e Benefícios'!C444=0,0,'Encargos e Benefícios'!AD444/'Encargos e Benefícios'!C444)</f>
        <v>0</v>
      </c>
      <c r="AO445" s="188"/>
      <c r="AP445" s="298"/>
      <c r="AQ445" s="298"/>
      <c r="AR445" s="302"/>
      <c r="AS445" s="188"/>
    </row>
    <row r="446" spans="1:45" ht="13" hidden="1" thickBot="1">
      <c r="A446" s="286">
        <v>440</v>
      </c>
      <c r="B446" s="81">
        <f>'Encargos e Benefícios'!B445</f>
        <v>0</v>
      </c>
      <c r="C446" s="287">
        <f>'Encargos e Benefícios'!C445</f>
        <v>0</v>
      </c>
      <c r="D446" s="288"/>
      <c r="E446" s="300"/>
      <c r="F446" s="301"/>
      <c r="G446" s="293"/>
      <c r="H446" s="292"/>
      <c r="I446" s="256"/>
      <c r="J446" s="256"/>
      <c r="K446" s="256"/>
      <c r="L446" s="256"/>
      <c r="M446" s="293"/>
      <c r="N446" s="292"/>
      <c r="O446" s="256"/>
      <c r="P446" s="256"/>
      <c r="Q446" s="256"/>
      <c r="R446" s="256"/>
      <c r="S446" s="293"/>
      <c r="T446" s="294"/>
      <c r="U446" s="256"/>
      <c r="V446" s="256"/>
      <c r="W446" s="256"/>
      <c r="X446" s="256"/>
      <c r="Y446" s="293"/>
      <c r="Z446" s="294"/>
      <c r="AA446" s="256"/>
      <c r="AB446" s="256"/>
      <c r="AC446" s="256"/>
      <c r="AD446" s="256"/>
      <c r="AE446" s="293"/>
      <c r="AF446" s="294"/>
      <c r="AG446" s="256"/>
      <c r="AH446" s="256"/>
      <c r="AI446" s="256"/>
      <c r="AJ446" s="257"/>
      <c r="AK446" s="296">
        <f>'Encargos e Benefícios'!D445</f>
        <v>0</v>
      </c>
      <c r="AL446" s="296">
        <f>IF('Encargos e Benefícios'!C445=0,0,'Encargos e Benefícios'!U445/'Encargos e Benefícios'!C445)</f>
        <v>0</v>
      </c>
      <c r="AM446" s="296">
        <f>IF('Encargos e Benefícios'!C445=0,0,'Encargos e Benefícios'!AC445/'Encargos e Benefícios'!C445)</f>
        <v>0</v>
      </c>
      <c r="AN446" s="297">
        <f>IF('Encargos e Benefícios'!C445=0,0,'Encargos e Benefícios'!AD445/'Encargos e Benefícios'!C445)</f>
        <v>0</v>
      </c>
      <c r="AO446" s="188"/>
      <c r="AP446" s="298"/>
      <c r="AQ446" s="298"/>
      <c r="AR446" s="302"/>
      <c r="AS446" s="188"/>
    </row>
    <row r="447" spans="1:45" ht="13" hidden="1" thickBot="1">
      <c r="A447" s="286">
        <v>441</v>
      </c>
      <c r="B447" s="81">
        <f>'Encargos e Benefícios'!B446</f>
        <v>0</v>
      </c>
      <c r="C447" s="287">
        <f>'Encargos e Benefícios'!C446</f>
        <v>0</v>
      </c>
      <c r="D447" s="288"/>
      <c r="E447" s="300"/>
      <c r="F447" s="301"/>
      <c r="G447" s="293"/>
      <c r="H447" s="292"/>
      <c r="I447" s="256"/>
      <c r="J447" s="256"/>
      <c r="K447" s="256"/>
      <c r="L447" s="256"/>
      <c r="M447" s="293"/>
      <c r="N447" s="292"/>
      <c r="O447" s="256"/>
      <c r="P447" s="256"/>
      <c r="Q447" s="256"/>
      <c r="R447" s="256"/>
      <c r="S447" s="293"/>
      <c r="T447" s="294"/>
      <c r="U447" s="256"/>
      <c r="V447" s="256"/>
      <c r="W447" s="256"/>
      <c r="X447" s="256"/>
      <c r="Y447" s="293"/>
      <c r="Z447" s="294"/>
      <c r="AA447" s="256"/>
      <c r="AB447" s="256"/>
      <c r="AC447" s="256"/>
      <c r="AD447" s="256"/>
      <c r="AE447" s="293"/>
      <c r="AF447" s="294"/>
      <c r="AG447" s="256"/>
      <c r="AH447" s="256"/>
      <c r="AI447" s="256"/>
      <c r="AJ447" s="257"/>
      <c r="AK447" s="296">
        <f>'Encargos e Benefícios'!D446</f>
        <v>0</v>
      </c>
      <c r="AL447" s="296">
        <f>IF('Encargos e Benefícios'!C446=0,0,'Encargos e Benefícios'!U446/'Encargos e Benefícios'!C446)</f>
        <v>0</v>
      </c>
      <c r="AM447" s="296">
        <f>IF('Encargos e Benefícios'!C446=0,0,'Encargos e Benefícios'!AC446/'Encargos e Benefícios'!C446)</f>
        <v>0</v>
      </c>
      <c r="AN447" s="297">
        <f>IF('Encargos e Benefícios'!C446=0,0,'Encargos e Benefícios'!AD446/'Encargos e Benefícios'!C446)</f>
        <v>0</v>
      </c>
      <c r="AO447" s="188"/>
      <c r="AP447" s="298"/>
      <c r="AQ447" s="298"/>
      <c r="AR447" s="302"/>
      <c r="AS447" s="188"/>
    </row>
    <row r="448" spans="1:45" ht="13" hidden="1" thickBot="1">
      <c r="A448" s="286">
        <v>442</v>
      </c>
      <c r="B448" s="81">
        <f>'Encargos e Benefícios'!B447</f>
        <v>0</v>
      </c>
      <c r="C448" s="287">
        <f>'Encargos e Benefícios'!C447</f>
        <v>0</v>
      </c>
      <c r="D448" s="288"/>
      <c r="E448" s="300"/>
      <c r="F448" s="301"/>
      <c r="G448" s="293"/>
      <c r="H448" s="292"/>
      <c r="I448" s="256"/>
      <c r="J448" s="256"/>
      <c r="K448" s="256"/>
      <c r="L448" s="256"/>
      <c r="M448" s="293"/>
      <c r="N448" s="292"/>
      <c r="O448" s="256"/>
      <c r="P448" s="256"/>
      <c r="Q448" s="256"/>
      <c r="R448" s="256"/>
      <c r="S448" s="293"/>
      <c r="T448" s="294"/>
      <c r="U448" s="256"/>
      <c r="V448" s="256"/>
      <c r="W448" s="256"/>
      <c r="X448" s="256"/>
      <c r="Y448" s="293"/>
      <c r="Z448" s="294"/>
      <c r="AA448" s="256"/>
      <c r="AB448" s="256"/>
      <c r="AC448" s="256"/>
      <c r="AD448" s="256"/>
      <c r="AE448" s="293"/>
      <c r="AF448" s="294"/>
      <c r="AG448" s="256"/>
      <c r="AH448" s="256"/>
      <c r="AI448" s="256"/>
      <c r="AJ448" s="257"/>
      <c r="AK448" s="296">
        <f>'Encargos e Benefícios'!D447</f>
        <v>0</v>
      </c>
      <c r="AL448" s="296">
        <f>IF('Encargos e Benefícios'!C447=0,0,'Encargos e Benefícios'!U447/'Encargos e Benefícios'!C447)</f>
        <v>0</v>
      </c>
      <c r="AM448" s="296">
        <f>IF('Encargos e Benefícios'!C447=0,0,'Encargos e Benefícios'!AC447/'Encargos e Benefícios'!C447)</f>
        <v>0</v>
      </c>
      <c r="AN448" s="297">
        <f>IF('Encargos e Benefícios'!C447=0,0,'Encargos e Benefícios'!AD447/'Encargos e Benefícios'!C447)</f>
        <v>0</v>
      </c>
      <c r="AO448" s="188"/>
      <c r="AP448" s="298"/>
      <c r="AQ448" s="298"/>
      <c r="AR448" s="302"/>
      <c r="AS448" s="188"/>
    </row>
    <row r="449" spans="1:45" ht="13" hidden="1" thickBot="1">
      <c r="A449" s="286">
        <v>443</v>
      </c>
      <c r="B449" s="81">
        <f>'Encargos e Benefícios'!B448</f>
        <v>0</v>
      </c>
      <c r="C449" s="287">
        <f>'Encargos e Benefícios'!C448</f>
        <v>0</v>
      </c>
      <c r="D449" s="288"/>
      <c r="E449" s="300"/>
      <c r="F449" s="301"/>
      <c r="G449" s="293"/>
      <c r="H449" s="292"/>
      <c r="I449" s="256"/>
      <c r="J449" s="256"/>
      <c r="K449" s="256"/>
      <c r="L449" s="256"/>
      <c r="M449" s="293"/>
      <c r="N449" s="292"/>
      <c r="O449" s="256"/>
      <c r="P449" s="256"/>
      <c r="Q449" s="256"/>
      <c r="R449" s="256"/>
      <c r="S449" s="293"/>
      <c r="T449" s="294"/>
      <c r="U449" s="256"/>
      <c r="V449" s="256"/>
      <c r="W449" s="256"/>
      <c r="X449" s="256"/>
      <c r="Y449" s="293"/>
      <c r="Z449" s="294"/>
      <c r="AA449" s="256"/>
      <c r="AB449" s="256"/>
      <c r="AC449" s="256"/>
      <c r="AD449" s="256"/>
      <c r="AE449" s="293"/>
      <c r="AF449" s="294"/>
      <c r="AG449" s="256"/>
      <c r="AH449" s="256"/>
      <c r="AI449" s="256"/>
      <c r="AJ449" s="257"/>
      <c r="AK449" s="296">
        <f>'Encargos e Benefícios'!D448</f>
        <v>0</v>
      </c>
      <c r="AL449" s="296">
        <f>IF('Encargos e Benefícios'!C448=0,0,'Encargos e Benefícios'!U448/'Encargos e Benefícios'!C448)</f>
        <v>0</v>
      </c>
      <c r="AM449" s="296">
        <f>IF('Encargos e Benefícios'!C448=0,0,'Encargos e Benefícios'!AC448/'Encargos e Benefícios'!C448)</f>
        <v>0</v>
      </c>
      <c r="AN449" s="297">
        <f>IF('Encargos e Benefícios'!C448=0,0,'Encargos e Benefícios'!AD448/'Encargos e Benefícios'!C448)</f>
        <v>0</v>
      </c>
      <c r="AO449" s="188"/>
      <c r="AP449" s="298"/>
      <c r="AQ449" s="298"/>
      <c r="AR449" s="302"/>
      <c r="AS449" s="188"/>
    </row>
    <row r="450" spans="1:45" ht="13" hidden="1" thickBot="1">
      <c r="A450" s="286">
        <v>444</v>
      </c>
      <c r="B450" s="81">
        <f>'Encargos e Benefícios'!B449</f>
        <v>0</v>
      </c>
      <c r="C450" s="287">
        <f>'Encargos e Benefícios'!C449</f>
        <v>0</v>
      </c>
      <c r="D450" s="288"/>
      <c r="E450" s="300"/>
      <c r="F450" s="301"/>
      <c r="G450" s="293"/>
      <c r="H450" s="292"/>
      <c r="I450" s="256"/>
      <c r="J450" s="256"/>
      <c r="K450" s="256"/>
      <c r="L450" s="256"/>
      <c r="M450" s="293"/>
      <c r="N450" s="292"/>
      <c r="O450" s="256"/>
      <c r="P450" s="256"/>
      <c r="Q450" s="256"/>
      <c r="R450" s="256"/>
      <c r="S450" s="293"/>
      <c r="T450" s="294"/>
      <c r="U450" s="256"/>
      <c r="V450" s="256"/>
      <c r="W450" s="256"/>
      <c r="X450" s="256"/>
      <c r="Y450" s="293"/>
      <c r="Z450" s="294"/>
      <c r="AA450" s="256"/>
      <c r="AB450" s="256"/>
      <c r="AC450" s="256"/>
      <c r="AD450" s="256"/>
      <c r="AE450" s="293"/>
      <c r="AF450" s="294"/>
      <c r="AG450" s="256"/>
      <c r="AH450" s="256"/>
      <c r="AI450" s="256"/>
      <c r="AJ450" s="257"/>
      <c r="AK450" s="296">
        <f>'Encargos e Benefícios'!D449</f>
        <v>0</v>
      </c>
      <c r="AL450" s="296">
        <f>IF('Encargos e Benefícios'!C449=0,0,'Encargos e Benefícios'!U449/'Encargos e Benefícios'!C449)</f>
        <v>0</v>
      </c>
      <c r="AM450" s="296">
        <f>IF('Encargos e Benefícios'!C449=0,0,'Encargos e Benefícios'!AC449/'Encargos e Benefícios'!C449)</f>
        <v>0</v>
      </c>
      <c r="AN450" s="297">
        <f>IF('Encargos e Benefícios'!C449=0,0,'Encargos e Benefícios'!AD449/'Encargos e Benefícios'!C449)</f>
        <v>0</v>
      </c>
      <c r="AO450" s="188"/>
      <c r="AP450" s="298"/>
      <c r="AQ450" s="298"/>
      <c r="AR450" s="302"/>
      <c r="AS450" s="188"/>
    </row>
    <row r="451" spans="1:45" ht="13" hidden="1" thickBot="1">
      <c r="A451" s="286">
        <v>445</v>
      </c>
      <c r="B451" s="81">
        <f>'Encargos e Benefícios'!B450</f>
        <v>0</v>
      </c>
      <c r="C451" s="287">
        <f>'Encargos e Benefícios'!C450</f>
        <v>0</v>
      </c>
      <c r="D451" s="288"/>
      <c r="E451" s="300"/>
      <c r="F451" s="301"/>
      <c r="G451" s="293"/>
      <c r="H451" s="292"/>
      <c r="I451" s="256"/>
      <c r="J451" s="256"/>
      <c r="K451" s="256"/>
      <c r="L451" s="256"/>
      <c r="M451" s="293"/>
      <c r="N451" s="292"/>
      <c r="O451" s="256"/>
      <c r="P451" s="256"/>
      <c r="Q451" s="256"/>
      <c r="R451" s="256"/>
      <c r="S451" s="293"/>
      <c r="T451" s="294"/>
      <c r="U451" s="256"/>
      <c r="V451" s="256"/>
      <c r="W451" s="256"/>
      <c r="X451" s="256"/>
      <c r="Y451" s="293"/>
      <c r="Z451" s="294"/>
      <c r="AA451" s="256"/>
      <c r="AB451" s="256"/>
      <c r="AC451" s="256"/>
      <c r="AD451" s="256"/>
      <c r="AE451" s="293"/>
      <c r="AF451" s="294"/>
      <c r="AG451" s="256"/>
      <c r="AH451" s="256"/>
      <c r="AI451" s="256"/>
      <c r="AJ451" s="257"/>
      <c r="AK451" s="296">
        <f>'Encargos e Benefícios'!D450</f>
        <v>0</v>
      </c>
      <c r="AL451" s="296">
        <f>IF('Encargos e Benefícios'!C450=0,0,'Encargos e Benefícios'!U450/'Encargos e Benefícios'!C450)</f>
        <v>0</v>
      </c>
      <c r="AM451" s="296">
        <f>IF('Encargos e Benefícios'!C450=0,0,'Encargos e Benefícios'!AC450/'Encargos e Benefícios'!C450)</f>
        <v>0</v>
      </c>
      <c r="AN451" s="297">
        <f>IF('Encargos e Benefícios'!C450=0,0,'Encargos e Benefícios'!AD450/'Encargos e Benefícios'!C450)</f>
        <v>0</v>
      </c>
      <c r="AO451" s="188"/>
      <c r="AP451" s="298"/>
      <c r="AQ451" s="298"/>
      <c r="AR451" s="302"/>
      <c r="AS451" s="188"/>
    </row>
    <row r="452" spans="1:45" ht="13" hidden="1" thickBot="1">
      <c r="A452" s="286">
        <v>446</v>
      </c>
      <c r="B452" s="81">
        <f>'Encargos e Benefícios'!B451</f>
        <v>0</v>
      </c>
      <c r="C452" s="287">
        <f>'Encargos e Benefícios'!C451</f>
        <v>0</v>
      </c>
      <c r="D452" s="288"/>
      <c r="E452" s="300"/>
      <c r="F452" s="301"/>
      <c r="G452" s="293"/>
      <c r="H452" s="292"/>
      <c r="I452" s="256"/>
      <c r="J452" s="256"/>
      <c r="K452" s="256"/>
      <c r="L452" s="256"/>
      <c r="M452" s="293"/>
      <c r="N452" s="292"/>
      <c r="O452" s="256"/>
      <c r="P452" s="256"/>
      <c r="Q452" s="256"/>
      <c r="R452" s="256"/>
      <c r="S452" s="293"/>
      <c r="T452" s="294"/>
      <c r="U452" s="256"/>
      <c r="V452" s="256"/>
      <c r="W452" s="256"/>
      <c r="X452" s="256"/>
      <c r="Y452" s="293"/>
      <c r="Z452" s="294"/>
      <c r="AA452" s="256"/>
      <c r="AB452" s="256"/>
      <c r="AC452" s="256"/>
      <c r="AD452" s="256"/>
      <c r="AE452" s="293"/>
      <c r="AF452" s="294"/>
      <c r="AG452" s="256"/>
      <c r="AH452" s="256"/>
      <c r="AI452" s="256"/>
      <c r="AJ452" s="257"/>
      <c r="AK452" s="296">
        <f>'Encargos e Benefícios'!D451</f>
        <v>0</v>
      </c>
      <c r="AL452" s="296">
        <f>IF('Encargos e Benefícios'!C451=0,0,'Encargos e Benefícios'!U451/'Encargos e Benefícios'!C451)</f>
        <v>0</v>
      </c>
      <c r="AM452" s="296">
        <f>IF('Encargos e Benefícios'!C451=0,0,'Encargos e Benefícios'!AC451/'Encargos e Benefícios'!C451)</f>
        <v>0</v>
      </c>
      <c r="AN452" s="297">
        <f>IF('Encargos e Benefícios'!C451=0,0,'Encargos e Benefícios'!AD451/'Encargos e Benefícios'!C451)</f>
        <v>0</v>
      </c>
      <c r="AO452" s="188"/>
      <c r="AP452" s="298"/>
      <c r="AQ452" s="298"/>
      <c r="AR452" s="302"/>
      <c r="AS452" s="188"/>
    </row>
    <row r="453" spans="1:45" ht="13" hidden="1" thickBot="1">
      <c r="A453" s="286">
        <v>447</v>
      </c>
      <c r="B453" s="81">
        <f>'Encargos e Benefícios'!B452</f>
        <v>0</v>
      </c>
      <c r="C453" s="287">
        <f>'Encargos e Benefícios'!C452</f>
        <v>0</v>
      </c>
      <c r="D453" s="288"/>
      <c r="E453" s="300"/>
      <c r="F453" s="301"/>
      <c r="G453" s="293"/>
      <c r="H453" s="292"/>
      <c r="I453" s="256"/>
      <c r="J453" s="256"/>
      <c r="K453" s="256"/>
      <c r="L453" s="256"/>
      <c r="M453" s="293"/>
      <c r="N453" s="292"/>
      <c r="O453" s="256"/>
      <c r="P453" s="256"/>
      <c r="Q453" s="256"/>
      <c r="R453" s="256"/>
      <c r="S453" s="293"/>
      <c r="T453" s="294"/>
      <c r="U453" s="256"/>
      <c r="V453" s="256"/>
      <c r="W453" s="256"/>
      <c r="X453" s="256"/>
      <c r="Y453" s="293"/>
      <c r="Z453" s="294"/>
      <c r="AA453" s="256"/>
      <c r="AB453" s="256"/>
      <c r="AC453" s="256"/>
      <c r="AD453" s="256"/>
      <c r="AE453" s="293"/>
      <c r="AF453" s="294"/>
      <c r="AG453" s="256"/>
      <c r="AH453" s="256"/>
      <c r="AI453" s="256"/>
      <c r="AJ453" s="257"/>
      <c r="AK453" s="296">
        <f>'Encargos e Benefícios'!D452</f>
        <v>0</v>
      </c>
      <c r="AL453" s="296">
        <f>IF('Encargos e Benefícios'!C452=0,0,'Encargos e Benefícios'!U452/'Encargos e Benefícios'!C452)</f>
        <v>0</v>
      </c>
      <c r="AM453" s="296">
        <f>IF('Encargos e Benefícios'!C452=0,0,'Encargos e Benefícios'!AC452/'Encargos e Benefícios'!C452)</f>
        <v>0</v>
      </c>
      <c r="AN453" s="297">
        <f>IF('Encargos e Benefícios'!C452=0,0,'Encargos e Benefícios'!AD452/'Encargos e Benefícios'!C452)</f>
        <v>0</v>
      </c>
      <c r="AO453" s="188"/>
      <c r="AP453" s="298"/>
      <c r="AQ453" s="298"/>
      <c r="AR453" s="302"/>
      <c r="AS453" s="188"/>
    </row>
    <row r="454" spans="1:45" ht="13" hidden="1" thickBot="1">
      <c r="A454" s="286">
        <v>448</v>
      </c>
      <c r="B454" s="81">
        <f>'Encargos e Benefícios'!B453</f>
        <v>0</v>
      </c>
      <c r="C454" s="287">
        <f>'Encargos e Benefícios'!C453</f>
        <v>0</v>
      </c>
      <c r="D454" s="288"/>
      <c r="E454" s="300"/>
      <c r="F454" s="301"/>
      <c r="G454" s="293"/>
      <c r="H454" s="292"/>
      <c r="I454" s="256"/>
      <c r="J454" s="256"/>
      <c r="K454" s="256"/>
      <c r="L454" s="256"/>
      <c r="M454" s="293"/>
      <c r="N454" s="292"/>
      <c r="O454" s="256"/>
      <c r="P454" s="256"/>
      <c r="Q454" s="256"/>
      <c r="R454" s="256"/>
      <c r="S454" s="293"/>
      <c r="T454" s="294"/>
      <c r="U454" s="256"/>
      <c r="V454" s="256"/>
      <c r="W454" s="256"/>
      <c r="X454" s="256"/>
      <c r="Y454" s="293"/>
      <c r="Z454" s="294"/>
      <c r="AA454" s="256"/>
      <c r="AB454" s="256"/>
      <c r="AC454" s="256"/>
      <c r="AD454" s="256"/>
      <c r="AE454" s="293"/>
      <c r="AF454" s="294"/>
      <c r="AG454" s="256"/>
      <c r="AH454" s="256"/>
      <c r="AI454" s="256"/>
      <c r="AJ454" s="257"/>
      <c r="AK454" s="296">
        <f>'Encargos e Benefícios'!D453</f>
        <v>0</v>
      </c>
      <c r="AL454" s="296">
        <f>IF('Encargos e Benefícios'!C453=0,0,'Encargos e Benefícios'!U453/'Encargos e Benefícios'!C453)</f>
        <v>0</v>
      </c>
      <c r="AM454" s="296">
        <f>IF('Encargos e Benefícios'!C453=0,0,'Encargos e Benefícios'!AC453/'Encargos e Benefícios'!C453)</f>
        <v>0</v>
      </c>
      <c r="AN454" s="297">
        <f>IF('Encargos e Benefícios'!C453=0,0,'Encargos e Benefícios'!AD453/'Encargos e Benefícios'!C453)</f>
        <v>0</v>
      </c>
      <c r="AO454" s="188"/>
      <c r="AP454" s="298"/>
      <c r="AQ454" s="298"/>
      <c r="AR454" s="302"/>
      <c r="AS454" s="188"/>
    </row>
    <row r="455" spans="1:45" ht="13" hidden="1" thickBot="1">
      <c r="A455" s="286">
        <v>449</v>
      </c>
      <c r="B455" s="81">
        <f>'Encargos e Benefícios'!B454</f>
        <v>0</v>
      </c>
      <c r="C455" s="287">
        <f>'Encargos e Benefícios'!C454</f>
        <v>0</v>
      </c>
      <c r="D455" s="288"/>
      <c r="E455" s="300"/>
      <c r="F455" s="301"/>
      <c r="G455" s="293"/>
      <c r="H455" s="292"/>
      <c r="I455" s="256"/>
      <c r="J455" s="256"/>
      <c r="K455" s="256"/>
      <c r="L455" s="256"/>
      <c r="M455" s="293"/>
      <c r="N455" s="292"/>
      <c r="O455" s="256"/>
      <c r="P455" s="256"/>
      <c r="Q455" s="256"/>
      <c r="R455" s="256"/>
      <c r="S455" s="293"/>
      <c r="T455" s="294"/>
      <c r="U455" s="256"/>
      <c r="V455" s="256"/>
      <c r="W455" s="256"/>
      <c r="X455" s="256"/>
      <c r="Y455" s="293"/>
      <c r="Z455" s="294"/>
      <c r="AA455" s="256"/>
      <c r="AB455" s="256"/>
      <c r="AC455" s="256"/>
      <c r="AD455" s="256"/>
      <c r="AE455" s="293"/>
      <c r="AF455" s="294"/>
      <c r="AG455" s="256"/>
      <c r="AH455" s="256"/>
      <c r="AI455" s="256"/>
      <c r="AJ455" s="257"/>
      <c r="AK455" s="296">
        <f>'Encargos e Benefícios'!D454</f>
        <v>0</v>
      </c>
      <c r="AL455" s="296">
        <f>IF('Encargos e Benefícios'!C454=0,0,'Encargos e Benefícios'!U454/'Encargos e Benefícios'!C454)</f>
        <v>0</v>
      </c>
      <c r="AM455" s="296">
        <f>IF('Encargos e Benefícios'!C454=0,0,'Encargos e Benefícios'!AC454/'Encargos e Benefícios'!C454)</f>
        <v>0</v>
      </c>
      <c r="AN455" s="297">
        <f>IF('Encargos e Benefícios'!C454=0,0,'Encargos e Benefícios'!AD454/'Encargos e Benefícios'!C454)</f>
        <v>0</v>
      </c>
      <c r="AO455" s="188"/>
      <c r="AP455" s="298"/>
      <c r="AQ455" s="298"/>
      <c r="AR455" s="302"/>
      <c r="AS455" s="188"/>
    </row>
    <row r="456" spans="1:45" ht="13" hidden="1" thickBot="1">
      <c r="A456" s="286">
        <v>450</v>
      </c>
      <c r="B456" s="81">
        <f>'Encargos e Benefícios'!B455</f>
        <v>0</v>
      </c>
      <c r="C456" s="287">
        <f>'Encargos e Benefícios'!C455</f>
        <v>0</v>
      </c>
      <c r="D456" s="288"/>
      <c r="E456" s="300"/>
      <c r="F456" s="301"/>
      <c r="G456" s="293"/>
      <c r="H456" s="292"/>
      <c r="I456" s="256"/>
      <c r="J456" s="256"/>
      <c r="K456" s="256"/>
      <c r="L456" s="256"/>
      <c r="M456" s="293"/>
      <c r="N456" s="292"/>
      <c r="O456" s="256"/>
      <c r="P456" s="256"/>
      <c r="Q456" s="256"/>
      <c r="R456" s="256"/>
      <c r="S456" s="293"/>
      <c r="T456" s="294"/>
      <c r="U456" s="256"/>
      <c r="V456" s="256"/>
      <c r="W456" s="256"/>
      <c r="X456" s="256"/>
      <c r="Y456" s="293"/>
      <c r="Z456" s="294"/>
      <c r="AA456" s="256"/>
      <c r="AB456" s="256"/>
      <c r="AC456" s="256"/>
      <c r="AD456" s="256"/>
      <c r="AE456" s="293"/>
      <c r="AF456" s="294"/>
      <c r="AG456" s="256"/>
      <c r="AH456" s="256"/>
      <c r="AI456" s="256"/>
      <c r="AJ456" s="257"/>
      <c r="AK456" s="296">
        <f>'Encargos e Benefícios'!D455</f>
        <v>0</v>
      </c>
      <c r="AL456" s="296">
        <f>IF('Encargos e Benefícios'!C455=0,0,'Encargos e Benefícios'!U455/'Encargos e Benefícios'!C455)</f>
        <v>0</v>
      </c>
      <c r="AM456" s="296">
        <f>IF('Encargos e Benefícios'!C455=0,0,'Encargos e Benefícios'!AC455/'Encargos e Benefícios'!C455)</f>
        <v>0</v>
      </c>
      <c r="AN456" s="297">
        <f>IF('Encargos e Benefícios'!C455=0,0,'Encargos e Benefícios'!AD455/'Encargos e Benefícios'!C455)</f>
        <v>0</v>
      </c>
      <c r="AO456" s="188"/>
      <c r="AP456" s="298"/>
      <c r="AQ456" s="298"/>
      <c r="AR456" s="302"/>
      <c r="AS456" s="188"/>
    </row>
    <row r="457" spans="1:45" ht="13" hidden="1" thickBot="1">
      <c r="A457" s="286">
        <v>451</v>
      </c>
      <c r="B457" s="81">
        <f>'Encargos e Benefícios'!B456</f>
        <v>0</v>
      </c>
      <c r="C457" s="287">
        <f>'Encargos e Benefícios'!C456</f>
        <v>0</v>
      </c>
      <c r="D457" s="288"/>
      <c r="E457" s="300"/>
      <c r="F457" s="301"/>
      <c r="G457" s="293"/>
      <c r="H457" s="292"/>
      <c r="I457" s="256"/>
      <c r="J457" s="256"/>
      <c r="K457" s="256"/>
      <c r="L457" s="256"/>
      <c r="M457" s="293"/>
      <c r="N457" s="292"/>
      <c r="O457" s="256"/>
      <c r="P457" s="256"/>
      <c r="Q457" s="256"/>
      <c r="R457" s="256"/>
      <c r="S457" s="293"/>
      <c r="T457" s="294"/>
      <c r="U457" s="256"/>
      <c r="V457" s="256"/>
      <c r="W457" s="256"/>
      <c r="X457" s="256"/>
      <c r="Y457" s="293"/>
      <c r="Z457" s="294"/>
      <c r="AA457" s="256"/>
      <c r="AB457" s="256"/>
      <c r="AC457" s="256"/>
      <c r="AD457" s="256"/>
      <c r="AE457" s="293"/>
      <c r="AF457" s="294"/>
      <c r="AG457" s="256"/>
      <c r="AH457" s="256"/>
      <c r="AI457" s="256"/>
      <c r="AJ457" s="257"/>
      <c r="AK457" s="296">
        <f>'Encargos e Benefícios'!D456</f>
        <v>0</v>
      </c>
      <c r="AL457" s="296">
        <f>IF('Encargos e Benefícios'!C456=0,0,'Encargos e Benefícios'!U456/'Encargos e Benefícios'!C456)</f>
        <v>0</v>
      </c>
      <c r="AM457" s="296">
        <f>IF('Encargos e Benefícios'!C456=0,0,'Encargos e Benefícios'!AC456/'Encargos e Benefícios'!C456)</f>
        <v>0</v>
      </c>
      <c r="AN457" s="297">
        <f>IF('Encargos e Benefícios'!C456=0,0,'Encargos e Benefícios'!AD456/'Encargos e Benefícios'!C456)</f>
        <v>0</v>
      </c>
      <c r="AO457" s="188"/>
      <c r="AP457" s="298"/>
      <c r="AQ457" s="298"/>
      <c r="AR457" s="302"/>
      <c r="AS457" s="188"/>
    </row>
    <row r="458" spans="1:45" ht="13" hidden="1" thickBot="1">
      <c r="A458" s="286">
        <v>452</v>
      </c>
      <c r="B458" s="81">
        <f>'Encargos e Benefícios'!B457</f>
        <v>0</v>
      </c>
      <c r="C458" s="287">
        <f>'Encargos e Benefícios'!C457</f>
        <v>0</v>
      </c>
      <c r="D458" s="288"/>
      <c r="E458" s="300"/>
      <c r="F458" s="301"/>
      <c r="G458" s="293"/>
      <c r="H458" s="292"/>
      <c r="I458" s="256"/>
      <c r="J458" s="256"/>
      <c r="K458" s="256"/>
      <c r="L458" s="256"/>
      <c r="M458" s="293"/>
      <c r="N458" s="292"/>
      <c r="O458" s="256"/>
      <c r="P458" s="256"/>
      <c r="Q458" s="256"/>
      <c r="R458" s="256"/>
      <c r="S458" s="293"/>
      <c r="T458" s="294"/>
      <c r="U458" s="256"/>
      <c r="V458" s="256"/>
      <c r="W458" s="256"/>
      <c r="X458" s="256"/>
      <c r="Y458" s="293"/>
      <c r="Z458" s="294"/>
      <c r="AA458" s="256"/>
      <c r="AB458" s="256"/>
      <c r="AC458" s="256"/>
      <c r="AD458" s="256"/>
      <c r="AE458" s="293"/>
      <c r="AF458" s="294"/>
      <c r="AG458" s="256"/>
      <c r="AH458" s="256"/>
      <c r="AI458" s="256"/>
      <c r="AJ458" s="257"/>
      <c r="AK458" s="296">
        <f>'Encargos e Benefícios'!D457</f>
        <v>0</v>
      </c>
      <c r="AL458" s="296">
        <f>IF('Encargos e Benefícios'!C457=0,0,'Encargos e Benefícios'!U457/'Encargos e Benefícios'!C457)</f>
        <v>0</v>
      </c>
      <c r="AM458" s="296">
        <f>IF('Encargos e Benefícios'!C457=0,0,'Encargos e Benefícios'!AC457/'Encargos e Benefícios'!C457)</f>
        <v>0</v>
      </c>
      <c r="AN458" s="297">
        <f>IF('Encargos e Benefícios'!C457=0,0,'Encargos e Benefícios'!AD457/'Encargos e Benefícios'!C457)</f>
        <v>0</v>
      </c>
      <c r="AO458" s="188"/>
      <c r="AP458" s="298"/>
      <c r="AQ458" s="298"/>
      <c r="AR458" s="302"/>
      <c r="AS458" s="188"/>
    </row>
    <row r="459" spans="1:45" ht="13" hidden="1" thickBot="1">
      <c r="A459" s="286">
        <v>453</v>
      </c>
      <c r="B459" s="81">
        <f>'Encargos e Benefícios'!B458</f>
        <v>0</v>
      </c>
      <c r="C459" s="287">
        <f>'Encargos e Benefícios'!C458</f>
        <v>0</v>
      </c>
      <c r="D459" s="288"/>
      <c r="E459" s="300"/>
      <c r="F459" s="301"/>
      <c r="G459" s="293"/>
      <c r="H459" s="292"/>
      <c r="I459" s="256"/>
      <c r="J459" s="256"/>
      <c r="K459" s="256"/>
      <c r="L459" s="256"/>
      <c r="M459" s="293"/>
      <c r="N459" s="292"/>
      <c r="O459" s="256"/>
      <c r="P459" s="256"/>
      <c r="Q459" s="256"/>
      <c r="R459" s="256"/>
      <c r="S459" s="293"/>
      <c r="T459" s="294"/>
      <c r="U459" s="256"/>
      <c r="V459" s="256"/>
      <c r="W459" s="256"/>
      <c r="X459" s="256"/>
      <c r="Y459" s="293"/>
      <c r="Z459" s="294"/>
      <c r="AA459" s="256"/>
      <c r="AB459" s="256"/>
      <c r="AC459" s="256"/>
      <c r="AD459" s="256"/>
      <c r="AE459" s="293"/>
      <c r="AF459" s="294"/>
      <c r="AG459" s="256"/>
      <c r="AH459" s="256"/>
      <c r="AI459" s="256"/>
      <c r="AJ459" s="257"/>
      <c r="AK459" s="296">
        <f>'Encargos e Benefícios'!D458</f>
        <v>0</v>
      </c>
      <c r="AL459" s="296">
        <f>IF('Encargos e Benefícios'!C458=0,0,'Encargos e Benefícios'!U458/'Encargos e Benefícios'!C458)</f>
        <v>0</v>
      </c>
      <c r="AM459" s="296">
        <f>IF('Encargos e Benefícios'!C458=0,0,'Encargos e Benefícios'!AC458/'Encargos e Benefícios'!C458)</f>
        <v>0</v>
      </c>
      <c r="AN459" s="297">
        <f>IF('Encargos e Benefícios'!C458=0,0,'Encargos e Benefícios'!AD458/'Encargos e Benefícios'!C458)</f>
        <v>0</v>
      </c>
      <c r="AO459" s="188"/>
      <c r="AP459" s="298"/>
      <c r="AQ459" s="298"/>
      <c r="AR459" s="302"/>
      <c r="AS459" s="188"/>
    </row>
    <row r="460" spans="1:45" ht="13" hidden="1" thickBot="1">
      <c r="A460" s="286">
        <v>454</v>
      </c>
      <c r="B460" s="81">
        <f>'Encargos e Benefícios'!B459</f>
        <v>0</v>
      </c>
      <c r="C460" s="287">
        <f>'Encargos e Benefícios'!C459</f>
        <v>0</v>
      </c>
      <c r="D460" s="288"/>
      <c r="E460" s="300"/>
      <c r="F460" s="301"/>
      <c r="G460" s="293"/>
      <c r="H460" s="292"/>
      <c r="I460" s="256"/>
      <c r="J460" s="256"/>
      <c r="K460" s="256"/>
      <c r="L460" s="256"/>
      <c r="M460" s="293"/>
      <c r="N460" s="292"/>
      <c r="O460" s="256"/>
      <c r="P460" s="256"/>
      <c r="Q460" s="256"/>
      <c r="R460" s="256"/>
      <c r="S460" s="293"/>
      <c r="T460" s="294"/>
      <c r="U460" s="256"/>
      <c r="V460" s="256"/>
      <c r="W460" s="256"/>
      <c r="X460" s="256"/>
      <c r="Y460" s="293"/>
      <c r="Z460" s="294"/>
      <c r="AA460" s="256"/>
      <c r="AB460" s="256"/>
      <c r="AC460" s="256"/>
      <c r="AD460" s="256"/>
      <c r="AE460" s="293"/>
      <c r="AF460" s="294"/>
      <c r="AG460" s="256"/>
      <c r="AH460" s="256"/>
      <c r="AI460" s="256"/>
      <c r="AJ460" s="257"/>
      <c r="AK460" s="296">
        <f>'Encargos e Benefícios'!D459</f>
        <v>0</v>
      </c>
      <c r="AL460" s="296">
        <f>IF('Encargos e Benefícios'!C459=0,0,'Encargos e Benefícios'!U459/'Encargos e Benefícios'!C459)</f>
        <v>0</v>
      </c>
      <c r="AM460" s="296">
        <f>IF('Encargos e Benefícios'!C459=0,0,'Encargos e Benefícios'!AC459/'Encargos e Benefícios'!C459)</f>
        <v>0</v>
      </c>
      <c r="AN460" s="297">
        <f>IF('Encargos e Benefícios'!C459=0,0,'Encargos e Benefícios'!AD459/'Encargos e Benefícios'!C459)</f>
        <v>0</v>
      </c>
      <c r="AO460" s="188"/>
      <c r="AP460" s="298"/>
      <c r="AQ460" s="298"/>
      <c r="AR460" s="302"/>
      <c r="AS460" s="188"/>
    </row>
    <row r="461" spans="1:45" ht="13" hidden="1" thickBot="1">
      <c r="A461" s="286">
        <v>455</v>
      </c>
      <c r="B461" s="81">
        <f>'Encargos e Benefícios'!B460</f>
        <v>0</v>
      </c>
      <c r="C461" s="287">
        <f>'Encargos e Benefícios'!C460</f>
        <v>0</v>
      </c>
      <c r="D461" s="288"/>
      <c r="E461" s="300"/>
      <c r="F461" s="301"/>
      <c r="G461" s="293"/>
      <c r="H461" s="292"/>
      <c r="I461" s="256"/>
      <c r="J461" s="256"/>
      <c r="K461" s="256"/>
      <c r="L461" s="256"/>
      <c r="M461" s="293"/>
      <c r="N461" s="292"/>
      <c r="O461" s="256"/>
      <c r="P461" s="256"/>
      <c r="Q461" s="256"/>
      <c r="R461" s="256"/>
      <c r="S461" s="293"/>
      <c r="T461" s="294"/>
      <c r="U461" s="256"/>
      <c r="V461" s="256"/>
      <c r="W461" s="256"/>
      <c r="X461" s="256"/>
      <c r="Y461" s="293"/>
      <c r="Z461" s="294"/>
      <c r="AA461" s="256"/>
      <c r="AB461" s="256"/>
      <c r="AC461" s="256"/>
      <c r="AD461" s="256"/>
      <c r="AE461" s="293"/>
      <c r="AF461" s="294"/>
      <c r="AG461" s="256"/>
      <c r="AH461" s="256"/>
      <c r="AI461" s="256"/>
      <c r="AJ461" s="257"/>
      <c r="AK461" s="296">
        <f>'Encargos e Benefícios'!D460</f>
        <v>0</v>
      </c>
      <c r="AL461" s="296">
        <f>IF('Encargos e Benefícios'!C460=0,0,'Encargos e Benefícios'!U460/'Encargos e Benefícios'!C460)</f>
        <v>0</v>
      </c>
      <c r="AM461" s="296">
        <f>IF('Encargos e Benefícios'!C460=0,0,'Encargos e Benefícios'!AC460/'Encargos e Benefícios'!C460)</f>
        <v>0</v>
      </c>
      <c r="AN461" s="297">
        <f>IF('Encargos e Benefícios'!C460=0,0,'Encargos e Benefícios'!AD460/'Encargos e Benefícios'!C460)</f>
        <v>0</v>
      </c>
      <c r="AO461" s="188"/>
      <c r="AP461" s="298"/>
      <c r="AQ461" s="298"/>
      <c r="AR461" s="302"/>
      <c r="AS461" s="188"/>
    </row>
    <row r="462" spans="1:45" ht="13" hidden="1" thickBot="1">
      <c r="A462" s="286">
        <v>456</v>
      </c>
      <c r="B462" s="81">
        <f>'Encargos e Benefícios'!B461</f>
        <v>0</v>
      </c>
      <c r="C462" s="287">
        <f>'Encargos e Benefícios'!C461</f>
        <v>0</v>
      </c>
      <c r="D462" s="288"/>
      <c r="E462" s="300"/>
      <c r="F462" s="301"/>
      <c r="G462" s="293"/>
      <c r="H462" s="292"/>
      <c r="I462" s="256"/>
      <c r="J462" s="256"/>
      <c r="K462" s="256"/>
      <c r="L462" s="256"/>
      <c r="M462" s="293"/>
      <c r="N462" s="292"/>
      <c r="O462" s="256"/>
      <c r="P462" s="256"/>
      <c r="Q462" s="256"/>
      <c r="R462" s="256"/>
      <c r="S462" s="293"/>
      <c r="T462" s="294"/>
      <c r="U462" s="256"/>
      <c r="V462" s="256"/>
      <c r="W462" s="256"/>
      <c r="X462" s="256"/>
      <c r="Y462" s="293"/>
      <c r="Z462" s="294"/>
      <c r="AA462" s="256"/>
      <c r="AB462" s="256"/>
      <c r="AC462" s="256"/>
      <c r="AD462" s="256"/>
      <c r="AE462" s="293"/>
      <c r="AF462" s="294"/>
      <c r="AG462" s="256"/>
      <c r="AH462" s="256"/>
      <c r="AI462" s="256"/>
      <c r="AJ462" s="257"/>
      <c r="AK462" s="296">
        <f>'Encargos e Benefícios'!D461</f>
        <v>0</v>
      </c>
      <c r="AL462" s="296">
        <f>IF('Encargos e Benefícios'!C461=0,0,'Encargos e Benefícios'!U461/'Encargos e Benefícios'!C461)</f>
        <v>0</v>
      </c>
      <c r="AM462" s="296">
        <f>IF('Encargos e Benefícios'!C461=0,0,'Encargos e Benefícios'!AC461/'Encargos e Benefícios'!C461)</f>
        <v>0</v>
      </c>
      <c r="AN462" s="297">
        <f>IF('Encargos e Benefícios'!C461=0,0,'Encargos e Benefícios'!AD461/'Encargos e Benefícios'!C461)</f>
        <v>0</v>
      </c>
      <c r="AO462" s="188"/>
      <c r="AP462" s="298"/>
      <c r="AQ462" s="298"/>
      <c r="AR462" s="302"/>
      <c r="AS462" s="188"/>
    </row>
    <row r="463" spans="1:45" ht="13" hidden="1" thickBot="1">
      <c r="A463" s="286">
        <v>457</v>
      </c>
      <c r="B463" s="81">
        <f>'Encargos e Benefícios'!B462</f>
        <v>0</v>
      </c>
      <c r="C463" s="287">
        <f>'Encargos e Benefícios'!C462</f>
        <v>0</v>
      </c>
      <c r="D463" s="288"/>
      <c r="E463" s="300"/>
      <c r="F463" s="301"/>
      <c r="G463" s="293"/>
      <c r="H463" s="292"/>
      <c r="I463" s="256"/>
      <c r="J463" s="256"/>
      <c r="K463" s="256"/>
      <c r="L463" s="256"/>
      <c r="M463" s="293"/>
      <c r="N463" s="292"/>
      <c r="O463" s="256"/>
      <c r="P463" s="256"/>
      <c r="Q463" s="256"/>
      <c r="R463" s="256"/>
      <c r="S463" s="293"/>
      <c r="T463" s="294"/>
      <c r="U463" s="256"/>
      <c r="V463" s="256"/>
      <c r="W463" s="256"/>
      <c r="X463" s="256"/>
      <c r="Y463" s="293"/>
      <c r="Z463" s="294"/>
      <c r="AA463" s="256"/>
      <c r="AB463" s="256"/>
      <c r="AC463" s="256"/>
      <c r="AD463" s="256"/>
      <c r="AE463" s="293"/>
      <c r="AF463" s="294"/>
      <c r="AG463" s="256"/>
      <c r="AH463" s="256"/>
      <c r="AI463" s="256"/>
      <c r="AJ463" s="257"/>
      <c r="AK463" s="296">
        <f>'Encargos e Benefícios'!D462</f>
        <v>0</v>
      </c>
      <c r="AL463" s="296">
        <f>IF('Encargos e Benefícios'!C462=0,0,'Encargos e Benefícios'!U462/'Encargos e Benefícios'!C462)</f>
        <v>0</v>
      </c>
      <c r="AM463" s="296">
        <f>IF('Encargos e Benefícios'!C462=0,0,'Encargos e Benefícios'!AC462/'Encargos e Benefícios'!C462)</f>
        <v>0</v>
      </c>
      <c r="AN463" s="297">
        <f>IF('Encargos e Benefícios'!C462=0,0,'Encargos e Benefícios'!AD462/'Encargos e Benefícios'!C462)</f>
        <v>0</v>
      </c>
      <c r="AO463" s="188"/>
      <c r="AP463" s="298"/>
      <c r="AQ463" s="298"/>
      <c r="AR463" s="302"/>
      <c r="AS463" s="188"/>
    </row>
    <row r="464" spans="1:45" ht="13" hidden="1" thickBot="1">
      <c r="A464" s="286">
        <v>458</v>
      </c>
      <c r="B464" s="81">
        <f>'Encargos e Benefícios'!B463</f>
        <v>0</v>
      </c>
      <c r="C464" s="287">
        <f>'Encargos e Benefícios'!C463</f>
        <v>0</v>
      </c>
      <c r="D464" s="288"/>
      <c r="E464" s="300"/>
      <c r="F464" s="301"/>
      <c r="G464" s="293"/>
      <c r="H464" s="292"/>
      <c r="I464" s="256"/>
      <c r="J464" s="256"/>
      <c r="K464" s="256"/>
      <c r="L464" s="256"/>
      <c r="M464" s="293"/>
      <c r="N464" s="292"/>
      <c r="O464" s="256"/>
      <c r="P464" s="256"/>
      <c r="Q464" s="256"/>
      <c r="R464" s="256"/>
      <c r="S464" s="293"/>
      <c r="T464" s="294"/>
      <c r="U464" s="256"/>
      <c r="V464" s="256"/>
      <c r="W464" s="256"/>
      <c r="X464" s="256"/>
      <c r="Y464" s="293"/>
      <c r="Z464" s="294"/>
      <c r="AA464" s="256"/>
      <c r="AB464" s="256"/>
      <c r="AC464" s="256"/>
      <c r="AD464" s="256"/>
      <c r="AE464" s="293"/>
      <c r="AF464" s="294"/>
      <c r="AG464" s="256"/>
      <c r="AH464" s="256"/>
      <c r="AI464" s="256"/>
      <c r="AJ464" s="257"/>
      <c r="AK464" s="296">
        <f>'Encargos e Benefícios'!D463</f>
        <v>0</v>
      </c>
      <c r="AL464" s="296">
        <f>IF('Encargos e Benefícios'!C463=0,0,'Encargos e Benefícios'!U463/'Encargos e Benefícios'!C463)</f>
        <v>0</v>
      </c>
      <c r="AM464" s="296">
        <f>IF('Encargos e Benefícios'!C463=0,0,'Encargos e Benefícios'!AC463/'Encargos e Benefícios'!C463)</f>
        <v>0</v>
      </c>
      <c r="AN464" s="297">
        <f>IF('Encargos e Benefícios'!C463=0,0,'Encargos e Benefícios'!AD463/'Encargos e Benefícios'!C463)</f>
        <v>0</v>
      </c>
      <c r="AO464" s="188"/>
      <c r="AP464" s="298"/>
      <c r="AQ464" s="298"/>
      <c r="AR464" s="302"/>
      <c r="AS464" s="188"/>
    </row>
    <row r="465" spans="1:45" ht="13" hidden="1" thickBot="1">
      <c r="A465" s="286">
        <v>459</v>
      </c>
      <c r="B465" s="81">
        <f>'Encargos e Benefícios'!B464</f>
        <v>0</v>
      </c>
      <c r="C465" s="287">
        <f>'Encargos e Benefícios'!C464</f>
        <v>0</v>
      </c>
      <c r="D465" s="288"/>
      <c r="E465" s="300"/>
      <c r="F465" s="301"/>
      <c r="G465" s="293"/>
      <c r="H465" s="292"/>
      <c r="I465" s="256"/>
      <c r="J465" s="256"/>
      <c r="K465" s="256"/>
      <c r="L465" s="256"/>
      <c r="M465" s="293"/>
      <c r="N465" s="292"/>
      <c r="O465" s="256"/>
      <c r="P465" s="256"/>
      <c r="Q465" s="256"/>
      <c r="R465" s="256"/>
      <c r="S465" s="293"/>
      <c r="T465" s="294"/>
      <c r="U465" s="256"/>
      <c r="V465" s="256"/>
      <c r="W465" s="256"/>
      <c r="X465" s="256"/>
      <c r="Y465" s="293"/>
      <c r="Z465" s="294"/>
      <c r="AA465" s="256"/>
      <c r="AB465" s="256"/>
      <c r="AC465" s="256"/>
      <c r="AD465" s="256"/>
      <c r="AE465" s="293"/>
      <c r="AF465" s="294"/>
      <c r="AG465" s="256"/>
      <c r="AH465" s="256"/>
      <c r="AI465" s="256"/>
      <c r="AJ465" s="257"/>
      <c r="AK465" s="296">
        <f>'Encargos e Benefícios'!D464</f>
        <v>0</v>
      </c>
      <c r="AL465" s="296">
        <f>IF('Encargos e Benefícios'!C464=0,0,'Encargos e Benefícios'!U464/'Encargos e Benefícios'!C464)</f>
        <v>0</v>
      </c>
      <c r="AM465" s="296">
        <f>IF('Encargos e Benefícios'!C464=0,0,'Encargos e Benefícios'!AC464/'Encargos e Benefícios'!C464)</f>
        <v>0</v>
      </c>
      <c r="AN465" s="297">
        <f>IF('Encargos e Benefícios'!C464=0,0,'Encargos e Benefícios'!AD464/'Encargos e Benefícios'!C464)</f>
        <v>0</v>
      </c>
      <c r="AO465" s="188"/>
      <c r="AP465" s="298"/>
      <c r="AQ465" s="298"/>
      <c r="AR465" s="302"/>
      <c r="AS465" s="188"/>
    </row>
    <row r="466" spans="1:45" ht="13" hidden="1" thickBot="1">
      <c r="A466" s="286">
        <v>460</v>
      </c>
      <c r="B466" s="81">
        <f>'Encargos e Benefícios'!B465</f>
        <v>0</v>
      </c>
      <c r="C466" s="287">
        <f>'Encargos e Benefícios'!C465</f>
        <v>0</v>
      </c>
      <c r="D466" s="288"/>
      <c r="E466" s="300"/>
      <c r="F466" s="301"/>
      <c r="G466" s="293"/>
      <c r="H466" s="292"/>
      <c r="I466" s="256"/>
      <c r="J466" s="256"/>
      <c r="K466" s="256"/>
      <c r="L466" s="256"/>
      <c r="M466" s="293"/>
      <c r="N466" s="292"/>
      <c r="O466" s="256"/>
      <c r="P466" s="256"/>
      <c r="Q466" s="256"/>
      <c r="R466" s="256"/>
      <c r="S466" s="293"/>
      <c r="T466" s="294"/>
      <c r="U466" s="256"/>
      <c r="V466" s="256"/>
      <c r="W466" s="256"/>
      <c r="X466" s="256"/>
      <c r="Y466" s="293"/>
      <c r="Z466" s="294"/>
      <c r="AA466" s="256"/>
      <c r="AB466" s="256"/>
      <c r="AC466" s="256"/>
      <c r="AD466" s="256"/>
      <c r="AE466" s="293"/>
      <c r="AF466" s="294"/>
      <c r="AG466" s="256"/>
      <c r="AH466" s="256"/>
      <c r="AI466" s="256"/>
      <c r="AJ466" s="257"/>
      <c r="AK466" s="296">
        <f>'Encargos e Benefícios'!D465</f>
        <v>0</v>
      </c>
      <c r="AL466" s="296">
        <f>IF('Encargos e Benefícios'!C465=0,0,'Encargos e Benefícios'!U465/'Encargos e Benefícios'!C465)</f>
        <v>0</v>
      </c>
      <c r="AM466" s="296">
        <f>IF('Encargos e Benefícios'!C465=0,0,'Encargos e Benefícios'!AC465/'Encargos e Benefícios'!C465)</f>
        <v>0</v>
      </c>
      <c r="AN466" s="297">
        <f>IF('Encargos e Benefícios'!C465=0,0,'Encargos e Benefícios'!AD465/'Encargos e Benefícios'!C465)</f>
        <v>0</v>
      </c>
      <c r="AO466" s="188"/>
      <c r="AP466" s="298"/>
      <c r="AQ466" s="298"/>
      <c r="AR466" s="302"/>
      <c r="AS466" s="188"/>
    </row>
    <row r="467" spans="1:45" ht="13" hidden="1" thickBot="1">
      <c r="A467" s="286">
        <v>461</v>
      </c>
      <c r="B467" s="81">
        <f>'Encargos e Benefícios'!B466</f>
        <v>0</v>
      </c>
      <c r="C467" s="287">
        <f>'Encargos e Benefícios'!C466</f>
        <v>0</v>
      </c>
      <c r="D467" s="288"/>
      <c r="E467" s="300"/>
      <c r="F467" s="301"/>
      <c r="G467" s="293"/>
      <c r="H467" s="292"/>
      <c r="I467" s="256"/>
      <c r="J467" s="256"/>
      <c r="K467" s="256"/>
      <c r="L467" s="256"/>
      <c r="M467" s="293"/>
      <c r="N467" s="292"/>
      <c r="O467" s="256"/>
      <c r="P467" s="256"/>
      <c r="Q467" s="256"/>
      <c r="R467" s="256"/>
      <c r="S467" s="293"/>
      <c r="T467" s="294"/>
      <c r="U467" s="256"/>
      <c r="V467" s="256"/>
      <c r="W467" s="256"/>
      <c r="X467" s="256"/>
      <c r="Y467" s="293"/>
      <c r="Z467" s="294"/>
      <c r="AA467" s="256"/>
      <c r="AB467" s="256"/>
      <c r="AC467" s="256"/>
      <c r="AD467" s="256"/>
      <c r="AE467" s="293"/>
      <c r="AF467" s="294"/>
      <c r="AG467" s="256"/>
      <c r="AH467" s="256"/>
      <c r="AI467" s="256"/>
      <c r="AJ467" s="257"/>
      <c r="AK467" s="296">
        <f>'Encargos e Benefícios'!D466</f>
        <v>0</v>
      </c>
      <c r="AL467" s="296">
        <f>IF('Encargos e Benefícios'!C466=0,0,'Encargos e Benefícios'!U466/'Encargos e Benefícios'!C466)</f>
        <v>0</v>
      </c>
      <c r="AM467" s="296">
        <f>IF('Encargos e Benefícios'!C466=0,0,'Encargos e Benefícios'!AC466/'Encargos e Benefícios'!C466)</f>
        <v>0</v>
      </c>
      <c r="AN467" s="297">
        <f>IF('Encargos e Benefícios'!C466=0,0,'Encargos e Benefícios'!AD466/'Encargos e Benefícios'!C466)</f>
        <v>0</v>
      </c>
      <c r="AO467" s="188"/>
      <c r="AP467" s="298"/>
      <c r="AQ467" s="298"/>
      <c r="AR467" s="302"/>
      <c r="AS467" s="188"/>
    </row>
    <row r="468" spans="1:45" ht="13" hidden="1" thickBot="1">
      <c r="A468" s="286">
        <v>462</v>
      </c>
      <c r="B468" s="81">
        <f>'Encargos e Benefícios'!B467</f>
        <v>0</v>
      </c>
      <c r="C468" s="287">
        <f>'Encargos e Benefícios'!C467</f>
        <v>0</v>
      </c>
      <c r="D468" s="288"/>
      <c r="E468" s="300"/>
      <c r="F468" s="301"/>
      <c r="G468" s="293"/>
      <c r="H468" s="292"/>
      <c r="I468" s="256"/>
      <c r="J468" s="256"/>
      <c r="K468" s="256"/>
      <c r="L468" s="256"/>
      <c r="M468" s="293"/>
      <c r="N468" s="292"/>
      <c r="O468" s="256"/>
      <c r="P468" s="256"/>
      <c r="Q468" s="256"/>
      <c r="R468" s="256"/>
      <c r="S468" s="293"/>
      <c r="T468" s="294"/>
      <c r="U468" s="256"/>
      <c r="V468" s="256"/>
      <c r="W468" s="256"/>
      <c r="X468" s="256"/>
      <c r="Y468" s="293"/>
      <c r="Z468" s="294"/>
      <c r="AA468" s="256"/>
      <c r="AB468" s="256"/>
      <c r="AC468" s="256"/>
      <c r="AD468" s="256"/>
      <c r="AE468" s="293"/>
      <c r="AF468" s="294"/>
      <c r="AG468" s="256"/>
      <c r="AH468" s="256"/>
      <c r="AI468" s="256"/>
      <c r="AJ468" s="257"/>
      <c r="AK468" s="296">
        <f>'Encargos e Benefícios'!D467</f>
        <v>0</v>
      </c>
      <c r="AL468" s="296">
        <f>IF('Encargos e Benefícios'!C467=0,0,'Encargos e Benefícios'!U467/'Encargos e Benefícios'!C467)</f>
        <v>0</v>
      </c>
      <c r="AM468" s="296">
        <f>IF('Encargos e Benefícios'!C467=0,0,'Encargos e Benefícios'!AC467/'Encargos e Benefícios'!C467)</f>
        <v>0</v>
      </c>
      <c r="AN468" s="297">
        <f>IF('Encargos e Benefícios'!C467=0,0,'Encargos e Benefícios'!AD467/'Encargos e Benefícios'!C467)</f>
        <v>0</v>
      </c>
      <c r="AO468" s="188"/>
      <c r="AP468" s="298"/>
      <c r="AQ468" s="298"/>
      <c r="AR468" s="302"/>
      <c r="AS468" s="188"/>
    </row>
    <row r="469" spans="1:45" ht="13" hidden="1" thickBot="1">
      <c r="A469" s="286">
        <v>463</v>
      </c>
      <c r="B469" s="81">
        <f>'Encargos e Benefícios'!B468</f>
        <v>0</v>
      </c>
      <c r="C469" s="287">
        <f>'Encargos e Benefícios'!C468</f>
        <v>0</v>
      </c>
      <c r="D469" s="288"/>
      <c r="E469" s="300"/>
      <c r="F469" s="301"/>
      <c r="G469" s="293"/>
      <c r="H469" s="292"/>
      <c r="I469" s="256"/>
      <c r="J469" s="256"/>
      <c r="K469" s="256"/>
      <c r="L469" s="256"/>
      <c r="M469" s="293"/>
      <c r="N469" s="292"/>
      <c r="O469" s="256"/>
      <c r="P469" s="256"/>
      <c r="Q469" s="256"/>
      <c r="R469" s="256"/>
      <c r="S469" s="293"/>
      <c r="T469" s="294"/>
      <c r="U469" s="256"/>
      <c r="V469" s="256"/>
      <c r="W469" s="256"/>
      <c r="X469" s="256"/>
      <c r="Y469" s="293"/>
      <c r="Z469" s="294"/>
      <c r="AA469" s="256"/>
      <c r="AB469" s="256"/>
      <c r="AC469" s="256"/>
      <c r="AD469" s="256"/>
      <c r="AE469" s="293"/>
      <c r="AF469" s="294"/>
      <c r="AG469" s="256"/>
      <c r="AH469" s="256"/>
      <c r="AI469" s="256"/>
      <c r="AJ469" s="257"/>
      <c r="AK469" s="296">
        <f>'Encargos e Benefícios'!D468</f>
        <v>0</v>
      </c>
      <c r="AL469" s="296">
        <f>IF('Encargos e Benefícios'!C468=0,0,'Encargos e Benefícios'!U468/'Encargos e Benefícios'!C468)</f>
        <v>0</v>
      </c>
      <c r="AM469" s="296">
        <f>IF('Encargos e Benefícios'!C468=0,0,'Encargos e Benefícios'!AC468/'Encargos e Benefícios'!C468)</f>
        <v>0</v>
      </c>
      <c r="AN469" s="297">
        <f>IF('Encargos e Benefícios'!C468=0,0,'Encargos e Benefícios'!AD468/'Encargos e Benefícios'!C468)</f>
        <v>0</v>
      </c>
      <c r="AO469" s="188"/>
      <c r="AP469" s="298"/>
      <c r="AQ469" s="298"/>
      <c r="AR469" s="302"/>
      <c r="AS469" s="188"/>
    </row>
    <row r="470" spans="1:45" ht="13" hidden="1" thickBot="1">
      <c r="A470" s="286">
        <v>464</v>
      </c>
      <c r="B470" s="81">
        <f>'Encargos e Benefícios'!B469</f>
        <v>0</v>
      </c>
      <c r="C470" s="287">
        <f>'Encargos e Benefícios'!C469</f>
        <v>0</v>
      </c>
      <c r="D470" s="288"/>
      <c r="E470" s="300"/>
      <c r="F470" s="301"/>
      <c r="G470" s="293"/>
      <c r="H470" s="292"/>
      <c r="I470" s="256"/>
      <c r="J470" s="256"/>
      <c r="K470" s="256"/>
      <c r="L470" s="256"/>
      <c r="M470" s="293"/>
      <c r="N470" s="292"/>
      <c r="O470" s="256"/>
      <c r="P470" s="256"/>
      <c r="Q470" s="256"/>
      <c r="R470" s="256"/>
      <c r="S470" s="293"/>
      <c r="T470" s="294"/>
      <c r="U470" s="256"/>
      <c r="V470" s="256"/>
      <c r="W470" s="256"/>
      <c r="X470" s="256"/>
      <c r="Y470" s="293"/>
      <c r="Z470" s="294"/>
      <c r="AA470" s="256"/>
      <c r="AB470" s="256"/>
      <c r="AC470" s="256"/>
      <c r="AD470" s="256"/>
      <c r="AE470" s="293"/>
      <c r="AF470" s="294"/>
      <c r="AG470" s="256"/>
      <c r="AH470" s="256"/>
      <c r="AI470" s="256"/>
      <c r="AJ470" s="257"/>
      <c r="AK470" s="296">
        <f>'Encargos e Benefícios'!D469</f>
        <v>0</v>
      </c>
      <c r="AL470" s="296">
        <f>IF('Encargos e Benefícios'!C469=0,0,'Encargos e Benefícios'!U469/'Encargos e Benefícios'!C469)</f>
        <v>0</v>
      </c>
      <c r="AM470" s="296">
        <f>IF('Encargos e Benefícios'!C469=0,0,'Encargos e Benefícios'!AC469/'Encargos e Benefícios'!C469)</f>
        <v>0</v>
      </c>
      <c r="AN470" s="297">
        <f>IF('Encargos e Benefícios'!C469=0,0,'Encargos e Benefícios'!AD469/'Encargos e Benefícios'!C469)</f>
        <v>0</v>
      </c>
      <c r="AO470" s="188"/>
      <c r="AP470" s="298"/>
      <c r="AQ470" s="298"/>
      <c r="AR470" s="302"/>
      <c r="AS470" s="188"/>
    </row>
    <row r="471" spans="1:45" ht="13" hidden="1" thickBot="1">
      <c r="A471" s="286">
        <v>465</v>
      </c>
      <c r="B471" s="81">
        <f>'Encargos e Benefícios'!B470</f>
        <v>0</v>
      </c>
      <c r="C471" s="287">
        <f>'Encargos e Benefícios'!C470</f>
        <v>0</v>
      </c>
      <c r="D471" s="288"/>
      <c r="E471" s="300"/>
      <c r="F471" s="301"/>
      <c r="G471" s="293"/>
      <c r="H471" s="292"/>
      <c r="I471" s="256"/>
      <c r="J471" s="256"/>
      <c r="K471" s="256"/>
      <c r="L471" s="256"/>
      <c r="M471" s="293"/>
      <c r="N471" s="292"/>
      <c r="O471" s="256"/>
      <c r="P471" s="256"/>
      <c r="Q471" s="256"/>
      <c r="R471" s="256"/>
      <c r="S471" s="293"/>
      <c r="T471" s="294"/>
      <c r="U471" s="256"/>
      <c r="V471" s="256"/>
      <c r="W471" s="256"/>
      <c r="X471" s="256"/>
      <c r="Y471" s="293"/>
      <c r="Z471" s="294"/>
      <c r="AA471" s="256"/>
      <c r="AB471" s="256"/>
      <c r="AC471" s="256"/>
      <c r="AD471" s="256"/>
      <c r="AE471" s="293"/>
      <c r="AF471" s="294"/>
      <c r="AG471" s="256"/>
      <c r="AH471" s="256"/>
      <c r="AI471" s="256"/>
      <c r="AJ471" s="257"/>
      <c r="AK471" s="296">
        <f>'Encargos e Benefícios'!D470</f>
        <v>0</v>
      </c>
      <c r="AL471" s="296">
        <f>IF('Encargos e Benefícios'!C470=0,0,'Encargos e Benefícios'!U470/'Encargos e Benefícios'!C470)</f>
        <v>0</v>
      </c>
      <c r="AM471" s="296">
        <f>IF('Encargos e Benefícios'!C470=0,0,'Encargos e Benefícios'!AC470/'Encargos e Benefícios'!C470)</f>
        <v>0</v>
      </c>
      <c r="AN471" s="297">
        <f>IF('Encargos e Benefícios'!C470=0,0,'Encargos e Benefícios'!AD470/'Encargos e Benefícios'!C470)</f>
        <v>0</v>
      </c>
      <c r="AO471" s="188"/>
      <c r="AP471" s="298"/>
      <c r="AQ471" s="298"/>
      <c r="AR471" s="302"/>
      <c r="AS471" s="188"/>
    </row>
    <row r="472" spans="1:45" ht="13" hidden="1" thickBot="1">
      <c r="A472" s="286">
        <v>466</v>
      </c>
      <c r="B472" s="81">
        <f>'Encargos e Benefícios'!B471</f>
        <v>0</v>
      </c>
      <c r="C472" s="287">
        <f>'Encargos e Benefícios'!C471</f>
        <v>0</v>
      </c>
      <c r="D472" s="288"/>
      <c r="E472" s="300"/>
      <c r="F472" s="301"/>
      <c r="G472" s="293"/>
      <c r="H472" s="292"/>
      <c r="I472" s="256"/>
      <c r="J472" s="256"/>
      <c r="K472" s="256"/>
      <c r="L472" s="256"/>
      <c r="M472" s="293"/>
      <c r="N472" s="292"/>
      <c r="O472" s="256"/>
      <c r="P472" s="256"/>
      <c r="Q472" s="256"/>
      <c r="R472" s="256"/>
      <c r="S472" s="293"/>
      <c r="T472" s="294"/>
      <c r="U472" s="256"/>
      <c r="V472" s="256"/>
      <c r="W472" s="256"/>
      <c r="X472" s="256"/>
      <c r="Y472" s="293"/>
      <c r="Z472" s="294"/>
      <c r="AA472" s="256"/>
      <c r="AB472" s="256"/>
      <c r="AC472" s="256"/>
      <c r="AD472" s="256"/>
      <c r="AE472" s="293"/>
      <c r="AF472" s="294"/>
      <c r="AG472" s="256"/>
      <c r="AH472" s="256"/>
      <c r="AI472" s="256"/>
      <c r="AJ472" s="257"/>
      <c r="AK472" s="296">
        <f>'Encargos e Benefícios'!D471</f>
        <v>0</v>
      </c>
      <c r="AL472" s="296">
        <f>IF('Encargos e Benefícios'!C471=0,0,'Encargos e Benefícios'!U471/'Encargos e Benefícios'!C471)</f>
        <v>0</v>
      </c>
      <c r="AM472" s="296">
        <f>IF('Encargos e Benefícios'!C471=0,0,'Encargos e Benefícios'!AC471/'Encargos e Benefícios'!C471)</f>
        <v>0</v>
      </c>
      <c r="AN472" s="297">
        <f>IF('Encargos e Benefícios'!C471=0,0,'Encargos e Benefícios'!AD471/'Encargos e Benefícios'!C471)</f>
        <v>0</v>
      </c>
      <c r="AO472" s="188"/>
      <c r="AP472" s="298"/>
      <c r="AQ472" s="298"/>
      <c r="AR472" s="302"/>
      <c r="AS472" s="188"/>
    </row>
    <row r="473" spans="1:45" ht="13" hidden="1" thickBot="1">
      <c r="A473" s="286">
        <v>467</v>
      </c>
      <c r="B473" s="81">
        <f>'Encargos e Benefícios'!B472</f>
        <v>0</v>
      </c>
      <c r="C473" s="287">
        <f>'Encargos e Benefícios'!C472</f>
        <v>0</v>
      </c>
      <c r="D473" s="288"/>
      <c r="E473" s="300"/>
      <c r="F473" s="301"/>
      <c r="G473" s="293"/>
      <c r="H473" s="292"/>
      <c r="I473" s="256"/>
      <c r="J473" s="256"/>
      <c r="K473" s="256"/>
      <c r="L473" s="256"/>
      <c r="M473" s="293"/>
      <c r="N473" s="292"/>
      <c r="O473" s="256"/>
      <c r="P473" s="256"/>
      <c r="Q473" s="256"/>
      <c r="R473" s="256"/>
      <c r="S473" s="293"/>
      <c r="T473" s="294"/>
      <c r="U473" s="256"/>
      <c r="V473" s="256"/>
      <c r="W473" s="256"/>
      <c r="X473" s="256"/>
      <c r="Y473" s="293"/>
      <c r="Z473" s="294"/>
      <c r="AA473" s="256"/>
      <c r="AB473" s="256"/>
      <c r="AC473" s="256"/>
      <c r="AD473" s="256"/>
      <c r="AE473" s="293"/>
      <c r="AF473" s="294"/>
      <c r="AG473" s="256"/>
      <c r="AH473" s="256"/>
      <c r="AI473" s="256"/>
      <c r="AJ473" s="257"/>
      <c r="AK473" s="296">
        <f>'Encargos e Benefícios'!D472</f>
        <v>0</v>
      </c>
      <c r="AL473" s="296">
        <f>IF('Encargos e Benefícios'!C472=0,0,'Encargos e Benefícios'!U472/'Encargos e Benefícios'!C472)</f>
        <v>0</v>
      </c>
      <c r="AM473" s="296">
        <f>IF('Encargos e Benefícios'!C472=0,0,'Encargos e Benefícios'!AC472/'Encargos e Benefícios'!C472)</f>
        <v>0</v>
      </c>
      <c r="AN473" s="297">
        <f>IF('Encargos e Benefícios'!C472=0,0,'Encargos e Benefícios'!AD472/'Encargos e Benefícios'!C472)</f>
        <v>0</v>
      </c>
      <c r="AO473" s="188"/>
      <c r="AP473" s="298"/>
      <c r="AQ473" s="298"/>
      <c r="AR473" s="302"/>
      <c r="AS473" s="188"/>
    </row>
    <row r="474" spans="1:45" ht="13" hidden="1" thickBot="1">
      <c r="A474" s="286">
        <v>468</v>
      </c>
      <c r="B474" s="81">
        <f>'Encargos e Benefícios'!B473</f>
        <v>0</v>
      </c>
      <c r="C474" s="287">
        <f>'Encargos e Benefícios'!C473</f>
        <v>0</v>
      </c>
      <c r="D474" s="288"/>
      <c r="E474" s="300"/>
      <c r="F474" s="301"/>
      <c r="G474" s="293"/>
      <c r="H474" s="292"/>
      <c r="I474" s="256"/>
      <c r="J474" s="256"/>
      <c r="K474" s="256"/>
      <c r="L474" s="256"/>
      <c r="M474" s="293"/>
      <c r="N474" s="292"/>
      <c r="O474" s="256"/>
      <c r="P474" s="256"/>
      <c r="Q474" s="256"/>
      <c r="R474" s="256"/>
      <c r="S474" s="293"/>
      <c r="T474" s="294"/>
      <c r="U474" s="256"/>
      <c r="V474" s="256"/>
      <c r="W474" s="256"/>
      <c r="X474" s="256"/>
      <c r="Y474" s="293"/>
      <c r="Z474" s="294"/>
      <c r="AA474" s="256"/>
      <c r="AB474" s="256"/>
      <c r="AC474" s="256"/>
      <c r="AD474" s="256"/>
      <c r="AE474" s="293"/>
      <c r="AF474" s="294"/>
      <c r="AG474" s="256"/>
      <c r="AH474" s="256"/>
      <c r="AI474" s="256"/>
      <c r="AJ474" s="257"/>
      <c r="AK474" s="296">
        <f>'Encargos e Benefícios'!D473</f>
        <v>0</v>
      </c>
      <c r="AL474" s="296">
        <f>IF('Encargos e Benefícios'!C473=0,0,'Encargos e Benefícios'!U473/'Encargos e Benefícios'!C473)</f>
        <v>0</v>
      </c>
      <c r="AM474" s="296">
        <f>IF('Encargos e Benefícios'!C473=0,0,'Encargos e Benefícios'!AC473/'Encargos e Benefícios'!C473)</f>
        <v>0</v>
      </c>
      <c r="AN474" s="297">
        <f>IF('Encargos e Benefícios'!C473=0,0,'Encargos e Benefícios'!AD473/'Encargos e Benefícios'!C473)</f>
        <v>0</v>
      </c>
      <c r="AO474" s="188"/>
      <c r="AP474" s="298"/>
      <c r="AQ474" s="298"/>
      <c r="AR474" s="302"/>
      <c r="AS474" s="188"/>
    </row>
    <row r="475" spans="1:45" ht="13" hidden="1" thickBot="1">
      <c r="A475" s="286">
        <v>469</v>
      </c>
      <c r="B475" s="81">
        <f>'Encargos e Benefícios'!B474</f>
        <v>0</v>
      </c>
      <c r="C475" s="287">
        <f>'Encargos e Benefícios'!C474</f>
        <v>0</v>
      </c>
      <c r="D475" s="288"/>
      <c r="E475" s="300"/>
      <c r="F475" s="301"/>
      <c r="G475" s="293"/>
      <c r="H475" s="292"/>
      <c r="I475" s="256"/>
      <c r="J475" s="256"/>
      <c r="K475" s="256"/>
      <c r="L475" s="256"/>
      <c r="M475" s="293"/>
      <c r="N475" s="292"/>
      <c r="O475" s="256"/>
      <c r="P475" s="256"/>
      <c r="Q475" s="256"/>
      <c r="R475" s="256"/>
      <c r="S475" s="293"/>
      <c r="T475" s="294"/>
      <c r="U475" s="256"/>
      <c r="V475" s="256"/>
      <c r="W475" s="256"/>
      <c r="X475" s="256"/>
      <c r="Y475" s="293"/>
      <c r="Z475" s="294"/>
      <c r="AA475" s="256"/>
      <c r="AB475" s="256"/>
      <c r="AC475" s="256"/>
      <c r="AD475" s="256"/>
      <c r="AE475" s="293"/>
      <c r="AF475" s="294"/>
      <c r="AG475" s="256"/>
      <c r="AH475" s="256"/>
      <c r="AI475" s="256"/>
      <c r="AJ475" s="257"/>
      <c r="AK475" s="296">
        <f>'Encargos e Benefícios'!D474</f>
        <v>0</v>
      </c>
      <c r="AL475" s="296">
        <f>IF('Encargos e Benefícios'!C474=0,0,'Encargos e Benefícios'!U474/'Encargos e Benefícios'!C474)</f>
        <v>0</v>
      </c>
      <c r="AM475" s="296">
        <f>IF('Encargos e Benefícios'!C474=0,0,'Encargos e Benefícios'!AC474/'Encargos e Benefícios'!C474)</f>
        <v>0</v>
      </c>
      <c r="AN475" s="297">
        <f>IF('Encargos e Benefícios'!C474=0,0,'Encargos e Benefícios'!AD474/'Encargos e Benefícios'!C474)</f>
        <v>0</v>
      </c>
      <c r="AO475" s="188"/>
      <c r="AP475" s="298"/>
      <c r="AQ475" s="298"/>
      <c r="AR475" s="302"/>
      <c r="AS475" s="188"/>
    </row>
    <row r="476" spans="1:45" ht="13" hidden="1" thickBot="1">
      <c r="A476" s="286">
        <v>470</v>
      </c>
      <c r="B476" s="81">
        <f>'Encargos e Benefícios'!B475</f>
        <v>0</v>
      </c>
      <c r="C476" s="287">
        <f>'Encargos e Benefícios'!C475</f>
        <v>0</v>
      </c>
      <c r="D476" s="288"/>
      <c r="E476" s="300"/>
      <c r="F476" s="301"/>
      <c r="G476" s="293"/>
      <c r="H476" s="292"/>
      <c r="I476" s="256"/>
      <c r="J476" s="256"/>
      <c r="K476" s="256"/>
      <c r="L476" s="256"/>
      <c r="M476" s="293"/>
      <c r="N476" s="292"/>
      <c r="O476" s="256"/>
      <c r="P476" s="256"/>
      <c r="Q476" s="256"/>
      <c r="R476" s="256"/>
      <c r="S476" s="293"/>
      <c r="T476" s="294"/>
      <c r="U476" s="256"/>
      <c r="V476" s="256"/>
      <c r="W476" s="256"/>
      <c r="X476" s="256"/>
      <c r="Y476" s="293"/>
      <c r="Z476" s="294"/>
      <c r="AA476" s="256"/>
      <c r="AB476" s="256"/>
      <c r="AC476" s="256"/>
      <c r="AD476" s="256"/>
      <c r="AE476" s="293"/>
      <c r="AF476" s="294"/>
      <c r="AG476" s="256"/>
      <c r="AH476" s="256"/>
      <c r="AI476" s="256"/>
      <c r="AJ476" s="257"/>
      <c r="AK476" s="296">
        <f>'Encargos e Benefícios'!D475</f>
        <v>0</v>
      </c>
      <c r="AL476" s="296">
        <f>IF('Encargos e Benefícios'!C475=0,0,'Encargos e Benefícios'!U475/'Encargos e Benefícios'!C475)</f>
        <v>0</v>
      </c>
      <c r="AM476" s="296">
        <f>IF('Encargos e Benefícios'!C475=0,0,'Encargos e Benefícios'!AC475/'Encargos e Benefícios'!C475)</f>
        <v>0</v>
      </c>
      <c r="AN476" s="297">
        <f>IF('Encargos e Benefícios'!C475=0,0,'Encargos e Benefícios'!AD475/'Encargos e Benefícios'!C475)</f>
        <v>0</v>
      </c>
      <c r="AO476" s="188"/>
      <c r="AP476" s="298"/>
      <c r="AQ476" s="298"/>
      <c r="AR476" s="302"/>
      <c r="AS476" s="188"/>
    </row>
    <row r="477" spans="1:45" ht="13" hidden="1" thickBot="1">
      <c r="A477" s="286">
        <v>471</v>
      </c>
      <c r="B477" s="81">
        <f>'Encargos e Benefícios'!B476</f>
        <v>0</v>
      </c>
      <c r="C477" s="287">
        <f>'Encargos e Benefícios'!C476</f>
        <v>0</v>
      </c>
      <c r="D477" s="288"/>
      <c r="E477" s="300"/>
      <c r="F477" s="301"/>
      <c r="G477" s="293"/>
      <c r="H477" s="292"/>
      <c r="I477" s="256"/>
      <c r="J477" s="256"/>
      <c r="K477" s="256"/>
      <c r="L477" s="256"/>
      <c r="M477" s="293"/>
      <c r="N477" s="292"/>
      <c r="O477" s="256"/>
      <c r="P477" s="256"/>
      <c r="Q477" s="256"/>
      <c r="R477" s="256"/>
      <c r="S477" s="293"/>
      <c r="T477" s="294"/>
      <c r="U477" s="256"/>
      <c r="V477" s="256"/>
      <c r="W477" s="256"/>
      <c r="X477" s="256"/>
      <c r="Y477" s="293"/>
      <c r="Z477" s="294"/>
      <c r="AA477" s="256"/>
      <c r="AB477" s="256"/>
      <c r="AC477" s="256"/>
      <c r="AD477" s="256"/>
      <c r="AE477" s="293"/>
      <c r="AF477" s="294"/>
      <c r="AG477" s="256"/>
      <c r="AH477" s="256"/>
      <c r="AI477" s="256"/>
      <c r="AJ477" s="257"/>
      <c r="AK477" s="296">
        <f>'Encargos e Benefícios'!D476</f>
        <v>0</v>
      </c>
      <c r="AL477" s="296">
        <f>IF('Encargos e Benefícios'!C476=0,0,'Encargos e Benefícios'!U476/'Encargos e Benefícios'!C476)</f>
        <v>0</v>
      </c>
      <c r="AM477" s="296">
        <f>IF('Encargos e Benefícios'!C476=0,0,'Encargos e Benefícios'!AC476/'Encargos e Benefícios'!C476)</f>
        <v>0</v>
      </c>
      <c r="AN477" s="297">
        <f>IF('Encargos e Benefícios'!C476=0,0,'Encargos e Benefícios'!AD476/'Encargos e Benefícios'!C476)</f>
        <v>0</v>
      </c>
      <c r="AO477" s="188"/>
      <c r="AP477" s="298"/>
      <c r="AQ477" s="298"/>
      <c r="AR477" s="302"/>
      <c r="AS477" s="188"/>
    </row>
    <row r="478" spans="1:45" ht="13" hidden="1" thickBot="1">
      <c r="A478" s="286">
        <v>472</v>
      </c>
      <c r="B478" s="81">
        <f>'Encargos e Benefícios'!B477</f>
        <v>0</v>
      </c>
      <c r="C478" s="287">
        <f>'Encargos e Benefícios'!C477</f>
        <v>0</v>
      </c>
      <c r="D478" s="288"/>
      <c r="E478" s="300"/>
      <c r="F478" s="301"/>
      <c r="G478" s="293"/>
      <c r="H478" s="292"/>
      <c r="I478" s="256"/>
      <c r="J478" s="256"/>
      <c r="K478" s="256"/>
      <c r="L478" s="256"/>
      <c r="M478" s="293"/>
      <c r="N478" s="292"/>
      <c r="O478" s="256"/>
      <c r="P478" s="256"/>
      <c r="Q478" s="256"/>
      <c r="R478" s="256"/>
      <c r="S478" s="293"/>
      <c r="T478" s="294"/>
      <c r="U478" s="256"/>
      <c r="V478" s="256"/>
      <c r="W478" s="256"/>
      <c r="X478" s="256"/>
      <c r="Y478" s="293"/>
      <c r="Z478" s="294"/>
      <c r="AA478" s="256"/>
      <c r="AB478" s="256"/>
      <c r="AC478" s="256"/>
      <c r="AD478" s="256"/>
      <c r="AE478" s="293"/>
      <c r="AF478" s="294"/>
      <c r="AG478" s="256"/>
      <c r="AH478" s="256"/>
      <c r="AI478" s="256"/>
      <c r="AJ478" s="257"/>
      <c r="AK478" s="296">
        <f>'Encargos e Benefícios'!D477</f>
        <v>0</v>
      </c>
      <c r="AL478" s="296">
        <f>IF('Encargos e Benefícios'!C477=0,0,'Encargos e Benefícios'!U477/'Encargos e Benefícios'!C477)</f>
        <v>0</v>
      </c>
      <c r="AM478" s="296">
        <f>IF('Encargos e Benefícios'!C477=0,0,'Encargos e Benefícios'!AC477/'Encargos e Benefícios'!C477)</f>
        <v>0</v>
      </c>
      <c r="AN478" s="297">
        <f>IF('Encargos e Benefícios'!C477=0,0,'Encargos e Benefícios'!AD477/'Encargos e Benefícios'!C477)</f>
        <v>0</v>
      </c>
      <c r="AO478" s="188"/>
      <c r="AP478" s="298"/>
      <c r="AQ478" s="298"/>
      <c r="AR478" s="302"/>
      <c r="AS478" s="188"/>
    </row>
    <row r="479" spans="1:45" ht="13" hidden="1" thickBot="1">
      <c r="A479" s="286">
        <v>473</v>
      </c>
      <c r="B479" s="81">
        <f>'Encargos e Benefícios'!B478</f>
        <v>0</v>
      </c>
      <c r="C479" s="287">
        <f>'Encargos e Benefícios'!C478</f>
        <v>0</v>
      </c>
      <c r="D479" s="288"/>
      <c r="E479" s="300"/>
      <c r="F479" s="301"/>
      <c r="G479" s="293"/>
      <c r="H479" s="292"/>
      <c r="I479" s="256"/>
      <c r="J479" s="256"/>
      <c r="K479" s="256"/>
      <c r="L479" s="256"/>
      <c r="M479" s="293"/>
      <c r="N479" s="292"/>
      <c r="O479" s="256"/>
      <c r="P479" s="256"/>
      <c r="Q479" s="256"/>
      <c r="R479" s="256"/>
      <c r="S479" s="293"/>
      <c r="T479" s="294"/>
      <c r="U479" s="256"/>
      <c r="V479" s="256"/>
      <c r="W479" s="256"/>
      <c r="X479" s="256"/>
      <c r="Y479" s="293"/>
      <c r="Z479" s="294"/>
      <c r="AA479" s="256"/>
      <c r="AB479" s="256"/>
      <c r="AC479" s="256"/>
      <c r="AD479" s="256"/>
      <c r="AE479" s="293"/>
      <c r="AF479" s="294"/>
      <c r="AG479" s="256"/>
      <c r="AH479" s="256"/>
      <c r="AI479" s="256"/>
      <c r="AJ479" s="257"/>
      <c r="AK479" s="296">
        <f>'Encargos e Benefícios'!D478</f>
        <v>0</v>
      </c>
      <c r="AL479" s="296">
        <f>IF('Encargos e Benefícios'!C478=0,0,'Encargos e Benefícios'!U478/'Encargos e Benefícios'!C478)</f>
        <v>0</v>
      </c>
      <c r="AM479" s="296">
        <f>IF('Encargos e Benefícios'!C478=0,0,'Encargos e Benefícios'!AC478/'Encargos e Benefícios'!C478)</f>
        <v>0</v>
      </c>
      <c r="AN479" s="297">
        <f>IF('Encargos e Benefícios'!C478=0,0,'Encargos e Benefícios'!AD478/'Encargos e Benefícios'!C478)</f>
        <v>0</v>
      </c>
      <c r="AO479" s="188"/>
      <c r="AP479" s="298"/>
      <c r="AQ479" s="298"/>
      <c r="AR479" s="302"/>
      <c r="AS479" s="188"/>
    </row>
    <row r="480" spans="1:45" ht="13" hidden="1" thickBot="1">
      <c r="A480" s="286">
        <v>474</v>
      </c>
      <c r="B480" s="81">
        <f>'Encargos e Benefícios'!B479</f>
        <v>0</v>
      </c>
      <c r="C480" s="287">
        <f>'Encargos e Benefícios'!C479</f>
        <v>0</v>
      </c>
      <c r="D480" s="288"/>
      <c r="E480" s="300"/>
      <c r="F480" s="301"/>
      <c r="G480" s="293"/>
      <c r="H480" s="292"/>
      <c r="I480" s="256"/>
      <c r="J480" s="256"/>
      <c r="K480" s="256"/>
      <c r="L480" s="256"/>
      <c r="M480" s="293"/>
      <c r="N480" s="292"/>
      <c r="O480" s="256"/>
      <c r="P480" s="256"/>
      <c r="Q480" s="256"/>
      <c r="R480" s="256"/>
      <c r="S480" s="293"/>
      <c r="T480" s="294"/>
      <c r="U480" s="256"/>
      <c r="V480" s="256"/>
      <c r="W480" s="256"/>
      <c r="X480" s="256"/>
      <c r="Y480" s="293"/>
      <c r="Z480" s="294"/>
      <c r="AA480" s="256"/>
      <c r="AB480" s="256"/>
      <c r="AC480" s="256"/>
      <c r="AD480" s="256"/>
      <c r="AE480" s="293"/>
      <c r="AF480" s="294"/>
      <c r="AG480" s="256"/>
      <c r="AH480" s="256"/>
      <c r="AI480" s="256"/>
      <c r="AJ480" s="257"/>
      <c r="AK480" s="296">
        <f>'Encargos e Benefícios'!D479</f>
        <v>0</v>
      </c>
      <c r="AL480" s="296">
        <f>IF('Encargos e Benefícios'!C479=0,0,'Encargos e Benefícios'!U479/'Encargos e Benefícios'!C479)</f>
        <v>0</v>
      </c>
      <c r="AM480" s="296">
        <f>IF('Encargos e Benefícios'!C479=0,0,'Encargos e Benefícios'!AC479/'Encargos e Benefícios'!C479)</f>
        <v>0</v>
      </c>
      <c r="AN480" s="297">
        <f>IF('Encargos e Benefícios'!C479=0,0,'Encargos e Benefícios'!AD479/'Encargos e Benefícios'!C479)</f>
        <v>0</v>
      </c>
      <c r="AO480" s="188"/>
      <c r="AP480" s="298"/>
      <c r="AQ480" s="298"/>
      <c r="AR480" s="302"/>
      <c r="AS480" s="188"/>
    </row>
    <row r="481" spans="1:45" ht="13" hidden="1" thickBot="1">
      <c r="A481" s="286">
        <v>475</v>
      </c>
      <c r="B481" s="81">
        <f>'Encargos e Benefícios'!B480</f>
        <v>0</v>
      </c>
      <c r="C481" s="287">
        <f>'Encargos e Benefícios'!C480</f>
        <v>0</v>
      </c>
      <c r="D481" s="288"/>
      <c r="E481" s="300"/>
      <c r="F481" s="301"/>
      <c r="G481" s="293"/>
      <c r="H481" s="292"/>
      <c r="I481" s="256"/>
      <c r="J481" s="256"/>
      <c r="K481" s="256"/>
      <c r="L481" s="256"/>
      <c r="M481" s="293"/>
      <c r="N481" s="292"/>
      <c r="O481" s="256"/>
      <c r="P481" s="256"/>
      <c r="Q481" s="256"/>
      <c r="R481" s="256"/>
      <c r="S481" s="293"/>
      <c r="T481" s="294"/>
      <c r="U481" s="256"/>
      <c r="V481" s="256"/>
      <c r="W481" s="256"/>
      <c r="X481" s="256"/>
      <c r="Y481" s="293"/>
      <c r="Z481" s="294"/>
      <c r="AA481" s="256"/>
      <c r="AB481" s="256"/>
      <c r="AC481" s="256"/>
      <c r="AD481" s="256"/>
      <c r="AE481" s="293"/>
      <c r="AF481" s="294"/>
      <c r="AG481" s="256"/>
      <c r="AH481" s="256"/>
      <c r="AI481" s="256"/>
      <c r="AJ481" s="257"/>
      <c r="AK481" s="296">
        <f>'Encargos e Benefícios'!D480</f>
        <v>0</v>
      </c>
      <c r="AL481" s="296">
        <f>IF('Encargos e Benefícios'!C480=0,0,'Encargos e Benefícios'!U480/'Encargos e Benefícios'!C480)</f>
        <v>0</v>
      </c>
      <c r="AM481" s="296">
        <f>IF('Encargos e Benefícios'!C480=0,0,'Encargos e Benefícios'!AC480/'Encargos e Benefícios'!C480)</f>
        <v>0</v>
      </c>
      <c r="AN481" s="297">
        <f>IF('Encargos e Benefícios'!C480=0,0,'Encargos e Benefícios'!AD480/'Encargos e Benefícios'!C480)</f>
        <v>0</v>
      </c>
      <c r="AO481" s="188"/>
      <c r="AP481" s="298"/>
      <c r="AQ481" s="298"/>
      <c r="AR481" s="302"/>
      <c r="AS481" s="188"/>
    </row>
    <row r="482" spans="1:45" ht="13" hidden="1" thickBot="1">
      <c r="A482" s="286">
        <v>476</v>
      </c>
      <c r="B482" s="81">
        <f>'Encargos e Benefícios'!B481</f>
        <v>0</v>
      </c>
      <c r="C482" s="287">
        <f>'Encargos e Benefícios'!C481</f>
        <v>0</v>
      </c>
      <c r="D482" s="288"/>
      <c r="E482" s="300"/>
      <c r="F482" s="301"/>
      <c r="G482" s="293"/>
      <c r="H482" s="292"/>
      <c r="I482" s="256"/>
      <c r="J482" s="256"/>
      <c r="K482" s="256"/>
      <c r="L482" s="256"/>
      <c r="M482" s="293"/>
      <c r="N482" s="292"/>
      <c r="O482" s="256"/>
      <c r="P482" s="256"/>
      <c r="Q482" s="256"/>
      <c r="R482" s="256"/>
      <c r="S482" s="293"/>
      <c r="T482" s="294"/>
      <c r="U482" s="256"/>
      <c r="V482" s="256"/>
      <c r="W482" s="256"/>
      <c r="X482" s="256"/>
      <c r="Y482" s="293"/>
      <c r="Z482" s="294"/>
      <c r="AA482" s="256"/>
      <c r="AB482" s="256"/>
      <c r="AC482" s="256"/>
      <c r="AD482" s="256"/>
      <c r="AE482" s="293"/>
      <c r="AF482" s="294"/>
      <c r="AG482" s="256"/>
      <c r="AH482" s="256"/>
      <c r="AI482" s="256"/>
      <c r="AJ482" s="257"/>
      <c r="AK482" s="296">
        <f>'Encargos e Benefícios'!D481</f>
        <v>0</v>
      </c>
      <c r="AL482" s="296">
        <f>IF('Encargos e Benefícios'!C481=0,0,'Encargos e Benefícios'!U481/'Encargos e Benefícios'!C481)</f>
        <v>0</v>
      </c>
      <c r="AM482" s="296">
        <f>IF('Encargos e Benefícios'!C481=0,0,'Encargos e Benefícios'!AC481/'Encargos e Benefícios'!C481)</f>
        <v>0</v>
      </c>
      <c r="AN482" s="297">
        <f>IF('Encargos e Benefícios'!C481=0,0,'Encargos e Benefícios'!AD481/'Encargos e Benefícios'!C481)</f>
        <v>0</v>
      </c>
      <c r="AO482" s="188"/>
      <c r="AP482" s="298"/>
      <c r="AQ482" s="298"/>
      <c r="AR482" s="302"/>
      <c r="AS482" s="188"/>
    </row>
    <row r="483" spans="1:45" ht="13" hidden="1" thickBot="1">
      <c r="A483" s="286">
        <v>477</v>
      </c>
      <c r="B483" s="81">
        <f>'Encargos e Benefícios'!B482</f>
        <v>0</v>
      </c>
      <c r="C483" s="287">
        <f>'Encargos e Benefícios'!C482</f>
        <v>0</v>
      </c>
      <c r="D483" s="288"/>
      <c r="E483" s="300"/>
      <c r="F483" s="301"/>
      <c r="G483" s="293"/>
      <c r="H483" s="292"/>
      <c r="I483" s="256"/>
      <c r="J483" s="256"/>
      <c r="K483" s="256"/>
      <c r="L483" s="256"/>
      <c r="M483" s="293"/>
      <c r="N483" s="292"/>
      <c r="O483" s="256"/>
      <c r="P483" s="256"/>
      <c r="Q483" s="256"/>
      <c r="R483" s="256"/>
      <c r="S483" s="293"/>
      <c r="T483" s="294"/>
      <c r="U483" s="256"/>
      <c r="V483" s="256"/>
      <c r="W483" s="256"/>
      <c r="X483" s="256"/>
      <c r="Y483" s="293"/>
      <c r="Z483" s="294"/>
      <c r="AA483" s="256"/>
      <c r="AB483" s="256"/>
      <c r="AC483" s="256"/>
      <c r="AD483" s="256"/>
      <c r="AE483" s="293"/>
      <c r="AF483" s="294"/>
      <c r="AG483" s="256"/>
      <c r="AH483" s="256"/>
      <c r="AI483" s="256"/>
      <c r="AJ483" s="257"/>
      <c r="AK483" s="296">
        <f>'Encargos e Benefícios'!D482</f>
        <v>0</v>
      </c>
      <c r="AL483" s="296">
        <f>IF('Encargos e Benefícios'!C482=0,0,'Encargos e Benefícios'!U482/'Encargos e Benefícios'!C482)</f>
        <v>0</v>
      </c>
      <c r="AM483" s="296">
        <f>IF('Encargos e Benefícios'!C482=0,0,'Encargos e Benefícios'!AC482/'Encargos e Benefícios'!C482)</f>
        <v>0</v>
      </c>
      <c r="AN483" s="297">
        <f>IF('Encargos e Benefícios'!C482=0,0,'Encargos e Benefícios'!AD482/'Encargos e Benefícios'!C482)</f>
        <v>0</v>
      </c>
      <c r="AO483" s="188"/>
      <c r="AP483" s="298"/>
      <c r="AQ483" s="298"/>
      <c r="AR483" s="302"/>
      <c r="AS483" s="188"/>
    </row>
    <row r="484" spans="1:45" ht="13" hidden="1" thickBot="1">
      <c r="A484" s="286">
        <v>478</v>
      </c>
      <c r="B484" s="81">
        <f>'Encargos e Benefícios'!B483</f>
        <v>0</v>
      </c>
      <c r="C484" s="287">
        <f>'Encargos e Benefícios'!C483</f>
        <v>0</v>
      </c>
      <c r="D484" s="288"/>
      <c r="E484" s="300"/>
      <c r="F484" s="301"/>
      <c r="G484" s="293"/>
      <c r="H484" s="292"/>
      <c r="I484" s="256"/>
      <c r="J484" s="256"/>
      <c r="K484" s="256"/>
      <c r="L484" s="256"/>
      <c r="M484" s="293"/>
      <c r="N484" s="292"/>
      <c r="O484" s="256"/>
      <c r="P484" s="256"/>
      <c r="Q484" s="256"/>
      <c r="R484" s="256"/>
      <c r="S484" s="293"/>
      <c r="T484" s="294"/>
      <c r="U484" s="256"/>
      <c r="V484" s="256"/>
      <c r="W484" s="256"/>
      <c r="X484" s="256"/>
      <c r="Y484" s="293"/>
      <c r="Z484" s="294"/>
      <c r="AA484" s="256"/>
      <c r="AB484" s="256"/>
      <c r="AC484" s="256"/>
      <c r="AD484" s="256"/>
      <c r="AE484" s="293"/>
      <c r="AF484" s="294"/>
      <c r="AG484" s="256"/>
      <c r="AH484" s="256"/>
      <c r="AI484" s="256"/>
      <c r="AJ484" s="257"/>
      <c r="AK484" s="296">
        <f>'Encargos e Benefícios'!D483</f>
        <v>0</v>
      </c>
      <c r="AL484" s="296">
        <f>IF('Encargos e Benefícios'!C483=0,0,'Encargos e Benefícios'!U483/'Encargos e Benefícios'!C483)</f>
        <v>0</v>
      </c>
      <c r="AM484" s="296">
        <f>IF('Encargos e Benefícios'!C483=0,0,'Encargos e Benefícios'!AC483/'Encargos e Benefícios'!C483)</f>
        <v>0</v>
      </c>
      <c r="AN484" s="297">
        <f>IF('Encargos e Benefícios'!C483=0,0,'Encargos e Benefícios'!AD483/'Encargos e Benefícios'!C483)</f>
        <v>0</v>
      </c>
      <c r="AO484" s="188"/>
      <c r="AP484" s="298"/>
      <c r="AQ484" s="298"/>
      <c r="AR484" s="302"/>
      <c r="AS484" s="188"/>
    </row>
    <row r="485" spans="1:45" ht="13" hidden="1" thickBot="1">
      <c r="A485" s="286">
        <v>479</v>
      </c>
      <c r="B485" s="81">
        <f>'Encargos e Benefícios'!B484</f>
        <v>0</v>
      </c>
      <c r="C485" s="287">
        <f>'Encargos e Benefícios'!C484</f>
        <v>0</v>
      </c>
      <c r="D485" s="288"/>
      <c r="E485" s="300"/>
      <c r="F485" s="301"/>
      <c r="G485" s="293"/>
      <c r="H485" s="292"/>
      <c r="I485" s="256"/>
      <c r="J485" s="256"/>
      <c r="K485" s="256"/>
      <c r="L485" s="256"/>
      <c r="M485" s="293"/>
      <c r="N485" s="292"/>
      <c r="O485" s="256"/>
      <c r="P485" s="256"/>
      <c r="Q485" s="256"/>
      <c r="R485" s="256"/>
      <c r="S485" s="293"/>
      <c r="T485" s="294"/>
      <c r="U485" s="256"/>
      <c r="V485" s="256"/>
      <c r="W485" s="256"/>
      <c r="X485" s="256"/>
      <c r="Y485" s="293"/>
      <c r="Z485" s="294"/>
      <c r="AA485" s="256"/>
      <c r="AB485" s="256"/>
      <c r="AC485" s="256"/>
      <c r="AD485" s="256"/>
      <c r="AE485" s="293"/>
      <c r="AF485" s="294"/>
      <c r="AG485" s="256"/>
      <c r="AH485" s="256"/>
      <c r="AI485" s="256"/>
      <c r="AJ485" s="257"/>
      <c r="AK485" s="296">
        <f>'Encargos e Benefícios'!D484</f>
        <v>0</v>
      </c>
      <c r="AL485" s="296">
        <f>IF('Encargos e Benefícios'!C484=0,0,'Encargos e Benefícios'!U484/'Encargos e Benefícios'!C484)</f>
        <v>0</v>
      </c>
      <c r="AM485" s="296">
        <f>IF('Encargos e Benefícios'!C484=0,0,'Encargos e Benefícios'!AC484/'Encargos e Benefícios'!C484)</f>
        <v>0</v>
      </c>
      <c r="AN485" s="297">
        <f>IF('Encargos e Benefícios'!C484=0,0,'Encargos e Benefícios'!AD484/'Encargos e Benefícios'!C484)</f>
        <v>0</v>
      </c>
      <c r="AO485" s="188"/>
      <c r="AP485" s="298"/>
      <c r="AQ485" s="298"/>
      <c r="AR485" s="302"/>
      <c r="AS485" s="188"/>
    </row>
    <row r="486" spans="1:45" ht="13" hidden="1" thickBot="1">
      <c r="A486" s="286">
        <v>480</v>
      </c>
      <c r="B486" s="81">
        <f>'Encargos e Benefícios'!B485</f>
        <v>0</v>
      </c>
      <c r="C486" s="287">
        <f>'Encargos e Benefícios'!C485</f>
        <v>0</v>
      </c>
      <c r="D486" s="288"/>
      <c r="E486" s="300"/>
      <c r="F486" s="301"/>
      <c r="G486" s="293"/>
      <c r="H486" s="292"/>
      <c r="I486" s="256"/>
      <c r="J486" s="256"/>
      <c r="K486" s="256"/>
      <c r="L486" s="256"/>
      <c r="M486" s="293"/>
      <c r="N486" s="292"/>
      <c r="O486" s="256"/>
      <c r="P486" s="256"/>
      <c r="Q486" s="256"/>
      <c r="R486" s="256"/>
      <c r="S486" s="293"/>
      <c r="T486" s="294"/>
      <c r="U486" s="256"/>
      <c r="V486" s="256"/>
      <c r="W486" s="256"/>
      <c r="X486" s="256"/>
      <c r="Y486" s="293"/>
      <c r="Z486" s="294"/>
      <c r="AA486" s="256"/>
      <c r="AB486" s="256"/>
      <c r="AC486" s="256"/>
      <c r="AD486" s="256"/>
      <c r="AE486" s="293"/>
      <c r="AF486" s="294"/>
      <c r="AG486" s="256"/>
      <c r="AH486" s="256"/>
      <c r="AI486" s="256"/>
      <c r="AJ486" s="257"/>
      <c r="AK486" s="296">
        <f>'Encargos e Benefícios'!D485</f>
        <v>0</v>
      </c>
      <c r="AL486" s="296">
        <f>IF('Encargos e Benefícios'!C485=0,0,'Encargos e Benefícios'!U485/'Encargos e Benefícios'!C485)</f>
        <v>0</v>
      </c>
      <c r="AM486" s="296">
        <f>IF('Encargos e Benefícios'!C485=0,0,'Encargos e Benefícios'!AC485/'Encargos e Benefícios'!C485)</f>
        <v>0</v>
      </c>
      <c r="AN486" s="297">
        <f>IF('Encargos e Benefícios'!C485=0,0,'Encargos e Benefícios'!AD485/'Encargos e Benefícios'!C485)</f>
        <v>0</v>
      </c>
      <c r="AO486" s="188"/>
      <c r="AP486" s="298"/>
      <c r="AQ486" s="298"/>
      <c r="AR486" s="302"/>
      <c r="AS486" s="188"/>
    </row>
    <row r="487" spans="1:45" ht="13" hidden="1" thickBot="1">
      <c r="A487" s="286">
        <v>481</v>
      </c>
      <c r="B487" s="81">
        <f>'Encargos e Benefícios'!B486</f>
        <v>0</v>
      </c>
      <c r="C487" s="287">
        <f>'Encargos e Benefícios'!C486</f>
        <v>0</v>
      </c>
      <c r="D487" s="288"/>
      <c r="E487" s="300"/>
      <c r="F487" s="301"/>
      <c r="G487" s="293"/>
      <c r="H487" s="292"/>
      <c r="I487" s="256"/>
      <c r="J487" s="256"/>
      <c r="K487" s="256"/>
      <c r="L487" s="256"/>
      <c r="M487" s="293"/>
      <c r="N487" s="292"/>
      <c r="O487" s="256"/>
      <c r="P487" s="256"/>
      <c r="Q487" s="256"/>
      <c r="R487" s="256"/>
      <c r="S487" s="293"/>
      <c r="T487" s="294"/>
      <c r="U487" s="256"/>
      <c r="V487" s="256"/>
      <c r="W487" s="256"/>
      <c r="X487" s="256"/>
      <c r="Y487" s="293"/>
      <c r="Z487" s="294"/>
      <c r="AA487" s="256"/>
      <c r="AB487" s="256"/>
      <c r="AC487" s="256"/>
      <c r="AD487" s="256"/>
      <c r="AE487" s="293"/>
      <c r="AF487" s="294"/>
      <c r="AG487" s="256"/>
      <c r="AH487" s="256"/>
      <c r="AI487" s="256"/>
      <c r="AJ487" s="257"/>
      <c r="AK487" s="296">
        <f>'Encargos e Benefícios'!D486</f>
        <v>0</v>
      </c>
      <c r="AL487" s="296">
        <f>IF('Encargos e Benefícios'!C486=0,0,'Encargos e Benefícios'!U486/'Encargos e Benefícios'!C486)</f>
        <v>0</v>
      </c>
      <c r="AM487" s="296">
        <f>IF('Encargos e Benefícios'!C486=0,0,'Encargos e Benefícios'!AC486/'Encargos e Benefícios'!C486)</f>
        <v>0</v>
      </c>
      <c r="AN487" s="297">
        <f>IF('Encargos e Benefícios'!C486=0,0,'Encargos e Benefícios'!AD486/'Encargos e Benefícios'!C486)</f>
        <v>0</v>
      </c>
      <c r="AO487" s="188"/>
      <c r="AP487" s="298"/>
      <c r="AQ487" s="298"/>
      <c r="AR487" s="302"/>
      <c r="AS487" s="188"/>
    </row>
    <row r="488" spans="1:45" ht="13" hidden="1" thickBot="1">
      <c r="A488" s="286">
        <v>482</v>
      </c>
      <c r="B488" s="81">
        <f>'Encargos e Benefícios'!B487</f>
        <v>0</v>
      </c>
      <c r="C488" s="287">
        <f>'Encargos e Benefícios'!C487</f>
        <v>0</v>
      </c>
      <c r="D488" s="288"/>
      <c r="E488" s="300"/>
      <c r="F488" s="301"/>
      <c r="G488" s="293"/>
      <c r="H488" s="292"/>
      <c r="I488" s="256"/>
      <c r="J488" s="256"/>
      <c r="K488" s="256"/>
      <c r="L488" s="256"/>
      <c r="M488" s="293"/>
      <c r="N488" s="292"/>
      <c r="O488" s="256"/>
      <c r="P488" s="256"/>
      <c r="Q488" s="256"/>
      <c r="R488" s="256"/>
      <c r="S488" s="293"/>
      <c r="T488" s="294"/>
      <c r="U488" s="256"/>
      <c r="V488" s="256"/>
      <c r="W488" s="256"/>
      <c r="X488" s="256"/>
      <c r="Y488" s="293"/>
      <c r="Z488" s="294"/>
      <c r="AA488" s="256"/>
      <c r="AB488" s="256"/>
      <c r="AC488" s="256"/>
      <c r="AD488" s="256"/>
      <c r="AE488" s="293"/>
      <c r="AF488" s="294"/>
      <c r="AG488" s="256"/>
      <c r="AH488" s="256"/>
      <c r="AI488" s="256"/>
      <c r="AJ488" s="257"/>
      <c r="AK488" s="296">
        <f>'Encargos e Benefícios'!D487</f>
        <v>0</v>
      </c>
      <c r="AL488" s="296">
        <f>IF('Encargos e Benefícios'!C487=0,0,'Encargos e Benefícios'!U487/'Encargos e Benefícios'!C487)</f>
        <v>0</v>
      </c>
      <c r="AM488" s="296">
        <f>IF('Encargos e Benefícios'!C487=0,0,'Encargos e Benefícios'!AC487/'Encargos e Benefícios'!C487)</f>
        <v>0</v>
      </c>
      <c r="AN488" s="297">
        <f>IF('Encargos e Benefícios'!C487=0,0,'Encargos e Benefícios'!AD487/'Encargos e Benefícios'!C487)</f>
        <v>0</v>
      </c>
      <c r="AO488" s="188"/>
      <c r="AP488" s="298"/>
      <c r="AQ488" s="298"/>
      <c r="AR488" s="302"/>
      <c r="AS488" s="188"/>
    </row>
    <row r="489" spans="1:45" ht="13" hidden="1" thickBot="1">
      <c r="A489" s="286">
        <v>483</v>
      </c>
      <c r="B489" s="81">
        <f>'Encargos e Benefícios'!B488</f>
        <v>0</v>
      </c>
      <c r="C489" s="287">
        <f>'Encargos e Benefícios'!C488</f>
        <v>0</v>
      </c>
      <c r="D489" s="288"/>
      <c r="E489" s="300"/>
      <c r="F489" s="301"/>
      <c r="G489" s="293"/>
      <c r="H489" s="292"/>
      <c r="I489" s="256"/>
      <c r="J489" s="256"/>
      <c r="K489" s="256"/>
      <c r="L489" s="256"/>
      <c r="M489" s="293"/>
      <c r="N489" s="292"/>
      <c r="O489" s="256"/>
      <c r="P489" s="256"/>
      <c r="Q489" s="256"/>
      <c r="R489" s="256"/>
      <c r="S489" s="293"/>
      <c r="T489" s="294"/>
      <c r="U489" s="256"/>
      <c r="V489" s="256"/>
      <c r="W489" s="256"/>
      <c r="X489" s="256"/>
      <c r="Y489" s="293"/>
      <c r="Z489" s="294"/>
      <c r="AA489" s="256"/>
      <c r="AB489" s="256"/>
      <c r="AC489" s="256"/>
      <c r="AD489" s="256"/>
      <c r="AE489" s="293"/>
      <c r="AF489" s="294"/>
      <c r="AG489" s="256"/>
      <c r="AH489" s="256"/>
      <c r="AI489" s="256"/>
      <c r="AJ489" s="257"/>
      <c r="AK489" s="296">
        <f>'Encargos e Benefícios'!D488</f>
        <v>0</v>
      </c>
      <c r="AL489" s="296">
        <f>IF('Encargos e Benefícios'!C488=0,0,'Encargos e Benefícios'!U488/'Encargos e Benefícios'!C488)</f>
        <v>0</v>
      </c>
      <c r="AM489" s="296">
        <f>IF('Encargos e Benefícios'!C488=0,0,'Encargos e Benefícios'!AC488/'Encargos e Benefícios'!C488)</f>
        <v>0</v>
      </c>
      <c r="AN489" s="297">
        <f>IF('Encargos e Benefícios'!C488=0,0,'Encargos e Benefícios'!AD488/'Encargos e Benefícios'!C488)</f>
        <v>0</v>
      </c>
      <c r="AO489" s="188"/>
      <c r="AP489" s="298"/>
      <c r="AQ489" s="298"/>
      <c r="AR489" s="302"/>
      <c r="AS489" s="188"/>
    </row>
    <row r="490" spans="1:45" ht="13" hidden="1" thickBot="1">
      <c r="A490" s="286">
        <v>484</v>
      </c>
      <c r="B490" s="81">
        <f>'Encargos e Benefícios'!B489</f>
        <v>0</v>
      </c>
      <c r="C490" s="287">
        <f>'Encargos e Benefícios'!C489</f>
        <v>0</v>
      </c>
      <c r="D490" s="288"/>
      <c r="E490" s="300"/>
      <c r="F490" s="301"/>
      <c r="G490" s="293"/>
      <c r="H490" s="292"/>
      <c r="I490" s="256"/>
      <c r="J490" s="256"/>
      <c r="K490" s="256"/>
      <c r="L490" s="256"/>
      <c r="M490" s="293"/>
      <c r="N490" s="292"/>
      <c r="O490" s="256"/>
      <c r="P490" s="256"/>
      <c r="Q490" s="256"/>
      <c r="R490" s="256"/>
      <c r="S490" s="293"/>
      <c r="T490" s="294"/>
      <c r="U490" s="256"/>
      <c r="V490" s="256"/>
      <c r="W490" s="256"/>
      <c r="X490" s="256"/>
      <c r="Y490" s="293"/>
      <c r="Z490" s="294"/>
      <c r="AA490" s="256"/>
      <c r="AB490" s="256"/>
      <c r="AC490" s="256"/>
      <c r="AD490" s="256"/>
      <c r="AE490" s="293"/>
      <c r="AF490" s="294"/>
      <c r="AG490" s="256"/>
      <c r="AH490" s="256"/>
      <c r="AI490" s="256"/>
      <c r="AJ490" s="257"/>
      <c r="AK490" s="296">
        <f>'Encargos e Benefícios'!D489</f>
        <v>0</v>
      </c>
      <c r="AL490" s="296">
        <f>IF('Encargos e Benefícios'!C489=0,0,'Encargos e Benefícios'!U489/'Encargos e Benefícios'!C489)</f>
        <v>0</v>
      </c>
      <c r="AM490" s="296">
        <f>IF('Encargos e Benefícios'!C489=0,0,'Encargos e Benefícios'!AC489/'Encargos e Benefícios'!C489)</f>
        <v>0</v>
      </c>
      <c r="AN490" s="297">
        <f>IF('Encargos e Benefícios'!C489=0,0,'Encargos e Benefícios'!AD489/'Encargos e Benefícios'!C489)</f>
        <v>0</v>
      </c>
      <c r="AO490" s="188"/>
      <c r="AP490" s="298"/>
      <c r="AQ490" s="298"/>
      <c r="AR490" s="302"/>
      <c r="AS490" s="188"/>
    </row>
    <row r="491" spans="1:45" ht="13" hidden="1" thickBot="1">
      <c r="A491" s="286">
        <v>485</v>
      </c>
      <c r="B491" s="81">
        <f>'Encargos e Benefícios'!B490</f>
        <v>0</v>
      </c>
      <c r="C491" s="287">
        <f>'Encargos e Benefícios'!C490</f>
        <v>0</v>
      </c>
      <c r="D491" s="288"/>
      <c r="E491" s="300"/>
      <c r="F491" s="301"/>
      <c r="G491" s="293"/>
      <c r="H491" s="292"/>
      <c r="I491" s="256"/>
      <c r="J491" s="256"/>
      <c r="K491" s="256"/>
      <c r="L491" s="256"/>
      <c r="M491" s="293"/>
      <c r="N491" s="292"/>
      <c r="O491" s="256"/>
      <c r="P491" s="256"/>
      <c r="Q491" s="256"/>
      <c r="R491" s="256"/>
      <c r="S491" s="293"/>
      <c r="T491" s="294"/>
      <c r="U491" s="256"/>
      <c r="V491" s="256"/>
      <c r="W491" s="256"/>
      <c r="X491" s="256"/>
      <c r="Y491" s="293"/>
      <c r="Z491" s="294"/>
      <c r="AA491" s="256"/>
      <c r="AB491" s="256"/>
      <c r="AC491" s="256"/>
      <c r="AD491" s="256"/>
      <c r="AE491" s="293"/>
      <c r="AF491" s="294"/>
      <c r="AG491" s="256"/>
      <c r="AH491" s="256"/>
      <c r="AI491" s="256"/>
      <c r="AJ491" s="257"/>
      <c r="AK491" s="296">
        <f>'Encargos e Benefícios'!D490</f>
        <v>0</v>
      </c>
      <c r="AL491" s="296">
        <f>IF('Encargos e Benefícios'!C490=0,0,'Encargos e Benefícios'!U490/'Encargos e Benefícios'!C490)</f>
        <v>0</v>
      </c>
      <c r="AM491" s="296">
        <f>IF('Encargos e Benefícios'!C490=0,0,'Encargos e Benefícios'!AC490/'Encargos e Benefícios'!C490)</f>
        <v>0</v>
      </c>
      <c r="AN491" s="297">
        <f>IF('Encargos e Benefícios'!C490=0,0,'Encargos e Benefícios'!AD490/'Encargos e Benefícios'!C490)</f>
        <v>0</v>
      </c>
      <c r="AO491" s="188"/>
      <c r="AP491" s="298"/>
      <c r="AQ491" s="298"/>
      <c r="AR491" s="302"/>
      <c r="AS491" s="188"/>
    </row>
    <row r="492" spans="1:45" ht="13" hidden="1" thickBot="1">
      <c r="A492" s="286">
        <v>486</v>
      </c>
      <c r="B492" s="81">
        <f>'Encargos e Benefícios'!B491</f>
        <v>0</v>
      </c>
      <c r="C492" s="287">
        <f>'Encargos e Benefícios'!C491</f>
        <v>0</v>
      </c>
      <c r="D492" s="288"/>
      <c r="E492" s="300"/>
      <c r="F492" s="301"/>
      <c r="G492" s="293"/>
      <c r="H492" s="292"/>
      <c r="I492" s="256"/>
      <c r="J492" s="256"/>
      <c r="K492" s="256"/>
      <c r="L492" s="256"/>
      <c r="M492" s="293"/>
      <c r="N492" s="292"/>
      <c r="O492" s="256"/>
      <c r="P492" s="256"/>
      <c r="Q492" s="256"/>
      <c r="R492" s="256"/>
      <c r="S492" s="293"/>
      <c r="T492" s="294"/>
      <c r="U492" s="256"/>
      <c r="V492" s="256"/>
      <c r="W492" s="256"/>
      <c r="X492" s="256"/>
      <c r="Y492" s="293"/>
      <c r="Z492" s="294"/>
      <c r="AA492" s="256"/>
      <c r="AB492" s="256"/>
      <c r="AC492" s="256"/>
      <c r="AD492" s="256"/>
      <c r="AE492" s="293"/>
      <c r="AF492" s="294"/>
      <c r="AG492" s="256"/>
      <c r="AH492" s="256"/>
      <c r="AI492" s="256"/>
      <c r="AJ492" s="257"/>
      <c r="AK492" s="296">
        <f>'Encargos e Benefícios'!D491</f>
        <v>0</v>
      </c>
      <c r="AL492" s="296">
        <f>IF('Encargos e Benefícios'!C491=0,0,'Encargos e Benefícios'!U491/'Encargos e Benefícios'!C491)</f>
        <v>0</v>
      </c>
      <c r="AM492" s="296">
        <f>IF('Encargos e Benefícios'!C491=0,0,'Encargos e Benefícios'!AC491/'Encargos e Benefícios'!C491)</f>
        <v>0</v>
      </c>
      <c r="AN492" s="297">
        <f>IF('Encargos e Benefícios'!C491=0,0,'Encargos e Benefícios'!AD491/'Encargos e Benefícios'!C491)</f>
        <v>0</v>
      </c>
      <c r="AO492" s="188"/>
      <c r="AP492" s="298"/>
      <c r="AQ492" s="298"/>
      <c r="AR492" s="302"/>
      <c r="AS492" s="188"/>
    </row>
    <row r="493" spans="1:45" ht="13" hidden="1" thickBot="1">
      <c r="A493" s="286">
        <v>487</v>
      </c>
      <c r="B493" s="81">
        <f>'Encargos e Benefícios'!B492</f>
        <v>0</v>
      </c>
      <c r="C493" s="287">
        <f>'Encargos e Benefícios'!C492</f>
        <v>0</v>
      </c>
      <c r="D493" s="288"/>
      <c r="E493" s="300"/>
      <c r="F493" s="301"/>
      <c r="G493" s="293"/>
      <c r="H493" s="292"/>
      <c r="I493" s="256"/>
      <c r="J493" s="256"/>
      <c r="K493" s="256"/>
      <c r="L493" s="256"/>
      <c r="M493" s="293"/>
      <c r="N493" s="292"/>
      <c r="O493" s="256"/>
      <c r="P493" s="256"/>
      <c r="Q493" s="256"/>
      <c r="R493" s="256"/>
      <c r="S493" s="293"/>
      <c r="T493" s="294"/>
      <c r="U493" s="256"/>
      <c r="V493" s="256"/>
      <c r="W493" s="256"/>
      <c r="X493" s="256"/>
      <c r="Y493" s="293"/>
      <c r="Z493" s="294"/>
      <c r="AA493" s="256"/>
      <c r="AB493" s="256"/>
      <c r="AC493" s="256"/>
      <c r="AD493" s="256"/>
      <c r="AE493" s="293"/>
      <c r="AF493" s="294"/>
      <c r="AG493" s="256"/>
      <c r="AH493" s="256"/>
      <c r="AI493" s="256"/>
      <c r="AJ493" s="257"/>
      <c r="AK493" s="296">
        <f>'Encargos e Benefícios'!D492</f>
        <v>0</v>
      </c>
      <c r="AL493" s="296">
        <f>IF('Encargos e Benefícios'!C492=0,0,'Encargos e Benefícios'!U492/'Encargos e Benefícios'!C492)</f>
        <v>0</v>
      </c>
      <c r="AM493" s="296">
        <f>IF('Encargos e Benefícios'!C492=0,0,'Encargos e Benefícios'!AC492/'Encargos e Benefícios'!C492)</f>
        <v>0</v>
      </c>
      <c r="AN493" s="297">
        <f>IF('Encargos e Benefícios'!C492=0,0,'Encargos e Benefícios'!AD492/'Encargos e Benefícios'!C492)</f>
        <v>0</v>
      </c>
      <c r="AO493" s="188"/>
      <c r="AP493" s="298"/>
      <c r="AQ493" s="298"/>
      <c r="AR493" s="302"/>
      <c r="AS493" s="188"/>
    </row>
    <row r="494" spans="1:45" ht="13" hidden="1" thickBot="1">
      <c r="A494" s="286">
        <v>488</v>
      </c>
      <c r="B494" s="81">
        <f>'Encargos e Benefícios'!B493</f>
        <v>0</v>
      </c>
      <c r="C494" s="287">
        <f>'Encargos e Benefícios'!C493</f>
        <v>0</v>
      </c>
      <c r="D494" s="288"/>
      <c r="E494" s="300"/>
      <c r="F494" s="301"/>
      <c r="G494" s="293"/>
      <c r="H494" s="292"/>
      <c r="I494" s="256"/>
      <c r="J494" s="256"/>
      <c r="K494" s="256"/>
      <c r="L494" s="256"/>
      <c r="M494" s="293"/>
      <c r="N494" s="292"/>
      <c r="O494" s="256"/>
      <c r="P494" s="256"/>
      <c r="Q494" s="256"/>
      <c r="R494" s="256"/>
      <c r="S494" s="293"/>
      <c r="T494" s="294"/>
      <c r="U494" s="256"/>
      <c r="V494" s="256"/>
      <c r="W494" s="256"/>
      <c r="X494" s="256"/>
      <c r="Y494" s="293"/>
      <c r="Z494" s="294"/>
      <c r="AA494" s="256"/>
      <c r="AB494" s="256"/>
      <c r="AC494" s="256"/>
      <c r="AD494" s="256"/>
      <c r="AE494" s="293"/>
      <c r="AF494" s="294"/>
      <c r="AG494" s="256"/>
      <c r="AH494" s="256"/>
      <c r="AI494" s="256"/>
      <c r="AJ494" s="257"/>
      <c r="AK494" s="296">
        <f>'Encargos e Benefícios'!D493</f>
        <v>0</v>
      </c>
      <c r="AL494" s="296">
        <f>IF('Encargos e Benefícios'!C493=0,0,'Encargos e Benefícios'!U493/'Encargos e Benefícios'!C493)</f>
        <v>0</v>
      </c>
      <c r="AM494" s="296">
        <f>IF('Encargos e Benefícios'!C493=0,0,'Encargos e Benefícios'!AC493/'Encargos e Benefícios'!C493)</f>
        <v>0</v>
      </c>
      <c r="AN494" s="297">
        <f>IF('Encargos e Benefícios'!C493=0,0,'Encargos e Benefícios'!AD493/'Encargos e Benefícios'!C493)</f>
        <v>0</v>
      </c>
      <c r="AO494" s="188"/>
      <c r="AP494" s="298"/>
      <c r="AQ494" s="298"/>
      <c r="AR494" s="302"/>
      <c r="AS494" s="188"/>
    </row>
    <row r="495" spans="1:45" ht="13" hidden="1" thickBot="1">
      <c r="A495" s="286">
        <v>489</v>
      </c>
      <c r="B495" s="81">
        <f>'Encargos e Benefícios'!B494</f>
        <v>0</v>
      </c>
      <c r="C495" s="287">
        <f>'Encargos e Benefícios'!C494</f>
        <v>0</v>
      </c>
      <c r="D495" s="288"/>
      <c r="E495" s="300"/>
      <c r="F495" s="301"/>
      <c r="G495" s="293"/>
      <c r="H495" s="292"/>
      <c r="I495" s="256"/>
      <c r="J495" s="256"/>
      <c r="K495" s="256"/>
      <c r="L495" s="256"/>
      <c r="M495" s="293"/>
      <c r="N495" s="292"/>
      <c r="O495" s="256"/>
      <c r="P495" s="256"/>
      <c r="Q495" s="256"/>
      <c r="R495" s="256"/>
      <c r="S495" s="293"/>
      <c r="T495" s="294"/>
      <c r="U495" s="256"/>
      <c r="V495" s="256"/>
      <c r="W495" s="256"/>
      <c r="X495" s="256"/>
      <c r="Y495" s="293"/>
      <c r="Z495" s="294"/>
      <c r="AA495" s="256"/>
      <c r="AB495" s="256"/>
      <c r="AC495" s="256"/>
      <c r="AD495" s="256"/>
      <c r="AE495" s="293"/>
      <c r="AF495" s="294"/>
      <c r="AG495" s="256"/>
      <c r="AH495" s="256"/>
      <c r="AI495" s="256"/>
      <c r="AJ495" s="257"/>
      <c r="AK495" s="296">
        <f>'Encargos e Benefícios'!D494</f>
        <v>0</v>
      </c>
      <c r="AL495" s="296">
        <f>IF('Encargos e Benefícios'!C494=0,0,'Encargos e Benefícios'!U494/'Encargos e Benefícios'!C494)</f>
        <v>0</v>
      </c>
      <c r="AM495" s="296">
        <f>IF('Encargos e Benefícios'!C494=0,0,'Encargos e Benefícios'!AC494/'Encargos e Benefícios'!C494)</f>
        <v>0</v>
      </c>
      <c r="AN495" s="297">
        <f>IF('Encargos e Benefícios'!C494=0,0,'Encargos e Benefícios'!AD494/'Encargos e Benefícios'!C494)</f>
        <v>0</v>
      </c>
      <c r="AO495" s="188"/>
      <c r="AP495" s="298"/>
      <c r="AQ495" s="298"/>
      <c r="AR495" s="302"/>
      <c r="AS495" s="188"/>
    </row>
    <row r="496" spans="1:45" ht="13" hidden="1" thickBot="1">
      <c r="A496" s="286">
        <v>490</v>
      </c>
      <c r="B496" s="81">
        <f>'Encargos e Benefícios'!B495</f>
        <v>0</v>
      </c>
      <c r="C496" s="287">
        <f>'Encargos e Benefícios'!C495</f>
        <v>0</v>
      </c>
      <c r="D496" s="288"/>
      <c r="E496" s="300"/>
      <c r="F496" s="301"/>
      <c r="G496" s="293"/>
      <c r="H496" s="292"/>
      <c r="I496" s="256"/>
      <c r="J496" s="256"/>
      <c r="K496" s="256"/>
      <c r="L496" s="256"/>
      <c r="M496" s="293"/>
      <c r="N496" s="292"/>
      <c r="O496" s="256"/>
      <c r="P496" s="256"/>
      <c r="Q496" s="256"/>
      <c r="R496" s="256"/>
      <c r="S496" s="293"/>
      <c r="T496" s="294"/>
      <c r="U496" s="256"/>
      <c r="V496" s="256"/>
      <c r="W496" s="256"/>
      <c r="X496" s="256"/>
      <c r="Y496" s="293"/>
      <c r="Z496" s="294"/>
      <c r="AA496" s="256"/>
      <c r="AB496" s="256"/>
      <c r="AC496" s="256"/>
      <c r="AD496" s="256"/>
      <c r="AE496" s="293"/>
      <c r="AF496" s="294"/>
      <c r="AG496" s="256"/>
      <c r="AH496" s="256"/>
      <c r="AI496" s="256"/>
      <c r="AJ496" s="257"/>
      <c r="AK496" s="296">
        <f>'Encargos e Benefícios'!D495</f>
        <v>0</v>
      </c>
      <c r="AL496" s="296">
        <f>IF('Encargos e Benefícios'!C495=0,0,'Encargos e Benefícios'!U495/'Encargos e Benefícios'!C495)</f>
        <v>0</v>
      </c>
      <c r="AM496" s="296">
        <f>IF('Encargos e Benefícios'!C495=0,0,'Encargos e Benefícios'!AC495/'Encargos e Benefícios'!C495)</f>
        <v>0</v>
      </c>
      <c r="AN496" s="297">
        <f>IF('Encargos e Benefícios'!C495=0,0,'Encargos e Benefícios'!AD495/'Encargos e Benefícios'!C495)</f>
        <v>0</v>
      </c>
      <c r="AO496" s="188"/>
      <c r="AP496" s="298"/>
      <c r="AQ496" s="298"/>
      <c r="AR496" s="302"/>
      <c r="AS496" s="188"/>
    </row>
    <row r="497" spans="1:45" ht="13" hidden="1" thickBot="1">
      <c r="A497" s="286">
        <v>491</v>
      </c>
      <c r="B497" s="81">
        <f>'Encargos e Benefícios'!B496</f>
        <v>0</v>
      </c>
      <c r="C497" s="287">
        <f>'Encargos e Benefícios'!C496</f>
        <v>0</v>
      </c>
      <c r="D497" s="288"/>
      <c r="E497" s="300"/>
      <c r="F497" s="301"/>
      <c r="G497" s="293"/>
      <c r="H497" s="292"/>
      <c r="I497" s="256"/>
      <c r="J497" s="256"/>
      <c r="K497" s="256"/>
      <c r="L497" s="256"/>
      <c r="M497" s="293"/>
      <c r="N497" s="292"/>
      <c r="O497" s="256"/>
      <c r="P497" s="256"/>
      <c r="Q497" s="256"/>
      <c r="R497" s="256"/>
      <c r="S497" s="293"/>
      <c r="T497" s="294"/>
      <c r="U497" s="256"/>
      <c r="V497" s="256"/>
      <c r="W497" s="256"/>
      <c r="X497" s="256"/>
      <c r="Y497" s="293"/>
      <c r="Z497" s="294"/>
      <c r="AA497" s="256"/>
      <c r="AB497" s="256"/>
      <c r="AC497" s="256"/>
      <c r="AD497" s="256"/>
      <c r="AE497" s="293"/>
      <c r="AF497" s="294"/>
      <c r="AG497" s="256"/>
      <c r="AH497" s="256"/>
      <c r="AI497" s="256"/>
      <c r="AJ497" s="257"/>
      <c r="AK497" s="296">
        <f>'Encargos e Benefícios'!D496</f>
        <v>0</v>
      </c>
      <c r="AL497" s="296">
        <f>IF('Encargos e Benefícios'!C496=0,0,'Encargos e Benefícios'!U496/'Encargos e Benefícios'!C496)</f>
        <v>0</v>
      </c>
      <c r="AM497" s="296">
        <f>IF('Encargos e Benefícios'!C496=0,0,'Encargos e Benefícios'!AC496/'Encargos e Benefícios'!C496)</f>
        <v>0</v>
      </c>
      <c r="AN497" s="297">
        <f>IF('Encargos e Benefícios'!C496=0,0,'Encargos e Benefícios'!AD496/'Encargos e Benefícios'!C496)</f>
        <v>0</v>
      </c>
      <c r="AO497" s="188"/>
      <c r="AP497" s="298"/>
      <c r="AQ497" s="298"/>
      <c r="AR497" s="302"/>
      <c r="AS497" s="188"/>
    </row>
    <row r="498" spans="1:45" ht="13" hidden="1" thickBot="1">
      <c r="A498" s="286">
        <v>492</v>
      </c>
      <c r="B498" s="81">
        <f>'Encargos e Benefícios'!B497</f>
        <v>0</v>
      </c>
      <c r="C498" s="287">
        <f>'Encargos e Benefícios'!C497</f>
        <v>0</v>
      </c>
      <c r="D498" s="288"/>
      <c r="E498" s="300"/>
      <c r="F498" s="301"/>
      <c r="G498" s="293"/>
      <c r="H498" s="292"/>
      <c r="I498" s="256"/>
      <c r="J498" s="256"/>
      <c r="K498" s="256"/>
      <c r="L498" s="256"/>
      <c r="M498" s="293"/>
      <c r="N498" s="292"/>
      <c r="O498" s="256"/>
      <c r="P498" s="256"/>
      <c r="Q498" s="256"/>
      <c r="R498" s="256"/>
      <c r="S498" s="293"/>
      <c r="T498" s="294"/>
      <c r="U498" s="256"/>
      <c r="V498" s="256"/>
      <c r="W498" s="256"/>
      <c r="X498" s="256"/>
      <c r="Y498" s="293"/>
      <c r="Z498" s="294"/>
      <c r="AA498" s="256"/>
      <c r="AB498" s="256"/>
      <c r="AC498" s="256"/>
      <c r="AD498" s="256"/>
      <c r="AE498" s="293"/>
      <c r="AF498" s="294"/>
      <c r="AG498" s="256"/>
      <c r="AH498" s="256"/>
      <c r="AI498" s="256"/>
      <c r="AJ498" s="257"/>
      <c r="AK498" s="296">
        <f>'Encargos e Benefícios'!D497</f>
        <v>0</v>
      </c>
      <c r="AL498" s="296">
        <f>IF('Encargos e Benefícios'!C497=0,0,'Encargos e Benefícios'!U497/'Encargos e Benefícios'!C497)</f>
        <v>0</v>
      </c>
      <c r="AM498" s="296">
        <f>IF('Encargos e Benefícios'!C497=0,0,'Encargos e Benefícios'!AC497/'Encargos e Benefícios'!C497)</f>
        <v>0</v>
      </c>
      <c r="AN498" s="297">
        <f>IF('Encargos e Benefícios'!C497=0,0,'Encargos e Benefícios'!AD497/'Encargos e Benefícios'!C497)</f>
        <v>0</v>
      </c>
      <c r="AO498" s="188"/>
      <c r="AP498" s="298"/>
      <c r="AQ498" s="298"/>
      <c r="AR498" s="302"/>
      <c r="AS498" s="188"/>
    </row>
    <row r="499" spans="1:45" ht="13" hidden="1" thickBot="1">
      <c r="A499" s="286">
        <v>493</v>
      </c>
      <c r="B499" s="81">
        <f>'Encargos e Benefícios'!B498</f>
        <v>0</v>
      </c>
      <c r="C499" s="287">
        <f>'Encargos e Benefícios'!C498</f>
        <v>0</v>
      </c>
      <c r="D499" s="288"/>
      <c r="E499" s="300"/>
      <c r="F499" s="301"/>
      <c r="G499" s="293"/>
      <c r="H499" s="292"/>
      <c r="I499" s="256"/>
      <c r="J499" s="256"/>
      <c r="K499" s="256"/>
      <c r="L499" s="256"/>
      <c r="M499" s="293"/>
      <c r="N499" s="292"/>
      <c r="O499" s="256"/>
      <c r="P499" s="256"/>
      <c r="Q499" s="256"/>
      <c r="R499" s="256"/>
      <c r="S499" s="293"/>
      <c r="T499" s="294"/>
      <c r="U499" s="256"/>
      <c r="V499" s="256"/>
      <c r="W499" s="256"/>
      <c r="X499" s="256"/>
      <c r="Y499" s="293"/>
      <c r="Z499" s="294"/>
      <c r="AA499" s="256"/>
      <c r="AB499" s="256"/>
      <c r="AC499" s="256"/>
      <c r="AD499" s="256"/>
      <c r="AE499" s="293"/>
      <c r="AF499" s="294"/>
      <c r="AG499" s="256"/>
      <c r="AH499" s="256"/>
      <c r="AI499" s="256"/>
      <c r="AJ499" s="257"/>
      <c r="AK499" s="296">
        <f>'Encargos e Benefícios'!D498</f>
        <v>0</v>
      </c>
      <c r="AL499" s="296">
        <f>IF('Encargos e Benefícios'!C498=0,0,'Encargos e Benefícios'!U498/'Encargos e Benefícios'!C498)</f>
        <v>0</v>
      </c>
      <c r="AM499" s="296">
        <f>IF('Encargos e Benefícios'!C498=0,0,'Encargos e Benefícios'!AC498/'Encargos e Benefícios'!C498)</f>
        <v>0</v>
      </c>
      <c r="AN499" s="297">
        <f>IF('Encargos e Benefícios'!C498=0,0,'Encargos e Benefícios'!AD498/'Encargos e Benefícios'!C498)</f>
        <v>0</v>
      </c>
      <c r="AO499" s="188"/>
      <c r="AP499" s="298"/>
      <c r="AQ499" s="298"/>
      <c r="AR499" s="302"/>
      <c r="AS499" s="188"/>
    </row>
    <row r="500" spans="1:45" ht="13" hidden="1" thickBot="1">
      <c r="A500" s="286">
        <v>494</v>
      </c>
      <c r="B500" s="81">
        <f>'Encargos e Benefícios'!B499</f>
        <v>0</v>
      </c>
      <c r="C500" s="287">
        <f>'Encargos e Benefícios'!C499</f>
        <v>0</v>
      </c>
      <c r="D500" s="288"/>
      <c r="E500" s="300"/>
      <c r="F500" s="301"/>
      <c r="G500" s="293"/>
      <c r="H500" s="292"/>
      <c r="I500" s="256"/>
      <c r="J500" s="256"/>
      <c r="K500" s="256"/>
      <c r="L500" s="256"/>
      <c r="M500" s="293"/>
      <c r="N500" s="292"/>
      <c r="O500" s="256"/>
      <c r="P500" s="256"/>
      <c r="Q500" s="256"/>
      <c r="R500" s="256"/>
      <c r="S500" s="293"/>
      <c r="T500" s="294"/>
      <c r="U500" s="256"/>
      <c r="V500" s="256"/>
      <c r="W500" s="256"/>
      <c r="X500" s="256"/>
      <c r="Y500" s="293"/>
      <c r="Z500" s="294"/>
      <c r="AA500" s="256"/>
      <c r="AB500" s="256"/>
      <c r="AC500" s="256"/>
      <c r="AD500" s="256"/>
      <c r="AE500" s="293"/>
      <c r="AF500" s="294"/>
      <c r="AG500" s="256"/>
      <c r="AH500" s="256"/>
      <c r="AI500" s="256"/>
      <c r="AJ500" s="257"/>
      <c r="AK500" s="296">
        <f>'Encargos e Benefícios'!D499</f>
        <v>0</v>
      </c>
      <c r="AL500" s="296">
        <f>IF('Encargos e Benefícios'!C499=0,0,'Encargos e Benefícios'!U499/'Encargos e Benefícios'!C499)</f>
        <v>0</v>
      </c>
      <c r="AM500" s="296">
        <f>IF('Encargos e Benefícios'!C499=0,0,'Encargos e Benefícios'!AC499/'Encargos e Benefícios'!C499)</f>
        <v>0</v>
      </c>
      <c r="AN500" s="297">
        <f>IF('Encargos e Benefícios'!C499=0,0,'Encargos e Benefícios'!AD499/'Encargos e Benefícios'!C499)</f>
        <v>0</v>
      </c>
      <c r="AO500" s="188"/>
      <c r="AP500" s="298"/>
      <c r="AQ500" s="298"/>
      <c r="AR500" s="302"/>
      <c r="AS500" s="188"/>
    </row>
    <row r="501" spans="1:45" ht="13" hidden="1" thickBot="1">
      <c r="A501" s="286">
        <v>495</v>
      </c>
      <c r="B501" s="81">
        <f>'Encargos e Benefícios'!B500</f>
        <v>0</v>
      </c>
      <c r="C501" s="287">
        <f>'Encargos e Benefícios'!C500</f>
        <v>0</v>
      </c>
      <c r="D501" s="288"/>
      <c r="E501" s="300"/>
      <c r="F501" s="301"/>
      <c r="G501" s="293"/>
      <c r="H501" s="292"/>
      <c r="I501" s="256"/>
      <c r="J501" s="256"/>
      <c r="K501" s="256"/>
      <c r="L501" s="256"/>
      <c r="M501" s="293"/>
      <c r="N501" s="292"/>
      <c r="O501" s="256"/>
      <c r="P501" s="256"/>
      <c r="Q501" s="256"/>
      <c r="R501" s="256"/>
      <c r="S501" s="293"/>
      <c r="T501" s="294"/>
      <c r="U501" s="256"/>
      <c r="V501" s="256"/>
      <c r="W501" s="256"/>
      <c r="X501" s="256"/>
      <c r="Y501" s="293"/>
      <c r="Z501" s="294"/>
      <c r="AA501" s="256"/>
      <c r="AB501" s="256"/>
      <c r="AC501" s="256"/>
      <c r="AD501" s="256"/>
      <c r="AE501" s="293"/>
      <c r="AF501" s="294"/>
      <c r="AG501" s="256"/>
      <c r="AH501" s="256"/>
      <c r="AI501" s="256"/>
      <c r="AJ501" s="257"/>
      <c r="AK501" s="296">
        <f>'Encargos e Benefícios'!D500</f>
        <v>0</v>
      </c>
      <c r="AL501" s="296">
        <f>IF('Encargos e Benefícios'!C500=0,0,'Encargos e Benefícios'!U500/'Encargos e Benefícios'!C500)</f>
        <v>0</v>
      </c>
      <c r="AM501" s="296">
        <f>IF('Encargos e Benefícios'!C500=0,0,'Encargos e Benefícios'!AC500/'Encargos e Benefícios'!C500)</f>
        <v>0</v>
      </c>
      <c r="AN501" s="297">
        <f>IF('Encargos e Benefícios'!C500=0,0,'Encargos e Benefícios'!AD500/'Encargos e Benefícios'!C500)</f>
        <v>0</v>
      </c>
      <c r="AO501" s="188"/>
      <c r="AP501" s="298"/>
      <c r="AQ501" s="298"/>
      <c r="AR501" s="302"/>
      <c r="AS501" s="188"/>
    </row>
    <row r="502" spans="1:45" ht="13" hidden="1" thickBot="1">
      <c r="A502" s="286">
        <v>496</v>
      </c>
      <c r="B502" s="81">
        <f>'Encargos e Benefícios'!B501</f>
        <v>0</v>
      </c>
      <c r="C502" s="287">
        <f>'Encargos e Benefícios'!C501</f>
        <v>0</v>
      </c>
      <c r="D502" s="288"/>
      <c r="E502" s="300"/>
      <c r="F502" s="301"/>
      <c r="G502" s="293"/>
      <c r="H502" s="292"/>
      <c r="I502" s="256"/>
      <c r="J502" s="256"/>
      <c r="K502" s="256"/>
      <c r="L502" s="256"/>
      <c r="M502" s="293"/>
      <c r="N502" s="292"/>
      <c r="O502" s="256"/>
      <c r="P502" s="256"/>
      <c r="Q502" s="256"/>
      <c r="R502" s="256"/>
      <c r="S502" s="293"/>
      <c r="T502" s="294"/>
      <c r="U502" s="256"/>
      <c r="V502" s="256"/>
      <c r="W502" s="256"/>
      <c r="X502" s="256"/>
      <c r="Y502" s="293"/>
      <c r="Z502" s="294"/>
      <c r="AA502" s="256"/>
      <c r="AB502" s="256"/>
      <c r="AC502" s="256"/>
      <c r="AD502" s="256"/>
      <c r="AE502" s="293"/>
      <c r="AF502" s="294"/>
      <c r="AG502" s="256"/>
      <c r="AH502" s="256"/>
      <c r="AI502" s="256"/>
      <c r="AJ502" s="257"/>
      <c r="AK502" s="296">
        <f>'Encargos e Benefícios'!D501</f>
        <v>0</v>
      </c>
      <c r="AL502" s="296">
        <f>IF('Encargos e Benefícios'!C501=0,0,'Encargos e Benefícios'!U501/'Encargos e Benefícios'!C501)</f>
        <v>0</v>
      </c>
      <c r="AM502" s="296">
        <f>IF('Encargos e Benefícios'!C501=0,0,'Encargos e Benefícios'!AC501/'Encargos e Benefícios'!C501)</f>
        <v>0</v>
      </c>
      <c r="AN502" s="297">
        <f>IF('Encargos e Benefícios'!C501=0,0,'Encargos e Benefícios'!AD501/'Encargos e Benefícios'!C501)</f>
        <v>0</v>
      </c>
      <c r="AO502" s="188"/>
      <c r="AP502" s="298"/>
      <c r="AQ502" s="298"/>
      <c r="AR502" s="302"/>
      <c r="AS502" s="188"/>
    </row>
    <row r="503" spans="1:45" ht="13" hidden="1" thickBot="1">
      <c r="A503" s="286">
        <v>497</v>
      </c>
      <c r="B503" s="81">
        <f>'Encargos e Benefícios'!B502</f>
        <v>0</v>
      </c>
      <c r="C503" s="287">
        <f>'Encargos e Benefícios'!C502</f>
        <v>0</v>
      </c>
      <c r="D503" s="288"/>
      <c r="E503" s="300"/>
      <c r="F503" s="301"/>
      <c r="G503" s="293"/>
      <c r="H503" s="292"/>
      <c r="I503" s="256"/>
      <c r="J503" s="256"/>
      <c r="K503" s="256"/>
      <c r="L503" s="256"/>
      <c r="M503" s="293"/>
      <c r="N503" s="292"/>
      <c r="O503" s="256"/>
      <c r="P503" s="256"/>
      <c r="Q503" s="256"/>
      <c r="R503" s="256"/>
      <c r="S503" s="293"/>
      <c r="T503" s="294"/>
      <c r="U503" s="256"/>
      <c r="V503" s="256"/>
      <c r="W503" s="256"/>
      <c r="X503" s="256"/>
      <c r="Y503" s="293"/>
      <c r="Z503" s="294"/>
      <c r="AA503" s="256"/>
      <c r="AB503" s="256"/>
      <c r="AC503" s="256"/>
      <c r="AD503" s="256"/>
      <c r="AE503" s="293"/>
      <c r="AF503" s="294"/>
      <c r="AG503" s="256"/>
      <c r="AH503" s="256"/>
      <c r="AI503" s="256"/>
      <c r="AJ503" s="257"/>
      <c r="AK503" s="296">
        <f>'Encargos e Benefícios'!D502</f>
        <v>0</v>
      </c>
      <c r="AL503" s="296">
        <f>IF('Encargos e Benefícios'!C502=0,0,'Encargos e Benefícios'!U502/'Encargos e Benefícios'!C502)</f>
        <v>0</v>
      </c>
      <c r="AM503" s="296">
        <f>IF('Encargos e Benefícios'!C502=0,0,'Encargos e Benefícios'!AC502/'Encargos e Benefícios'!C502)</f>
        <v>0</v>
      </c>
      <c r="AN503" s="297">
        <f>IF('Encargos e Benefícios'!C502=0,0,'Encargos e Benefícios'!AD502/'Encargos e Benefícios'!C502)</f>
        <v>0</v>
      </c>
      <c r="AO503" s="188"/>
      <c r="AP503" s="298"/>
      <c r="AQ503" s="298"/>
      <c r="AR503" s="302"/>
      <c r="AS503" s="188"/>
    </row>
    <row r="504" spans="1:45" ht="13" hidden="1" thickBot="1">
      <c r="A504" s="286">
        <v>498</v>
      </c>
      <c r="B504" s="81">
        <f>'Encargos e Benefícios'!B503</f>
        <v>0</v>
      </c>
      <c r="C504" s="287">
        <f>'Encargos e Benefícios'!C503</f>
        <v>0</v>
      </c>
      <c r="D504" s="288"/>
      <c r="E504" s="300"/>
      <c r="F504" s="301"/>
      <c r="G504" s="293"/>
      <c r="H504" s="292"/>
      <c r="I504" s="256"/>
      <c r="J504" s="256"/>
      <c r="K504" s="256"/>
      <c r="L504" s="256"/>
      <c r="M504" s="293"/>
      <c r="N504" s="292"/>
      <c r="O504" s="256"/>
      <c r="P504" s="256"/>
      <c r="Q504" s="256"/>
      <c r="R504" s="256"/>
      <c r="S504" s="293"/>
      <c r="T504" s="294"/>
      <c r="U504" s="256"/>
      <c r="V504" s="256"/>
      <c r="W504" s="256"/>
      <c r="X504" s="256"/>
      <c r="Y504" s="293"/>
      <c r="Z504" s="294"/>
      <c r="AA504" s="256"/>
      <c r="AB504" s="256"/>
      <c r="AC504" s="256"/>
      <c r="AD504" s="256"/>
      <c r="AE504" s="293"/>
      <c r="AF504" s="294"/>
      <c r="AG504" s="256"/>
      <c r="AH504" s="256"/>
      <c r="AI504" s="256"/>
      <c r="AJ504" s="257"/>
      <c r="AK504" s="296">
        <f>'Encargos e Benefícios'!D503</f>
        <v>0</v>
      </c>
      <c r="AL504" s="296">
        <f>IF('Encargos e Benefícios'!C503=0,0,'Encargos e Benefícios'!U503/'Encargos e Benefícios'!C503)</f>
        <v>0</v>
      </c>
      <c r="AM504" s="296">
        <f>IF('Encargos e Benefícios'!C503=0,0,'Encargos e Benefícios'!AC503/'Encargos e Benefícios'!C503)</f>
        <v>0</v>
      </c>
      <c r="AN504" s="297">
        <f>IF('Encargos e Benefícios'!C503=0,0,'Encargos e Benefícios'!AD503/'Encargos e Benefícios'!C503)</f>
        <v>0</v>
      </c>
      <c r="AO504" s="188"/>
      <c r="AP504" s="298"/>
      <c r="AQ504" s="298"/>
      <c r="AR504" s="302"/>
      <c r="AS504" s="188"/>
    </row>
    <row r="505" spans="1:45" ht="13" hidden="1" thickBot="1">
      <c r="A505" s="286">
        <v>499</v>
      </c>
      <c r="B505" s="81">
        <f>'Encargos e Benefícios'!B504</f>
        <v>0</v>
      </c>
      <c r="C505" s="287">
        <f>'Encargos e Benefícios'!C504</f>
        <v>0</v>
      </c>
      <c r="D505" s="288"/>
      <c r="E505" s="300"/>
      <c r="F505" s="301"/>
      <c r="G505" s="293"/>
      <c r="H505" s="292"/>
      <c r="I505" s="256"/>
      <c r="J505" s="256"/>
      <c r="K505" s="256"/>
      <c r="L505" s="256"/>
      <c r="M505" s="293"/>
      <c r="N505" s="292"/>
      <c r="O505" s="256"/>
      <c r="P505" s="256"/>
      <c r="Q505" s="256"/>
      <c r="R505" s="256"/>
      <c r="S505" s="293"/>
      <c r="T505" s="294"/>
      <c r="U505" s="256"/>
      <c r="V505" s="256"/>
      <c r="W505" s="256"/>
      <c r="X505" s="256"/>
      <c r="Y505" s="293"/>
      <c r="Z505" s="294"/>
      <c r="AA505" s="256"/>
      <c r="AB505" s="256"/>
      <c r="AC505" s="256"/>
      <c r="AD505" s="256"/>
      <c r="AE505" s="293"/>
      <c r="AF505" s="294"/>
      <c r="AG505" s="256"/>
      <c r="AH505" s="256"/>
      <c r="AI505" s="256"/>
      <c r="AJ505" s="257"/>
      <c r="AK505" s="296">
        <f>'Encargos e Benefícios'!D504</f>
        <v>0</v>
      </c>
      <c r="AL505" s="296">
        <f>IF('Encargos e Benefícios'!C504=0,0,'Encargos e Benefícios'!U504/'Encargos e Benefícios'!C504)</f>
        <v>0</v>
      </c>
      <c r="AM505" s="296">
        <f>IF('Encargos e Benefícios'!C504=0,0,'Encargos e Benefícios'!AC504/'Encargos e Benefícios'!C504)</f>
        <v>0</v>
      </c>
      <c r="AN505" s="297">
        <f>IF('Encargos e Benefícios'!C504=0,0,'Encargos e Benefícios'!AD504/'Encargos e Benefícios'!C504)</f>
        <v>0</v>
      </c>
      <c r="AO505" s="188"/>
      <c r="AP505" s="298"/>
      <c r="AQ505" s="298"/>
      <c r="AR505" s="302"/>
      <c r="AS505" s="188"/>
    </row>
    <row r="506" spans="1:45" ht="13.5" hidden="1" customHeight="1" thickBot="1">
      <c r="A506" s="286">
        <v>500</v>
      </c>
      <c r="B506" s="81">
        <f>'Encargos e Benefícios'!B505</f>
        <v>0</v>
      </c>
      <c r="C506" s="287">
        <f>'Encargos e Benefícios'!C505</f>
        <v>0</v>
      </c>
      <c r="D506" s="288"/>
      <c r="E506" s="300"/>
      <c r="F506" s="301"/>
      <c r="G506" s="303"/>
      <c r="H506" s="292"/>
      <c r="I506" s="256"/>
      <c r="J506" s="256"/>
      <c r="K506" s="256"/>
      <c r="L506" s="256"/>
      <c r="M506" s="303"/>
      <c r="N506" s="292"/>
      <c r="O506" s="256"/>
      <c r="P506" s="256"/>
      <c r="Q506" s="256"/>
      <c r="R506" s="256"/>
      <c r="S506" s="293"/>
      <c r="T506" s="294"/>
      <c r="U506" s="256"/>
      <c r="V506" s="256"/>
      <c r="W506" s="256"/>
      <c r="X506" s="256"/>
      <c r="Y506" s="293"/>
      <c r="Z506" s="294"/>
      <c r="AA506" s="256"/>
      <c r="AB506" s="256"/>
      <c r="AC506" s="256"/>
      <c r="AD506" s="256"/>
      <c r="AE506" s="293"/>
      <c r="AF506" s="304"/>
      <c r="AG506" s="256"/>
      <c r="AH506" s="256"/>
      <c r="AI506" s="256"/>
      <c r="AJ506" s="305"/>
      <c r="AK506" s="296">
        <f>'Encargos e Benefícios'!D505</f>
        <v>0</v>
      </c>
      <c r="AL506" s="296">
        <f>IF('Encargos e Benefícios'!C505=0,0,'Encargos e Benefícios'!U505/'Encargos e Benefícios'!C505)</f>
        <v>0</v>
      </c>
      <c r="AM506" s="296">
        <f>IF('Encargos e Benefícios'!C505=0,0,'Encargos e Benefícios'!AC505/'Encargos e Benefícios'!C505)</f>
        <v>0</v>
      </c>
      <c r="AN506" s="297">
        <f>IF('Encargos e Benefícios'!C505=0,0,'Encargos e Benefícios'!AD505/'Encargos e Benefícios'!C505)</f>
        <v>0</v>
      </c>
      <c r="AO506" s="188"/>
      <c r="AP506" s="298"/>
      <c r="AQ506" s="298"/>
      <c r="AR506" s="302"/>
      <c r="AS506" s="188"/>
    </row>
    <row r="507" spans="1:45" ht="17.25" customHeight="1" thickBot="1">
      <c r="A507" s="306"/>
      <c r="B507" s="306"/>
      <c r="C507" s="277">
        <f>SUM(C7:C506)</f>
        <v>691</v>
      </c>
      <c r="D507" s="307"/>
      <c r="E507" s="261"/>
      <c r="F507" s="261"/>
      <c r="G507" s="308"/>
      <c r="H507" s="308"/>
      <c r="I507" s="308"/>
      <c r="J507" s="308"/>
      <c r="K507" s="308"/>
      <c r="L507" s="308"/>
      <c r="M507" s="308"/>
      <c r="N507" s="308"/>
      <c r="O507" s="308"/>
      <c r="P507" s="308"/>
      <c r="Q507" s="308"/>
      <c r="R507" s="308"/>
      <c r="S507" s="308"/>
      <c r="T507" s="308"/>
      <c r="U507" s="308"/>
      <c r="V507" s="308"/>
      <c r="W507" s="308"/>
      <c r="X507" s="308"/>
      <c r="Y507" s="308"/>
      <c r="Z507" s="308"/>
      <c r="AA507" s="308"/>
      <c r="AB507" s="308"/>
      <c r="AC507" s="308"/>
      <c r="AD507" s="308"/>
      <c r="AE507" s="308"/>
      <c r="AF507" s="308"/>
      <c r="AG507" s="308"/>
      <c r="AH507" s="308"/>
      <c r="AI507" s="308"/>
      <c r="AJ507" s="308"/>
      <c r="AK507" s="261">
        <f t="shared" ref="AK507:AQ507" si="0">SUM(AK7:AK506)</f>
        <v>869581.12999999861</v>
      </c>
      <c r="AL507" s="261">
        <f t="shared" si="0"/>
        <v>851829.57948901318</v>
      </c>
      <c r="AM507" s="261">
        <f t="shared" si="0"/>
        <v>301577.67000000022</v>
      </c>
      <c r="AN507" s="261">
        <f t="shared" si="0"/>
        <v>2022988.3794890149</v>
      </c>
      <c r="AO507" s="261">
        <f t="shared" si="0"/>
        <v>945711.85999999964</v>
      </c>
      <c r="AP507" s="261">
        <f t="shared" si="0"/>
        <v>682108.62999999919</v>
      </c>
      <c r="AQ507" s="261">
        <f t="shared" si="0"/>
        <v>1247531.3900000018</v>
      </c>
      <c r="AR507" s="309"/>
      <c r="AS507" s="268"/>
    </row>
    <row r="508" spans="1:45" ht="30" customHeight="1">
      <c r="A508" s="310"/>
      <c r="B508" s="310"/>
      <c r="C508" s="311"/>
      <c r="D508" s="312"/>
      <c r="E508" s="268"/>
      <c r="F508" s="268"/>
      <c r="G508" s="313"/>
      <c r="H508" s="313"/>
      <c r="I508" s="313"/>
      <c r="J508" s="313"/>
      <c r="K508" s="313"/>
      <c r="L508" s="313"/>
      <c r="M508" s="268"/>
      <c r="N508" s="268"/>
      <c r="O508" s="268"/>
      <c r="P508" s="268"/>
      <c r="Q508" s="268"/>
      <c r="R508" s="268"/>
      <c r="S508" s="268"/>
      <c r="T508" s="268"/>
      <c r="U508" s="268"/>
      <c r="V508" s="268"/>
      <c r="W508" s="268"/>
      <c r="X508" s="268"/>
      <c r="Y508" s="268"/>
      <c r="Z508" s="268"/>
      <c r="AA508" s="268"/>
      <c r="AB508" s="268"/>
      <c r="AC508" s="268"/>
      <c r="AD508" s="268"/>
      <c r="AE508" s="268"/>
      <c r="AF508" s="268"/>
      <c r="AG508" s="268"/>
      <c r="AH508" s="268"/>
      <c r="AI508" s="268"/>
      <c r="AJ508" s="268"/>
      <c r="AK508" s="268"/>
      <c r="AL508" s="268"/>
      <c r="AM508" s="268"/>
      <c r="AN508" s="268"/>
      <c r="AO508" s="268"/>
      <c r="AP508" s="268"/>
      <c r="AQ508" s="268"/>
      <c r="AR508" s="312"/>
      <c r="AS508" s="268"/>
    </row>
    <row r="509" spans="1:45" s="158" customFormat="1" ht="15.75" customHeight="1">
      <c r="A509" s="388" t="s">
        <v>359</v>
      </c>
      <c r="B509" s="388"/>
      <c r="C509" s="388"/>
      <c r="D509" s="388"/>
      <c r="E509" s="388"/>
      <c r="F509" s="388"/>
      <c r="G509" s="388"/>
      <c r="H509" s="388"/>
      <c r="I509" s="388"/>
      <c r="J509" s="388"/>
      <c r="K509" s="388"/>
      <c r="L509" s="388"/>
      <c r="M509" s="388"/>
      <c r="N509" s="388"/>
      <c r="O509" s="388"/>
      <c r="P509" s="388"/>
      <c r="Q509" s="388"/>
      <c r="R509" s="388"/>
      <c r="S509" s="388"/>
      <c r="T509" s="388"/>
      <c r="U509" s="388"/>
      <c r="V509" s="388"/>
      <c r="W509" s="388"/>
      <c r="X509" s="388"/>
      <c r="Y509" s="388"/>
      <c r="Z509" s="388"/>
      <c r="AA509" s="388"/>
      <c r="AB509" s="388"/>
      <c r="AC509" s="388"/>
      <c r="AD509" s="388"/>
      <c r="AE509" s="388"/>
      <c r="AF509" s="388"/>
      <c r="AG509" s="388"/>
      <c r="AH509" s="388"/>
      <c r="AI509" s="388"/>
      <c r="AJ509" s="388"/>
      <c r="AK509" s="388"/>
      <c r="AL509" s="388"/>
      <c r="AM509" s="388"/>
      <c r="AN509" s="388"/>
      <c r="AO509" s="53"/>
      <c r="AP509" s="53"/>
      <c r="AQ509" s="53"/>
      <c r="AS509" s="53"/>
    </row>
    <row r="510" spans="1:45" s="158" customFormat="1" ht="20.25" customHeight="1">
      <c r="A510" s="395" t="s">
        <v>31</v>
      </c>
      <c r="B510" s="395" t="s">
        <v>355</v>
      </c>
      <c r="C510" s="395" t="s">
        <v>365</v>
      </c>
      <c r="D510" s="396" t="s">
        <v>366</v>
      </c>
      <c r="E510" s="392" t="s">
        <v>367</v>
      </c>
      <c r="F510" s="396" t="s">
        <v>368</v>
      </c>
      <c r="G510" s="394" t="s">
        <v>385</v>
      </c>
      <c r="H510" s="394"/>
      <c r="I510" s="394"/>
      <c r="J510" s="394"/>
      <c r="K510" s="394"/>
      <c r="L510" s="394"/>
      <c r="M510" s="402" t="s">
        <v>386</v>
      </c>
      <c r="N510" s="402"/>
      <c r="O510" s="402"/>
      <c r="P510" s="402"/>
      <c r="Q510" s="402"/>
      <c r="R510" s="402"/>
      <c r="S510" s="402" t="s">
        <v>387</v>
      </c>
      <c r="T510" s="402"/>
      <c r="U510" s="402"/>
      <c r="V510" s="402"/>
      <c r="W510" s="402"/>
      <c r="X510" s="402"/>
      <c r="Y510" s="402" t="s">
        <v>388</v>
      </c>
      <c r="Z510" s="402"/>
      <c r="AA510" s="402"/>
      <c r="AB510" s="402"/>
      <c r="AC510" s="402"/>
      <c r="AD510" s="402"/>
      <c r="AE510" s="402" t="s">
        <v>389</v>
      </c>
      <c r="AF510" s="402"/>
      <c r="AG510" s="402"/>
      <c r="AH510" s="402"/>
      <c r="AI510" s="402"/>
      <c r="AJ510" s="402"/>
      <c r="AK510" s="402" t="s">
        <v>374</v>
      </c>
      <c r="AL510" s="402"/>
      <c r="AM510" s="402"/>
      <c r="AN510" s="402"/>
    </row>
    <row r="511" spans="1:45" s="158" customFormat="1" ht="27" customHeight="1" thickBot="1">
      <c r="A511" s="395"/>
      <c r="B511" s="395"/>
      <c r="C511" s="395"/>
      <c r="D511" s="396"/>
      <c r="E511" s="392"/>
      <c r="F511" s="396"/>
      <c r="G511" s="398" t="s">
        <v>377</v>
      </c>
      <c r="H511" s="400" t="s">
        <v>390</v>
      </c>
      <c r="I511" s="407" t="s">
        <v>379</v>
      </c>
      <c r="J511" s="407"/>
      <c r="K511" s="407"/>
      <c r="L511" s="407"/>
      <c r="M511" s="398" t="s">
        <v>377</v>
      </c>
      <c r="N511" s="400" t="s">
        <v>390</v>
      </c>
      <c r="O511" s="405" t="s">
        <v>379</v>
      </c>
      <c r="P511" s="405"/>
      <c r="Q511" s="405"/>
      <c r="R511" s="405"/>
      <c r="S511" s="398" t="s">
        <v>377</v>
      </c>
      <c r="T511" s="400" t="s">
        <v>390</v>
      </c>
      <c r="U511" s="405" t="s">
        <v>379</v>
      </c>
      <c r="V511" s="405"/>
      <c r="W511" s="405"/>
      <c r="X511" s="405"/>
      <c r="Y511" s="398" t="s">
        <v>377</v>
      </c>
      <c r="Z511" s="400" t="s">
        <v>390</v>
      </c>
      <c r="AA511" s="405" t="s">
        <v>379</v>
      </c>
      <c r="AB511" s="405"/>
      <c r="AC511" s="405"/>
      <c r="AD511" s="405"/>
      <c r="AE511" s="398" t="s">
        <v>377</v>
      </c>
      <c r="AF511" s="400" t="s">
        <v>390</v>
      </c>
      <c r="AG511" s="405" t="s">
        <v>379</v>
      </c>
      <c r="AH511" s="405"/>
      <c r="AI511" s="405"/>
      <c r="AJ511" s="405"/>
      <c r="AK511" s="398" t="s">
        <v>380</v>
      </c>
      <c r="AL511" s="403" t="s">
        <v>164</v>
      </c>
      <c r="AM511" s="403" t="s">
        <v>88</v>
      </c>
      <c r="AN511" s="403" t="s">
        <v>381</v>
      </c>
    </row>
    <row r="512" spans="1:45" s="158" customFormat="1" ht="39" customHeight="1" thickBot="1">
      <c r="A512" s="395"/>
      <c r="B512" s="395"/>
      <c r="C512" s="395"/>
      <c r="D512" s="396"/>
      <c r="E512" s="392"/>
      <c r="F512" s="396"/>
      <c r="G512" s="398"/>
      <c r="H512" s="400"/>
      <c r="I512" s="248" t="s">
        <v>151</v>
      </c>
      <c r="J512" s="248"/>
      <c r="K512" s="248"/>
      <c r="L512" s="248"/>
      <c r="M512" s="398"/>
      <c r="N512" s="400"/>
      <c r="O512" s="248" t="s">
        <v>151</v>
      </c>
      <c r="P512" s="248"/>
      <c r="Q512" s="248"/>
      <c r="R512" s="248"/>
      <c r="S512" s="398"/>
      <c r="T512" s="400"/>
      <c r="U512" s="248" t="s">
        <v>151</v>
      </c>
      <c r="V512" s="248"/>
      <c r="W512" s="248"/>
      <c r="X512" s="248"/>
      <c r="Y512" s="398"/>
      <c r="Z512" s="400"/>
      <c r="AA512" s="248" t="s">
        <v>151</v>
      </c>
      <c r="AB512" s="248"/>
      <c r="AC512" s="248"/>
      <c r="AD512" s="248"/>
      <c r="AE512" s="398"/>
      <c r="AF512" s="400"/>
      <c r="AG512" s="248" t="s">
        <v>545</v>
      </c>
      <c r="AH512" s="248"/>
      <c r="AI512" s="248"/>
      <c r="AJ512" s="248"/>
      <c r="AK512" s="398"/>
      <c r="AL512" s="403"/>
      <c r="AM512" s="403"/>
      <c r="AN512" s="403"/>
    </row>
    <row r="513" spans="1:45" s="158" customFormat="1" ht="27" customHeight="1" thickBot="1">
      <c r="A513" s="286">
        <v>1</v>
      </c>
      <c r="B513" s="81">
        <f>'Encargos e Benefícios'!B512</f>
        <v>0</v>
      </c>
      <c r="C513" s="287">
        <f>'Encargos e Benefícios'!C512</f>
        <v>0</v>
      </c>
      <c r="D513" s="288"/>
      <c r="E513" s="293"/>
      <c r="F513" s="371"/>
      <c r="G513" s="300"/>
      <c r="H513" s="294"/>
      <c r="I513" s="256"/>
      <c r="J513" s="256"/>
      <c r="K513" s="256"/>
      <c r="L513" s="295"/>
      <c r="M513" s="300"/>
      <c r="N513" s="294"/>
      <c r="O513" s="256"/>
      <c r="P513" s="256"/>
      <c r="Q513" s="256"/>
      <c r="R513" s="295"/>
      <c r="S513" s="300"/>
      <c r="T513" s="294"/>
      <c r="U513" s="256"/>
      <c r="V513" s="256"/>
      <c r="W513" s="256"/>
      <c r="X513" s="256"/>
      <c r="Y513" s="291"/>
      <c r="Z513" s="294"/>
      <c r="AA513" s="256"/>
      <c r="AB513" s="256"/>
      <c r="AC513" s="256"/>
      <c r="AD513" s="256"/>
      <c r="AE513" s="291"/>
      <c r="AF513" s="294"/>
      <c r="AG513" s="256"/>
      <c r="AH513" s="256"/>
      <c r="AI513" s="256"/>
      <c r="AJ513" s="256"/>
      <c r="AK513" s="314">
        <f>'Encargos e Benefícios'!D512</f>
        <v>0</v>
      </c>
      <c r="AL513" s="296">
        <f>IF('Encargos e Benefícios'!C512=0,0,'Encargos e Benefícios'!F512/'Encargos e Benefícios'!C512)</f>
        <v>0</v>
      </c>
      <c r="AM513" s="296">
        <f>IF('Encargos e Benefícios'!C512=0,0,'Encargos e Benefícios'!L512/'Encargos e Benefícios'!C512)</f>
        <v>0</v>
      </c>
      <c r="AN513" s="296">
        <f>IF('Encargos e Benefícios'!C512=0,0,'Encargos e Benefícios'!M512/'Encargos e Benefícios'!C512)</f>
        <v>0</v>
      </c>
    </row>
    <row r="514" spans="1:45" s="158" customFormat="1" ht="21.75" customHeight="1" thickBot="1">
      <c r="A514" s="286">
        <v>2</v>
      </c>
      <c r="B514" s="81">
        <f>'Encargos e Benefícios'!B513</f>
        <v>0</v>
      </c>
      <c r="C514" s="287">
        <f>'Encargos e Benefícios'!C513</f>
        <v>0</v>
      </c>
      <c r="D514" s="288"/>
      <c r="E514" s="293"/>
      <c r="F514" s="301"/>
      <c r="G514" s="300"/>
      <c r="H514" s="294"/>
      <c r="I514" s="256"/>
      <c r="J514" s="256"/>
      <c r="K514" s="256"/>
      <c r="L514" s="257"/>
      <c r="M514" s="300"/>
      <c r="N514" s="294"/>
      <c r="O514" s="256"/>
      <c r="P514" s="256"/>
      <c r="Q514" s="256"/>
      <c r="R514" s="257"/>
      <c r="S514" s="300"/>
      <c r="T514" s="294"/>
      <c r="U514" s="256"/>
      <c r="V514" s="256"/>
      <c r="W514" s="256"/>
      <c r="X514" s="256"/>
      <c r="Y514" s="291"/>
      <c r="Z514" s="294"/>
      <c r="AA514" s="256"/>
      <c r="AB514" s="256"/>
      <c r="AC514" s="256"/>
      <c r="AD514" s="256"/>
      <c r="AE514" s="291"/>
      <c r="AF514" s="294"/>
      <c r="AG514" s="256"/>
      <c r="AH514" s="256"/>
      <c r="AI514" s="256"/>
      <c r="AJ514" s="256"/>
      <c r="AK514" s="315">
        <f>'Encargos e Benefícios'!D513</f>
        <v>0</v>
      </c>
      <c r="AL514" s="296">
        <f>IF('Encargos e Benefícios'!C513=0,0,'Encargos e Benefícios'!F513/'Encargos e Benefícios'!C513)</f>
        <v>0</v>
      </c>
      <c r="AM514" s="296">
        <f>IF('Encargos e Benefícios'!C513=0,0,'Encargos e Benefícios'!L513/'Encargos e Benefícios'!C513)</f>
        <v>0</v>
      </c>
      <c r="AN514" s="296">
        <f>IF('Encargos e Benefícios'!C513=0,0,'Encargos e Benefícios'!M513/'Encargos e Benefícios'!C513)</f>
        <v>0</v>
      </c>
    </row>
    <row r="515" spans="1:45" s="158" customFormat="1" ht="24" customHeight="1">
      <c r="A515" s="286">
        <v>3</v>
      </c>
      <c r="B515" s="81">
        <f>'Encargos e Benefícios'!B514</f>
        <v>0</v>
      </c>
      <c r="C515" s="287">
        <f>'Encargos e Benefícios'!C514</f>
        <v>0</v>
      </c>
      <c r="D515" s="288"/>
      <c r="E515" s="293"/>
      <c r="F515" s="301"/>
      <c r="G515" s="300"/>
      <c r="H515" s="294"/>
      <c r="I515" s="256"/>
      <c r="J515" s="256"/>
      <c r="K515" s="256"/>
      <c r="L515" s="257"/>
      <c r="M515" s="300"/>
      <c r="N515" s="294"/>
      <c r="O515" s="256"/>
      <c r="P515" s="256"/>
      <c r="Q515" s="256"/>
      <c r="R515" s="257"/>
      <c r="S515" s="300"/>
      <c r="T515" s="294"/>
      <c r="U515" s="256"/>
      <c r="V515" s="256"/>
      <c r="W515" s="256"/>
      <c r="X515" s="256"/>
      <c r="Y515" s="291"/>
      <c r="Z515" s="294"/>
      <c r="AA515" s="256"/>
      <c r="AB515" s="256"/>
      <c r="AC515" s="256"/>
      <c r="AD515" s="256"/>
      <c r="AE515" s="291"/>
      <c r="AF515" s="294"/>
      <c r="AG515" s="256"/>
      <c r="AH515" s="256"/>
      <c r="AI515" s="256"/>
      <c r="AJ515" s="256"/>
      <c r="AK515" s="315">
        <f>'Encargos e Benefícios'!D514</f>
        <v>0</v>
      </c>
      <c r="AL515" s="296">
        <f>IF('Encargos e Benefícios'!C514=0,0,'Encargos e Benefícios'!F514/'Encargos e Benefícios'!C514)</f>
        <v>0</v>
      </c>
      <c r="AM515" s="296">
        <f>IF('Encargos e Benefícios'!C514=0,0,'Encargos e Benefícios'!L514/'Encargos e Benefícios'!C514)</f>
        <v>0</v>
      </c>
      <c r="AN515" s="296">
        <f>IF('Encargos e Benefícios'!C514=0,0,'Encargos e Benefícios'!M514/'Encargos e Benefícios'!C514)</f>
        <v>0</v>
      </c>
    </row>
    <row r="516" spans="1:45" s="158" customFormat="1" ht="24.75" customHeight="1">
      <c r="A516" s="286">
        <v>4</v>
      </c>
      <c r="B516" s="81">
        <f>'Encargos e Benefícios'!B515</f>
        <v>0</v>
      </c>
      <c r="C516" s="287">
        <f>'Encargos e Benefícios'!C515</f>
        <v>0</v>
      </c>
      <c r="D516" s="288"/>
      <c r="E516" s="293"/>
      <c r="F516" s="301"/>
      <c r="G516" s="300"/>
      <c r="H516" s="294"/>
      <c r="I516" s="256"/>
      <c r="J516" s="256"/>
      <c r="K516" s="256"/>
      <c r="L516" s="257"/>
      <c r="M516" s="300"/>
      <c r="N516" s="294"/>
      <c r="O516" s="256"/>
      <c r="P516" s="256"/>
      <c r="Q516" s="256"/>
      <c r="R516" s="257"/>
      <c r="S516" s="300"/>
      <c r="T516" s="294"/>
      <c r="U516" s="256"/>
      <c r="V516" s="256"/>
      <c r="W516" s="256"/>
      <c r="X516" s="256"/>
      <c r="Y516" s="293"/>
      <c r="Z516" s="294"/>
      <c r="AA516" s="256"/>
      <c r="AB516" s="256"/>
      <c r="AC516" s="256"/>
      <c r="AD516" s="256"/>
      <c r="AE516" s="293"/>
      <c r="AF516" s="294"/>
      <c r="AG516" s="256"/>
      <c r="AH516" s="256"/>
      <c r="AI516" s="256"/>
      <c r="AJ516" s="256"/>
      <c r="AK516" s="315">
        <f>'Encargos e Benefícios'!D515</f>
        <v>0</v>
      </c>
      <c r="AL516" s="296">
        <f>IF('Encargos e Benefícios'!C515=0,0,'Encargos e Benefícios'!F515/'Encargos e Benefícios'!C515)</f>
        <v>0</v>
      </c>
      <c r="AM516" s="296">
        <f>IF('Encargos e Benefícios'!C515=0,0,'Encargos e Benefícios'!L515/'Encargos e Benefícios'!C515)</f>
        <v>0</v>
      </c>
      <c r="AN516" s="296">
        <f>IF('Encargos e Benefícios'!C515=0,0,'Encargos e Benefícios'!M515/'Encargos e Benefícios'!C515)</f>
        <v>0</v>
      </c>
      <c r="AO516" s="296"/>
    </row>
    <row r="517" spans="1:45" s="158" customFormat="1" ht="15.75" customHeight="1">
      <c r="A517" s="286">
        <v>5</v>
      </c>
      <c r="B517" s="81">
        <f>'Encargos e Benefícios'!B516</f>
        <v>0</v>
      </c>
      <c r="C517" s="287">
        <f>'Encargos e Benefícios'!C516</f>
        <v>0</v>
      </c>
      <c r="D517" s="288"/>
      <c r="E517" s="293"/>
      <c r="F517" s="301"/>
      <c r="G517" s="300"/>
      <c r="H517" s="294"/>
      <c r="I517" s="256"/>
      <c r="J517" s="256"/>
      <c r="K517" s="256"/>
      <c r="L517" s="257"/>
      <c r="M517" s="300"/>
      <c r="N517" s="294"/>
      <c r="O517" s="256"/>
      <c r="P517" s="256"/>
      <c r="Q517" s="256"/>
      <c r="R517" s="257"/>
      <c r="S517" s="300"/>
      <c r="T517" s="294"/>
      <c r="U517" s="256"/>
      <c r="V517" s="256"/>
      <c r="W517" s="256"/>
      <c r="X517" s="256"/>
      <c r="Y517" s="293"/>
      <c r="Z517" s="294"/>
      <c r="AA517" s="256"/>
      <c r="AB517" s="256"/>
      <c r="AC517" s="256"/>
      <c r="AD517" s="256"/>
      <c r="AE517" s="293"/>
      <c r="AF517" s="294"/>
      <c r="AG517" s="256"/>
      <c r="AH517" s="256"/>
      <c r="AI517" s="256"/>
      <c r="AJ517" s="256"/>
      <c r="AK517" s="315">
        <f>'Encargos e Benefícios'!D516</f>
        <v>0</v>
      </c>
      <c r="AL517" s="296">
        <f>IF('Encargos e Benefícios'!C516=0,0,'Encargos e Benefícios'!F516/'Encargos e Benefícios'!C516)</f>
        <v>0</v>
      </c>
      <c r="AM517" s="296">
        <f>IF('Encargos e Benefícios'!C516=0,0,'Encargos e Benefícios'!L516/'Encargos e Benefícios'!C516)</f>
        <v>0</v>
      </c>
      <c r="AN517" s="296">
        <f>IF('Encargos e Benefícios'!C516=0,0,'Encargos e Benefícios'!M516/'Encargos e Benefícios'!C516)</f>
        <v>0</v>
      </c>
      <c r="AO517" s="296"/>
    </row>
    <row r="518" spans="1:45" s="158" customFormat="1" ht="15.75" customHeight="1">
      <c r="A518" s="286">
        <v>6</v>
      </c>
      <c r="B518" s="81">
        <f>'Encargos e Benefícios'!B517</f>
        <v>0</v>
      </c>
      <c r="C518" s="287">
        <f>'Encargos e Benefícios'!C517</f>
        <v>0</v>
      </c>
      <c r="D518" s="288"/>
      <c r="E518" s="293"/>
      <c r="F518" s="301"/>
      <c r="G518" s="300"/>
      <c r="H518" s="294"/>
      <c r="I518" s="256"/>
      <c r="J518" s="256"/>
      <c r="K518" s="256"/>
      <c r="L518" s="257"/>
      <c r="M518" s="300"/>
      <c r="N518" s="294"/>
      <c r="O518" s="256"/>
      <c r="P518" s="256"/>
      <c r="Q518" s="256"/>
      <c r="R518" s="257"/>
      <c r="S518" s="300"/>
      <c r="T518" s="294"/>
      <c r="U518" s="256"/>
      <c r="V518" s="256"/>
      <c r="W518" s="256"/>
      <c r="X518" s="256"/>
      <c r="Y518" s="293"/>
      <c r="Z518" s="294"/>
      <c r="AA518" s="256"/>
      <c r="AB518" s="256"/>
      <c r="AC518" s="256"/>
      <c r="AD518" s="256"/>
      <c r="AE518" s="293"/>
      <c r="AF518" s="294"/>
      <c r="AG518" s="256"/>
      <c r="AH518" s="256"/>
      <c r="AI518" s="256"/>
      <c r="AJ518" s="256"/>
      <c r="AK518" s="315">
        <f>'Encargos e Benefícios'!D517</f>
        <v>0</v>
      </c>
      <c r="AL518" s="296">
        <f>IF('Encargos e Benefícios'!C517=0,0,'Encargos e Benefícios'!F517/'Encargos e Benefícios'!C517)</f>
        <v>0</v>
      </c>
      <c r="AM518" s="296">
        <f>IF('Encargos e Benefícios'!C517=0,0,'Encargos e Benefícios'!L517/'Encargos e Benefícios'!C517)</f>
        <v>0</v>
      </c>
      <c r="AN518" s="296">
        <f>IF('Encargos e Benefícios'!C517=0,0,'Encargos e Benefícios'!M517/'Encargos e Benefícios'!C517)</f>
        <v>0</v>
      </c>
      <c r="AO518" s="296"/>
    </row>
    <row r="519" spans="1:45" s="158" customFormat="1" ht="15.75" customHeight="1">
      <c r="A519" s="286">
        <v>7</v>
      </c>
      <c r="B519" s="81">
        <f>'Encargos e Benefícios'!B518</f>
        <v>0</v>
      </c>
      <c r="C519" s="287">
        <f>'Encargos e Benefícios'!C518</f>
        <v>0</v>
      </c>
      <c r="D519" s="288"/>
      <c r="E519" s="293"/>
      <c r="F519" s="301"/>
      <c r="G519" s="300"/>
      <c r="H519" s="294"/>
      <c r="I519" s="256"/>
      <c r="J519" s="256"/>
      <c r="K519" s="256"/>
      <c r="L519" s="257"/>
      <c r="M519" s="300"/>
      <c r="N519" s="294"/>
      <c r="O519" s="256"/>
      <c r="P519" s="256"/>
      <c r="Q519" s="256"/>
      <c r="R519" s="257"/>
      <c r="S519" s="300"/>
      <c r="T519" s="294"/>
      <c r="U519" s="256"/>
      <c r="V519" s="256"/>
      <c r="W519" s="256"/>
      <c r="X519" s="256"/>
      <c r="Y519" s="293"/>
      <c r="Z519" s="294"/>
      <c r="AA519" s="256"/>
      <c r="AB519" s="256"/>
      <c r="AC519" s="256"/>
      <c r="AD519" s="256"/>
      <c r="AE519" s="293"/>
      <c r="AF519" s="294"/>
      <c r="AG519" s="256"/>
      <c r="AH519" s="256"/>
      <c r="AI519" s="256"/>
      <c r="AJ519" s="256"/>
      <c r="AK519" s="315">
        <f>'Encargos e Benefícios'!D518</f>
        <v>0</v>
      </c>
      <c r="AL519" s="296">
        <f>IF('Encargos e Benefícios'!C518=0,0,'Encargos e Benefícios'!F518/'Encargos e Benefícios'!C518)</f>
        <v>0</v>
      </c>
      <c r="AM519" s="296">
        <f>IF('Encargos e Benefícios'!C518=0,0,'Encargos e Benefícios'!L518/'Encargos e Benefícios'!C518)</f>
        <v>0</v>
      </c>
      <c r="AN519" s="296">
        <f>IF('Encargos e Benefícios'!C518=0,0,'Encargos e Benefícios'!M518/'Encargos e Benefícios'!C518)</f>
        <v>0</v>
      </c>
      <c r="AO519" s="296"/>
    </row>
    <row r="520" spans="1:45" s="158" customFormat="1" ht="15.75" customHeight="1">
      <c r="A520" s="286">
        <v>8</v>
      </c>
      <c r="B520" s="81">
        <f>'Encargos e Benefícios'!B519</f>
        <v>0</v>
      </c>
      <c r="C520" s="287">
        <f>'Encargos e Benefícios'!C519</f>
        <v>0</v>
      </c>
      <c r="D520" s="288"/>
      <c r="E520" s="293"/>
      <c r="F520" s="301"/>
      <c r="G520" s="300"/>
      <c r="H520" s="294"/>
      <c r="I520" s="256"/>
      <c r="J520" s="256"/>
      <c r="K520" s="256"/>
      <c r="L520" s="257"/>
      <c r="M520" s="300"/>
      <c r="N520" s="294"/>
      <c r="O520" s="256"/>
      <c r="P520" s="256"/>
      <c r="Q520" s="256"/>
      <c r="R520" s="257"/>
      <c r="S520" s="300"/>
      <c r="T520" s="294"/>
      <c r="U520" s="256"/>
      <c r="V520" s="256"/>
      <c r="W520" s="256"/>
      <c r="X520" s="256"/>
      <c r="Y520" s="293"/>
      <c r="Z520" s="294"/>
      <c r="AA520" s="256"/>
      <c r="AB520" s="256"/>
      <c r="AC520" s="256"/>
      <c r="AD520" s="256"/>
      <c r="AE520" s="293"/>
      <c r="AF520" s="294"/>
      <c r="AG520" s="256"/>
      <c r="AH520" s="256"/>
      <c r="AI520" s="256"/>
      <c r="AJ520" s="256"/>
      <c r="AK520" s="315">
        <f>'Encargos e Benefícios'!D519</f>
        <v>0</v>
      </c>
      <c r="AL520" s="296">
        <f>IF('Encargos e Benefícios'!C519=0,0,'Encargos e Benefícios'!F519/'Encargos e Benefícios'!C519)</f>
        <v>0</v>
      </c>
      <c r="AM520" s="296">
        <f>IF('Encargos e Benefícios'!C519=0,0,'Encargos e Benefícios'!L519/'Encargos e Benefícios'!C519)</f>
        <v>0</v>
      </c>
      <c r="AN520" s="296">
        <f>IF('Encargos e Benefícios'!C519=0,0,'Encargos e Benefícios'!M519/'Encargos e Benefícios'!C519)</f>
        <v>0</v>
      </c>
      <c r="AO520" s="296"/>
    </row>
    <row r="521" spans="1:45" s="158" customFormat="1" ht="15.75" customHeight="1">
      <c r="A521" s="286">
        <v>9</v>
      </c>
      <c r="B521" s="81">
        <f>'Encargos e Benefícios'!B520</f>
        <v>0</v>
      </c>
      <c r="C521" s="287">
        <f>'Encargos e Benefícios'!C520</f>
        <v>0</v>
      </c>
      <c r="D521" s="288"/>
      <c r="E521" s="293"/>
      <c r="F521" s="301"/>
      <c r="G521" s="300"/>
      <c r="H521" s="294"/>
      <c r="I521" s="256"/>
      <c r="J521" s="256"/>
      <c r="K521" s="256"/>
      <c r="L521" s="257"/>
      <c r="M521" s="300"/>
      <c r="N521" s="294"/>
      <c r="O521" s="256"/>
      <c r="P521" s="256"/>
      <c r="Q521" s="256"/>
      <c r="R521" s="257"/>
      <c r="S521" s="300"/>
      <c r="T521" s="294"/>
      <c r="U521" s="256"/>
      <c r="V521" s="256"/>
      <c r="W521" s="256"/>
      <c r="X521" s="256"/>
      <c r="Y521" s="293"/>
      <c r="Z521" s="294"/>
      <c r="AA521" s="256"/>
      <c r="AB521" s="256"/>
      <c r="AC521" s="256"/>
      <c r="AD521" s="256"/>
      <c r="AE521" s="293"/>
      <c r="AF521" s="294"/>
      <c r="AG521" s="256"/>
      <c r="AH521" s="256"/>
      <c r="AI521" s="256"/>
      <c r="AJ521" s="256"/>
      <c r="AK521" s="315">
        <f>'Encargos e Benefícios'!D520</f>
        <v>0</v>
      </c>
      <c r="AL521" s="296">
        <f>IF('Encargos e Benefícios'!C520=0,0,'Encargos e Benefícios'!F520/'Encargos e Benefícios'!C520)</f>
        <v>0</v>
      </c>
      <c r="AM521" s="296">
        <f>IF('Encargos e Benefícios'!C520=0,0,'Encargos e Benefícios'!L520/'Encargos e Benefícios'!C520)</f>
        <v>0</v>
      </c>
      <c r="AN521" s="296">
        <f>IF('Encargos e Benefícios'!C520=0,0,'Encargos e Benefícios'!M520/'Encargos e Benefícios'!C520)</f>
        <v>0</v>
      </c>
      <c r="AO521" s="296"/>
    </row>
    <row r="522" spans="1:45" s="158" customFormat="1" ht="15.75" customHeight="1">
      <c r="A522" s="286">
        <v>10</v>
      </c>
      <c r="B522" s="81">
        <f>'Encargos e Benefícios'!B521</f>
        <v>0</v>
      </c>
      <c r="C522" s="287">
        <f>'Encargos e Benefícios'!C521</f>
        <v>0</v>
      </c>
      <c r="D522" s="288"/>
      <c r="E522" s="293"/>
      <c r="F522" s="301"/>
      <c r="G522" s="300"/>
      <c r="H522" s="304"/>
      <c r="I522" s="256"/>
      <c r="J522" s="256"/>
      <c r="K522" s="256"/>
      <c r="L522" s="305"/>
      <c r="M522" s="300"/>
      <c r="N522" s="304"/>
      <c r="O522" s="256"/>
      <c r="P522" s="256"/>
      <c r="Q522" s="256"/>
      <c r="R522" s="305"/>
      <c r="S522" s="300"/>
      <c r="T522" s="304"/>
      <c r="U522" s="256"/>
      <c r="V522" s="256"/>
      <c r="W522" s="256"/>
      <c r="X522" s="256"/>
      <c r="Y522" s="293"/>
      <c r="Z522" s="304"/>
      <c r="AA522" s="256"/>
      <c r="AB522" s="256"/>
      <c r="AC522" s="256"/>
      <c r="AD522" s="256"/>
      <c r="AE522" s="293"/>
      <c r="AF522" s="304"/>
      <c r="AG522" s="256"/>
      <c r="AH522" s="256"/>
      <c r="AI522" s="256"/>
      <c r="AJ522" s="256"/>
      <c r="AK522" s="316">
        <f>'Encargos e Benefícios'!D521</f>
        <v>0</v>
      </c>
      <c r="AL522" s="317">
        <f>IF('Encargos e Benefícios'!C521=0,0,'Encargos e Benefícios'!F521/'Encargos e Benefícios'!C521)</f>
        <v>0</v>
      </c>
      <c r="AM522" s="317">
        <f>IF('Encargos e Benefícios'!C521=0,0,'Encargos e Benefícios'!L521/'Encargos e Benefícios'!C521)</f>
        <v>0</v>
      </c>
      <c r="AN522" s="317">
        <f>IF('Encargos e Benefícios'!C521=0,0,'Encargos e Benefícios'!M521/'Encargos e Benefícios'!C521)</f>
        <v>0</v>
      </c>
      <c r="AO522" s="296"/>
    </row>
    <row r="523" spans="1:45" s="158" customFormat="1" ht="16.5" customHeight="1">
      <c r="A523" s="306"/>
      <c r="B523" s="306"/>
      <c r="C523" s="277">
        <f>SUM(C513:C522)</f>
        <v>0</v>
      </c>
      <c r="D523" s="307"/>
      <c r="E523" s="263"/>
      <c r="F523" s="261"/>
      <c r="G523" s="308"/>
      <c r="H523" s="308"/>
      <c r="I523" s="261">
        <f>SUM(I513:I522)</f>
        <v>0</v>
      </c>
      <c r="J523" s="261"/>
      <c r="K523" s="261">
        <f>SUM(K513:K522)</f>
        <v>0</v>
      </c>
      <c r="L523" s="261">
        <f>SUM(L513:L522)</f>
        <v>0</v>
      </c>
      <c r="M523" s="308"/>
      <c r="N523" s="308"/>
      <c r="O523" s="261">
        <f>SUM(O513:O522)</f>
        <v>0</v>
      </c>
      <c r="P523" s="261"/>
      <c r="Q523" s="261">
        <f>SUM(Q513:Q522)</f>
        <v>0</v>
      </c>
      <c r="R523" s="262">
        <f>SUM(R513:R522)</f>
        <v>0</v>
      </c>
      <c r="S523" s="308"/>
      <c r="T523" s="308"/>
      <c r="U523" s="261">
        <f>SUM(U513:U522)</f>
        <v>0</v>
      </c>
      <c r="V523" s="261"/>
      <c r="W523" s="261">
        <f>SUM(W513:W522)</f>
        <v>0</v>
      </c>
      <c r="X523" s="261">
        <f>SUM(X513:X522)</f>
        <v>0</v>
      </c>
      <c r="Y523" s="318"/>
      <c r="Z523" s="308"/>
      <c r="AA523" s="261">
        <f>SUM(AA513:AA522)</f>
        <v>0</v>
      </c>
      <c r="AB523" s="261"/>
      <c r="AC523" s="261">
        <f>SUM(AC513:AC522)</f>
        <v>0</v>
      </c>
      <c r="AD523" s="261">
        <f>SUM(AD513:AD522)</f>
        <v>0</v>
      </c>
      <c r="AE523" s="318"/>
      <c r="AF523" s="308"/>
      <c r="AG523" s="261">
        <f>SUM(AG513:AG522)</f>
        <v>0</v>
      </c>
      <c r="AH523" s="261"/>
      <c r="AI523" s="261">
        <f t="shared" ref="AI523:AN523" si="1">SUM(AI513:AI522)</f>
        <v>0</v>
      </c>
      <c r="AJ523" s="261">
        <f t="shared" si="1"/>
        <v>0</v>
      </c>
      <c r="AK523" s="263">
        <f t="shared" si="1"/>
        <v>0</v>
      </c>
      <c r="AL523" s="261">
        <f t="shared" si="1"/>
        <v>0</v>
      </c>
      <c r="AM523" s="261">
        <f t="shared" si="1"/>
        <v>0</v>
      </c>
      <c r="AN523" s="261">
        <f t="shared" si="1"/>
        <v>0</v>
      </c>
      <c r="AO523" s="296"/>
      <c r="AP523" s="268"/>
      <c r="AQ523" s="268"/>
      <c r="AS523" s="268"/>
    </row>
    <row r="524" spans="1:45" s="158" customFormat="1">
      <c r="A524" s="310"/>
      <c r="B524" s="310"/>
      <c r="C524" s="311"/>
      <c r="D524" s="312"/>
      <c r="E524" s="268"/>
      <c r="F524" s="268"/>
      <c r="G524" s="313"/>
      <c r="H524" s="313"/>
      <c r="I524" s="313"/>
      <c r="J524" s="313"/>
      <c r="K524" s="313"/>
      <c r="L524" s="313"/>
      <c r="M524" s="313"/>
      <c r="N524" s="268"/>
      <c r="O524" s="268"/>
      <c r="P524" s="268"/>
      <c r="Q524" s="268"/>
      <c r="R524" s="268"/>
      <c r="S524" s="313"/>
      <c r="T524" s="268"/>
      <c r="U524" s="268"/>
      <c r="V524" s="268"/>
      <c r="W524" s="268"/>
      <c r="X524" s="268"/>
      <c r="Y524" s="313"/>
      <c r="Z524" s="268"/>
      <c r="AA524" s="268"/>
      <c r="AB524" s="268"/>
      <c r="AC524" s="268"/>
      <c r="AD524" s="268"/>
      <c r="AE524" s="313"/>
      <c r="AF524" s="268"/>
      <c r="AG524" s="268"/>
      <c r="AH524" s="268"/>
      <c r="AI524" s="268"/>
      <c r="AJ524" s="268"/>
      <c r="AK524" s="268"/>
      <c r="AL524" s="268"/>
      <c r="AM524" s="268"/>
      <c r="AN524" s="268"/>
      <c r="AO524" s="268"/>
      <c r="AP524" s="268"/>
      <c r="AQ524" s="268"/>
      <c r="AS524" s="268"/>
    </row>
    <row r="525" spans="1:45" s="158" customFormat="1">
      <c r="A525" s="310"/>
      <c r="B525" s="310"/>
      <c r="C525" s="311"/>
      <c r="D525" s="312"/>
      <c r="E525" s="268"/>
      <c r="F525" s="268"/>
      <c r="G525" s="313"/>
      <c r="H525" s="313"/>
      <c r="I525" s="313"/>
      <c r="J525" s="313"/>
      <c r="K525" s="313"/>
      <c r="L525" s="313"/>
      <c r="M525" s="313"/>
      <c r="N525" s="268"/>
      <c r="O525" s="268"/>
      <c r="P525" s="268"/>
      <c r="Q525" s="268"/>
      <c r="R525" s="268"/>
      <c r="S525" s="313"/>
      <c r="T525" s="268"/>
      <c r="U525" s="268"/>
      <c r="V525" s="268"/>
      <c r="W525" s="268"/>
      <c r="X525" s="268"/>
      <c r="Y525" s="313"/>
      <c r="Z525" s="268"/>
      <c r="AA525" s="268"/>
      <c r="AB525" s="268"/>
      <c r="AC525" s="268"/>
      <c r="AD525" s="268"/>
      <c r="AE525" s="313"/>
      <c r="AF525" s="268"/>
      <c r="AG525" s="268"/>
      <c r="AH525" s="268"/>
      <c r="AI525" s="268"/>
      <c r="AJ525" s="268"/>
      <c r="AK525" s="268"/>
      <c r="AL525" s="268"/>
      <c r="AM525" s="268"/>
      <c r="AN525" s="268"/>
      <c r="AO525" s="268"/>
      <c r="AP525" s="268"/>
      <c r="AQ525" s="268"/>
      <c r="AS525" s="268"/>
    </row>
    <row r="526" spans="1:45" hidden="1">
      <c r="A526" s="310"/>
      <c r="B526" s="310"/>
      <c r="C526" s="311"/>
      <c r="D526" s="312"/>
      <c r="E526" s="268"/>
      <c r="F526" s="268"/>
      <c r="G526" s="313"/>
      <c r="H526" s="313"/>
      <c r="I526" s="313"/>
      <c r="J526" s="313"/>
      <c r="K526" s="313"/>
      <c r="L526" s="313"/>
      <c r="M526" s="313"/>
      <c r="N526" s="268"/>
      <c r="O526" s="268"/>
      <c r="P526" s="268"/>
      <c r="Q526" s="268"/>
      <c r="R526" s="268"/>
      <c r="S526" s="313"/>
      <c r="T526" s="268"/>
      <c r="U526" s="268"/>
      <c r="V526" s="268"/>
      <c r="W526" s="268"/>
      <c r="X526" s="268"/>
      <c r="Y526" s="313"/>
      <c r="Z526" s="268"/>
      <c r="AA526" s="268"/>
      <c r="AB526" s="268"/>
      <c r="AC526" s="268"/>
      <c r="AD526" s="268"/>
      <c r="AE526" s="313"/>
      <c r="AF526" s="268"/>
      <c r="AG526" s="268"/>
      <c r="AH526" s="268"/>
      <c r="AI526" s="268"/>
      <c r="AJ526" s="268"/>
      <c r="AK526" s="268"/>
      <c r="AL526" s="268"/>
      <c r="AM526" s="268"/>
      <c r="AN526" s="268"/>
      <c r="AO526" s="268"/>
      <c r="AP526" s="268"/>
      <c r="AQ526" s="268"/>
      <c r="AR526" s="312"/>
      <c r="AS526" s="268"/>
    </row>
    <row r="527" spans="1:45" ht="12.75" hidden="1" customHeight="1">
      <c r="I527" s="268"/>
      <c r="J527" s="268"/>
      <c r="K527" s="268"/>
      <c r="L527" s="268"/>
      <c r="M527" s="268"/>
      <c r="N527" s="268"/>
      <c r="O527" s="268"/>
      <c r="P527" s="268"/>
      <c r="Q527" s="268"/>
      <c r="R527" s="268"/>
      <c r="S527" s="268"/>
      <c r="T527" s="268"/>
      <c r="U527" s="268"/>
      <c r="V527" s="268"/>
      <c r="W527" s="268"/>
      <c r="X527" s="268"/>
      <c r="Y527" s="268"/>
      <c r="Z527" s="268"/>
      <c r="AA527" s="268"/>
      <c r="AB527" s="268"/>
      <c r="AC527" s="268"/>
      <c r="AD527" s="268"/>
      <c r="AE527" s="268"/>
      <c r="AF527" s="268"/>
      <c r="AG527" s="268"/>
      <c r="AH527" s="268"/>
      <c r="AI527" s="268"/>
      <c r="AJ527" s="268"/>
    </row>
    <row r="528" spans="1:45" ht="30.75" hidden="1" customHeight="1">
      <c r="A528" s="319" t="s">
        <v>391</v>
      </c>
      <c r="B528" s="160"/>
      <c r="C528" s="160"/>
      <c r="D528" s="119"/>
      <c r="I528" s="268"/>
      <c r="J528" s="268"/>
      <c r="K528" s="268"/>
      <c r="L528" s="268"/>
      <c r="M528" s="268"/>
      <c r="N528" s="268"/>
      <c r="O528" s="268"/>
      <c r="P528" s="268"/>
      <c r="Q528" s="268"/>
      <c r="R528" s="268"/>
      <c r="S528" s="268"/>
      <c r="T528" s="268"/>
      <c r="U528" s="268"/>
      <c r="V528" s="268"/>
      <c r="W528" s="268"/>
      <c r="X528" s="268"/>
      <c r="Y528" s="268"/>
      <c r="Z528" s="268"/>
      <c r="AA528" s="268"/>
      <c r="AB528" s="268"/>
      <c r="AC528" s="268"/>
      <c r="AD528" s="268"/>
      <c r="AE528" s="268"/>
      <c r="AF528" s="268"/>
      <c r="AG528" s="268"/>
      <c r="AH528" s="268"/>
      <c r="AI528" s="268"/>
      <c r="AJ528" s="268"/>
      <c r="AK528" s="320"/>
      <c r="AL528" s="160"/>
      <c r="AM528" s="160"/>
      <c r="AN528" s="160"/>
      <c r="AO528" s="160"/>
      <c r="AP528" s="160"/>
      <c r="AQ528" s="160"/>
      <c r="AR528" s="119"/>
      <c r="AS528" s="160"/>
    </row>
    <row r="529" spans="1:62" ht="120" hidden="1" customHeight="1">
      <c r="A529" s="406"/>
      <c r="B529" s="406"/>
      <c r="C529" s="406"/>
      <c r="D529" s="406"/>
      <c r="E529" s="406"/>
      <c r="F529" s="406"/>
      <c r="G529" s="406"/>
      <c r="H529" s="406"/>
      <c r="I529" s="406"/>
      <c r="J529" s="406"/>
      <c r="K529" s="406"/>
      <c r="L529" s="406"/>
      <c r="M529" s="406"/>
      <c r="N529" s="406"/>
      <c r="O529" s="406"/>
      <c r="P529" s="406"/>
      <c r="Q529" s="406"/>
      <c r="R529" s="406"/>
      <c r="S529" s="406"/>
      <c r="T529" s="406"/>
      <c r="U529" s="406"/>
      <c r="V529" s="406"/>
      <c r="W529" s="406"/>
      <c r="X529" s="406"/>
      <c r="Y529" s="406"/>
      <c r="Z529" s="406"/>
      <c r="AA529" s="406"/>
      <c r="AB529" s="406"/>
      <c r="AC529" s="406"/>
      <c r="AD529" s="406"/>
      <c r="AE529" s="406"/>
      <c r="AF529" s="406"/>
      <c r="AG529" s="406"/>
      <c r="AH529" s="406"/>
      <c r="AI529" s="406"/>
      <c r="AJ529" s="406"/>
      <c r="AK529" s="406"/>
      <c r="AL529" s="406"/>
      <c r="AM529" s="406"/>
      <c r="AN529" s="406"/>
      <c r="AO529" s="406"/>
      <c r="AP529" s="406"/>
      <c r="AQ529" s="406"/>
      <c r="AR529" s="406"/>
      <c r="AS529" s="321"/>
    </row>
    <row r="530" spans="1:62" ht="30" hidden="1" customHeight="1">
      <c r="A530" s="322"/>
      <c r="B530" s="160"/>
      <c r="C530" s="160"/>
      <c r="D530" s="119"/>
      <c r="N530" s="160"/>
      <c r="O530" s="160"/>
      <c r="P530" s="160"/>
      <c r="Q530" s="160"/>
      <c r="R530" s="320"/>
      <c r="T530" s="160"/>
      <c r="U530" s="160"/>
      <c r="V530" s="160"/>
      <c r="W530" s="160"/>
      <c r="X530" s="320"/>
      <c r="Z530" s="160"/>
      <c r="AA530" s="160"/>
      <c r="AB530" s="160"/>
      <c r="AC530" s="160"/>
      <c r="AD530" s="320"/>
      <c r="AF530" s="160"/>
      <c r="AG530" s="160"/>
      <c r="AH530" s="160"/>
      <c r="AI530" s="160"/>
      <c r="AJ530" s="320"/>
      <c r="AK530" s="320"/>
      <c r="AL530" s="160"/>
      <c r="AM530" s="160"/>
      <c r="AN530" s="160"/>
      <c r="AO530" s="160"/>
      <c r="AP530" s="160"/>
      <c r="AQ530" s="160"/>
      <c r="AR530" s="119"/>
      <c r="AS530" s="160"/>
    </row>
    <row r="531" spans="1:62" ht="30" hidden="1" customHeight="1"/>
    <row r="532" spans="1:62" ht="30" hidden="1" customHeight="1">
      <c r="D532" s="323"/>
      <c r="I532" s="43">
        <v>1</v>
      </c>
      <c r="J532" s="43">
        <v>1</v>
      </c>
      <c r="K532" s="43">
        <v>1</v>
      </c>
      <c r="L532" s="43">
        <v>1</v>
      </c>
      <c r="O532" s="158">
        <v>2</v>
      </c>
      <c r="P532" s="158">
        <v>2</v>
      </c>
      <c r="Q532" s="158">
        <v>2</v>
      </c>
      <c r="R532" s="241">
        <v>2</v>
      </c>
      <c r="U532" s="158">
        <v>3</v>
      </c>
      <c r="V532" s="158">
        <v>3</v>
      </c>
      <c r="W532" s="158">
        <v>3</v>
      </c>
      <c r="X532" s="241">
        <v>3</v>
      </c>
      <c r="AA532" s="158">
        <v>4</v>
      </c>
      <c r="AB532" s="158">
        <v>4</v>
      </c>
      <c r="AC532" s="158">
        <v>4</v>
      </c>
      <c r="AD532" s="241">
        <v>4</v>
      </c>
      <c r="AG532" s="158">
        <v>5</v>
      </c>
      <c r="AH532" s="158">
        <v>5</v>
      </c>
      <c r="AI532" s="158">
        <v>5</v>
      </c>
      <c r="AJ532" s="241">
        <v>5</v>
      </c>
      <c r="AR532" s="323"/>
      <c r="AT532" s="241"/>
      <c r="AX532" s="241"/>
      <c r="BB532" s="241"/>
      <c r="BF532" s="241"/>
      <c r="BJ532" s="241"/>
    </row>
  </sheetData>
  <sheetProtection algorithmName="SHA-512" hashValue="gLwlf0KzoV16Is567lTSneBXOwJZxraIN38astXF9cRqNil66OWy2UUwFC5pSZAutu7gRqT1uOkx73OC5gUsrA==" saltValue="3PrHU578ufeysM9kTT3SLg==" spinCount="100000" sheet="1" objects="1" scenarios="1" formatColumns="0" formatRows="0"/>
  <mergeCells count="72">
    <mergeCell ref="A529:AR529"/>
    <mergeCell ref="AA511:AD511"/>
    <mergeCell ref="AE511:AE512"/>
    <mergeCell ref="AF511:AF512"/>
    <mergeCell ref="AG511:AJ511"/>
    <mergeCell ref="AK511:AK512"/>
    <mergeCell ref="S511:S512"/>
    <mergeCell ref="T511:T512"/>
    <mergeCell ref="U511:X511"/>
    <mergeCell ref="Y511:Y512"/>
    <mergeCell ref="Z511:Z512"/>
    <mergeCell ref="H511:H512"/>
    <mergeCell ref="I511:L511"/>
    <mergeCell ref="AP5:AP6"/>
    <mergeCell ref="AQ5:AQ6"/>
    <mergeCell ref="A509:AN509"/>
    <mergeCell ref="A510:A512"/>
    <mergeCell ref="B510:B512"/>
    <mergeCell ref="C510:C512"/>
    <mergeCell ref="D510:D512"/>
    <mergeCell ref="E510:E512"/>
    <mergeCell ref="F510:F512"/>
    <mergeCell ref="G510:L510"/>
    <mergeCell ref="M510:R510"/>
    <mergeCell ref="S510:X510"/>
    <mergeCell ref="Y510:AD510"/>
    <mergeCell ref="AL511:AL512"/>
    <mergeCell ref="AM511:AM512"/>
    <mergeCell ref="AN511:AN512"/>
    <mergeCell ref="AE510:AJ510"/>
    <mergeCell ref="AK510:AN510"/>
    <mergeCell ref="G511:G512"/>
    <mergeCell ref="AK5:AK6"/>
    <mergeCell ref="AL5:AL6"/>
    <mergeCell ref="AM5:AM6"/>
    <mergeCell ref="AN5:AN6"/>
    <mergeCell ref="AG5:AJ5"/>
    <mergeCell ref="M511:M512"/>
    <mergeCell ref="N511:N512"/>
    <mergeCell ref="O511:R511"/>
    <mergeCell ref="AO5:AO6"/>
    <mergeCell ref="AR4:AR6"/>
    <mergeCell ref="G5:G6"/>
    <mergeCell ref="H5:H6"/>
    <mergeCell ref="I5:L5"/>
    <mergeCell ref="M5:M6"/>
    <mergeCell ref="N5:N6"/>
    <mergeCell ref="O5:R5"/>
    <mergeCell ref="S5:S6"/>
    <mergeCell ref="T5:T6"/>
    <mergeCell ref="U5:X5"/>
    <mergeCell ref="Y5:Y6"/>
    <mergeCell ref="Z5:Z6"/>
    <mergeCell ref="AA5:AD5"/>
    <mergeCell ref="AE5:AE6"/>
    <mergeCell ref="AF5:AF6"/>
    <mergeCell ref="A1:AR1"/>
    <mergeCell ref="A2:AR2"/>
    <mergeCell ref="A3:AR3"/>
    <mergeCell ref="A4:A6"/>
    <mergeCell ref="B4:B6"/>
    <mergeCell ref="C4:C6"/>
    <mergeCell ref="D4:D6"/>
    <mergeCell ref="E4:E6"/>
    <mergeCell ref="F4:F6"/>
    <mergeCell ref="G4:L4"/>
    <mergeCell ref="M4:R4"/>
    <mergeCell ref="S4:X4"/>
    <mergeCell ref="Y4:AD4"/>
    <mergeCell ref="AE4:AJ4"/>
    <mergeCell ref="AK4:AN4"/>
    <mergeCell ref="AO4:AQ4"/>
  </mergeCells>
  <dataValidations count="2">
    <dataValidation type="list" allowBlank="1" showInputMessage="1" showErrorMessage="1" sqref="AR7:AR506" xr:uid="{00000000-0002-0000-0600-000000000000}">
      <formula1>VinculoPTp</formula1>
      <formula2>0</formula2>
    </dataValidation>
    <dataValidation allowBlank="1" showInputMessage="1" showErrorMessage="1" error="Preencher com números de 1 a 60." sqref="E7:F506" xr:uid="{00000000-0002-0000-0600-000001000000}">
      <formula1>0</formula1>
      <formula2>0</formula2>
    </dataValidation>
  </dataValidations>
  <pageMargins left="0.196527777777778" right="0.196527777777778" top="0.59027777777777801" bottom="0.59027777777777801" header="0.51180555555555496" footer="0"/>
  <pageSetup paperSize="9" scale="34" firstPageNumber="0" fitToHeight="0" orientation="landscape" horizontalDpi="300" verticalDpi="300" r:id="rId1"/>
  <headerFooter>
    <oddFooter>&amp;CPágina &amp;P de &amp;N</oddFooter>
  </headerFooter>
  <rowBreaks count="1" manualBreakCount="1">
    <brk id="508" max="16383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V314"/>
  <sheetViews>
    <sheetView showGridLines="0" zoomScale="90" zoomScaleNormal="90" zoomScalePageLayoutView="90" workbookViewId="0">
      <pane ySplit="3" topLeftCell="A232" activePane="bottomLeft" state="frozen"/>
      <selection pane="bottomLeft" activeCell="G275" sqref="G275"/>
    </sheetView>
  </sheetViews>
  <sheetFormatPr defaultColWidth="9" defaultRowHeight="12.5"/>
  <cols>
    <col min="1" max="1" width="5.54296875" customWidth="1"/>
    <col min="2" max="2" width="43.54296875" customWidth="1"/>
    <col min="3" max="3" width="60" customWidth="1"/>
    <col min="4" max="4" width="8.453125" style="324" customWidth="1"/>
    <col min="5" max="5" width="9.81640625" customWidth="1"/>
    <col min="6" max="6" width="11.54296875" customWidth="1"/>
    <col min="7" max="7" width="14.26953125" customWidth="1"/>
    <col min="8" max="8" width="40.7265625" customWidth="1"/>
  </cols>
  <sheetData>
    <row r="1" spans="1:22" ht="33" customHeight="1">
      <c r="A1" s="383" t="str">
        <f>Capa!A1</f>
        <v>Memória de Cálculo
Contrato de Gestão nº 10/2023 celebrado entre a Secretaria de Estado de Justiça e Segurança Pública - SEJUSP e  o Pólo de Evolução de Medidas Socioeducativas</v>
      </c>
      <c r="B1" s="383"/>
      <c r="C1" s="383"/>
      <c r="D1" s="383"/>
      <c r="E1" s="383"/>
      <c r="F1" s="383"/>
      <c r="G1" s="383"/>
      <c r="H1" s="383"/>
      <c r="I1" s="325"/>
      <c r="J1" s="325"/>
      <c r="K1" s="325"/>
      <c r="L1" s="325"/>
      <c r="M1" s="325"/>
      <c r="N1" s="325"/>
      <c r="O1" s="325"/>
      <c r="P1" s="325"/>
      <c r="Q1" s="325"/>
      <c r="R1" s="325"/>
      <c r="S1" s="325"/>
      <c r="T1" s="325"/>
      <c r="U1" s="325"/>
      <c r="V1" s="325"/>
    </row>
    <row r="2" spans="1:22" ht="23.25" customHeight="1">
      <c r="A2" s="384" t="s">
        <v>392</v>
      </c>
      <c r="B2" s="384"/>
      <c r="C2" s="384"/>
      <c r="D2" s="384"/>
      <c r="E2" s="384"/>
      <c r="F2" s="384"/>
      <c r="G2" s="384"/>
      <c r="H2" s="384"/>
      <c r="I2" s="325"/>
      <c r="J2" s="325"/>
      <c r="K2" s="325"/>
      <c r="L2" s="325"/>
      <c r="M2" s="325"/>
      <c r="N2" s="325"/>
      <c r="O2" s="325"/>
      <c r="P2" s="325"/>
      <c r="Q2" s="325"/>
      <c r="R2" s="325"/>
      <c r="S2" s="325"/>
      <c r="T2" s="325"/>
      <c r="U2" s="325"/>
      <c r="V2" s="325"/>
    </row>
    <row r="3" spans="1:22" ht="31.5" customHeight="1">
      <c r="A3" s="326" t="s">
        <v>393</v>
      </c>
      <c r="B3" s="327" t="s">
        <v>394</v>
      </c>
      <c r="C3" s="328" t="s">
        <v>395</v>
      </c>
      <c r="D3" s="328" t="s">
        <v>396</v>
      </c>
      <c r="E3" s="327" t="s">
        <v>397</v>
      </c>
      <c r="F3" s="329" t="s">
        <v>398</v>
      </c>
      <c r="G3" s="328" t="s">
        <v>60</v>
      </c>
      <c r="H3" s="327" t="s">
        <v>399</v>
      </c>
    </row>
    <row r="4" spans="1:22" s="30" customFormat="1" ht="34.5">
      <c r="A4" s="330">
        <v>1</v>
      </c>
      <c r="B4" s="330" t="s">
        <v>325</v>
      </c>
      <c r="C4" s="330" t="s">
        <v>461</v>
      </c>
      <c r="D4" s="331">
        <v>45658</v>
      </c>
      <c r="E4" s="332">
        <v>1925</v>
      </c>
      <c r="F4" s="333">
        <v>8</v>
      </c>
      <c r="G4" s="334">
        <f t="shared" ref="G4:G32" si="0">F4*E4</f>
        <v>15400</v>
      </c>
      <c r="H4" s="330" t="s">
        <v>690</v>
      </c>
    </row>
    <row r="5" spans="1:22" s="30" customFormat="1" ht="34.5">
      <c r="A5" s="330">
        <v>2</v>
      </c>
      <c r="B5" s="330" t="s">
        <v>327</v>
      </c>
      <c r="C5" s="330" t="s">
        <v>723</v>
      </c>
      <c r="D5" s="331">
        <v>45658</v>
      </c>
      <c r="E5" s="332">
        <v>2800</v>
      </c>
      <c r="F5" s="333">
        <v>22</v>
      </c>
      <c r="G5" s="334">
        <f t="shared" si="0"/>
        <v>61600</v>
      </c>
      <c r="H5" s="330" t="s">
        <v>690</v>
      </c>
    </row>
    <row r="6" spans="1:22" s="30" customFormat="1" ht="34.5">
      <c r="A6" s="330">
        <v>3</v>
      </c>
      <c r="B6" s="330" t="s">
        <v>327</v>
      </c>
      <c r="C6" s="330" t="s">
        <v>462</v>
      </c>
      <c r="D6" s="331">
        <v>45658</v>
      </c>
      <c r="E6" s="332">
        <v>3100</v>
      </c>
      <c r="F6" s="333">
        <v>2</v>
      </c>
      <c r="G6" s="334">
        <f t="shared" si="0"/>
        <v>6200</v>
      </c>
      <c r="H6" s="330" t="s">
        <v>690</v>
      </c>
    </row>
    <row r="7" spans="1:22" s="30" customFormat="1" ht="34.5">
      <c r="A7" s="330">
        <v>4</v>
      </c>
      <c r="B7" s="330" t="s">
        <v>327</v>
      </c>
      <c r="C7" s="330" t="s">
        <v>463</v>
      </c>
      <c r="D7" s="331">
        <v>45658</v>
      </c>
      <c r="E7" s="332">
        <v>995</v>
      </c>
      <c r="F7" s="333">
        <v>2</v>
      </c>
      <c r="G7" s="334">
        <f t="shared" si="0"/>
        <v>1990</v>
      </c>
      <c r="H7" s="330" t="s">
        <v>690</v>
      </c>
    </row>
    <row r="8" spans="1:22" s="30" customFormat="1" ht="34.5">
      <c r="A8" s="330">
        <v>5</v>
      </c>
      <c r="B8" s="330" t="s">
        <v>327</v>
      </c>
      <c r="C8" s="330" t="s">
        <v>464</v>
      </c>
      <c r="D8" s="331">
        <v>45658</v>
      </c>
      <c r="E8" s="332">
        <v>580</v>
      </c>
      <c r="F8" s="333">
        <v>2</v>
      </c>
      <c r="G8" s="334">
        <f t="shared" si="0"/>
        <v>1160</v>
      </c>
      <c r="H8" s="330" t="s">
        <v>690</v>
      </c>
    </row>
    <row r="9" spans="1:22" s="30" customFormat="1" ht="34.5">
      <c r="A9" s="330">
        <v>6</v>
      </c>
      <c r="B9" s="330" t="s">
        <v>327</v>
      </c>
      <c r="C9" s="330" t="s">
        <v>516</v>
      </c>
      <c r="D9" s="331">
        <v>45658</v>
      </c>
      <c r="E9" s="332">
        <v>400</v>
      </c>
      <c r="F9" s="333">
        <v>2</v>
      </c>
      <c r="G9" s="334">
        <f t="shared" si="0"/>
        <v>800</v>
      </c>
      <c r="H9" s="330" t="s">
        <v>690</v>
      </c>
    </row>
    <row r="10" spans="1:22" s="30" customFormat="1" ht="46">
      <c r="A10" s="330">
        <v>7</v>
      </c>
      <c r="B10" s="330" t="s">
        <v>327</v>
      </c>
      <c r="C10" s="376" t="s">
        <v>488</v>
      </c>
      <c r="D10" s="331">
        <v>45658</v>
      </c>
      <c r="E10" s="332">
        <v>2500</v>
      </c>
      <c r="F10" s="333">
        <v>4</v>
      </c>
      <c r="G10" s="334">
        <f t="shared" si="0"/>
        <v>10000</v>
      </c>
      <c r="H10" s="330" t="s">
        <v>724</v>
      </c>
    </row>
    <row r="11" spans="1:22" s="30" customFormat="1" ht="34.5">
      <c r="A11" s="330">
        <v>8</v>
      </c>
      <c r="B11" s="330" t="s">
        <v>327</v>
      </c>
      <c r="C11" s="330" t="s">
        <v>597</v>
      </c>
      <c r="D11" s="331">
        <v>45658</v>
      </c>
      <c r="E11" s="332">
        <v>1000</v>
      </c>
      <c r="F11" s="333">
        <v>2</v>
      </c>
      <c r="G11" s="334">
        <f t="shared" si="0"/>
        <v>2000</v>
      </c>
      <c r="H11" s="330" t="s">
        <v>690</v>
      </c>
    </row>
    <row r="12" spans="1:22" s="30" customFormat="1" ht="34.5">
      <c r="A12" s="330">
        <v>9</v>
      </c>
      <c r="B12" s="330" t="s">
        <v>327</v>
      </c>
      <c r="C12" s="330" t="s">
        <v>489</v>
      </c>
      <c r="D12" s="331">
        <v>45658</v>
      </c>
      <c r="E12" s="332">
        <v>900</v>
      </c>
      <c r="F12" s="333">
        <v>2</v>
      </c>
      <c r="G12" s="334">
        <f t="shared" si="0"/>
        <v>1800</v>
      </c>
      <c r="H12" s="330" t="s">
        <v>725</v>
      </c>
    </row>
    <row r="13" spans="1:22" s="30" customFormat="1" ht="34.5">
      <c r="A13" s="330">
        <v>10</v>
      </c>
      <c r="B13" s="330" t="s">
        <v>327</v>
      </c>
      <c r="C13" s="330" t="s">
        <v>596</v>
      </c>
      <c r="D13" s="331">
        <v>45658</v>
      </c>
      <c r="E13" s="332">
        <v>1300</v>
      </c>
      <c r="F13" s="333">
        <v>2</v>
      </c>
      <c r="G13" s="334">
        <f t="shared" si="0"/>
        <v>2600</v>
      </c>
      <c r="H13" s="330" t="s">
        <v>690</v>
      </c>
    </row>
    <row r="14" spans="1:22" s="30" customFormat="1" ht="34.5">
      <c r="A14" s="330">
        <v>11</v>
      </c>
      <c r="B14" s="330" t="s">
        <v>333</v>
      </c>
      <c r="C14" s="330" t="s">
        <v>465</v>
      </c>
      <c r="D14" s="331">
        <v>45658</v>
      </c>
      <c r="E14" s="332">
        <v>1480</v>
      </c>
      <c r="F14" s="333">
        <v>2</v>
      </c>
      <c r="G14" s="334">
        <f t="shared" si="0"/>
        <v>2960</v>
      </c>
      <c r="H14" s="330" t="s">
        <v>512</v>
      </c>
    </row>
    <row r="15" spans="1:22" s="30" customFormat="1" ht="34.5">
      <c r="A15" s="330">
        <v>12</v>
      </c>
      <c r="B15" s="330" t="s">
        <v>333</v>
      </c>
      <c r="C15" s="330" t="s">
        <v>466</v>
      </c>
      <c r="D15" s="331">
        <v>45658</v>
      </c>
      <c r="E15" s="332">
        <v>1880</v>
      </c>
      <c r="F15" s="333">
        <v>6</v>
      </c>
      <c r="G15" s="334">
        <f t="shared" si="0"/>
        <v>11280</v>
      </c>
      <c r="H15" s="330" t="s">
        <v>513</v>
      </c>
    </row>
    <row r="16" spans="1:22" s="30" customFormat="1" ht="34.5">
      <c r="A16" s="330">
        <v>13</v>
      </c>
      <c r="B16" s="330" t="s">
        <v>335</v>
      </c>
      <c r="C16" s="330" t="s">
        <v>467</v>
      </c>
      <c r="D16" s="331">
        <v>45658</v>
      </c>
      <c r="E16" s="332">
        <v>640</v>
      </c>
      <c r="F16" s="333">
        <v>10</v>
      </c>
      <c r="G16" s="334">
        <f t="shared" si="0"/>
        <v>6400</v>
      </c>
      <c r="H16" s="330" t="s">
        <v>690</v>
      </c>
    </row>
    <row r="17" spans="1:8" s="30" customFormat="1" ht="34.5">
      <c r="A17" s="330">
        <v>14</v>
      </c>
      <c r="B17" s="330" t="s">
        <v>335</v>
      </c>
      <c r="C17" s="330" t="s">
        <v>468</v>
      </c>
      <c r="D17" s="331">
        <v>45658</v>
      </c>
      <c r="E17" s="332">
        <v>540</v>
      </c>
      <c r="F17" s="333">
        <v>8</v>
      </c>
      <c r="G17" s="334">
        <f t="shared" si="0"/>
        <v>4320</v>
      </c>
      <c r="H17" s="330" t="s">
        <v>690</v>
      </c>
    </row>
    <row r="18" spans="1:8" s="30" customFormat="1" ht="34.5">
      <c r="A18" s="330">
        <v>15</v>
      </c>
      <c r="B18" s="330" t="s">
        <v>335</v>
      </c>
      <c r="C18" s="330" t="s">
        <v>469</v>
      </c>
      <c r="D18" s="331">
        <v>45658</v>
      </c>
      <c r="E18" s="332">
        <v>1200</v>
      </c>
      <c r="F18" s="333">
        <v>4</v>
      </c>
      <c r="G18" s="334">
        <f t="shared" si="0"/>
        <v>4800</v>
      </c>
      <c r="H18" s="330" t="s">
        <v>690</v>
      </c>
    </row>
    <row r="19" spans="1:8" s="30" customFormat="1" ht="34.5">
      <c r="A19" s="330">
        <v>16</v>
      </c>
      <c r="B19" s="330" t="s">
        <v>335</v>
      </c>
      <c r="C19" s="330" t="s">
        <v>470</v>
      </c>
      <c r="D19" s="331">
        <v>45658</v>
      </c>
      <c r="E19" s="332">
        <v>400</v>
      </c>
      <c r="F19" s="333">
        <v>4</v>
      </c>
      <c r="G19" s="334">
        <f t="shared" si="0"/>
        <v>1600</v>
      </c>
      <c r="H19" s="330" t="s">
        <v>690</v>
      </c>
    </row>
    <row r="20" spans="1:8" s="30" customFormat="1" ht="34.5">
      <c r="A20" s="330">
        <v>17</v>
      </c>
      <c r="B20" s="330" t="s">
        <v>335</v>
      </c>
      <c r="C20" s="330" t="s">
        <v>471</v>
      </c>
      <c r="D20" s="331">
        <v>45658</v>
      </c>
      <c r="E20" s="332">
        <v>900</v>
      </c>
      <c r="F20" s="333">
        <v>2</v>
      </c>
      <c r="G20" s="334">
        <f t="shared" si="0"/>
        <v>1800</v>
      </c>
      <c r="H20" s="330" t="s">
        <v>690</v>
      </c>
    </row>
    <row r="21" spans="1:8" s="30" customFormat="1" ht="34.5">
      <c r="A21" s="330">
        <v>18</v>
      </c>
      <c r="B21" s="330" t="s">
        <v>335</v>
      </c>
      <c r="C21" s="330" t="s">
        <v>472</v>
      </c>
      <c r="D21" s="331">
        <v>45658</v>
      </c>
      <c r="E21" s="332">
        <v>378</v>
      </c>
      <c r="F21" s="333">
        <v>8</v>
      </c>
      <c r="G21" s="334">
        <f t="shared" si="0"/>
        <v>3024</v>
      </c>
      <c r="H21" s="330" t="s">
        <v>690</v>
      </c>
    </row>
    <row r="22" spans="1:8" s="30" customFormat="1" ht="34.5">
      <c r="A22" s="330">
        <v>19</v>
      </c>
      <c r="B22" s="330" t="s">
        <v>335</v>
      </c>
      <c r="C22" s="330" t="s">
        <v>473</v>
      </c>
      <c r="D22" s="331">
        <v>45658</v>
      </c>
      <c r="E22" s="332">
        <v>560</v>
      </c>
      <c r="F22" s="333">
        <v>4</v>
      </c>
      <c r="G22" s="334">
        <f t="shared" si="0"/>
        <v>2240</v>
      </c>
      <c r="H22" s="330" t="s">
        <v>690</v>
      </c>
    </row>
    <row r="23" spans="1:8" s="30" customFormat="1" ht="34.5">
      <c r="A23" s="330">
        <v>20</v>
      </c>
      <c r="B23" s="330" t="s">
        <v>335</v>
      </c>
      <c r="C23" s="375" t="s">
        <v>541</v>
      </c>
      <c r="D23" s="331">
        <v>45658</v>
      </c>
      <c r="E23" s="332">
        <v>1100</v>
      </c>
      <c r="F23" s="333">
        <v>8</v>
      </c>
      <c r="G23" s="334">
        <f t="shared" si="0"/>
        <v>8800</v>
      </c>
      <c r="H23" s="330" t="s">
        <v>690</v>
      </c>
    </row>
    <row r="24" spans="1:8" s="30" customFormat="1" ht="34.5">
      <c r="A24" s="330">
        <v>21</v>
      </c>
      <c r="B24" s="330" t="s">
        <v>335</v>
      </c>
      <c r="C24" s="330" t="s">
        <v>474</v>
      </c>
      <c r="D24" s="331">
        <v>45658</v>
      </c>
      <c r="E24" s="332">
        <v>1080</v>
      </c>
      <c r="F24" s="333">
        <v>10</v>
      </c>
      <c r="G24" s="334">
        <f t="shared" si="0"/>
        <v>10800</v>
      </c>
      <c r="H24" s="330" t="s">
        <v>690</v>
      </c>
    </row>
    <row r="25" spans="1:8" s="30" customFormat="1" ht="34.5">
      <c r="A25" s="330">
        <v>22</v>
      </c>
      <c r="B25" s="330" t="s">
        <v>335</v>
      </c>
      <c r="C25" s="330" t="s">
        <v>475</v>
      </c>
      <c r="D25" s="331">
        <v>45658</v>
      </c>
      <c r="E25" s="332">
        <v>1200</v>
      </c>
      <c r="F25" s="333">
        <v>10</v>
      </c>
      <c r="G25" s="334">
        <f t="shared" si="0"/>
        <v>12000</v>
      </c>
      <c r="H25" s="330" t="s">
        <v>690</v>
      </c>
    </row>
    <row r="26" spans="1:8" s="30" customFormat="1" ht="34.5">
      <c r="A26" s="330">
        <v>23</v>
      </c>
      <c r="B26" s="330" t="s">
        <v>335</v>
      </c>
      <c r="C26" s="330" t="s">
        <v>476</v>
      </c>
      <c r="D26" s="331">
        <v>45658</v>
      </c>
      <c r="E26" s="332">
        <v>2100</v>
      </c>
      <c r="F26" s="333">
        <v>12</v>
      </c>
      <c r="G26" s="334">
        <f t="shared" si="0"/>
        <v>25200</v>
      </c>
      <c r="H26" s="330" t="s">
        <v>690</v>
      </c>
    </row>
    <row r="27" spans="1:8" s="30" customFormat="1" ht="34.5">
      <c r="A27" s="330">
        <v>24</v>
      </c>
      <c r="B27" s="330" t="s">
        <v>335</v>
      </c>
      <c r="C27" s="330" t="s">
        <v>477</v>
      </c>
      <c r="D27" s="331">
        <v>45658</v>
      </c>
      <c r="E27" s="332">
        <v>459</v>
      </c>
      <c r="F27" s="333">
        <v>10</v>
      </c>
      <c r="G27" s="334">
        <f>F27*E27</f>
        <v>4590</v>
      </c>
      <c r="H27" s="330" t="s">
        <v>690</v>
      </c>
    </row>
    <row r="28" spans="1:8" s="30" customFormat="1" ht="34.5">
      <c r="A28" s="330">
        <v>25</v>
      </c>
      <c r="B28" s="330" t="s">
        <v>335</v>
      </c>
      <c r="C28" s="330" t="s">
        <v>478</v>
      </c>
      <c r="D28" s="331">
        <v>45658</v>
      </c>
      <c r="E28" s="332">
        <v>580</v>
      </c>
      <c r="F28" s="333">
        <v>6</v>
      </c>
      <c r="G28" s="334">
        <f t="shared" si="0"/>
        <v>3480</v>
      </c>
      <c r="H28" s="330" t="s">
        <v>690</v>
      </c>
    </row>
    <row r="29" spans="1:8" s="30" customFormat="1" ht="34.5">
      <c r="A29" s="330">
        <v>26</v>
      </c>
      <c r="B29" s="330" t="s">
        <v>335</v>
      </c>
      <c r="C29" s="330" t="s">
        <v>479</v>
      </c>
      <c r="D29" s="331">
        <v>45658</v>
      </c>
      <c r="E29" s="332">
        <v>249</v>
      </c>
      <c r="F29" s="333">
        <v>30</v>
      </c>
      <c r="G29" s="334">
        <f t="shared" si="0"/>
        <v>7470</v>
      </c>
      <c r="H29" s="330" t="s">
        <v>690</v>
      </c>
    </row>
    <row r="30" spans="1:8" s="30" customFormat="1" ht="34.5">
      <c r="A30" s="330">
        <v>27</v>
      </c>
      <c r="B30" s="330" t="s">
        <v>335</v>
      </c>
      <c r="C30" s="330" t="s">
        <v>480</v>
      </c>
      <c r="D30" s="331">
        <v>45658</v>
      </c>
      <c r="E30" s="332">
        <v>479</v>
      </c>
      <c r="F30" s="333">
        <v>10</v>
      </c>
      <c r="G30" s="334">
        <f t="shared" si="0"/>
        <v>4790</v>
      </c>
      <c r="H30" s="330" t="s">
        <v>690</v>
      </c>
    </row>
    <row r="31" spans="1:8" s="30" customFormat="1" ht="34.5">
      <c r="A31" s="330">
        <v>28</v>
      </c>
      <c r="B31" s="330" t="s">
        <v>335</v>
      </c>
      <c r="C31" s="330" t="s">
        <v>481</v>
      </c>
      <c r="D31" s="331">
        <v>45658</v>
      </c>
      <c r="E31" s="332">
        <v>1500</v>
      </c>
      <c r="F31" s="333">
        <v>20</v>
      </c>
      <c r="G31" s="334">
        <f t="shared" si="0"/>
        <v>30000</v>
      </c>
      <c r="H31" s="330" t="s">
        <v>690</v>
      </c>
    </row>
    <row r="32" spans="1:8" s="30" customFormat="1" ht="34.5">
      <c r="A32" s="330">
        <v>32</v>
      </c>
      <c r="B32" s="330" t="s">
        <v>335</v>
      </c>
      <c r="C32" s="330" t="s">
        <v>506</v>
      </c>
      <c r="D32" s="331">
        <v>45658</v>
      </c>
      <c r="E32" s="332">
        <v>180</v>
      </c>
      <c r="F32" s="333">
        <v>12</v>
      </c>
      <c r="G32" s="334">
        <f t="shared" si="0"/>
        <v>2160</v>
      </c>
      <c r="H32" s="330" t="s">
        <v>690</v>
      </c>
    </row>
    <row r="33" spans="1:8" s="30" customFormat="1" ht="34.5">
      <c r="A33" s="330">
        <v>33</v>
      </c>
      <c r="B33" s="330" t="s">
        <v>335</v>
      </c>
      <c r="C33" s="330" t="s">
        <v>507</v>
      </c>
      <c r="D33" s="331">
        <v>45658</v>
      </c>
      <c r="E33" s="332">
        <v>130</v>
      </c>
      <c r="F33" s="333">
        <v>12</v>
      </c>
      <c r="G33" s="334">
        <f t="shared" ref="G33:G60" si="1">F33*E33</f>
        <v>1560</v>
      </c>
      <c r="H33" s="330" t="s">
        <v>690</v>
      </c>
    </row>
    <row r="34" spans="1:8" s="30" customFormat="1" ht="34.5">
      <c r="A34" s="330">
        <v>34</v>
      </c>
      <c r="B34" s="330" t="s">
        <v>335</v>
      </c>
      <c r="C34" s="330" t="s">
        <v>508</v>
      </c>
      <c r="D34" s="331">
        <v>45658</v>
      </c>
      <c r="E34" s="332">
        <v>800</v>
      </c>
      <c r="F34" s="333">
        <v>8</v>
      </c>
      <c r="G34" s="334">
        <f t="shared" si="1"/>
        <v>6400</v>
      </c>
      <c r="H34" s="330" t="s">
        <v>690</v>
      </c>
    </row>
    <row r="35" spans="1:8" s="30" customFormat="1" ht="34.5">
      <c r="A35" s="330">
        <v>35</v>
      </c>
      <c r="B35" s="330" t="s">
        <v>335</v>
      </c>
      <c r="C35" s="330" t="s">
        <v>509</v>
      </c>
      <c r="D35" s="331">
        <v>45658</v>
      </c>
      <c r="E35" s="332">
        <v>1250</v>
      </c>
      <c r="F35" s="333">
        <v>2</v>
      </c>
      <c r="G35" s="334">
        <f t="shared" si="1"/>
        <v>2500</v>
      </c>
      <c r="H35" s="330" t="s">
        <v>690</v>
      </c>
    </row>
    <row r="36" spans="1:8" s="30" customFormat="1" ht="23">
      <c r="A36" s="330">
        <v>36</v>
      </c>
      <c r="B36" s="330" t="s">
        <v>343</v>
      </c>
      <c r="C36" s="330" t="s">
        <v>514</v>
      </c>
      <c r="D36" s="331">
        <v>45658</v>
      </c>
      <c r="E36" s="332">
        <v>200</v>
      </c>
      <c r="F36" s="333">
        <v>45</v>
      </c>
      <c r="G36" s="334">
        <f t="shared" si="1"/>
        <v>9000</v>
      </c>
      <c r="H36" s="330" t="s">
        <v>691</v>
      </c>
    </row>
    <row r="37" spans="1:8" s="30" customFormat="1" ht="23">
      <c r="A37" s="330">
        <v>37</v>
      </c>
      <c r="B37" s="330" t="s">
        <v>343</v>
      </c>
      <c r="C37" s="330" t="s">
        <v>490</v>
      </c>
      <c r="D37" s="331">
        <v>45658</v>
      </c>
      <c r="E37" s="332">
        <v>2000</v>
      </c>
      <c r="F37" s="333">
        <v>3</v>
      </c>
      <c r="G37" s="334">
        <f t="shared" si="1"/>
        <v>6000</v>
      </c>
      <c r="H37" s="330" t="s">
        <v>691</v>
      </c>
    </row>
    <row r="38" spans="1:8" s="30" customFormat="1" ht="34.5">
      <c r="A38" s="330">
        <v>38</v>
      </c>
      <c r="B38" s="330" t="s">
        <v>343</v>
      </c>
      <c r="C38" s="330" t="s">
        <v>726</v>
      </c>
      <c r="D38" s="331">
        <v>45658</v>
      </c>
      <c r="E38" s="332">
        <v>4750</v>
      </c>
      <c r="F38" s="333">
        <v>8</v>
      </c>
      <c r="G38" s="334">
        <f t="shared" si="1"/>
        <v>38000</v>
      </c>
      <c r="H38" s="330" t="s">
        <v>727</v>
      </c>
    </row>
    <row r="39" spans="1:8" s="30" customFormat="1" ht="34.5">
      <c r="A39" s="330">
        <v>39</v>
      </c>
      <c r="B39" s="330" t="s">
        <v>343</v>
      </c>
      <c r="C39" s="330" t="s">
        <v>729</v>
      </c>
      <c r="D39" s="331">
        <v>45658</v>
      </c>
      <c r="E39" s="332">
        <v>1000</v>
      </c>
      <c r="F39" s="333">
        <v>8</v>
      </c>
      <c r="G39" s="334">
        <f t="shared" si="1"/>
        <v>8000</v>
      </c>
      <c r="H39" s="330" t="s">
        <v>690</v>
      </c>
    </row>
    <row r="40" spans="1:8" s="30" customFormat="1" ht="23">
      <c r="A40" s="330">
        <v>40</v>
      </c>
      <c r="B40" s="330" t="s">
        <v>343</v>
      </c>
      <c r="C40" s="330" t="s">
        <v>517</v>
      </c>
      <c r="D40" s="331">
        <v>45689</v>
      </c>
      <c r="E40" s="332">
        <v>2000</v>
      </c>
      <c r="F40" s="333">
        <v>4</v>
      </c>
      <c r="G40" s="334">
        <f t="shared" si="1"/>
        <v>8000</v>
      </c>
      <c r="H40" s="330" t="s">
        <v>692</v>
      </c>
    </row>
    <row r="41" spans="1:8" s="30" customFormat="1" ht="34.5">
      <c r="A41" s="330">
        <v>41</v>
      </c>
      <c r="B41" s="330" t="s">
        <v>343</v>
      </c>
      <c r="C41" s="330" t="s">
        <v>518</v>
      </c>
      <c r="D41" s="331">
        <v>45689</v>
      </c>
      <c r="E41" s="332">
        <v>849</v>
      </c>
      <c r="F41" s="333">
        <v>21</v>
      </c>
      <c r="G41" s="334">
        <f t="shared" si="1"/>
        <v>17829</v>
      </c>
      <c r="H41" s="330" t="s">
        <v>640</v>
      </c>
    </row>
    <row r="42" spans="1:8" s="30" customFormat="1" ht="46">
      <c r="A42" s="330">
        <v>42</v>
      </c>
      <c r="B42" s="330" t="s">
        <v>329</v>
      </c>
      <c r="C42" s="330" t="s">
        <v>519</v>
      </c>
      <c r="D42" s="331">
        <v>45689</v>
      </c>
      <c r="E42" s="332">
        <v>650</v>
      </c>
      <c r="F42" s="333">
        <v>4</v>
      </c>
      <c r="G42" s="334">
        <f t="shared" si="1"/>
        <v>2600</v>
      </c>
      <c r="H42" s="330" t="s">
        <v>693</v>
      </c>
    </row>
    <row r="43" spans="1:8" s="30" customFormat="1" ht="46">
      <c r="A43" s="330">
        <v>43</v>
      </c>
      <c r="B43" s="330" t="s">
        <v>349</v>
      </c>
      <c r="C43" s="330" t="s">
        <v>521</v>
      </c>
      <c r="D43" s="331">
        <v>45689</v>
      </c>
      <c r="E43" s="332">
        <v>2800</v>
      </c>
      <c r="F43" s="333">
        <v>8</v>
      </c>
      <c r="G43" s="334">
        <f t="shared" si="1"/>
        <v>22400</v>
      </c>
      <c r="H43" s="330" t="s">
        <v>693</v>
      </c>
    </row>
    <row r="44" spans="1:8" s="30" customFormat="1" ht="46">
      <c r="A44" s="330">
        <v>44</v>
      </c>
      <c r="B44" s="330" t="s">
        <v>349</v>
      </c>
      <c r="C44" s="330" t="s">
        <v>520</v>
      </c>
      <c r="D44" s="331">
        <v>45689</v>
      </c>
      <c r="E44" s="332">
        <v>929</v>
      </c>
      <c r="F44" s="333">
        <v>4</v>
      </c>
      <c r="G44" s="334">
        <f t="shared" si="1"/>
        <v>3716</v>
      </c>
      <c r="H44" s="330" t="s">
        <v>693</v>
      </c>
    </row>
    <row r="45" spans="1:8" s="30" customFormat="1" ht="34.5">
      <c r="A45" s="330">
        <v>46</v>
      </c>
      <c r="B45" s="330" t="s">
        <v>349</v>
      </c>
      <c r="C45" s="330" t="s">
        <v>522</v>
      </c>
      <c r="D45" s="331">
        <v>45689</v>
      </c>
      <c r="E45" s="332">
        <v>2800</v>
      </c>
      <c r="F45" s="333">
        <v>4</v>
      </c>
      <c r="G45" s="334">
        <f t="shared" si="1"/>
        <v>11200</v>
      </c>
      <c r="H45" s="330" t="s">
        <v>694</v>
      </c>
    </row>
    <row r="46" spans="1:8" s="30" customFormat="1" ht="46">
      <c r="A46" s="330">
        <v>47</v>
      </c>
      <c r="B46" s="330" t="s">
        <v>349</v>
      </c>
      <c r="C46" s="330" t="s">
        <v>523</v>
      </c>
      <c r="D46" s="331">
        <v>45689</v>
      </c>
      <c r="E46" s="332">
        <v>700</v>
      </c>
      <c r="F46" s="333">
        <v>4</v>
      </c>
      <c r="G46" s="334">
        <f t="shared" si="1"/>
        <v>2800</v>
      </c>
      <c r="H46" s="330" t="s">
        <v>695</v>
      </c>
    </row>
    <row r="47" spans="1:8" s="30" customFormat="1" ht="34.5">
      <c r="A47" s="330">
        <v>48</v>
      </c>
      <c r="B47" s="330" t="s">
        <v>349</v>
      </c>
      <c r="C47" s="330" t="s">
        <v>482</v>
      </c>
      <c r="D47" s="331">
        <v>45689</v>
      </c>
      <c r="E47" s="332">
        <v>2500</v>
      </c>
      <c r="F47" s="333">
        <v>12</v>
      </c>
      <c r="G47" s="334">
        <f t="shared" si="1"/>
        <v>30000</v>
      </c>
      <c r="H47" s="330" t="s">
        <v>696</v>
      </c>
    </row>
    <row r="48" spans="1:8" s="30" customFormat="1" ht="34.5">
      <c r="A48" s="330">
        <v>49</v>
      </c>
      <c r="B48" s="330" t="s">
        <v>349</v>
      </c>
      <c r="C48" s="330" t="s">
        <v>483</v>
      </c>
      <c r="D48" s="331">
        <v>45689</v>
      </c>
      <c r="E48" s="332">
        <v>800</v>
      </c>
      <c r="F48" s="333">
        <v>4</v>
      </c>
      <c r="G48" s="334">
        <f t="shared" si="1"/>
        <v>3200</v>
      </c>
      <c r="H48" s="330" t="s">
        <v>697</v>
      </c>
    </row>
    <row r="49" spans="1:8" s="30" customFormat="1" ht="34.5">
      <c r="A49" s="330">
        <v>50</v>
      </c>
      <c r="B49" s="330" t="s">
        <v>349</v>
      </c>
      <c r="C49" s="375" t="s">
        <v>542</v>
      </c>
      <c r="D49" s="331">
        <v>45689</v>
      </c>
      <c r="E49" s="332">
        <v>1900</v>
      </c>
      <c r="F49" s="333">
        <v>4</v>
      </c>
      <c r="G49" s="334">
        <f t="shared" si="1"/>
        <v>7600</v>
      </c>
      <c r="H49" s="330" t="s">
        <v>698</v>
      </c>
    </row>
    <row r="50" spans="1:8" s="30" customFormat="1" ht="34.5">
      <c r="A50" s="330">
        <v>51</v>
      </c>
      <c r="B50" s="330" t="s">
        <v>349</v>
      </c>
      <c r="C50" s="330" t="s">
        <v>524</v>
      </c>
      <c r="D50" s="331">
        <v>45689</v>
      </c>
      <c r="E50" s="332">
        <v>2326.5</v>
      </c>
      <c r="F50" s="333">
        <v>4</v>
      </c>
      <c r="G50" s="334">
        <f t="shared" si="1"/>
        <v>9306</v>
      </c>
      <c r="H50" s="330" t="s">
        <v>699</v>
      </c>
    </row>
    <row r="51" spans="1:8" s="30" customFormat="1" ht="46">
      <c r="A51" s="330">
        <v>52</v>
      </c>
      <c r="B51" s="330" t="s">
        <v>349</v>
      </c>
      <c r="C51" s="330" t="s">
        <v>525</v>
      </c>
      <c r="D51" s="331">
        <v>45689</v>
      </c>
      <c r="E51" s="332">
        <v>1134</v>
      </c>
      <c r="F51" s="333">
        <v>4</v>
      </c>
      <c r="G51" s="334">
        <f t="shared" si="1"/>
        <v>4536</v>
      </c>
      <c r="H51" s="330" t="s">
        <v>700</v>
      </c>
    </row>
    <row r="52" spans="1:8" s="30" customFormat="1" ht="34.5">
      <c r="A52" s="330">
        <v>53</v>
      </c>
      <c r="B52" s="330" t="s">
        <v>349</v>
      </c>
      <c r="C52" s="330" t="s">
        <v>526</v>
      </c>
      <c r="D52" s="331">
        <v>45689</v>
      </c>
      <c r="E52" s="332">
        <v>1750</v>
      </c>
      <c r="F52" s="333">
        <v>4</v>
      </c>
      <c r="G52" s="334">
        <f t="shared" si="1"/>
        <v>7000</v>
      </c>
      <c r="H52" s="330" t="s">
        <v>701</v>
      </c>
    </row>
    <row r="53" spans="1:8" s="30" customFormat="1" ht="34.5">
      <c r="A53" s="330">
        <v>54</v>
      </c>
      <c r="B53" s="330" t="s">
        <v>349</v>
      </c>
      <c r="C53" s="330" t="s">
        <v>484</v>
      </c>
      <c r="D53" s="331">
        <v>45689</v>
      </c>
      <c r="E53" s="332">
        <v>1300</v>
      </c>
      <c r="F53" s="333">
        <v>4</v>
      </c>
      <c r="G53" s="334">
        <f t="shared" si="1"/>
        <v>5200</v>
      </c>
      <c r="H53" s="330" t="s">
        <v>702</v>
      </c>
    </row>
    <row r="54" spans="1:8" s="30" customFormat="1" ht="46">
      <c r="A54" s="330">
        <v>55</v>
      </c>
      <c r="B54" s="330" t="s">
        <v>349</v>
      </c>
      <c r="C54" s="330" t="s">
        <v>486</v>
      </c>
      <c r="D54" s="331">
        <v>45689</v>
      </c>
      <c r="E54" s="332">
        <v>400</v>
      </c>
      <c r="F54" s="333">
        <v>40</v>
      </c>
      <c r="G54" s="334">
        <f t="shared" si="1"/>
        <v>16000</v>
      </c>
      <c r="H54" s="330" t="s">
        <v>703</v>
      </c>
    </row>
    <row r="55" spans="1:8" s="30" customFormat="1" ht="46">
      <c r="A55" s="330">
        <v>56</v>
      </c>
      <c r="B55" s="330" t="s">
        <v>349</v>
      </c>
      <c r="C55" s="330" t="s">
        <v>487</v>
      </c>
      <c r="D55" s="331">
        <v>45689</v>
      </c>
      <c r="E55" s="332">
        <v>400</v>
      </c>
      <c r="F55" s="333">
        <v>12</v>
      </c>
      <c r="G55" s="334">
        <f t="shared" si="1"/>
        <v>4800</v>
      </c>
      <c r="H55" s="330" t="s">
        <v>704</v>
      </c>
    </row>
    <row r="56" spans="1:8" s="30" customFormat="1" ht="46">
      <c r="A56" s="330">
        <v>57</v>
      </c>
      <c r="B56" s="330" t="s">
        <v>349</v>
      </c>
      <c r="C56" s="330" t="s">
        <v>527</v>
      </c>
      <c r="D56" s="331">
        <v>45689</v>
      </c>
      <c r="E56" s="332">
        <v>450</v>
      </c>
      <c r="F56" s="333">
        <v>4</v>
      </c>
      <c r="G56" s="334">
        <f t="shared" si="1"/>
        <v>1800</v>
      </c>
      <c r="H56" s="330" t="s">
        <v>704</v>
      </c>
    </row>
    <row r="57" spans="1:8" s="30" customFormat="1" ht="34.5">
      <c r="A57" s="330">
        <v>58</v>
      </c>
      <c r="B57" s="330" t="s">
        <v>349</v>
      </c>
      <c r="C57" s="330" t="s">
        <v>677</v>
      </c>
      <c r="D57" s="331">
        <v>45689</v>
      </c>
      <c r="E57" s="332">
        <v>2100</v>
      </c>
      <c r="F57" s="333">
        <v>4</v>
      </c>
      <c r="G57" s="334">
        <f t="shared" si="1"/>
        <v>8400</v>
      </c>
      <c r="H57" s="330" t="s">
        <v>705</v>
      </c>
    </row>
    <row r="58" spans="1:8" s="30" customFormat="1" ht="34.5">
      <c r="A58" s="330">
        <v>59</v>
      </c>
      <c r="B58" s="330" t="s">
        <v>349</v>
      </c>
      <c r="C58" s="330" t="s">
        <v>678</v>
      </c>
      <c r="D58" s="331">
        <v>45689</v>
      </c>
      <c r="E58" s="332">
        <v>3000</v>
      </c>
      <c r="F58" s="333">
        <v>4</v>
      </c>
      <c r="G58" s="334">
        <f t="shared" si="1"/>
        <v>12000</v>
      </c>
      <c r="H58" s="330" t="s">
        <v>705</v>
      </c>
    </row>
    <row r="59" spans="1:8" s="30" customFormat="1" ht="46">
      <c r="A59" s="330">
        <v>62</v>
      </c>
      <c r="B59" s="330" t="s">
        <v>349</v>
      </c>
      <c r="C59" s="330" t="s">
        <v>641</v>
      </c>
      <c r="D59" s="331">
        <v>45689</v>
      </c>
      <c r="E59" s="332">
        <v>350</v>
      </c>
      <c r="F59" s="333">
        <v>8</v>
      </c>
      <c r="G59" s="334">
        <f t="shared" si="1"/>
        <v>2800</v>
      </c>
      <c r="H59" s="330" t="s">
        <v>704</v>
      </c>
    </row>
    <row r="60" spans="1:8" s="30" customFormat="1" ht="46">
      <c r="A60" s="330">
        <v>65</v>
      </c>
      <c r="B60" s="330" t="s">
        <v>349</v>
      </c>
      <c r="C60" s="330" t="s">
        <v>528</v>
      </c>
      <c r="D60" s="331">
        <v>45689</v>
      </c>
      <c r="E60" s="332">
        <v>140</v>
      </c>
      <c r="F60" s="333">
        <v>4</v>
      </c>
      <c r="G60" s="334">
        <f t="shared" si="1"/>
        <v>560</v>
      </c>
      <c r="H60" s="330" t="s">
        <v>704</v>
      </c>
    </row>
    <row r="61" spans="1:8" s="30" customFormat="1" ht="46">
      <c r="A61" s="330">
        <v>66</v>
      </c>
      <c r="B61" s="330" t="s">
        <v>349</v>
      </c>
      <c r="C61" s="330" t="s">
        <v>529</v>
      </c>
      <c r="D61" s="331">
        <v>45689</v>
      </c>
      <c r="E61" s="332">
        <v>450</v>
      </c>
      <c r="F61" s="333">
        <v>4</v>
      </c>
      <c r="G61" s="334">
        <f t="shared" ref="G61:G139" si="2">F61*E61</f>
        <v>1800</v>
      </c>
      <c r="H61" s="330" t="s">
        <v>704</v>
      </c>
    </row>
    <row r="62" spans="1:8" s="30" customFormat="1" ht="34.5">
      <c r="A62" s="330">
        <v>67</v>
      </c>
      <c r="B62" s="330" t="s">
        <v>331</v>
      </c>
      <c r="C62" s="375" t="s">
        <v>543</v>
      </c>
      <c r="D62" s="331">
        <v>45689</v>
      </c>
      <c r="E62" s="332">
        <v>240.7</v>
      </c>
      <c r="F62" s="333">
        <v>4</v>
      </c>
      <c r="G62" s="334">
        <f t="shared" si="2"/>
        <v>962.8</v>
      </c>
      <c r="H62" s="330" t="s">
        <v>706</v>
      </c>
    </row>
    <row r="63" spans="1:8" s="30" customFormat="1" ht="57.5">
      <c r="A63" s="330">
        <v>68</v>
      </c>
      <c r="B63" s="330" t="s">
        <v>341</v>
      </c>
      <c r="C63" s="375" t="s">
        <v>544</v>
      </c>
      <c r="D63" s="331">
        <v>45689</v>
      </c>
      <c r="E63" s="332">
        <v>11378</v>
      </c>
      <c r="F63" s="333">
        <v>8</v>
      </c>
      <c r="G63" s="334">
        <f t="shared" si="2"/>
        <v>91024</v>
      </c>
      <c r="H63" s="330" t="s">
        <v>707</v>
      </c>
    </row>
    <row r="64" spans="1:8" s="30" customFormat="1" ht="46">
      <c r="A64" s="330">
        <v>72</v>
      </c>
      <c r="B64" s="330" t="s">
        <v>323</v>
      </c>
      <c r="C64" s="375" t="s">
        <v>537</v>
      </c>
      <c r="D64" s="331">
        <v>45717</v>
      </c>
      <c r="E64" s="332">
        <v>9640.4699999999993</v>
      </c>
      <c r="F64" s="333">
        <v>10</v>
      </c>
      <c r="G64" s="334">
        <f t="shared" si="2"/>
        <v>96404.7</v>
      </c>
      <c r="H64" s="330" t="s">
        <v>672</v>
      </c>
    </row>
    <row r="65" spans="1:8" s="30" customFormat="1" ht="46">
      <c r="A65" s="330">
        <v>73</v>
      </c>
      <c r="B65" s="330" t="s">
        <v>323</v>
      </c>
      <c r="C65" s="375" t="s">
        <v>531</v>
      </c>
      <c r="D65" s="331">
        <v>45717</v>
      </c>
      <c r="E65" s="332">
        <v>6108.53</v>
      </c>
      <c r="F65" s="333">
        <v>10</v>
      </c>
      <c r="G65" s="334">
        <f t="shared" si="2"/>
        <v>61085.299999999996</v>
      </c>
      <c r="H65" s="330" t="s">
        <v>672</v>
      </c>
    </row>
    <row r="66" spans="1:8" s="30" customFormat="1" ht="46">
      <c r="A66" s="330">
        <v>74</v>
      </c>
      <c r="B66" s="330" t="s">
        <v>323</v>
      </c>
      <c r="C66" s="375" t="s">
        <v>532</v>
      </c>
      <c r="D66" s="331">
        <v>45717</v>
      </c>
      <c r="E66" s="332">
        <v>9769</v>
      </c>
      <c r="F66" s="333">
        <v>10</v>
      </c>
      <c r="G66" s="334">
        <f t="shared" si="2"/>
        <v>97690</v>
      </c>
      <c r="H66" s="330" t="s">
        <v>672</v>
      </c>
    </row>
    <row r="67" spans="1:8" s="30" customFormat="1" ht="46">
      <c r="A67" s="330">
        <v>75</v>
      </c>
      <c r="B67" s="330" t="s">
        <v>323</v>
      </c>
      <c r="C67" s="375" t="s">
        <v>533</v>
      </c>
      <c r="D67" s="331">
        <v>45717</v>
      </c>
      <c r="E67" s="332">
        <v>15300</v>
      </c>
      <c r="F67" s="333">
        <v>10</v>
      </c>
      <c r="G67" s="334">
        <f t="shared" si="2"/>
        <v>153000</v>
      </c>
      <c r="H67" s="330" t="s">
        <v>672</v>
      </c>
    </row>
    <row r="68" spans="1:8" s="30" customFormat="1" ht="46">
      <c r="A68" s="330">
        <v>76</v>
      </c>
      <c r="B68" s="330" t="s">
        <v>323</v>
      </c>
      <c r="C68" s="375" t="s">
        <v>534</v>
      </c>
      <c r="D68" s="331">
        <v>45717</v>
      </c>
      <c r="E68" s="332">
        <v>13990</v>
      </c>
      <c r="F68" s="333">
        <v>10</v>
      </c>
      <c r="G68" s="334">
        <f t="shared" si="2"/>
        <v>139900</v>
      </c>
      <c r="H68" s="330" t="s">
        <v>672</v>
      </c>
    </row>
    <row r="69" spans="1:8" s="30" customFormat="1" ht="46">
      <c r="A69" s="330">
        <v>77</v>
      </c>
      <c r="B69" s="330" t="s">
        <v>323</v>
      </c>
      <c r="C69" s="375" t="s">
        <v>535</v>
      </c>
      <c r="D69" s="331">
        <v>45717</v>
      </c>
      <c r="E69" s="332">
        <v>3554.9</v>
      </c>
      <c r="F69" s="333">
        <v>10</v>
      </c>
      <c r="G69" s="334">
        <f t="shared" si="2"/>
        <v>35549</v>
      </c>
      <c r="H69" s="330" t="s">
        <v>672</v>
      </c>
    </row>
    <row r="70" spans="1:8" s="30" customFormat="1" ht="46">
      <c r="A70" s="330">
        <v>78</v>
      </c>
      <c r="B70" s="330" t="s">
        <v>323</v>
      </c>
      <c r="C70" s="375" t="s">
        <v>536</v>
      </c>
      <c r="D70" s="331">
        <v>45717</v>
      </c>
      <c r="E70" s="332">
        <v>5999</v>
      </c>
      <c r="F70" s="333">
        <v>10</v>
      </c>
      <c r="G70" s="334">
        <f t="shared" si="2"/>
        <v>59990</v>
      </c>
      <c r="H70" s="330" t="s">
        <v>672</v>
      </c>
    </row>
    <row r="71" spans="1:8" s="30" customFormat="1" ht="46">
      <c r="A71" s="330">
        <v>79</v>
      </c>
      <c r="B71" s="330" t="s">
        <v>323</v>
      </c>
      <c r="C71" s="375" t="s">
        <v>530</v>
      </c>
      <c r="D71" s="331">
        <v>45717</v>
      </c>
      <c r="E71" s="332">
        <v>2700</v>
      </c>
      <c r="F71" s="333">
        <v>10</v>
      </c>
      <c r="G71" s="334">
        <f t="shared" si="2"/>
        <v>27000</v>
      </c>
      <c r="H71" s="330" t="s">
        <v>672</v>
      </c>
    </row>
    <row r="72" spans="1:8" s="30" customFormat="1" ht="48" customHeight="1">
      <c r="A72" s="330">
        <v>80</v>
      </c>
      <c r="B72" s="330" t="s">
        <v>323</v>
      </c>
      <c r="C72" s="375" t="s">
        <v>538</v>
      </c>
      <c r="D72" s="331">
        <v>45717</v>
      </c>
      <c r="E72" s="332">
        <v>9210</v>
      </c>
      <c r="F72" s="333">
        <v>10</v>
      </c>
      <c r="G72" s="334">
        <f t="shared" si="2"/>
        <v>92100</v>
      </c>
      <c r="H72" s="330" t="s">
        <v>672</v>
      </c>
    </row>
    <row r="73" spans="1:8" s="30" customFormat="1" ht="48" customHeight="1">
      <c r="A73" s="330">
        <v>81</v>
      </c>
      <c r="B73" s="330" t="s">
        <v>323</v>
      </c>
      <c r="C73" s="375" t="s">
        <v>539</v>
      </c>
      <c r="D73" s="331">
        <v>45717</v>
      </c>
      <c r="E73" s="332">
        <v>4576.9399999999996</v>
      </c>
      <c r="F73" s="333">
        <v>10</v>
      </c>
      <c r="G73" s="334">
        <f t="shared" si="2"/>
        <v>45769.399999999994</v>
      </c>
      <c r="H73" s="330" t="s">
        <v>672</v>
      </c>
    </row>
    <row r="74" spans="1:8" s="30" customFormat="1" ht="48" customHeight="1">
      <c r="A74" s="330">
        <v>82</v>
      </c>
      <c r="B74" s="330" t="s">
        <v>323</v>
      </c>
      <c r="C74" s="375" t="s">
        <v>540</v>
      </c>
      <c r="D74" s="331">
        <v>45717</v>
      </c>
      <c r="E74" s="332">
        <v>4999</v>
      </c>
      <c r="F74" s="333">
        <v>10</v>
      </c>
      <c r="G74" s="334">
        <f t="shared" si="2"/>
        <v>49990</v>
      </c>
      <c r="H74" s="330" t="s">
        <v>672</v>
      </c>
    </row>
    <row r="75" spans="1:8" s="30" customFormat="1" ht="49.5" customHeight="1">
      <c r="A75" s="330">
        <v>83</v>
      </c>
      <c r="B75" s="330" t="s">
        <v>325</v>
      </c>
      <c r="C75" s="330" t="s">
        <v>461</v>
      </c>
      <c r="D75" s="331">
        <v>45778</v>
      </c>
      <c r="E75" s="332">
        <v>1925</v>
      </c>
      <c r="F75" s="333">
        <v>4</v>
      </c>
      <c r="G75" s="334">
        <f t="shared" si="2"/>
        <v>7700</v>
      </c>
      <c r="H75" s="330" t="s">
        <v>671</v>
      </c>
    </row>
    <row r="76" spans="1:8" s="30" customFormat="1" ht="49.5" customHeight="1">
      <c r="A76" s="330">
        <v>84</v>
      </c>
      <c r="B76" s="330" t="s">
        <v>325</v>
      </c>
      <c r="C76" s="330" t="s">
        <v>461</v>
      </c>
      <c r="D76" s="331">
        <v>45778</v>
      </c>
      <c r="E76" s="332">
        <v>1925</v>
      </c>
      <c r="F76" s="333">
        <v>4</v>
      </c>
      <c r="G76" s="334">
        <f t="shared" si="2"/>
        <v>7700</v>
      </c>
      <c r="H76" s="330" t="s">
        <v>670</v>
      </c>
    </row>
    <row r="77" spans="1:8" s="30" customFormat="1" ht="49.5" customHeight="1">
      <c r="A77" s="330">
        <v>85</v>
      </c>
      <c r="B77" s="330" t="s">
        <v>327</v>
      </c>
      <c r="C77" s="330" t="s">
        <v>723</v>
      </c>
      <c r="D77" s="331">
        <v>45778</v>
      </c>
      <c r="E77" s="332">
        <v>2800</v>
      </c>
      <c r="F77" s="333">
        <v>26</v>
      </c>
      <c r="G77" s="334">
        <f t="shared" si="2"/>
        <v>72800</v>
      </c>
      <c r="H77" s="330" t="s">
        <v>708</v>
      </c>
    </row>
    <row r="78" spans="1:8" s="30" customFormat="1" ht="49.5" customHeight="1">
      <c r="A78" s="330">
        <v>86</v>
      </c>
      <c r="B78" s="330" t="s">
        <v>327</v>
      </c>
      <c r="C78" s="330" t="s">
        <v>462</v>
      </c>
      <c r="D78" s="331">
        <v>45778</v>
      </c>
      <c r="E78" s="332">
        <v>3100</v>
      </c>
      <c r="F78" s="333">
        <v>2</v>
      </c>
      <c r="G78" s="334">
        <f t="shared" si="2"/>
        <v>6200</v>
      </c>
      <c r="H78" s="330" t="s">
        <v>708</v>
      </c>
    </row>
    <row r="79" spans="1:8" s="30" customFormat="1" ht="49.5" customHeight="1">
      <c r="A79" s="330">
        <v>87</v>
      </c>
      <c r="B79" s="330" t="s">
        <v>327</v>
      </c>
      <c r="C79" s="330" t="s">
        <v>463</v>
      </c>
      <c r="D79" s="331">
        <v>45778</v>
      </c>
      <c r="E79" s="332">
        <v>998</v>
      </c>
      <c r="F79" s="333">
        <v>2</v>
      </c>
      <c r="G79" s="334">
        <f t="shared" si="2"/>
        <v>1996</v>
      </c>
      <c r="H79" s="330" t="s">
        <v>708</v>
      </c>
    </row>
    <row r="80" spans="1:8" s="30" customFormat="1" ht="49.5" customHeight="1">
      <c r="A80" s="330">
        <v>88</v>
      </c>
      <c r="B80" s="330" t="s">
        <v>327</v>
      </c>
      <c r="C80" s="330" t="s">
        <v>464</v>
      </c>
      <c r="D80" s="331">
        <v>45778</v>
      </c>
      <c r="E80" s="332">
        <v>580</v>
      </c>
      <c r="F80" s="333">
        <v>1</v>
      </c>
      <c r="G80" s="334">
        <f t="shared" si="2"/>
        <v>580</v>
      </c>
      <c r="H80" s="330" t="s">
        <v>708</v>
      </c>
    </row>
    <row r="81" spans="1:8" s="30" customFormat="1" ht="49.5" customHeight="1">
      <c r="A81" s="330">
        <v>89</v>
      </c>
      <c r="B81" s="330" t="s">
        <v>327</v>
      </c>
      <c r="C81" s="330" t="s">
        <v>516</v>
      </c>
      <c r="D81" s="331">
        <v>45778</v>
      </c>
      <c r="E81" s="332">
        <v>400</v>
      </c>
      <c r="F81" s="333">
        <v>2</v>
      </c>
      <c r="G81" s="334">
        <f t="shared" si="2"/>
        <v>800</v>
      </c>
      <c r="H81" s="330" t="s">
        <v>708</v>
      </c>
    </row>
    <row r="82" spans="1:8" s="30" customFormat="1" ht="49.5" customHeight="1">
      <c r="A82" s="330">
        <v>90</v>
      </c>
      <c r="B82" s="330" t="s">
        <v>327</v>
      </c>
      <c r="C82" s="374" t="s">
        <v>488</v>
      </c>
      <c r="D82" s="331">
        <v>45778</v>
      </c>
      <c r="E82" s="332">
        <v>2500</v>
      </c>
      <c r="F82" s="333">
        <v>2</v>
      </c>
      <c r="G82" s="334">
        <f t="shared" si="2"/>
        <v>5000</v>
      </c>
      <c r="H82" s="330" t="s">
        <v>708</v>
      </c>
    </row>
    <row r="83" spans="1:8" s="30" customFormat="1" ht="49.5" customHeight="1">
      <c r="A83" s="330">
        <v>91</v>
      </c>
      <c r="B83" s="330" t="s">
        <v>327</v>
      </c>
      <c r="C83" s="330" t="s">
        <v>515</v>
      </c>
      <c r="D83" s="331">
        <v>45778</v>
      </c>
      <c r="E83" s="332">
        <v>1999</v>
      </c>
      <c r="F83" s="333">
        <v>2</v>
      </c>
      <c r="G83" s="334">
        <f t="shared" si="2"/>
        <v>3998</v>
      </c>
      <c r="H83" s="330" t="s">
        <v>708</v>
      </c>
    </row>
    <row r="84" spans="1:8" s="30" customFormat="1" ht="49.5" customHeight="1">
      <c r="A84" s="330">
        <v>92</v>
      </c>
      <c r="B84" s="330" t="s">
        <v>327</v>
      </c>
      <c r="C84" s="330" t="s">
        <v>489</v>
      </c>
      <c r="D84" s="331">
        <v>45778</v>
      </c>
      <c r="E84" s="332">
        <v>900</v>
      </c>
      <c r="F84" s="333">
        <v>2</v>
      </c>
      <c r="G84" s="334">
        <f t="shared" si="2"/>
        <v>1800</v>
      </c>
      <c r="H84" s="330" t="s">
        <v>708</v>
      </c>
    </row>
    <row r="85" spans="1:8" s="30" customFormat="1" ht="49.5" customHeight="1">
      <c r="A85" s="330">
        <v>93</v>
      </c>
      <c r="B85" s="330" t="s">
        <v>327</v>
      </c>
      <c r="C85" s="330" t="s">
        <v>505</v>
      </c>
      <c r="D85" s="331">
        <v>45778</v>
      </c>
      <c r="E85" s="332">
        <v>1300</v>
      </c>
      <c r="F85" s="333">
        <v>2</v>
      </c>
      <c r="G85" s="334">
        <f t="shared" si="2"/>
        <v>2600</v>
      </c>
      <c r="H85" s="330" t="s">
        <v>708</v>
      </c>
    </row>
    <row r="86" spans="1:8" s="30" customFormat="1" ht="49.5" customHeight="1">
      <c r="A86" s="330">
        <v>94</v>
      </c>
      <c r="B86" s="330" t="s">
        <v>333</v>
      </c>
      <c r="C86" s="330" t="s">
        <v>465</v>
      </c>
      <c r="D86" s="331">
        <v>45778</v>
      </c>
      <c r="E86" s="332">
        <v>1480</v>
      </c>
      <c r="F86" s="333">
        <v>2</v>
      </c>
      <c r="G86" s="334">
        <f t="shared" si="2"/>
        <v>2960</v>
      </c>
      <c r="H86" s="330" t="s">
        <v>708</v>
      </c>
    </row>
    <row r="87" spans="1:8" s="30" customFormat="1" ht="49.5" customHeight="1">
      <c r="A87" s="330">
        <v>95</v>
      </c>
      <c r="B87" s="330" t="s">
        <v>333</v>
      </c>
      <c r="C87" s="330" t="s">
        <v>466</v>
      </c>
      <c r="D87" s="331">
        <v>45778</v>
      </c>
      <c r="E87" s="332">
        <v>1880</v>
      </c>
      <c r="F87" s="333">
        <v>2</v>
      </c>
      <c r="G87" s="334">
        <f t="shared" si="2"/>
        <v>3760</v>
      </c>
      <c r="H87" s="330" t="s">
        <v>708</v>
      </c>
    </row>
    <row r="88" spans="1:8" s="30" customFormat="1" ht="49.5" customHeight="1">
      <c r="A88" s="330">
        <v>96</v>
      </c>
      <c r="B88" s="330" t="s">
        <v>335</v>
      </c>
      <c r="C88" s="330" t="s">
        <v>467</v>
      </c>
      <c r="D88" s="331">
        <v>45778</v>
      </c>
      <c r="E88" s="332">
        <v>540</v>
      </c>
      <c r="F88" s="333">
        <v>10</v>
      </c>
      <c r="G88" s="334">
        <f t="shared" si="2"/>
        <v>5400</v>
      </c>
      <c r="H88" s="330" t="s">
        <v>708</v>
      </c>
    </row>
    <row r="89" spans="1:8" s="30" customFormat="1" ht="49.5" customHeight="1">
      <c r="A89" s="330">
        <v>97</v>
      </c>
      <c r="B89" s="330" t="s">
        <v>335</v>
      </c>
      <c r="C89" s="330" t="s">
        <v>468</v>
      </c>
      <c r="D89" s="331">
        <v>45778</v>
      </c>
      <c r="E89" s="332">
        <v>640</v>
      </c>
      <c r="F89" s="333">
        <v>7</v>
      </c>
      <c r="G89" s="334">
        <f t="shared" si="2"/>
        <v>4480</v>
      </c>
      <c r="H89" s="330" t="s">
        <v>708</v>
      </c>
    </row>
    <row r="90" spans="1:8" s="30" customFormat="1" ht="49.5" customHeight="1">
      <c r="A90" s="330">
        <v>98</v>
      </c>
      <c r="B90" s="330" t="s">
        <v>335</v>
      </c>
      <c r="C90" s="330" t="s">
        <v>469</v>
      </c>
      <c r="D90" s="331">
        <v>45778</v>
      </c>
      <c r="E90" s="332">
        <v>1200</v>
      </c>
      <c r="F90" s="333">
        <v>2</v>
      </c>
      <c r="G90" s="334">
        <f t="shared" si="2"/>
        <v>2400</v>
      </c>
      <c r="H90" s="330" t="s">
        <v>708</v>
      </c>
    </row>
    <row r="91" spans="1:8" s="30" customFormat="1" ht="49.5" customHeight="1">
      <c r="A91" s="330">
        <v>99</v>
      </c>
      <c r="B91" s="330" t="s">
        <v>335</v>
      </c>
      <c r="C91" s="330" t="s">
        <v>470</v>
      </c>
      <c r="D91" s="331">
        <v>45778</v>
      </c>
      <c r="E91" s="332">
        <v>680</v>
      </c>
      <c r="F91" s="333">
        <v>4</v>
      </c>
      <c r="G91" s="334">
        <f t="shared" si="2"/>
        <v>2720</v>
      </c>
      <c r="H91" s="330" t="s">
        <v>708</v>
      </c>
    </row>
    <row r="92" spans="1:8" s="30" customFormat="1" ht="49.5" customHeight="1">
      <c r="A92" s="330">
        <v>100</v>
      </c>
      <c r="B92" s="330" t="s">
        <v>335</v>
      </c>
      <c r="C92" s="330" t="s">
        <v>471</v>
      </c>
      <c r="D92" s="331">
        <v>45778</v>
      </c>
      <c r="E92" s="332">
        <v>640</v>
      </c>
      <c r="F92" s="333">
        <v>2</v>
      </c>
      <c r="G92" s="334">
        <f t="shared" si="2"/>
        <v>1280</v>
      </c>
      <c r="H92" s="330" t="s">
        <v>708</v>
      </c>
    </row>
    <row r="93" spans="1:8" s="30" customFormat="1" ht="49.5" customHeight="1">
      <c r="A93" s="330">
        <v>101</v>
      </c>
      <c r="B93" s="330" t="s">
        <v>335</v>
      </c>
      <c r="C93" s="330" t="s">
        <v>472</v>
      </c>
      <c r="D93" s="331">
        <v>45778</v>
      </c>
      <c r="E93" s="332">
        <v>480</v>
      </c>
      <c r="F93" s="333">
        <v>5</v>
      </c>
      <c r="G93" s="334">
        <f t="shared" si="2"/>
        <v>2400</v>
      </c>
      <c r="H93" s="330" t="s">
        <v>708</v>
      </c>
    </row>
    <row r="94" spans="1:8" s="30" customFormat="1" ht="49.5" customHeight="1">
      <c r="A94" s="330">
        <v>102</v>
      </c>
      <c r="B94" s="330" t="s">
        <v>335</v>
      </c>
      <c r="C94" s="330" t="s">
        <v>473</v>
      </c>
      <c r="D94" s="331">
        <v>45778</v>
      </c>
      <c r="E94" s="332">
        <v>480</v>
      </c>
      <c r="F94" s="333">
        <v>4</v>
      </c>
      <c r="G94" s="334">
        <f t="shared" si="2"/>
        <v>1920</v>
      </c>
      <c r="H94" s="330" t="s">
        <v>708</v>
      </c>
    </row>
    <row r="95" spans="1:8" s="30" customFormat="1" ht="49.5" customHeight="1">
      <c r="A95" s="330">
        <v>103</v>
      </c>
      <c r="B95" s="330" t="s">
        <v>335</v>
      </c>
      <c r="C95" s="375" t="s">
        <v>541</v>
      </c>
      <c r="D95" s="331">
        <v>45778</v>
      </c>
      <c r="E95" s="332">
        <v>1380</v>
      </c>
      <c r="F95" s="333">
        <v>8</v>
      </c>
      <c r="G95" s="334">
        <f t="shared" si="2"/>
        <v>11040</v>
      </c>
      <c r="H95" s="330" t="s">
        <v>708</v>
      </c>
    </row>
    <row r="96" spans="1:8" s="30" customFormat="1" ht="49.5" customHeight="1">
      <c r="A96" s="330">
        <v>104</v>
      </c>
      <c r="B96" s="330" t="s">
        <v>335</v>
      </c>
      <c r="C96" s="330" t="s">
        <v>474</v>
      </c>
      <c r="D96" s="331">
        <v>45778</v>
      </c>
      <c r="E96" s="332">
        <v>1200</v>
      </c>
      <c r="F96" s="333">
        <v>6</v>
      </c>
      <c r="G96" s="334">
        <f t="shared" si="2"/>
        <v>7200</v>
      </c>
      <c r="H96" s="330" t="s">
        <v>708</v>
      </c>
    </row>
    <row r="97" spans="1:8" s="30" customFormat="1" ht="49.5" customHeight="1">
      <c r="A97" s="330">
        <v>105</v>
      </c>
      <c r="B97" s="330" t="s">
        <v>335</v>
      </c>
      <c r="C97" s="330" t="s">
        <v>475</v>
      </c>
      <c r="D97" s="331">
        <v>45778</v>
      </c>
      <c r="E97" s="332">
        <v>1200</v>
      </c>
      <c r="F97" s="333">
        <v>6</v>
      </c>
      <c r="G97" s="334">
        <f t="shared" si="2"/>
        <v>7200</v>
      </c>
      <c r="H97" s="330" t="s">
        <v>708</v>
      </c>
    </row>
    <row r="98" spans="1:8" s="30" customFormat="1" ht="49.5" customHeight="1">
      <c r="A98" s="330">
        <v>106</v>
      </c>
      <c r="B98" s="330" t="s">
        <v>335</v>
      </c>
      <c r="C98" s="330" t="s">
        <v>476</v>
      </c>
      <c r="D98" s="331">
        <v>45778</v>
      </c>
      <c r="E98" s="332">
        <v>2100</v>
      </c>
      <c r="F98" s="333">
        <v>12</v>
      </c>
      <c r="G98" s="334">
        <f t="shared" si="2"/>
        <v>25200</v>
      </c>
      <c r="H98" s="330" t="s">
        <v>708</v>
      </c>
    </row>
    <row r="99" spans="1:8" s="30" customFormat="1" ht="49.5" customHeight="1">
      <c r="A99" s="330">
        <v>107</v>
      </c>
      <c r="B99" s="330" t="s">
        <v>335</v>
      </c>
      <c r="C99" s="330" t="s">
        <v>477</v>
      </c>
      <c r="D99" s="331">
        <v>45778</v>
      </c>
      <c r="E99" s="332">
        <v>380</v>
      </c>
      <c r="F99" s="333">
        <v>10</v>
      </c>
      <c r="G99" s="334">
        <f t="shared" si="2"/>
        <v>3800</v>
      </c>
      <c r="H99" s="330" t="s">
        <v>708</v>
      </c>
    </row>
    <row r="100" spans="1:8" s="30" customFormat="1" ht="49.5" customHeight="1">
      <c r="A100" s="330">
        <v>108</v>
      </c>
      <c r="B100" s="330" t="s">
        <v>335</v>
      </c>
      <c r="C100" s="330" t="s">
        <v>478</v>
      </c>
      <c r="D100" s="331">
        <v>45778</v>
      </c>
      <c r="E100" s="332">
        <v>580</v>
      </c>
      <c r="F100" s="333">
        <v>6</v>
      </c>
      <c r="G100" s="334">
        <f t="shared" si="2"/>
        <v>3480</v>
      </c>
      <c r="H100" s="330" t="s">
        <v>708</v>
      </c>
    </row>
    <row r="101" spans="1:8" s="30" customFormat="1" ht="49.5" customHeight="1">
      <c r="A101" s="330">
        <v>109</v>
      </c>
      <c r="B101" s="330" t="s">
        <v>335</v>
      </c>
      <c r="C101" s="330" t="s">
        <v>479</v>
      </c>
      <c r="D101" s="331">
        <v>45778</v>
      </c>
      <c r="E101" s="332">
        <v>249</v>
      </c>
      <c r="F101" s="333">
        <v>30</v>
      </c>
      <c r="G101" s="334">
        <f t="shared" si="2"/>
        <v>7470</v>
      </c>
      <c r="H101" s="330" t="s">
        <v>708</v>
      </c>
    </row>
    <row r="102" spans="1:8" s="30" customFormat="1" ht="49.5" customHeight="1">
      <c r="A102" s="330">
        <v>110</v>
      </c>
      <c r="B102" s="330" t="s">
        <v>335</v>
      </c>
      <c r="C102" s="330" t="s">
        <v>480</v>
      </c>
      <c r="D102" s="331">
        <v>45778</v>
      </c>
      <c r="E102" s="332">
        <v>479</v>
      </c>
      <c r="F102" s="333">
        <v>8</v>
      </c>
      <c r="G102" s="334">
        <f t="shared" si="2"/>
        <v>3832</v>
      </c>
      <c r="H102" s="330" t="s">
        <v>708</v>
      </c>
    </row>
    <row r="103" spans="1:8" s="30" customFormat="1" ht="49.5" customHeight="1">
      <c r="A103" s="330">
        <v>111</v>
      </c>
      <c r="B103" s="330" t="s">
        <v>335</v>
      </c>
      <c r="C103" s="330" t="s">
        <v>481</v>
      </c>
      <c r="D103" s="331">
        <v>45778</v>
      </c>
      <c r="E103" s="332">
        <v>1500</v>
      </c>
      <c r="F103" s="333">
        <v>20</v>
      </c>
      <c r="G103" s="334">
        <f t="shared" si="2"/>
        <v>30000</v>
      </c>
      <c r="H103" s="330" t="s">
        <v>708</v>
      </c>
    </row>
    <row r="104" spans="1:8" s="30" customFormat="1" ht="49.5" customHeight="1">
      <c r="A104" s="330">
        <v>114</v>
      </c>
      <c r="B104" s="330" t="s">
        <v>335</v>
      </c>
      <c r="C104" s="330" t="s">
        <v>485</v>
      </c>
      <c r="D104" s="331">
        <v>45778</v>
      </c>
      <c r="E104" s="332">
        <v>2100</v>
      </c>
      <c r="F104" s="333">
        <v>4</v>
      </c>
      <c r="G104" s="334">
        <f t="shared" si="2"/>
        <v>8400</v>
      </c>
      <c r="H104" s="330" t="s">
        <v>708</v>
      </c>
    </row>
    <row r="105" spans="1:8" s="30" customFormat="1" ht="49.5" customHeight="1">
      <c r="A105" s="330">
        <v>115</v>
      </c>
      <c r="B105" s="330" t="s">
        <v>335</v>
      </c>
      <c r="C105" s="330" t="s">
        <v>506</v>
      </c>
      <c r="D105" s="331">
        <v>45778</v>
      </c>
      <c r="E105" s="332">
        <v>180</v>
      </c>
      <c r="F105" s="333">
        <v>8</v>
      </c>
      <c r="G105" s="334">
        <f t="shared" si="2"/>
        <v>1440</v>
      </c>
      <c r="H105" s="330" t="s">
        <v>708</v>
      </c>
    </row>
    <row r="106" spans="1:8" s="30" customFormat="1" ht="49.5" customHeight="1">
      <c r="A106" s="330">
        <v>116</v>
      </c>
      <c r="B106" s="330" t="s">
        <v>335</v>
      </c>
      <c r="C106" s="330" t="s">
        <v>507</v>
      </c>
      <c r="D106" s="331">
        <v>45778</v>
      </c>
      <c r="E106" s="332">
        <v>130</v>
      </c>
      <c r="F106" s="333">
        <v>8</v>
      </c>
      <c r="G106" s="334">
        <f t="shared" si="2"/>
        <v>1040</v>
      </c>
      <c r="H106" s="330" t="s">
        <v>708</v>
      </c>
    </row>
    <row r="107" spans="1:8" s="30" customFormat="1" ht="49.5" customHeight="1">
      <c r="A107" s="330">
        <v>117</v>
      </c>
      <c r="B107" s="330" t="s">
        <v>335</v>
      </c>
      <c r="C107" s="330" t="s">
        <v>508</v>
      </c>
      <c r="D107" s="331">
        <v>45778</v>
      </c>
      <c r="E107" s="332">
        <v>800</v>
      </c>
      <c r="F107" s="333">
        <v>2</v>
      </c>
      <c r="G107" s="334">
        <f t="shared" si="2"/>
        <v>1600</v>
      </c>
      <c r="H107" s="330" t="s">
        <v>708</v>
      </c>
    </row>
    <row r="108" spans="1:8" s="30" customFormat="1" ht="49.5" customHeight="1">
      <c r="A108" s="330">
        <v>118</v>
      </c>
      <c r="B108" s="330" t="s">
        <v>335</v>
      </c>
      <c r="C108" s="330" t="s">
        <v>509</v>
      </c>
      <c r="D108" s="331">
        <v>45778</v>
      </c>
      <c r="E108" s="332">
        <v>1250</v>
      </c>
      <c r="F108" s="333">
        <v>2</v>
      </c>
      <c r="G108" s="334">
        <f t="shared" si="2"/>
        <v>2500</v>
      </c>
      <c r="H108" s="330" t="s">
        <v>708</v>
      </c>
    </row>
    <row r="109" spans="1:8" s="30" customFormat="1" ht="49.5" customHeight="1">
      <c r="A109" s="330">
        <v>119</v>
      </c>
      <c r="B109" s="330" t="s">
        <v>343</v>
      </c>
      <c r="C109" s="330" t="s">
        <v>728</v>
      </c>
      <c r="D109" s="331">
        <v>45778</v>
      </c>
      <c r="E109" s="332">
        <v>4750</v>
      </c>
      <c r="F109" s="333">
        <v>6</v>
      </c>
      <c r="G109" s="334">
        <f t="shared" si="2"/>
        <v>28500</v>
      </c>
      <c r="H109" s="330" t="s">
        <v>708</v>
      </c>
    </row>
    <row r="110" spans="1:8" s="30" customFormat="1" ht="49.5" customHeight="1">
      <c r="A110" s="330">
        <v>120</v>
      </c>
      <c r="B110" s="330" t="s">
        <v>343</v>
      </c>
      <c r="C110" s="330" t="s">
        <v>729</v>
      </c>
      <c r="D110" s="331">
        <v>46174</v>
      </c>
      <c r="E110" s="332">
        <v>1000</v>
      </c>
      <c r="F110" s="333">
        <v>12</v>
      </c>
      <c r="G110" s="334">
        <f t="shared" si="2"/>
        <v>12000</v>
      </c>
      <c r="H110" s="330" t="s">
        <v>708</v>
      </c>
    </row>
    <row r="111" spans="1:8" s="30" customFormat="1" ht="49.5" customHeight="1">
      <c r="A111" s="330">
        <v>121</v>
      </c>
      <c r="B111" s="330" t="s">
        <v>329</v>
      </c>
      <c r="C111" s="330" t="s">
        <v>519</v>
      </c>
      <c r="D111" s="331">
        <v>45778</v>
      </c>
      <c r="E111" s="332">
        <v>650</v>
      </c>
      <c r="F111" s="333">
        <v>2</v>
      </c>
      <c r="G111" s="334">
        <f t="shared" si="2"/>
        <v>1300</v>
      </c>
      <c r="H111" s="330" t="s">
        <v>708</v>
      </c>
    </row>
    <row r="112" spans="1:8" s="30" customFormat="1" ht="49.5" customHeight="1">
      <c r="A112" s="330">
        <v>122</v>
      </c>
      <c r="B112" s="330" t="s">
        <v>349</v>
      </c>
      <c r="C112" s="330" t="s">
        <v>521</v>
      </c>
      <c r="D112" s="331">
        <v>45778</v>
      </c>
      <c r="E112" s="332">
        <v>2800</v>
      </c>
      <c r="F112" s="333">
        <v>4</v>
      </c>
      <c r="G112" s="334">
        <f t="shared" si="2"/>
        <v>11200</v>
      </c>
      <c r="H112" s="330" t="s">
        <v>708</v>
      </c>
    </row>
    <row r="113" spans="1:8" s="30" customFormat="1" ht="49.5" customHeight="1">
      <c r="A113" s="330">
        <v>123</v>
      </c>
      <c r="B113" s="330" t="s">
        <v>349</v>
      </c>
      <c r="C113" s="330" t="s">
        <v>520</v>
      </c>
      <c r="D113" s="331">
        <v>45778</v>
      </c>
      <c r="E113" s="332">
        <v>929</v>
      </c>
      <c r="F113" s="333">
        <v>2</v>
      </c>
      <c r="G113" s="334">
        <f t="shared" si="2"/>
        <v>1858</v>
      </c>
      <c r="H113" s="330" t="s">
        <v>708</v>
      </c>
    </row>
    <row r="114" spans="1:8" s="30" customFormat="1" ht="49.5" customHeight="1">
      <c r="A114" s="330">
        <v>125</v>
      </c>
      <c r="B114" s="330" t="s">
        <v>349</v>
      </c>
      <c r="C114" s="330" t="s">
        <v>522</v>
      </c>
      <c r="D114" s="331">
        <v>45778</v>
      </c>
      <c r="E114" s="332">
        <v>2800</v>
      </c>
      <c r="F114" s="333">
        <v>2</v>
      </c>
      <c r="G114" s="334">
        <f t="shared" si="2"/>
        <v>5600</v>
      </c>
      <c r="H114" s="330" t="s">
        <v>708</v>
      </c>
    </row>
    <row r="115" spans="1:8" s="30" customFormat="1" ht="49.5" customHeight="1">
      <c r="A115" s="330">
        <v>126</v>
      </c>
      <c r="B115" s="330" t="s">
        <v>349</v>
      </c>
      <c r="C115" s="330" t="s">
        <v>523</v>
      </c>
      <c r="D115" s="331">
        <v>45778</v>
      </c>
      <c r="E115" s="332">
        <v>700</v>
      </c>
      <c r="F115" s="333">
        <v>2</v>
      </c>
      <c r="G115" s="334">
        <f t="shared" si="2"/>
        <v>1400</v>
      </c>
      <c r="H115" s="330" t="s">
        <v>708</v>
      </c>
    </row>
    <row r="116" spans="1:8" s="30" customFormat="1" ht="49.5" customHeight="1">
      <c r="A116" s="330">
        <v>127</v>
      </c>
      <c r="B116" s="330" t="s">
        <v>349</v>
      </c>
      <c r="C116" s="330" t="s">
        <v>482</v>
      </c>
      <c r="D116" s="331">
        <v>45778</v>
      </c>
      <c r="E116" s="332">
        <v>2500</v>
      </c>
      <c r="F116" s="333">
        <v>6</v>
      </c>
      <c r="G116" s="334">
        <f t="shared" si="2"/>
        <v>15000</v>
      </c>
      <c r="H116" s="330" t="s">
        <v>708</v>
      </c>
    </row>
    <row r="117" spans="1:8" s="30" customFormat="1" ht="49.5" customHeight="1">
      <c r="A117" s="330">
        <v>128</v>
      </c>
      <c r="B117" s="330" t="s">
        <v>349</v>
      </c>
      <c r="C117" s="330" t="s">
        <v>730</v>
      </c>
      <c r="D117" s="331">
        <v>45778</v>
      </c>
      <c r="E117" s="332">
        <v>1300</v>
      </c>
      <c r="F117" s="333">
        <v>2</v>
      </c>
      <c r="G117" s="334">
        <f t="shared" si="2"/>
        <v>2600</v>
      </c>
      <c r="H117" s="330" t="s">
        <v>708</v>
      </c>
    </row>
    <row r="118" spans="1:8" s="30" customFormat="1" ht="49.5" customHeight="1">
      <c r="A118" s="330">
        <v>129</v>
      </c>
      <c r="B118" s="330" t="s">
        <v>349</v>
      </c>
      <c r="C118" s="375" t="s">
        <v>542</v>
      </c>
      <c r="D118" s="331">
        <v>45778</v>
      </c>
      <c r="E118" s="332">
        <v>1900</v>
      </c>
      <c r="F118" s="333">
        <v>2</v>
      </c>
      <c r="G118" s="334">
        <f t="shared" si="2"/>
        <v>3800</v>
      </c>
      <c r="H118" s="330" t="s">
        <v>708</v>
      </c>
    </row>
    <row r="119" spans="1:8" s="30" customFormat="1" ht="49.5" customHeight="1">
      <c r="A119" s="330">
        <v>130</v>
      </c>
      <c r="B119" s="330" t="s">
        <v>349</v>
      </c>
      <c r="C119" s="330" t="s">
        <v>524</v>
      </c>
      <c r="D119" s="331">
        <v>45778</v>
      </c>
      <c r="E119" s="332">
        <v>2326.5</v>
      </c>
      <c r="F119" s="333">
        <v>2</v>
      </c>
      <c r="G119" s="334">
        <f t="shared" si="2"/>
        <v>4653</v>
      </c>
      <c r="H119" s="330" t="s">
        <v>708</v>
      </c>
    </row>
    <row r="120" spans="1:8" s="30" customFormat="1" ht="49.5" customHeight="1">
      <c r="A120" s="330">
        <v>131</v>
      </c>
      <c r="B120" s="330" t="s">
        <v>349</v>
      </c>
      <c r="C120" s="330" t="s">
        <v>525</v>
      </c>
      <c r="D120" s="331">
        <v>45778</v>
      </c>
      <c r="E120" s="332">
        <v>1134</v>
      </c>
      <c r="F120" s="333">
        <v>2</v>
      </c>
      <c r="G120" s="334">
        <f t="shared" si="2"/>
        <v>2268</v>
      </c>
      <c r="H120" s="330" t="s">
        <v>708</v>
      </c>
    </row>
    <row r="121" spans="1:8" s="30" customFormat="1" ht="49.5" customHeight="1">
      <c r="A121" s="330">
        <v>132</v>
      </c>
      <c r="B121" s="330" t="s">
        <v>349</v>
      </c>
      <c r="C121" s="330" t="s">
        <v>526</v>
      </c>
      <c r="D121" s="331">
        <v>45778</v>
      </c>
      <c r="E121" s="332">
        <v>1750</v>
      </c>
      <c r="F121" s="333">
        <v>2</v>
      </c>
      <c r="G121" s="334">
        <f t="shared" si="2"/>
        <v>3500</v>
      </c>
      <c r="H121" s="330" t="s">
        <v>708</v>
      </c>
    </row>
    <row r="122" spans="1:8" s="30" customFormat="1" ht="49.5" customHeight="1">
      <c r="A122" s="330">
        <v>133</v>
      </c>
      <c r="B122" s="330" t="s">
        <v>349</v>
      </c>
      <c r="C122" s="330" t="s">
        <v>484</v>
      </c>
      <c r="D122" s="331">
        <v>45778</v>
      </c>
      <c r="E122" s="332">
        <v>1300</v>
      </c>
      <c r="F122" s="333">
        <v>2</v>
      </c>
      <c r="G122" s="334">
        <f t="shared" si="2"/>
        <v>2600</v>
      </c>
      <c r="H122" s="330" t="s">
        <v>708</v>
      </c>
    </row>
    <row r="123" spans="1:8" s="30" customFormat="1" ht="49.5" customHeight="1">
      <c r="A123" s="330">
        <v>134</v>
      </c>
      <c r="B123" s="330" t="s">
        <v>349</v>
      </c>
      <c r="C123" s="330" t="s">
        <v>486</v>
      </c>
      <c r="D123" s="331">
        <v>45778</v>
      </c>
      <c r="E123" s="332">
        <v>400</v>
      </c>
      <c r="F123" s="333">
        <v>30</v>
      </c>
      <c r="G123" s="334">
        <f t="shared" si="2"/>
        <v>12000</v>
      </c>
      <c r="H123" s="330" t="s">
        <v>708</v>
      </c>
    </row>
    <row r="124" spans="1:8" s="30" customFormat="1" ht="49.5" customHeight="1">
      <c r="A124" s="330">
        <v>135</v>
      </c>
      <c r="B124" s="330" t="s">
        <v>349</v>
      </c>
      <c r="C124" s="330" t="s">
        <v>487</v>
      </c>
      <c r="D124" s="331">
        <v>45778</v>
      </c>
      <c r="E124" s="332">
        <v>400</v>
      </c>
      <c r="F124" s="333">
        <v>12</v>
      </c>
      <c r="G124" s="334">
        <f t="shared" si="2"/>
        <v>4800</v>
      </c>
      <c r="H124" s="330" t="s">
        <v>708</v>
      </c>
    </row>
    <row r="125" spans="1:8" s="30" customFormat="1" ht="49.5" customHeight="1">
      <c r="A125" s="330">
        <v>136</v>
      </c>
      <c r="B125" s="330" t="s">
        <v>349</v>
      </c>
      <c r="C125" s="330" t="s">
        <v>527</v>
      </c>
      <c r="D125" s="331">
        <v>45778</v>
      </c>
      <c r="E125" s="332">
        <v>450</v>
      </c>
      <c r="F125" s="333">
        <v>2</v>
      </c>
      <c r="G125" s="334">
        <f t="shared" si="2"/>
        <v>900</v>
      </c>
      <c r="H125" s="330" t="s">
        <v>708</v>
      </c>
    </row>
    <row r="126" spans="1:8" s="30" customFormat="1" ht="49.5" customHeight="1">
      <c r="A126" s="330">
        <v>137</v>
      </c>
      <c r="B126" s="330" t="s">
        <v>349</v>
      </c>
      <c r="C126" s="330" t="s">
        <v>510</v>
      </c>
      <c r="D126" s="331">
        <v>45778</v>
      </c>
      <c r="E126" s="332">
        <v>2100</v>
      </c>
      <c r="F126" s="333">
        <v>2</v>
      </c>
      <c r="G126" s="334">
        <f t="shared" si="2"/>
        <v>4200</v>
      </c>
      <c r="H126" s="330" t="s">
        <v>708</v>
      </c>
    </row>
    <row r="127" spans="1:8" s="30" customFormat="1" ht="49.5" customHeight="1">
      <c r="A127" s="330">
        <v>138</v>
      </c>
      <c r="B127" s="330" t="s">
        <v>349</v>
      </c>
      <c r="C127" s="330" t="s">
        <v>511</v>
      </c>
      <c r="D127" s="331">
        <v>45778</v>
      </c>
      <c r="E127" s="332">
        <v>3000</v>
      </c>
      <c r="F127" s="333">
        <v>2</v>
      </c>
      <c r="G127" s="334">
        <f t="shared" si="2"/>
        <v>6000</v>
      </c>
      <c r="H127" s="330" t="s">
        <v>708</v>
      </c>
    </row>
    <row r="128" spans="1:8" s="30" customFormat="1" ht="49.5" customHeight="1">
      <c r="A128" s="330">
        <v>140</v>
      </c>
      <c r="B128" s="330" t="s">
        <v>349</v>
      </c>
      <c r="C128" s="330" t="s">
        <v>528</v>
      </c>
      <c r="D128" s="331">
        <v>45778</v>
      </c>
      <c r="E128" s="332">
        <v>140</v>
      </c>
      <c r="F128" s="333">
        <v>2</v>
      </c>
      <c r="G128" s="334">
        <f t="shared" si="2"/>
        <v>280</v>
      </c>
      <c r="H128" s="330" t="s">
        <v>708</v>
      </c>
    </row>
    <row r="129" spans="1:8" s="30" customFormat="1" ht="49.5" customHeight="1">
      <c r="A129" s="330">
        <v>141</v>
      </c>
      <c r="B129" s="330" t="s">
        <v>349</v>
      </c>
      <c r="C129" s="330" t="s">
        <v>529</v>
      </c>
      <c r="D129" s="331">
        <v>45778</v>
      </c>
      <c r="E129" s="332">
        <v>450</v>
      </c>
      <c r="F129" s="333">
        <v>2</v>
      </c>
      <c r="G129" s="334">
        <f t="shared" si="2"/>
        <v>900</v>
      </c>
      <c r="H129" s="330" t="s">
        <v>708</v>
      </c>
    </row>
    <row r="130" spans="1:8" s="30" customFormat="1" ht="54" customHeight="1">
      <c r="A130" s="330">
        <v>142</v>
      </c>
      <c r="B130" s="330" t="s">
        <v>327</v>
      </c>
      <c r="C130" s="330" t="s">
        <v>593</v>
      </c>
      <c r="D130" s="331">
        <v>45778</v>
      </c>
      <c r="E130" s="332">
        <v>6000</v>
      </c>
      <c r="F130" s="333">
        <v>6</v>
      </c>
      <c r="G130" s="334">
        <f t="shared" si="2"/>
        <v>36000</v>
      </c>
      <c r="H130" s="330" t="s">
        <v>592</v>
      </c>
    </row>
    <row r="131" spans="1:8" s="30" customFormat="1" ht="46.5" customHeight="1">
      <c r="A131" s="330">
        <v>143</v>
      </c>
      <c r="B131" s="330" t="s">
        <v>331</v>
      </c>
      <c r="C131" s="330" t="s">
        <v>594</v>
      </c>
      <c r="D131" s="331">
        <v>45778</v>
      </c>
      <c r="E131" s="332">
        <v>1400</v>
      </c>
      <c r="F131" s="333">
        <v>8</v>
      </c>
      <c r="G131" s="334">
        <f t="shared" si="2"/>
        <v>11200</v>
      </c>
      <c r="H131" s="330" t="s">
        <v>592</v>
      </c>
    </row>
    <row r="132" spans="1:8" s="30" customFormat="1" ht="27.75" customHeight="1">
      <c r="A132" s="330">
        <v>144</v>
      </c>
      <c r="B132" s="330" t="s">
        <v>325</v>
      </c>
      <c r="C132" s="330" t="s">
        <v>461</v>
      </c>
      <c r="D132" s="331">
        <v>45748</v>
      </c>
      <c r="E132" s="332">
        <v>1800</v>
      </c>
      <c r="F132" s="333">
        <v>21</v>
      </c>
      <c r="G132" s="334">
        <f t="shared" si="2"/>
        <v>37800</v>
      </c>
      <c r="H132" s="330" t="s">
        <v>642</v>
      </c>
    </row>
    <row r="133" spans="1:8" s="30" customFormat="1" ht="28.5" customHeight="1">
      <c r="A133" s="330">
        <v>145</v>
      </c>
      <c r="B133" s="330" t="s">
        <v>325</v>
      </c>
      <c r="C133" s="330" t="s">
        <v>461</v>
      </c>
      <c r="D133" s="331">
        <v>46082</v>
      </c>
      <c r="E133" s="332">
        <v>2250</v>
      </c>
      <c r="F133" s="333">
        <v>21</v>
      </c>
      <c r="G133" s="334">
        <f t="shared" si="2"/>
        <v>47250</v>
      </c>
      <c r="H133" s="330" t="s">
        <v>642</v>
      </c>
    </row>
    <row r="134" spans="1:8" s="30" customFormat="1" ht="29.25" customHeight="1">
      <c r="A134" s="330">
        <v>146</v>
      </c>
      <c r="B134" s="330" t="s">
        <v>325</v>
      </c>
      <c r="C134" s="330" t="s">
        <v>461</v>
      </c>
      <c r="D134" s="331">
        <v>46478</v>
      </c>
      <c r="E134" s="332">
        <v>2400</v>
      </c>
      <c r="F134" s="333">
        <v>21</v>
      </c>
      <c r="G134" s="334">
        <f t="shared" si="2"/>
        <v>50400</v>
      </c>
      <c r="H134" s="330" t="s">
        <v>642</v>
      </c>
    </row>
    <row r="135" spans="1:8" s="30" customFormat="1" ht="24" customHeight="1">
      <c r="A135" s="330">
        <v>147</v>
      </c>
      <c r="B135" s="330" t="s">
        <v>327</v>
      </c>
      <c r="C135" s="330" t="s">
        <v>731</v>
      </c>
      <c r="D135" s="331">
        <v>46478</v>
      </c>
      <c r="E135" s="332">
        <v>2900</v>
      </c>
      <c r="F135" s="333">
        <v>38</v>
      </c>
      <c r="G135" s="334">
        <f t="shared" si="2"/>
        <v>110200</v>
      </c>
      <c r="H135" s="330" t="s">
        <v>643</v>
      </c>
    </row>
    <row r="136" spans="1:8" s="30" customFormat="1" ht="18.75" customHeight="1">
      <c r="A136" s="330">
        <v>148</v>
      </c>
      <c r="B136" s="330" t="s">
        <v>327</v>
      </c>
      <c r="C136" s="330" t="s">
        <v>464</v>
      </c>
      <c r="D136" s="331">
        <v>46478</v>
      </c>
      <c r="E136" s="332">
        <v>580</v>
      </c>
      <c r="F136" s="333">
        <v>4</v>
      </c>
      <c r="G136" s="334">
        <f t="shared" si="2"/>
        <v>2320</v>
      </c>
      <c r="H136" s="330" t="s">
        <v>644</v>
      </c>
    </row>
    <row r="137" spans="1:8" s="30" customFormat="1" ht="18.75" customHeight="1">
      <c r="A137" s="330">
        <v>149</v>
      </c>
      <c r="B137" s="330" t="s">
        <v>327</v>
      </c>
      <c r="C137" s="330" t="s">
        <v>596</v>
      </c>
      <c r="D137" s="331">
        <v>46113</v>
      </c>
      <c r="E137" s="332">
        <v>1700</v>
      </c>
      <c r="F137" s="333">
        <v>5</v>
      </c>
      <c r="G137" s="334">
        <f t="shared" si="2"/>
        <v>8500</v>
      </c>
      <c r="H137" s="330" t="s">
        <v>644</v>
      </c>
    </row>
    <row r="138" spans="1:8" s="30" customFormat="1" ht="18.75" customHeight="1">
      <c r="A138" s="330">
        <v>150</v>
      </c>
      <c r="B138" s="330" t="s">
        <v>333</v>
      </c>
      <c r="C138" s="330" t="s">
        <v>465</v>
      </c>
      <c r="D138" s="331">
        <v>46113</v>
      </c>
      <c r="E138" s="332">
        <v>1750</v>
      </c>
      <c r="F138" s="333">
        <v>6</v>
      </c>
      <c r="G138" s="334">
        <f t="shared" si="2"/>
        <v>10500</v>
      </c>
      <c r="H138" s="330" t="s">
        <v>645</v>
      </c>
    </row>
    <row r="139" spans="1:8" s="30" customFormat="1" ht="18.75" customHeight="1">
      <c r="A139" s="330">
        <v>151</v>
      </c>
      <c r="B139" s="330" t="s">
        <v>333</v>
      </c>
      <c r="C139" s="330" t="s">
        <v>466</v>
      </c>
      <c r="D139" s="331">
        <v>46113</v>
      </c>
      <c r="E139" s="332">
        <v>2050</v>
      </c>
      <c r="F139" s="333">
        <v>6</v>
      </c>
      <c r="G139" s="334">
        <f t="shared" si="2"/>
        <v>12300</v>
      </c>
      <c r="H139" s="330" t="s">
        <v>645</v>
      </c>
    </row>
    <row r="140" spans="1:8" s="30" customFormat="1" ht="18.75" customHeight="1">
      <c r="A140" s="330">
        <v>152</v>
      </c>
      <c r="B140" s="330" t="s">
        <v>335</v>
      </c>
      <c r="C140" s="330" t="s">
        <v>467</v>
      </c>
      <c r="D140" s="331">
        <v>46113</v>
      </c>
      <c r="E140" s="332">
        <v>600</v>
      </c>
      <c r="F140" s="333">
        <v>5</v>
      </c>
      <c r="G140" s="334">
        <f t="shared" ref="G140:G167" si="3">F140*E140</f>
        <v>3000</v>
      </c>
      <c r="H140" s="330" t="s">
        <v>646</v>
      </c>
    </row>
    <row r="141" spans="1:8" s="30" customFormat="1" ht="18.75" customHeight="1">
      <c r="A141" s="330">
        <v>153</v>
      </c>
      <c r="B141" s="330" t="s">
        <v>335</v>
      </c>
      <c r="C141" s="330" t="s">
        <v>468</v>
      </c>
      <c r="D141" s="331">
        <v>46113</v>
      </c>
      <c r="E141" s="332">
        <v>750</v>
      </c>
      <c r="F141" s="333">
        <v>5</v>
      </c>
      <c r="G141" s="334">
        <f t="shared" si="3"/>
        <v>3750</v>
      </c>
      <c r="H141" s="330" t="s">
        <v>646</v>
      </c>
    </row>
    <row r="142" spans="1:8" s="30" customFormat="1" ht="18.75" customHeight="1">
      <c r="A142" s="330">
        <v>154</v>
      </c>
      <c r="B142" s="330" t="s">
        <v>335</v>
      </c>
      <c r="C142" s="330" t="s">
        <v>474</v>
      </c>
      <c r="D142" s="331">
        <v>46113</v>
      </c>
      <c r="E142" s="332">
        <v>1100</v>
      </c>
      <c r="F142" s="333">
        <v>6</v>
      </c>
      <c r="G142" s="334">
        <f t="shared" si="3"/>
        <v>6600</v>
      </c>
      <c r="H142" s="330" t="s">
        <v>646</v>
      </c>
    </row>
    <row r="143" spans="1:8" s="30" customFormat="1" ht="18.75" customHeight="1">
      <c r="A143" s="330">
        <v>155</v>
      </c>
      <c r="B143" s="330" t="s">
        <v>335</v>
      </c>
      <c r="C143" s="330" t="s">
        <v>475</v>
      </c>
      <c r="D143" s="331">
        <v>46113</v>
      </c>
      <c r="E143" s="332">
        <v>1500</v>
      </c>
      <c r="F143" s="333">
        <v>6</v>
      </c>
      <c r="G143" s="334">
        <f t="shared" si="3"/>
        <v>9000</v>
      </c>
      <c r="H143" s="330" t="s">
        <v>646</v>
      </c>
    </row>
    <row r="144" spans="1:8" s="30" customFormat="1" ht="18.75" customHeight="1">
      <c r="A144" s="330">
        <v>156</v>
      </c>
      <c r="B144" s="330" t="s">
        <v>335</v>
      </c>
      <c r="C144" s="330" t="s">
        <v>476</v>
      </c>
      <c r="D144" s="331">
        <v>46113</v>
      </c>
      <c r="E144" s="332">
        <v>2500</v>
      </c>
      <c r="F144" s="333">
        <v>6</v>
      </c>
      <c r="G144" s="334">
        <f t="shared" si="3"/>
        <v>15000</v>
      </c>
      <c r="H144" s="330" t="s">
        <v>646</v>
      </c>
    </row>
    <row r="145" spans="1:8" s="30" customFormat="1" ht="18.75" customHeight="1">
      <c r="A145" s="330">
        <v>157</v>
      </c>
      <c r="B145" s="330" t="s">
        <v>335</v>
      </c>
      <c r="C145" s="330" t="s">
        <v>474</v>
      </c>
      <c r="D145" s="331">
        <v>46113</v>
      </c>
      <c r="E145" s="332">
        <v>1100</v>
      </c>
      <c r="F145" s="333">
        <v>6</v>
      </c>
      <c r="G145" s="334">
        <f t="shared" si="3"/>
        <v>6600</v>
      </c>
      <c r="H145" s="330" t="s">
        <v>646</v>
      </c>
    </row>
    <row r="146" spans="1:8" s="30" customFormat="1" ht="18.75" customHeight="1">
      <c r="A146" s="330">
        <v>158</v>
      </c>
      <c r="B146" s="330" t="s">
        <v>335</v>
      </c>
      <c r="C146" s="330" t="s">
        <v>475</v>
      </c>
      <c r="D146" s="331">
        <v>46539</v>
      </c>
      <c r="E146" s="332">
        <v>1500</v>
      </c>
      <c r="F146" s="333">
        <v>6</v>
      </c>
      <c r="G146" s="334">
        <f t="shared" si="3"/>
        <v>9000</v>
      </c>
      <c r="H146" s="330" t="s">
        <v>646</v>
      </c>
    </row>
    <row r="147" spans="1:8" s="30" customFormat="1" ht="18.75" customHeight="1">
      <c r="A147" s="330">
        <v>159</v>
      </c>
      <c r="B147" s="330" t="s">
        <v>335</v>
      </c>
      <c r="C147" s="330" t="s">
        <v>476</v>
      </c>
      <c r="D147" s="331">
        <v>46539</v>
      </c>
      <c r="E147" s="332">
        <v>2500</v>
      </c>
      <c r="F147" s="333">
        <v>6</v>
      </c>
      <c r="G147" s="334">
        <f t="shared" si="3"/>
        <v>15000</v>
      </c>
      <c r="H147" s="330" t="s">
        <v>646</v>
      </c>
    </row>
    <row r="148" spans="1:8" s="30" customFormat="1" ht="18.75" customHeight="1">
      <c r="A148" s="330">
        <v>160</v>
      </c>
      <c r="B148" s="330" t="s">
        <v>335</v>
      </c>
      <c r="C148" s="330" t="s">
        <v>477</v>
      </c>
      <c r="D148" s="331">
        <v>45992</v>
      </c>
      <c r="E148" s="332">
        <v>500</v>
      </c>
      <c r="F148" s="333">
        <v>7</v>
      </c>
      <c r="G148" s="334">
        <f t="shared" si="3"/>
        <v>3500</v>
      </c>
      <c r="H148" s="330" t="s">
        <v>646</v>
      </c>
    </row>
    <row r="149" spans="1:8" s="30" customFormat="1" ht="18.75" customHeight="1">
      <c r="A149" s="330">
        <v>161</v>
      </c>
      <c r="B149" s="330" t="s">
        <v>335</v>
      </c>
      <c r="C149" s="330" t="s">
        <v>479</v>
      </c>
      <c r="D149" s="331">
        <v>45809</v>
      </c>
      <c r="E149" s="332">
        <v>200</v>
      </c>
      <c r="F149" s="333">
        <v>15</v>
      </c>
      <c r="G149" s="334">
        <f t="shared" si="3"/>
        <v>3000</v>
      </c>
      <c r="H149" s="330" t="s">
        <v>646</v>
      </c>
    </row>
    <row r="150" spans="1:8" s="30" customFormat="1" ht="18.75" customHeight="1">
      <c r="A150" s="330">
        <v>162</v>
      </c>
      <c r="B150" s="330" t="s">
        <v>335</v>
      </c>
      <c r="C150" s="330" t="s">
        <v>479</v>
      </c>
      <c r="D150" s="331">
        <v>46539</v>
      </c>
      <c r="E150" s="332">
        <v>240</v>
      </c>
      <c r="F150" s="333">
        <v>15</v>
      </c>
      <c r="G150" s="334">
        <f t="shared" si="3"/>
        <v>3600</v>
      </c>
      <c r="H150" s="330" t="s">
        <v>646</v>
      </c>
    </row>
    <row r="151" spans="1:8" s="30" customFormat="1" ht="18.75" customHeight="1">
      <c r="A151" s="330">
        <v>163</v>
      </c>
      <c r="B151" s="330" t="s">
        <v>335</v>
      </c>
      <c r="C151" s="330" t="s">
        <v>712</v>
      </c>
      <c r="D151" s="331">
        <v>45839</v>
      </c>
      <c r="E151" s="332">
        <v>30000</v>
      </c>
      <c r="F151" s="333">
        <v>1</v>
      </c>
      <c r="G151" s="334">
        <f t="shared" si="3"/>
        <v>30000</v>
      </c>
      <c r="H151" s="330" t="s">
        <v>713</v>
      </c>
    </row>
    <row r="152" spans="1:8" s="30" customFormat="1" ht="18.75" customHeight="1">
      <c r="A152" s="330">
        <v>164</v>
      </c>
      <c r="B152" s="330" t="s">
        <v>327</v>
      </c>
      <c r="C152" s="330" t="s">
        <v>717</v>
      </c>
      <c r="D152" s="331">
        <v>45870</v>
      </c>
      <c r="E152" s="332">
        <v>30000</v>
      </c>
      <c r="F152" s="333">
        <v>1</v>
      </c>
      <c r="G152" s="334">
        <f t="shared" si="3"/>
        <v>30000</v>
      </c>
      <c r="H152" s="330" t="s">
        <v>713</v>
      </c>
    </row>
    <row r="153" spans="1:8" s="30" customFormat="1" ht="18.75" customHeight="1">
      <c r="A153" s="330">
        <v>165</v>
      </c>
      <c r="B153" s="330" t="s">
        <v>349</v>
      </c>
      <c r="C153" s="330" t="s">
        <v>714</v>
      </c>
      <c r="D153" s="331">
        <v>45901</v>
      </c>
      <c r="E153" s="332">
        <v>20000</v>
      </c>
      <c r="F153" s="333">
        <v>1</v>
      </c>
      <c r="G153" s="334">
        <f t="shared" si="3"/>
        <v>20000</v>
      </c>
      <c r="H153" s="330" t="s">
        <v>713</v>
      </c>
    </row>
    <row r="154" spans="1:8" s="30" customFormat="1" ht="18.75" customHeight="1">
      <c r="A154" s="330">
        <v>166</v>
      </c>
      <c r="B154" s="330" t="s">
        <v>335</v>
      </c>
      <c r="C154" s="330" t="s">
        <v>716</v>
      </c>
      <c r="D154" s="331">
        <v>45931</v>
      </c>
      <c r="E154" s="332">
        <v>40000</v>
      </c>
      <c r="F154" s="333">
        <v>1</v>
      </c>
      <c r="G154" s="334">
        <f t="shared" si="3"/>
        <v>40000</v>
      </c>
      <c r="H154" s="330" t="s">
        <v>715</v>
      </c>
    </row>
    <row r="155" spans="1:8" s="30" customFormat="1" ht="18.75" customHeight="1">
      <c r="A155" s="330">
        <v>167</v>
      </c>
      <c r="B155" s="330" t="s">
        <v>327</v>
      </c>
      <c r="C155" s="330" t="s">
        <v>717</v>
      </c>
      <c r="D155" s="331">
        <v>45962</v>
      </c>
      <c r="E155" s="332">
        <v>30000</v>
      </c>
      <c r="F155" s="333">
        <v>1</v>
      </c>
      <c r="G155" s="334">
        <f t="shared" si="3"/>
        <v>30000</v>
      </c>
      <c r="H155" s="330" t="s">
        <v>715</v>
      </c>
    </row>
    <row r="156" spans="1:8" s="30" customFormat="1" ht="18.75" customHeight="1">
      <c r="A156" s="330">
        <v>168</v>
      </c>
      <c r="B156" s="330" t="s">
        <v>349</v>
      </c>
      <c r="C156" s="330" t="s">
        <v>718</v>
      </c>
      <c r="D156" s="331">
        <v>45992</v>
      </c>
      <c r="E156" s="332">
        <v>20000</v>
      </c>
      <c r="F156" s="333">
        <v>1</v>
      </c>
      <c r="G156" s="334">
        <f t="shared" si="3"/>
        <v>20000</v>
      </c>
      <c r="H156" s="330" t="s">
        <v>715</v>
      </c>
    </row>
    <row r="157" spans="1:8" s="30" customFormat="1" ht="18.75" customHeight="1">
      <c r="A157" s="330">
        <v>169</v>
      </c>
      <c r="B157" s="330" t="s">
        <v>349</v>
      </c>
      <c r="C157" s="330" t="s">
        <v>522</v>
      </c>
      <c r="D157" s="331">
        <v>45992</v>
      </c>
      <c r="E157" s="332">
        <v>2800</v>
      </c>
      <c r="F157" s="333">
        <v>1</v>
      </c>
      <c r="G157" s="334">
        <f t="shared" si="3"/>
        <v>2800</v>
      </c>
      <c r="H157" s="330" t="s">
        <v>647</v>
      </c>
    </row>
    <row r="158" spans="1:8" s="30" customFormat="1" ht="18.75" customHeight="1">
      <c r="A158" s="330">
        <v>170</v>
      </c>
      <c r="B158" s="330" t="s">
        <v>349</v>
      </c>
      <c r="C158" s="330" t="s">
        <v>522</v>
      </c>
      <c r="D158" s="331">
        <v>45870</v>
      </c>
      <c r="E158" s="332">
        <v>2800</v>
      </c>
      <c r="F158" s="333">
        <v>1</v>
      </c>
      <c r="G158" s="334">
        <f t="shared" si="3"/>
        <v>2800</v>
      </c>
      <c r="H158" s="330" t="s">
        <v>647</v>
      </c>
    </row>
    <row r="159" spans="1:8" s="30" customFormat="1" ht="18.75" customHeight="1">
      <c r="A159" s="330">
        <v>171</v>
      </c>
      <c r="B159" s="330" t="s">
        <v>349</v>
      </c>
      <c r="C159" s="330" t="s">
        <v>522</v>
      </c>
      <c r="D159" s="331">
        <v>45748</v>
      </c>
      <c r="E159" s="332">
        <v>2800</v>
      </c>
      <c r="F159" s="333">
        <v>1</v>
      </c>
      <c r="G159" s="334">
        <f t="shared" si="3"/>
        <v>2800</v>
      </c>
      <c r="H159" s="330" t="s">
        <v>647</v>
      </c>
    </row>
    <row r="160" spans="1:8" s="30" customFormat="1" ht="18.75" customHeight="1">
      <c r="A160" s="330">
        <v>172</v>
      </c>
      <c r="B160" s="330" t="s">
        <v>349</v>
      </c>
      <c r="C160" s="330" t="s">
        <v>522</v>
      </c>
      <c r="D160" s="331">
        <v>46600</v>
      </c>
      <c r="E160" s="332">
        <v>2800</v>
      </c>
      <c r="F160" s="333">
        <v>1</v>
      </c>
      <c r="G160" s="334">
        <f t="shared" si="3"/>
        <v>2800</v>
      </c>
      <c r="H160" s="330" t="s">
        <v>647</v>
      </c>
    </row>
    <row r="161" spans="1:8" s="30" customFormat="1" ht="18.75" customHeight="1">
      <c r="A161" s="330">
        <v>173</v>
      </c>
      <c r="B161" s="330" t="s">
        <v>349</v>
      </c>
      <c r="C161" s="330" t="s">
        <v>522</v>
      </c>
      <c r="D161" s="331">
        <v>46966</v>
      </c>
      <c r="E161" s="332">
        <v>2800</v>
      </c>
      <c r="F161" s="333">
        <v>1</v>
      </c>
      <c r="G161" s="334">
        <f t="shared" si="3"/>
        <v>2800</v>
      </c>
      <c r="H161" s="330" t="s">
        <v>647</v>
      </c>
    </row>
    <row r="162" spans="1:8" s="30" customFormat="1" ht="18.75" customHeight="1">
      <c r="A162" s="330">
        <v>174</v>
      </c>
      <c r="B162" s="330" t="s">
        <v>335</v>
      </c>
      <c r="C162" s="375" t="s">
        <v>541</v>
      </c>
      <c r="D162" s="331">
        <v>45689</v>
      </c>
      <c r="E162" s="332">
        <v>1100</v>
      </c>
      <c r="F162" s="333">
        <v>2</v>
      </c>
      <c r="G162" s="334">
        <f t="shared" si="3"/>
        <v>2200</v>
      </c>
      <c r="H162" s="330" t="s">
        <v>647</v>
      </c>
    </row>
    <row r="163" spans="1:8" s="30" customFormat="1" ht="18.75" customHeight="1">
      <c r="A163" s="330">
        <v>175</v>
      </c>
      <c r="B163" s="330" t="s">
        <v>335</v>
      </c>
      <c r="C163" s="375" t="s">
        <v>541</v>
      </c>
      <c r="D163" s="331">
        <v>46082</v>
      </c>
      <c r="E163" s="332">
        <v>1100</v>
      </c>
      <c r="F163" s="333">
        <v>2</v>
      </c>
      <c r="G163" s="334">
        <f t="shared" si="3"/>
        <v>2200</v>
      </c>
      <c r="H163" s="330" t="s">
        <v>647</v>
      </c>
    </row>
    <row r="164" spans="1:8" s="30" customFormat="1" ht="18.75" customHeight="1">
      <c r="A164" s="330">
        <v>176</v>
      </c>
      <c r="B164" s="330" t="s">
        <v>335</v>
      </c>
      <c r="C164" s="375" t="s">
        <v>541</v>
      </c>
      <c r="D164" s="331">
        <v>46478</v>
      </c>
      <c r="E164" s="332">
        <v>1100</v>
      </c>
      <c r="F164" s="333">
        <v>2</v>
      </c>
      <c r="G164" s="334">
        <f t="shared" si="3"/>
        <v>2200</v>
      </c>
      <c r="H164" s="330" t="s">
        <v>647</v>
      </c>
    </row>
    <row r="165" spans="1:8" s="30" customFormat="1" ht="18.75" customHeight="1">
      <c r="A165" s="330">
        <v>177</v>
      </c>
      <c r="B165" s="330" t="s">
        <v>335</v>
      </c>
      <c r="C165" s="375" t="s">
        <v>541</v>
      </c>
      <c r="D165" s="331">
        <v>46874</v>
      </c>
      <c r="E165" s="332">
        <v>1100</v>
      </c>
      <c r="F165" s="333">
        <v>2</v>
      </c>
      <c r="G165" s="334">
        <f t="shared" si="3"/>
        <v>2200</v>
      </c>
      <c r="H165" s="330" t="s">
        <v>647</v>
      </c>
    </row>
    <row r="166" spans="1:8" s="30" customFormat="1" ht="18.75" customHeight="1">
      <c r="A166" s="330">
        <v>178</v>
      </c>
      <c r="B166" s="330" t="s">
        <v>349</v>
      </c>
      <c r="C166" s="330" t="s">
        <v>521</v>
      </c>
      <c r="D166" s="331">
        <v>45748</v>
      </c>
      <c r="E166" s="332">
        <v>2800</v>
      </c>
      <c r="F166" s="333">
        <v>2</v>
      </c>
      <c r="G166" s="334">
        <f t="shared" si="3"/>
        <v>5600</v>
      </c>
      <c r="H166" s="330" t="s">
        <v>647</v>
      </c>
    </row>
    <row r="167" spans="1:8" s="30" customFormat="1" ht="18.75" customHeight="1">
      <c r="A167" s="330">
        <v>179</v>
      </c>
      <c r="B167" s="330" t="s">
        <v>349</v>
      </c>
      <c r="C167" s="330" t="s">
        <v>521</v>
      </c>
      <c r="D167" s="331">
        <v>46478</v>
      </c>
      <c r="E167" s="332">
        <v>2800</v>
      </c>
      <c r="F167" s="333">
        <v>2</v>
      </c>
      <c r="G167" s="334">
        <f t="shared" si="3"/>
        <v>5600</v>
      </c>
      <c r="H167" s="330" t="s">
        <v>647</v>
      </c>
    </row>
    <row r="168" spans="1:8" s="30" customFormat="1" ht="18.75" customHeight="1">
      <c r="A168" s="330">
        <v>208</v>
      </c>
      <c r="B168" s="330" t="s">
        <v>335</v>
      </c>
      <c r="C168" s="330" t="s">
        <v>481</v>
      </c>
      <c r="D168" s="331">
        <v>45809</v>
      </c>
      <c r="E168" s="332">
        <v>1685.4</v>
      </c>
      <c r="F168" s="333">
        <v>3</v>
      </c>
      <c r="G168" s="334">
        <f t="shared" ref="G168:G214" si="4">F168*E168</f>
        <v>5056.2000000000007</v>
      </c>
      <c r="H168" s="330" t="s">
        <v>647</v>
      </c>
    </row>
    <row r="169" spans="1:8" s="30" customFormat="1" ht="18.75" customHeight="1">
      <c r="A169" s="330">
        <v>209</v>
      </c>
      <c r="B169" s="330" t="s">
        <v>335</v>
      </c>
      <c r="C169" s="330" t="s">
        <v>481</v>
      </c>
      <c r="D169" s="331">
        <v>46174</v>
      </c>
      <c r="E169" s="332">
        <v>1786.52</v>
      </c>
      <c r="F169" s="333">
        <v>3</v>
      </c>
      <c r="G169" s="334">
        <f t="shared" si="4"/>
        <v>5359.5599999999995</v>
      </c>
      <c r="H169" s="330" t="s">
        <v>647</v>
      </c>
    </row>
    <row r="170" spans="1:8" s="30" customFormat="1" ht="18.75" customHeight="1">
      <c r="A170" s="330">
        <v>210</v>
      </c>
      <c r="B170" s="330" t="s">
        <v>335</v>
      </c>
      <c r="C170" s="330" t="s">
        <v>481</v>
      </c>
      <c r="D170" s="331">
        <v>45748</v>
      </c>
      <c r="E170" s="332">
        <v>1893.71</v>
      </c>
      <c r="F170" s="333">
        <v>3</v>
      </c>
      <c r="G170" s="334">
        <f t="shared" si="4"/>
        <v>5681.13</v>
      </c>
      <c r="H170" s="330" t="s">
        <v>647</v>
      </c>
    </row>
    <row r="171" spans="1:8" s="30" customFormat="1" ht="18.75" customHeight="1">
      <c r="A171" s="330">
        <v>211</v>
      </c>
      <c r="B171" s="330" t="s">
        <v>335</v>
      </c>
      <c r="C171" s="330" t="s">
        <v>481</v>
      </c>
      <c r="D171" s="331">
        <v>46905</v>
      </c>
      <c r="E171" s="332">
        <v>2007.33</v>
      </c>
      <c r="F171" s="333">
        <v>3</v>
      </c>
      <c r="G171" s="334">
        <f t="shared" si="4"/>
        <v>6021.99</v>
      </c>
      <c r="H171" s="330" t="s">
        <v>647</v>
      </c>
    </row>
    <row r="172" spans="1:8" s="30" customFormat="1" ht="18.75" customHeight="1">
      <c r="A172" s="330">
        <v>212</v>
      </c>
      <c r="B172" s="330" t="s">
        <v>335</v>
      </c>
      <c r="C172" s="330" t="s">
        <v>506</v>
      </c>
      <c r="D172" s="331">
        <v>46235</v>
      </c>
      <c r="E172" s="332">
        <v>180</v>
      </c>
      <c r="F172" s="333">
        <v>2</v>
      </c>
      <c r="G172" s="334">
        <f t="shared" si="4"/>
        <v>360</v>
      </c>
      <c r="H172" s="330" t="s">
        <v>647</v>
      </c>
    </row>
    <row r="173" spans="1:8" s="30" customFormat="1" ht="18.75" customHeight="1">
      <c r="A173" s="330">
        <v>213</v>
      </c>
      <c r="B173" s="330" t="s">
        <v>335</v>
      </c>
      <c r="C173" s="330" t="s">
        <v>507</v>
      </c>
      <c r="D173" s="331">
        <v>46235</v>
      </c>
      <c r="E173" s="332">
        <v>130</v>
      </c>
      <c r="F173" s="333">
        <v>2</v>
      </c>
      <c r="G173" s="334">
        <f t="shared" si="4"/>
        <v>260</v>
      </c>
      <c r="H173" s="330" t="s">
        <v>647</v>
      </c>
    </row>
    <row r="174" spans="1:8" s="30" customFormat="1" ht="18.75" customHeight="1">
      <c r="A174" s="330">
        <v>214</v>
      </c>
      <c r="B174" s="330" t="s">
        <v>335</v>
      </c>
      <c r="C174" s="330" t="s">
        <v>508</v>
      </c>
      <c r="D174" s="331">
        <v>46235</v>
      </c>
      <c r="E174" s="332">
        <v>800</v>
      </c>
      <c r="F174" s="333">
        <v>2</v>
      </c>
      <c r="G174" s="334">
        <f t="shared" si="4"/>
        <v>1600</v>
      </c>
      <c r="H174" s="330" t="s">
        <v>647</v>
      </c>
    </row>
    <row r="175" spans="1:8" s="30" customFormat="1" ht="18.75" customHeight="1">
      <c r="A175" s="330">
        <v>215</v>
      </c>
      <c r="B175" s="330" t="s">
        <v>335</v>
      </c>
      <c r="C175" s="330" t="s">
        <v>506</v>
      </c>
      <c r="D175" s="331">
        <v>46905</v>
      </c>
      <c r="E175" s="332">
        <v>180</v>
      </c>
      <c r="F175" s="333">
        <v>2</v>
      </c>
      <c r="G175" s="334">
        <f t="shared" si="4"/>
        <v>360</v>
      </c>
      <c r="H175" s="330" t="s">
        <v>647</v>
      </c>
    </row>
    <row r="176" spans="1:8" s="30" customFormat="1" ht="18.75" customHeight="1">
      <c r="A176" s="330">
        <v>216</v>
      </c>
      <c r="B176" s="330" t="s">
        <v>335</v>
      </c>
      <c r="C176" s="330" t="s">
        <v>507</v>
      </c>
      <c r="D176" s="331">
        <v>46905</v>
      </c>
      <c r="E176" s="332">
        <v>130</v>
      </c>
      <c r="F176" s="333">
        <v>2</v>
      </c>
      <c r="G176" s="334">
        <f t="shared" si="4"/>
        <v>260</v>
      </c>
      <c r="H176" s="330" t="s">
        <v>647</v>
      </c>
    </row>
    <row r="177" spans="1:8" s="30" customFormat="1" ht="18.75" customHeight="1">
      <c r="A177" s="330">
        <v>217</v>
      </c>
      <c r="B177" s="330" t="s">
        <v>335</v>
      </c>
      <c r="C177" s="330" t="s">
        <v>508</v>
      </c>
      <c r="D177" s="331">
        <v>46905</v>
      </c>
      <c r="E177" s="332">
        <v>800</v>
      </c>
      <c r="F177" s="333">
        <v>2</v>
      </c>
      <c r="G177" s="334">
        <f t="shared" si="4"/>
        <v>1600</v>
      </c>
      <c r="H177" s="330" t="s">
        <v>647</v>
      </c>
    </row>
    <row r="178" spans="1:8" s="30" customFormat="1" ht="18.75" customHeight="1">
      <c r="A178" s="330">
        <v>218</v>
      </c>
      <c r="B178" s="330" t="s">
        <v>349</v>
      </c>
      <c r="C178" s="330" t="s">
        <v>486</v>
      </c>
      <c r="D178" s="331">
        <v>45931</v>
      </c>
      <c r="E178" s="332">
        <v>400</v>
      </c>
      <c r="F178" s="333">
        <v>5</v>
      </c>
      <c r="G178" s="334">
        <f t="shared" si="4"/>
        <v>2000</v>
      </c>
      <c r="H178" s="330" t="s">
        <v>647</v>
      </c>
    </row>
    <row r="179" spans="1:8" s="30" customFormat="1" ht="18.75" customHeight="1">
      <c r="A179" s="330">
        <v>219</v>
      </c>
      <c r="B179" s="330" t="s">
        <v>349</v>
      </c>
      <c r="C179" s="330" t="s">
        <v>487</v>
      </c>
      <c r="D179" s="331">
        <v>45931</v>
      </c>
      <c r="E179" s="332">
        <v>400</v>
      </c>
      <c r="F179" s="333">
        <v>2</v>
      </c>
      <c r="G179" s="334">
        <f t="shared" si="4"/>
        <v>800</v>
      </c>
      <c r="H179" s="330" t="s">
        <v>647</v>
      </c>
    </row>
    <row r="180" spans="1:8" s="30" customFormat="1" ht="18.75" customHeight="1">
      <c r="A180" s="330">
        <v>220</v>
      </c>
      <c r="B180" s="330" t="s">
        <v>349</v>
      </c>
      <c r="C180" s="330" t="s">
        <v>486</v>
      </c>
      <c r="D180" s="331">
        <v>46296</v>
      </c>
      <c r="E180" s="332">
        <v>400</v>
      </c>
      <c r="F180" s="333">
        <v>5</v>
      </c>
      <c r="G180" s="334">
        <f t="shared" si="4"/>
        <v>2000</v>
      </c>
      <c r="H180" s="330" t="s">
        <v>647</v>
      </c>
    </row>
    <row r="181" spans="1:8" s="30" customFormat="1" ht="18.75" customHeight="1">
      <c r="A181" s="330">
        <v>221</v>
      </c>
      <c r="B181" s="330" t="s">
        <v>349</v>
      </c>
      <c r="C181" s="330" t="s">
        <v>487</v>
      </c>
      <c r="D181" s="331">
        <v>46296</v>
      </c>
      <c r="E181" s="332">
        <v>400</v>
      </c>
      <c r="F181" s="333">
        <v>2</v>
      </c>
      <c r="G181" s="334">
        <f t="shared" si="4"/>
        <v>800</v>
      </c>
      <c r="H181" s="330" t="s">
        <v>647</v>
      </c>
    </row>
    <row r="182" spans="1:8" s="30" customFormat="1" ht="18.75" customHeight="1">
      <c r="A182" s="330">
        <v>222</v>
      </c>
      <c r="B182" s="330" t="s">
        <v>349</v>
      </c>
      <c r="C182" s="330" t="s">
        <v>486</v>
      </c>
      <c r="D182" s="331">
        <v>46661</v>
      </c>
      <c r="E182" s="332">
        <v>400</v>
      </c>
      <c r="F182" s="333">
        <v>5</v>
      </c>
      <c r="G182" s="334">
        <f t="shared" si="4"/>
        <v>2000</v>
      </c>
      <c r="H182" s="330" t="s">
        <v>647</v>
      </c>
    </row>
    <row r="183" spans="1:8" s="30" customFormat="1" ht="18.75" customHeight="1">
      <c r="A183" s="330">
        <v>223</v>
      </c>
      <c r="B183" s="330" t="s">
        <v>349</v>
      </c>
      <c r="C183" s="330" t="s">
        <v>487</v>
      </c>
      <c r="D183" s="331">
        <v>46661</v>
      </c>
      <c r="E183" s="332">
        <v>400</v>
      </c>
      <c r="F183" s="333">
        <v>2</v>
      </c>
      <c r="G183" s="334">
        <f t="shared" si="4"/>
        <v>800</v>
      </c>
      <c r="H183" s="330" t="s">
        <v>647</v>
      </c>
    </row>
    <row r="184" spans="1:8" s="30" customFormat="1" ht="18.75" customHeight="1">
      <c r="A184" s="330">
        <v>224</v>
      </c>
      <c r="B184" s="330" t="s">
        <v>349</v>
      </c>
      <c r="C184" s="330" t="s">
        <v>486</v>
      </c>
      <c r="D184" s="331">
        <v>47027</v>
      </c>
      <c r="E184" s="332">
        <v>400</v>
      </c>
      <c r="F184" s="333">
        <v>5</v>
      </c>
      <c r="G184" s="334">
        <f t="shared" si="4"/>
        <v>2000</v>
      </c>
      <c r="H184" s="330" t="s">
        <v>647</v>
      </c>
    </row>
    <row r="185" spans="1:8" s="30" customFormat="1" ht="18.75" customHeight="1">
      <c r="A185" s="330">
        <v>225</v>
      </c>
      <c r="B185" s="330" t="s">
        <v>349</v>
      </c>
      <c r="C185" s="330" t="s">
        <v>487</v>
      </c>
      <c r="D185" s="331">
        <v>47027</v>
      </c>
      <c r="E185" s="332">
        <v>400</v>
      </c>
      <c r="F185" s="333">
        <v>2</v>
      </c>
      <c r="G185" s="334">
        <f t="shared" si="4"/>
        <v>800</v>
      </c>
      <c r="H185" s="330" t="s">
        <v>647</v>
      </c>
    </row>
    <row r="186" spans="1:8" s="30" customFormat="1" ht="70" customHeight="1">
      <c r="A186" s="330">
        <v>226</v>
      </c>
      <c r="B186" s="330" t="s">
        <v>349</v>
      </c>
      <c r="C186" s="330" t="s">
        <v>648</v>
      </c>
      <c r="D186" s="331">
        <v>45689</v>
      </c>
      <c r="E186" s="332">
        <v>15000</v>
      </c>
      <c r="F186" s="333">
        <v>1</v>
      </c>
      <c r="G186" s="334">
        <f t="shared" si="4"/>
        <v>15000</v>
      </c>
      <c r="H186" s="330" t="s">
        <v>649</v>
      </c>
    </row>
    <row r="187" spans="1:8" s="30" customFormat="1" ht="70" customHeight="1">
      <c r="A187" s="330">
        <v>227</v>
      </c>
      <c r="B187" s="330" t="s">
        <v>349</v>
      </c>
      <c r="C187" s="330" t="s">
        <v>648</v>
      </c>
      <c r="D187" s="331">
        <v>46054</v>
      </c>
      <c r="E187" s="332">
        <v>15000</v>
      </c>
      <c r="F187" s="333">
        <v>1</v>
      </c>
      <c r="G187" s="334">
        <f t="shared" si="4"/>
        <v>15000</v>
      </c>
      <c r="H187" s="330" t="s">
        <v>649</v>
      </c>
    </row>
    <row r="188" spans="1:8" s="30" customFormat="1" ht="70" customHeight="1">
      <c r="A188" s="330">
        <v>228</v>
      </c>
      <c r="B188" s="330" t="s">
        <v>349</v>
      </c>
      <c r="C188" s="330" t="s">
        <v>648</v>
      </c>
      <c r="D188" s="331">
        <v>46204</v>
      </c>
      <c r="E188" s="332">
        <v>15000</v>
      </c>
      <c r="F188" s="333">
        <v>1</v>
      </c>
      <c r="G188" s="334">
        <f t="shared" si="4"/>
        <v>15000</v>
      </c>
      <c r="H188" s="330" t="s">
        <v>649</v>
      </c>
    </row>
    <row r="189" spans="1:8" s="30" customFormat="1" ht="70" customHeight="1">
      <c r="A189" s="330">
        <v>229</v>
      </c>
      <c r="B189" s="330" t="s">
        <v>349</v>
      </c>
      <c r="C189" s="330" t="s">
        <v>648</v>
      </c>
      <c r="D189" s="331">
        <v>46569</v>
      </c>
      <c r="E189" s="332">
        <v>15000</v>
      </c>
      <c r="F189" s="333">
        <v>1</v>
      </c>
      <c r="G189" s="334">
        <f t="shared" si="4"/>
        <v>15000</v>
      </c>
      <c r="H189" s="330" t="s">
        <v>649</v>
      </c>
    </row>
    <row r="190" spans="1:8" s="30" customFormat="1" ht="70" customHeight="1">
      <c r="A190" s="330">
        <v>230</v>
      </c>
      <c r="B190" s="330" t="s">
        <v>349</v>
      </c>
      <c r="C190" s="330" t="s">
        <v>648</v>
      </c>
      <c r="D190" s="331">
        <v>46813</v>
      </c>
      <c r="E190" s="332">
        <v>15000</v>
      </c>
      <c r="F190" s="333">
        <v>1</v>
      </c>
      <c r="G190" s="334">
        <f t="shared" si="4"/>
        <v>15000</v>
      </c>
      <c r="H190" s="330" t="s">
        <v>649</v>
      </c>
    </row>
    <row r="191" spans="1:8" s="30" customFormat="1" ht="22" customHeight="1">
      <c r="A191" s="330">
        <v>231</v>
      </c>
      <c r="B191" s="330" t="s">
        <v>325</v>
      </c>
      <c r="C191" s="330" t="s">
        <v>650</v>
      </c>
      <c r="D191" s="331">
        <v>45689</v>
      </c>
      <c r="E191" s="332">
        <v>2500</v>
      </c>
      <c r="F191" s="333">
        <v>1</v>
      </c>
      <c r="G191" s="334">
        <f t="shared" si="4"/>
        <v>2500</v>
      </c>
      <c r="H191" s="330" t="s">
        <v>651</v>
      </c>
    </row>
    <row r="192" spans="1:8" s="30" customFormat="1" ht="22" customHeight="1">
      <c r="A192" s="330">
        <v>232</v>
      </c>
      <c r="B192" s="330" t="s">
        <v>325</v>
      </c>
      <c r="C192" s="330" t="s">
        <v>650</v>
      </c>
      <c r="D192" s="331">
        <v>45839</v>
      </c>
      <c r="E192" s="332">
        <v>2500</v>
      </c>
      <c r="F192" s="333">
        <v>1</v>
      </c>
      <c r="G192" s="334">
        <f t="shared" si="4"/>
        <v>2500</v>
      </c>
      <c r="H192" s="330" t="s">
        <v>651</v>
      </c>
    </row>
    <row r="193" spans="1:8" s="30" customFormat="1" ht="22" customHeight="1">
      <c r="A193" s="330">
        <v>233</v>
      </c>
      <c r="B193" s="330" t="s">
        <v>325</v>
      </c>
      <c r="C193" s="330" t="s">
        <v>650</v>
      </c>
      <c r="D193" s="331">
        <v>45992</v>
      </c>
      <c r="E193" s="332">
        <v>2500</v>
      </c>
      <c r="F193" s="333">
        <v>1</v>
      </c>
      <c r="G193" s="334">
        <f t="shared" si="4"/>
        <v>2500</v>
      </c>
      <c r="H193" s="330" t="s">
        <v>651</v>
      </c>
    </row>
    <row r="194" spans="1:8" s="30" customFormat="1" ht="22" customHeight="1">
      <c r="A194" s="330">
        <v>234</v>
      </c>
      <c r="B194" s="330" t="s">
        <v>325</v>
      </c>
      <c r="C194" s="330" t="s">
        <v>650</v>
      </c>
      <c r="D194" s="331">
        <v>46082</v>
      </c>
      <c r="E194" s="332">
        <v>2500</v>
      </c>
      <c r="F194" s="333">
        <v>1</v>
      </c>
      <c r="G194" s="334">
        <f t="shared" si="4"/>
        <v>2500</v>
      </c>
      <c r="H194" s="330" t="s">
        <v>651</v>
      </c>
    </row>
    <row r="195" spans="1:8" s="30" customFormat="1" ht="22" customHeight="1">
      <c r="A195" s="330">
        <v>235</v>
      </c>
      <c r="B195" s="330" t="s">
        <v>325</v>
      </c>
      <c r="C195" s="330" t="s">
        <v>650</v>
      </c>
      <c r="D195" s="331">
        <v>46327</v>
      </c>
      <c r="E195" s="332">
        <v>2500</v>
      </c>
      <c r="F195" s="333">
        <v>1</v>
      </c>
      <c r="G195" s="334">
        <f t="shared" si="4"/>
        <v>2500</v>
      </c>
      <c r="H195" s="330" t="s">
        <v>651</v>
      </c>
    </row>
    <row r="196" spans="1:8" s="30" customFormat="1" ht="22" customHeight="1">
      <c r="A196" s="330">
        <v>236</v>
      </c>
      <c r="B196" s="330" t="s">
        <v>325</v>
      </c>
      <c r="C196" s="330" t="s">
        <v>650</v>
      </c>
      <c r="D196" s="331">
        <v>46419</v>
      </c>
      <c r="E196" s="332">
        <v>2500</v>
      </c>
      <c r="F196" s="333">
        <v>1</v>
      </c>
      <c r="G196" s="334">
        <f t="shared" si="4"/>
        <v>2500</v>
      </c>
      <c r="H196" s="330" t="s">
        <v>651</v>
      </c>
    </row>
    <row r="197" spans="1:8" s="30" customFormat="1" ht="22" customHeight="1">
      <c r="A197" s="330">
        <v>237</v>
      </c>
      <c r="B197" s="330" t="s">
        <v>325</v>
      </c>
      <c r="C197" s="330" t="s">
        <v>650</v>
      </c>
      <c r="D197" s="331">
        <v>46600</v>
      </c>
      <c r="E197" s="332">
        <v>2500</v>
      </c>
      <c r="F197" s="333">
        <v>1</v>
      </c>
      <c r="G197" s="334">
        <f t="shared" si="4"/>
        <v>2500</v>
      </c>
      <c r="H197" s="330" t="s">
        <v>651</v>
      </c>
    </row>
    <row r="198" spans="1:8" s="30" customFormat="1" ht="22" customHeight="1">
      <c r="A198" s="330">
        <v>238</v>
      </c>
      <c r="B198" s="330" t="s">
        <v>325</v>
      </c>
      <c r="C198" s="330" t="s">
        <v>650</v>
      </c>
      <c r="D198" s="331">
        <v>46722</v>
      </c>
      <c r="E198" s="332">
        <v>2500</v>
      </c>
      <c r="F198" s="333">
        <v>1</v>
      </c>
      <c r="G198" s="334">
        <f t="shared" si="4"/>
        <v>2500</v>
      </c>
      <c r="H198" s="330" t="s">
        <v>651</v>
      </c>
    </row>
    <row r="199" spans="1:8" s="30" customFormat="1" ht="22" customHeight="1">
      <c r="A199" s="330">
        <v>239</v>
      </c>
      <c r="B199" s="330" t="s">
        <v>325</v>
      </c>
      <c r="C199" s="330" t="s">
        <v>650</v>
      </c>
      <c r="D199" s="331">
        <v>46813</v>
      </c>
      <c r="E199" s="332">
        <v>2500</v>
      </c>
      <c r="F199" s="333">
        <v>1</v>
      </c>
      <c r="G199" s="334">
        <f t="shared" si="4"/>
        <v>2500</v>
      </c>
      <c r="H199" s="330" t="s">
        <v>651</v>
      </c>
    </row>
    <row r="200" spans="1:8" s="30" customFormat="1" ht="29.15" customHeight="1">
      <c r="A200" s="330">
        <v>240</v>
      </c>
      <c r="B200" s="330" t="s">
        <v>327</v>
      </c>
      <c r="C200" s="330" t="s">
        <v>652</v>
      </c>
      <c r="D200" s="331">
        <v>45717</v>
      </c>
      <c r="E200" s="332">
        <v>2500</v>
      </c>
      <c r="F200" s="333">
        <v>1</v>
      </c>
      <c r="G200" s="334">
        <f t="shared" si="4"/>
        <v>2500</v>
      </c>
      <c r="H200" s="330" t="s">
        <v>651</v>
      </c>
    </row>
    <row r="201" spans="1:8" s="30" customFormat="1" ht="29.15" customHeight="1">
      <c r="A201" s="330">
        <v>241</v>
      </c>
      <c r="B201" s="330" t="s">
        <v>327</v>
      </c>
      <c r="C201" s="330" t="s">
        <v>652</v>
      </c>
      <c r="D201" s="331">
        <v>45809</v>
      </c>
      <c r="E201" s="332">
        <v>2500</v>
      </c>
      <c r="F201" s="333">
        <v>1</v>
      </c>
      <c r="G201" s="334">
        <f t="shared" si="4"/>
        <v>2500</v>
      </c>
      <c r="H201" s="330" t="s">
        <v>651</v>
      </c>
    </row>
    <row r="202" spans="1:8" s="30" customFormat="1" ht="29.15" customHeight="1">
      <c r="A202" s="330">
        <v>242</v>
      </c>
      <c r="B202" s="330" t="s">
        <v>327</v>
      </c>
      <c r="C202" s="330" t="s">
        <v>652</v>
      </c>
      <c r="D202" s="331">
        <v>45901</v>
      </c>
      <c r="E202" s="332">
        <v>2500</v>
      </c>
      <c r="F202" s="333">
        <v>1</v>
      </c>
      <c r="G202" s="334">
        <f t="shared" si="4"/>
        <v>2500</v>
      </c>
      <c r="H202" s="330" t="s">
        <v>651</v>
      </c>
    </row>
    <row r="203" spans="1:8" s="30" customFormat="1" ht="29.15" customHeight="1">
      <c r="A203" s="330">
        <v>243</v>
      </c>
      <c r="B203" s="330" t="s">
        <v>327</v>
      </c>
      <c r="C203" s="330" t="s">
        <v>652</v>
      </c>
      <c r="D203" s="331">
        <v>45992</v>
      </c>
      <c r="E203" s="332">
        <v>2500</v>
      </c>
      <c r="F203" s="333">
        <v>1</v>
      </c>
      <c r="G203" s="334">
        <f t="shared" si="4"/>
        <v>2500</v>
      </c>
      <c r="H203" s="330" t="s">
        <v>651</v>
      </c>
    </row>
    <row r="204" spans="1:8" s="30" customFormat="1" ht="29.15" customHeight="1">
      <c r="A204" s="330">
        <v>244</v>
      </c>
      <c r="B204" s="330" t="s">
        <v>327</v>
      </c>
      <c r="C204" s="330" t="s">
        <v>652</v>
      </c>
      <c r="D204" s="331">
        <v>46082</v>
      </c>
      <c r="E204" s="332">
        <v>2500</v>
      </c>
      <c r="F204" s="333">
        <v>1</v>
      </c>
      <c r="G204" s="334">
        <f t="shared" si="4"/>
        <v>2500</v>
      </c>
      <c r="H204" s="330" t="s">
        <v>651</v>
      </c>
    </row>
    <row r="205" spans="1:8" s="30" customFormat="1" ht="29.15" customHeight="1">
      <c r="A205" s="330">
        <v>245</v>
      </c>
      <c r="B205" s="330" t="s">
        <v>327</v>
      </c>
      <c r="C205" s="330" t="s">
        <v>652</v>
      </c>
      <c r="D205" s="331">
        <v>46174</v>
      </c>
      <c r="E205" s="332">
        <v>2500</v>
      </c>
      <c r="F205" s="333">
        <v>1</v>
      </c>
      <c r="G205" s="334">
        <f t="shared" si="4"/>
        <v>2500</v>
      </c>
      <c r="H205" s="330" t="s">
        <v>651</v>
      </c>
    </row>
    <row r="206" spans="1:8" s="30" customFormat="1" ht="29.15" customHeight="1">
      <c r="A206" s="330">
        <v>246</v>
      </c>
      <c r="B206" s="330" t="s">
        <v>327</v>
      </c>
      <c r="C206" s="330" t="s">
        <v>652</v>
      </c>
      <c r="D206" s="331">
        <v>46266</v>
      </c>
      <c r="E206" s="332">
        <v>2500</v>
      </c>
      <c r="F206" s="333">
        <v>1</v>
      </c>
      <c r="G206" s="334">
        <f t="shared" si="4"/>
        <v>2500</v>
      </c>
      <c r="H206" s="330" t="s">
        <v>651</v>
      </c>
    </row>
    <row r="207" spans="1:8" s="30" customFormat="1" ht="29.15" customHeight="1">
      <c r="A207" s="330">
        <v>247</v>
      </c>
      <c r="B207" s="330" t="s">
        <v>327</v>
      </c>
      <c r="C207" s="330" t="s">
        <v>652</v>
      </c>
      <c r="D207" s="331">
        <v>46357</v>
      </c>
      <c r="E207" s="332">
        <v>2500</v>
      </c>
      <c r="F207" s="333">
        <v>1</v>
      </c>
      <c r="G207" s="334">
        <f t="shared" si="4"/>
        <v>2500</v>
      </c>
      <c r="H207" s="330" t="s">
        <v>651</v>
      </c>
    </row>
    <row r="208" spans="1:8" s="30" customFormat="1" ht="29.15" customHeight="1">
      <c r="A208" s="330">
        <v>248</v>
      </c>
      <c r="B208" s="330" t="s">
        <v>327</v>
      </c>
      <c r="C208" s="330" t="s">
        <v>652</v>
      </c>
      <c r="D208" s="331">
        <v>46447</v>
      </c>
      <c r="E208" s="332">
        <v>2500</v>
      </c>
      <c r="F208" s="333">
        <v>1</v>
      </c>
      <c r="G208" s="334">
        <f t="shared" si="4"/>
        <v>2500</v>
      </c>
      <c r="H208" s="330" t="s">
        <v>651</v>
      </c>
    </row>
    <row r="209" spans="1:8" s="30" customFormat="1" ht="29.15" customHeight="1">
      <c r="A209" s="330">
        <v>249</v>
      </c>
      <c r="B209" s="330" t="s">
        <v>327</v>
      </c>
      <c r="C209" s="330" t="s">
        <v>652</v>
      </c>
      <c r="D209" s="331">
        <v>46539</v>
      </c>
      <c r="E209" s="332">
        <v>2500</v>
      </c>
      <c r="F209" s="333">
        <v>1</v>
      </c>
      <c r="G209" s="334">
        <f t="shared" si="4"/>
        <v>2500</v>
      </c>
      <c r="H209" s="330" t="s">
        <v>651</v>
      </c>
    </row>
    <row r="210" spans="1:8" s="30" customFormat="1" ht="29.15" customHeight="1">
      <c r="A210" s="330">
        <v>250</v>
      </c>
      <c r="B210" s="330" t="s">
        <v>327</v>
      </c>
      <c r="C210" s="330" t="s">
        <v>652</v>
      </c>
      <c r="D210" s="331">
        <v>46631</v>
      </c>
      <c r="E210" s="332">
        <v>2500</v>
      </c>
      <c r="F210" s="333">
        <v>1</v>
      </c>
      <c r="G210" s="334">
        <f t="shared" si="4"/>
        <v>2500</v>
      </c>
      <c r="H210" s="330" t="s">
        <v>651</v>
      </c>
    </row>
    <row r="211" spans="1:8" s="30" customFormat="1" ht="29.15" customHeight="1">
      <c r="A211" s="330">
        <v>251</v>
      </c>
      <c r="B211" s="330" t="s">
        <v>327</v>
      </c>
      <c r="C211" s="330" t="s">
        <v>652</v>
      </c>
      <c r="D211" s="331">
        <v>46722</v>
      </c>
      <c r="E211" s="332">
        <v>2500</v>
      </c>
      <c r="F211" s="333">
        <v>1</v>
      </c>
      <c r="G211" s="334">
        <f t="shared" si="4"/>
        <v>2500</v>
      </c>
      <c r="H211" s="330" t="s">
        <v>651</v>
      </c>
    </row>
    <row r="212" spans="1:8" s="30" customFormat="1" ht="29.15" customHeight="1">
      <c r="A212" s="330">
        <v>252</v>
      </c>
      <c r="B212" s="330" t="s">
        <v>327</v>
      </c>
      <c r="C212" s="330" t="s">
        <v>652</v>
      </c>
      <c r="D212" s="331">
        <v>46813</v>
      </c>
      <c r="E212" s="332">
        <v>2500</v>
      </c>
      <c r="F212" s="333">
        <v>1</v>
      </c>
      <c r="G212" s="334">
        <f t="shared" si="4"/>
        <v>2500</v>
      </c>
      <c r="H212" s="330" t="s">
        <v>651</v>
      </c>
    </row>
    <row r="213" spans="1:8" s="30" customFormat="1" ht="29.15" customHeight="1">
      <c r="A213" s="330">
        <v>253</v>
      </c>
      <c r="B213" s="330" t="s">
        <v>327</v>
      </c>
      <c r="C213" s="330" t="s">
        <v>652</v>
      </c>
      <c r="D213" s="331">
        <v>46905</v>
      </c>
      <c r="E213" s="332">
        <v>2500</v>
      </c>
      <c r="F213" s="333">
        <v>1</v>
      </c>
      <c r="G213" s="334">
        <f t="shared" si="4"/>
        <v>2500</v>
      </c>
      <c r="H213" s="330" t="s">
        <v>651</v>
      </c>
    </row>
    <row r="214" spans="1:8" s="30" customFormat="1" ht="29.15" customHeight="1">
      <c r="A214" s="330">
        <v>254</v>
      </c>
      <c r="B214" s="330" t="s">
        <v>327</v>
      </c>
      <c r="C214" s="330" t="s">
        <v>652</v>
      </c>
      <c r="D214" s="331">
        <v>46997</v>
      </c>
      <c r="E214" s="332">
        <v>2500</v>
      </c>
      <c r="F214" s="333">
        <v>1</v>
      </c>
      <c r="G214" s="334">
        <f t="shared" si="4"/>
        <v>2500</v>
      </c>
      <c r="H214" s="330" t="s">
        <v>651</v>
      </c>
    </row>
    <row r="215" spans="1:8" s="30" customFormat="1" ht="29.15" customHeight="1">
      <c r="A215" s="330">
        <v>255</v>
      </c>
      <c r="B215" s="330" t="s">
        <v>333</v>
      </c>
      <c r="C215" s="330" t="s">
        <v>653</v>
      </c>
      <c r="D215" s="331">
        <v>45717</v>
      </c>
      <c r="E215" s="332">
        <v>3500</v>
      </c>
      <c r="F215" s="333">
        <v>1</v>
      </c>
      <c r="G215" s="334">
        <f t="shared" ref="G215:G242" si="5">F215*E215</f>
        <v>3500</v>
      </c>
      <c r="H215" s="330" t="s">
        <v>651</v>
      </c>
    </row>
    <row r="216" spans="1:8" s="30" customFormat="1" ht="29.15" customHeight="1">
      <c r="A216" s="330">
        <v>256</v>
      </c>
      <c r="B216" s="330" t="s">
        <v>333</v>
      </c>
      <c r="C216" s="330" t="s">
        <v>653</v>
      </c>
      <c r="D216" s="331">
        <v>45809</v>
      </c>
      <c r="E216" s="332">
        <v>3500</v>
      </c>
      <c r="F216" s="333">
        <v>1</v>
      </c>
      <c r="G216" s="334">
        <f t="shared" si="5"/>
        <v>3500</v>
      </c>
      <c r="H216" s="330" t="s">
        <v>651</v>
      </c>
    </row>
    <row r="217" spans="1:8" s="30" customFormat="1" ht="29.15" customHeight="1">
      <c r="A217" s="330">
        <v>257</v>
      </c>
      <c r="B217" s="330" t="s">
        <v>333</v>
      </c>
      <c r="C217" s="330" t="s">
        <v>653</v>
      </c>
      <c r="D217" s="331">
        <v>45901</v>
      </c>
      <c r="E217" s="332">
        <v>3500</v>
      </c>
      <c r="F217" s="333">
        <v>1</v>
      </c>
      <c r="G217" s="334">
        <f t="shared" si="5"/>
        <v>3500</v>
      </c>
      <c r="H217" s="330" t="s">
        <v>651</v>
      </c>
    </row>
    <row r="218" spans="1:8" s="30" customFormat="1" ht="29.15" customHeight="1">
      <c r="A218" s="330">
        <v>258</v>
      </c>
      <c r="B218" s="330" t="s">
        <v>333</v>
      </c>
      <c r="C218" s="330" t="s">
        <v>653</v>
      </c>
      <c r="D218" s="331">
        <v>45992</v>
      </c>
      <c r="E218" s="332">
        <v>3500</v>
      </c>
      <c r="F218" s="333">
        <v>1</v>
      </c>
      <c r="G218" s="334">
        <f t="shared" si="5"/>
        <v>3500</v>
      </c>
      <c r="H218" s="330" t="s">
        <v>651</v>
      </c>
    </row>
    <row r="219" spans="1:8" s="30" customFormat="1" ht="29.15" customHeight="1">
      <c r="A219" s="330">
        <v>259</v>
      </c>
      <c r="B219" s="330" t="s">
        <v>333</v>
      </c>
      <c r="C219" s="330" t="s">
        <v>653</v>
      </c>
      <c r="D219" s="331">
        <v>46082</v>
      </c>
      <c r="E219" s="332">
        <v>3500</v>
      </c>
      <c r="F219" s="333">
        <v>1</v>
      </c>
      <c r="G219" s="334">
        <f t="shared" si="5"/>
        <v>3500</v>
      </c>
      <c r="H219" s="330" t="s">
        <v>651</v>
      </c>
    </row>
    <row r="220" spans="1:8" s="30" customFormat="1" ht="29.15" customHeight="1">
      <c r="A220" s="330">
        <v>260</v>
      </c>
      <c r="B220" s="330" t="s">
        <v>333</v>
      </c>
      <c r="C220" s="330" t="s">
        <v>653</v>
      </c>
      <c r="D220" s="331">
        <v>46174</v>
      </c>
      <c r="E220" s="332">
        <v>3500</v>
      </c>
      <c r="F220" s="333">
        <v>1</v>
      </c>
      <c r="G220" s="334">
        <f t="shared" si="5"/>
        <v>3500</v>
      </c>
      <c r="H220" s="330" t="s">
        <v>651</v>
      </c>
    </row>
    <row r="221" spans="1:8" s="30" customFormat="1" ht="29.15" customHeight="1">
      <c r="A221" s="330">
        <v>261</v>
      </c>
      <c r="B221" s="330" t="s">
        <v>333</v>
      </c>
      <c r="C221" s="330" t="s">
        <v>653</v>
      </c>
      <c r="D221" s="331">
        <v>46266</v>
      </c>
      <c r="E221" s="332">
        <v>3500</v>
      </c>
      <c r="F221" s="333">
        <v>1</v>
      </c>
      <c r="G221" s="334">
        <f t="shared" si="5"/>
        <v>3500</v>
      </c>
      <c r="H221" s="330" t="s">
        <v>651</v>
      </c>
    </row>
    <row r="222" spans="1:8" s="30" customFormat="1" ht="29.15" customHeight="1">
      <c r="A222" s="330">
        <v>262</v>
      </c>
      <c r="B222" s="330" t="s">
        <v>333</v>
      </c>
      <c r="C222" s="330" t="s">
        <v>653</v>
      </c>
      <c r="D222" s="331">
        <v>46357</v>
      </c>
      <c r="E222" s="332">
        <v>3500</v>
      </c>
      <c r="F222" s="333">
        <v>1</v>
      </c>
      <c r="G222" s="334">
        <f t="shared" si="5"/>
        <v>3500</v>
      </c>
      <c r="H222" s="330" t="s">
        <v>651</v>
      </c>
    </row>
    <row r="223" spans="1:8" s="30" customFormat="1" ht="29.15" customHeight="1">
      <c r="A223" s="330">
        <v>263</v>
      </c>
      <c r="B223" s="330" t="s">
        <v>333</v>
      </c>
      <c r="C223" s="330" t="s">
        <v>653</v>
      </c>
      <c r="D223" s="331">
        <v>46447</v>
      </c>
      <c r="E223" s="332">
        <v>3500</v>
      </c>
      <c r="F223" s="333">
        <v>1</v>
      </c>
      <c r="G223" s="334">
        <f t="shared" si="5"/>
        <v>3500</v>
      </c>
      <c r="H223" s="330" t="s">
        <v>651</v>
      </c>
    </row>
    <row r="224" spans="1:8" s="30" customFormat="1" ht="29.15" customHeight="1">
      <c r="A224" s="330">
        <v>264</v>
      </c>
      <c r="B224" s="330" t="s">
        <v>333</v>
      </c>
      <c r="C224" s="330" t="s">
        <v>653</v>
      </c>
      <c r="D224" s="331">
        <v>46539</v>
      </c>
      <c r="E224" s="332">
        <v>3500</v>
      </c>
      <c r="F224" s="333">
        <v>1</v>
      </c>
      <c r="G224" s="334">
        <f t="shared" si="5"/>
        <v>3500</v>
      </c>
      <c r="H224" s="330" t="s">
        <v>651</v>
      </c>
    </row>
    <row r="225" spans="1:8" s="30" customFormat="1" ht="29.15" customHeight="1">
      <c r="A225" s="330">
        <v>265</v>
      </c>
      <c r="B225" s="330" t="s">
        <v>333</v>
      </c>
      <c r="C225" s="330" t="s">
        <v>653</v>
      </c>
      <c r="D225" s="331">
        <v>46631</v>
      </c>
      <c r="E225" s="332">
        <v>3500</v>
      </c>
      <c r="F225" s="333">
        <v>1</v>
      </c>
      <c r="G225" s="334">
        <f t="shared" si="5"/>
        <v>3500</v>
      </c>
      <c r="H225" s="330" t="s">
        <v>651</v>
      </c>
    </row>
    <row r="226" spans="1:8" s="30" customFormat="1" ht="29.15" customHeight="1">
      <c r="A226" s="330">
        <v>266</v>
      </c>
      <c r="B226" s="330" t="s">
        <v>333</v>
      </c>
      <c r="C226" s="330" t="s">
        <v>653</v>
      </c>
      <c r="D226" s="331">
        <v>46722</v>
      </c>
      <c r="E226" s="332">
        <v>3500</v>
      </c>
      <c r="F226" s="333">
        <v>1</v>
      </c>
      <c r="G226" s="334">
        <f t="shared" si="5"/>
        <v>3500</v>
      </c>
      <c r="H226" s="330" t="s">
        <v>651</v>
      </c>
    </row>
    <row r="227" spans="1:8" s="30" customFormat="1" ht="29.15" customHeight="1">
      <c r="A227" s="330">
        <v>267</v>
      </c>
      <c r="B227" s="330" t="s">
        <v>333</v>
      </c>
      <c r="C227" s="330" t="s">
        <v>653</v>
      </c>
      <c r="D227" s="331">
        <v>46813</v>
      </c>
      <c r="E227" s="332">
        <v>3500</v>
      </c>
      <c r="F227" s="333">
        <v>1</v>
      </c>
      <c r="G227" s="334">
        <f t="shared" si="5"/>
        <v>3500</v>
      </c>
      <c r="H227" s="330" t="s">
        <v>651</v>
      </c>
    </row>
    <row r="228" spans="1:8" s="30" customFormat="1" ht="29.15" customHeight="1">
      <c r="A228" s="330">
        <v>268</v>
      </c>
      <c r="B228" s="330" t="s">
        <v>333</v>
      </c>
      <c r="C228" s="330" t="s">
        <v>653</v>
      </c>
      <c r="D228" s="331">
        <v>46905</v>
      </c>
      <c r="E228" s="332">
        <v>3500</v>
      </c>
      <c r="F228" s="333">
        <v>1</v>
      </c>
      <c r="G228" s="334">
        <f t="shared" si="5"/>
        <v>3500</v>
      </c>
      <c r="H228" s="330" t="s">
        <v>651</v>
      </c>
    </row>
    <row r="229" spans="1:8" s="30" customFormat="1" ht="29.15" customHeight="1">
      <c r="A229" s="330">
        <v>269</v>
      </c>
      <c r="B229" s="330" t="s">
        <v>333</v>
      </c>
      <c r="C229" s="330" t="s">
        <v>653</v>
      </c>
      <c r="D229" s="331">
        <v>46997</v>
      </c>
      <c r="E229" s="332">
        <v>3500</v>
      </c>
      <c r="F229" s="333">
        <v>1</v>
      </c>
      <c r="G229" s="334">
        <f t="shared" si="5"/>
        <v>3500</v>
      </c>
      <c r="H229" s="330" t="s">
        <v>651</v>
      </c>
    </row>
    <row r="230" spans="1:8" s="30" customFormat="1" ht="29.15" customHeight="1">
      <c r="A230" s="330">
        <v>270</v>
      </c>
      <c r="B230" s="330" t="s">
        <v>343</v>
      </c>
      <c r="C230" s="330" t="s">
        <v>654</v>
      </c>
      <c r="D230" s="331">
        <v>45717</v>
      </c>
      <c r="E230" s="332">
        <v>3500</v>
      </c>
      <c r="F230" s="333">
        <v>1</v>
      </c>
      <c r="G230" s="334">
        <f t="shared" si="5"/>
        <v>3500</v>
      </c>
      <c r="H230" s="330" t="s">
        <v>651</v>
      </c>
    </row>
    <row r="231" spans="1:8" s="30" customFormat="1" ht="29.15" customHeight="1">
      <c r="A231" s="330">
        <v>271</v>
      </c>
      <c r="B231" s="330" t="s">
        <v>343</v>
      </c>
      <c r="C231" s="330" t="s">
        <v>654</v>
      </c>
      <c r="D231" s="331">
        <v>45809</v>
      </c>
      <c r="E231" s="332">
        <v>3500</v>
      </c>
      <c r="F231" s="333">
        <v>1</v>
      </c>
      <c r="G231" s="334">
        <f t="shared" si="5"/>
        <v>3500</v>
      </c>
      <c r="H231" s="330" t="s">
        <v>651</v>
      </c>
    </row>
    <row r="232" spans="1:8" s="30" customFormat="1" ht="29.15" customHeight="1">
      <c r="A232" s="330">
        <v>272</v>
      </c>
      <c r="B232" s="330" t="s">
        <v>343</v>
      </c>
      <c r="C232" s="330" t="s">
        <v>654</v>
      </c>
      <c r="D232" s="331">
        <v>45901</v>
      </c>
      <c r="E232" s="332">
        <v>3500</v>
      </c>
      <c r="F232" s="333">
        <v>1</v>
      </c>
      <c r="G232" s="334">
        <f t="shared" si="5"/>
        <v>3500</v>
      </c>
      <c r="H232" s="330" t="s">
        <v>651</v>
      </c>
    </row>
    <row r="233" spans="1:8" s="30" customFormat="1" ht="29.15" customHeight="1">
      <c r="A233" s="330">
        <v>273</v>
      </c>
      <c r="B233" s="330" t="s">
        <v>343</v>
      </c>
      <c r="C233" s="330" t="s">
        <v>654</v>
      </c>
      <c r="D233" s="331">
        <v>45992</v>
      </c>
      <c r="E233" s="332">
        <v>3500</v>
      </c>
      <c r="F233" s="333">
        <v>1</v>
      </c>
      <c r="G233" s="334">
        <f t="shared" si="5"/>
        <v>3500</v>
      </c>
      <c r="H233" s="330" t="s">
        <v>651</v>
      </c>
    </row>
    <row r="234" spans="1:8" s="30" customFormat="1" ht="29.15" customHeight="1">
      <c r="A234" s="330">
        <v>274</v>
      </c>
      <c r="B234" s="330" t="s">
        <v>343</v>
      </c>
      <c r="C234" s="330" t="s">
        <v>654</v>
      </c>
      <c r="D234" s="331">
        <v>46082</v>
      </c>
      <c r="E234" s="332">
        <v>3500</v>
      </c>
      <c r="F234" s="333">
        <v>1</v>
      </c>
      <c r="G234" s="334">
        <f t="shared" si="5"/>
        <v>3500</v>
      </c>
      <c r="H234" s="330" t="s">
        <v>651</v>
      </c>
    </row>
    <row r="235" spans="1:8" s="30" customFormat="1" ht="29.15" customHeight="1">
      <c r="A235" s="330">
        <v>275</v>
      </c>
      <c r="B235" s="330" t="s">
        <v>343</v>
      </c>
      <c r="C235" s="330" t="s">
        <v>654</v>
      </c>
      <c r="D235" s="331">
        <v>46174</v>
      </c>
      <c r="E235" s="332">
        <v>3500</v>
      </c>
      <c r="F235" s="333">
        <v>1</v>
      </c>
      <c r="G235" s="334">
        <f t="shared" si="5"/>
        <v>3500</v>
      </c>
      <c r="H235" s="330" t="s">
        <v>651</v>
      </c>
    </row>
    <row r="236" spans="1:8" s="30" customFormat="1" ht="29.15" customHeight="1">
      <c r="A236" s="330">
        <v>276</v>
      </c>
      <c r="B236" s="330" t="s">
        <v>343</v>
      </c>
      <c r="C236" s="330" t="s">
        <v>654</v>
      </c>
      <c r="D236" s="331">
        <v>46266</v>
      </c>
      <c r="E236" s="332">
        <v>3500</v>
      </c>
      <c r="F236" s="333">
        <v>1</v>
      </c>
      <c r="G236" s="334">
        <f t="shared" si="5"/>
        <v>3500</v>
      </c>
      <c r="H236" s="330" t="s">
        <v>651</v>
      </c>
    </row>
    <row r="237" spans="1:8" s="30" customFormat="1" ht="29.15" customHeight="1">
      <c r="A237" s="330">
        <v>277</v>
      </c>
      <c r="B237" s="330" t="s">
        <v>343</v>
      </c>
      <c r="C237" s="330" t="s">
        <v>654</v>
      </c>
      <c r="D237" s="331">
        <v>46357</v>
      </c>
      <c r="E237" s="332">
        <v>3500</v>
      </c>
      <c r="F237" s="333">
        <v>1</v>
      </c>
      <c r="G237" s="334">
        <f t="shared" si="5"/>
        <v>3500</v>
      </c>
      <c r="H237" s="330" t="s">
        <v>651</v>
      </c>
    </row>
    <row r="238" spans="1:8" s="30" customFormat="1" ht="29.15" customHeight="1">
      <c r="A238" s="330">
        <v>278</v>
      </c>
      <c r="B238" s="330" t="s">
        <v>343</v>
      </c>
      <c r="C238" s="330" t="s">
        <v>654</v>
      </c>
      <c r="D238" s="331">
        <v>46447</v>
      </c>
      <c r="E238" s="332">
        <v>3500</v>
      </c>
      <c r="F238" s="333">
        <v>1</v>
      </c>
      <c r="G238" s="334">
        <f t="shared" si="5"/>
        <v>3500</v>
      </c>
      <c r="H238" s="330" t="s">
        <v>651</v>
      </c>
    </row>
    <row r="239" spans="1:8" s="30" customFormat="1" ht="29.15" customHeight="1">
      <c r="A239" s="330">
        <v>279</v>
      </c>
      <c r="B239" s="330" t="s">
        <v>343</v>
      </c>
      <c r="C239" s="330" t="s">
        <v>654</v>
      </c>
      <c r="D239" s="331">
        <v>46539</v>
      </c>
      <c r="E239" s="332">
        <v>3500</v>
      </c>
      <c r="F239" s="333">
        <v>1</v>
      </c>
      <c r="G239" s="334">
        <f t="shared" si="5"/>
        <v>3500</v>
      </c>
      <c r="H239" s="330" t="s">
        <v>651</v>
      </c>
    </row>
    <row r="240" spans="1:8" s="30" customFormat="1" ht="29.15" customHeight="1">
      <c r="A240" s="330">
        <v>280</v>
      </c>
      <c r="B240" s="330" t="s">
        <v>343</v>
      </c>
      <c r="C240" s="330" t="s">
        <v>654</v>
      </c>
      <c r="D240" s="331">
        <v>46631</v>
      </c>
      <c r="E240" s="332">
        <v>3500</v>
      </c>
      <c r="F240" s="333">
        <v>1</v>
      </c>
      <c r="G240" s="334">
        <f t="shared" si="5"/>
        <v>3500</v>
      </c>
      <c r="H240" s="330" t="s">
        <v>651</v>
      </c>
    </row>
    <row r="241" spans="1:8" s="30" customFormat="1" ht="29.15" customHeight="1">
      <c r="A241" s="330">
        <v>281</v>
      </c>
      <c r="B241" s="330" t="s">
        <v>343</v>
      </c>
      <c r="C241" s="330" t="s">
        <v>654</v>
      </c>
      <c r="D241" s="331">
        <v>46722</v>
      </c>
      <c r="E241" s="332">
        <v>3500</v>
      </c>
      <c r="F241" s="333">
        <v>1</v>
      </c>
      <c r="G241" s="334">
        <f t="shared" si="5"/>
        <v>3500</v>
      </c>
      <c r="H241" s="330" t="s">
        <v>651</v>
      </c>
    </row>
    <row r="242" spans="1:8" s="30" customFormat="1" ht="29.15" customHeight="1">
      <c r="A242" s="330">
        <v>282</v>
      </c>
      <c r="B242" s="330" t="s">
        <v>343</v>
      </c>
      <c r="C242" s="330" t="s">
        <v>654</v>
      </c>
      <c r="D242" s="331">
        <v>46813</v>
      </c>
      <c r="E242" s="332">
        <v>3500</v>
      </c>
      <c r="F242" s="333">
        <v>1</v>
      </c>
      <c r="G242" s="334">
        <f t="shared" si="5"/>
        <v>3500</v>
      </c>
      <c r="H242" s="330" t="s">
        <v>651</v>
      </c>
    </row>
    <row r="243" spans="1:8" s="30" customFormat="1" ht="29.15" customHeight="1">
      <c r="A243" s="330">
        <v>283</v>
      </c>
      <c r="B243" s="330" t="s">
        <v>343</v>
      </c>
      <c r="C243" s="330" t="s">
        <v>654</v>
      </c>
      <c r="D243" s="331">
        <v>46905</v>
      </c>
      <c r="E243" s="332">
        <v>3500</v>
      </c>
      <c r="F243" s="333">
        <v>1</v>
      </c>
      <c r="G243" s="334">
        <f t="shared" ref="G243:G276" si="6">F243*E243</f>
        <v>3500</v>
      </c>
      <c r="H243" s="330" t="s">
        <v>651</v>
      </c>
    </row>
    <row r="244" spans="1:8" s="30" customFormat="1" ht="29.15" customHeight="1">
      <c r="A244" s="330">
        <v>284</v>
      </c>
      <c r="B244" s="330" t="s">
        <v>343</v>
      </c>
      <c r="C244" s="330" t="s">
        <v>654</v>
      </c>
      <c r="D244" s="331">
        <v>46997</v>
      </c>
      <c r="E244" s="332">
        <v>3500</v>
      </c>
      <c r="F244" s="333">
        <v>1</v>
      </c>
      <c r="G244" s="334">
        <f t="shared" si="6"/>
        <v>3500</v>
      </c>
      <c r="H244" s="330" t="s">
        <v>651</v>
      </c>
    </row>
    <row r="245" spans="1:8" s="30" customFormat="1" ht="40.5" customHeight="1">
      <c r="A245" s="330">
        <v>285</v>
      </c>
      <c r="B245" s="330" t="s">
        <v>329</v>
      </c>
      <c r="C245" s="330" t="s">
        <v>655</v>
      </c>
      <c r="D245" s="331">
        <v>45717</v>
      </c>
      <c r="E245" s="332">
        <v>2000</v>
      </c>
      <c r="F245" s="333">
        <v>1</v>
      </c>
      <c r="G245" s="334">
        <f t="shared" si="6"/>
        <v>2000</v>
      </c>
      <c r="H245" s="330" t="s">
        <v>651</v>
      </c>
    </row>
    <row r="246" spans="1:8" s="30" customFormat="1" ht="40.5" customHeight="1">
      <c r="A246" s="330">
        <v>286</v>
      </c>
      <c r="B246" s="330" t="s">
        <v>329</v>
      </c>
      <c r="C246" s="330" t="s">
        <v>655</v>
      </c>
      <c r="D246" s="331">
        <v>45809</v>
      </c>
      <c r="E246" s="332">
        <v>2000</v>
      </c>
      <c r="F246" s="333">
        <v>1</v>
      </c>
      <c r="G246" s="334">
        <f t="shared" si="6"/>
        <v>2000</v>
      </c>
      <c r="H246" s="330" t="s">
        <v>651</v>
      </c>
    </row>
    <row r="247" spans="1:8" s="30" customFormat="1" ht="40.5" customHeight="1">
      <c r="A247" s="330">
        <v>287</v>
      </c>
      <c r="B247" s="330" t="s">
        <v>329</v>
      </c>
      <c r="C247" s="330" t="s">
        <v>655</v>
      </c>
      <c r="D247" s="331">
        <v>45901</v>
      </c>
      <c r="E247" s="332">
        <v>2000</v>
      </c>
      <c r="F247" s="333">
        <v>1</v>
      </c>
      <c r="G247" s="334">
        <f t="shared" si="6"/>
        <v>2000</v>
      </c>
      <c r="H247" s="330" t="s">
        <v>651</v>
      </c>
    </row>
    <row r="248" spans="1:8" s="30" customFormat="1" ht="40.5" customHeight="1">
      <c r="A248" s="330">
        <v>288</v>
      </c>
      <c r="B248" s="330" t="s">
        <v>329</v>
      </c>
      <c r="C248" s="330" t="s">
        <v>655</v>
      </c>
      <c r="D248" s="331">
        <v>45992</v>
      </c>
      <c r="E248" s="332">
        <v>2000</v>
      </c>
      <c r="F248" s="333">
        <v>1</v>
      </c>
      <c r="G248" s="334">
        <f t="shared" si="6"/>
        <v>2000</v>
      </c>
      <c r="H248" s="330" t="s">
        <v>651</v>
      </c>
    </row>
    <row r="249" spans="1:8" s="30" customFormat="1" ht="40.5" customHeight="1">
      <c r="A249" s="330">
        <v>289</v>
      </c>
      <c r="B249" s="330" t="s">
        <v>329</v>
      </c>
      <c r="C249" s="330" t="s">
        <v>655</v>
      </c>
      <c r="D249" s="331">
        <v>46082</v>
      </c>
      <c r="E249" s="332">
        <v>2000</v>
      </c>
      <c r="F249" s="333">
        <v>1</v>
      </c>
      <c r="G249" s="334">
        <f t="shared" si="6"/>
        <v>2000</v>
      </c>
      <c r="H249" s="330" t="s">
        <v>651</v>
      </c>
    </row>
    <row r="250" spans="1:8" s="30" customFormat="1" ht="40.5" customHeight="1">
      <c r="A250" s="330">
        <v>290</v>
      </c>
      <c r="B250" s="330" t="s">
        <v>329</v>
      </c>
      <c r="C250" s="330" t="s">
        <v>655</v>
      </c>
      <c r="D250" s="331">
        <v>46174</v>
      </c>
      <c r="E250" s="332">
        <v>2000</v>
      </c>
      <c r="F250" s="333">
        <v>1</v>
      </c>
      <c r="G250" s="334">
        <f t="shared" si="6"/>
        <v>2000</v>
      </c>
      <c r="H250" s="330" t="s">
        <v>651</v>
      </c>
    </row>
    <row r="251" spans="1:8" s="30" customFormat="1" ht="40.5" customHeight="1">
      <c r="A251" s="330">
        <v>291</v>
      </c>
      <c r="B251" s="330" t="s">
        <v>329</v>
      </c>
      <c r="C251" s="330" t="s">
        <v>655</v>
      </c>
      <c r="D251" s="331">
        <v>46266</v>
      </c>
      <c r="E251" s="332">
        <v>2000</v>
      </c>
      <c r="F251" s="333">
        <v>1</v>
      </c>
      <c r="G251" s="334">
        <f t="shared" si="6"/>
        <v>2000</v>
      </c>
      <c r="H251" s="330" t="s">
        <v>651</v>
      </c>
    </row>
    <row r="252" spans="1:8" s="30" customFormat="1" ht="40.5" customHeight="1">
      <c r="A252" s="330">
        <v>292</v>
      </c>
      <c r="B252" s="330" t="s">
        <v>329</v>
      </c>
      <c r="C252" s="330" t="s">
        <v>655</v>
      </c>
      <c r="D252" s="331">
        <v>46357</v>
      </c>
      <c r="E252" s="332">
        <v>2000</v>
      </c>
      <c r="F252" s="333">
        <v>1</v>
      </c>
      <c r="G252" s="334">
        <f t="shared" si="6"/>
        <v>2000</v>
      </c>
      <c r="H252" s="330" t="s">
        <v>651</v>
      </c>
    </row>
    <row r="253" spans="1:8" s="30" customFormat="1" ht="40.5" customHeight="1">
      <c r="A253" s="330">
        <v>293</v>
      </c>
      <c r="B253" s="330" t="s">
        <v>329</v>
      </c>
      <c r="C253" s="330" t="s">
        <v>655</v>
      </c>
      <c r="D253" s="331">
        <v>46447</v>
      </c>
      <c r="E253" s="332">
        <v>2000</v>
      </c>
      <c r="F253" s="333">
        <v>1</v>
      </c>
      <c r="G253" s="334">
        <f t="shared" si="6"/>
        <v>2000</v>
      </c>
      <c r="H253" s="330" t="s">
        <v>651</v>
      </c>
    </row>
    <row r="254" spans="1:8" s="30" customFormat="1" ht="40.5" customHeight="1">
      <c r="A254" s="330">
        <v>294</v>
      </c>
      <c r="B254" s="330" t="s">
        <v>329</v>
      </c>
      <c r="C254" s="330" t="s">
        <v>655</v>
      </c>
      <c r="D254" s="331">
        <v>46539</v>
      </c>
      <c r="E254" s="332">
        <v>2000</v>
      </c>
      <c r="F254" s="333">
        <v>1</v>
      </c>
      <c r="G254" s="334">
        <f t="shared" si="6"/>
        <v>2000</v>
      </c>
      <c r="H254" s="330" t="s">
        <v>651</v>
      </c>
    </row>
    <row r="255" spans="1:8" s="30" customFormat="1" ht="40.5" customHeight="1">
      <c r="A255" s="330">
        <v>295</v>
      </c>
      <c r="B255" s="330" t="s">
        <v>329</v>
      </c>
      <c r="C255" s="330" t="s">
        <v>655</v>
      </c>
      <c r="D255" s="331">
        <v>46631</v>
      </c>
      <c r="E255" s="332">
        <v>2000</v>
      </c>
      <c r="F255" s="333">
        <v>1</v>
      </c>
      <c r="G255" s="334">
        <f t="shared" si="6"/>
        <v>2000</v>
      </c>
      <c r="H255" s="330" t="s">
        <v>651</v>
      </c>
    </row>
    <row r="256" spans="1:8" s="30" customFormat="1" ht="40.5" customHeight="1">
      <c r="A256" s="330">
        <v>296</v>
      </c>
      <c r="B256" s="330" t="s">
        <v>329</v>
      </c>
      <c r="C256" s="330" t="s">
        <v>655</v>
      </c>
      <c r="D256" s="331">
        <v>46722</v>
      </c>
      <c r="E256" s="332">
        <v>2000</v>
      </c>
      <c r="F256" s="333">
        <v>1</v>
      </c>
      <c r="G256" s="334">
        <f t="shared" si="6"/>
        <v>2000</v>
      </c>
      <c r="H256" s="330" t="s">
        <v>651</v>
      </c>
    </row>
    <row r="257" spans="1:8" s="30" customFormat="1" ht="40.5" customHeight="1">
      <c r="A257" s="330">
        <v>297</v>
      </c>
      <c r="B257" s="330" t="s">
        <v>329</v>
      </c>
      <c r="C257" s="330" t="s">
        <v>655</v>
      </c>
      <c r="D257" s="331">
        <v>46813</v>
      </c>
      <c r="E257" s="332">
        <v>2000</v>
      </c>
      <c r="F257" s="333">
        <v>1</v>
      </c>
      <c r="G257" s="334">
        <f t="shared" si="6"/>
        <v>2000</v>
      </c>
      <c r="H257" s="330" t="s">
        <v>651</v>
      </c>
    </row>
    <row r="258" spans="1:8" s="30" customFormat="1" ht="40.5" customHeight="1">
      <c r="A258" s="330">
        <v>298</v>
      </c>
      <c r="B258" s="330" t="s">
        <v>329</v>
      </c>
      <c r="C258" s="330" t="s">
        <v>655</v>
      </c>
      <c r="D258" s="331">
        <v>46905</v>
      </c>
      <c r="E258" s="332">
        <v>2000</v>
      </c>
      <c r="F258" s="333">
        <v>1</v>
      </c>
      <c r="G258" s="334">
        <f t="shared" si="6"/>
        <v>2000</v>
      </c>
      <c r="H258" s="330" t="s">
        <v>651</v>
      </c>
    </row>
    <row r="259" spans="1:8" s="30" customFormat="1" ht="40.5" customHeight="1">
      <c r="A259" s="330">
        <v>299</v>
      </c>
      <c r="B259" s="330" t="s">
        <v>329</v>
      </c>
      <c r="C259" s="330" t="s">
        <v>655</v>
      </c>
      <c r="D259" s="331">
        <v>46997</v>
      </c>
      <c r="E259" s="332">
        <v>2000</v>
      </c>
      <c r="F259" s="333">
        <v>1</v>
      </c>
      <c r="G259" s="334">
        <f t="shared" si="6"/>
        <v>2000</v>
      </c>
      <c r="H259" s="330" t="s">
        <v>651</v>
      </c>
    </row>
    <row r="260" spans="1:8" s="30" customFormat="1" ht="40.5" customHeight="1">
      <c r="A260" s="330">
        <v>300</v>
      </c>
      <c r="B260" s="330" t="s">
        <v>331</v>
      </c>
      <c r="C260" s="330" t="s">
        <v>656</v>
      </c>
      <c r="D260" s="331">
        <v>45627</v>
      </c>
      <c r="E260" s="332">
        <v>2000</v>
      </c>
      <c r="F260" s="333">
        <v>1</v>
      </c>
      <c r="G260" s="334">
        <f t="shared" si="6"/>
        <v>2000</v>
      </c>
      <c r="H260" s="330" t="s">
        <v>651</v>
      </c>
    </row>
    <row r="261" spans="1:8" s="30" customFormat="1" ht="40.5" customHeight="1">
      <c r="A261" s="330">
        <v>301</v>
      </c>
      <c r="B261" s="330" t="s">
        <v>331</v>
      </c>
      <c r="C261" s="330" t="s">
        <v>656</v>
      </c>
      <c r="D261" s="331">
        <v>45689</v>
      </c>
      <c r="E261" s="332">
        <v>2000</v>
      </c>
      <c r="F261" s="333">
        <v>1</v>
      </c>
      <c r="G261" s="334">
        <f t="shared" si="6"/>
        <v>2000</v>
      </c>
      <c r="H261" s="330" t="s">
        <v>651</v>
      </c>
    </row>
    <row r="262" spans="1:8" s="30" customFormat="1" ht="40.5" customHeight="1">
      <c r="A262" s="330">
        <v>302</v>
      </c>
      <c r="B262" s="330" t="s">
        <v>331</v>
      </c>
      <c r="C262" s="330" t="s">
        <v>656</v>
      </c>
      <c r="D262" s="331">
        <v>45717</v>
      </c>
      <c r="E262" s="332">
        <v>2000</v>
      </c>
      <c r="F262" s="333">
        <v>1</v>
      </c>
      <c r="G262" s="334">
        <f t="shared" si="6"/>
        <v>2000</v>
      </c>
      <c r="H262" s="330" t="s">
        <v>651</v>
      </c>
    </row>
    <row r="263" spans="1:8" s="30" customFormat="1" ht="40.5" customHeight="1">
      <c r="A263" s="330">
        <v>303</v>
      </c>
      <c r="B263" s="330" t="s">
        <v>331</v>
      </c>
      <c r="C263" s="330" t="s">
        <v>656</v>
      </c>
      <c r="D263" s="331">
        <v>45809</v>
      </c>
      <c r="E263" s="332">
        <v>2000</v>
      </c>
      <c r="F263" s="333">
        <v>1</v>
      </c>
      <c r="G263" s="334">
        <f t="shared" si="6"/>
        <v>2000</v>
      </c>
      <c r="H263" s="330" t="s">
        <v>651</v>
      </c>
    </row>
    <row r="264" spans="1:8" s="30" customFormat="1" ht="40.5" customHeight="1">
      <c r="A264" s="330">
        <v>304</v>
      </c>
      <c r="B264" s="330" t="s">
        <v>331</v>
      </c>
      <c r="C264" s="330" t="s">
        <v>656</v>
      </c>
      <c r="D264" s="331">
        <v>45901</v>
      </c>
      <c r="E264" s="332">
        <v>2000</v>
      </c>
      <c r="F264" s="333">
        <v>1</v>
      </c>
      <c r="G264" s="334">
        <f t="shared" si="6"/>
        <v>2000</v>
      </c>
      <c r="H264" s="330" t="s">
        <v>651</v>
      </c>
    </row>
    <row r="265" spans="1:8" s="30" customFormat="1" ht="40.5" customHeight="1">
      <c r="A265" s="330">
        <v>305</v>
      </c>
      <c r="B265" s="330" t="s">
        <v>331</v>
      </c>
      <c r="C265" s="330" t="s">
        <v>656</v>
      </c>
      <c r="D265" s="331">
        <v>45992</v>
      </c>
      <c r="E265" s="332">
        <v>2000</v>
      </c>
      <c r="F265" s="333">
        <v>1</v>
      </c>
      <c r="G265" s="334">
        <f t="shared" si="6"/>
        <v>2000</v>
      </c>
      <c r="H265" s="330" t="s">
        <v>651</v>
      </c>
    </row>
    <row r="266" spans="1:8" s="30" customFormat="1" ht="40.5" customHeight="1">
      <c r="A266" s="330">
        <v>306</v>
      </c>
      <c r="B266" s="330" t="s">
        <v>331</v>
      </c>
      <c r="C266" s="330" t="s">
        <v>656</v>
      </c>
      <c r="D266" s="331">
        <v>46082</v>
      </c>
      <c r="E266" s="332">
        <v>2000</v>
      </c>
      <c r="F266" s="333">
        <v>1</v>
      </c>
      <c r="G266" s="334">
        <f t="shared" si="6"/>
        <v>2000</v>
      </c>
      <c r="H266" s="330" t="s">
        <v>651</v>
      </c>
    </row>
    <row r="267" spans="1:8" s="30" customFormat="1" ht="40.5" customHeight="1">
      <c r="A267" s="330">
        <v>307</v>
      </c>
      <c r="B267" s="330" t="s">
        <v>331</v>
      </c>
      <c r="C267" s="330" t="s">
        <v>656</v>
      </c>
      <c r="D267" s="331">
        <v>46174</v>
      </c>
      <c r="E267" s="332">
        <v>2000</v>
      </c>
      <c r="F267" s="333">
        <v>1</v>
      </c>
      <c r="G267" s="334">
        <f t="shared" si="6"/>
        <v>2000</v>
      </c>
      <c r="H267" s="330" t="s">
        <v>651</v>
      </c>
    </row>
    <row r="268" spans="1:8" s="30" customFormat="1" ht="40.5" customHeight="1">
      <c r="A268" s="330">
        <v>308</v>
      </c>
      <c r="B268" s="330" t="s">
        <v>331</v>
      </c>
      <c r="C268" s="330" t="s">
        <v>656</v>
      </c>
      <c r="D268" s="331">
        <v>46266</v>
      </c>
      <c r="E268" s="332">
        <v>2000</v>
      </c>
      <c r="F268" s="333">
        <v>1</v>
      </c>
      <c r="G268" s="334">
        <f t="shared" si="6"/>
        <v>2000</v>
      </c>
      <c r="H268" s="330" t="s">
        <v>651</v>
      </c>
    </row>
    <row r="269" spans="1:8" s="30" customFormat="1" ht="40.5" customHeight="1">
      <c r="A269" s="330">
        <v>309</v>
      </c>
      <c r="B269" s="330" t="s">
        <v>331</v>
      </c>
      <c r="C269" s="330" t="s">
        <v>656</v>
      </c>
      <c r="D269" s="331">
        <v>46357</v>
      </c>
      <c r="E269" s="332">
        <v>2000</v>
      </c>
      <c r="F269" s="333">
        <v>1</v>
      </c>
      <c r="G269" s="334">
        <f t="shared" si="6"/>
        <v>2000</v>
      </c>
      <c r="H269" s="330" t="s">
        <v>651</v>
      </c>
    </row>
    <row r="270" spans="1:8" s="30" customFormat="1" ht="40.5" customHeight="1">
      <c r="A270" s="330">
        <v>310</v>
      </c>
      <c r="B270" s="330" t="s">
        <v>331</v>
      </c>
      <c r="C270" s="330" t="s">
        <v>656</v>
      </c>
      <c r="D270" s="331">
        <v>46447</v>
      </c>
      <c r="E270" s="332">
        <v>2000</v>
      </c>
      <c r="F270" s="333">
        <v>1</v>
      </c>
      <c r="G270" s="334">
        <f t="shared" si="6"/>
        <v>2000</v>
      </c>
      <c r="H270" s="330" t="s">
        <v>651</v>
      </c>
    </row>
    <row r="271" spans="1:8" s="30" customFormat="1" ht="40.5" customHeight="1">
      <c r="A271" s="330">
        <v>311</v>
      </c>
      <c r="B271" s="330" t="s">
        <v>331</v>
      </c>
      <c r="C271" s="330" t="s">
        <v>656</v>
      </c>
      <c r="D271" s="331">
        <v>46539</v>
      </c>
      <c r="E271" s="332">
        <v>2000</v>
      </c>
      <c r="F271" s="333">
        <v>1</v>
      </c>
      <c r="G271" s="334">
        <f t="shared" si="6"/>
        <v>2000</v>
      </c>
      <c r="H271" s="330" t="s">
        <v>651</v>
      </c>
    </row>
    <row r="272" spans="1:8" s="30" customFormat="1" ht="40.5" customHeight="1">
      <c r="A272" s="330">
        <v>312</v>
      </c>
      <c r="B272" s="330" t="s">
        <v>331</v>
      </c>
      <c r="C272" s="330" t="s">
        <v>656</v>
      </c>
      <c r="D272" s="331">
        <v>46631</v>
      </c>
      <c r="E272" s="332">
        <v>2000</v>
      </c>
      <c r="F272" s="333">
        <v>1</v>
      </c>
      <c r="G272" s="334">
        <f t="shared" si="6"/>
        <v>2000</v>
      </c>
      <c r="H272" s="330" t="s">
        <v>651</v>
      </c>
    </row>
    <row r="273" spans="1:8" s="30" customFormat="1" ht="40.5" customHeight="1">
      <c r="A273" s="330">
        <v>313</v>
      </c>
      <c r="B273" s="330" t="s">
        <v>331</v>
      </c>
      <c r="C273" s="330" t="s">
        <v>656</v>
      </c>
      <c r="D273" s="331">
        <v>46722</v>
      </c>
      <c r="E273" s="332">
        <v>2000</v>
      </c>
      <c r="F273" s="333">
        <v>1</v>
      </c>
      <c r="G273" s="334">
        <f t="shared" si="6"/>
        <v>2000</v>
      </c>
      <c r="H273" s="330" t="s">
        <v>651</v>
      </c>
    </row>
    <row r="274" spans="1:8" s="30" customFormat="1" ht="40.5" customHeight="1">
      <c r="A274" s="330">
        <v>314</v>
      </c>
      <c r="B274" s="330" t="s">
        <v>331</v>
      </c>
      <c r="C274" s="330" t="s">
        <v>656</v>
      </c>
      <c r="D274" s="331">
        <v>46813</v>
      </c>
      <c r="E274" s="332">
        <v>2000</v>
      </c>
      <c r="F274" s="333">
        <v>1</v>
      </c>
      <c r="G274" s="334">
        <f t="shared" si="6"/>
        <v>2000</v>
      </c>
      <c r="H274" s="330" t="s">
        <v>651</v>
      </c>
    </row>
    <row r="275" spans="1:8" s="30" customFormat="1" ht="40.5" customHeight="1">
      <c r="A275" s="330">
        <v>315</v>
      </c>
      <c r="B275" s="330" t="s">
        <v>331</v>
      </c>
      <c r="C275" s="330" t="s">
        <v>656</v>
      </c>
      <c r="D275" s="331">
        <v>46905</v>
      </c>
      <c r="E275" s="332">
        <v>2000</v>
      </c>
      <c r="F275" s="333">
        <v>1</v>
      </c>
      <c r="G275" s="334">
        <f t="shared" si="6"/>
        <v>2000</v>
      </c>
      <c r="H275" s="330" t="s">
        <v>651</v>
      </c>
    </row>
    <row r="276" spans="1:8" s="30" customFormat="1" ht="40.5" customHeight="1">
      <c r="A276" s="330">
        <v>316</v>
      </c>
      <c r="B276" s="330" t="s">
        <v>331</v>
      </c>
      <c r="C276" s="330" t="s">
        <v>656</v>
      </c>
      <c r="D276" s="331">
        <v>46997</v>
      </c>
      <c r="E276" s="332">
        <v>399.28</v>
      </c>
      <c r="F276" s="333">
        <v>1</v>
      </c>
      <c r="G276" s="334">
        <f t="shared" si="6"/>
        <v>399.28</v>
      </c>
      <c r="H276" s="330" t="s">
        <v>651</v>
      </c>
    </row>
    <row r="277" spans="1:8" s="30" customFormat="1" ht="47.25" hidden="1" customHeight="1">
      <c r="A277" s="330"/>
      <c r="B277" s="330"/>
      <c r="C277" s="330"/>
      <c r="D277" s="331"/>
      <c r="E277" s="332"/>
      <c r="F277" s="333"/>
      <c r="G277" s="334"/>
      <c r="H277" s="330"/>
    </row>
    <row r="278" spans="1:8" ht="29.25" customHeight="1">
      <c r="A278" s="335"/>
      <c r="B278" s="335"/>
      <c r="C278" s="335"/>
      <c r="D278" s="335"/>
      <c r="E278" s="336" t="s">
        <v>60</v>
      </c>
      <c r="F278" s="337">
        <f>SUM(F4:F277)</f>
        <v>1299</v>
      </c>
      <c r="G278" s="338">
        <f>SUM(G4:G277)</f>
        <v>2783469.3600000003</v>
      </c>
      <c r="H278" s="339"/>
    </row>
    <row r="301" spans="2:2">
      <c r="B301" s="340"/>
    </row>
    <row r="302" spans="2:2">
      <c r="B302" s="340"/>
    </row>
    <row r="303" spans="2:2">
      <c r="B303" s="340"/>
    </row>
    <row r="304" spans="2:2">
      <c r="B304" s="340"/>
    </row>
    <row r="305" spans="2:2">
      <c r="B305" s="340"/>
    </row>
    <row r="306" spans="2:2">
      <c r="B306" s="340"/>
    </row>
    <row r="307" spans="2:2">
      <c r="B307" s="340"/>
    </row>
    <row r="308" spans="2:2">
      <c r="B308" s="340"/>
    </row>
    <row r="309" spans="2:2">
      <c r="B309" s="340"/>
    </row>
    <row r="310" spans="2:2">
      <c r="B310" s="340"/>
    </row>
    <row r="311" spans="2:2">
      <c r="B311" s="340"/>
    </row>
    <row r="312" spans="2:2">
      <c r="B312" s="340"/>
    </row>
    <row r="313" spans="2:2">
      <c r="B313" s="340"/>
    </row>
    <row r="314" spans="2:2">
      <c r="B314" s="38"/>
    </row>
  </sheetData>
  <sheetProtection formatRows="0"/>
  <mergeCells count="2">
    <mergeCell ref="A1:H1"/>
    <mergeCell ref="A2:H2"/>
  </mergeCells>
  <phoneticPr fontId="20" type="noConversion"/>
  <conditionalFormatting sqref="C4:C9">
    <cfRule type="expression" dxfId="39" priority="703">
      <formula>ISODD(ROW())</formula>
    </cfRule>
  </conditionalFormatting>
  <conditionalFormatting sqref="E4:F73 B4:B110 H4:H129 D4:D167 C11:C81 E75:F129 C83:C110 B109:C167 F162:H167 F168:G171 B168:B177 H168:H177 C168:D185 B186:H276 A277:H277">
    <cfRule type="expression" dxfId="38" priority="77">
      <formula>ISODD(ROW())</formula>
    </cfRule>
  </conditionalFormatting>
  <conditionalFormatting sqref="E178:F181">
    <cfRule type="expression" dxfId="37" priority="35">
      <formula>ISODD(ROW())</formula>
    </cfRule>
  </conditionalFormatting>
  <conditionalFormatting sqref="E74:G74 E130:H131">
    <cfRule type="expression" dxfId="36" priority="740">
      <formula>ISODD(ROW())</formula>
    </cfRule>
  </conditionalFormatting>
  <conditionalFormatting sqref="F140:F141">
    <cfRule type="expression" dxfId="35" priority="392">
      <formula>ISODD(ROW())</formula>
    </cfRule>
  </conditionalFormatting>
  <conditionalFormatting sqref="F145:F161">
    <cfRule type="expression" dxfId="34" priority="301">
      <formula>ISODD(ROW())</formula>
    </cfRule>
  </conditionalFormatting>
  <conditionalFormatting sqref="F172:F177">
    <cfRule type="expression" dxfId="33" priority="67">
      <formula>ISODD(ROW())</formula>
    </cfRule>
  </conditionalFormatting>
  <conditionalFormatting sqref="F182:F185">
    <cfRule type="expression" dxfId="32" priority="1">
      <formula>ISODD(ROW())</formula>
    </cfRule>
  </conditionalFormatting>
  <conditionalFormatting sqref="F132:H139">
    <cfRule type="expression" dxfId="31" priority="402">
      <formula>ISODD(ROW())</formula>
    </cfRule>
  </conditionalFormatting>
  <conditionalFormatting sqref="G4:G185 A4:A276 E132:E185 B178:C185">
    <cfRule type="expression" dxfId="30" priority="13">
      <formula>ISODD(ROW())</formula>
    </cfRule>
  </conditionalFormatting>
  <conditionalFormatting sqref="G140:H140 H141:H156 F142:G144 G157:H161">
    <cfRule type="expression" dxfId="29" priority="730">
      <formula>ISODD(ROW())</formula>
    </cfRule>
  </conditionalFormatting>
  <conditionalFormatting sqref="G178:H185">
    <cfRule type="expression" dxfId="28" priority="731">
      <formula>ISODD(ROW())</formula>
    </cfRule>
  </conditionalFormatting>
  <dataValidations count="1">
    <dataValidation type="list" allowBlank="1" showInputMessage="1" showErrorMessage="1" sqref="B4:B277" xr:uid="{00000000-0002-0000-0700-000000000000}">
      <formula1>Bens</formula1>
      <formula2>0</formula2>
    </dataValidation>
  </dataValidations>
  <pageMargins left="0.196527777777778" right="0.196527777777778" top="0.59027777777777801" bottom="0.59027777777777801" header="0.51180555555555496" footer="0"/>
  <pageSetup paperSize="9" scale="75" firstPageNumber="0" fitToHeight="0" orientation="landscape" horizontalDpi="300" verticalDpi="300" r:id="rId1"/>
  <headerFooter>
    <oddFooter>&amp;CPágina &amp;P de &amp;N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filterMode="1">
    <tabColor rgb="FF0D0D0D"/>
    <pageSetUpPr fitToPage="1"/>
  </sheetPr>
  <dimension ref="A1:AMJ3151"/>
  <sheetViews>
    <sheetView view="pageBreakPreview" zoomScale="110" zoomScaleNormal="90" zoomScaleSheetLayoutView="110" workbookViewId="0">
      <pane ySplit="3" topLeftCell="A1078" activePane="bottomLeft" state="frozen"/>
      <selection activeCell="B1" sqref="B1"/>
      <selection pane="bottomLeft" activeCell="C219" sqref="C219:C222"/>
    </sheetView>
  </sheetViews>
  <sheetFormatPr defaultColWidth="9.1796875" defaultRowHeight="12.5"/>
  <cols>
    <col min="1" max="1" width="4.7265625" style="84" customWidth="1"/>
    <col min="2" max="2" width="30.81640625" style="81" customWidth="1"/>
    <col min="3" max="3" width="13" style="84" customWidth="1"/>
    <col min="4" max="5" width="10.1796875" style="84" customWidth="1"/>
    <col min="6" max="6" width="31.54296875" style="81" customWidth="1"/>
    <col min="7" max="7" width="36" style="341" customWidth="1"/>
    <col min="8" max="8" width="15.453125" style="84" bestFit="1" customWidth="1"/>
    <col min="9" max="9" width="9.1796875" style="120" customWidth="1"/>
    <col min="10" max="1024" width="9.1796875" style="120"/>
  </cols>
  <sheetData>
    <row r="1" spans="1:9" ht="44.25" customHeight="1">
      <c r="A1" s="383" t="str">
        <f>Capa!A1</f>
        <v>Memória de Cálculo
Contrato de Gestão nº 10/2023 celebrado entre a Secretaria de Estado de Justiça e Segurança Pública - SEJUSP e  o Pólo de Evolução de Medidas Socioeducativas</v>
      </c>
      <c r="B1" s="383"/>
      <c r="C1" s="383"/>
      <c r="D1" s="383"/>
      <c r="E1" s="383"/>
      <c r="F1" s="383"/>
      <c r="G1" s="383"/>
      <c r="H1" s="383"/>
    </row>
    <row r="2" spans="1:9" ht="23.25" customHeight="1" thickBot="1">
      <c r="A2" s="384" t="s">
        <v>400</v>
      </c>
      <c r="B2" s="384"/>
      <c r="C2" s="384"/>
      <c r="D2" s="384"/>
      <c r="E2" s="384"/>
      <c r="F2" s="384"/>
      <c r="G2" s="384"/>
      <c r="H2" s="384"/>
    </row>
    <row r="3" spans="1:9" ht="43.5" customHeight="1" thickBot="1">
      <c r="A3" s="342" t="s">
        <v>401</v>
      </c>
      <c r="B3" s="343" t="s">
        <v>394</v>
      </c>
      <c r="C3" s="343" t="s">
        <v>124</v>
      </c>
      <c r="D3" s="343" t="s">
        <v>402</v>
      </c>
      <c r="E3" s="343" t="s">
        <v>403</v>
      </c>
      <c r="F3" s="344" t="s">
        <v>100</v>
      </c>
      <c r="G3" s="344" t="s">
        <v>404</v>
      </c>
      <c r="H3" s="344" t="s">
        <v>405</v>
      </c>
    </row>
    <row r="4" spans="1:9" ht="20" hidden="1">
      <c r="A4" s="345">
        <v>2</v>
      </c>
      <c r="B4" s="346" t="s">
        <v>198</v>
      </c>
      <c r="C4" s="347">
        <v>12319.77</v>
      </c>
      <c r="D4" s="348">
        <v>45658</v>
      </c>
      <c r="E4" s="348">
        <v>45992</v>
      </c>
      <c r="F4" s="346" t="s">
        <v>598</v>
      </c>
      <c r="G4" s="349" t="s">
        <v>437</v>
      </c>
      <c r="H4" s="350">
        <f t="shared" ref="H4:H54" si="0">IFERROR((DATEDIF(D4,E4,"M")+1)*C4,0)</f>
        <v>147837.24</v>
      </c>
      <c r="I4" s="120" t="str">
        <f>IF(OR(D4&lt;Capa!$A$5,D4&gt;Capa!$A$7,E4&lt;Capa!$A$5,E4&gt;Capa!$A$7,D4&gt;E4),"Erro","")</f>
        <v/>
      </c>
    </row>
    <row r="5" spans="1:9" ht="20" hidden="1">
      <c r="A5" s="345">
        <v>3</v>
      </c>
      <c r="B5" s="346" t="s">
        <v>198</v>
      </c>
      <c r="C5" s="347">
        <v>12935.76</v>
      </c>
      <c r="D5" s="348">
        <v>46023</v>
      </c>
      <c r="E5" s="348">
        <v>46357</v>
      </c>
      <c r="F5" s="346" t="s">
        <v>598</v>
      </c>
      <c r="G5" s="349" t="s">
        <v>437</v>
      </c>
      <c r="H5" s="350">
        <f t="shared" si="0"/>
        <v>155229.12</v>
      </c>
      <c r="I5" s="120" t="str">
        <f>IF(OR(D5&lt;Capa!$A$5,D5&gt;Capa!$A$7,E5&lt;Capa!$A$5,E5&gt;Capa!$A$7,D5&gt;E5),"Erro","")</f>
        <v/>
      </c>
    </row>
    <row r="6" spans="1:9" ht="20" hidden="1">
      <c r="A6" s="345">
        <v>4</v>
      </c>
      <c r="B6" s="346" t="s">
        <v>198</v>
      </c>
      <c r="C6" s="347">
        <v>13582.55</v>
      </c>
      <c r="D6" s="348">
        <v>46388</v>
      </c>
      <c r="E6" s="348">
        <v>46722</v>
      </c>
      <c r="F6" s="346" t="s">
        <v>598</v>
      </c>
      <c r="G6" s="349" t="s">
        <v>437</v>
      </c>
      <c r="H6" s="350">
        <f t="shared" si="0"/>
        <v>162990.59999999998</v>
      </c>
      <c r="I6" s="120" t="str">
        <f>IF(OR(D6&lt;Capa!$A$5,D6&gt;Capa!$A$7,E6&lt;Capa!$A$5,E6&gt;Capa!$A$7,D6&gt;E6),"Erro","")</f>
        <v/>
      </c>
    </row>
    <row r="7" spans="1:9" ht="20" hidden="1">
      <c r="A7" s="345">
        <v>5</v>
      </c>
      <c r="B7" s="346" t="s">
        <v>198</v>
      </c>
      <c r="C7" s="347">
        <v>9270.0920000000006</v>
      </c>
      <c r="D7" s="348">
        <v>46753</v>
      </c>
      <c r="E7" s="348">
        <v>47058</v>
      </c>
      <c r="F7" s="346" t="s">
        <v>598</v>
      </c>
      <c r="G7" s="349" t="s">
        <v>437</v>
      </c>
      <c r="H7" s="350">
        <f t="shared" si="0"/>
        <v>101971.012</v>
      </c>
      <c r="I7" s="120" t="str">
        <f>IF(OR(D7&lt;Capa!$A$5,D7&gt;Capa!$A$7,E7&lt;Capa!$A$5,E7&gt;Capa!$A$7,D7&gt;E7),"Erro","")</f>
        <v/>
      </c>
    </row>
    <row r="8" spans="1:9" ht="20" hidden="1">
      <c r="A8" s="345">
        <v>6</v>
      </c>
      <c r="B8" s="346" t="s">
        <v>202</v>
      </c>
      <c r="C8" s="347">
        <v>1500</v>
      </c>
      <c r="D8" s="348">
        <v>45658</v>
      </c>
      <c r="E8" s="348">
        <v>45748</v>
      </c>
      <c r="F8" s="346" t="s">
        <v>598</v>
      </c>
      <c r="G8" s="349" t="s">
        <v>438</v>
      </c>
      <c r="H8" s="350">
        <f t="shared" si="0"/>
        <v>6000</v>
      </c>
      <c r="I8" s="120" t="str">
        <f>IF(OR(D8&lt;Capa!$A$5,D8&gt;Capa!$A$7,E8&lt;Capa!$A$5,E8&gt;Capa!$A$7,D8&gt;E8),"Erro","")</f>
        <v/>
      </c>
    </row>
    <row r="9" spans="1:9" ht="20" hidden="1">
      <c r="A9" s="345">
        <v>7</v>
      </c>
      <c r="B9" s="346" t="s">
        <v>202</v>
      </c>
      <c r="C9" s="347">
        <v>1300</v>
      </c>
      <c r="D9" s="348">
        <v>46023</v>
      </c>
      <c r="E9" s="348">
        <v>46113</v>
      </c>
      <c r="F9" s="346" t="s">
        <v>598</v>
      </c>
      <c r="G9" s="349" t="s">
        <v>438</v>
      </c>
      <c r="H9" s="350">
        <f t="shared" si="0"/>
        <v>5200</v>
      </c>
      <c r="I9" s="120" t="str">
        <f>IF(OR(D9&lt;Capa!$A$5,D9&gt;Capa!$A$7,E9&lt;Capa!$A$5,E9&gt;Capa!$A$7,D9&gt;E9),"Erro","")</f>
        <v/>
      </c>
    </row>
    <row r="10" spans="1:9" ht="20" hidden="1">
      <c r="A10" s="345">
        <v>8</v>
      </c>
      <c r="B10" s="346" t="s">
        <v>202</v>
      </c>
      <c r="C10" s="347">
        <v>1300</v>
      </c>
      <c r="D10" s="348">
        <v>46388</v>
      </c>
      <c r="E10" s="348">
        <v>46478</v>
      </c>
      <c r="F10" s="346" t="s">
        <v>598</v>
      </c>
      <c r="G10" s="349" t="s">
        <v>438</v>
      </c>
      <c r="H10" s="350">
        <f t="shared" si="0"/>
        <v>5200</v>
      </c>
      <c r="I10" s="120" t="str">
        <f>IF(OR(D10&lt;Capa!$A$5,D10&gt;Capa!$A$7,E10&lt;Capa!$A$5,E10&gt;Capa!$A$7,D10&gt;E10),"Erro","")</f>
        <v/>
      </c>
    </row>
    <row r="11" spans="1:9" ht="20" hidden="1">
      <c r="A11" s="345">
        <v>9</v>
      </c>
      <c r="B11" s="346" t="s">
        <v>202</v>
      </c>
      <c r="C11" s="347">
        <v>750</v>
      </c>
      <c r="D11" s="348">
        <v>46753</v>
      </c>
      <c r="E11" s="348">
        <v>46844</v>
      </c>
      <c r="F11" s="346" t="s">
        <v>598</v>
      </c>
      <c r="G11" s="349" t="s">
        <v>438</v>
      </c>
      <c r="H11" s="350">
        <f t="shared" si="0"/>
        <v>3000</v>
      </c>
      <c r="I11" s="120" t="str">
        <f>IF(OR(D11&lt;Capa!$A$5,D11&gt;Capa!$A$7,E11&lt;Capa!$A$5,E11&gt;Capa!$A$7,D11&gt;E11),"Erro","")</f>
        <v/>
      </c>
    </row>
    <row r="12" spans="1:9" ht="20" hidden="1">
      <c r="A12" s="345">
        <v>10</v>
      </c>
      <c r="B12" s="346" t="s">
        <v>204</v>
      </c>
      <c r="C12" s="347">
        <v>1250</v>
      </c>
      <c r="D12" s="348">
        <v>45658</v>
      </c>
      <c r="E12" s="348">
        <v>45748</v>
      </c>
      <c r="F12" s="346" t="s">
        <v>598</v>
      </c>
      <c r="G12" s="349" t="s">
        <v>438</v>
      </c>
      <c r="H12" s="350">
        <f t="shared" si="0"/>
        <v>5000</v>
      </c>
      <c r="I12" s="120" t="str">
        <f>IF(OR(D12&lt;Capa!$A$5,D12&gt;Capa!$A$7,E12&lt;Capa!$A$5,E12&gt;Capa!$A$7,D12&gt;E12),"Erro","")</f>
        <v/>
      </c>
    </row>
    <row r="13" spans="1:9" ht="20" hidden="1">
      <c r="A13" s="345">
        <v>11</v>
      </c>
      <c r="B13" s="346" t="s">
        <v>204</v>
      </c>
      <c r="C13" s="347">
        <v>1250</v>
      </c>
      <c r="D13" s="348">
        <v>46023</v>
      </c>
      <c r="E13" s="348">
        <v>46113</v>
      </c>
      <c r="F13" s="346" t="s">
        <v>598</v>
      </c>
      <c r="G13" s="349" t="s">
        <v>438</v>
      </c>
      <c r="H13" s="350">
        <f t="shared" si="0"/>
        <v>5000</v>
      </c>
      <c r="I13" s="120" t="str">
        <f>IF(OR(D13&lt;Capa!$A$5,D13&gt;Capa!$A$7,E13&lt;Capa!$A$5,E13&gt;Capa!$A$7,D13&gt;E13),"Erro","")</f>
        <v/>
      </c>
    </row>
    <row r="14" spans="1:9" ht="20" hidden="1">
      <c r="A14" s="345">
        <v>12</v>
      </c>
      <c r="B14" s="346" t="s">
        <v>204</v>
      </c>
      <c r="C14" s="347">
        <v>1250</v>
      </c>
      <c r="D14" s="348">
        <v>46388</v>
      </c>
      <c r="E14" s="348">
        <v>46478</v>
      </c>
      <c r="F14" s="346" t="s">
        <v>598</v>
      </c>
      <c r="G14" s="349" t="s">
        <v>438</v>
      </c>
      <c r="H14" s="350">
        <f t="shared" si="0"/>
        <v>5000</v>
      </c>
      <c r="I14" s="120" t="str">
        <f>IF(OR(D14&lt;Capa!$A$5,D14&gt;Capa!$A$7,E14&lt;Capa!$A$5,E14&gt;Capa!$A$7,D14&gt;E14),"Erro","")</f>
        <v/>
      </c>
    </row>
    <row r="15" spans="1:9" ht="20" hidden="1">
      <c r="A15" s="345">
        <v>13</v>
      </c>
      <c r="B15" s="346" t="s">
        <v>204</v>
      </c>
      <c r="C15" s="347">
        <v>780</v>
      </c>
      <c r="D15" s="348">
        <v>46753</v>
      </c>
      <c r="E15" s="348">
        <v>46844</v>
      </c>
      <c r="F15" s="346" t="s">
        <v>598</v>
      </c>
      <c r="G15" s="349" t="s">
        <v>438</v>
      </c>
      <c r="H15" s="350">
        <f t="shared" si="0"/>
        <v>3120</v>
      </c>
      <c r="I15" s="120" t="str">
        <f>IF(OR(D15&lt;Capa!$A$5,D15&gt;Capa!$A$7,E15&lt;Capa!$A$5,E15&gt;Capa!$A$7,D15&gt;E15),"Erro","")</f>
        <v/>
      </c>
    </row>
    <row r="16" spans="1:9" ht="20" hidden="1">
      <c r="A16" s="345">
        <v>15</v>
      </c>
      <c r="B16" s="346" t="s">
        <v>206</v>
      </c>
      <c r="C16" s="347">
        <v>1600</v>
      </c>
      <c r="D16" s="348">
        <v>45658</v>
      </c>
      <c r="E16" s="348">
        <v>45992</v>
      </c>
      <c r="F16" s="346" t="s">
        <v>598</v>
      </c>
      <c r="G16" s="349" t="s">
        <v>439</v>
      </c>
      <c r="H16" s="350">
        <f t="shared" si="0"/>
        <v>19200</v>
      </c>
      <c r="I16" s="120" t="str">
        <f>IF(OR(D16&lt;Capa!$A$5,D16&gt;Capa!$A$7,E16&lt;Capa!$A$5,E16&gt;Capa!$A$7,D16&gt;E16),"Erro","")</f>
        <v/>
      </c>
    </row>
    <row r="17" spans="1:9" ht="20" hidden="1">
      <c r="A17" s="345">
        <v>16</v>
      </c>
      <c r="B17" s="346" t="s">
        <v>206</v>
      </c>
      <c r="C17" s="347">
        <v>1600</v>
      </c>
      <c r="D17" s="348">
        <v>46023</v>
      </c>
      <c r="E17" s="348">
        <v>46357</v>
      </c>
      <c r="F17" s="346" t="s">
        <v>598</v>
      </c>
      <c r="G17" s="349" t="s">
        <v>439</v>
      </c>
      <c r="H17" s="350">
        <f t="shared" si="0"/>
        <v>19200</v>
      </c>
      <c r="I17" s="120" t="str">
        <f>IF(OR(D17&lt;Capa!$A$5,D17&gt;Capa!$A$7,E17&lt;Capa!$A$5,E17&gt;Capa!$A$7,D17&gt;E17),"Erro","")</f>
        <v/>
      </c>
    </row>
    <row r="18" spans="1:9" ht="20" hidden="1">
      <c r="A18" s="345">
        <v>17</v>
      </c>
      <c r="B18" s="346" t="s">
        <v>206</v>
      </c>
      <c r="C18" s="347">
        <v>1600</v>
      </c>
      <c r="D18" s="348">
        <v>46388</v>
      </c>
      <c r="E18" s="348">
        <v>46722</v>
      </c>
      <c r="F18" s="346" t="s">
        <v>598</v>
      </c>
      <c r="G18" s="349" t="s">
        <v>439</v>
      </c>
      <c r="H18" s="350">
        <f t="shared" si="0"/>
        <v>19200</v>
      </c>
      <c r="I18" s="120" t="str">
        <f>IF(OR(D18&lt;Capa!$A$5,D18&gt;Capa!$A$7,E18&lt;Capa!$A$5,E18&gt;Capa!$A$7,D18&gt;E18),"Erro","")</f>
        <v/>
      </c>
    </row>
    <row r="19" spans="1:9" ht="20" hidden="1">
      <c r="A19" s="345">
        <v>18</v>
      </c>
      <c r="B19" s="346" t="s">
        <v>206</v>
      </c>
      <c r="C19" s="347">
        <v>800</v>
      </c>
      <c r="D19" s="348">
        <v>46753</v>
      </c>
      <c r="E19" s="348">
        <v>47058</v>
      </c>
      <c r="F19" s="346" t="s">
        <v>598</v>
      </c>
      <c r="G19" s="349" t="s">
        <v>439</v>
      </c>
      <c r="H19" s="350">
        <f t="shared" si="0"/>
        <v>8800</v>
      </c>
      <c r="I19" s="120" t="str">
        <f>IF(OR(D19&lt;Capa!$A$5,D19&gt;Capa!$A$7,E19&lt;Capa!$A$5,E19&gt;Capa!$A$7,D19&gt;E19),"Erro","")</f>
        <v/>
      </c>
    </row>
    <row r="20" spans="1:9" ht="20" hidden="1">
      <c r="A20" s="345">
        <v>20</v>
      </c>
      <c r="B20" s="346" t="s">
        <v>208</v>
      </c>
      <c r="C20" s="347">
        <v>60</v>
      </c>
      <c r="D20" s="348">
        <v>45658</v>
      </c>
      <c r="E20" s="348">
        <v>45992</v>
      </c>
      <c r="F20" s="346" t="s">
        <v>598</v>
      </c>
      <c r="G20" s="349" t="s">
        <v>439</v>
      </c>
      <c r="H20" s="350">
        <f t="shared" si="0"/>
        <v>720</v>
      </c>
      <c r="I20" s="120" t="str">
        <f>IF(OR(D20&lt;Capa!$A$5,D20&gt;Capa!$A$7,E20&lt;Capa!$A$5,E20&gt;Capa!$A$7,D20&gt;E20),"Erro","")</f>
        <v/>
      </c>
    </row>
    <row r="21" spans="1:9" ht="20" hidden="1">
      <c r="A21" s="345">
        <v>21</v>
      </c>
      <c r="B21" s="346" t="s">
        <v>208</v>
      </c>
      <c r="C21" s="347">
        <v>60</v>
      </c>
      <c r="D21" s="348">
        <v>46023</v>
      </c>
      <c r="E21" s="348">
        <v>46357</v>
      </c>
      <c r="F21" s="346" t="s">
        <v>598</v>
      </c>
      <c r="G21" s="349" t="s">
        <v>439</v>
      </c>
      <c r="H21" s="350">
        <f t="shared" si="0"/>
        <v>720</v>
      </c>
      <c r="I21" s="120" t="str">
        <f>IF(OR(D21&lt;Capa!$A$5,D21&gt;Capa!$A$7,E21&lt;Capa!$A$5,E21&gt;Capa!$A$7,D21&gt;E21),"Erro","")</f>
        <v/>
      </c>
    </row>
    <row r="22" spans="1:9" ht="20" hidden="1">
      <c r="A22" s="345">
        <v>22</v>
      </c>
      <c r="B22" s="346" t="s">
        <v>208</v>
      </c>
      <c r="C22" s="347">
        <v>60</v>
      </c>
      <c r="D22" s="348">
        <v>46388</v>
      </c>
      <c r="E22" s="348">
        <v>46722</v>
      </c>
      <c r="F22" s="346" t="s">
        <v>598</v>
      </c>
      <c r="G22" s="349" t="s">
        <v>439</v>
      </c>
      <c r="H22" s="350">
        <f t="shared" si="0"/>
        <v>720</v>
      </c>
      <c r="I22" s="120" t="str">
        <f>IF(OR(D22&lt;Capa!$A$5,D22&gt;Capa!$A$7,E22&lt;Capa!$A$5,E22&gt;Capa!$A$7,D22&gt;E22),"Erro","")</f>
        <v/>
      </c>
    </row>
    <row r="23" spans="1:9" ht="20" hidden="1">
      <c r="A23" s="345">
        <v>23</v>
      </c>
      <c r="B23" s="346" t="s">
        <v>208</v>
      </c>
      <c r="C23" s="347">
        <v>60</v>
      </c>
      <c r="D23" s="348">
        <v>46753</v>
      </c>
      <c r="E23" s="348">
        <v>47058</v>
      </c>
      <c r="F23" s="346" t="s">
        <v>598</v>
      </c>
      <c r="G23" s="349" t="s">
        <v>439</v>
      </c>
      <c r="H23" s="350">
        <f t="shared" si="0"/>
        <v>660</v>
      </c>
      <c r="I23" s="120" t="str">
        <f>IF(OR(D23&lt;Capa!$A$5,D23&gt;Capa!$A$7,E23&lt;Capa!$A$5,E23&gt;Capa!$A$7,D23&gt;E23),"Erro","")</f>
        <v/>
      </c>
    </row>
    <row r="24" spans="1:9" ht="20" hidden="1">
      <c r="A24" s="345">
        <v>25</v>
      </c>
      <c r="B24" s="346" t="s">
        <v>210</v>
      </c>
      <c r="C24" s="347">
        <v>60</v>
      </c>
      <c r="D24" s="348">
        <v>45658</v>
      </c>
      <c r="E24" s="348">
        <v>45992</v>
      </c>
      <c r="F24" s="346" t="s">
        <v>598</v>
      </c>
      <c r="G24" s="349" t="s">
        <v>439</v>
      </c>
      <c r="H24" s="350">
        <f t="shared" si="0"/>
        <v>720</v>
      </c>
      <c r="I24" s="120" t="str">
        <f>IF(OR(D24&lt;Capa!$A$5,D24&gt;Capa!$A$7,E24&lt;Capa!$A$5,E24&gt;Capa!$A$7,D24&gt;E24),"Erro","")</f>
        <v/>
      </c>
    </row>
    <row r="25" spans="1:9" ht="20" hidden="1">
      <c r="A25" s="345">
        <v>26</v>
      </c>
      <c r="B25" s="346" t="s">
        <v>210</v>
      </c>
      <c r="C25" s="347">
        <v>60</v>
      </c>
      <c r="D25" s="348">
        <v>46023</v>
      </c>
      <c r="E25" s="348">
        <v>46357</v>
      </c>
      <c r="F25" s="346" t="s">
        <v>598</v>
      </c>
      <c r="G25" s="349" t="s">
        <v>439</v>
      </c>
      <c r="H25" s="350">
        <f t="shared" si="0"/>
        <v>720</v>
      </c>
      <c r="I25" s="120" t="str">
        <f>IF(OR(D25&lt;Capa!$A$5,D25&gt;Capa!$A$7,E25&lt;Capa!$A$5,E25&gt;Capa!$A$7,D25&gt;E25),"Erro","")</f>
        <v/>
      </c>
    </row>
    <row r="26" spans="1:9" ht="20" hidden="1">
      <c r="A26" s="345">
        <v>27</v>
      </c>
      <c r="B26" s="346" t="s">
        <v>210</v>
      </c>
      <c r="C26" s="347">
        <v>60</v>
      </c>
      <c r="D26" s="348">
        <v>46388</v>
      </c>
      <c r="E26" s="348">
        <v>46722</v>
      </c>
      <c r="F26" s="346" t="s">
        <v>598</v>
      </c>
      <c r="G26" s="349" t="s">
        <v>439</v>
      </c>
      <c r="H26" s="350">
        <f t="shared" si="0"/>
        <v>720</v>
      </c>
      <c r="I26" s="120" t="str">
        <f>IF(OR(D26&lt;Capa!$A$5,D26&gt;Capa!$A$7,E26&lt;Capa!$A$5,E26&gt;Capa!$A$7,D26&gt;E26),"Erro","")</f>
        <v/>
      </c>
    </row>
    <row r="27" spans="1:9" ht="20" hidden="1">
      <c r="A27" s="345">
        <v>28</v>
      </c>
      <c r="B27" s="346" t="s">
        <v>210</v>
      </c>
      <c r="C27" s="347">
        <v>49</v>
      </c>
      <c r="D27" s="348">
        <v>46753</v>
      </c>
      <c r="E27" s="348">
        <v>47058</v>
      </c>
      <c r="F27" s="346" t="s">
        <v>598</v>
      </c>
      <c r="G27" s="349" t="s">
        <v>439</v>
      </c>
      <c r="H27" s="350">
        <f t="shared" si="0"/>
        <v>539</v>
      </c>
      <c r="I27" s="120" t="str">
        <f>IF(OR(D27&lt;Capa!$A$5,D27&gt;Capa!$A$7,E27&lt;Capa!$A$5,E27&gt;Capa!$A$7,D27&gt;E27),"Erro","")</f>
        <v/>
      </c>
    </row>
    <row r="28" spans="1:9" ht="20" hidden="1">
      <c r="A28" s="345">
        <v>30</v>
      </c>
      <c r="B28" s="346" t="s">
        <v>214</v>
      </c>
      <c r="C28" s="347">
        <v>140</v>
      </c>
      <c r="D28" s="348">
        <v>45658</v>
      </c>
      <c r="E28" s="348">
        <v>45992</v>
      </c>
      <c r="F28" s="346" t="s">
        <v>598</v>
      </c>
      <c r="G28" s="349" t="s">
        <v>439</v>
      </c>
      <c r="H28" s="350">
        <f t="shared" si="0"/>
        <v>1680</v>
      </c>
      <c r="I28" s="120" t="str">
        <f>IF(OR(D28&lt;Capa!$A$5,D28&gt;Capa!$A$7,E28&lt;Capa!$A$5,E28&gt;Capa!$A$7,D28&gt;E28),"Erro","")</f>
        <v/>
      </c>
    </row>
    <row r="29" spans="1:9" ht="20" hidden="1">
      <c r="A29" s="345">
        <v>31</v>
      </c>
      <c r="B29" s="346" t="s">
        <v>214</v>
      </c>
      <c r="C29" s="347">
        <v>140</v>
      </c>
      <c r="D29" s="348">
        <v>46023</v>
      </c>
      <c r="E29" s="348">
        <v>46357</v>
      </c>
      <c r="F29" s="346" t="s">
        <v>598</v>
      </c>
      <c r="G29" s="349" t="s">
        <v>439</v>
      </c>
      <c r="H29" s="350">
        <f t="shared" si="0"/>
        <v>1680</v>
      </c>
      <c r="I29" s="120" t="str">
        <f>IF(OR(D29&lt;Capa!$A$5,D29&gt;Capa!$A$7,E29&lt;Capa!$A$5,E29&gt;Capa!$A$7,D29&gt;E29),"Erro","")</f>
        <v/>
      </c>
    </row>
    <row r="30" spans="1:9" ht="20" hidden="1">
      <c r="A30" s="345">
        <v>32</v>
      </c>
      <c r="B30" s="346" t="s">
        <v>214</v>
      </c>
      <c r="C30" s="347">
        <v>140</v>
      </c>
      <c r="D30" s="348">
        <v>46388</v>
      </c>
      <c r="E30" s="348">
        <v>46722</v>
      </c>
      <c r="F30" s="346" t="s">
        <v>598</v>
      </c>
      <c r="G30" s="349" t="s">
        <v>439</v>
      </c>
      <c r="H30" s="350">
        <f t="shared" si="0"/>
        <v>1680</v>
      </c>
      <c r="I30" s="120" t="str">
        <f>IF(OR(D30&lt;Capa!$A$5,D30&gt;Capa!$A$7,E30&lt;Capa!$A$5,E30&gt;Capa!$A$7,D30&gt;E30),"Erro","")</f>
        <v/>
      </c>
    </row>
    <row r="31" spans="1:9" ht="20" hidden="1">
      <c r="A31" s="345">
        <v>33</v>
      </c>
      <c r="B31" s="346" t="s">
        <v>214</v>
      </c>
      <c r="C31" s="347">
        <v>65</v>
      </c>
      <c r="D31" s="348">
        <v>46753</v>
      </c>
      <c r="E31" s="348">
        <v>47058</v>
      </c>
      <c r="F31" s="346" t="s">
        <v>598</v>
      </c>
      <c r="G31" s="349" t="s">
        <v>439</v>
      </c>
      <c r="H31" s="350">
        <f t="shared" si="0"/>
        <v>715</v>
      </c>
      <c r="I31" s="120" t="str">
        <f>IF(OR(D31&lt;Capa!$A$5,D31&gt;Capa!$A$7,E31&lt;Capa!$A$5,E31&gt;Capa!$A$7,D31&gt;E31),"Erro","")</f>
        <v/>
      </c>
    </row>
    <row r="32" spans="1:9" ht="50" hidden="1">
      <c r="A32" s="345">
        <v>35</v>
      </c>
      <c r="B32" s="346" t="s">
        <v>212</v>
      </c>
      <c r="C32" s="347">
        <v>260</v>
      </c>
      <c r="D32" s="348">
        <v>45658</v>
      </c>
      <c r="E32" s="348">
        <v>45992</v>
      </c>
      <c r="F32" s="346" t="s">
        <v>598</v>
      </c>
      <c r="G32" s="349" t="s">
        <v>493</v>
      </c>
      <c r="H32" s="350">
        <f t="shared" si="0"/>
        <v>3120</v>
      </c>
      <c r="I32" s="120" t="str">
        <f>IF(OR(D32&lt;Capa!$A$5,D32&gt;Capa!$A$7,E32&lt;Capa!$A$5,E32&gt;Capa!$A$7,D32&gt;E32),"Erro","")</f>
        <v/>
      </c>
    </row>
    <row r="33" spans="1:9" ht="50" hidden="1">
      <c r="A33" s="345">
        <v>36</v>
      </c>
      <c r="B33" s="346" t="s">
        <v>212</v>
      </c>
      <c r="C33" s="347">
        <v>260</v>
      </c>
      <c r="D33" s="348">
        <v>46023</v>
      </c>
      <c r="E33" s="348">
        <v>46357</v>
      </c>
      <c r="F33" s="346" t="s">
        <v>598</v>
      </c>
      <c r="G33" s="349" t="s">
        <v>493</v>
      </c>
      <c r="H33" s="350">
        <f t="shared" si="0"/>
        <v>3120</v>
      </c>
      <c r="I33" s="120" t="str">
        <f>IF(OR(D33&lt;Capa!$A$5,D33&gt;Capa!$A$7,E33&lt;Capa!$A$5,E33&gt;Capa!$A$7,D33&gt;E33),"Erro","")</f>
        <v/>
      </c>
    </row>
    <row r="34" spans="1:9" ht="50" hidden="1">
      <c r="A34" s="345">
        <v>37</v>
      </c>
      <c r="B34" s="346" t="s">
        <v>212</v>
      </c>
      <c r="C34" s="347">
        <v>260</v>
      </c>
      <c r="D34" s="348">
        <v>46388</v>
      </c>
      <c r="E34" s="348">
        <v>46722</v>
      </c>
      <c r="F34" s="346" t="s">
        <v>598</v>
      </c>
      <c r="G34" s="349" t="s">
        <v>493</v>
      </c>
      <c r="H34" s="350">
        <f t="shared" si="0"/>
        <v>3120</v>
      </c>
      <c r="I34" s="120" t="str">
        <f>IF(OR(D34&lt;Capa!$A$5,D34&gt;Capa!$A$7,E34&lt;Capa!$A$5,E34&gt;Capa!$A$7,D34&gt;E34),"Erro","")</f>
        <v/>
      </c>
    </row>
    <row r="35" spans="1:9" ht="50" hidden="1">
      <c r="A35" s="345">
        <v>38</v>
      </c>
      <c r="B35" s="346" t="s">
        <v>212</v>
      </c>
      <c r="C35" s="347">
        <v>220</v>
      </c>
      <c r="D35" s="348">
        <v>46753</v>
      </c>
      <c r="E35" s="348">
        <v>47058</v>
      </c>
      <c r="F35" s="346" t="s">
        <v>598</v>
      </c>
      <c r="G35" s="349" t="s">
        <v>493</v>
      </c>
      <c r="H35" s="350">
        <f t="shared" si="0"/>
        <v>2420</v>
      </c>
      <c r="I35" s="120" t="str">
        <f>IF(OR(D35&lt;Capa!$A$5,D35&gt;Capa!$A$7,E35&lt;Capa!$A$5,E35&gt;Capa!$A$7,D35&gt;E35),"Erro","")</f>
        <v/>
      </c>
    </row>
    <row r="36" spans="1:9" ht="40" hidden="1">
      <c r="A36" s="345">
        <v>39</v>
      </c>
      <c r="B36" s="346" t="s">
        <v>248</v>
      </c>
      <c r="C36" s="347">
        <v>846</v>
      </c>
      <c r="D36" s="348">
        <v>45658</v>
      </c>
      <c r="E36" s="348">
        <v>45809</v>
      </c>
      <c r="F36" s="346" t="s">
        <v>598</v>
      </c>
      <c r="G36" s="349" t="s">
        <v>732</v>
      </c>
      <c r="H36" s="350">
        <f t="shared" si="0"/>
        <v>5076</v>
      </c>
      <c r="I36" s="120" t="str">
        <f>IF(OR(D36&lt;Capa!$A$5,D36&gt;Capa!$A$7,E36&lt;Capa!$A$5,E36&gt;Capa!$A$7,D36&gt;E36),"Erro","")</f>
        <v/>
      </c>
    </row>
    <row r="37" spans="1:9" ht="40" hidden="1">
      <c r="A37" s="345">
        <v>40</v>
      </c>
      <c r="B37" s="346" t="s">
        <v>248</v>
      </c>
      <c r="C37" s="347">
        <v>846</v>
      </c>
      <c r="D37" s="348">
        <v>46023</v>
      </c>
      <c r="E37" s="348">
        <v>46174</v>
      </c>
      <c r="F37" s="346" t="s">
        <v>598</v>
      </c>
      <c r="G37" s="349" t="s">
        <v>732</v>
      </c>
      <c r="H37" s="350">
        <f t="shared" si="0"/>
        <v>5076</v>
      </c>
      <c r="I37" s="120" t="str">
        <f>IF(OR(D37&lt;Capa!$A$5,D37&gt;Capa!$A$7,E37&lt;Capa!$A$5,E37&gt;Capa!$A$7,D37&gt;E37),"Erro","")</f>
        <v/>
      </c>
    </row>
    <row r="38" spans="1:9" ht="40" hidden="1">
      <c r="A38" s="345">
        <v>41</v>
      </c>
      <c r="B38" s="346" t="s">
        <v>248</v>
      </c>
      <c r="C38" s="347">
        <v>846</v>
      </c>
      <c r="D38" s="348">
        <v>46388</v>
      </c>
      <c r="E38" s="348">
        <v>46539</v>
      </c>
      <c r="F38" s="346" t="s">
        <v>598</v>
      </c>
      <c r="G38" s="349" t="s">
        <v>732</v>
      </c>
      <c r="H38" s="350">
        <f t="shared" si="0"/>
        <v>5076</v>
      </c>
      <c r="I38" s="120" t="str">
        <f>IF(OR(D38&lt;Capa!$A$5,D38&gt;Capa!$A$7,E38&lt;Capa!$A$5,E38&gt;Capa!$A$7,D38&gt;E38),"Erro","")</f>
        <v/>
      </c>
    </row>
    <row r="39" spans="1:9" ht="40" hidden="1">
      <c r="A39" s="345">
        <v>42</v>
      </c>
      <c r="B39" s="346" t="s">
        <v>248</v>
      </c>
      <c r="C39" s="347">
        <v>500</v>
      </c>
      <c r="D39" s="348">
        <v>46753</v>
      </c>
      <c r="E39" s="348">
        <v>46905</v>
      </c>
      <c r="F39" s="346" t="s">
        <v>598</v>
      </c>
      <c r="G39" s="349" t="s">
        <v>732</v>
      </c>
      <c r="H39" s="350">
        <f t="shared" si="0"/>
        <v>3000</v>
      </c>
      <c r="I39" s="120" t="str">
        <f>IF(OR(D39&lt;Capa!$A$5,D39&gt;Capa!$A$7,E39&lt;Capa!$A$5,E39&gt;Capa!$A$7,D39&gt;E39),"Erro","")</f>
        <v/>
      </c>
    </row>
    <row r="40" spans="1:9" ht="30" hidden="1">
      <c r="A40" s="345">
        <v>43</v>
      </c>
      <c r="B40" s="346" t="s">
        <v>266</v>
      </c>
      <c r="C40" s="347">
        <v>1500</v>
      </c>
      <c r="D40" s="348">
        <v>45658</v>
      </c>
      <c r="E40" s="348">
        <v>45658</v>
      </c>
      <c r="F40" s="346" t="s">
        <v>598</v>
      </c>
      <c r="G40" s="349" t="s">
        <v>441</v>
      </c>
      <c r="H40" s="350">
        <f t="shared" si="0"/>
        <v>1500</v>
      </c>
      <c r="I40" s="120" t="str">
        <f>IF(OR(D40&lt;Capa!$A$5,D40&gt;Capa!$A$7,E40&lt;Capa!$A$5,E40&gt;Capa!$A$7,D40&gt;E40),"Erro","")</f>
        <v/>
      </c>
    </row>
    <row r="41" spans="1:9" ht="30" hidden="1">
      <c r="A41" s="345">
        <v>44</v>
      </c>
      <c r="B41" s="346" t="s">
        <v>266</v>
      </c>
      <c r="C41" s="347">
        <v>1500</v>
      </c>
      <c r="D41" s="348">
        <v>46023</v>
      </c>
      <c r="E41" s="348">
        <v>46023</v>
      </c>
      <c r="F41" s="346" t="s">
        <v>598</v>
      </c>
      <c r="G41" s="349" t="s">
        <v>441</v>
      </c>
      <c r="H41" s="350">
        <f t="shared" si="0"/>
        <v>1500</v>
      </c>
      <c r="I41" s="120" t="str">
        <f>IF(OR(D41&lt;Capa!$A$5,D41&gt;Capa!$A$7,E41&lt;Capa!$A$5,E41&gt;Capa!$A$7,D41&gt;E41),"Erro","")</f>
        <v/>
      </c>
    </row>
    <row r="42" spans="1:9" ht="30" hidden="1">
      <c r="A42" s="345">
        <v>45</v>
      </c>
      <c r="B42" s="346" t="s">
        <v>266</v>
      </c>
      <c r="C42" s="347">
        <v>1500</v>
      </c>
      <c r="D42" s="348">
        <v>46388</v>
      </c>
      <c r="E42" s="348">
        <v>46388</v>
      </c>
      <c r="F42" s="346" t="s">
        <v>598</v>
      </c>
      <c r="G42" s="349" t="s">
        <v>441</v>
      </c>
      <c r="H42" s="350">
        <f t="shared" si="0"/>
        <v>1500</v>
      </c>
      <c r="I42" s="120" t="str">
        <f>IF(OR(D42&lt;Capa!$A$5,D42&gt;Capa!$A$7,E42&lt;Capa!$A$5,E42&gt;Capa!$A$7,D42&gt;E42),"Erro","")</f>
        <v/>
      </c>
    </row>
    <row r="43" spans="1:9" ht="30" hidden="1">
      <c r="A43" s="345">
        <v>46</v>
      </c>
      <c r="B43" s="346" t="s">
        <v>266</v>
      </c>
      <c r="C43" s="347">
        <v>750</v>
      </c>
      <c r="D43" s="348">
        <v>46753</v>
      </c>
      <c r="E43" s="348">
        <v>46753</v>
      </c>
      <c r="F43" s="346" t="s">
        <v>598</v>
      </c>
      <c r="G43" s="349" t="s">
        <v>441</v>
      </c>
      <c r="H43" s="350">
        <f t="shared" si="0"/>
        <v>750</v>
      </c>
      <c r="I43" s="120" t="str">
        <f>IF(OR(D43&lt;Capa!$A$5,D43&gt;Capa!$A$7,E43&lt;Capa!$A$5,E43&gt;Capa!$A$7,D43&gt;E43),"Erro","")</f>
        <v/>
      </c>
    </row>
    <row r="44" spans="1:9" hidden="1">
      <c r="A44" s="345">
        <v>48</v>
      </c>
      <c r="B44" s="346" t="s">
        <v>274</v>
      </c>
      <c r="C44" s="347">
        <v>850</v>
      </c>
      <c r="D44" s="348">
        <v>45658</v>
      </c>
      <c r="E44" s="348">
        <v>45992</v>
      </c>
      <c r="F44" s="346" t="s">
        <v>598</v>
      </c>
      <c r="G44" s="349" t="s">
        <v>442</v>
      </c>
      <c r="H44" s="350">
        <f t="shared" si="0"/>
        <v>10200</v>
      </c>
      <c r="I44" s="120" t="str">
        <f>IF(OR(D44&lt;Capa!$A$5,D44&gt;Capa!$A$7,E44&lt;Capa!$A$5,E44&gt;Capa!$A$7,D44&gt;E44),"Erro","")</f>
        <v/>
      </c>
    </row>
    <row r="45" spans="1:9" hidden="1">
      <c r="A45" s="345">
        <v>49</v>
      </c>
      <c r="B45" s="346" t="s">
        <v>274</v>
      </c>
      <c r="C45" s="347">
        <v>850</v>
      </c>
      <c r="D45" s="348">
        <v>46023</v>
      </c>
      <c r="E45" s="348">
        <v>46357</v>
      </c>
      <c r="F45" s="346" t="s">
        <v>598</v>
      </c>
      <c r="G45" s="349" t="s">
        <v>442</v>
      </c>
      <c r="H45" s="350">
        <f t="shared" si="0"/>
        <v>10200</v>
      </c>
      <c r="I45" s="120" t="str">
        <f>IF(OR(D45&lt;Capa!$A$5,D45&gt;Capa!$A$7,E45&lt;Capa!$A$5,E45&gt;Capa!$A$7,D45&gt;E45),"Erro","")</f>
        <v/>
      </c>
    </row>
    <row r="46" spans="1:9" hidden="1">
      <c r="A46" s="345">
        <v>50</v>
      </c>
      <c r="B46" s="346" t="s">
        <v>274</v>
      </c>
      <c r="C46" s="347">
        <v>850</v>
      </c>
      <c r="D46" s="348">
        <v>46388</v>
      </c>
      <c r="E46" s="348">
        <v>46722</v>
      </c>
      <c r="F46" s="346" t="s">
        <v>598</v>
      </c>
      <c r="G46" s="349" t="s">
        <v>442</v>
      </c>
      <c r="H46" s="350">
        <f t="shared" si="0"/>
        <v>10200</v>
      </c>
      <c r="I46" s="120" t="str">
        <f>IF(OR(D46&lt;Capa!$A$5,D46&gt;Capa!$A$7,E46&lt;Capa!$A$5,E46&gt;Capa!$A$7,D46&gt;E46),"Erro","")</f>
        <v/>
      </c>
    </row>
    <row r="47" spans="1:9" hidden="1">
      <c r="A47" s="345">
        <v>51</v>
      </c>
      <c r="B47" s="346" t="s">
        <v>274</v>
      </c>
      <c r="C47" s="347">
        <v>450</v>
      </c>
      <c r="D47" s="348">
        <v>46753</v>
      </c>
      <c r="E47" s="348">
        <v>47058</v>
      </c>
      <c r="F47" s="346" t="s">
        <v>598</v>
      </c>
      <c r="G47" s="349" t="s">
        <v>442</v>
      </c>
      <c r="H47" s="350">
        <f t="shared" si="0"/>
        <v>4950</v>
      </c>
      <c r="I47" s="120" t="str">
        <f>IF(OR(D47&lt;Capa!$A$5,D47&gt;Capa!$A$7,E47&lt;Capa!$A$5,E47&gt;Capa!$A$7,D47&gt;E47),"Erro","")</f>
        <v/>
      </c>
    </row>
    <row r="48" spans="1:9" ht="40" hidden="1">
      <c r="A48" s="345">
        <v>53</v>
      </c>
      <c r="B48" s="346" t="s">
        <v>236</v>
      </c>
      <c r="C48" s="347">
        <v>450</v>
      </c>
      <c r="D48" s="348">
        <v>45658</v>
      </c>
      <c r="E48" s="348">
        <v>45992</v>
      </c>
      <c r="F48" s="346" t="s">
        <v>598</v>
      </c>
      <c r="G48" s="349" t="s">
        <v>443</v>
      </c>
      <c r="H48" s="350">
        <f t="shared" si="0"/>
        <v>5400</v>
      </c>
      <c r="I48" s="120" t="str">
        <f>IF(OR(D48&lt;Capa!$A$5,D48&gt;Capa!$A$7,E48&lt;Capa!$A$5,E48&gt;Capa!$A$7,D48&gt;E48),"Erro","")</f>
        <v/>
      </c>
    </row>
    <row r="49" spans="1:9" ht="40" hidden="1">
      <c r="A49" s="345">
        <v>54</v>
      </c>
      <c r="B49" s="346" t="s">
        <v>236</v>
      </c>
      <c r="C49" s="347">
        <v>450</v>
      </c>
      <c r="D49" s="348">
        <v>46023</v>
      </c>
      <c r="E49" s="348">
        <v>46357</v>
      </c>
      <c r="F49" s="346" t="s">
        <v>598</v>
      </c>
      <c r="G49" s="349" t="s">
        <v>443</v>
      </c>
      <c r="H49" s="350">
        <f t="shared" si="0"/>
        <v>5400</v>
      </c>
      <c r="I49" s="120" t="str">
        <f>IF(OR(D49&lt;Capa!$A$5,D49&gt;Capa!$A$7,E49&lt;Capa!$A$5,E49&gt;Capa!$A$7,D49&gt;E49),"Erro","")</f>
        <v/>
      </c>
    </row>
    <row r="50" spans="1:9" ht="40" hidden="1">
      <c r="A50" s="345">
        <v>55</v>
      </c>
      <c r="B50" s="346" t="s">
        <v>236</v>
      </c>
      <c r="C50" s="347">
        <v>450</v>
      </c>
      <c r="D50" s="348">
        <v>46388</v>
      </c>
      <c r="E50" s="348">
        <v>46722</v>
      </c>
      <c r="F50" s="346" t="s">
        <v>598</v>
      </c>
      <c r="G50" s="349" t="s">
        <v>443</v>
      </c>
      <c r="H50" s="350">
        <f t="shared" si="0"/>
        <v>5400</v>
      </c>
      <c r="I50" s="120" t="str">
        <f>IF(OR(D50&lt;Capa!$A$5,D50&gt;Capa!$A$7,E50&lt;Capa!$A$5,E50&gt;Capa!$A$7,D50&gt;E50),"Erro","")</f>
        <v/>
      </c>
    </row>
    <row r="51" spans="1:9" ht="40" hidden="1">
      <c r="A51" s="345">
        <v>56</v>
      </c>
      <c r="B51" s="346" t="s">
        <v>236</v>
      </c>
      <c r="C51" s="347">
        <v>200</v>
      </c>
      <c r="D51" s="348">
        <v>46753</v>
      </c>
      <c r="E51" s="348">
        <v>47058</v>
      </c>
      <c r="F51" s="346" t="s">
        <v>598</v>
      </c>
      <c r="G51" s="349" t="s">
        <v>443</v>
      </c>
      <c r="H51" s="350">
        <f t="shared" si="0"/>
        <v>2200</v>
      </c>
      <c r="I51" s="120" t="str">
        <f>IF(OR(D51&lt;Capa!$A$5,D51&gt;Capa!$A$7,E51&lt;Capa!$A$5,E51&gt;Capa!$A$7,D51&gt;E51),"Erro","")</f>
        <v/>
      </c>
    </row>
    <row r="52" spans="1:9" ht="30" hidden="1">
      <c r="A52" s="345">
        <v>58</v>
      </c>
      <c r="B52" s="346" t="s">
        <v>240</v>
      </c>
      <c r="C52" s="347">
        <v>50</v>
      </c>
      <c r="D52" s="348">
        <v>45658</v>
      </c>
      <c r="E52" s="348">
        <v>45992</v>
      </c>
      <c r="F52" s="346" t="s">
        <v>598</v>
      </c>
      <c r="G52" s="349" t="s">
        <v>444</v>
      </c>
      <c r="H52" s="350">
        <f t="shared" si="0"/>
        <v>600</v>
      </c>
      <c r="I52" s="120" t="str">
        <f>IF(OR(D52&lt;Capa!$A$5,D52&gt;Capa!$A$7,E52&lt;Capa!$A$5,E52&gt;Capa!$A$7,D52&gt;E52),"Erro","")</f>
        <v/>
      </c>
    </row>
    <row r="53" spans="1:9" ht="30" hidden="1">
      <c r="A53" s="345">
        <v>59</v>
      </c>
      <c r="B53" s="346" t="s">
        <v>240</v>
      </c>
      <c r="C53" s="347">
        <v>50</v>
      </c>
      <c r="D53" s="348">
        <v>46023</v>
      </c>
      <c r="E53" s="348">
        <v>46357</v>
      </c>
      <c r="F53" s="346" t="s">
        <v>598</v>
      </c>
      <c r="G53" s="349" t="s">
        <v>444</v>
      </c>
      <c r="H53" s="350">
        <f t="shared" si="0"/>
        <v>600</v>
      </c>
      <c r="I53" s="120" t="str">
        <f>IF(OR(D53&lt;Capa!$A$5,D53&gt;Capa!$A$7,E53&lt;Capa!$A$5,E53&gt;Capa!$A$7,D53&gt;E53),"Erro","")</f>
        <v/>
      </c>
    </row>
    <row r="54" spans="1:9" ht="30" hidden="1">
      <c r="A54" s="345">
        <v>60</v>
      </c>
      <c r="B54" s="346" t="s">
        <v>240</v>
      </c>
      <c r="C54" s="347">
        <v>50</v>
      </c>
      <c r="D54" s="348">
        <v>46388</v>
      </c>
      <c r="E54" s="348">
        <v>46722</v>
      </c>
      <c r="F54" s="346" t="s">
        <v>598</v>
      </c>
      <c r="G54" s="349" t="s">
        <v>444</v>
      </c>
      <c r="H54" s="350">
        <f t="shared" si="0"/>
        <v>600</v>
      </c>
      <c r="I54" s="120" t="str">
        <f>IF(OR(D54&lt;Capa!$A$5,D54&gt;Capa!$A$7,E54&lt;Capa!$A$5,E54&gt;Capa!$A$7,D54&gt;E54),"Erro","")</f>
        <v/>
      </c>
    </row>
    <row r="55" spans="1:9" ht="30" hidden="1">
      <c r="A55" s="345">
        <v>61</v>
      </c>
      <c r="B55" s="346" t="s">
        <v>240</v>
      </c>
      <c r="C55" s="347">
        <v>25</v>
      </c>
      <c r="D55" s="348">
        <v>46753</v>
      </c>
      <c r="E55" s="348">
        <v>47058</v>
      </c>
      <c r="F55" s="346" t="s">
        <v>598</v>
      </c>
      <c r="G55" s="349" t="s">
        <v>444</v>
      </c>
      <c r="H55" s="350">
        <f t="shared" ref="H55:H101" si="1">IFERROR((DATEDIF(D55,E55,"M")+1)*C55,0)</f>
        <v>275</v>
      </c>
      <c r="I55" s="120" t="str">
        <f>IF(OR(D55&lt;Capa!$A$5,D55&gt;Capa!$A$7,E55&lt;Capa!$A$5,E55&gt;Capa!$A$7,D55&gt;E55),"Erro","")</f>
        <v/>
      </c>
    </row>
    <row r="56" spans="1:9" ht="30" hidden="1">
      <c r="A56" s="345">
        <v>63</v>
      </c>
      <c r="B56" s="346" t="s">
        <v>244</v>
      </c>
      <c r="C56" s="347">
        <v>250</v>
      </c>
      <c r="D56" s="348">
        <v>45658</v>
      </c>
      <c r="E56" s="348">
        <v>45992</v>
      </c>
      <c r="F56" s="346" t="s">
        <v>598</v>
      </c>
      <c r="G56" s="349" t="s">
        <v>445</v>
      </c>
      <c r="H56" s="350">
        <f t="shared" si="1"/>
        <v>3000</v>
      </c>
      <c r="I56" s="120" t="str">
        <f>IF(OR(D56&lt;Capa!$A$5,D56&gt;Capa!$A$7,E56&lt;Capa!$A$5,E56&gt;Capa!$A$7,D56&gt;E56),"Erro","")</f>
        <v/>
      </c>
    </row>
    <row r="57" spans="1:9" ht="30" hidden="1">
      <c r="A57" s="345">
        <v>64</v>
      </c>
      <c r="B57" s="346" t="s">
        <v>244</v>
      </c>
      <c r="C57" s="347">
        <v>250</v>
      </c>
      <c r="D57" s="348">
        <v>46023</v>
      </c>
      <c r="E57" s="348">
        <v>46357</v>
      </c>
      <c r="F57" s="346" t="s">
        <v>598</v>
      </c>
      <c r="G57" s="349" t="s">
        <v>445</v>
      </c>
      <c r="H57" s="350">
        <f t="shared" si="1"/>
        <v>3000</v>
      </c>
      <c r="I57" s="120" t="str">
        <f>IF(OR(D57&lt;Capa!$A$5,D57&gt;Capa!$A$7,E57&lt;Capa!$A$5,E57&gt;Capa!$A$7,D57&gt;E57),"Erro","")</f>
        <v/>
      </c>
    </row>
    <row r="58" spans="1:9" ht="30" hidden="1">
      <c r="A58" s="345">
        <v>65</v>
      </c>
      <c r="B58" s="346" t="s">
        <v>244</v>
      </c>
      <c r="C58" s="347">
        <v>250</v>
      </c>
      <c r="D58" s="348">
        <v>46388</v>
      </c>
      <c r="E58" s="348">
        <v>46722</v>
      </c>
      <c r="F58" s="346" t="s">
        <v>598</v>
      </c>
      <c r="G58" s="349" t="s">
        <v>445</v>
      </c>
      <c r="H58" s="350">
        <f t="shared" si="1"/>
        <v>3000</v>
      </c>
      <c r="I58" s="120" t="str">
        <f>IF(OR(D58&lt;Capa!$A$5,D58&gt;Capa!$A$7,E58&lt;Capa!$A$5,E58&gt;Capa!$A$7,D58&gt;E58),"Erro","")</f>
        <v/>
      </c>
    </row>
    <row r="59" spans="1:9" ht="30" hidden="1">
      <c r="A59" s="345">
        <v>66</v>
      </c>
      <c r="B59" s="346" t="s">
        <v>244</v>
      </c>
      <c r="C59" s="347">
        <v>125</v>
      </c>
      <c r="D59" s="348">
        <v>46753</v>
      </c>
      <c r="E59" s="348">
        <v>47058</v>
      </c>
      <c r="F59" s="346" t="s">
        <v>598</v>
      </c>
      <c r="G59" s="349" t="s">
        <v>445</v>
      </c>
      <c r="H59" s="350">
        <f t="shared" si="1"/>
        <v>1375</v>
      </c>
      <c r="I59" s="120" t="str">
        <f>IF(OR(D59&lt;Capa!$A$5,D59&gt;Capa!$A$7,E59&lt;Capa!$A$5,E59&gt;Capa!$A$7,D59&gt;E59),"Erro","")</f>
        <v/>
      </c>
    </row>
    <row r="60" spans="1:9" ht="20" hidden="1">
      <c r="A60" s="345">
        <v>67</v>
      </c>
      <c r="B60" s="346" t="s">
        <v>246</v>
      </c>
      <c r="C60" s="347">
        <v>390</v>
      </c>
      <c r="D60" s="348">
        <v>45658</v>
      </c>
      <c r="E60" s="348">
        <v>45992</v>
      </c>
      <c r="F60" s="346" t="s">
        <v>598</v>
      </c>
      <c r="G60" s="349" t="s">
        <v>446</v>
      </c>
      <c r="H60" s="350">
        <f t="shared" si="1"/>
        <v>4680</v>
      </c>
      <c r="I60" s="120" t="str">
        <f>IF(OR(D60&lt;Capa!$A$5,D60&gt;Capa!$A$7,E60&lt;Capa!$A$5,E60&gt;Capa!$A$7,D60&gt;E60),"Erro","")</f>
        <v/>
      </c>
    </row>
    <row r="61" spans="1:9" ht="20" hidden="1">
      <c r="A61" s="345">
        <v>68</v>
      </c>
      <c r="B61" s="346" t="s">
        <v>246</v>
      </c>
      <c r="C61" s="347">
        <v>390</v>
      </c>
      <c r="D61" s="348">
        <v>46023</v>
      </c>
      <c r="E61" s="348">
        <v>46357</v>
      </c>
      <c r="F61" s="346" t="s">
        <v>598</v>
      </c>
      <c r="G61" s="349" t="s">
        <v>446</v>
      </c>
      <c r="H61" s="350">
        <f t="shared" si="1"/>
        <v>4680</v>
      </c>
      <c r="I61" s="120" t="str">
        <f>IF(OR(D61&lt;Capa!$A$5,D61&gt;Capa!$A$7,E61&lt;Capa!$A$5,E61&gt;Capa!$A$7,D61&gt;E61),"Erro","")</f>
        <v/>
      </c>
    </row>
    <row r="62" spans="1:9" ht="20" hidden="1">
      <c r="A62" s="345">
        <v>69</v>
      </c>
      <c r="B62" s="346" t="s">
        <v>246</v>
      </c>
      <c r="C62" s="347">
        <v>390</v>
      </c>
      <c r="D62" s="348">
        <v>46388</v>
      </c>
      <c r="E62" s="348">
        <v>46722</v>
      </c>
      <c r="F62" s="346" t="s">
        <v>598</v>
      </c>
      <c r="G62" s="349" t="s">
        <v>446</v>
      </c>
      <c r="H62" s="350">
        <f t="shared" si="1"/>
        <v>4680</v>
      </c>
      <c r="I62" s="120" t="str">
        <f>IF(OR(D62&lt;Capa!$A$5,D62&gt;Capa!$A$7,E62&lt;Capa!$A$5,E62&gt;Capa!$A$7,D62&gt;E62),"Erro","")</f>
        <v/>
      </c>
    </row>
    <row r="63" spans="1:9" ht="20" hidden="1">
      <c r="A63" s="345">
        <v>70</v>
      </c>
      <c r="B63" s="346" t="s">
        <v>246</v>
      </c>
      <c r="C63" s="347">
        <v>190</v>
      </c>
      <c r="D63" s="348">
        <v>46753</v>
      </c>
      <c r="E63" s="348">
        <v>47058</v>
      </c>
      <c r="F63" s="346" t="s">
        <v>598</v>
      </c>
      <c r="G63" s="349" t="s">
        <v>446</v>
      </c>
      <c r="H63" s="350">
        <f t="shared" si="1"/>
        <v>2090</v>
      </c>
      <c r="I63" s="120" t="str">
        <f>IF(OR(D63&lt;Capa!$A$5,D63&gt;Capa!$A$7,E63&lt;Capa!$A$5,E63&gt;Capa!$A$7,D63&gt;E63),"Erro","")</f>
        <v/>
      </c>
    </row>
    <row r="64" spans="1:9" ht="30" hidden="1">
      <c r="A64" s="345">
        <v>72</v>
      </c>
      <c r="B64" s="346" t="s">
        <v>258</v>
      </c>
      <c r="C64" s="347">
        <v>50</v>
      </c>
      <c r="D64" s="348">
        <v>45658</v>
      </c>
      <c r="E64" s="348">
        <v>45992</v>
      </c>
      <c r="F64" s="346" t="s">
        <v>598</v>
      </c>
      <c r="G64" s="349" t="s">
        <v>447</v>
      </c>
      <c r="H64" s="350">
        <f t="shared" si="1"/>
        <v>600</v>
      </c>
      <c r="I64" s="120" t="str">
        <f>IF(OR(D64&lt;Capa!$A$5,D64&gt;Capa!$A$7,E64&lt;Capa!$A$5,E64&gt;Capa!$A$7,D64&gt;E64),"Erro","")</f>
        <v/>
      </c>
    </row>
    <row r="65" spans="1:9" ht="30" hidden="1">
      <c r="A65" s="345">
        <v>73</v>
      </c>
      <c r="B65" s="346" t="s">
        <v>258</v>
      </c>
      <c r="C65" s="347">
        <v>50</v>
      </c>
      <c r="D65" s="348">
        <v>46023</v>
      </c>
      <c r="E65" s="348">
        <v>46357</v>
      </c>
      <c r="F65" s="346" t="s">
        <v>598</v>
      </c>
      <c r="G65" s="349" t="s">
        <v>447</v>
      </c>
      <c r="H65" s="350">
        <f t="shared" si="1"/>
        <v>600</v>
      </c>
      <c r="I65" s="120" t="str">
        <f>IF(OR(D65&lt;Capa!$A$5,D65&gt;Capa!$A$7,E65&lt;Capa!$A$5,E65&gt;Capa!$A$7,D65&gt;E65),"Erro","")</f>
        <v/>
      </c>
    </row>
    <row r="66" spans="1:9" ht="30" hidden="1">
      <c r="A66" s="345">
        <v>74</v>
      </c>
      <c r="B66" s="346" t="s">
        <v>258</v>
      </c>
      <c r="C66" s="347">
        <v>50</v>
      </c>
      <c r="D66" s="348">
        <v>46388</v>
      </c>
      <c r="E66" s="348">
        <v>46722</v>
      </c>
      <c r="F66" s="346" t="s">
        <v>598</v>
      </c>
      <c r="G66" s="349" t="s">
        <v>447</v>
      </c>
      <c r="H66" s="350">
        <f t="shared" si="1"/>
        <v>600</v>
      </c>
      <c r="I66" s="120" t="str">
        <f>IF(OR(D66&lt;Capa!$A$5,D66&gt;Capa!$A$7,E66&lt;Capa!$A$5,E66&gt;Capa!$A$7,D66&gt;E66),"Erro","")</f>
        <v/>
      </c>
    </row>
    <row r="67" spans="1:9" ht="30" hidden="1">
      <c r="A67" s="345">
        <v>75</v>
      </c>
      <c r="B67" s="346" t="s">
        <v>258</v>
      </c>
      <c r="C67" s="347">
        <v>20</v>
      </c>
      <c r="D67" s="348">
        <v>46753</v>
      </c>
      <c r="E67" s="348">
        <v>47058</v>
      </c>
      <c r="F67" s="346" t="s">
        <v>598</v>
      </c>
      <c r="G67" s="349" t="s">
        <v>447</v>
      </c>
      <c r="H67" s="350">
        <f t="shared" si="1"/>
        <v>220</v>
      </c>
      <c r="I67" s="120" t="str">
        <f>IF(OR(D67&lt;Capa!$A$5,D67&gt;Capa!$A$7,E67&lt;Capa!$A$5,E67&gt;Capa!$A$7,D67&gt;E67),"Erro","")</f>
        <v/>
      </c>
    </row>
    <row r="68" spans="1:9" ht="40" hidden="1">
      <c r="A68" s="345">
        <v>76</v>
      </c>
      <c r="B68" s="346" t="s">
        <v>276</v>
      </c>
      <c r="C68" s="347">
        <v>500</v>
      </c>
      <c r="D68" s="348">
        <v>45658</v>
      </c>
      <c r="E68" s="348">
        <v>45992</v>
      </c>
      <c r="F68" s="346" t="s">
        <v>598</v>
      </c>
      <c r="G68" s="349" t="s">
        <v>448</v>
      </c>
      <c r="H68" s="350">
        <f t="shared" si="1"/>
        <v>6000</v>
      </c>
      <c r="I68" s="120" t="str">
        <f>IF(OR(D68&lt;Capa!$A$5,D68&gt;Capa!$A$7,E68&lt;Capa!$A$5,E68&gt;Capa!$A$7,D68&gt;E68),"Erro","")</f>
        <v/>
      </c>
    </row>
    <row r="69" spans="1:9" ht="40" hidden="1">
      <c r="A69" s="345">
        <v>77</v>
      </c>
      <c r="B69" s="346" t="s">
        <v>276</v>
      </c>
      <c r="C69" s="347">
        <v>500</v>
      </c>
      <c r="D69" s="348">
        <v>46023</v>
      </c>
      <c r="E69" s="348">
        <v>46357</v>
      </c>
      <c r="F69" s="346" t="s">
        <v>598</v>
      </c>
      <c r="G69" s="349" t="s">
        <v>448</v>
      </c>
      <c r="H69" s="350">
        <f t="shared" si="1"/>
        <v>6000</v>
      </c>
      <c r="I69" s="120" t="str">
        <f>IF(OR(D69&lt;Capa!$A$5,D69&gt;Capa!$A$7,E69&lt;Capa!$A$5,E69&gt;Capa!$A$7,D69&gt;E69),"Erro","")</f>
        <v/>
      </c>
    </row>
    <row r="70" spans="1:9" ht="40" hidden="1">
      <c r="A70" s="345">
        <v>78</v>
      </c>
      <c r="B70" s="346" t="s">
        <v>276</v>
      </c>
      <c r="C70" s="347">
        <v>500</v>
      </c>
      <c r="D70" s="348">
        <v>46388</v>
      </c>
      <c r="E70" s="348">
        <v>46722</v>
      </c>
      <c r="F70" s="346" t="s">
        <v>598</v>
      </c>
      <c r="G70" s="349" t="s">
        <v>448</v>
      </c>
      <c r="H70" s="350">
        <f t="shared" si="1"/>
        <v>6000</v>
      </c>
      <c r="I70" s="120" t="str">
        <f>IF(OR(D70&lt;Capa!$A$5,D70&gt;Capa!$A$7,E70&lt;Capa!$A$5,E70&gt;Capa!$A$7,D70&gt;E70),"Erro","")</f>
        <v/>
      </c>
    </row>
    <row r="71" spans="1:9" ht="40" hidden="1">
      <c r="A71" s="345">
        <v>79</v>
      </c>
      <c r="B71" s="346" t="s">
        <v>276</v>
      </c>
      <c r="C71" s="347">
        <v>250</v>
      </c>
      <c r="D71" s="348">
        <v>46753</v>
      </c>
      <c r="E71" s="348">
        <v>47058</v>
      </c>
      <c r="F71" s="346" t="s">
        <v>598</v>
      </c>
      <c r="G71" s="349" t="s">
        <v>448</v>
      </c>
      <c r="H71" s="350">
        <f t="shared" si="1"/>
        <v>2750</v>
      </c>
      <c r="I71" s="120" t="str">
        <f>IF(OR(D71&lt;Capa!$A$5,D71&gt;Capa!$A$7,E71&lt;Capa!$A$5,E71&gt;Capa!$A$7,D71&gt;E71),"Erro","")</f>
        <v/>
      </c>
    </row>
    <row r="72" spans="1:9" ht="40">
      <c r="A72" s="345">
        <v>81</v>
      </c>
      <c r="B72" s="346" t="s">
        <v>278</v>
      </c>
      <c r="C72" s="347">
        <v>34000</v>
      </c>
      <c r="D72" s="348">
        <v>45658</v>
      </c>
      <c r="E72" s="348">
        <v>45992</v>
      </c>
      <c r="F72" s="346" t="s">
        <v>598</v>
      </c>
      <c r="G72" s="349" t="s">
        <v>449</v>
      </c>
      <c r="H72" s="350">
        <f t="shared" si="1"/>
        <v>408000</v>
      </c>
      <c r="I72" s="120" t="str">
        <f>IF(OR(D72&lt;Capa!$A$5,D72&gt;Capa!$A$7,E72&lt;Capa!$A$5,E72&gt;Capa!$A$7,D72&gt;E72),"Erro","")</f>
        <v/>
      </c>
    </row>
    <row r="73" spans="1:9" ht="40">
      <c r="A73" s="345">
        <v>82</v>
      </c>
      <c r="B73" s="346" t="s">
        <v>278</v>
      </c>
      <c r="C73" s="347">
        <v>34000</v>
      </c>
      <c r="D73" s="348">
        <v>46023</v>
      </c>
      <c r="E73" s="348">
        <v>46357</v>
      </c>
      <c r="F73" s="346" t="s">
        <v>598</v>
      </c>
      <c r="G73" s="349" t="s">
        <v>449</v>
      </c>
      <c r="H73" s="350">
        <f t="shared" si="1"/>
        <v>408000</v>
      </c>
      <c r="I73" s="120" t="str">
        <f>IF(OR(D73&lt;Capa!$A$5,D73&gt;Capa!$A$7,E73&lt;Capa!$A$5,E73&gt;Capa!$A$7,D73&gt;E73),"Erro","")</f>
        <v/>
      </c>
    </row>
    <row r="74" spans="1:9" ht="40">
      <c r="A74" s="345">
        <v>83</v>
      </c>
      <c r="B74" s="346" t="s">
        <v>278</v>
      </c>
      <c r="C74" s="347">
        <v>34000</v>
      </c>
      <c r="D74" s="348">
        <v>46388</v>
      </c>
      <c r="E74" s="348">
        <v>46722</v>
      </c>
      <c r="F74" s="346" t="s">
        <v>598</v>
      </c>
      <c r="G74" s="349" t="s">
        <v>449</v>
      </c>
      <c r="H74" s="350">
        <f t="shared" si="1"/>
        <v>408000</v>
      </c>
      <c r="I74" s="120" t="str">
        <f>IF(OR(D74&lt;Capa!$A$5,D74&gt;Capa!$A$7,E74&lt;Capa!$A$5,E74&gt;Capa!$A$7,D74&gt;E74),"Erro","")</f>
        <v/>
      </c>
    </row>
    <row r="75" spans="1:9" ht="40">
      <c r="A75" s="345">
        <v>84</v>
      </c>
      <c r="B75" s="346" t="s">
        <v>278</v>
      </c>
      <c r="C75" s="347">
        <v>18500</v>
      </c>
      <c r="D75" s="348">
        <v>46753</v>
      </c>
      <c r="E75" s="348">
        <v>47058</v>
      </c>
      <c r="F75" s="346" t="s">
        <v>598</v>
      </c>
      <c r="G75" s="349" t="s">
        <v>449</v>
      </c>
      <c r="H75" s="350">
        <f t="shared" si="1"/>
        <v>203500</v>
      </c>
      <c r="I75" s="120" t="str">
        <f>IF(OR(D75&lt;Capa!$A$5,D75&gt;Capa!$A$7,E75&lt;Capa!$A$5,E75&gt;Capa!$A$7,D75&gt;E75),"Erro","")</f>
        <v/>
      </c>
    </row>
    <row r="76" spans="1:9" ht="40" hidden="1">
      <c r="A76" s="345">
        <v>86</v>
      </c>
      <c r="B76" s="346" t="s">
        <v>280</v>
      </c>
      <c r="C76" s="347">
        <v>100</v>
      </c>
      <c r="D76" s="348">
        <v>45658</v>
      </c>
      <c r="E76" s="348">
        <v>45992</v>
      </c>
      <c r="F76" s="346" t="s">
        <v>598</v>
      </c>
      <c r="G76" s="349" t="s">
        <v>450</v>
      </c>
      <c r="H76" s="350">
        <f t="shared" si="1"/>
        <v>1200</v>
      </c>
      <c r="I76" s="120" t="str">
        <f>IF(OR(D76&lt;Capa!$A$5,D76&gt;Capa!$A$7,E76&lt;Capa!$A$5,E76&gt;Capa!$A$7,D76&gt;E76),"Erro","")</f>
        <v/>
      </c>
    </row>
    <row r="77" spans="1:9" ht="40" hidden="1">
      <c r="A77" s="345">
        <v>87</v>
      </c>
      <c r="B77" s="346" t="s">
        <v>280</v>
      </c>
      <c r="C77" s="347">
        <v>100</v>
      </c>
      <c r="D77" s="348">
        <v>46023</v>
      </c>
      <c r="E77" s="348">
        <v>46357</v>
      </c>
      <c r="F77" s="346" t="s">
        <v>598</v>
      </c>
      <c r="G77" s="349" t="s">
        <v>450</v>
      </c>
      <c r="H77" s="350">
        <f t="shared" si="1"/>
        <v>1200</v>
      </c>
      <c r="I77" s="120" t="str">
        <f>IF(OR(D77&lt;Capa!$A$5,D77&gt;Capa!$A$7,E77&lt;Capa!$A$5,E77&gt;Capa!$A$7,D77&gt;E77),"Erro","")</f>
        <v/>
      </c>
    </row>
    <row r="78" spans="1:9" ht="40" hidden="1">
      <c r="A78" s="345">
        <v>88</v>
      </c>
      <c r="B78" s="346" t="s">
        <v>280</v>
      </c>
      <c r="C78" s="347">
        <v>100</v>
      </c>
      <c r="D78" s="348">
        <v>46388</v>
      </c>
      <c r="E78" s="348">
        <v>46722</v>
      </c>
      <c r="F78" s="346" t="s">
        <v>598</v>
      </c>
      <c r="G78" s="349" t="s">
        <v>450</v>
      </c>
      <c r="H78" s="350">
        <f t="shared" si="1"/>
        <v>1200</v>
      </c>
      <c r="I78" s="120" t="str">
        <f>IF(OR(D78&lt;Capa!$A$5,D78&gt;Capa!$A$7,E78&lt;Capa!$A$5,E78&gt;Capa!$A$7,D78&gt;E78),"Erro","")</f>
        <v/>
      </c>
    </row>
    <row r="79" spans="1:9" ht="40" hidden="1">
      <c r="A79" s="345">
        <v>89</v>
      </c>
      <c r="B79" s="346" t="s">
        <v>280</v>
      </c>
      <c r="C79" s="347">
        <v>50</v>
      </c>
      <c r="D79" s="348">
        <v>46753</v>
      </c>
      <c r="E79" s="348">
        <v>47058</v>
      </c>
      <c r="F79" s="346" t="s">
        <v>598</v>
      </c>
      <c r="G79" s="349" t="s">
        <v>450</v>
      </c>
      <c r="H79" s="350">
        <f t="shared" si="1"/>
        <v>550</v>
      </c>
      <c r="I79" s="120" t="str">
        <f>IF(OR(D79&lt;Capa!$A$5,D79&gt;Capa!$A$7,E79&lt;Capa!$A$5,E79&gt;Capa!$A$7,D79&gt;E79),"Erro","")</f>
        <v/>
      </c>
    </row>
    <row r="80" spans="1:9" ht="40" hidden="1">
      <c r="A80" s="345">
        <v>91</v>
      </c>
      <c r="B80" s="346" t="s">
        <v>282</v>
      </c>
      <c r="C80" s="347">
        <v>450</v>
      </c>
      <c r="D80" s="348">
        <v>45658</v>
      </c>
      <c r="E80" s="348">
        <v>45992</v>
      </c>
      <c r="F80" s="346" t="s">
        <v>598</v>
      </c>
      <c r="G80" s="349" t="s">
        <v>451</v>
      </c>
      <c r="H80" s="350">
        <f t="shared" si="1"/>
        <v>5400</v>
      </c>
      <c r="I80" s="120" t="str">
        <f>IF(OR(D80&lt;Capa!$A$5,D80&gt;Capa!$A$7,E80&lt;Capa!$A$5,E80&gt;Capa!$A$7,D80&gt;E80),"Erro","")</f>
        <v/>
      </c>
    </row>
    <row r="81" spans="1:9" ht="40" hidden="1">
      <c r="A81" s="345">
        <v>92</v>
      </c>
      <c r="B81" s="346" t="s">
        <v>282</v>
      </c>
      <c r="C81" s="347">
        <v>450</v>
      </c>
      <c r="D81" s="348">
        <v>46023</v>
      </c>
      <c r="E81" s="348">
        <v>46357</v>
      </c>
      <c r="F81" s="346" t="s">
        <v>598</v>
      </c>
      <c r="G81" s="349" t="s">
        <v>451</v>
      </c>
      <c r="H81" s="350">
        <f t="shared" si="1"/>
        <v>5400</v>
      </c>
      <c r="I81" s="120" t="str">
        <f>IF(OR(D81&lt;Capa!$A$5,D81&gt;Capa!$A$7,E81&lt;Capa!$A$5,E81&gt;Capa!$A$7,D81&gt;E81),"Erro","")</f>
        <v/>
      </c>
    </row>
    <row r="82" spans="1:9" ht="40" hidden="1">
      <c r="A82" s="345">
        <v>93</v>
      </c>
      <c r="B82" s="346" t="s">
        <v>282</v>
      </c>
      <c r="C82" s="347">
        <v>450</v>
      </c>
      <c r="D82" s="348">
        <v>46388</v>
      </c>
      <c r="E82" s="348">
        <v>46722</v>
      </c>
      <c r="F82" s="346" t="s">
        <v>598</v>
      </c>
      <c r="G82" s="349" t="s">
        <v>451</v>
      </c>
      <c r="H82" s="350">
        <f t="shared" si="1"/>
        <v>5400</v>
      </c>
      <c r="I82" s="120" t="str">
        <f>IF(OR(D82&lt;Capa!$A$5,D82&gt;Capa!$A$7,E82&lt;Capa!$A$5,E82&gt;Capa!$A$7,D82&gt;E82),"Erro","")</f>
        <v/>
      </c>
    </row>
    <row r="83" spans="1:9" ht="40" hidden="1">
      <c r="A83" s="345">
        <v>94</v>
      </c>
      <c r="B83" s="346" t="s">
        <v>282</v>
      </c>
      <c r="C83" s="347">
        <v>200</v>
      </c>
      <c r="D83" s="348">
        <v>46753</v>
      </c>
      <c r="E83" s="348">
        <v>47058</v>
      </c>
      <c r="F83" s="346" t="s">
        <v>598</v>
      </c>
      <c r="G83" s="349" t="s">
        <v>451</v>
      </c>
      <c r="H83" s="350">
        <f t="shared" si="1"/>
        <v>2200</v>
      </c>
      <c r="I83" s="120" t="str">
        <f>IF(OR(D83&lt;Capa!$A$5,D83&gt;Capa!$A$7,E83&lt;Capa!$A$5,E83&gt;Capa!$A$7,D83&gt;E83),"Erro","")</f>
        <v/>
      </c>
    </row>
    <row r="84" spans="1:9" ht="40" hidden="1">
      <c r="A84" s="345">
        <v>96</v>
      </c>
      <c r="B84" s="346" t="s">
        <v>284</v>
      </c>
      <c r="C84" s="347">
        <v>950</v>
      </c>
      <c r="D84" s="348">
        <v>45658</v>
      </c>
      <c r="E84" s="348">
        <v>45992</v>
      </c>
      <c r="F84" s="346" t="s">
        <v>598</v>
      </c>
      <c r="G84" s="349" t="s">
        <v>451</v>
      </c>
      <c r="H84" s="350">
        <f t="shared" si="1"/>
        <v>11400</v>
      </c>
      <c r="I84" s="120" t="str">
        <f>IF(OR(D84&lt;Capa!$A$5,D84&gt;Capa!$A$7,E84&lt;Capa!$A$5,E84&gt;Capa!$A$7,D84&gt;E84),"Erro","")</f>
        <v/>
      </c>
    </row>
    <row r="85" spans="1:9" ht="40" hidden="1">
      <c r="A85" s="345">
        <v>97</v>
      </c>
      <c r="B85" s="346" t="s">
        <v>284</v>
      </c>
      <c r="C85" s="347">
        <v>950</v>
      </c>
      <c r="D85" s="348">
        <v>46023</v>
      </c>
      <c r="E85" s="348">
        <v>46357</v>
      </c>
      <c r="F85" s="346" t="s">
        <v>598</v>
      </c>
      <c r="G85" s="349" t="s">
        <v>451</v>
      </c>
      <c r="H85" s="350">
        <f t="shared" si="1"/>
        <v>11400</v>
      </c>
      <c r="I85" s="120" t="str">
        <f>IF(OR(D85&lt;Capa!$A$5,D85&gt;Capa!$A$7,E85&lt;Capa!$A$5,E85&gt;Capa!$A$7,D85&gt;E85),"Erro","")</f>
        <v/>
      </c>
    </row>
    <row r="86" spans="1:9" ht="40" hidden="1">
      <c r="A86" s="345">
        <v>98</v>
      </c>
      <c r="B86" s="346" t="s">
        <v>284</v>
      </c>
      <c r="C86" s="347">
        <v>950</v>
      </c>
      <c r="D86" s="348">
        <v>46388</v>
      </c>
      <c r="E86" s="348">
        <v>46722</v>
      </c>
      <c r="F86" s="346" t="s">
        <v>598</v>
      </c>
      <c r="G86" s="349" t="s">
        <v>451</v>
      </c>
      <c r="H86" s="350">
        <f t="shared" si="1"/>
        <v>11400</v>
      </c>
      <c r="I86" s="120" t="str">
        <f>IF(OR(D86&lt;Capa!$A$5,D86&gt;Capa!$A$7,E86&lt;Capa!$A$5,E86&gt;Capa!$A$7,D86&gt;E86),"Erro","")</f>
        <v/>
      </c>
    </row>
    <row r="87" spans="1:9" ht="40" hidden="1">
      <c r="A87" s="345">
        <v>99</v>
      </c>
      <c r="B87" s="346" t="s">
        <v>284</v>
      </c>
      <c r="C87" s="347">
        <v>400</v>
      </c>
      <c r="D87" s="348">
        <v>46753</v>
      </c>
      <c r="E87" s="348">
        <v>47058</v>
      </c>
      <c r="F87" s="346" t="s">
        <v>598</v>
      </c>
      <c r="G87" s="349" t="s">
        <v>451</v>
      </c>
      <c r="H87" s="350">
        <f t="shared" si="1"/>
        <v>4400</v>
      </c>
      <c r="I87" s="120" t="str">
        <f>IF(OR(D87&lt;Capa!$A$5,D87&gt;Capa!$A$7,E87&lt;Capa!$A$5,E87&gt;Capa!$A$7,D87&gt;E87),"Erro","")</f>
        <v/>
      </c>
    </row>
    <row r="88" spans="1:9" ht="40" hidden="1">
      <c r="A88" s="345">
        <v>101</v>
      </c>
      <c r="B88" s="346" t="s">
        <v>286</v>
      </c>
      <c r="C88" s="347">
        <v>1000</v>
      </c>
      <c r="D88" s="348">
        <v>45658</v>
      </c>
      <c r="E88" s="348">
        <v>45992</v>
      </c>
      <c r="F88" s="346" t="s">
        <v>598</v>
      </c>
      <c r="G88" s="349" t="s">
        <v>451</v>
      </c>
      <c r="H88" s="350">
        <f t="shared" si="1"/>
        <v>12000</v>
      </c>
      <c r="I88" s="120" t="str">
        <f>IF(OR(D88&lt;Capa!$A$5,D88&gt;Capa!$A$7,E88&lt;Capa!$A$5,E88&gt;Capa!$A$7,D88&gt;E88),"Erro","")</f>
        <v/>
      </c>
    </row>
    <row r="89" spans="1:9" ht="40" hidden="1">
      <c r="A89" s="345">
        <v>102</v>
      </c>
      <c r="B89" s="346" t="s">
        <v>286</v>
      </c>
      <c r="C89" s="347">
        <v>1000</v>
      </c>
      <c r="D89" s="348">
        <v>46023</v>
      </c>
      <c r="E89" s="348">
        <v>46357</v>
      </c>
      <c r="F89" s="346" t="s">
        <v>598</v>
      </c>
      <c r="G89" s="349" t="s">
        <v>451</v>
      </c>
      <c r="H89" s="350">
        <f t="shared" si="1"/>
        <v>12000</v>
      </c>
      <c r="I89" s="120" t="str">
        <f>IF(OR(D89&lt;Capa!$A$5,D89&gt;Capa!$A$7,E89&lt;Capa!$A$5,E89&gt;Capa!$A$7,D89&gt;E89),"Erro","")</f>
        <v/>
      </c>
    </row>
    <row r="90" spans="1:9" ht="40" hidden="1">
      <c r="A90" s="345">
        <v>103</v>
      </c>
      <c r="B90" s="346" t="s">
        <v>286</v>
      </c>
      <c r="C90" s="347">
        <v>1000</v>
      </c>
      <c r="D90" s="348">
        <v>46388</v>
      </c>
      <c r="E90" s="348">
        <v>46722</v>
      </c>
      <c r="F90" s="346" t="s">
        <v>598</v>
      </c>
      <c r="G90" s="349" t="s">
        <v>451</v>
      </c>
      <c r="H90" s="350">
        <f t="shared" si="1"/>
        <v>12000</v>
      </c>
      <c r="I90" s="120" t="str">
        <f>IF(OR(D90&lt;Capa!$A$5,D90&gt;Capa!$A$7,E90&lt;Capa!$A$5,E90&gt;Capa!$A$7,D90&gt;E90),"Erro","")</f>
        <v/>
      </c>
    </row>
    <row r="91" spans="1:9" ht="40" hidden="1">
      <c r="A91" s="345">
        <v>104</v>
      </c>
      <c r="B91" s="346" t="s">
        <v>286</v>
      </c>
      <c r="C91" s="347">
        <v>500</v>
      </c>
      <c r="D91" s="348">
        <v>46753</v>
      </c>
      <c r="E91" s="348">
        <v>47058</v>
      </c>
      <c r="F91" s="346" t="s">
        <v>598</v>
      </c>
      <c r="G91" s="349" t="s">
        <v>451</v>
      </c>
      <c r="H91" s="350">
        <f t="shared" si="1"/>
        <v>5500</v>
      </c>
      <c r="I91" s="120" t="str">
        <f>IF(OR(D91&lt;Capa!$A$5,D91&gt;Capa!$A$7,E91&lt;Capa!$A$5,E91&gt;Capa!$A$7,D91&gt;E91),"Erro","")</f>
        <v/>
      </c>
    </row>
    <row r="92" spans="1:9" ht="30" hidden="1">
      <c r="A92" s="345">
        <v>106</v>
      </c>
      <c r="B92" s="346" t="s">
        <v>288</v>
      </c>
      <c r="C92" s="347">
        <v>200</v>
      </c>
      <c r="D92" s="348">
        <v>45658</v>
      </c>
      <c r="E92" s="348">
        <v>45992</v>
      </c>
      <c r="F92" s="346" t="s">
        <v>598</v>
      </c>
      <c r="G92" s="349" t="s">
        <v>452</v>
      </c>
      <c r="H92" s="350">
        <f t="shared" si="1"/>
        <v>2400</v>
      </c>
      <c r="I92" s="120" t="str">
        <f>IF(OR(D92&lt;Capa!$A$5,D92&gt;Capa!$A$7,E92&lt;Capa!$A$5,E92&gt;Capa!$A$7,D92&gt;E92),"Erro","")</f>
        <v/>
      </c>
    </row>
    <row r="93" spans="1:9" ht="30" hidden="1">
      <c r="A93" s="345">
        <v>107</v>
      </c>
      <c r="B93" s="346" t="s">
        <v>288</v>
      </c>
      <c r="C93" s="347">
        <v>200</v>
      </c>
      <c r="D93" s="348">
        <v>46023</v>
      </c>
      <c r="E93" s="348">
        <v>46357</v>
      </c>
      <c r="F93" s="346" t="s">
        <v>598</v>
      </c>
      <c r="G93" s="349" t="s">
        <v>452</v>
      </c>
      <c r="H93" s="350">
        <f t="shared" si="1"/>
        <v>2400</v>
      </c>
      <c r="I93" s="120" t="str">
        <f>IF(OR(D93&lt;Capa!$A$5,D93&gt;Capa!$A$7,E93&lt;Capa!$A$5,E93&gt;Capa!$A$7,D93&gt;E93),"Erro","")</f>
        <v/>
      </c>
    </row>
    <row r="94" spans="1:9" ht="30" hidden="1">
      <c r="A94" s="345">
        <v>108</v>
      </c>
      <c r="B94" s="346" t="s">
        <v>288</v>
      </c>
      <c r="C94" s="347">
        <v>200</v>
      </c>
      <c r="D94" s="348">
        <v>46388</v>
      </c>
      <c r="E94" s="348">
        <v>46722</v>
      </c>
      <c r="F94" s="346" t="s">
        <v>598</v>
      </c>
      <c r="G94" s="349" t="s">
        <v>452</v>
      </c>
      <c r="H94" s="350">
        <f t="shared" si="1"/>
        <v>2400</v>
      </c>
      <c r="I94" s="120" t="str">
        <f>IF(OR(D94&lt;Capa!$A$5,D94&gt;Capa!$A$7,E94&lt;Capa!$A$5,E94&gt;Capa!$A$7,D94&gt;E94),"Erro","")</f>
        <v/>
      </c>
    </row>
    <row r="95" spans="1:9" ht="30" hidden="1">
      <c r="A95" s="345">
        <v>109</v>
      </c>
      <c r="B95" s="346" t="s">
        <v>288</v>
      </c>
      <c r="C95" s="347">
        <v>100</v>
      </c>
      <c r="D95" s="348">
        <v>46753</v>
      </c>
      <c r="E95" s="348">
        <v>47058</v>
      </c>
      <c r="F95" s="346" t="s">
        <v>598</v>
      </c>
      <c r="G95" s="349" t="s">
        <v>452</v>
      </c>
      <c r="H95" s="350">
        <f t="shared" si="1"/>
        <v>1100</v>
      </c>
      <c r="I95" s="120" t="str">
        <f>IF(OR(D95&lt;Capa!$A$5,D95&gt;Capa!$A$7,E95&lt;Capa!$A$5,E95&gt;Capa!$A$7,D95&gt;E95),"Erro","")</f>
        <v/>
      </c>
    </row>
    <row r="96" spans="1:9" ht="30" hidden="1">
      <c r="A96" s="345">
        <v>111</v>
      </c>
      <c r="B96" s="346" t="s">
        <v>294</v>
      </c>
      <c r="C96" s="347">
        <v>5000</v>
      </c>
      <c r="D96" s="348">
        <v>45658</v>
      </c>
      <c r="E96" s="348">
        <v>45992</v>
      </c>
      <c r="F96" s="346" t="s">
        <v>598</v>
      </c>
      <c r="G96" s="349" t="s">
        <v>453</v>
      </c>
      <c r="H96" s="350">
        <f t="shared" si="1"/>
        <v>60000</v>
      </c>
      <c r="I96" s="120" t="str">
        <f>IF(OR(D96&lt;Capa!$A$5,D96&gt;Capa!$A$7,E96&lt;Capa!$A$5,E96&gt;Capa!$A$7,D96&gt;E96),"Erro","")</f>
        <v/>
      </c>
    </row>
    <row r="97" spans="1:9" ht="30" hidden="1">
      <c r="A97" s="345">
        <v>112</v>
      </c>
      <c r="B97" s="346" t="s">
        <v>294</v>
      </c>
      <c r="C97" s="347">
        <v>5000</v>
      </c>
      <c r="D97" s="348">
        <v>46023</v>
      </c>
      <c r="E97" s="348">
        <v>46357</v>
      </c>
      <c r="F97" s="346" t="s">
        <v>598</v>
      </c>
      <c r="G97" s="349" t="s">
        <v>453</v>
      </c>
      <c r="H97" s="350">
        <f t="shared" si="1"/>
        <v>60000</v>
      </c>
      <c r="I97" s="120" t="str">
        <f>IF(OR(D97&lt;Capa!$A$5,D97&gt;Capa!$A$7,E97&lt;Capa!$A$5,E97&gt;Capa!$A$7,D97&gt;E97),"Erro","")</f>
        <v/>
      </c>
    </row>
    <row r="98" spans="1:9" ht="30" hidden="1">
      <c r="A98" s="345">
        <v>113</v>
      </c>
      <c r="B98" s="346" t="s">
        <v>294</v>
      </c>
      <c r="C98" s="347">
        <v>5000</v>
      </c>
      <c r="D98" s="348">
        <v>46388</v>
      </c>
      <c r="E98" s="348">
        <v>46722</v>
      </c>
      <c r="F98" s="346" t="s">
        <v>598</v>
      </c>
      <c r="G98" s="349" t="s">
        <v>453</v>
      </c>
      <c r="H98" s="350">
        <f t="shared" si="1"/>
        <v>60000</v>
      </c>
      <c r="I98" s="120" t="str">
        <f>IF(OR(D98&lt;Capa!$A$5,D98&gt;Capa!$A$7,E98&lt;Capa!$A$5,E98&gt;Capa!$A$7,D98&gt;E98),"Erro","")</f>
        <v/>
      </c>
    </row>
    <row r="99" spans="1:9" ht="30" hidden="1">
      <c r="A99" s="345">
        <v>114</v>
      </c>
      <c r="B99" s="346" t="s">
        <v>294</v>
      </c>
      <c r="C99" s="347">
        <v>2000</v>
      </c>
      <c r="D99" s="348">
        <v>46753</v>
      </c>
      <c r="E99" s="348">
        <v>47058</v>
      </c>
      <c r="F99" s="346" t="s">
        <v>598</v>
      </c>
      <c r="G99" s="349" t="s">
        <v>453</v>
      </c>
      <c r="H99" s="350">
        <f t="shared" si="1"/>
        <v>22000</v>
      </c>
      <c r="I99" s="120" t="str">
        <f>IF(OR(D99&lt;Capa!$A$5,D99&gt;Capa!$A$7,E99&lt;Capa!$A$5,E99&gt;Capa!$A$7,D99&gt;E99),"Erro","")</f>
        <v/>
      </c>
    </row>
    <row r="100" spans="1:9" ht="20" hidden="1">
      <c r="A100" s="345">
        <v>116</v>
      </c>
      <c r="B100" s="346" t="s">
        <v>302</v>
      </c>
      <c r="C100" s="347">
        <v>100</v>
      </c>
      <c r="D100" s="348">
        <v>45658</v>
      </c>
      <c r="E100" s="348">
        <v>45992</v>
      </c>
      <c r="F100" s="346" t="s">
        <v>598</v>
      </c>
      <c r="G100" s="349" t="s">
        <v>454</v>
      </c>
      <c r="H100" s="350">
        <f t="shared" si="1"/>
        <v>1200</v>
      </c>
      <c r="I100" s="120" t="str">
        <f>IF(OR(D100&lt;Capa!$A$5,D100&gt;Capa!$A$7,E100&lt;Capa!$A$5,E100&gt;Capa!$A$7,D100&gt;E100),"Erro","")</f>
        <v/>
      </c>
    </row>
    <row r="101" spans="1:9" ht="20" hidden="1">
      <c r="A101" s="345">
        <v>117</v>
      </c>
      <c r="B101" s="346" t="s">
        <v>302</v>
      </c>
      <c r="C101" s="347">
        <v>100</v>
      </c>
      <c r="D101" s="348">
        <v>46023</v>
      </c>
      <c r="E101" s="348">
        <v>46357</v>
      </c>
      <c r="F101" s="346" t="s">
        <v>598</v>
      </c>
      <c r="G101" s="349" t="s">
        <v>454</v>
      </c>
      <c r="H101" s="350">
        <f t="shared" si="1"/>
        <v>1200</v>
      </c>
      <c r="I101" s="120" t="str">
        <f>IF(OR(D101&lt;Capa!$A$5,D101&gt;Capa!$A$7,E101&lt;Capa!$A$5,E101&gt;Capa!$A$7,D101&gt;E101),"Erro","")</f>
        <v/>
      </c>
    </row>
    <row r="102" spans="1:9" ht="20" hidden="1">
      <c r="A102" s="345">
        <v>118</v>
      </c>
      <c r="B102" s="346" t="s">
        <v>302</v>
      </c>
      <c r="C102" s="347">
        <v>100</v>
      </c>
      <c r="D102" s="348">
        <v>46388</v>
      </c>
      <c r="E102" s="348">
        <v>46722</v>
      </c>
      <c r="F102" s="346" t="s">
        <v>598</v>
      </c>
      <c r="G102" s="349" t="s">
        <v>454</v>
      </c>
      <c r="H102" s="350">
        <f t="shared" ref="H102:H171" si="2">IFERROR((DATEDIF(D102,E102,"M")+1)*C102,0)</f>
        <v>1200</v>
      </c>
      <c r="I102" s="120" t="str">
        <f>IF(OR(D102&lt;Capa!$A$5,D102&gt;Capa!$A$7,E102&lt;Capa!$A$5,E102&gt;Capa!$A$7,D102&gt;E102),"Erro","")</f>
        <v/>
      </c>
    </row>
    <row r="103" spans="1:9" ht="20" hidden="1">
      <c r="A103" s="345">
        <v>119</v>
      </c>
      <c r="B103" s="346" t="s">
        <v>302</v>
      </c>
      <c r="C103" s="347">
        <v>50</v>
      </c>
      <c r="D103" s="348">
        <v>46753</v>
      </c>
      <c r="E103" s="348">
        <v>47058</v>
      </c>
      <c r="F103" s="346" t="s">
        <v>598</v>
      </c>
      <c r="G103" s="349" t="s">
        <v>454</v>
      </c>
      <c r="H103" s="350">
        <f t="shared" si="2"/>
        <v>550</v>
      </c>
      <c r="I103" s="120" t="str">
        <f>IF(OR(D103&lt;Capa!$A$5,D103&gt;Capa!$A$7,E103&lt;Capa!$A$5,E103&gt;Capa!$A$7,D103&gt;E103),"Erro","")</f>
        <v/>
      </c>
    </row>
    <row r="104" spans="1:9" ht="30" hidden="1">
      <c r="A104" s="345">
        <v>121</v>
      </c>
      <c r="B104" s="346" t="s">
        <v>304</v>
      </c>
      <c r="C104" s="347">
        <v>1000</v>
      </c>
      <c r="D104" s="348">
        <v>45658</v>
      </c>
      <c r="E104" s="348">
        <v>45992</v>
      </c>
      <c r="F104" s="346" t="s">
        <v>598</v>
      </c>
      <c r="G104" s="349" t="s">
        <v>455</v>
      </c>
      <c r="H104" s="350">
        <f t="shared" si="2"/>
        <v>12000</v>
      </c>
      <c r="I104" s="120" t="str">
        <f>IF(OR(D104&lt;Capa!$A$5,D104&gt;Capa!$A$7,E104&lt;Capa!$A$5,E104&gt;Capa!$A$7,D104&gt;E104),"Erro","")</f>
        <v/>
      </c>
    </row>
    <row r="105" spans="1:9" ht="30" hidden="1">
      <c r="A105" s="345">
        <v>122</v>
      </c>
      <c r="B105" s="346" t="s">
        <v>304</v>
      </c>
      <c r="C105" s="347">
        <v>1000</v>
      </c>
      <c r="D105" s="348">
        <v>46023</v>
      </c>
      <c r="E105" s="348">
        <v>46357</v>
      </c>
      <c r="F105" s="346" t="s">
        <v>598</v>
      </c>
      <c r="G105" s="349" t="s">
        <v>455</v>
      </c>
      <c r="H105" s="350">
        <f t="shared" si="2"/>
        <v>12000</v>
      </c>
      <c r="I105" s="120" t="str">
        <f>IF(OR(D105&lt;Capa!$A$5,D105&gt;Capa!$A$7,E105&lt;Capa!$A$5,E105&gt;Capa!$A$7,D105&gt;E105),"Erro","")</f>
        <v/>
      </c>
    </row>
    <row r="106" spans="1:9" ht="30" hidden="1">
      <c r="A106" s="345">
        <v>123</v>
      </c>
      <c r="B106" s="346" t="s">
        <v>304</v>
      </c>
      <c r="C106" s="347">
        <v>1000</v>
      </c>
      <c r="D106" s="348">
        <v>46388</v>
      </c>
      <c r="E106" s="348">
        <v>46722</v>
      </c>
      <c r="F106" s="346" t="s">
        <v>598</v>
      </c>
      <c r="G106" s="349" t="s">
        <v>455</v>
      </c>
      <c r="H106" s="350">
        <f t="shared" si="2"/>
        <v>12000</v>
      </c>
      <c r="I106" s="120" t="str">
        <f>IF(OR(D106&lt;Capa!$A$5,D106&gt;Capa!$A$7,E106&lt;Capa!$A$5,E106&gt;Capa!$A$7,D106&gt;E106),"Erro","")</f>
        <v/>
      </c>
    </row>
    <row r="107" spans="1:9" ht="30" hidden="1">
      <c r="A107" s="345">
        <v>124</v>
      </c>
      <c r="B107" s="346" t="s">
        <v>304</v>
      </c>
      <c r="C107" s="347">
        <v>500</v>
      </c>
      <c r="D107" s="348">
        <v>46753</v>
      </c>
      <c r="E107" s="348">
        <v>47058</v>
      </c>
      <c r="F107" s="346" t="s">
        <v>598</v>
      </c>
      <c r="G107" s="349" t="s">
        <v>455</v>
      </c>
      <c r="H107" s="350">
        <f t="shared" si="2"/>
        <v>5500</v>
      </c>
      <c r="I107" s="120" t="str">
        <f>IF(OR(D107&lt;Capa!$A$5,D107&gt;Capa!$A$7,E107&lt;Capa!$A$5,E107&gt;Capa!$A$7,D107&gt;E107),"Erro","")</f>
        <v/>
      </c>
    </row>
    <row r="108" spans="1:9" hidden="1">
      <c r="A108" s="345">
        <v>125</v>
      </c>
      <c r="B108" s="346" t="s">
        <v>308</v>
      </c>
      <c r="C108" s="347">
        <v>200</v>
      </c>
      <c r="D108" s="348">
        <v>45658</v>
      </c>
      <c r="E108" s="348">
        <v>45778</v>
      </c>
      <c r="F108" s="346" t="s">
        <v>598</v>
      </c>
      <c r="G108" s="349" t="s">
        <v>665</v>
      </c>
      <c r="H108" s="350">
        <f t="shared" si="2"/>
        <v>1000</v>
      </c>
      <c r="I108" s="120" t="str">
        <f>IF(OR(D108&lt;Capa!$A$5,D108&gt;Capa!$A$7,E108&lt;Capa!$A$5,E108&gt;Capa!$A$7,D108&gt;E108),"Erro","")</f>
        <v/>
      </c>
    </row>
    <row r="109" spans="1:9" hidden="1">
      <c r="A109" s="345">
        <v>126</v>
      </c>
      <c r="B109" s="346" t="s">
        <v>308</v>
      </c>
      <c r="C109" s="347">
        <v>200</v>
      </c>
      <c r="D109" s="348">
        <v>46023</v>
      </c>
      <c r="E109" s="348">
        <v>46143</v>
      </c>
      <c r="F109" s="346" t="s">
        <v>598</v>
      </c>
      <c r="G109" s="349" t="s">
        <v>665</v>
      </c>
      <c r="H109" s="350">
        <f t="shared" si="2"/>
        <v>1000</v>
      </c>
      <c r="I109" s="120" t="str">
        <f>IF(OR(D109&lt;Capa!$A$5,D109&gt;Capa!$A$7,E109&lt;Capa!$A$5,E109&gt;Capa!$A$7,D109&gt;E109),"Erro","")</f>
        <v/>
      </c>
    </row>
    <row r="110" spans="1:9" hidden="1">
      <c r="A110" s="345">
        <v>127</v>
      </c>
      <c r="B110" s="346" t="s">
        <v>308</v>
      </c>
      <c r="C110" s="347">
        <v>200</v>
      </c>
      <c r="D110" s="348">
        <v>46388</v>
      </c>
      <c r="E110" s="348">
        <v>46508</v>
      </c>
      <c r="F110" s="346" t="s">
        <v>598</v>
      </c>
      <c r="G110" s="349" t="s">
        <v>665</v>
      </c>
      <c r="H110" s="350">
        <f t="shared" si="2"/>
        <v>1000</v>
      </c>
      <c r="I110" s="120" t="str">
        <f>IF(OR(D110&lt;Capa!$A$5,D110&gt;Capa!$A$7,E110&lt;Capa!$A$5,E110&gt;Capa!$A$7,D110&gt;E110),"Erro","")</f>
        <v/>
      </c>
    </row>
    <row r="111" spans="1:9" hidden="1">
      <c r="A111" s="345">
        <v>128</v>
      </c>
      <c r="B111" s="346" t="s">
        <v>308</v>
      </c>
      <c r="C111" s="347">
        <v>200</v>
      </c>
      <c r="D111" s="348">
        <v>46753</v>
      </c>
      <c r="E111" s="348">
        <v>46874</v>
      </c>
      <c r="F111" s="346" t="s">
        <v>598</v>
      </c>
      <c r="G111" s="349" t="s">
        <v>665</v>
      </c>
      <c r="H111" s="350">
        <f t="shared" si="2"/>
        <v>1000</v>
      </c>
      <c r="I111" s="120" t="str">
        <f>IF(OR(D111&lt;Capa!$A$5,D111&gt;Capa!$A$7,E111&lt;Capa!$A$5,E111&gt;Capa!$A$7,D111&gt;E111),"Erro","")</f>
        <v/>
      </c>
    </row>
    <row r="112" spans="1:9" ht="30" hidden="1">
      <c r="A112" s="345">
        <v>129</v>
      </c>
      <c r="B112" s="346" t="s">
        <v>312</v>
      </c>
      <c r="C112" s="347">
        <v>200</v>
      </c>
      <c r="D112" s="348">
        <v>45658</v>
      </c>
      <c r="E112" s="348">
        <v>45992</v>
      </c>
      <c r="F112" s="346" t="s">
        <v>598</v>
      </c>
      <c r="G112" s="349" t="s">
        <v>571</v>
      </c>
      <c r="H112" s="350">
        <f t="shared" si="2"/>
        <v>2400</v>
      </c>
      <c r="I112" s="120" t="str">
        <f>IF(OR(D112&lt;Capa!$A$5,D112&gt;Capa!$A$7,E112&lt;Capa!$A$5,E112&gt;Capa!$A$7,D112&gt;E112),"Erro","")</f>
        <v/>
      </c>
    </row>
    <row r="113" spans="1:9" ht="30" hidden="1">
      <c r="A113" s="345">
        <v>130</v>
      </c>
      <c r="B113" s="346" t="s">
        <v>312</v>
      </c>
      <c r="C113" s="347">
        <v>200</v>
      </c>
      <c r="D113" s="348">
        <v>46023</v>
      </c>
      <c r="E113" s="348">
        <v>46357</v>
      </c>
      <c r="F113" s="346" t="s">
        <v>598</v>
      </c>
      <c r="G113" s="349" t="s">
        <v>571</v>
      </c>
      <c r="H113" s="350">
        <f t="shared" si="2"/>
        <v>2400</v>
      </c>
      <c r="I113" s="120" t="str">
        <f>IF(OR(D113&lt;Capa!$A$5,D113&gt;Capa!$A$7,E113&lt;Capa!$A$5,E113&gt;Capa!$A$7,D113&gt;E113),"Erro","")</f>
        <v/>
      </c>
    </row>
    <row r="114" spans="1:9" ht="30" hidden="1">
      <c r="A114" s="345">
        <v>131</v>
      </c>
      <c r="B114" s="346" t="s">
        <v>312</v>
      </c>
      <c r="C114" s="347">
        <v>200</v>
      </c>
      <c r="D114" s="348">
        <v>46388</v>
      </c>
      <c r="E114" s="348">
        <v>46722</v>
      </c>
      <c r="F114" s="346" t="s">
        <v>598</v>
      </c>
      <c r="G114" s="349" t="s">
        <v>571</v>
      </c>
      <c r="H114" s="350">
        <f t="shared" si="2"/>
        <v>2400</v>
      </c>
      <c r="I114" s="120" t="str">
        <f>IF(OR(D114&lt;Capa!$A$5,D114&gt;Capa!$A$7,E114&lt;Capa!$A$5,E114&gt;Capa!$A$7,D114&gt;E114),"Erro","")</f>
        <v/>
      </c>
    </row>
    <row r="115" spans="1:9" ht="30" hidden="1">
      <c r="A115" s="345">
        <v>132</v>
      </c>
      <c r="B115" s="346" t="s">
        <v>312</v>
      </c>
      <c r="C115" s="347">
        <v>100</v>
      </c>
      <c r="D115" s="348">
        <v>46753</v>
      </c>
      <c r="E115" s="348">
        <v>47058</v>
      </c>
      <c r="F115" s="346" t="s">
        <v>598</v>
      </c>
      <c r="G115" s="349" t="s">
        <v>571</v>
      </c>
      <c r="H115" s="350">
        <f t="shared" si="2"/>
        <v>1100</v>
      </c>
      <c r="I115" s="120" t="str">
        <f>IF(OR(D115&lt;Capa!$A$5,D115&gt;Capa!$A$7,E115&lt;Capa!$A$5,E115&gt;Capa!$A$7,D115&gt;E115),"Erro","")</f>
        <v/>
      </c>
    </row>
    <row r="116" spans="1:9" ht="50" hidden="1">
      <c r="A116" s="345">
        <v>134</v>
      </c>
      <c r="B116" s="346" t="s">
        <v>316</v>
      </c>
      <c r="C116" s="347">
        <v>800</v>
      </c>
      <c r="D116" s="348">
        <v>45658</v>
      </c>
      <c r="E116" s="348">
        <v>45992</v>
      </c>
      <c r="F116" s="346" t="s">
        <v>598</v>
      </c>
      <c r="G116" s="349" t="s">
        <v>741</v>
      </c>
      <c r="H116" s="350">
        <f t="shared" si="2"/>
        <v>9600</v>
      </c>
      <c r="I116" s="120" t="str">
        <f>IF(OR(D116&lt;Capa!$A$5,D116&gt;Capa!$A$7,E116&lt;Capa!$A$5,E116&gt;Capa!$A$7,D116&gt;E116),"Erro","")</f>
        <v/>
      </c>
    </row>
    <row r="117" spans="1:9" ht="50" hidden="1">
      <c r="A117" s="345">
        <v>135</v>
      </c>
      <c r="B117" s="346" t="s">
        <v>316</v>
      </c>
      <c r="C117" s="347">
        <v>800</v>
      </c>
      <c r="D117" s="348">
        <v>46023</v>
      </c>
      <c r="E117" s="348">
        <v>46357</v>
      </c>
      <c r="F117" s="346" t="s">
        <v>598</v>
      </c>
      <c r="G117" s="349" t="s">
        <v>741</v>
      </c>
      <c r="H117" s="350">
        <f t="shared" si="2"/>
        <v>9600</v>
      </c>
      <c r="I117" s="120" t="str">
        <f>IF(OR(D117&lt;Capa!$A$5,D117&gt;Capa!$A$7,E117&lt;Capa!$A$5,E117&gt;Capa!$A$7,D117&gt;E117),"Erro","")</f>
        <v/>
      </c>
    </row>
    <row r="118" spans="1:9" ht="50" hidden="1">
      <c r="A118" s="345">
        <v>136</v>
      </c>
      <c r="B118" s="346" t="s">
        <v>316</v>
      </c>
      <c r="C118" s="347">
        <v>800</v>
      </c>
      <c r="D118" s="348">
        <v>46388</v>
      </c>
      <c r="E118" s="348">
        <v>46722</v>
      </c>
      <c r="F118" s="346" t="s">
        <v>598</v>
      </c>
      <c r="G118" s="349" t="s">
        <v>741</v>
      </c>
      <c r="H118" s="350">
        <f t="shared" si="2"/>
        <v>9600</v>
      </c>
      <c r="I118" s="120" t="str">
        <f>IF(OR(D118&lt;Capa!$A$5,D118&gt;Capa!$A$7,E118&lt;Capa!$A$5,E118&gt;Capa!$A$7,D118&gt;E118),"Erro","")</f>
        <v/>
      </c>
    </row>
    <row r="119" spans="1:9" ht="50" hidden="1">
      <c r="A119" s="345">
        <v>137</v>
      </c>
      <c r="B119" s="346" t="s">
        <v>316</v>
      </c>
      <c r="C119" s="347">
        <v>400</v>
      </c>
      <c r="D119" s="348">
        <v>46753</v>
      </c>
      <c r="E119" s="348">
        <v>47058</v>
      </c>
      <c r="F119" s="346" t="s">
        <v>598</v>
      </c>
      <c r="G119" s="349" t="s">
        <v>741</v>
      </c>
      <c r="H119" s="350">
        <f t="shared" si="2"/>
        <v>4400</v>
      </c>
      <c r="I119" s="120" t="str">
        <f>IF(OR(D119&lt;Capa!$A$5,D119&gt;Capa!$A$7,E119&lt;Capa!$A$5,E119&gt;Capa!$A$7,D119&gt;E119),"Erro","")</f>
        <v/>
      </c>
    </row>
    <row r="120" spans="1:9" ht="60" hidden="1">
      <c r="A120" s="345">
        <v>139</v>
      </c>
      <c r="B120" s="346" t="s">
        <v>318</v>
      </c>
      <c r="C120" s="347">
        <v>700</v>
      </c>
      <c r="D120" s="348">
        <v>45658</v>
      </c>
      <c r="E120" s="348">
        <v>45992</v>
      </c>
      <c r="F120" s="346" t="s">
        <v>598</v>
      </c>
      <c r="G120" s="349" t="s">
        <v>673</v>
      </c>
      <c r="H120" s="350">
        <f t="shared" si="2"/>
        <v>8400</v>
      </c>
      <c r="I120" s="120" t="str">
        <f>IF(OR(D120&lt;Capa!$A$5,D120&gt;Capa!$A$7,E120&lt;Capa!$A$5,E120&gt;Capa!$A$7,D120&gt;E120),"Erro","")</f>
        <v/>
      </c>
    </row>
    <row r="121" spans="1:9" ht="60" hidden="1">
      <c r="A121" s="345">
        <v>140</v>
      </c>
      <c r="B121" s="346" t="s">
        <v>318</v>
      </c>
      <c r="C121" s="347">
        <v>700</v>
      </c>
      <c r="D121" s="348">
        <v>46023</v>
      </c>
      <c r="E121" s="348">
        <v>46357</v>
      </c>
      <c r="F121" s="346" t="s">
        <v>598</v>
      </c>
      <c r="G121" s="349" t="s">
        <v>673</v>
      </c>
      <c r="H121" s="350">
        <f t="shared" si="2"/>
        <v>8400</v>
      </c>
      <c r="I121" s="120" t="str">
        <f>IF(OR(D121&lt;Capa!$A$5,D121&gt;Capa!$A$7,E121&lt;Capa!$A$5,E121&gt;Capa!$A$7,D121&gt;E121),"Erro","")</f>
        <v/>
      </c>
    </row>
    <row r="122" spans="1:9" ht="60" hidden="1">
      <c r="A122" s="345">
        <v>141</v>
      </c>
      <c r="B122" s="346" t="s">
        <v>318</v>
      </c>
      <c r="C122" s="347">
        <v>700</v>
      </c>
      <c r="D122" s="348">
        <v>46388</v>
      </c>
      <c r="E122" s="348">
        <v>46722</v>
      </c>
      <c r="F122" s="346" t="s">
        <v>598</v>
      </c>
      <c r="G122" s="349" t="s">
        <v>673</v>
      </c>
      <c r="H122" s="350">
        <f t="shared" si="2"/>
        <v>8400</v>
      </c>
      <c r="I122" s="120" t="str">
        <f>IF(OR(D122&lt;Capa!$A$5,D122&gt;Capa!$A$7,E122&lt;Capa!$A$5,E122&gt;Capa!$A$7,D122&gt;E122),"Erro","")</f>
        <v/>
      </c>
    </row>
    <row r="123" spans="1:9" ht="60" hidden="1">
      <c r="A123" s="345">
        <v>142</v>
      </c>
      <c r="B123" s="346" t="s">
        <v>318</v>
      </c>
      <c r="C123" s="347">
        <v>250</v>
      </c>
      <c r="D123" s="348">
        <v>46753</v>
      </c>
      <c r="E123" s="348">
        <v>47058</v>
      </c>
      <c r="F123" s="346" t="s">
        <v>598</v>
      </c>
      <c r="G123" s="349" t="s">
        <v>673</v>
      </c>
      <c r="H123" s="350">
        <f t="shared" si="2"/>
        <v>2750</v>
      </c>
      <c r="I123" s="120" t="str">
        <f>IF(OR(D123&lt;Capa!$A$5,D123&gt;Capa!$A$7,E123&lt;Capa!$A$5,E123&gt;Capa!$A$7,D123&gt;E123),"Erro","")</f>
        <v/>
      </c>
    </row>
    <row r="124" spans="1:9" ht="50" hidden="1">
      <c r="A124" s="345">
        <v>144</v>
      </c>
      <c r="B124" s="346" t="s">
        <v>318</v>
      </c>
      <c r="C124" s="347">
        <v>1000</v>
      </c>
      <c r="D124" s="348">
        <v>45658</v>
      </c>
      <c r="E124" s="348">
        <v>45992</v>
      </c>
      <c r="F124" s="346" t="s">
        <v>598</v>
      </c>
      <c r="G124" s="349" t="s">
        <v>572</v>
      </c>
      <c r="H124" s="350">
        <f t="shared" si="2"/>
        <v>12000</v>
      </c>
      <c r="I124" s="120" t="str">
        <f>IF(OR(D124&lt;Capa!$A$5,D124&gt;Capa!$A$7,E124&lt;Capa!$A$5,E124&gt;Capa!$A$7,D124&gt;E124),"Erro","")</f>
        <v/>
      </c>
    </row>
    <row r="125" spans="1:9" ht="50" hidden="1">
      <c r="A125" s="345">
        <v>145</v>
      </c>
      <c r="B125" s="346" t="s">
        <v>318</v>
      </c>
      <c r="C125" s="347">
        <v>1000</v>
      </c>
      <c r="D125" s="348">
        <v>46023</v>
      </c>
      <c r="E125" s="348">
        <v>46357</v>
      </c>
      <c r="F125" s="346" t="s">
        <v>598</v>
      </c>
      <c r="G125" s="349" t="s">
        <v>572</v>
      </c>
      <c r="H125" s="350">
        <f t="shared" si="2"/>
        <v>12000</v>
      </c>
      <c r="I125" s="120" t="str">
        <f>IF(OR(D125&lt;Capa!$A$5,D125&gt;Capa!$A$7,E125&lt;Capa!$A$5,E125&gt;Capa!$A$7,D125&gt;E125),"Erro","")</f>
        <v/>
      </c>
    </row>
    <row r="126" spans="1:9" ht="50" hidden="1">
      <c r="A126" s="345">
        <v>146</v>
      </c>
      <c r="B126" s="346" t="s">
        <v>318</v>
      </c>
      <c r="C126" s="347">
        <v>1000</v>
      </c>
      <c r="D126" s="348">
        <v>46388</v>
      </c>
      <c r="E126" s="348">
        <v>46722</v>
      </c>
      <c r="F126" s="346" t="s">
        <v>598</v>
      </c>
      <c r="G126" s="349" t="s">
        <v>572</v>
      </c>
      <c r="H126" s="350">
        <f t="shared" si="2"/>
        <v>12000</v>
      </c>
      <c r="I126" s="120" t="str">
        <f>IF(OR(D126&lt;Capa!$A$5,D126&gt;Capa!$A$7,E126&lt;Capa!$A$5,E126&gt;Capa!$A$7,D126&gt;E126),"Erro","")</f>
        <v/>
      </c>
    </row>
    <row r="127" spans="1:9" ht="50" hidden="1">
      <c r="A127" s="345">
        <v>147</v>
      </c>
      <c r="B127" s="346" t="s">
        <v>318</v>
      </c>
      <c r="C127" s="347">
        <v>250</v>
      </c>
      <c r="D127" s="348">
        <v>46753</v>
      </c>
      <c r="E127" s="348">
        <v>47058</v>
      </c>
      <c r="F127" s="346" t="s">
        <v>598</v>
      </c>
      <c r="G127" s="349" t="s">
        <v>572</v>
      </c>
      <c r="H127" s="350">
        <f t="shared" si="2"/>
        <v>2750</v>
      </c>
      <c r="I127" s="120" t="str">
        <f>IF(OR(D127&lt;Capa!$A$5,D127&gt;Capa!$A$7,E127&lt;Capa!$A$5,E127&gt;Capa!$A$7,D127&gt;E127),"Erro","")</f>
        <v/>
      </c>
    </row>
    <row r="128" spans="1:9" ht="20" hidden="1">
      <c r="A128" s="345">
        <v>149</v>
      </c>
      <c r="B128" s="346" t="s">
        <v>298</v>
      </c>
      <c r="C128" s="347">
        <v>2450</v>
      </c>
      <c r="D128" s="348">
        <v>45658</v>
      </c>
      <c r="E128" s="348">
        <v>45992</v>
      </c>
      <c r="F128" s="346" t="s">
        <v>598</v>
      </c>
      <c r="G128" s="349" t="s">
        <v>457</v>
      </c>
      <c r="H128" s="350">
        <f t="shared" si="2"/>
        <v>29400</v>
      </c>
      <c r="I128" s="120" t="str">
        <f>IF(OR(D128&lt;Capa!$A$5,D128&gt;Capa!$A$7,E128&lt;Capa!$A$5,E128&gt;Capa!$A$7,D128&gt;E128),"Erro","")</f>
        <v/>
      </c>
    </row>
    <row r="129" spans="1:9" ht="20" hidden="1">
      <c r="A129" s="345">
        <v>150</v>
      </c>
      <c r="B129" s="346" t="s">
        <v>298</v>
      </c>
      <c r="C129" s="347">
        <v>2450</v>
      </c>
      <c r="D129" s="348">
        <v>46023</v>
      </c>
      <c r="E129" s="348">
        <v>46357</v>
      </c>
      <c r="F129" s="346" t="s">
        <v>598</v>
      </c>
      <c r="G129" s="349" t="s">
        <v>457</v>
      </c>
      <c r="H129" s="350">
        <f t="shared" si="2"/>
        <v>29400</v>
      </c>
      <c r="I129" s="120" t="str">
        <f>IF(OR(D129&lt;Capa!$A$5,D129&gt;Capa!$A$7,E129&lt;Capa!$A$5,E129&gt;Capa!$A$7,D129&gt;E129),"Erro","")</f>
        <v/>
      </c>
    </row>
    <row r="130" spans="1:9" ht="20" hidden="1">
      <c r="A130" s="345">
        <v>151</v>
      </c>
      <c r="B130" s="346" t="s">
        <v>298</v>
      </c>
      <c r="C130" s="347">
        <v>2450</v>
      </c>
      <c r="D130" s="348">
        <v>46388</v>
      </c>
      <c r="E130" s="348">
        <v>46722</v>
      </c>
      <c r="F130" s="346" t="s">
        <v>598</v>
      </c>
      <c r="G130" s="349" t="s">
        <v>457</v>
      </c>
      <c r="H130" s="350">
        <f t="shared" si="2"/>
        <v>29400</v>
      </c>
      <c r="I130" s="120" t="str">
        <f>IF(OR(D130&lt;Capa!$A$5,D130&gt;Capa!$A$7,E130&lt;Capa!$A$5,E130&gt;Capa!$A$7,D130&gt;E130),"Erro","")</f>
        <v/>
      </c>
    </row>
    <row r="131" spans="1:9" ht="20" hidden="1">
      <c r="A131" s="345">
        <v>152</v>
      </c>
      <c r="B131" s="346" t="s">
        <v>298</v>
      </c>
      <c r="C131" s="347">
        <v>1250</v>
      </c>
      <c r="D131" s="348">
        <v>46753</v>
      </c>
      <c r="E131" s="348">
        <v>47058</v>
      </c>
      <c r="F131" s="346" t="s">
        <v>598</v>
      </c>
      <c r="G131" s="349" t="s">
        <v>457</v>
      </c>
      <c r="H131" s="350">
        <f t="shared" si="2"/>
        <v>13750</v>
      </c>
      <c r="I131" s="120" t="str">
        <f>IF(OR(D131&lt;Capa!$A$5,D131&gt;Capa!$A$7,E131&lt;Capa!$A$5,E131&gt;Capa!$A$7,D131&gt;E131),"Erro","")</f>
        <v/>
      </c>
    </row>
    <row r="132" spans="1:9" ht="30" hidden="1">
      <c r="A132" s="345">
        <v>153</v>
      </c>
      <c r="B132" s="346" t="s">
        <v>238</v>
      </c>
      <c r="C132" s="347">
        <v>480</v>
      </c>
      <c r="D132" s="348">
        <v>45658</v>
      </c>
      <c r="E132" s="348">
        <v>45992</v>
      </c>
      <c r="F132" s="346" t="s">
        <v>598</v>
      </c>
      <c r="G132" s="349" t="s">
        <v>458</v>
      </c>
      <c r="H132" s="350">
        <f t="shared" si="2"/>
        <v>5760</v>
      </c>
      <c r="I132" s="120" t="str">
        <f>IF(OR(D132&lt;Capa!$A$5,D132&gt;Capa!$A$7,E132&lt;Capa!$A$5,E132&gt;Capa!$A$7,D132&gt;E132),"Erro","")</f>
        <v/>
      </c>
    </row>
    <row r="133" spans="1:9" ht="30" hidden="1">
      <c r="A133" s="345">
        <v>154</v>
      </c>
      <c r="B133" s="346" t="s">
        <v>238</v>
      </c>
      <c r="C133" s="347">
        <v>480</v>
      </c>
      <c r="D133" s="348">
        <v>46023</v>
      </c>
      <c r="E133" s="348">
        <v>46357</v>
      </c>
      <c r="F133" s="346" t="s">
        <v>598</v>
      </c>
      <c r="G133" s="349" t="s">
        <v>458</v>
      </c>
      <c r="H133" s="350">
        <f t="shared" si="2"/>
        <v>5760</v>
      </c>
      <c r="I133" s="120" t="str">
        <f>IF(OR(D133&lt;Capa!$A$5,D133&gt;Capa!$A$7,E133&lt;Capa!$A$5,E133&gt;Capa!$A$7,D133&gt;E133),"Erro","")</f>
        <v/>
      </c>
    </row>
    <row r="134" spans="1:9" ht="30" hidden="1">
      <c r="A134" s="345">
        <v>155</v>
      </c>
      <c r="B134" s="346" t="s">
        <v>238</v>
      </c>
      <c r="C134" s="347">
        <v>480</v>
      </c>
      <c r="D134" s="348">
        <v>46388</v>
      </c>
      <c r="E134" s="348">
        <v>46722</v>
      </c>
      <c r="F134" s="346" t="s">
        <v>598</v>
      </c>
      <c r="G134" s="349" t="s">
        <v>458</v>
      </c>
      <c r="H134" s="350">
        <f t="shared" si="2"/>
        <v>5760</v>
      </c>
      <c r="I134" s="120" t="str">
        <f>IF(OR(D134&lt;Capa!$A$5,D134&gt;Capa!$A$7,E134&lt;Capa!$A$5,E134&gt;Capa!$A$7,D134&gt;E134),"Erro","")</f>
        <v/>
      </c>
    </row>
    <row r="135" spans="1:9" ht="30" hidden="1">
      <c r="A135" s="345">
        <v>156</v>
      </c>
      <c r="B135" s="346" t="s">
        <v>238</v>
      </c>
      <c r="C135" s="347">
        <v>240</v>
      </c>
      <c r="D135" s="348">
        <v>46753</v>
      </c>
      <c r="E135" s="348">
        <v>47058</v>
      </c>
      <c r="F135" s="346" t="s">
        <v>598</v>
      </c>
      <c r="G135" s="349" t="s">
        <v>458</v>
      </c>
      <c r="H135" s="350">
        <f t="shared" si="2"/>
        <v>2640</v>
      </c>
      <c r="I135" s="120" t="str">
        <f>IF(OR(D135&lt;Capa!$A$5,D135&gt;Capa!$A$7,E135&lt;Capa!$A$5,E135&gt;Capa!$A$7,D135&gt;E135),"Erro","")</f>
        <v/>
      </c>
    </row>
    <row r="136" spans="1:9" ht="40" hidden="1">
      <c r="A136" s="345">
        <v>158</v>
      </c>
      <c r="B136" s="346" t="s">
        <v>252</v>
      </c>
      <c r="C136" s="347">
        <v>8000</v>
      </c>
      <c r="D136" s="348">
        <v>45658</v>
      </c>
      <c r="E136" s="348">
        <v>45992</v>
      </c>
      <c r="F136" s="346" t="s">
        <v>598</v>
      </c>
      <c r="G136" s="349" t="s">
        <v>459</v>
      </c>
      <c r="H136" s="350">
        <f t="shared" si="2"/>
        <v>96000</v>
      </c>
      <c r="I136" s="120" t="str">
        <f>IF(OR(D136&lt;Capa!$A$5,D136&gt;Capa!$A$7,E136&lt;Capa!$A$5,E136&gt;Capa!$A$7,D136&gt;E136),"Erro","")</f>
        <v/>
      </c>
    </row>
    <row r="137" spans="1:9" ht="40" hidden="1">
      <c r="A137" s="345">
        <v>159</v>
      </c>
      <c r="B137" s="346" t="s">
        <v>252</v>
      </c>
      <c r="C137" s="347">
        <v>8000</v>
      </c>
      <c r="D137" s="348">
        <v>46023</v>
      </c>
      <c r="E137" s="348">
        <v>46357</v>
      </c>
      <c r="F137" s="346" t="s">
        <v>598</v>
      </c>
      <c r="G137" s="349" t="s">
        <v>459</v>
      </c>
      <c r="H137" s="350">
        <f t="shared" si="2"/>
        <v>96000</v>
      </c>
      <c r="I137" s="120" t="str">
        <f>IF(OR(D137&lt;Capa!$A$5,D137&gt;Capa!$A$7,E137&lt;Capa!$A$5,E137&gt;Capa!$A$7,D137&gt;E137),"Erro","")</f>
        <v/>
      </c>
    </row>
    <row r="138" spans="1:9" ht="40" hidden="1">
      <c r="A138" s="345">
        <v>160</v>
      </c>
      <c r="B138" s="346" t="s">
        <v>252</v>
      </c>
      <c r="C138" s="347">
        <v>8000</v>
      </c>
      <c r="D138" s="348">
        <v>46388</v>
      </c>
      <c r="E138" s="348">
        <v>46722</v>
      </c>
      <c r="F138" s="346" t="s">
        <v>598</v>
      </c>
      <c r="G138" s="349" t="s">
        <v>459</v>
      </c>
      <c r="H138" s="350">
        <f t="shared" si="2"/>
        <v>96000</v>
      </c>
      <c r="I138" s="120" t="str">
        <f>IF(OR(D138&lt;Capa!$A$5,D138&gt;Capa!$A$7,E138&lt;Capa!$A$5,E138&gt;Capa!$A$7,D138&gt;E138),"Erro","")</f>
        <v/>
      </c>
    </row>
    <row r="139" spans="1:9" ht="40" hidden="1">
      <c r="A139" s="345">
        <v>161</v>
      </c>
      <c r="B139" s="346" t="s">
        <v>252</v>
      </c>
      <c r="C139" s="347">
        <v>4000</v>
      </c>
      <c r="D139" s="348">
        <v>46753</v>
      </c>
      <c r="E139" s="348">
        <v>47058</v>
      </c>
      <c r="F139" s="346" t="s">
        <v>598</v>
      </c>
      <c r="G139" s="349" t="s">
        <v>459</v>
      </c>
      <c r="H139" s="350">
        <f t="shared" si="2"/>
        <v>44000</v>
      </c>
      <c r="I139" s="120" t="str">
        <f>IF(OR(D139&lt;Capa!$A$5,D139&gt;Capa!$A$7,E139&lt;Capa!$A$5,E139&gt;Capa!$A$7,D139&gt;E139),"Erro","")</f>
        <v/>
      </c>
    </row>
    <row r="140" spans="1:9" ht="20" hidden="1">
      <c r="A140" s="345">
        <v>162</v>
      </c>
      <c r="B140" s="346" t="s">
        <v>620</v>
      </c>
      <c r="C140" s="347">
        <v>110</v>
      </c>
      <c r="D140" s="348">
        <v>45658</v>
      </c>
      <c r="E140" s="348">
        <v>47058</v>
      </c>
      <c r="F140" s="346" t="s">
        <v>598</v>
      </c>
      <c r="G140" s="349" t="s">
        <v>662</v>
      </c>
      <c r="H140" s="350">
        <f t="shared" si="2"/>
        <v>5170</v>
      </c>
      <c r="I140" s="120" t="str">
        <f>IF(OR(D140&lt;Capa!$A$5,D140&gt;Capa!$A$7,E140&lt;Capa!$A$5,E140&gt;Capa!$A$7,D140&gt;E140),"Erro","")</f>
        <v/>
      </c>
    </row>
    <row r="141" spans="1:9" ht="20" hidden="1">
      <c r="A141" s="345">
        <v>164</v>
      </c>
      <c r="B141" s="346" t="s">
        <v>622</v>
      </c>
      <c r="C141" s="347">
        <v>850</v>
      </c>
      <c r="D141" s="348">
        <v>45658</v>
      </c>
      <c r="E141" s="348">
        <v>47058</v>
      </c>
      <c r="F141" s="346" t="s">
        <v>598</v>
      </c>
      <c r="G141" s="349" t="s">
        <v>664</v>
      </c>
      <c r="H141" s="350">
        <f t="shared" si="2"/>
        <v>39950</v>
      </c>
      <c r="I141" s="120" t="str">
        <f>IF(OR(D141&lt;Capa!$A$5,D141&gt;Capa!$A$7,E141&lt;Capa!$A$5,E141&gt;Capa!$A$7,D141&gt;E141),"Erro","")</f>
        <v/>
      </c>
    </row>
    <row r="142" spans="1:9" ht="30" hidden="1">
      <c r="A142" s="345">
        <v>165</v>
      </c>
      <c r="B142" s="346" t="s">
        <v>621</v>
      </c>
      <c r="C142" s="347">
        <v>2000</v>
      </c>
      <c r="D142" s="348">
        <v>45748</v>
      </c>
      <c r="E142" s="348">
        <v>45748</v>
      </c>
      <c r="F142" s="346" t="s">
        <v>598</v>
      </c>
      <c r="G142" s="349" t="s">
        <v>595</v>
      </c>
      <c r="H142" s="350">
        <f t="shared" si="2"/>
        <v>2000</v>
      </c>
      <c r="I142" s="120" t="str">
        <f>IF(OR(D142&lt;Capa!$A$5,D142&gt;Capa!$A$7,E142&lt;Capa!$A$5,E142&gt;Capa!$A$7,D142&gt;E142),"Erro","")</f>
        <v/>
      </c>
    </row>
    <row r="143" spans="1:9" ht="40" hidden="1">
      <c r="A143" s="345">
        <v>166</v>
      </c>
      <c r="B143" s="346" t="s">
        <v>621</v>
      </c>
      <c r="C143" s="347">
        <v>2000</v>
      </c>
      <c r="D143" s="348">
        <v>46419</v>
      </c>
      <c r="E143" s="348">
        <v>46419</v>
      </c>
      <c r="F143" s="346" t="s">
        <v>598</v>
      </c>
      <c r="G143" s="349" t="s">
        <v>667</v>
      </c>
      <c r="H143" s="350">
        <f t="shared" si="2"/>
        <v>2000</v>
      </c>
      <c r="I143" s="120" t="str">
        <f>IF(OR(D143&lt;Capa!$A$5,D143&gt;Capa!$A$7,E143&lt;Capa!$A$5,E143&gt;Capa!$A$7,D143&gt;E143),"Erro","")</f>
        <v/>
      </c>
    </row>
    <row r="144" spans="1:9" ht="30" hidden="1">
      <c r="A144" s="345">
        <v>167</v>
      </c>
      <c r="B144" s="346" t="s">
        <v>619</v>
      </c>
      <c r="C144" s="347">
        <v>70</v>
      </c>
      <c r="D144" s="348">
        <v>45658</v>
      </c>
      <c r="E144" s="348">
        <v>47058</v>
      </c>
      <c r="F144" s="346" t="s">
        <v>598</v>
      </c>
      <c r="G144" s="349" t="s">
        <v>663</v>
      </c>
      <c r="H144" s="350">
        <f t="shared" si="2"/>
        <v>3290</v>
      </c>
      <c r="I144" s="120" t="str">
        <f>IF(OR(D144&lt;Capa!$A$5,D144&gt;Capa!$A$7,E144&lt;Capa!$A$5,E144&gt;Capa!$A$7,D144&gt;E144),"Erro","")</f>
        <v/>
      </c>
    </row>
    <row r="145" spans="1:9" ht="30" hidden="1">
      <c r="A145" s="345">
        <v>170</v>
      </c>
      <c r="B145" s="346" t="s">
        <v>617</v>
      </c>
      <c r="C145" s="347">
        <v>200</v>
      </c>
      <c r="D145" s="348">
        <v>45658</v>
      </c>
      <c r="E145" s="348">
        <v>47058</v>
      </c>
      <c r="F145" s="346" t="s">
        <v>598</v>
      </c>
      <c r="G145" s="349" t="s">
        <v>639</v>
      </c>
      <c r="H145" s="350">
        <f t="shared" si="2"/>
        <v>9400</v>
      </c>
      <c r="I145" s="120" t="str">
        <f>IF(OR(D145&lt;Capa!$A$5,D145&gt;Capa!$A$7,E145&lt;Capa!$A$5,E145&gt;Capa!$A$7,D145&gt;E145),"Erro","")</f>
        <v/>
      </c>
    </row>
    <row r="146" spans="1:9" ht="20" hidden="1">
      <c r="A146" s="345">
        <v>171</v>
      </c>
      <c r="B146" s="346" t="s">
        <v>618</v>
      </c>
      <c r="C146" s="347">
        <v>2500</v>
      </c>
      <c r="D146" s="348">
        <v>45658</v>
      </c>
      <c r="E146" s="348">
        <v>47058</v>
      </c>
      <c r="F146" s="346" t="s">
        <v>598</v>
      </c>
      <c r="G146" s="349" t="s">
        <v>657</v>
      </c>
      <c r="H146" s="350">
        <f t="shared" si="2"/>
        <v>117500</v>
      </c>
      <c r="I146" s="120" t="str">
        <f>IF(OR(D146&lt;Capa!$A$5,D146&gt;Capa!$A$7,E146&lt;Capa!$A$5,E146&gt;Capa!$A$7,D146&gt;E146),"Erro","")</f>
        <v/>
      </c>
    </row>
    <row r="147" spans="1:9" ht="30" hidden="1">
      <c r="A147" s="345">
        <v>173</v>
      </c>
      <c r="B147" s="346" t="s">
        <v>623</v>
      </c>
      <c r="C147" s="347">
        <v>650</v>
      </c>
      <c r="D147" s="348">
        <v>45658</v>
      </c>
      <c r="E147" s="348">
        <v>46784</v>
      </c>
      <c r="F147" s="346" t="s">
        <v>598</v>
      </c>
      <c r="G147" s="349" t="s">
        <v>658</v>
      </c>
      <c r="H147" s="350">
        <f t="shared" ref="H147" si="3">IFERROR((DATEDIF(D147,E147,"M")+1)*C147,0)</f>
        <v>24700</v>
      </c>
      <c r="I147" s="120" t="str">
        <f>IF(OR(D147&lt;Capa!$A$5,D147&gt;Capa!$A$7,E147&lt;Capa!$A$5,E147&gt;Capa!$A$7,D147&gt;E147),"Erro","")</f>
        <v/>
      </c>
    </row>
    <row r="148" spans="1:9" ht="20" hidden="1">
      <c r="A148" s="345">
        <v>174</v>
      </c>
      <c r="B148" s="346" t="s">
        <v>625</v>
      </c>
      <c r="C148" s="347">
        <v>90</v>
      </c>
      <c r="D148" s="348">
        <v>45658</v>
      </c>
      <c r="E148" s="348">
        <v>47058</v>
      </c>
      <c r="F148" s="346" t="s">
        <v>598</v>
      </c>
      <c r="G148" s="349" t="s">
        <v>659</v>
      </c>
      <c r="H148" s="350">
        <f t="shared" si="2"/>
        <v>4230</v>
      </c>
      <c r="I148" s="120" t="str">
        <f>IF(OR(D148&lt;Capa!$A$5,D148&gt;Capa!$A$7,E148&lt;Capa!$A$5,E148&gt;Capa!$A$7,D148&gt;E148),"Erro","")</f>
        <v/>
      </c>
    </row>
    <row r="149" spans="1:9" ht="20" hidden="1">
      <c r="A149" s="345">
        <v>175</v>
      </c>
      <c r="B149" s="346" t="s">
        <v>627</v>
      </c>
      <c r="C149" s="347">
        <v>50</v>
      </c>
      <c r="D149" s="348">
        <v>45658</v>
      </c>
      <c r="E149" s="348">
        <v>47058</v>
      </c>
      <c r="F149" s="346" t="s">
        <v>598</v>
      </c>
      <c r="G149" s="349" t="s">
        <v>661</v>
      </c>
      <c r="H149" s="350">
        <f t="shared" si="2"/>
        <v>2350</v>
      </c>
      <c r="I149" s="120" t="str">
        <f>IF(OR(D149&lt;Capa!$A$5,D149&gt;Capa!$A$7,E149&lt;Capa!$A$5,E149&gt;Capa!$A$7,D149&gt;E149),"Erro","")</f>
        <v/>
      </c>
    </row>
    <row r="150" spans="1:9" ht="30" hidden="1">
      <c r="A150" s="345">
        <v>176</v>
      </c>
      <c r="B150" s="346" t="s">
        <v>626</v>
      </c>
      <c r="C150" s="347">
        <v>350</v>
      </c>
      <c r="D150" s="348">
        <v>45658</v>
      </c>
      <c r="E150" s="348">
        <v>47058</v>
      </c>
      <c r="F150" s="346" t="s">
        <v>598</v>
      </c>
      <c r="G150" s="349" t="s">
        <v>660</v>
      </c>
      <c r="H150" s="350">
        <f t="shared" si="2"/>
        <v>16450</v>
      </c>
      <c r="I150" s="120" t="str">
        <f>IF(OR(D150&lt;Capa!$A$5,D150&gt;Capa!$A$7,E150&lt;Capa!$A$5,E150&gt;Capa!$A$7,D150&gt;E150),"Erro","")</f>
        <v/>
      </c>
    </row>
    <row r="151" spans="1:9" ht="20" hidden="1">
      <c r="A151" s="345">
        <v>178</v>
      </c>
      <c r="B151" s="346" t="s">
        <v>198</v>
      </c>
      <c r="C151" s="347">
        <v>9133.3489800000007</v>
      </c>
      <c r="D151" s="348">
        <v>45658</v>
      </c>
      <c r="E151" s="348">
        <v>45992</v>
      </c>
      <c r="F151" s="346" t="s">
        <v>599</v>
      </c>
      <c r="G151" s="349" t="s">
        <v>437</v>
      </c>
      <c r="H151" s="350">
        <f t="shared" si="2"/>
        <v>109600.18776</v>
      </c>
      <c r="I151" s="120" t="str">
        <f>IF(OR(D151&lt;Capa!$A$5,D151&gt;Capa!$A$7,E151&lt;Capa!$A$5,E151&gt;Capa!$A$7,D151&gt;E151),"Erro","")</f>
        <v/>
      </c>
    </row>
    <row r="152" spans="1:9" ht="20" hidden="1">
      <c r="A152" s="345">
        <v>179</v>
      </c>
      <c r="B152" s="346" t="s">
        <v>198</v>
      </c>
      <c r="C152" s="347">
        <v>9590.17</v>
      </c>
      <c r="D152" s="348">
        <v>46023</v>
      </c>
      <c r="E152" s="348">
        <v>46357</v>
      </c>
      <c r="F152" s="346" t="s">
        <v>599</v>
      </c>
      <c r="G152" s="349" t="s">
        <v>437</v>
      </c>
      <c r="H152" s="350">
        <f t="shared" si="2"/>
        <v>115082.04000000001</v>
      </c>
      <c r="I152" s="120" t="str">
        <f>IF(OR(D152&lt;Capa!$A$5,D152&gt;Capa!$A$7,E152&lt;Capa!$A$5,E152&gt;Capa!$A$7,D152&gt;E152),"Erro","")</f>
        <v/>
      </c>
    </row>
    <row r="153" spans="1:9" ht="20" hidden="1">
      <c r="A153" s="345">
        <v>180</v>
      </c>
      <c r="B153" s="346" t="s">
        <v>198</v>
      </c>
      <c r="C153" s="347">
        <v>10069.52</v>
      </c>
      <c r="D153" s="348">
        <v>46388</v>
      </c>
      <c r="E153" s="348">
        <v>46722</v>
      </c>
      <c r="F153" s="346" t="s">
        <v>599</v>
      </c>
      <c r="G153" s="349" t="s">
        <v>437</v>
      </c>
      <c r="H153" s="350">
        <f t="shared" si="2"/>
        <v>120834.24000000001</v>
      </c>
      <c r="I153" s="120" t="str">
        <f>IF(OR(D153&lt;Capa!$A$5,D153&gt;Capa!$A$7,E153&lt;Capa!$A$5,E153&gt;Capa!$A$7,D153&gt;E153),"Erro","")</f>
        <v/>
      </c>
    </row>
    <row r="154" spans="1:9" ht="20" hidden="1">
      <c r="A154" s="345">
        <v>181</v>
      </c>
      <c r="B154" s="346" t="s">
        <v>198</v>
      </c>
      <c r="C154" s="347">
        <v>6500</v>
      </c>
      <c r="D154" s="348">
        <v>46753</v>
      </c>
      <c r="E154" s="348">
        <v>47058</v>
      </c>
      <c r="F154" s="346" t="s">
        <v>599</v>
      </c>
      <c r="G154" s="349" t="s">
        <v>437</v>
      </c>
      <c r="H154" s="350">
        <f t="shared" si="2"/>
        <v>71500</v>
      </c>
      <c r="I154" s="120" t="str">
        <f>IF(OR(D154&lt;Capa!$A$5,D154&gt;Capa!$A$7,E154&lt;Capa!$A$5,E154&gt;Capa!$A$7,D154&gt;E154),"Erro","")</f>
        <v/>
      </c>
    </row>
    <row r="155" spans="1:9" ht="20" hidden="1">
      <c r="A155" s="345">
        <v>182</v>
      </c>
      <c r="B155" s="346" t="s">
        <v>202</v>
      </c>
      <c r="C155" s="347">
        <v>1500</v>
      </c>
      <c r="D155" s="348">
        <v>45658</v>
      </c>
      <c r="E155" s="348">
        <v>45992</v>
      </c>
      <c r="F155" s="346" t="s">
        <v>599</v>
      </c>
      <c r="G155" s="349" t="s">
        <v>438</v>
      </c>
      <c r="H155" s="350">
        <f t="shared" si="2"/>
        <v>18000</v>
      </c>
      <c r="I155" s="120" t="str">
        <f>IF(OR(D155&lt;Capa!$A$5,D155&gt;Capa!$A$7,E155&lt;Capa!$A$5,E155&gt;Capa!$A$7,D155&gt;E155),"Erro","")</f>
        <v/>
      </c>
    </row>
    <row r="156" spans="1:9" ht="20" hidden="1">
      <c r="A156" s="345">
        <v>183</v>
      </c>
      <c r="B156" s="346" t="s">
        <v>202</v>
      </c>
      <c r="C156" s="347">
        <v>1300</v>
      </c>
      <c r="D156" s="348">
        <v>46023</v>
      </c>
      <c r="E156" s="348">
        <v>46357</v>
      </c>
      <c r="F156" s="346" t="s">
        <v>599</v>
      </c>
      <c r="G156" s="349" t="s">
        <v>438</v>
      </c>
      <c r="H156" s="350">
        <f t="shared" si="2"/>
        <v>15600</v>
      </c>
      <c r="I156" s="120" t="str">
        <f>IF(OR(D156&lt;Capa!$A$5,D156&gt;Capa!$A$7,E156&lt;Capa!$A$5,E156&gt;Capa!$A$7,D156&gt;E156),"Erro","")</f>
        <v/>
      </c>
    </row>
    <row r="157" spans="1:9" ht="20" hidden="1">
      <c r="A157" s="345">
        <v>184</v>
      </c>
      <c r="B157" s="346" t="s">
        <v>202</v>
      </c>
      <c r="C157" s="347">
        <v>1300</v>
      </c>
      <c r="D157" s="348">
        <v>46388</v>
      </c>
      <c r="E157" s="348">
        <v>46722</v>
      </c>
      <c r="F157" s="346" t="s">
        <v>599</v>
      </c>
      <c r="G157" s="349" t="s">
        <v>438</v>
      </c>
      <c r="H157" s="350">
        <f t="shared" si="2"/>
        <v>15600</v>
      </c>
      <c r="I157" s="120" t="str">
        <f>IF(OR(D157&lt;Capa!$A$5,D157&gt;Capa!$A$7,E157&lt;Capa!$A$5,E157&gt;Capa!$A$7,D157&gt;E157),"Erro","")</f>
        <v/>
      </c>
    </row>
    <row r="158" spans="1:9" ht="20" hidden="1">
      <c r="A158" s="345">
        <v>185</v>
      </c>
      <c r="B158" s="346" t="s">
        <v>202</v>
      </c>
      <c r="C158" s="347">
        <v>750</v>
      </c>
      <c r="D158" s="348">
        <v>46753</v>
      </c>
      <c r="E158" s="348">
        <v>47058</v>
      </c>
      <c r="F158" s="346" t="s">
        <v>599</v>
      </c>
      <c r="G158" s="349" t="s">
        <v>438</v>
      </c>
      <c r="H158" s="350">
        <f t="shared" si="2"/>
        <v>8250</v>
      </c>
      <c r="I158" s="120" t="str">
        <f>IF(OR(D158&lt;Capa!$A$5,D158&gt;Capa!$A$7,E158&lt;Capa!$A$5,E158&gt;Capa!$A$7,D158&gt;E158),"Erro","")</f>
        <v/>
      </c>
    </row>
    <row r="159" spans="1:9" ht="20" hidden="1">
      <c r="A159" s="345">
        <v>186</v>
      </c>
      <c r="B159" s="346" t="s">
        <v>204</v>
      </c>
      <c r="C159" s="347">
        <v>1250</v>
      </c>
      <c r="D159" s="348">
        <v>45658</v>
      </c>
      <c r="E159" s="348">
        <v>45992</v>
      </c>
      <c r="F159" s="346" t="s">
        <v>599</v>
      </c>
      <c r="G159" s="349" t="s">
        <v>438</v>
      </c>
      <c r="H159" s="350">
        <f t="shared" si="2"/>
        <v>15000</v>
      </c>
      <c r="I159" s="120" t="str">
        <f>IF(OR(D159&lt;Capa!$A$5,D159&gt;Capa!$A$7,E159&lt;Capa!$A$5,E159&gt;Capa!$A$7,D159&gt;E159),"Erro","")</f>
        <v/>
      </c>
    </row>
    <row r="160" spans="1:9" ht="20" hidden="1">
      <c r="A160" s="345">
        <v>187</v>
      </c>
      <c r="B160" s="346" t="s">
        <v>204</v>
      </c>
      <c r="C160" s="347">
        <v>1250</v>
      </c>
      <c r="D160" s="348">
        <v>46023</v>
      </c>
      <c r="E160" s="348">
        <v>46357</v>
      </c>
      <c r="F160" s="346" t="s">
        <v>599</v>
      </c>
      <c r="G160" s="349" t="s">
        <v>438</v>
      </c>
      <c r="H160" s="350">
        <f t="shared" si="2"/>
        <v>15000</v>
      </c>
      <c r="I160" s="120" t="str">
        <f>IF(OR(D160&lt;Capa!$A$5,D160&gt;Capa!$A$7,E160&lt;Capa!$A$5,E160&gt;Capa!$A$7,D160&gt;E160),"Erro","")</f>
        <v/>
      </c>
    </row>
    <row r="161" spans="1:9" ht="20" hidden="1">
      <c r="A161" s="345">
        <v>188</v>
      </c>
      <c r="B161" s="346" t="s">
        <v>204</v>
      </c>
      <c r="C161" s="347">
        <v>1250</v>
      </c>
      <c r="D161" s="348">
        <v>46388</v>
      </c>
      <c r="E161" s="348">
        <v>46722</v>
      </c>
      <c r="F161" s="346" t="s">
        <v>599</v>
      </c>
      <c r="G161" s="349" t="s">
        <v>438</v>
      </c>
      <c r="H161" s="350">
        <f t="shared" si="2"/>
        <v>15000</v>
      </c>
      <c r="I161" s="120" t="str">
        <f>IF(OR(D161&lt;Capa!$A$5,D161&gt;Capa!$A$7,E161&lt;Capa!$A$5,E161&gt;Capa!$A$7,D161&gt;E161),"Erro","")</f>
        <v/>
      </c>
    </row>
    <row r="162" spans="1:9" ht="20" hidden="1">
      <c r="A162" s="345">
        <v>189</v>
      </c>
      <c r="B162" s="346" t="s">
        <v>204</v>
      </c>
      <c r="C162" s="347">
        <v>780</v>
      </c>
      <c r="D162" s="348">
        <v>46753</v>
      </c>
      <c r="E162" s="348">
        <v>47058</v>
      </c>
      <c r="F162" s="346" t="s">
        <v>599</v>
      </c>
      <c r="G162" s="349" t="s">
        <v>438</v>
      </c>
      <c r="H162" s="350">
        <f t="shared" si="2"/>
        <v>8580</v>
      </c>
      <c r="I162" s="120" t="str">
        <f>IF(OR(D162&lt;Capa!$A$5,D162&gt;Capa!$A$7,E162&lt;Capa!$A$5,E162&gt;Capa!$A$7,D162&gt;E162),"Erro","")</f>
        <v/>
      </c>
    </row>
    <row r="163" spans="1:9" ht="20" hidden="1">
      <c r="A163" s="345">
        <v>191</v>
      </c>
      <c r="B163" s="346" t="s">
        <v>206</v>
      </c>
      <c r="C163" s="347">
        <v>1600</v>
      </c>
      <c r="D163" s="348">
        <v>45658</v>
      </c>
      <c r="E163" s="348">
        <v>45992</v>
      </c>
      <c r="F163" s="346" t="s">
        <v>599</v>
      </c>
      <c r="G163" s="349" t="s">
        <v>439</v>
      </c>
      <c r="H163" s="350">
        <f t="shared" si="2"/>
        <v>19200</v>
      </c>
      <c r="I163" s="120" t="str">
        <f>IF(OR(D163&lt;Capa!$A$5,D163&gt;Capa!$A$7,E163&lt;Capa!$A$5,E163&gt;Capa!$A$7,D163&gt;E163),"Erro","")</f>
        <v/>
      </c>
    </row>
    <row r="164" spans="1:9" ht="20" hidden="1">
      <c r="A164" s="345">
        <v>192</v>
      </c>
      <c r="B164" s="346" t="s">
        <v>206</v>
      </c>
      <c r="C164" s="347">
        <v>1600</v>
      </c>
      <c r="D164" s="348">
        <v>46023</v>
      </c>
      <c r="E164" s="348">
        <v>46357</v>
      </c>
      <c r="F164" s="346" t="s">
        <v>599</v>
      </c>
      <c r="G164" s="349" t="s">
        <v>439</v>
      </c>
      <c r="H164" s="350">
        <f t="shared" si="2"/>
        <v>19200</v>
      </c>
      <c r="I164" s="120" t="str">
        <f>IF(OR(D164&lt;Capa!$A$5,D164&gt;Capa!$A$7,E164&lt;Capa!$A$5,E164&gt;Capa!$A$7,D164&gt;E164),"Erro","")</f>
        <v/>
      </c>
    </row>
    <row r="165" spans="1:9" ht="20" hidden="1">
      <c r="A165" s="345">
        <v>193</v>
      </c>
      <c r="B165" s="346" t="s">
        <v>206</v>
      </c>
      <c r="C165" s="347">
        <v>1600</v>
      </c>
      <c r="D165" s="348">
        <v>46388</v>
      </c>
      <c r="E165" s="348">
        <v>46722</v>
      </c>
      <c r="F165" s="346" t="s">
        <v>599</v>
      </c>
      <c r="G165" s="349" t="s">
        <v>439</v>
      </c>
      <c r="H165" s="350">
        <f t="shared" si="2"/>
        <v>19200</v>
      </c>
      <c r="I165" s="120" t="str">
        <f>IF(OR(D165&lt;Capa!$A$5,D165&gt;Capa!$A$7,E165&lt;Capa!$A$5,E165&gt;Capa!$A$7,D165&gt;E165),"Erro","")</f>
        <v/>
      </c>
    </row>
    <row r="166" spans="1:9" ht="20" hidden="1">
      <c r="A166" s="345">
        <v>194</v>
      </c>
      <c r="B166" s="346" t="s">
        <v>206</v>
      </c>
      <c r="C166" s="347">
        <v>800</v>
      </c>
      <c r="D166" s="348">
        <v>46753</v>
      </c>
      <c r="E166" s="348">
        <v>47058</v>
      </c>
      <c r="F166" s="346" t="s">
        <v>599</v>
      </c>
      <c r="G166" s="349" t="s">
        <v>439</v>
      </c>
      <c r="H166" s="350">
        <f t="shared" si="2"/>
        <v>8800</v>
      </c>
      <c r="I166" s="120" t="str">
        <f>IF(OR(D166&lt;Capa!$A$5,D166&gt;Capa!$A$7,E166&lt;Capa!$A$5,E166&gt;Capa!$A$7,D166&gt;E166),"Erro","")</f>
        <v/>
      </c>
    </row>
    <row r="167" spans="1:9" ht="20" hidden="1">
      <c r="A167" s="345">
        <v>196</v>
      </c>
      <c r="B167" s="346" t="s">
        <v>208</v>
      </c>
      <c r="C167" s="347">
        <v>630</v>
      </c>
      <c r="D167" s="348">
        <v>45658</v>
      </c>
      <c r="E167" s="348">
        <v>45992</v>
      </c>
      <c r="F167" s="346" t="s">
        <v>599</v>
      </c>
      <c r="G167" s="349" t="s">
        <v>439</v>
      </c>
      <c r="H167" s="350">
        <f t="shared" si="2"/>
        <v>7560</v>
      </c>
      <c r="I167" s="120" t="str">
        <f>IF(OR(D167&lt;Capa!$A$5,D167&gt;Capa!$A$7,E167&lt;Capa!$A$5,E167&gt;Capa!$A$7,D167&gt;E167),"Erro","")</f>
        <v/>
      </c>
    </row>
    <row r="168" spans="1:9" ht="20" hidden="1">
      <c r="A168" s="345">
        <v>197</v>
      </c>
      <c r="B168" s="346" t="s">
        <v>208</v>
      </c>
      <c r="C168" s="347">
        <v>630</v>
      </c>
      <c r="D168" s="348">
        <v>46023</v>
      </c>
      <c r="E168" s="348">
        <v>46357</v>
      </c>
      <c r="F168" s="346" t="s">
        <v>599</v>
      </c>
      <c r="G168" s="349" t="s">
        <v>439</v>
      </c>
      <c r="H168" s="350">
        <f t="shared" si="2"/>
        <v>7560</v>
      </c>
      <c r="I168" s="120" t="str">
        <f>IF(OR(D168&lt;Capa!$A$5,D168&gt;Capa!$A$7,E168&lt;Capa!$A$5,E168&gt;Capa!$A$7,D168&gt;E168),"Erro","")</f>
        <v/>
      </c>
    </row>
    <row r="169" spans="1:9" ht="20" hidden="1">
      <c r="A169" s="345">
        <v>198</v>
      </c>
      <c r="B169" s="346" t="s">
        <v>208</v>
      </c>
      <c r="C169" s="347">
        <v>630</v>
      </c>
      <c r="D169" s="348">
        <v>46388</v>
      </c>
      <c r="E169" s="348">
        <v>46722</v>
      </c>
      <c r="F169" s="346" t="s">
        <v>599</v>
      </c>
      <c r="G169" s="349" t="s">
        <v>439</v>
      </c>
      <c r="H169" s="350">
        <f t="shared" si="2"/>
        <v>7560</v>
      </c>
      <c r="I169" s="120" t="str">
        <f>IF(OR(D169&lt;Capa!$A$5,D169&gt;Capa!$A$7,E169&lt;Capa!$A$5,E169&gt;Capa!$A$7,D169&gt;E169),"Erro","")</f>
        <v/>
      </c>
    </row>
    <row r="170" spans="1:9" ht="20" hidden="1">
      <c r="A170" s="345">
        <v>199</v>
      </c>
      <c r="B170" s="346" t="s">
        <v>208</v>
      </c>
      <c r="C170" s="347">
        <v>630</v>
      </c>
      <c r="D170" s="348">
        <v>46753</v>
      </c>
      <c r="E170" s="348">
        <v>47058</v>
      </c>
      <c r="F170" s="346" t="s">
        <v>599</v>
      </c>
      <c r="G170" s="349" t="s">
        <v>439</v>
      </c>
      <c r="H170" s="350">
        <f t="shared" si="2"/>
        <v>6930</v>
      </c>
      <c r="I170" s="120" t="str">
        <f>IF(OR(D170&lt;Capa!$A$5,D170&gt;Capa!$A$7,E170&lt;Capa!$A$5,E170&gt;Capa!$A$7,D170&gt;E170),"Erro","")</f>
        <v/>
      </c>
    </row>
    <row r="171" spans="1:9" ht="20" hidden="1">
      <c r="A171" s="345">
        <v>201</v>
      </c>
      <c r="B171" s="346" t="s">
        <v>210</v>
      </c>
      <c r="C171" s="347">
        <v>60</v>
      </c>
      <c r="D171" s="348">
        <v>45658</v>
      </c>
      <c r="E171" s="348">
        <v>45992</v>
      </c>
      <c r="F171" s="346" t="s">
        <v>599</v>
      </c>
      <c r="G171" s="349" t="s">
        <v>439</v>
      </c>
      <c r="H171" s="350">
        <f t="shared" si="2"/>
        <v>720</v>
      </c>
      <c r="I171" s="120" t="str">
        <f>IF(OR(D171&lt;Capa!$A$5,D171&gt;Capa!$A$7,E171&lt;Capa!$A$5,E171&gt;Capa!$A$7,D171&gt;E171),"Erro","")</f>
        <v/>
      </c>
    </row>
    <row r="172" spans="1:9" ht="20" hidden="1">
      <c r="A172" s="345">
        <v>202</v>
      </c>
      <c r="B172" s="346" t="s">
        <v>210</v>
      </c>
      <c r="C172" s="347">
        <v>60</v>
      </c>
      <c r="D172" s="348">
        <v>46023</v>
      </c>
      <c r="E172" s="348">
        <v>46357</v>
      </c>
      <c r="F172" s="346" t="s">
        <v>599</v>
      </c>
      <c r="G172" s="349" t="s">
        <v>439</v>
      </c>
      <c r="H172" s="350">
        <f t="shared" ref="H172:H222" si="4">IFERROR((DATEDIF(D172,E172,"M")+1)*C172,0)</f>
        <v>720</v>
      </c>
      <c r="I172" s="120" t="str">
        <f>IF(OR(D172&lt;Capa!$A$5,D172&gt;Capa!$A$7,E172&lt;Capa!$A$5,E172&gt;Capa!$A$7,D172&gt;E172),"Erro","")</f>
        <v/>
      </c>
    </row>
    <row r="173" spans="1:9" ht="20" hidden="1">
      <c r="A173" s="345">
        <v>203</v>
      </c>
      <c r="B173" s="346" t="s">
        <v>210</v>
      </c>
      <c r="C173" s="347">
        <v>60</v>
      </c>
      <c r="D173" s="348">
        <v>46388</v>
      </c>
      <c r="E173" s="348">
        <v>46722</v>
      </c>
      <c r="F173" s="346" t="s">
        <v>599</v>
      </c>
      <c r="G173" s="349" t="s">
        <v>439</v>
      </c>
      <c r="H173" s="350">
        <f t="shared" si="4"/>
        <v>720</v>
      </c>
      <c r="I173" s="120" t="str">
        <f>IF(OR(D173&lt;Capa!$A$5,D173&gt;Capa!$A$7,E173&lt;Capa!$A$5,E173&gt;Capa!$A$7,D173&gt;E173),"Erro","")</f>
        <v/>
      </c>
    </row>
    <row r="174" spans="1:9" ht="20" hidden="1">
      <c r="A174" s="345">
        <v>204</v>
      </c>
      <c r="B174" s="346" t="s">
        <v>210</v>
      </c>
      <c r="C174" s="347">
        <v>49</v>
      </c>
      <c r="D174" s="348">
        <v>46753</v>
      </c>
      <c r="E174" s="348">
        <v>47058</v>
      </c>
      <c r="F174" s="346" t="s">
        <v>599</v>
      </c>
      <c r="G174" s="349" t="s">
        <v>439</v>
      </c>
      <c r="H174" s="350">
        <f t="shared" si="4"/>
        <v>539</v>
      </c>
      <c r="I174" s="120" t="str">
        <f>IF(OR(D174&lt;Capa!$A$5,D174&gt;Capa!$A$7,E174&lt;Capa!$A$5,E174&gt;Capa!$A$7,D174&gt;E174),"Erro","")</f>
        <v/>
      </c>
    </row>
    <row r="175" spans="1:9" ht="20" hidden="1">
      <c r="A175" s="345">
        <v>206</v>
      </c>
      <c r="B175" s="346" t="s">
        <v>214</v>
      </c>
      <c r="C175" s="347">
        <v>140</v>
      </c>
      <c r="D175" s="348">
        <v>45658</v>
      </c>
      <c r="E175" s="348">
        <v>45992</v>
      </c>
      <c r="F175" s="346" t="s">
        <v>599</v>
      </c>
      <c r="G175" s="349" t="s">
        <v>439</v>
      </c>
      <c r="H175" s="350">
        <f t="shared" si="4"/>
        <v>1680</v>
      </c>
      <c r="I175" s="120" t="str">
        <f>IF(OR(D175&lt;Capa!$A$5,D175&gt;Capa!$A$7,E175&lt;Capa!$A$5,E175&gt;Capa!$A$7,D175&gt;E175),"Erro","")</f>
        <v/>
      </c>
    </row>
    <row r="176" spans="1:9" ht="20" hidden="1">
      <c r="A176" s="345">
        <v>207</v>
      </c>
      <c r="B176" s="346" t="s">
        <v>214</v>
      </c>
      <c r="C176" s="347">
        <v>140</v>
      </c>
      <c r="D176" s="348">
        <v>46023</v>
      </c>
      <c r="E176" s="348">
        <v>46357</v>
      </c>
      <c r="F176" s="346" t="s">
        <v>599</v>
      </c>
      <c r="G176" s="349" t="s">
        <v>439</v>
      </c>
      <c r="H176" s="350">
        <f t="shared" si="4"/>
        <v>1680</v>
      </c>
      <c r="I176" s="120" t="str">
        <f>IF(OR(D176&lt;Capa!$A$5,D176&gt;Capa!$A$7,E176&lt;Capa!$A$5,E176&gt;Capa!$A$7,D176&gt;E176),"Erro","")</f>
        <v/>
      </c>
    </row>
    <row r="177" spans="1:9" ht="20" hidden="1">
      <c r="A177" s="345">
        <v>208</v>
      </c>
      <c r="B177" s="346" t="s">
        <v>214</v>
      </c>
      <c r="C177" s="347">
        <v>140</v>
      </c>
      <c r="D177" s="348">
        <v>46388</v>
      </c>
      <c r="E177" s="348">
        <v>46722</v>
      </c>
      <c r="F177" s="346" t="s">
        <v>599</v>
      </c>
      <c r="G177" s="349" t="s">
        <v>439</v>
      </c>
      <c r="H177" s="350">
        <f t="shared" si="4"/>
        <v>1680</v>
      </c>
      <c r="I177" s="120" t="str">
        <f>IF(OR(D177&lt;Capa!$A$5,D177&gt;Capa!$A$7,E177&lt;Capa!$A$5,E177&gt;Capa!$A$7,D177&gt;E177),"Erro","")</f>
        <v/>
      </c>
    </row>
    <row r="178" spans="1:9" ht="20" hidden="1">
      <c r="A178" s="345">
        <v>209</v>
      </c>
      <c r="B178" s="346" t="s">
        <v>214</v>
      </c>
      <c r="C178" s="347">
        <v>70</v>
      </c>
      <c r="D178" s="348">
        <v>46753</v>
      </c>
      <c r="E178" s="348">
        <v>47058</v>
      </c>
      <c r="F178" s="346" t="s">
        <v>599</v>
      </c>
      <c r="G178" s="349" t="s">
        <v>439</v>
      </c>
      <c r="H178" s="350">
        <f t="shared" si="4"/>
        <v>770</v>
      </c>
      <c r="I178" s="120" t="str">
        <f>IF(OR(D178&lt;Capa!$A$5,D178&gt;Capa!$A$7,E178&lt;Capa!$A$5,E178&gt;Capa!$A$7,D178&gt;E178),"Erro","")</f>
        <v/>
      </c>
    </row>
    <row r="179" spans="1:9" ht="50" hidden="1">
      <c r="A179" s="345">
        <v>212</v>
      </c>
      <c r="B179" s="346" t="s">
        <v>212</v>
      </c>
      <c r="C179" s="347">
        <v>260</v>
      </c>
      <c r="D179" s="348">
        <v>45658</v>
      </c>
      <c r="E179" s="348">
        <v>45992</v>
      </c>
      <c r="F179" s="346" t="s">
        <v>599</v>
      </c>
      <c r="G179" s="349" t="s">
        <v>493</v>
      </c>
      <c r="H179" s="350">
        <f t="shared" si="4"/>
        <v>3120</v>
      </c>
      <c r="I179" s="120" t="str">
        <f>IF(OR(D179&lt;Capa!$A$5,D179&gt;Capa!$A$7,E179&lt;Capa!$A$5,E179&gt;Capa!$A$7,D179&gt;E179),"Erro","")</f>
        <v/>
      </c>
    </row>
    <row r="180" spans="1:9" ht="50" hidden="1">
      <c r="A180" s="345">
        <v>213</v>
      </c>
      <c r="B180" s="346" t="s">
        <v>212</v>
      </c>
      <c r="C180" s="347">
        <v>260</v>
      </c>
      <c r="D180" s="348">
        <v>46023</v>
      </c>
      <c r="E180" s="348">
        <v>46357</v>
      </c>
      <c r="F180" s="346" t="s">
        <v>599</v>
      </c>
      <c r="G180" s="349" t="s">
        <v>493</v>
      </c>
      <c r="H180" s="350">
        <f t="shared" si="4"/>
        <v>3120</v>
      </c>
      <c r="I180" s="120" t="str">
        <f>IF(OR(D180&lt;Capa!$A$5,D180&gt;Capa!$A$7,E180&lt;Capa!$A$5,E180&gt;Capa!$A$7,D180&gt;E180),"Erro","")</f>
        <v/>
      </c>
    </row>
    <row r="181" spans="1:9" ht="50" hidden="1">
      <c r="A181" s="345">
        <v>214</v>
      </c>
      <c r="B181" s="346" t="s">
        <v>212</v>
      </c>
      <c r="C181" s="347">
        <v>260</v>
      </c>
      <c r="D181" s="348">
        <v>46388</v>
      </c>
      <c r="E181" s="348">
        <v>46722</v>
      </c>
      <c r="F181" s="346" t="s">
        <v>599</v>
      </c>
      <c r="G181" s="349" t="s">
        <v>493</v>
      </c>
      <c r="H181" s="350">
        <f t="shared" si="4"/>
        <v>3120</v>
      </c>
      <c r="I181" s="120" t="str">
        <f>IF(OR(D181&lt;Capa!$A$5,D181&gt;Capa!$A$7,E181&lt;Capa!$A$5,E181&gt;Capa!$A$7,D181&gt;E181),"Erro","")</f>
        <v/>
      </c>
    </row>
    <row r="182" spans="1:9" ht="50" hidden="1">
      <c r="A182" s="345">
        <v>215</v>
      </c>
      <c r="B182" s="346" t="s">
        <v>212</v>
      </c>
      <c r="C182" s="347">
        <v>220</v>
      </c>
      <c r="D182" s="348">
        <v>46753</v>
      </c>
      <c r="E182" s="348">
        <v>47058</v>
      </c>
      <c r="F182" s="346" t="s">
        <v>599</v>
      </c>
      <c r="G182" s="349" t="s">
        <v>493</v>
      </c>
      <c r="H182" s="350">
        <f t="shared" si="4"/>
        <v>2420</v>
      </c>
      <c r="I182" s="120" t="str">
        <f>IF(OR(D182&lt;Capa!$A$5,D182&gt;Capa!$A$7,E182&lt;Capa!$A$5,E182&gt;Capa!$A$7,D182&gt;E182),"Erro","")</f>
        <v/>
      </c>
    </row>
    <row r="183" spans="1:9" ht="40" hidden="1">
      <c r="A183" s="345">
        <v>216</v>
      </c>
      <c r="B183" s="346" t="s">
        <v>248</v>
      </c>
      <c r="C183" s="347">
        <v>846</v>
      </c>
      <c r="D183" s="348">
        <v>45658</v>
      </c>
      <c r="E183" s="348">
        <v>45809</v>
      </c>
      <c r="F183" s="346" t="s">
        <v>599</v>
      </c>
      <c r="G183" s="349" t="s">
        <v>440</v>
      </c>
      <c r="H183" s="350">
        <f t="shared" si="4"/>
        <v>5076</v>
      </c>
      <c r="I183" s="120" t="str">
        <f>IF(OR(D183&lt;Capa!$A$5,D183&gt;Capa!$A$7,E183&lt;Capa!$A$5,E183&gt;Capa!$A$7,D183&gt;E183),"Erro","")</f>
        <v/>
      </c>
    </row>
    <row r="184" spans="1:9" ht="40" hidden="1">
      <c r="A184" s="345">
        <v>217</v>
      </c>
      <c r="B184" s="346" t="s">
        <v>248</v>
      </c>
      <c r="C184" s="347">
        <v>846</v>
      </c>
      <c r="D184" s="348">
        <v>46023</v>
      </c>
      <c r="E184" s="348">
        <v>46174</v>
      </c>
      <c r="F184" s="346" t="s">
        <v>599</v>
      </c>
      <c r="G184" s="349" t="s">
        <v>440</v>
      </c>
      <c r="H184" s="350">
        <f t="shared" si="4"/>
        <v>5076</v>
      </c>
      <c r="I184" s="120" t="str">
        <f>IF(OR(D184&lt;Capa!$A$5,D184&gt;Capa!$A$7,E184&lt;Capa!$A$5,E184&gt;Capa!$A$7,D184&gt;E184),"Erro","")</f>
        <v/>
      </c>
    </row>
    <row r="185" spans="1:9" ht="40" hidden="1">
      <c r="A185" s="345">
        <v>218</v>
      </c>
      <c r="B185" s="346" t="s">
        <v>248</v>
      </c>
      <c r="C185" s="347">
        <v>846</v>
      </c>
      <c r="D185" s="348">
        <v>46388</v>
      </c>
      <c r="E185" s="348">
        <v>46539</v>
      </c>
      <c r="F185" s="346" t="s">
        <v>599</v>
      </c>
      <c r="G185" s="349" t="s">
        <v>440</v>
      </c>
      <c r="H185" s="350">
        <f t="shared" si="4"/>
        <v>5076</v>
      </c>
      <c r="I185" s="120" t="str">
        <f>IF(OR(D185&lt;Capa!$A$5,D185&gt;Capa!$A$7,E185&lt;Capa!$A$5,E185&gt;Capa!$A$7,D185&gt;E185),"Erro","")</f>
        <v/>
      </c>
    </row>
    <row r="186" spans="1:9" ht="40" hidden="1">
      <c r="A186" s="345">
        <v>219</v>
      </c>
      <c r="B186" s="346" t="s">
        <v>248</v>
      </c>
      <c r="C186" s="347">
        <v>500</v>
      </c>
      <c r="D186" s="348">
        <v>46753</v>
      </c>
      <c r="E186" s="348">
        <v>46905</v>
      </c>
      <c r="F186" s="346" t="s">
        <v>599</v>
      </c>
      <c r="G186" s="349" t="s">
        <v>440</v>
      </c>
      <c r="H186" s="350">
        <f t="shared" si="4"/>
        <v>3000</v>
      </c>
      <c r="I186" s="120" t="str">
        <f>IF(OR(D186&lt;Capa!$A$5,D186&gt;Capa!$A$7,E186&lt;Capa!$A$5,E186&gt;Capa!$A$7,D186&gt;E186),"Erro","")</f>
        <v/>
      </c>
    </row>
    <row r="187" spans="1:9" ht="30" hidden="1">
      <c r="A187" s="345">
        <v>220</v>
      </c>
      <c r="B187" s="346" t="s">
        <v>266</v>
      </c>
      <c r="C187" s="347">
        <v>1500</v>
      </c>
      <c r="D187" s="348">
        <v>45658</v>
      </c>
      <c r="E187" s="348">
        <v>45658</v>
      </c>
      <c r="F187" s="346" t="s">
        <v>599</v>
      </c>
      <c r="G187" s="349" t="s">
        <v>441</v>
      </c>
      <c r="H187" s="350">
        <f t="shared" si="4"/>
        <v>1500</v>
      </c>
      <c r="I187" s="120" t="str">
        <f>IF(OR(D187&lt;Capa!$A$5,D187&gt;Capa!$A$7,E187&lt;Capa!$A$5,E187&gt;Capa!$A$7,D187&gt;E187),"Erro","")</f>
        <v/>
      </c>
    </row>
    <row r="188" spans="1:9" ht="30" hidden="1">
      <c r="A188" s="345">
        <v>221</v>
      </c>
      <c r="B188" s="346" t="s">
        <v>266</v>
      </c>
      <c r="C188" s="347">
        <v>1500</v>
      </c>
      <c r="D188" s="348">
        <v>46023</v>
      </c>
      <c r="E188" s="348">
        <v>46023</v>
      </c>
      <c r="F188" s="346" t="s">
        <v>599</v>
      </c>
      <c r="G188" s="349" t="s">
        <v>441</v>
      </c>
      <c r="H188" s="350">
        <f t="shared" si="4"/>
        <v>1500</v>
      </c>
      <c r="I188" s="120" t="str">
        <f>IF(OR(D188&lt;Capa!$A$5,D188&gt;Capa!$A$7,E188&lt;Capa!$A$5,E188&gt;Capa!$A$7,D188&gt;E188),"Erro","")</f>
        <v/>
      </c>
    </row>
    <row r="189" spans="1:9" ht="30" hidden="1">
      <c r="A189" s="345">
        <v>222</v>
      </c>
      <c r="B189" s="346" t="s">
        <v>266</v>
      </c>
      <c r="C189" s="347">
        <v>1500</v>
      </c>
      <c r="D189" s="348">
        <v>46388</v>
      </c>
      <c r="E189" s="348">
        <v>46388</v>
      </c>
      <c r="F189" s="346" t="s">
        <v>599</v>
      </c>
      <c r="G189" s="349" t="s">
        <v>441</v>
      </c>
      <c r="H189" s="350">
        <f t="shared" si="4"/>
        <v>1500</v>
      </c>
      <c r="I189" s="120" t="str">
        <f>IF(OR(D189&lt;Capa!$A$5,D189&gt;Capa!$A$7,E189&lt;Capa!$A$5,E189&gt;Capa!$A$7,D189&gt;E189),"Erro","")</f>
        <v/>
      </c>
    </row>
    <row r="190" spans="1:9" ht="30" hidden="1">
      <c r="A190" s="345">
        <v>223</v>
      </c>
      <c r="B190" s="346" t="s">
        <v>266</v>
      </c>
      <c r="C190" s="347">
        <v>750</v>
      </c>
      <c r="D190" s="348">
        <v>46753</v>
      </c>
      <c r="E190" s="348">
        <v>46753</v>
      </c>
      <c r="F190" s="346" t="s">
        <v>599</v>
      </c>
      <c r="G190" s="349" t="s">
        <v>441</v>
      </c>
      <c r="H190" s="350">
        <f t="shared" si="4"/>
        <v>750</v>
      </c>
      <c r="I190" s="120" t="str">
        <f>IF(OR(D190&lt;Capa!$A$5,D190&gt;Capa!$A$7,E190&lt;Capa!$A$5,E190&gt;Capa!$A$7,D190&gt;E190),"Erro","")</f>
        <v/>
      </c>
    </row>
    <row r="191" spans="1:9" hidden="1">
      <c r="A191" s="345">
        <v>225</v>
      </c>
      <c r="B191" s="346" t="s">
        <v>274</v>
      </c>
      <c r="C191" s="347">
        <v>850</v>
      </c>
      <c r="D191" s="348">
        <v>45658</v>
      </c>
      <c r="E191" s="348">
        <v>45992</v>
      </c>
      <c r="F191" s="346" t="s">
        <v>599</v>
      </c>
      <c r="G191" s="349" t="s">
        <v>442</v>
      </c>
      <c r="H191" s="350">
        <f t="shared" si="4"/>
        <v>10200</v>
      </c>
      <c r="I191" s="120" t="str">
        <f>IF(OR(D191&lt;Capa!$A$5,D191&gt;Capa!$A$7,E191&lt;Capa!$A$5,E191&gt;Capa!$A$7,D191&gt;E191),"Erro","")</f>
        <v/>
      </c>
    </row>
    <row r="192" spans="1:9" hidden="1">
      <c r="A192" s="345">
        <v>226</v>
      </c>
      <c r="B192" s="346" t="s">
        <v>274</v>
      </c>
      <c r="C192" s="347">
        <v>850</v>
      </c>
      <c r="D192" s="348">
        <v>46023</v>
      </c>
      <c r="E192" s="348">
        <v>46357</v>
      </c>
      <c r="F192" s="346" t="s">
        <v>599</v>
      </c>
      <c r="G192" s="349" t="s">
        <v>442</v>
      </c>
      <c r="H192" s="350">
        <f t="shared" si="4"/>
        <v>10200</v>
      </c>
      <c r="I192" s="120" t="str">
        <f>IF(OR(D192&lt;Capa!$A$5,D192&gt;Capa!$A$7,E192&lt;Capa!$A$5,E192&gt;Capa!$A$7,D192&gt;E192),"Erro","")</f>
        <v/>
      </c>
    </row>
    <row r="193" spans="1:9" hidden="1">
      <c r="A193" s="345">
        <v>227</v>
      </c>
      <c r="B193" s="346" t="s">
        <v>274</v>
      </c>
      <c r="C193" s="347">
        <v>850</v>
      </c>
      <c r="D193" s="348">
        <v>46388</v>
      </c>
      <c r="E193" s="348">
        <v>46722</v>
      </c>
      <c r="F193" s="346" t="s">
        <v>599</v>
      </c>
      <c r="G193" s="349" t="s">
        <v>442</v>
      </c>
      <c r="H193" s="350">
        <f t="shared" si="4"/>
        <v>10200</v>
      </c>
      <c r="I193" s="120" t="str">
        <f>IF(OR(D193&lt;Capa!$A$5,D193&gt;Capa!$A$7,E193&lt;Capa!$A$5,E193&gt;Capa!$A$7,D193&gt;E193),"Erro","")</f>
        <v/>
      </c>
    </row>
    <row r="194" spans="1:9" hidden="1">
      <c r="A194" s="345">
        <v>228</v>
      </c>
      <c r="B194" s="346" t="s">
        <v>274</v>
      </c>
      <c r="C194" s="347">
        <v>450</v>
      </c>
      <c r="D194" s="348">
        <v>46753</v>
      </c>
      <c r="E194" s="348">
        <v>47058</v>
      </c>
      <c r="F194" s="346" t="s">
        <v>599</v>
      </c>
      <c r="G194" s="349" t="s">
        <v>442</v>
      </c>
      <c r="H194" s="350">
        <f t="shared" si="4"/>
        <v>4950</v>
      </c>
      <c r="I194" s="120" t="str">
        <f>IF(OR(D194&lt;Capa!$A$5,D194&gt;Capa!$A$7,E194&lt;Capa!$A$5,E194&gt;Capa!$A$7,D194&gt;E194),"Erro","")</f>
        <v/>
      </c>
    </row>
    <row r="195" spans="1:9" ht="40" hidden="1">
      <c r="A195" s="345">
        <v>231</v>
      </c>
      <c r="B195" s="346" t="s">
        <v>236</v>
      </c>
      <c r="C195" s="347">
        <v>450</v>
      </c>
      <c r="D195" s="348">
        <v>45658</v>
      </c>
      <c r="E195" s="348">
        <v>45992</v>
      </c>
      <c r="F195" s="346" t="s">
        <v>599</v>
      </c>
      <c r="G195" s="349" t="s">
        <v>443</v>
      </c>
      <c r="H195" s="350">
        <f t="shared" si="4"/>
        <v>5400</v>
      </c>
      <c r="I195" s="120" t="str">
        <f>IF(OR(D195&lt;Capa!$A$5,D195&gt;Capa!$A$7,E195&lt;Capa!$A$5,E195&gt;Capa!$A$7,D195&gt;E195),"Erro","")</f>
        <v/>
      </c>
    </row>
    <row r="196" spans="1:9" ht="40" hidden="1">
      <c r="A196" s="345">
        <v>232</v>
      </c>
      <c r="B196" s="346" t="s">
        <v>236</v>
      </c>
      <c r="C196" s="347">
        <v>450</v>
      </c>
      <c r="D196" s="348">
        <v>46023</v>
      </c>
      <c r="E196" s="348">
        <v>46357</v>
      </c>
      <c r="F196" s="346" t="s">
        <v>599</v>
      </c>
      <c r="G196" s="349" t="s">
        <v>443</v>
      </c>
      <c r="H196" s="350">
        <f t="shared" si="4"/>
        <v>5400</v>
      </c>
      <c r="I196" s="120" t="str">
        <f>IF(OR(D196&lt;Capa!$A$5,D196&gt;Capa!$A$7,E196&lt;Capa!$A$5,E196&gt;Capa!$A$7,D196&gt;E196),"Erro","")</f>
        <v/>
      </c>
    </row>
    <row r="197" spans="1:9" ht="40" hidden="1">
      <c r="A197" s="345">
        <v>233</v>
      </c>
      <c r="B197" s="346" t="s">
        <v>236</v>
      </c>
      <c r="C197" s="347">
        <v>450</v>
      </c>
      <c r="D197" s="348">
        <v>46388</v>
      </c>
      <c r="E197" s="348">
        <v>46722</v>
      </c>
      <c r="F197" s="346" t="s">
        <v>599</v>
      </c>
      <c r="G197" s="349" t="s">
        <v>443</v>
      </c>
      <c r="H197" s="350">
        <f t="shared" si="4"/>
        <v>5400</v>
      </c>
      <c r="I197" s="120" t="str">
        <f>IF(OR(D197&lt;Capa!$A$5,D197&gt;Capa!$A$7,E197&lt;Capa!$A$5,E197&gt;Capa!$A$7,D197&gt;E197),"Erro","")</f>
        <v/>
      </c>
    </row>
    <row r="198" spans="1:9" ht="40" hidden="1">
      <c r="A198" s="345">
        <v>234</v>
      </c>
      <c r="B198" s="346" t="s">
        <v>236</v>
      </c>
      <c r="C198" s="347">
        <v>200</v>
      </c>
      <c r="D198" s="348">
        <v>46753</v>
      </c>
      <c r="E198" s="348">
        <v>47058</v>
      </c>
      <c r="F198" s="346" t="s">
        <v>599</v>
      </c>
      <c r="G198" s="349" t="s">
        <v>443</v>
      </c>
      <c r="H198" s="350">
        <f t="shared" si="4"/>
        <v>2200</v>
      </c>
      <c r="I198" s="120" t="str">
        <f>IF(OR(D198&lt;Capa!$A$5,D198&gt;Capa!$A$7,E198&lt;Capa!$A$5,E198&gt;Capa!$A$7,D198&gt;E198),"Erro","")</f>
        <v/>
      </c>
    </row>
    <row r="199" spans="1:9" ht="30" hidden="1">
      <c r="A199" s="345">
        <v>236</v>
      </c>
      <c r="B199" s="346" t="s">
        <v>240</v>
      </c>
      <c r="C199" s="347">
        <v>50</v>
      </c>
      <c r="D199" s="348">
        <v>45658</v>
      </c>
      <c r="E199" s="348">
        <v>45992</v>
      </c>
      <c r="F199" s="346" t="s">
        <v>599</v>
      </c>
      <c r="G199" s="349" t="s">
        <v>444</v>
      </c>
      <c r="H199" s="350">
        <f t="shared" si="4"/>
        <v>600</v>
      </c>
      <c r="I199" s="120" t="str">
        <f>IF(OR(D199&lt;Capa!$A$5,D199&gt;Capa!$A$7,E199&lt;Capa!$A$5,E199&gt;Capa!$A$7,D199&gt;E199),"Erro","")</f>
        <v/>
      </c>
    </row>
    <row r="200" spans="1:9" ht="30" hidden="1">
      <c r="A200" s="345">
        <v>237</v>
      </c>
      <c r="B200" s="346" t="s">
        <v>240</v>
      </c>
      <c r="C200" s="347">
        <v>50</v>
      </c>
      <c r="D200" s="348">
        <v>46023</v>
      </c>
      <c r="E200" s="348">
        <v>46357</v>
      </c>
      <c r="F200" s="346" t="s">
        <v>599</v>
      </c>
      <c r="G200" s="349" t="s">
        <v>444</v>
      </c>
      <c r="H200" s="350">
        <f t="shared" si="4"/>
        <v>600</v>
      </c>
      <c r="I200" s="120" t="str">
        <f>IF(OR(D200&lt;Capa!$A$5,D200&gt;Capa!$A$7,E200&lt;Capa!$A$5,E200&gt;Capa!$A$7,D200&gt;E200),"Erro","")</f>
        <v/>
      </c>
    </row>
    <row r="201" spans="1:9" ht="30" hidden="1">
      <c r="A201" s="345">
        <v>238</v>
      </c>
      <c r="B201" s="346" t="s">
        <v>240</v>
      </c>
      <c r="C201" s="347">
        <v>50</v>
      </c>
      <c r="D201" s="348">
        <v>46388</v>
      </c>
      <c r="E201" s="348">
        <v>46722</v>
      </c>
      <c r="F201" s="346" t="s">
        <v>599</v>
      </c>
      <c r="G201" s="349" t="s">
        <v>444</v>
      </c>
      <c r="H201" s="350">
        <f t="shared" si="4"/>
        <v>600</v>
      </c>
      <c r="I201" s="120" t="str">
        <f>IF(OR(D201&lt;Capa!$A$5,D201&gt;Capa!$A$7,E201&lt;Capa!$A$5,E201&gt;Capa!$A$7,D201&gt;E201),"Erro","")</f>
        <v/>
      </c>
    </row>
    <row r="202" spans="1:9" ht="30" hidden="1">
      <c r="A202" s="345">
        <v>239</v>
      </c>
      <c r="B202" s="346" t="s">
        <v>240</v>
      </c>
      <c r="C202" s="347">
        <v>25</v>
      </c>
      <c r="D202" s="348">
        <v>46753</v>
      </c>
      <c r="E202" s="348">
        <v>47058</v>
      </c>
      <c r="F202" s="346" t="s">
        <v>599</v>
      </c>
      <c r="G202" s="349" t="s">
        <v>444</v>
      </c>
      <c r="H202" s="350">
        <f t="shared" si="4"/>
        <v>275</v>
      </c>
      <c r="I202" s="120" t="str">
        <f>IF(OR(D202&lt;Capa!$A$5,D202&gt;Capa!$A$7,E202&lt;Capa!$A$5,E202&gt;Capa!$A$7,D202&gt;E202),"Erro","")</f>
        <v/>
      </c>
    </row>
    <row r="203" spans="1:9" ht="30" hidden="1">
      <c r="A203" s="345">
        <v>241</v>
      </c>
      <c r="B203" s="346" t="s">
        <v>244</v>
      </c>
      <c r="C203" s="347">
        <v>250</v>
      </c>
      <c r="D203" s="348">
        <v>45658</v>
      </c>
      <c r="E203" s="348">
        <v>45992</v>
      </c>
      <c r="F203" s="346" t="s">
        <v>599</v>
      </c>
      <c r="G203" s="349" t="s">
        <v>445</v>
      </c>
      <c r="H203" s="350">
        <f t="shared" si="4"/>
        <v>3000</v>
      </c>
      <c r="I203" s="120" t="str">
        <f>IF(OR(D203&lt;Capa!$A$5,D203&gt;Capa!$A$7,E203&lt;Capa!$A$5,E203&gt;Capa!$A$7,D203&gt;E203),"Erro","")</f>
        <v/>
      </c>
    </row>
    <row r="204" spans="1:9" ht="30" hidden="1">
      <c r="A204" s="345">
        <v>242</v>
      </c>
      <c r="B204" s="346" t="s">
        <v>244</v>
      </c>
      <c r="C204" s="347">
        <v>250</v>
      </c>
      <c r="D204" s="348">
        <v>46023</v>
      </c>
      <c r="E204" s="348">
        <v>46357</v>
      </c>
      <c r="F204" s="346" t="s">
        <v>599</v>
      </c>
      <c r="G204" s="349" t="s">
        <v>445</v>
      </c>
      <c r="H204" s="350">
        <f t="shared" si="4"/>
        <v>3000</v>
      </c>
      <c r="I204" s="120" t="str">
        <f>IF(OR(D204&lt;Capa!$A$5,D204&gt;Capa!$A$7,E204&lt;Capa!$A$5,E204&gt;Capa!$A$7,D204&gt;E204),"Erro","")</f>
        <v/>
      </c>
    </row>
    <row r="205" spans="1:9" ht="30" hidden="1">
      <c r="A205" s="345">
        <v>243</v>
      </c>
      <c r="B205" s="346" t="s">
        <v>244</v>
      </c>
      <c r="C205" s="347">
        <v>250</v>
      </c>
      <c r="D205" s="348">
        <v>46388</v>
      </c>
      <c r="E205" s="348">
        <v>46722</v>
      </c>
      <c r="F205" s="346" t="s">
        <v>599</v>
      </c>
      <c r="G205" s="349" t="s">
        <v>445</v>
      </c>
      <c r="H205" s="350">
        <f t="shared" si="4"/>
        <v>3000</v>
      </c>
      <c r="I205" s="120" t="str">
        <f>IF(OR(D205&lt;Capa!$A$5,D205&gt;Capa!$A$7,E205&lt;Capa!$A$5,E205&gt;Capa!$A$7,D205&gt;E205),"Erro","")</f>
        <v/>
      </c>
    </row>
    <row r="206" spans="1:9" ht="30" hidden="1">
      <c r="A206" s="345">
        <v>244</v>
      </c>
      <c r="B206" s="346" t="s">
        <v>244</v>
      </c>
      <c r="C206" s="347">
        <v>125</v>
      </c>
      <c r="D206" s="348">
        <v>46753</v>
      </c>
      <c r="E206" s="348">
        <v>47058</v>
      </c>
      <c r="F206" s="346" t="s">
        <v>599</v>
      </c>
      <c r="G206" s="349" t="s">
        <v>445</v>
      </c>
      <c r="H206" s="350">
        <f t="shared" si="4"/>
        <v>1375</v>
      </c>
      <c r="I206" s="120" t="str">
        <f>IF(OR(D206&lt;Capa!$A$5,D206&gt;Capa!$A$7,E206&lt;Capa!$A$5,E206&gt;Capa!$A$7,D206&gt;E206),"Erro","")</f>
        <v/>
      </c>
    </row>
    <row r="207" spans="1:9" ht="20" hidden="1">
      <c r="A207" s="345">
        <v>245</v>
      </c>
      <c r="B207" s="346" t="s">
        <v>246</v>
      </c>
      <c r="C207" s="347">
        <v>390</v>
      </c>
      <c r="D207" s="348">
        <v>45658</v>
      </c>
      <c r="E207" s="348">
        <v>45992</v>
      </c>
      <c r="F207" s="346" t="s">
        <v>599</v>
      </c>
      <c r="G207" s="349" t="s">
        <v>446</v>
      </c>
      <c r="H207" s="350">
        <f t="shared" si="4"/>
        <v>4680</v>
      </c>
      <c r="I207" s="120" t="str">
        <f>IF(OR(D207&lt;Capa!$A$5,D207&gt;Capa!$A$7,E207&lt;Capa!$A$5,E207&gt;Capa!$A$7,D207&gt;E207),"Erro","")</f>
        <v/>
      </c>
    </row>
    <row r="208" spans="1:9" ht="20" hidden="1">
      <c r="A208" s="345">
        <v>246</v>
      </c>
      <c r="B208" s="346" t="s">
        <v>246</v>
      </c>
      <c r="C208" s="347">
        <v>390</v>
      </c>
      <c r="D208" s="348">
        <v>46023</v>
      </c>
      <c r="E208" s="348">
        <v>46357</v>
      </c>
      <c r="F208" s="346" t="s">
        <v>599</v>
      </c>
      <c r="G208" s="349" t="s">
        <v>446</v>
      </c>
      <c r="H208" s="350">
        <f t="shared" si="4"/>
        <v>4680</v>
      </c>
      <c r="I208" s="120" t="str">
        <f>IF(OR(D208&lt;Capa!$A$5,D208&gt;Capa!$A$7,E208&lt;Capa!$A$5,E208&gt;Capa!$A$7,D208&gt;E208),"Erro","")</f>
        <v/>
      </c>
    </row>
    <row r="209" spans="1:9" ht="20" hidden="1">
      <c r="A209" s="345">
        <v>247</v>
      </c>
      <c r="B209" s="346" t="s">
        <v>246</v>
      </c>
      <c r="C209" s="347">
        <v>390</v>
      </c>
      <c r="D209" s="348">
        <v>46388</v>
      </c>
      <c r="E209" s="348">
        <v>46722</v>
      </c>
      <c r="F209" s="346" t="s">
        <v>599</v>
      </c>
      <c r="G209" s="349" t="s">
        <v>446</v>
      </c>
      <c r="H209" s="350">
        <f t="shared" si="4"/>
        <v>4680</v>
      </c>
      <c r="I209" s="120" t="str">
        <f>IF(OR(D209&lt;Capa!$A$5,D209&gt;Capa!$A$7,E209&lt;Capa!$A$5,E209&gt;Capa!$A$7,D209&gt;E209),"Erro","")</f>
        <v/>
      </c>
    </row>
    <row r="210" spans="1:9" ht="20" hidden="1">
      <c r="A210" s="345">
        <v>248</v>
      </c>
      <c r="B210" s="346" t="s">
        <v>246</v>
      </c>
      <c r="C210" s="347">
        <v>190</v>
      </c>
      <c r="D210" s="348">
        <v>46753</v>
      </c>
      <c r="E210" s="348">
        <v>47058</v>
      </c>
      <c r="F210" s="346" t="s">
        <v>599</v>
      </c>
      <c r="G210" s="349" t="s">
        <v>446</v>
      </c>
      <c r="H210" s="350">
        <f t="shared" si="4"/>
        <v>2090</v>
      </c>
      <c r="I210" s="120" t="str">
        <f>IF(OR(D210&lt;Capa!$A$5,D210&gt;Capa!$A$7,E210&lt;Capa!$A$5,E210&gt;Capa!$A$7,D210&gt;E210),"Erro","")</f>
        <v/>
      </c>
    </row>
    <row r="211" spans="1:9" ht="30" hidden="1">
      <c r="A211" s="345">
        <v>250</v>
      </c>
      <c r="B211" s="346" t="s">
        <v>258</v>
      </c>
      <c r="C211" s="347">
        <v>50</v>
      </c>
      <c r="D211" s="348">
        <v>45658</v>
      </c>
      <c r="E211" s="348">
        <v>45992</v>
      </c>
      <c r="F211" s="346" t="s">
        <v>599</v>
      </c>
      <c r="G211" s="349" t="s">
        <v>447</v>
      </c>
      <c r="H211" s="350">
        <f t="shared" si="4"/>
        <v>600</v>
      </c>
      <c r="I211" s="120" t="str">
        <f>IF(OR(D211&lt;Capa!$A$5,D211&gt;Capa!$A$7,E211&lt;Capa!$A$5,E211&gt;Capa!$A$7,D211&gt;E211),"Erro","")</f>
        <v/>
      </c>
    </row>
    <row r="212" spans="1:9" ht="30" hidden="1">
      <c r="A212" s="345">
        <v>251</v>
      </c>
      <c r="B212" s="346" t="s">
        <v>258</v>
      </c>
      <c r="C212" s="347">
        <v>50</v>
      </c>
      <c r="D212" s="348">
        <v>46023</v>
      </c>
      <c r="E212" s="348">
        <v>46357</v>
      </c>
      <c r="F212" s="346" t="s">
        <v>599</v>
      </c>
      <c r="G212" s="349" t="s">
        <v>447</v>
      </c>
      <c r="H212" s="350">
        <f t="shared" si="4"/>
        <v>600</v>
      </c>
      <c r="I212" s="120" t="str">
        <f>IF(OR(D212&lt;Capa!$A$5,D212&gt;Capa!$A$7,E212&lt;Capa!$A$5,E212&gt;Capa!$A$7,D212&gt;E212),"Erro","")</f>
        <v/>
      </c>
    </row>
    <row r="213" spans="1:9" ht="30" hidden="1">
      <c r="A213" s="345">
        <v>252</v>
      </c>
      <c r="B213" s="346" t="s">
        <v>258</v>
      </c>
      <c r="C213" s="347">
        <v>50</v>
      </c>
      <c r="D213" s="348">
        <v>46388</v>
      </c>
      <c r="E213" s="348">
        <v>46722</v>
      </c>
      <c r="F213" s="346" t="s">
        <v>599</v>
      </c>
      <c r="G213" s="349" t="s">
        <v>447</v>
      </c>
      <c r="H213" s="350">
        <f t="shared" si="4"/>
        <v>600</v>
      </c>
      <c r="I213" s="120" t="str">
        <f>IF(OR(D213&lt;Capa!$A$5,D213&gt;Capa!$A$7,E213&lt;Capa!$A$5,E213&gt;Capa!$A$7,D213&gt;E213),"Erro","")</f>
        <v/>
      </c>
    </row>
    <row r="214" spans="1:9" ht="30" hidden="1">
      <c r="A214" s="345">
        <v>253</v>
      </c>
      <c r="B214" s="346" t="s">
        <v>258</v>
      </c>
      <c r="C214" s="347">
        <v>20</v>
      </c>
      <c r="D214" s="348">
        <v>46753</v>
      </c>
      <c r="E214" s="348">
        <v>47058</v>
      </c>
      <c r="F214" s="346" t="s">
        <v>599</v>
      </c>
      <c r="G214" s="349" t="s">
        <v>447</v>
      </c>
      <c r="H214" s="350">
        <f t="shared" si="4"/>
        <v>220</v>
      </c>
      <c r="I214" s="120" t="str">
        <f>IF(OR(D214&lt;Capa!$A$5,D214&gt;Capa!$A$7,E214&lt;Capa!$A$5,E214&gt;Capa!$A$7,D214&gt;E214),"Erro","")</f>
        <v/>
      </c>
    </row>
    <row r="215" spans="1:9" ht="40" hidden="1">
      <c r="A215" s="345">
        <v>254</v>
      </c>
      <c r="B215" s="346" t="s">
        <v>276</v>
      </c>
      <c r="C215" s="347">
        <v>500</v>
      </c>
      <c r="D215" s="348">
        <v>45658</v>
      </c>
      <c r="E215" s="348">
        <v>45717</v>
      </c>
      <c r="F215" s="346" t="s">
        <v>599</v>
      </c>
      <c r="G215" s="349" t="s">
        <v>448</v>
      </c>
      <c r="H215" s="350">
        <f t="shared" si="4"/>
        <v>1500</v>
      </c>
      <c r="I215" s="120" t="str">
        <f>IF(OR(D215&lt;Capa!$A$5,D215&gt;Capa!$A$7,E215&lt;Capa!$A$5,E215&gt;Capa!$A$7,D215&gt;E215),"Erro","")</f>
        <v/>
      </c>
    </row>
    <row r="216" spans="1:9" ht="40" hidden="1">
      <c r="A216" s="345">
        <v>255</v>
      </c>
      <c r="B216" s="346" t="s">
        <v>276</v>
      </c>
      <c r="C216" s="347">
        <v>500</v>
      </c>
      <c r="D216" s="348">
        <v>46023</v>
      </c>
      <c r="E216" s="348">
        <v>46082</v>
      </c>
      <c r="F216" s="346" t="s">
        <v>599</v>
      </c>
      <c r="G216" s="349" t="s">
        <v>448</v>
      </c>
      <c r="H216" s="350">
        <f t="shared" si="4"/>
        <v>1500</v>
      </c>
      <c r="I216" s="120" t="str">
        <f>IF(OR(D216&lt;Capa!$A$5,D216&gt;Capa!$A$7,E216&lt;Capa!$A$5,E216&gt;Capa!$A$7,D216&gt;E216),"Erro","")</f>
        <v/>
      </c>
    </row>
    <row r="217" spans="1:9" ht="40" hidden="1">
      <c r="A217" s="345">
        <v>256</v>
      </c>
      <c r="B217" s="346" t="s">
        <v>276</v>
      </c>
      <c r="C217" s="347">
        <v>500</v>
      </c>
      <c r="D217" s="348">
        <v>46388</v>
      </c>
      <c r="E217" s="348">
        <v>46447</v>
      </c>
      <c r="F217" s="346" t="s">
        <v>599</v>
      </c>
      <c r="G217" s="349" t="s">
        <v>448</v>
      </c>
      <c r="H217" s="350">
        <f t="shared" si="4"/>
        <v>1500</v>
      </c>
      <c r="I217" s="120" t="str">
        <f>IF(OR(D217&lt;Capa!$A$5,D217&gt;Capa!$A$7,E217&lt;Capa!$A$5,E217&gt;Capa!$A$7,D217&gt;E217),"Erro","")</f>
        <v/>
      </c>
    </row>
    <row r="218" spans="1:9" ht="40" hidden="1">
      <c r="A218" s="345">
        <v>257</v>
      </c>
      <c r="B218" s="346" t="s">
        <v>276</v>
      </c>
      <c r="C218" s="347">
        <v>250</v>
      </c>
      <c r="D218" s="348">
        <v>46753</v>
      </c>
      <c r="E218" s="348">
        <v>46813</v>
      </c>
      <c r="F218" s="346" t="s">
        <v>599</v>
      </c>
      <c r="G218" s="349" t="s">
        <v>448</v>
      </c>
      <c r="H218" s="350">
        <f t="shared" si="4"/>
        <v>750</v>
      </c>
      <c r="I218" s="120" t="str">
        <f>IF(OR(D218&lt;Capa!$A$5,D218&gt;Capa!$A$7,E218&lt;Capa!$A$5,E218&gt;Capa!$A$7,D218&gt;E218),"Erro","")</f>
        <v/>
      </c>
    </row>
    <row r="219" spans="1:9" ht="40">
      <c r="A219" s="345">
        <v>259</v>
      </c>
      <c r="B219" s="346" t="s">
        <v>278</v>
      </c>
      <c r="C219" s="347">
        <v>34000</v>
      </c>
      <c r="D219" s="348">
        <v>45658</v>
      </c>
      <c r="E219" s="348">
        <v>45992</v>
      </c>
      <c r="F219" s="346" t="s">
        <v>599</v>
      </c>
      <c r="G219" s="349" t="s">
        <v>449</v>
      </c>
      <c r="H219" s="350">
        <f t="shared" si="4"/>
        <v>408000</v>
      </c>
      <c r="I219" s="120" t="str">
        <f>IF(OR(D219&lt;Capa!$A$5,D219&gt;Capa!$A$7,E219&lt;Capa!$A$5,E219&gt;Capa!$A$7,D219&gt;E219),"Erro","")</f>
        <v/>
      </c>
    </row>
    <row r="220" spans="1:9" ht="40">
      <c r="A220" s="345">
        <v>260</v>
      </c>
      <c r="B220" s="346" t="s">
        <v>278</v>
      </c>
      <c r="C220" s="347">
        <v>34000</v>
      </c>
      <c r="D220" s="348">
        <v>46023</v>
      </c>
      <c r="E220" s="348">
        <v>46357</v>
      </c>
      <c r="F220" s="346" t="s">
        <v>599</v>
      </c>
      <c r="G220" s="349" t="s">
        <v>449</v>
      </c>
      <c r="H220" s="350">
        <f t="shared" si="4"/>
        <v>408000</v>
      </c>
      <c r="I220" s="120" t="str">
        <f>IF(OR(D220&lt;Capa!$A$5,D220&gt;Capa!$A$7,E220&lt;Capa!$A$5,E220&gt;Capa!$A$7,D220&gt;E220),"Erro","")</f>
        <v/>
      </c>
    </row>
    <row r="221" spans="1:9" ht="40">
      <c r="A221" s="345">
        <v>261</v>
      </c>
      <c r="B221" s="346" t="s">
        <v>278</v>
      </c>
      <c r="C221" s="347">
        <v>34000</v>
      </c>
      <c r="D221" s="348">
        <v>46388</v>
      </c>
      <c r="E221" s="348">
        <v>46722</v>
      </c>
      <c r="F221" s="346" t="s">
        <v>599</v>
      </c>
      <c r="G221" s="349" t="s">
        <v>449</v>
      </c>
      <c r="H221" s="350">
        <f t="shared" si="4"/>
        <v>408000</v>
      </c>
      <c r="I221" s="120" t="str">
        <f>IF(OR(D221&lt;Capa!$A$5,D221&gt;Capa!$A$7,E221&lt;Capa!$A$5,E221&gt;Capa!$A$7,D221&gt;E221),"Erro","")</f>
        <v/>
      </c>
    </row>
    <row r="222" spans="1:9" ht="40">
      <c r="A222" s="345">
        <v>262</v>
      </c>
      <c r="B222" s="346" t="s">
        <v>278</v>
      </c>
      <c r="C222" s="347">
        <v>18500</v>
      </c>
      <c r="D222" s="348">
        <v>46753</v>
      </c>
      <c r="E222" s="348">
        <v>47058</v>
      </c>
      <c r="F222" s="346" t="s">
        <v>599</v>
      </c>
      <c r="G222" s="349" t="s">
        <v>449</v>
      </c>
      <c r="H222" s="350">
        <f t="shared" si="4"/>
        <v>203500</v>
      </c>
      <c r="I222" s="120" t="str">
        <f>IF(OR(D222&lt;Capa!$A$5,D222&gt;Capa!$A$7,E222&lt;Capa!$A$5,E222&gt;Capa!$A$7,D222&gt;E222),"Erro","")</f>
        <v/>
      </c>
    </row>
    <row r="223" spans="1:9" ht="40" hidden="1">
      <c r="A223" s="345">
        <v>264</v>
      </c>
      <c r="B223" s="346" t="s">
        <v>280</v>
      </c>
      <c r="C223" s="347">
        <v>100</v>
      </c>
      <c r="D223" s="348">
        <v>45658</v>
      </c>
      <c r="E223" s="348">
        <v>45992</v>
      </c>
      <c r="F223" s="346" t="s">
        <v>599</v>
      </c>
      <c r="G223" s="349" t="s">
        <v>450</v>
      </c>
      <c r="H223" s="350">
        <f t="shared" ref="H223:H270" si="5">IFERROR((DATEDIF(D223,E223,"M")+1)*C223,0)</f>
        <v>1200</v>
      </c>
      <c r="I223" s="120" t="str">
        <f>IF(OR(D223&lt;Capa!$A$5,D223&gt;Capa!$A$7,E223&lt;Capa!$A$5,E223&gt;Capa!$A$7,D223&gt;E223),"Erro","")</f>
        <v/>
      </c>
    </row>
    <row r="224" spans="1:9" ht="40" hidden="1">
      <c r="A224" s="345">
        <v>265</v>
      </c>
      <c r="B224" s="346" t="s">
        <v>280</v>
      </c>
      <c r="C224" s="347">
        <v>100</v>
      </c>
      <c r="D224" s="348">
        <v>46023</v>
      </c>
      <c r="E224" s="348">
        <v>46357</v>
      </c>
      <c r="F224" s="346" t="s">
        <v>599</v>
      </c>
      <c r="G224" s="349" t="s">
        <v>450</v>
      </c>
      <c r="H224" s="350">
        <f t="shared" si="5"/>
        <v>1200</v>
      </c>
      <c r="I224" s="120" t="str">
        <f>IF(OR(D224&lt;Capa!$A$5,D224&gt;Capa!$A$7,E224&lt;Capa!$A$5,E224&gt;Capa!$A$7,D224&gt;E224),"Erro","")</f>
        <v/>
      </c>
    </row>
    <row r="225" spans="1:9" ht="40" hidden="1">
      <c r="A225" s="345">
        <v>266</v>
      </c>
      <c r="B225" s="346" t="s">
        <v>280</v>
      </c>
      <c r="C225" s="347">
        <v>100</v>
      </c>
      <c r="D225" s="348">
        <v>46388</v>
      </c>
      <c r="E225" s="348">
        <v>46722</v>
      </c>
      <c r="F225" s="346" t="s">
        <v>599</v>
      </c>
      <c r="G225" s="349" t="s">
        <v>450</v>
      </c>
      <c r="H225" s="350">
        <f t="shared" si="5"/>
        <v>1200</v>
      </c>
      <c r="I225" s="120" t="str">
        <f>IF(OR(D225&lt;Capa!$A$5,D225&gt;Capa!$A$7,E225&lt;Capa!$A$5,E225&gt;Capa!$A$7,D225&gt;E225),"Erro","")</f>
        <v/>
      </c>
    </row>
    <row r="226" spans="1:9" ht="40" hidden="1">
      <c r="A226" s="345">
        <v>267</v>
      </c>
      <c r="B226" s="346" t="s">
        <v>280</v>
      </c>
      <c r="C226" s="347">
        <v>50</v>
      </c>
      <c r="D226" s="348">
        <v>46753</v>
      </c>
      <c r="E226" s="348">
        <v>47058</v>
      </c>
      <c r="F226" s="346" t="s">
        <v>599</v>
      </c>
      <c r="G226" s="349" t="s">
        <v>450</v>
      </c>
      <c r="H226" s="350">
        <f t="shared" si="5"/>
        <v>550</v>
      </c>
      <c r="I226" s="120" t="str">
        <f>IF(OR(D226&lt;Capa!$A$5,D226&gt;Capa!$A$7,E226&lt;Capa!$A$5,E226&gt;Capa!$A$7,D226&gt;E226),"Erro","")</f>
        <v/>
      </c>
    </row>
    <row r="227" spans="1:9" ht="40" hidden="1">
      <c r="A227" s="345">
        <v>269</v>
      </c>
      <c r="B227" s="346" t="s">
        <v>282</v>
      </c>
      <c r="C227" s="347">
        <v>450</v>
      </c>
      <c r="D227" s="348">
        <v>45658</v>
      </c>
      <c r="E227" s="348">
        <v>45992</v>
      </c>
      <c r="F227" s="346" t="s">
        <v>599</v>
      </c>
      <c r="G227" s="349" t="s">
        <v>451</v>
      </c>
      <c r="H227" s="350">
        <f t="shared" si="5"/>
        <v>5400</v>
      </c>
      <c r="I227" s="120" t="str">
        <f>IF(OR(D227&lt;Capa!$A$5,D227&gt;Capa!$A$7,E227&lt;Capa!$A$5,E227&gt;Capa!$A$7,D227&gt;E227),"Erro","")</f>
        <v/>
      </c>
    </row>
    <row r="228" spans="1:9" ht="40" hidden="1">
      <c r="A228" s="345">
        <v>270</v>
      </c>
      <c r="B228" s="346" t="s">
        <v>282</v>
      </c>
      <c r="C228" s="347">
        <v>450</v>
      </c>
      <c r="D228" s="348">
        <v>46023</v>
      </c>
      <c r="E228" s="348">
        <v>46357</v>
      </c>
      <c r="F228" s="346" t="s">
        <v>599</v>
      </c>
      <c r="G228" s="349" t="s">
        <v>451</v>
      </c>
      <c r="H228" s="350">
        <f t="shared" si="5"/>
        <v>5400</v>
      </c>
      <c r="I228" s="120" t="str">
        <f>IF(OR(D228&lt;Capa!$A$5,D228&gt;Capa!$A$7,E228&lt;Capa!$A$5,E228&gt;Capa!$A$7,D228&gt;E228),"Erro","")</f>
        <v/>
      </c>
    </row>
    <row r="229" spans="1:9" ht="40" hidden="1">
      <c r="A229" s="345">
        <v>271</v>
      </c>
      <c r="B229" s="346" t="s">
        <v>282</v>
      </c>
      <c r="C229" s="347">
        <v>450</v>
      </c>
      <c r="D229" s="348">
        <v>46388</v>
      </c>
      <c r="E229" s="348">
        <v>46722</v>
      </c>
      <c r="F229" s="346" t="s">
        <v>599</v>
      </c>
      <c r="G229" s="349" t="s">
        <v>451</v>
      </c>
      <c r="H229" s="350">
        <f t="shared" si="5"/>
        <v>5400</v>
      </c>
      <c r="I229" s="120" t="str">
        <f>IF(OR(D229&lt;Capa!$A$5,D229&gt;Capa!$A$7,E229&lt;Capa!$A$5,E229&gt;Capa!$A$7,D229&gt;E229),"Erro","")</f>
        <v/>
      </c>
    </row>
    <row r="230" spans="1:9" ht="40" hidden="1">
      <c r="A230" s="345">
        <v>272</v>
      </c>
      <c r="B230" s="346" t="s">
        <v>282</v>
      </c>
      <c r="C230" s="347">
        <v>200</v>
      </c>
      <c r="D230" s="348">
        <v>46753</v>
      </c>
      <c r="E230" s="348">
        <v>47058</v>
      </c>
      <c r="F230" s="346" t="s">
        <v>599</v>
      </c>
      <c r="G230" s="349" t="s">
        <v>451</v>
      </c>
      <c r="H230" s="350">
        <f t="shared" si="5"/>
        <v>2200</v>
      </c>
      <c r="I230" s="120" t="str">
        <f>IF(OR(D230&lt;Capa!$A$5,D230&gt;Capa!$A$7,E230&lt;Capa!$A$5,E230&gt;Capa!$A$7,D230&gt;E230),"Erro","")</f>
        <v/>
      </c>
    </row>
    <row r="231" spans="1:9" ht="40" hidden="1">
      <c r="A231" s="345">
        <v>274</v>
      </c>
      <c r="B231" s="346" t="s">
        <v>284</v>
      </c>
      <c r="C231" s="347">
        <v>950</v>
      </c>
      <c r="D231" s="348">
        <v>45658</v>
      </c>
      <c r="E231" s="348">
        <v>45992</v>
      </c>
      <c r="F231" s="346" t="s">
        <v>599</v>
      </c>
      <c r="G231" s="349" t="s">
        <v>451</v>
      </c>
      <c r="H231" s="350">
        <f t="shared" si="5"/>
        <v>11400</v>
      </c>
      <c r="I231" s="120" t="str">
        <f>IF(OR(D231&lt;Capa!$A$5,D231&gt;Capa!$A$7,E231&lt;Capa!$A$5,E231&gt;Capa!$A$7,D231&gt;E231),"Erro","")</f>
        <v/>
      </c>
    </row>
    <row r="232" spans="1:9" ht="40" hidden="1">
      <c r="A232" s="345">
        <v>275</v>
      </c>
      <c r="B232" s="346" t="s">
        <v>284</v>
      </c>
      <c r="C232" s="347">
        <v>950</v>
      </c>
      <c r="D232" s="348">
        <v>46023</v>
      </c>
      <c r="E232" s="348">
        <v>46357</v>
      </c>
      <c r="F232" s="346" t="s">
        <v>599</v>
      </c>
      <c r="G232" s="349" t="s">
        <v>451</v>
      </c>
      <c r="H232" s="350">
        <f t="shared" si="5"/>
        <v>11400</v>
      </c>
      <c r="I232" s="120" t="str">
        <f>IF(OR(D232&lt;Capa!$A$5,D232&gt;Capa!$A$7,E232&lt;Capa!$A$5,E232&gt;Capa!$A$7,D232&gt;E232),"Erro","")</f>
        <v/>
      </c>
    </row>
    <row r="233" spans="1:9" ht="40" hidden="1">
      <c r="A233" s="345">
        <v>276</v>
      </c>
      <c r="B233" s="346" t="s">
        <v>284</v>
      </c>
      <c r="C233" s="347">
        <v>950</v>
      </c>
      <c r="D233" s="348">
        <v>46388</v>
      </c>
      <c r="E233" s="348">
        <v>46722</v>
      </c>
      <c r="F233" s="346" t="s">
        <v>599</v>
      </c>
      <c r="G233" s="349" t="s">
        <v>451</v>
      </c>
      <c r="H233" s="350">
        <f t="shared" si="5"/>
        <v>11400</v>
      </c>
      <c r="I233" s="120" t="str">
        <f>IF(OR(D233&lt;Capa!$A$5,D233&gt;Capa!$A$7,E233&lt;Capa!$A$5,E233&gt;Capa!$A$7,D233&gt;E233),"Erro","")</f>
        <v/>
      </c>
    </row>
    <row r="234" spans="1:9" ht="40" hidden="1">
      <c r="A234" s="345">
        <v>277</v>
      </c>
      <c r="B234" s="346" t="s">
        <v>284</v>
      </c>
      <c r="C234" s="347">
        <v>400</v>
      </c>
      <c r="D234" s="348">
        <v>46753</v>
      </c>
      <c r="E234" s="348">
        <v>47058</v>
      </c>
      <c r="F234" s="346" t="s">
        <v>599</v>
      </c>
      <c r="G234" s="349" t="s">
        <v>451</v>
      </c>
      <c r="H234" s="350">
        <f t="shared" si="5"/>
        <v>4400</v>
      </c>
      <c r="I234" s="120" t="str">
        <f>IF(OR(D234&lt;Capa!$A$5,D234&gt;Capa!$A$7,E234&lt;Capa!$A$5,E234&gt;Capa!$A$7,D234&gt;E234),"Erro","")</f>
        <v/>
      </c>
    </row>
    <row r="235" spans="1:9" ht="40" hidden="1">
      <c r="A235" s="345">
        <v>279</v>
      </c>
      <c r="B235" s="346" t="s">
        <v>286</v>
      </c>
      <c r="C235" s="347">
        <v>1000</v>
      </c>
      <c r="D235" s="348">
        <v>45658</v>
      </c>
      <c r="E235" s="348">
        <v>45992</v>
      </c>
      <c r="F235" s="346" t="s">
        <v>599</v>
      </c>
      <c r="G235" s="349" t="s">
        <v>451</v>
      </c>
      <c r="H235" s="350">
        <f t="shared" si="5"/>
        <v>12000</v>
      </c>
      <c r="I235" s="120" t="str">
        <f>IF(OR(D235&lt;Capa!$A$5,D235&gt;Capa!$A$7,E235&lt;Capa!$A$5,E235&gt;Capa!$A$7,D235&gt;E235),"Erro","")</f>
        <v/>
      </c>
    </row>
    <row r="236" spans="1:9" ht="40" hidden="1">
      <c r="A236" s="345">
        <v>280</v>
      </c>
      <c r="B236" s="346" t="s">
        <v>286</v>
      </c>
      <c r="C236" s="347">
        <v>1000</v>
      </c>
      <c r="D236" s="348">
        <v>46023</v>
      </c>
      <c r="E236" s="348">
        <v>46357</v>
      </c>
      <c r="F236" s="346" t="s">
        <v>599</v>
      </c>
      <c r="G236" s="349" t="s">
        <v>451</v>
      </c>
      <c r="H236" s="350">
        <f t="shared" si="5"/>
        <v>12000</v>
      </c>
      <c r="I236" s="120" t="str">
        <f>IF(OR(D236&lt;Capa!$A$5,D236&gt;Capa!$A$7,E236&lt;Capa!$A$5,E236&gt;Capa!$A$7,D236&gt;E236),"Erro","")</f>
        <v/>
      </c>
    </row>
    <row r="237" spans="1:9" ht="40" hidden="1">
      <c r="A237" s="345">
        <v>281</v>
      </c>
      <c r="B237" s="346" t="s">
        <v>286</v>
      </c>
      <c r="C237" s="347">
        <v>1000</v>
      </c>
      <c r="D237" s="348">
        <v>46388</v>
      </c>
      <c r="E237" s="348">
        <v>46722</v>
      </c>
      <c r="F237" s="346" t="s">
        <v>599</v>
      </c>
      <c r="G237" s="349" t="s">
        <v>451</v>
      </c>
      <c r="H237" s="350">
        <f t="shared" si="5"/>
        <v>12000</v>
      </c>
      <c r="I237" s="120" t="str">
        <f>IF(OR(D237&lt;Capa!$A$5,D237&gt;Capa!$A$7,E237&lt;Capa!$A$5,E237&gt;Capa!$A$7,D237&gt;E237),"Erro","")</f>
        <v/>
      </c>
    </row>
    <row r="238" spans="1:9" ht="40" hidden="1">
      <c r="A238" s="345">
        <v>282</v>
      </c>
      <c r="B238" s="346" t="s">
        <v>286</v>
      </c>
      <c r="C238" s="347">
        <v>500</v>
      </c>
      <c r="D238" s="348">
        <v>46753</v>
      </c>
      <c r="E238" s="348">
        <v>47058</v>
      </c>
      <c r="F238" s="346" t="s">
        <v>599</v>
      </c>
      <c r="G238" s="349" t="s">
        <v>451</v>
      </c>
      <c r="H238" s="350">
        <f t="shared" si="5"/>
        <v>5500</v>
      </c>
      <c r="I238" s="120" t="str">
        <f>IF(OR(D238&lt;Capa!$A$5,D238&gt;Capa!$A$7,E238&lt;Capa!$A$5,E238&gt;Capa!$A$7,D238&gt;E238),"Erro","")</f>
        <v/>
      </c>
    </row>
    <row r="239" spans="1:9" ht="30" hidden="1">
      <c r="A239" s="345">
        <v>284</v>
      </c>
      <c r="B239" s="346" t="s">
        <v>288</v>
      </c>
      <c r="C239" s="347">
        <v>200</v>
      </c>
      <c r="D239" s="348">
        <v>45658</v>
      </c>
      <c r="E239" s="348">
        <v>45992</v>
      </c>
      <c r="F239" s="346" t="s">
        <v>599</v>
      </c>
      <c r="G239" s="349" t="s">
        <v>452</v>
      </c>
      <c r="H239" s="350">
        <f t="shared" si="5"/>
        <v>2400</v>
      </c>
      <c r="I239" s="120" t="str">
        <f>IF(OR(D239&lt;Capa!$A$5,D239&gt;Capa!$A$7,E239&lt;Capa!$A$5,E239&gt;Capa!$A$7,D239&gt;E239),"Erro","")</f>
        <v/>
      </c>
    </row>
    <row r="240" spans="1:9" ht="30" hidden="1">
      <c r="A240" s="345">
        <v>285</v>
      </c>
      <c r="B240" s="346" t="s">
        <v>288</v>
      </c>
      <c r="C240" s="347">
        <v>200</v>
      </c>
      <c r="D240" s="348">
        <v>46023</v>
      </c>
      <c r="E240" s="348">
        <v>46357</v>
      </c>
      <c r="F240" s="346" t="s">
        <v>599</v>
      </c>
      <c r="G240" s="349" t="s">
        <v>452</v>
      </c>
      <c r="H240" s="350">
        <f t="shared" si="5"/>
        <v>2400</v>
      </c>
      <c r="I240" s="120" t="str">
        <f>IF(OR(D240&lt;Capa!$A$5,D240&gt;Capa!$A$7,E240&lt;Capa!$A$5,E240&gt;Capa!$A$7,D240&gt;E240),"Erro","")</f>
        <v/>
      </c>
    </row>
    <row r="241" spans="1:9" ht="30" hidden="1">
      <c r="A241" s="345">
        <v>286</v>
      </c>
      <c r="B241" s="346" t="s">
        <v>288</v>
      </c>
      <c r="C241" s="347">
        <v>200</v>
      </c>
      <c r="D241" s="348">
        <v>46388</v>
      </c>
      <c r="E241" s="348">
        <v>46722</v>
      </c>
      <c r="F241" s="346" t="s">
        <v>599</v>
      </c>
      <c r="G241" s="349" t="s">
        <v>452</v>
      </c>
      <c r="H241" s="350">
        <f t="shared" si="5"/>
        <v>2400</v>
      </c>
      <c r="I241" s="120" t="str">
        <f>IF(OR(D241&lt;Capa!$A$5,D241&gt;Capa!$A$7,E241&lt;Capa!$A$5,E241&gt;Capa!$A$7,D241&gt;E241),"Erro","")</f>
        <v/>
      </c>
    </row>
    <row r="242" spans="1:9" ht="30" hidden="1">
      <c r="A242" s="345">
        <v>287</v>
      </c>
      <c r="B242" s="346" t="s">
        <v>288</v>
      </c>
      <c r="C242" s="347">
        <v>100</v>
      </c>
      <c r="D242" s="348">
        <v>46753</v>
      </c>
      <c r="E242" s="348">
        <v>47058</v>
      </c>
      <c r="F242" s="346" t="s">
        <v>599</v>
      </c>
      <c r="G242" s="349" t="s">
        <v>452</v>
      </c>
      <c r="H242" s="350">
        <f t="shared" si="5"/>
        <v>1100</v>
      </c>
      <c r="I242" s="120" t="str">
        <f>IF(OR(D242&lt;Capa!$A$5,D242&gt;Capa!$A$7,E242&lt;Capa!$A$5,E242&gt;Capa!$A$7,D242&gt;E242),"Erro","")</f>
        <v/>
      </c>
    </row>
    <row r="243" spans="1:9" ht="30" hidden="1">
      <c r="A243" s="345">
        <v>289</v>
      </c>
      <c r="B243" s="346" t="s">
        <v>294</v>
      </c>
      <c r="C243" s="347">
        <v>5000</v>
      </c>
      <c r="D243" s="348">
        <v>45658</v>
      </c>
      <c r="E243" s="348">
        <v>45992</v>
      </c>
      <c r="F243" s="346" t="s">
        <v>599</v>
      </c>
      <c r="G243" s="349" t="s">
        <v>453</v>
      </c>
      <c r="H243" s="350">
        <f t="shared" si="5"/>
        <v>60000</v>
      </c>
      <c r="I243" s="120" t="str">
        <f>IF(OR(D243&lt;Capa!$A$5,D243&gt;Capa!$A$7,E243&lt;Capa!$A$5,E243&gt;Capa!$A$7,D243&gt;E243),"Erro","")</f>
        <v/>
      </c>
    </row>
    <row r="244" spans="1:9" ht="30" hidden="1">
      <c r="A244" s="345">
        <v>290</v>
      </c>
      <c r="B244" s="346" t="s">
        <v>294</v>
      </c>
      <c r="C244" s="347">
        <v>5000</v>
      </c>
      <c r="D244" s="348">
        <v>46023</v>
      </c>
      <c r="E244" s="348">
        <v>46357</v>
      </c>
      <c r="F244" s="346" t="s">
        <v>599</v>
      </c>
      <c r="G244" s="349" t="s">
        <v>453</v>
      </c>
      <c r="H244" s="350">
        <f t="shared" si="5"/>
        <v>60000</v>
      </c>
      <c r="I244" s="120" t="str">
        <f>IF(OR(D244&lt;Capa!$A$5,D244&gt;Capa!$A$7,E244&lt;Capa!$A$5,E244&gt;Capa!$A$7,D244&gt;E244),"Erro","")</f>
        <v/>
      </c>
    </row>
    <row r="245" spans="1:9" ht="30" hidden="1">
      <c r="A245" s="345">
        <v>291</v>
      </c>
      <c r="B245" s="346" t="s">
        <v>294</v>
      </c>
      <c r="C245" s="347">
        <v>5000</v>
      </c>
      <c r="D245" s="348">
        <v>46388</v>
      </c>
      <c r="E245" s="348">
        <v>46722</v>
      </c>
      <c r="F245" s="346" t="s">
        <v>599</v>
      </c>
      <c r="G245" s="349" t="s">
        <v>453</v>
      </c>
      <c r="H245" s="350">
        <f t="shared" si="5"/>
        <v>60000</v>
      </c>
      <c r="I245" s="120" t="str">
        <f>IF(OR(D245&lt;Capa!$A$5,D245&gt;Capa!$A$7,E245&lt;Capa!$A$5,E245&gt;Capa!$A$7,D245&gt;E245),"Erro","")</f>
        <v/>
      </c>
    </row>
    <row r="246" spans="1:9" ht="30" hidden="1">
      <c r="A246" s="345">
        <v>292</v>
      </c>
      <c r="B246" s="346" t="s">
        <v>294</v>
      </c>
      <c r="C246" s="347">
        <v>2000</v>
      </c>
      <c r="D246" s="348">
        <v>46753</v>
      </c>
      <c r="E246" s="348">
        <v>47058</v>
      </c>
      <c r="F246" s="346" t="s">
        <v>599</v>
      </c>
      <c r="G246" s="349" t="s">
        <v>453</v>
      </c>
      <c r="H246" s="350">
        <f t="shared" si="5"/>
        <v>22000</v>
      </c>
      <c r="I246" s="120" t="str">
        <f>IF(OR(D246&lt;Capa!$A$5,D246&gt;Capa!$A$7,E246&lt;Capa!$A$5,E246&gt;Capa!$A$7,D246&gt;E246),"Erro","")</f>
        <v/>
      </c>
    </row>
    <row r="247" spans="1:9" ht="20" hidden="1">
      <c r="A247" s="345">
        <v>294</v>
      </c>
      <c r="B247" s="346" t="s">
        <v>302</v>
      </c>
      <c r="C247" s="347">
        <v>100</v>
      </c>
      <c r="D247" s="348">
        <v>45658</v>
      </c>
      <c r="E247" s="348">
        <v>45992</v>
      </c>
      <c r="F247" s="346" t="s">
        <v>599</v>
      </c>
      <c r="G247" s="349" t="s">
        <v>454</v>
      </c>
      <c r="H247" s="350">
        <f t="shared" si="5"/>
        <v>1200</v>
      </c>
      <c r="I247" s="120" t="str">
        <f>IF(OR(D247&lt;Capa!$A$5,D247&gt;Capa!$A$7,E247&lt;Capa!$A$5,E247&gt;Capa!$A$7,D247&gt;E247),"Erro","")</f>
        <v/>
      </c>
    </row>
    <row r="248" spans="1:9" ht="20" hidden="1">
      <c r="A248" s="345">
        <v>295</v>
      </c>
      <c r="B248" s="346" t="s">
        <v>302</v>
      </c>
      <c r="C248" s="347">
        <v>100</v>
      </c>
      <c r="D248" s="348">
        <v>46023</v>
      </c>
      <c r="E248" s="348">
        <v>46357</v>
      </c>
      <c r="F248" s="346" t="s">
        <v>599</v>
      </c>
      <c r="G248" s="349" t="s">
        <v>454</v>
      </c>
      <c r="H248" s="350">
        <f t="shared" si="5"/>
        <v>1200</v>
      </c>
      <c r="I248" s="120" t="str">
        <f>IF(OR(D248&lt;Capa!$A$5,D248&gt;Capa!$A$7,E248&lt;Capa!$A$5,E248&gt;Capa!$A$7,D248&gt;E248),"Erro","")</f>
        <v/>
      </c>
    </row>
    <row r="249" spans="1:9" ht="20" hidden="1">
      <c r="A249" s="345">
        <v>296</v>
      </c>
      <c r="B249" s="346" t="s">
        <v>302</v>
      </c>
      <c r="C249" s="347">
        <v>100</v>
      </c>
      <c r="D249" s="348">
        <v>46388</v>
      </c>
      <c r="E249" s="348">
        <v>46722</v>
      </c>
      <c r="F249" s="346" t="s">
        <v>599</v>
      </c>
      <c r="G249" s="349" t="s">
        <v>454</v>
      </c>
      <c r="H249" s="350">
        <f t="shared" si="5"/>
        <v>1200</v>
      </c>
      <c r="I249" s="120" t="str">
        <f>IF(OR(D249&lt;Capa!$A$5,D249&gt;Capa!$A$7,E249&lt;Capa!$A$5,E249&gt;Capa!$A$7,D249&gt;E249),"Erro","")</f>
        <v/>
      </c>
    </row>
    <row r="250" spans="1:9" ht="20" hidden="1">
      <c r="A250" s="345">
        <v>297</v>
      </c>
      <c r="B250" s="346" t="s">
        <v>302</v>
      </c>
      <c r="C250" s="347">
        <v>50</v>
      </c>
      <c r="D250" s="348">
        <v>46753</v>
      </c>
      <c r="E250" s="348">
        <v>47058</v>
      </c>
      <c r="F250" s="346" t="s">
        <v>599</v>
      </c>
      <c r="G250" s="349" t="s">
        <v>454</v>
      </c>
      <c r="H250" s="350">
        <f t="shared" si="5"/>
        <v>550</v>
      </c>
      <c r="I250" s="120" t="str">
        <f>IF(OR(D250&lt;Capa!$A$5,D250&gt;Capa!$A$7,E250&lt;Capa!$A$5,E250&gt;Capa!$A$7,D250&gt;E250),"Erro","")</f>
        <v/>
      </c>
    </row>
    <row r="251" spans="1:9" ht="30" hidden="1">
      <c r="A251" s="345">
        <v>299</v>
      </c>
      <c r="B251" s="346" t="s">
        <v>304</v>
      </c>
      <c r="C251" s="347">
        <v>1000</v>
      </c>
      <c r="D251" s="348">
        <v>45658</v>
      </c>
      <c r="E251" s="348">
        <v>45992</v>
      </c>
      <c r="F251" s="346" t="s">
        <v>599</v>
      </c>
      <c r="G251" s="349" t="s">
        <v>455</v>
      </c>
      <c r="H251" s="350">
        <f t="shared" si="5"/>
        <v>12000</v>
      </c>
      <c r="I251" s="120" t="str">
        <f>IF(OR(D251&lt;Capa!$A$5,D251&gt;Capa!$A$7,E251&lt;Capa!$A$5,E251&gt;Capa!$A$7,D251&gt;E251),"Erro","")</f>
        <v/>
      </c>
    </row>
    <row r="252" spans="1:9" ht="30" hidden="1">
      <c r="A252" s="345">
        <v>300</v>
      </c>
      <c r="B252" s="346" t="s">
        <v>304</v>
      </c>
      <c r="C252" s="347">
        <v>1000</v>
      </c>
      <c r="D252" s="348">
        <v>46023</v>
      </c>
      <c r="E252" s="348">
        <v>46357</v>
      </c>
      <c r="F252" s="346" t="s">
        <v>599</v>
      </c>
      <c r="G252" s="349" t="s">
        <v>455</v>
      </c>
      <c r="H252" s="350">
        <f t="shared" si="5"/>
        <v>12000</v>
      </c>
      <c r="I252" s="120" t="str">
        <f>IF(OR(D252&lt;Capa!$A$5,D252&gt;Capa!$A$7,E252&lt;Capa!$A$5,E252&gt;Capa!$A$7,D252&gt;E252),"Erro","")</f>
        <v/>
      </c>
    </row>
    <row r="253" spans="1:9" ht="30" hidden="1">
      <c r="A253" s="345">
        <v>301</v>
      </c>
      <c r="B253" s="346" t="s">
        <v>304</v>
      </c>
      <c r="C253" s="347">
        <v>1000</v>
      </c>
      <c r="D253" s="348">
        <v>46388</v>
      </c>
      <c r="E253" s="348">
        <v>46722</v>
      </c>
      <c r="F253" s="346" t="s">
        <v>599</v>
      </c>
      <c r="G253" s="349" t="s">
        <v>455</v>
      </c>
      <c r="H253" s="350">
        <f t="shared" si="5"/>
        <v>12000</v>
      </c>
      <c r="I253" s="120" t="str">
        <f>IF(OR(D253&lt;Capa!$A$5,D253&gt;Capa!$A$7,E253&lt;Capa!$A$5,E253&gt;Capa!$A$7,D253&gt;E253),"Erro","")</f>
        <v/>
      </c>
    </row>
    <row r="254" spans="1:9" ht="30" hidden="1">
      <c r="A254" s="345">
        <v>302</v>
      </c>
      <c r="B254" s="346" t="s">
        <v>304</v>
      </c>
      <c r="C254" s="347">
        <v>500</v>
      </c>
      <c r="D254" s="348">
        <v>46753</v>
      </c>
      <c r="E254" s="348">
        <v>47058</v>
      </c>
      <c r="F254" s="346" t="s">
        <v>599</v>
      </c>
      <c r="G254" s="349" t="s">
        <v>455</v>
      </c>
      <c r="H254" s="350">
        <f t="shared" si="5"/>
        <v>5500</v>
      </c>
      <c r="I254" s="120" t="str">
        <f>IF(OR(D254&lt;Capa!$A$5,D254&gt;Capa!$A$7,E254&lt;Capa!$A$5,E254&gt;Capa!$A$7,D254&gt;E254),"Erro","")</f>
        <v/>
      </c>
    </row>
    <row r="255" spans="1:9" hidden="1">
      <c r="A255" s="345">
        <v>303</v>
      </c>
      <c r="B255" s="346" t="s">
        <v>308</v>
      </c>
      <c r="C255" s="347">
        <v>200</v>
      </c>
      <c r="D255" s="348">
        <v>45658</v>
      </c>
      <c r="E255" s="348">
        <v>45778</v>
      </c>
      <c r="F255" s="346" t="s">
        <v>599</v>
      </c>
      <c r="G255" s="349" t="s">
        <v>665</v>
      </c>
      <c r="H255" s="350">
        <f t="shared" si="5"/>
        <v>1000</v>
      </c>
      <c r="I255" s="120" t="str">
        <f>IF(OR(D255&lt;Capa!$A$5,D255&gt;Capa!$A$7,E255&lt;Capa!$A$5,E255&gt;Capa!$A$7,D255&gt;E255),"Erro","")</f>
        <v/>
      </c>
    </row>
    <row r="256" spans="1:9" hidden="1">
      <c r="A256" s="345">
        <v>304</v>
      </c>
      <c r="B256" s="346" t="s">
        <v>308</v>
      </c>
      <c r="C256" s="347">
        <v>200</v>
      </c>
      <c r="D256" s="348">
        <v>46023</v>
      </c>
      <c r="E256" s="348">
        <v>46143</v>
      </c>
      <c r="F256" s="346" t="s">
        <v>599</v>
      </c>
      <c r="G256" s="349" t="s">
        <v>665</v>
      </c>
      <c r="H256" s="350">
        <f t="shared" si="5"/>
        <v>1000</v>
      </c>
      <c r="I256" s="120" t="str">
        <f>IF(OR(D256&lt;Capa!$A$5,D256&gt;Capa!$A$7,E256&lt;Capa!$A$5,E256&gt;Capa!$A$7,D256&gt;E256),"Erro","")</f>
        <v/>
      </c>
    </row>
    <row r="257" spans="1:9" hidden="1">
      <c r="A257" s="345">
        <v>305</v>
      </c>
      <c r="B257" s="346" t="s">
        <v>308</v>
      </c>
      <c r="C257" s="347">
        <v>200</v>
      </c>
      <c r="D257" s="348">
        <v>46388</v>
      </c>
      <c r="E257" s="348">
        <v>46508</v>
      </c>
      <c r="F257" s="346" t="s">
        <v>599</v>
      </c>
      <c r="G257" s="349" t="s">
        <v>665</v>
      </c>
      <c r="H257" s="350">
        <f t="shared" si="5"/>
        <v>1000</v>
      </c>
      <c r="I257" s="120" t="str">
        <f>IF(OR(D257&lt;Capa!$A$5,D257&gt;Capa!$A$7,E257&lt;Capa!$A$5,E257&gt;Capa!$A$7,D257&gt;E257),"Erro","")</f>
        <v/>
      </c>
    </row>
    <row r="258" spans="1:9" hidden="1">
      <c r="A258" s="345">
        <v>306</v>
      </c>
      <c r="B258" s="346" t="s">
        <v>308</v>
      </c>
      <c r="C258" s="347">
        <v>200</v>
      </c>
      <c r="D258" s="348">
        <v>46753</v>
      </c>
      <c r="E258" s="348">
        <v>46874</v>
      </c>
      <c r="F258" s="346" t="s">
        <v>599</v>
      </c>
      <c r="G258" s="349" t="s">
        <v>665</v>
      </c>
      <c r="H258" s="350">
        <f t="shared" si="5"/>
        <v>1000</v>
      </c>
      <c r="I258" s="120" t="str">
        <f>IF(OR(D258&lt;Capa!$A$5,D258&gt;Capa!$A$7,E258&lt;Capa!$A$5,E258&gt;Capa!$A$7,D258&gt;E258),"Erro","")</f>
        <v/>
      </c>
    </row>
    <row r="259" spans="1:9" ht="30" hidden="1">
      <c r="A259" s="345">
        <v>307</v>
      </c>
      <c r="B259" s="346" t="s">
        <v>312</v>
      </c>
      <c r="C259" s="347">
        <v>200</v>
      </c>
      <c r="D259" s="348">
        <v>45658</v>
      </c>
      <c r="E259" s="348">
        <v>45992</v>
      </c>
      <c r="F259" s="346" t="s">
        <v>599</v>
      </c>
      <c r="G259" s="349" t="s">
        <v>571</v>
      </c>
      <c r="H259" s="350">
        <f t="shared" si="5"/>
        <v>2400</v>
      </c>
      <c r="I259" s="120" t="str">
        <f>IF(OR(D259&lt;Capa!$A$5,D259&gt;Capa!$A$7,E259&lt;Capa!$A$5,E259&gt;Capa!$A$7,D259&gt;E259),"Erro","")</f>
        <v/>
      </c>
    </row>
    <row r="260" spans="1:9" ht="30" hidden="1">
      <c r="A260" s="345">
        <v>308</v>
      </c>
      <c r="B260" s="346" t="s">
        <v>312</v>
      </c>
      <c r="C260" s="347">
        <v>200</v>
      </c>
      <c r="D260" s="348">
        <v>46023</v>
      </c>
      <c r="E260" s="348">
        <v>46357</v>
      </c>
      <c r="F260" s="346" t="s">
        <v>599</v>
      </c>
      <c r="G260" s="349" t="s">
        <v>571</v>
      </c>
      <c r="H260" s="350">
        <f t="shared" si="5"/>
        <v>2400</v>
      </c>
      <c r="I260" s="120" t="str">
        <f>IF(OR(D260&lt;Capa!$A$5,D260&gt;Capa!$A$7,E260&lt;Capa!$A$5,E260&gt;Capa!$A$7,D260&gt;E260),"Erro","")</f>
        <v/>
      </c>
    </row>
    <row r="261" spans="1:9" ht="30" hidden="1">
      <c r="A261" s="345">
        <v>309</v>
      </c>
      <c r="B261" s="346" t="s">
        <v>312</v>
      </c>
      <c r="C261" s="347">
        <v>200</v>
      </c>
      <c r="D261" s="348">
        <v>46388</v>
      </c>
      <c r="E261" s="348">
        <v>46722</v>
      </c>
      <c r="F261" s="346" t="s">
        <v>599</v>
      </c>
      <c r="G261" s="349" t="s">
        <v>571</v>
      </c>
      <c r="H261" s="350">
        <f t="shared" si="5"/>
        <v>2400</v>
      </c>
      <c r="I261" s="120" t="str">
        <f>IF(OR(D261&lt;Capa!$A$5,D261&gt;Capa!$A$7,E261&lt;Capa!$A$5,E261&gt;Capa!$A$7,D261&gt;E261),"Erro","")</f>
        <v/>
      </c>
    </row>
    <row r="262" spans="1:9" ht="30" hidden="1">
      <c r="A262" s="345">
        <v>310</v>
      </c>
      <c r="B262" s="346" t="s">
        <v>312</v>
      </c>
      <c r="C262" s="347">
        <v>100</v>
      </c>
      <c r="D262" s="348">
        <v>46753</v>
      </c>
      <c r="E262" s="348">
        <v>47058</v>
      </c>
      <c r="F262" s="346" t="s">
        <v>599</v>
      </c>
      <c r="G262" s="349" t="s">
        <v>571</v>
      </c>
      <c r="H262" s="350">
        <f t="shared" si="5"/>
        <v>1100</v>
      </c>
      <c r="I262" s="120" t="str">
        <f>IF(OR(D262&lt;Capa!$A$5,D262&gt;Capa!$A$7,E262&lt;Capa!$A$5,E262&gt;Capa!$A$7,D262&gt;E262),"Erro","")</f>
        <v/>
      </c>
    </row>
    <row r="263" spans="1:9" ht="50" hidden="1">
      <c r="A263" s="345">
        <v>312</v>
      </c>
      <c r="B263" s="346" t="s">
        <v>316</v>
      </c>
      <c r="C263" s="347">
        <v>800</v>
      </c>
      <c r="D263" s="348">
        <v>45658</v>
      </c>
      <c r="E263" s="348">
        <v>45992</v>
      </c>
      <c r="F263" s="346" t="s">
        <v>599</v>
      </c>
      <c r="G263" s="349" t="s">
        <v>741</v>
      </c>
      <c r="H263" s="350">
        <f t="shared" si="5"/>
        <v>9600</v>
      </c>
      <c r="I263" s="120" t="str">
        <f>IF(OR(D263&lt;Capa!$A$5,D263&gt;Capa!$A$7,E263&lt;Capa!$A$5,E263&gt;Capa!$A$7,D263&gt;E263),"Erro","")</f>
        <v/>
      </c>
    </row>
    <row r="264" spans="1:9" ht="50" hidden="1">
      <c r="A264" s="345">
        <v>313</v>
      </c>
      <c r="B264" s="346" t="s">
        <v>316</v>
      </c>
      <c r="C264" s="347">
        <v>800</v>
      </c>
      <c r="D264" s="348">
        <v>46023</v>
      </c>
      <c r="E264" s="348">
        <v>46357</v>
      </c>
      <c r="F264" s="346" t="s">
        <v>599</v>
      </c>
      <c r="G264" s="349" t="s">
        <v>741</v>
      </c>
      <c r="H264" s="350">
        <f t="shared" si="5"/>
        <v>9600</v>
      </c>
      <c r="I264" s="120" t="str">
        <f>IF(OR(D264&lt;Capa!$A$5,D264&gt;Capa!$A$7,E264&lt;Capa!$A$5,E264&gt;Capa!$A$7,D264&gt;E264),"Erro","")</f>
        <v/>
      </c>
    </row>
    <row r="265" spans="1:9" ht="50" hidden="1">
      <c r="A265" s="345">
        <v>314</v>
      </c>
      <c r="B265" s="346" t="s">
        <v>316</v>
      </c>
      <c r="C265" s="347">
        <v>800</v>
      </c>
      <c r="D265" s="348">
        <v>46388</v>
      </c>
      <c r="E265" s="348">
        <v>46722</v>
      </c>
      <c r="F265" s="346" t="s">
        <v>599</v>
      </c>
      <c r="G265" s="349" t="s">
        <v>741</v>
      </c>
      <c r="H265" s="350">
        <f t="shared" si="5"/>
        <v>9600</v>
      </c>
      <c r="I265" s="120" t="str">
        <f>IF(OR(D265&lt;Capa!$A$5,D265&gt;Capa!$A$7,E265&lt;Capa!$A$5,E265&gt;Capa!$A$7,D265&gt;E265),"Erro","")</f>
        <v/>
      </c>
    </row>
    <row r="266" spans="1:9" ht="50" hidden="1">
      <c r="A266" s="345">
        <v>315</v>
      </c>
      <c r="B266" s="346" t="s">
        <v>316</v>
      </c>
      <c r="C266" s="347">
        <v>400</v>
      </c>
      <c r="D266" s="348">
        <v>46753</v>
      </c>
      <c r="E266" s="348">
        <v>47058</v>
      </c>
      <c r="F266" s="346" t="s">
        <v>599</v>
      </c>
      <c r="G266" s="349" t="s">
        <v>741</v>
      </c>
      <c r="H266" s="350">
        <f t="shared" si="5"/>
        <v>4400</v>
      </c>
      <c r="I266" s="120" t="str">
        <f>IF(OR(D266&lt;Capa!$A$5,D266&gt;Capa!$A$7,E266&lt;Capa!$A$5,E266&gt;Capa!$A$7,D266&gt;E266),"Erro","")</f>
        <v/>
      </c>
    </row>
    <row r="267" spans="1:9" ht="50" hidden="1">
      <c r="A267" s="345">
        <v>317</v>
      </c>
      <c r="B267" s="346" t="s">
        <v>318</v>
      </c>
      <c r="C267" s="347">
        <v>700</v>
      </c>
      <c r="D267" s="348">
        <v>45658</v>
      </c>
      <c r="E267" s="348">
        <v>45992</v>
      </c>
      <c r="F267" s="346" t="s">
        <v>599</v>
      </c>
      <c r="G267" s="349" t="s">
        <v>570</v>
      </c>
      <c r="H267" s="350">
        <f t="shared" si="5"/>
        <v>8400</v>
      </c>
      <c r="I267" s="120" t="str">
        <f>IF(OR(D267&lt;Capa!$A$5,D267&gt;Capa!$A$7,E267&lt;Capa!$A$5,E267&gt;Capa!$A$7,D267&gt;E267),"Erro","")</f>
        <v/>
      </c>
    </row>
    <row r="268" spans="1:9" ht="50" hidden="1">
      <c r="A268" s="345">
        <v>318</v>
      </c>
      <c r="B268" s="346" t="s">
        <v>318</v>
      </c>
      <c r="C268" s="347">
        <v>700</v>
      </c>
      <c r="D268" s="348">
        <v>46023</v>
      </c>
      <c r="E268" s="348">
        <v>46357</v>
      </c>
      <c r="F268" s="346" t="s">
        <v>599</v>
      </c>
      <c r="G268" s="349" t="s">
        <v>570</v>
      </c>
      <c r="H268" s="350">
        <f t="shared" si="5"/>
        <v>8400</v>
      </c>
      <c r="I268" s="120" t="str">
        <f>IF(OR(D268&lt;Capa!$A$5,D268&gt;Capa!$A$7,E268&lt;Capa!$A$5,E268&gt;Capa!$A$7,D268&gt;E268),"Erro","")</f>
        <v/>
      </c>
    </row>
    <row r="269" spans="1:9" ht="50" hidden="1">
      <c r="A269" s="345">
        <v>319</v>
      </c>
      <c r="B269" s="346" t="s">
        <v>318</v>
      </c>
      <c r="C269" s="347">
        <v>700</v>
      </c>
      <c r="D269" s="348">
        <v>46388</v>
      </c>
      <c r="E269" s="348">
        <v>46722</v>
      </c>
      <c r="F269" s="346" t="s">
        <v>599</v>
      </c>
      <c r="G269" s="349" t="s">
        <v>570</v>
      </c>
      <c r="H269" s="350">
        <f t="shared" si="5"/>
        <v>8400</v>
      </c>
      <c r="I269" s="120" t="str">
        <f>IF(OR(D269&lt;Capa!$A$5,D269&gt;Capa!$A$7,E269&lt;Capa!$A$5,E269&gt;Capa!$A$7,D269&gt;E269),"Erro","")</f>
        <v/>
      </c>
    </row>
    <row r="270" spans="1:9" ht="50" hidden="1">
      <c r="A270" s="345">
        <v>320</v>
      </c>
      <c r="B270" s="346" t="s">
        <v>318</v>
      </c>
      <c r="C270" s="347">
        <v>700</v>
      </c>
      <c r="D270" s="348">
        <v>46753</v>
      </c>
      <c r="E270" s="348">
        <v>47058</v>
      </c>
      <c r="F270" s="346" t="s">
        <v>599</v>
      </c>
      <c r="G270" s="349" t="s">
        <v>570</v>
      </c>
      <c r="H270" s="350">
        <f t="shared" si="5"/>
        <v>7700</v>
      </c>
      <c r="I270" s="120" t="str">
        <f>IF(OR(D270&lt;Capa!$A$5,D270&gt;Capa!$A$7,E270&lt;Capa!$A$5,E270&gt;Capa!$A$7,D270&gt;E270),"Erro","")</f>
        <v/>
      </c>
    </row>
    <row r="271" spans="1:9" ht="20" hidden="1">
      <c r="A271" s="345">
        <v>327</v>
      </c>
      <c r="B271" s="346" t="s">
        <v>298</v>
      </c>
      <c r="C271" s="347">
        <v>2450</v>
      </c>
      <c r="D271" s="348">
        <v>45658</v>
      </c>
      <c r="E271" s="348">
        <v>45992</v>
      </c>
      <c r="F271" s="346" t="s">
        <v>599</v>
      </c>
      <c r="G271" s="349" t="s">
        <v>457</v>
      </c>
      <c r="H271" s="350">
        <f t="shared" ref="H271:H273" si="6">IFERROR((DATEDIF(D271,E271,"M")+1)*C271,0)</f>
        <v>29400</v>
      </c>
      <c r="I271" s="120" t="str">
        <f>IF(OR(D271&lt;Capa!$A$5,D271&gt;Capa!$A$7,E271&lt;Capa!$A$5,E271&gt;Capa!$A$7,D271&gt;E271),"Erro","")</f>
        <v/>
      </c>
    </row>
    <row r="272" spans="1:9" ht="20" hidden="1">
      <c r="A272" s="345">
        <v>328</v>
      </c>
      <c r="B272" s="346" t="s">
        <v>298</v>
      </c>
      <c r="C272" s="347">
        <v>2450</v>
      </c>
      <c r="D272" s="348">
        <v>46023</v>
      </c>
      <c r="E272" s="348">
        <v>46357</v>
      </c>
      <c r="F272" s="346" t="s">
        <v>599</v>
      </c>
      <c r="G272" s="349" t="s">
        <v>457</v>
      </c>
      <c r="H272" s="350">
        <f t="shared" si="6"/>
        <v>29400</v>
      </c>
      <c r="I272" s="120" t="str">
        <f>IF(OR(D272&lt;Capa!$A$5,D272&gt;Capa!$A$7,E272&lt;Capa!$A$5,E272&gt;Capa!$A$7,D272&gt;E272),"Erro","")</f>
        <v/>
      </c>
    </row>
    <row r="273" spans="1:9" ht="20" hidden="1">
      <c r="A273" s="345">
        <v>329</v>
      </c>
      <c r="B273" s="346" t="s">
        <v>298</v>
      </c>
      <c r="C273" s="347">
        <v>2450</v>
      </c>
      <c r="D273" s="348">
        <v>46388</v>
      </c>
      <c r="E273" s="348">
        <v>46722</v>
      </c>
      <c r="F273" s="346" t="s">
        <v>599</v>
      </c>
      <c r="G273" s="349" t="s">
        <v>457</v>
      </c>
      <c r="H273" s="350">
        <f t="shared" si="6"/>
        <v>29400</v>
      </c>
      <c r="I273" s="120" t="str">
        <f>IF(OR(D273&lt;Capa!$A$5,D273&gt;Capa!$A$7,E273&lt;Capa!$A$5,E273&gt;Capa!$A$7,D273&gt;E273),"Erro","")</f>
        <v/>
      </c>
    </row>
    <row r="274" spans="1:9" ht="20" hidden="1">
      <c r="A274" s="345">
        <v>330</v>
      </c>
      <c r="B274" s="346" t="s">
        <v>298</v>
      </c>
      <c r="C274" s="347">
        <v>1250</v>
      </c>
      <c r="D274" s="348">
        <v>46753</v>
      </c>
      <c r="E274" s="348">
        <v>47058</v>
      </c>
      <c r="F274" s="346" t="s">
        <v>599</v>
      </c>
      <c r="G274" s="349" t="s">
        <v>457</v>
      </c>
      <c r="H274" s="350">
        <f t="shared" ref="H274:H328" si="7">IFERROR((DATEDIF(D274,E274,"M")+1)*C274,0)</f>
        <v>13750</v>
      </c>
      <c r="I274" s="120" t="str">
        <f>IF(OR(D274&lt;Capa!$A$5,D274&gt;Capa!$A$7,E274&lt;Capa!$A$5,E274&gt;Capa!$A$7,D274&gt;E274),"Erro","")</f>
        <v/>
      </c>
    </row>
    <row r="275" spans="1:9" ht="30" hidden="1">
      <c r="A275" s="345">
        <v>331</v>
      </c>
      <c r="B275" s="346" t="s">
        <v>238</v>
      </c>
      <c r="C275" s="347">
        <v>480</v>
      </c>
      <c r="D275" s="348">
        <v>45658</v>
      </c>
      <c r="E275" s="348">
        <v>45809</v>
      </c>
      <c r="F275" s="346" t="s">
        <v>599</v>
      </c>
      <c r="G275" s="349" t="s">
        <v>458</v>
      </c>
      <c r="H275" s="350">
        <f t="shared" si="7"/>
        <v>2880</v>
      </c>
      <c r="I275" s="120" t="str">
        <f>IF(OR(D275&lt;Capa!$A$5,D275&gt;Capa!$A$7,E275&lt;Capa!$A$5,E275&gt;Capa!$A$7,D275&gt;E275),"Erro","")</f>
        <v/>
      </c>
    </row>
    <row r="276" spans="1:9" ht="30" hidden="1">
      <c r="A276" s="345">
        <v>332</v>
      </c>
      <c r="B276" s="346" t="s">
        <v>238</v>
      </c>
      <c r="C276" s="347">
        <v>480</v>
      </c>
      <c r="D276" s="348">
        <v>46023</v>
      </c>
      <c r="E276" s="348">
        <v>46174</v>
      </c>
      <c r="F276" s="346" t="s">
        <v>599</v>
      </c>
      <c r="G276" s="349" t="s">
        <v>458</v>
      </c>
      <c r="H276" s="350">
        <f t="shared" si="7"/>
        <v>2880</v>
      </c>
      <c r="I276" s="120" t="str">
        <f>IF(OR(D276&lt;Capa!$A$5,D276&gt;Capa!$A$7,E276&lt;Capa!$A$5,E276&gt;Capa!$A$7,D276&gt;E276),"Erro","")</f>
        <v/>
      </c>
    </row>
    <row r="277" spans="1:9" ht="30" hidden="1">
      <c r="A277" s="345">
        <v>333</v>
      </c>
      <c r="B277" s="346" t="s">
        <v>238</v>
      </c>
      <c r="C277" s="347">
        <v>480</v>
      </c>
      <c r="D277" s="348">
        <v>46388</v>
      </c>
      <c r="E277" s="348">
        <v>46539</v>
      </c>
      <c r="F277" s="346" t="s">
        <v>599</v>
      </c>
      <c r="G277" s="349" t="s">
        <v>458</v>
      </c>
      <c r="H277" s="350">
        <f t="shared" si="7"/>
        <v>2880</v>
      </c>
      <c r="I277" s="120" t="str">
        <f>IF(OR(D277&lt;Capa!$A$5,D277&gt;Capa!$A$7,E277&lt;Capa!$A$5,E277&gt;Capa!$A$7,D277&gt;E277),"Erro","")</f>
        <v/>
      </c>
    </row>
    <row r="278" spans="1:9" ht="30" hidden="1">
      <c r="A278" s="345">
        <v>334</v>
      </c>
      <c r="B278" s="346" t="s">
        <v>238</v>
      </c>
      <c r="C278" s="347">
        <v>240</v>
      </c>
      <c r="D278" s="348">
        <v>46753</v>
      </c>
      <c r="E278" s="348">
        <v>46905</v>
      </c>
      <c r="F278" s="346" t="s">
        <v>599</v>
      </c>
      <c r="G278" s="349" t="s">
        <v>458</v>
      </c>
      <c r="H278" s="350">
        <f t="shared" si="7"/>
        <v>1440</v>
      </c>
      <c r="I278" s="120" t="str">
        <f>IF(OR(D278&lt;Capa!$A$5,D278&gt;Capa!$A$7,E278&lt;Capa!$A$5,E278&gt;Capa!$A$7,D278&gt;E278),"Erro","")</f>
        <v/>
      </c>
    </row>
    <row r="279" spans="1:9" ht="40" hidden="1">
      <c r="A279" s="345">
        <v>336</v>
      </c>
      <c r="B279" s="346" t="s">
        <v>252</v>
      </c>
      <c r="C279" s="347">
        <v>8000</v>
      </c>
      <c r="D279" s="348">
        <v>45658</v>
      </c>
      <c r="E279" s="348">
        <v>45992</v>
      </c>
      <c r="F279" s="346" t="s">
        <v>599</v>
      </c>
      <c r="G279" s="349" t="s">
        <v>459</v>
      </c>
      <c r="H279" s="350">
        <f t="shared" si="7"/>
        <v>96000</v>
      </c>
      <c r="I279" s="120" t="str">
        <f>IF(OR(D279&lt;Capa!$A$5,D279&gt;Capa!$A$7,E279&lt;Capa!$A$5,E279&gt;Capa!$A$7,D279&gt;E279),"Erro","")</f>
        <v/>
      </c>
    </row>
    <row r="280" spans="1:9" ht="40" hidden="1">
      <c r="A280" s="345">
        <v>337</v>
      </c>
      <c r="B280" s="346" t="s">
        <v>252</v>
      </c>
      <c r="C280" s="347">
        <v>8000</v>
      </c>
      <c r="D280" s="348">
        <v>46023</v>
      </c>
      <c r="E280" s="348">
        <v>46357</v>
      </c>
      <c r="F280" s="346" t="s">
        <v>599</v>
      </c>
      <c r="G280" s="349" t="s">
        <v>459</v>
      </c>
      <c r="H280" s="350">
        <f t="shared" si="7"/>
        <v>96000</v>
      </c>
      <c r="I280" s="120" t="str">
        <f>IF(OR(D280&lt;Capa!$A$5,D280&gt;Capa!$A$7,E280&lt;Capa!$A$5,E280&gt;Capa!$A$7,D280&gt;E280),"Erro","")</f>
        <v/>
      </c>
    </row>
    <row r="281" spans="1:9" ht="40" hidden="1">
      <c r="A281" s="345">
        <v>338</v>
      </c>
      <c r="B281" s="346" t="s">
        <v>252</v>
      </c>
      <c r="C281" s="347">
        <v>8000</v>
      </c>
      <c r="D281" s="348">
        <v>46388</v>
      </c>
      <c r="E281" s="348">
        <v>46722</v>
      </c>
      <c r="F281" s="346" t="s">
        <v>599</v>
      </c>
      <c r="G281" s="349" t="s">
        <v>459</v>
      </c>
      <c r="H281" s="350">
        <f t="shared" si="7"/>
        <v>96000</v>
      </c>
      <c r="I281" s="120" t="str">
        <f>IF(OR(D281&lt;Capa!$A$5,D281&gt;Capa!$A$7,E281&lt;Capa!$A$5,E281&gt;Capa!$A$7,D281&gt;E281),"Erro","")</f>
        <v/>
      </c>
    </row>
    <row r="282" spans="1:9" ht="40" hidden="1">
      <c r="A282" s="345">
        <v>339</v>
      </c>
      <c r="B282" s="346" t="s">
        <v>252</v>
      </c>
      <c r="C282" s="347">
        <v>4000</v>
      </c>
      <c r="D282" s="348">
        <v>46753</v>
      </c>
      <c r="E282" s="348">
        <v>47058</v>
      </c>
      <c r="F282" s="346" t="s">
        <v>599</v>
      </c>
      <c r="G282" s="349" t="s">
        <v>459</v>
      </c>
      <c r="H282" s="350">
        <f t="shared" si="7"/>
        <v>44000</v>
      </c>
      <c r="I282" s="120" t="str">
        <f>IF(OR(D282&lt;Capa!$A$5,D282&gt;Capa!$A$7,E282&lt;Capa!$A$5,E282&gt;Capa!$A$7,D282&gt;E282),"Erro","")</f>
        <v/>
      </c>
    </row>
    <row r="283" spans="1:9" ht="20" hidden="1">
      <c r="A283" s="345">
        <v>340</v>
      </c>
      <c r="B283" s="346" t="s">
        <v>620</v>
      </c>
      <c r="C283" s="347">
        <v>110</v>
      </c>
      <c r="D283" s="348">
        <v>45658</v>
      </c>
      <c r="E283" s="348">
        <v>47058</v>
      </c>
      <c r="F283" s="346" t="s">
        <v>599</v>
      </c>
      <c r="G283" s="349" t="s">
        <v>662</v>
      </c>
      <c r="H283" s="350">
        <f t="shared" si="7"/>
        <v>5170</v>
      </c>
      <c r="I283" s="120" t="str">
        <f>IF(OR(D283&lt;Capa!$A$5,D283&gt;Capa!$A$7,E283&lt;Capa!$A$5,E283&gt;Capa!$A$7,D283&gt;E283),"Erro","")</f>
        <v/>
      </c>
    </row>
    <row r="284" spans="1:9" ht="20" hidden="1">
      <c r="A284" s="345">
        <v>342</v>
      </c>
      <c r="B284" s="346" t="s">
        <v>622</v>
      </c>
      <c r="C284" s="347">
        <v>850</v>
      </c>
      <c r="D284" s="348">
        <v>45658</v>
      </c>
      <c r="E284" s="348">
        <v>47058</v>
      </c>
      <c r="F284" s="346" t="s">
        <v>599</v>
      </c>
      <c r="G284" s="349" t="s">
        <v>664</v>
      </c>
      <c r="H284" s="350">
        <f t="shared" si="7"/>
        <v>39950</v>
      </c>
      <c r="I284" s="120" t="str">
        <f>IF(OR(D284&lt;Capa!$A$5,D284&gt;Capa!$A$7,E284&lt;Capa!$A$5,E284&gt;Capa!$A$7,D284&gt;E284),"Erro","")</f>
        <v/>
      </c>
    </row>
    <row r="285" spans="1:9" ht="30" hidden="1">
      <c r="A285" s="345">
        <v>343</v>
      </c>
      <c r="B285" s="346" t="s">
        <v>621</v>
      </c>
      <c r="C285" s="347">
        <v>2000</v>
      </c>
      <c r="D285" s="348">
        <v>45748</v>
      </c>
      <c r="E285" s="348">
        <v>45748</v>
      </c>
      <c r="F285" s="346" t="s">
        <v>599</v>
      </c>
      <c r="G285" s="349" t="s">
        <v>595</v>
      </c>
      <c r="H285" s="350">
        <f t="shared" si="7"/>
        <v>2000</v>
      </c>
      <c r="I285" s="120" t="str">
        <f>IF(OR(D285&lt;Capa!$A$5,D285&gt;Capa!$A$7,E285&lt;Capa!$A$5,E285&gt;Capa!$A$7,D285&gt;E285),"Erro","")</f>
        <v/>
      </c>
    </row>
    <row r="286" spans="1:9" ht="40" hidden="1">
      <c r="A286" s="345">
        <v>344</v>
      </c>
      <c r="B286" s="346" t="s">
        <v>621</v>
      </c>
      <c r="C286" s="347">
        <v>2000</v>
      </c>
      <c r="D286" s="348">
        <v>46419</v>
      </c>
      <c r="E286" s="348">
        <v>46419</v>
      </c>
      <c r="F286" s="346" t="s">
        <v>599</v>
      </c>
      <c r="G286" s="349" t="s">
        <v>667</v>
      </c>
      <c r="H286" s="350">
        <f t="shared" si="7"/>
        <v>2000</v>
      </c>
      <c r="I286" s="120" t="str">
        <f>IF(OR(D286&lt;Capa!$A$5,D286&gt;Capa!$A$7,E286&lt;Capa!$A$5,E286&gt;Capa!$A$7,D286&gt;E286),"Erro","")</f>
        <v/>
      </c>
    </row>
    <row r="287" spans="1:9" ht="30" hidden="1">
      <c r="A287" s="345">
        <v>345</v>
      </c>
      <c r="B287" s="346" t="s">
        <v>619</v>
      </c>
      <c r="C287" s="347">
        <v>70</v>
      </c>
      <c r="D287" s="348">
        <v>45658</v>
      </c>
      <c r="E287" s="348">
        <v>47058</v>
      </c>
      <c r="F287" s="346" t="s">
        <v>599</v>
      </c>
      <c r="G287" s="349" t="s">
        <v>663</v>
      </c>
      <c r="H287" s="350">
        <f t="shared" si="7"/>
        <v>3290</v>
      </c>
      <c r="I287" s="120" t="str">
        <f>IF(OR(D287&lt;Capa!$A$5,D287&gt;Capa!$A$7,E287&lt;Capa!$A$5,E287&gt;Capa!$A$7,D287&gt;E287),"Erro","")</f>
        <v/>
      </c>
    </row>
    <row r="288" spans="1:9" ht="30" hidden="1">
      <c r="A288" s="345">
        <v>348</v>
      </c>
      <c r="B288" s="346" t="s">
        <v>617</v>
      </c>
      <c r="C288" s="347">
        <v>200</v>
      </c>
      <c r="D288" s="348">
        <v>45658</v>
      </c>
      <c r="E288" s="348">
        <v>47058</v>
      </c>
      <c r="F288" s="346" t="s">
        <v>599</v>
      </c>
      <c r="G288" s="349" t="s">
        <v>639</v>
      </c>
      <c r="H288" s="350">
        <f t="shared" si="7"/>
        <v>9400</v>
      </c>
      <c r="I288" s="120" t="str">
        <f>IF(OR(D288&lt;Capa!$A$5,D288&gt;Capa!$A$7,E288&lt;Capa!$A$5,E288&gt;Capa!$A$7,D288&gt;E288),"Erro","")</f>
        <v/>
      </c>
    </row>
    <row r="289" spans="1:9" ht="20" hidden="1">
      <c r="A289" s="345">
        <v>349</v>
      </c>
      <c r="B289" s="346" t="s">
        <v>618</v>
      </c>
      <c r="C289" s="347">
        <v>2500</v>
      </c>
      <c r="D289" s="348">
        <v>45658</v>
      </c>
      <c r="E289" s="348">
        <v>47058</v>
      </c>
      <c r="F289" s="346" t="s">
        <v>599</v>
      </c>
      <c r="G289" s="349" t="s">
        <v>657</v>
      </c>
      <c r="H289" s="350">
        <f t="shared" si="7"/>
        <v>117500</v>
      </c>
      <c r="I289" s="120" t="str">
        <f>IF(OR(D289&lt;Capa!$A$5,D289&gt;Capa!$A$7,E289&lt;Capa!$A$5,E289&gt;Capa!$A$7,D289&gt;E289),"Erro","")</f>
        <v/>
      </c>
    </row>
    <row r="290" spans="1:9" ht="30" hidden="1">
      <c r="A290" s="345">
        <v>351</v>
      </c>
      <c r="B290" s="346" t="s">
        <v>623</v>
      </c>
      <c r="C290" s="347">
        <v>650</v>
      </c>
      <c r="D290" s="348">
        <v>45658</v>
      </c>
      <c r="E290" s="348">
        <v>46784</v>
      </c>
      <c r="F290" s="346" t="s">
        <v>599</v>
      </c>
      <c r="G290" s="349" t="s">
        <v>658</v>
      </c>
      <c r="H290" s="350">
        <f t="shared" si="7"/>
        <v>24700</v>
      </c>
      <c r="I290" s="120" t="str">
        <f>IF(OR(D290&lt;Capa!$A$5,D290&gt;Capa!$A$7,E290&lt;Capa!$A$5,E290&gt;Capa!$A$7,D290&gt;E290),"Erro","")</f>
        <v/>
      </c>
    </row>
    <row r="291" spans="1:9" ht="20" hidden="1">
      <c r="A291" s="345">
        <v>352</v>
      </c>
      <c r="B291" s="346" t="s">
        <v>625</v>
      </c>
      <c r="C291" s="347">
        <v>90</v>
      </c>
      <c r="D291" s="348">
        <v>45658</v>
      </c>
      <c r="E291" s="348">
        <v>47058</v>
      </c>
      <c r="F291" s="346" t="s">
        <v>599</v>
      </c>
      <c r="G291" s="349" t="s">
        <v>659</v>
      </c>
      <c r="H291" s="350">
        <f t="shared" si="7"/>
        <v>4230</v>
      </c>
      <c r="I291" s="120" t="str">
        <f>IF(OR(D291&lt;Capa!$A$5,D291&gt;Capa!$A$7,E291&lt;Capa!$A$5,E291&gt;Capa!$A$7,D291&gt;E291),"Erro","")</f>
        <v/>
      </c>
    </row>
    <row r="292" spans="1:9" ht="30" hidden="1">
      <c r="A292" s="345">
        <v>353</v>
      </c>
      <c r="B292" s="346" t="s">
        <v>626</v>
      </c>
      <c r="C292" s="347">
        <v>350</v>
      </c>
      <c r="D292" s="348">
        <v>45658</v>
      </c>
      <c r="E292" s="348">
        <v>47058</v>
      </c>
      <c r="F292" s="346" t="s">
        <v>599</v>
      </c>
      <c r="G292" s="349" t="s">
        <v>660</v>
      </c>
      <c r="H292" s="350">
        <f t="shared" si="7"/>
        <v>16450</v>
      </c>
      <c r="I292" s="120" t="str">
        <f>IF(OR(D292&lt;Capa!$A$5,D292&gt;Capa!$A$7,E292&lt;Capa!$A$5,E292&gt;Capa!$A$7,D292&gt;E292),"Erro","")</f>
        <v/>
      </c>
    </row>
    <row r="293" spans="1:9" ht="20" hidden="1">
      <c r="A293" s="345">
        <v>354</v>
      </c>
      <c r="B293" s="346" t="s">
        <v>627</v>
      </c>
      <c r="C293" s="347">
        <v>50</v>
      </c>
      <c r="D293" s="348">
        <v>45658</v>
      </c>
      <c r="E293" s="348">
        <v>47058</v>
      </c>
      <c r="F293" s="346" t="s">
        <v>599</v>
      </c>
      <c r="G293" s="349" t="s">
        <v>661</v>
      </c>
      <c r="H293" s="350">
        <f t="shared" si="7"/>
        <v>2350</v>
      </c>
      <c r="I293" s="120" t="str">
        <f>IF(OR(D293&lt;Capa!$A$5,D293&gt;Capa!$A$7,E293&lt;Capa!$A$5,E293&gt;Capa!$A$7,D293&gt;E293),"Erro","")</f>
        <v/>
      </c>
    </row>
    <row r="294" spans="1:9" ht="20" hidden="1">
      <c r="A294" s="345">
        <v>356</v>
      </c>
      <c r="B294" s="346" t="s">
        <v>198</v>
      </c>
      <c r="C294" s="347">
        <v>5532.09</v>
      </c>
      <c r="D294" s="348">
        <v>45658</v>
      </c>
      <c r="E294" s="348">
        <v>45992</v>
      </c>
      <c r="F294" s="346" t="s">
        <v>600</v>
      </c>
      <c r="G294" s="349" t="s">
        <v>437</v>
      </c>
      <c r="H294" s="350">
        <f t="shared" si="7"/>
        <v>66385.08</v>
      </c>
      <c r="I294" s="120" t="str">
        <f>IF(OR(D294&lt;Capa!$A$5,D294&gt;Capa!$A$7,E294&lt;Capa!$A$5,E294&gt;Capa!$A$7,D294&gt;E294),"Erro","")</f>
        <v/>
      </c>
    </row>
    <row r="295" spans="1:9" ht="20" hidden="1">
      <c r="A295" s="345">
        <v>357</v>
      </c>
      <c r="B295" s="346" t="s">
        <v>198</v>
      </c>
      <c r="C295" s="347">
        <v>5808.69</v>
      </c>
      <c r="D295" s="348">
        <v>46023</v>
      </c>
      <c r="E295" s="348">
        <v>46357</v>
      </c>
      <c r="F295" s="346" t="s">
        <v>600</v>
      </c>
      <c r="G295" s="349" t="s">
        <v>437</v>
      </c>
      <c r="H295" s="350">
        <f t="shared" si="7"/>
        <v>69704.28</v>
      </c>
      <c r="I295" s="120" t="str">
        <f>IF(OR(D295&lt;Capa!$A$5,D295&gt;Capa!$A$7,E295&lt;Capa!$A$5,E295&gt;Capa!$A$7,D295&gt;E295),"Erro","")</f>
        <v/>
      </c>
    </row>
    <row r="296" spans="1:9" ht="20" hidden="1">
      <c r="A296" s="345">
        <v>358</v>
      </c>
      <c r="B296" s="346" t="s">
        <v>198</v>
      </c>
      <c r="C296" s="347">
        <v>6099.12</v>
      </c>
      <c r="D296" s="348">
        <v>46388</v>
      </c>
      <c r="E296" s="348">
        <v>46722</v>
      </c>
      <c r="F296" s="346" t="s">
        <v>600</v>
      </c>
      <c r="G296" s="349" t="s">
        <v>437</v>
      </c>
      <c r="H296" s="350">
        <f t="shared" si="7"/>
        <v>73189.440000000002</v>
      </c>
      <c r="I296" s="120" t="str">
        <f>IF(OR(D296&lt;Capa!$A$5,D296&gt;Capa!$A$7,E296&lt;Capa!$A$5,E296&gt;Capa!$A$7,D296&gt;E296),"Erro","")</f>
        <v/>
      </c>
    </row>
    <row r="297" spans="1:9" ht="20" hidden="1">
      <c r="A297" s="345">
        <v>359</v>
      </c>
      <c r="B297" s="346" t="s">
        <v>198</v>
      </c>
      <c r="C297" s="347">
        <v>3000</v>
      </c>
      <c r="D297" s="348">
        <v>46753</v>
      </c>
      <c r="E297" s="348">
        <v>47058</v>
      </c>
      <c r="F297" s="346" t="s">
        <v>600</v>
      </c>
      <c r="G297" s="349" t="s">
        <v>437</v>
      </c>
      <c r="H297" s="350">
        <f t="shared" si="7"/>
        <v>33000</v>
      </c>
      <c r="I297" s="120" t="str">
        <f>IF(OR(D297&lt;Capa!$A$5,D297&gt;Capa!$A$7,E297&lt;Capa!$A$5,E297&gt;Capa!$A$7,D297&gt;E297),"Erro","")</f>
        <v/>
      </c>
    </row>
    <row r="298" spans="1:9" ht="20" hidden="1">
      <c r="A298" s="345">
        <v>360</v>
      </c>
      <c r="B298" s="346" t="s">
        <v>202</v>
      </c>
      <c r="C298" s="347">
        <v>1500</v>
      </c>
      <c r="D298" s="348">
        <v>45658</v>
      </c>
      <c r="E298" s="348">
        <v>45658</v>
      </c>
      <c r="F298" s="346" t="s">
        <v>600</v>
      </c>
      <c r="G298" s="349" t="s">
        <v>438</v>
      </c>
      <c r="H298" s="350">
        <f t="shared" si="7"/>
        <v>1500</v>
      </c>
      <c r="I298" s="120" t="str">
        <f>IF(OR(D298&lt;Capa!$A$5,D298&gt;Capa!$A$7,E298&lt;Capa!$A$5,E298&gt;Capa!$A$7,D298&gt;E298),"Erro","")</f>
        <v/>
      </c>
    </row>
    <row r="299" spans="1:9" ht="20" hidden="1">
      <c r="A299" s="345">
        <v>361</v>
      </c>
      <c r="B299" s="346" t="s">
        <v>202</v>
      </c>
      <c r="C299" s="347">
        <v>1300</v>
      </c>
      <c r="D299" s="348">
        <v>46023</v>
      </c>
      <c r="E299" s="348">
        <v>46023</v>
      </c>
      <c r="F299" s="346" t="s">
        <v>600</v>
      </c>
      <c r="G299" s="349" t="s">
        <v>438</v>
      </c>
      <c r="H299" s="350">
        <f t="shared" si="7"/>
        <v>1300</v>
      </c>
      <c r="I299" s="120" t="str">
        <f>IF(OR(D299&lt;Capa!$A$5,D299&gt;Capa!$A$7,E299&lt;Capa!$A$5,E299&gt;Capa!$A$7,D299&gt;E299),"Erro","")</f>
        <v/>
      </c>
    </row>
    <row r="300" spans="1:9" ht="20" hidden="1">
      <c r="A300" s="345">
        <v>362</v>
      </c>
      <c r="B300" s="346" t="s">
        <v>202</v>
      </c>
      <c r="C300" s="347">
        <v>1300</v>
      </c>
      <c r="D300" s="348">
        <v>46388</v>
      </c>
      <c r="E300" s="348">
        <v>46388</v>
      </c>
      <c r="F300" s="346" t="s">
        <v>600</v>
      </c>
      <c r="G300" s="349" t="s">
        <v>438</v>
      </c>
      <c r="H300" s="350">
        <f t="shared" si="7"/>
        <v>1300</v>
      </c>
      <c r="I300" s="120" t="str">
        <f>IF(OR(D300&lt;Capa!$A$5,D300&gt;Capa!$A$7,E300&lt;Capa!$A$5,E300&gt;Capa!$A$7,D300&gt;E300),"Erro","")</f>
        <v/>
      </c>
    </row>
    <row r="301" spans="1:9" ht="20" hidden="1">
      <c r="A301" s="345">
        <v>363</v>
      </c>
      <c r="B301" s="346" t="s">
        <v>202</v>
      </c>
      <c r="C301" s="347">
        <v>750</v>
      </c>
      <c r="D301" s="348">
        <v>46753</v>
      </c>
      <c r="E301" s="348">
        <v>46753</v>
      </c>
      <c r="F301" s="346" t="s">
        <v>600</v>
      </c>
      <c r="G301" s="349" t="s">
        <v>438</v>
      </c>
      <c r="H301" s="350">
        <f t="shared" si="7"/>
        <v>750</v>
      </c>
      <c r="I301" s="120" t="str">
        <f>IF(OR(D301&lt;Capa!$A$5,D301&gt;Capa!$A$7,E301&lt;Capa!$A$5,E301&gt;Capa!$A$7,D301&gt;E301),"Erro","")</f>
        <v/>
      </c>
    </row>
    <row r="302" spans="1:9" ht="20" hidden="1">
      <c r="A302" s="345">
        <v>364</v>
      </c>
      <c r="B302" s="346" t="s">
        <v>204</v>
      </c>
      <c r="C302" s="347">
        <v>1250</v>
      </c>
      <c r="D302" s="348">
        <v>45658</v>
      </c>
      <c r="E302" s="348">
        <v>45748</v>
      </c>
      <c r="F302" s="346" t="s">
        <v>600</v>
      </c>
      <c r="G302" s="349" t="s">
        <v>438</v>
      </c>
      <c r="H302" s="350">
        <f t="shared" si="7"/>
        <v>5000</v>
      </c>
      <c r="I302" s="120" t="str">
        <f>IF(OR(D302&lt;Capa!$A$5,D302&gt;Capa!$A$7,E302&lt;Capa!$A$5,E302&gt;Capa!$A$7,D302&gt;E302),"Erro","")</f>
        <v/>
      </c>
    </row>
    <row r="303" spans="1:9" ht="20" hidden="1">
      <c r="A303" s="345">
        <v>365</v>
      </c>
      <c r="B303" s="346" t="s">
        <v>204</v>
      </c>
      <c r="C303" s="347">
        <v>1250</v>
      </c>
      <c r="D303" s="348">
        <v>46023</v>
      </c>
      <c r="E303" s="348">
        <v>46113</v>
      </c>
      <c r="F303" s="346" t="s">
        <v>600</v>
      </c>
      <c r="G303" s="349" t="s">
        <v>438</v>
      </c>
      <c r="H303" s="350">
        <f t="shared" si="7"/>
        <v>5000</v>
      </c>
      <c r="I303" s="120" t="str">
        <f>IF(OR(D303&lt;Capa!$A$5,D303&gt;Capa!$A$7,E303&lt;Capa!$A$5,E303&gt;Capa!$A$7,D303&gt;E303),"Erro","")</f>
        <v/>
      </c>
    </row>
    <row r="304" spans="1:9" ht="20" hidden="1">
      <c r="A304" s="345">
        <v>366</v>
      </c>
      <c r="B304" s="346" t="s">
        <v>204</v>
      </c>
      <c r="C304" s="347">
        <v>1250</v>
      </c>
      <c r="D304" s="348">
        <v>46388</v>
      </c>
      <c r="E304" s="348">
        <v>46478</v>
      </c>
      <c r="F304" s="346" t="s">
        <v>600</v>
      </c>
      <c r="G304" s="349" t="s">
        <v>438</v>
      </c>
      <c r="H304" s="350">
        <f t="shared" si="7"/>
        <v>5000</v>
      </c>
      <c r="I304" s="120" t="str">
        <f>IF(OR(D304&lt;Capa!$A$5,D304&gt;Capa!$A$7,E304&lt;Capa!$A$5,E304&gt;Capa!$A$7,D304&gt;E304),"Erro","")</f>
        <v/>
      </c>
    </row>
    <row r="305" spans="1:9" ht="20" hidden="1">
      <c r="A305" s="345">
        <v>367</v>
      </c>
      <c r="B305" s="346" t="s">
        <v>204</v>
      </c>
      <c r="C305" s="347">
        <v>780</v>
      </c>
      <c r="D305" s="348">
        <v>46753</v>
      </c>
      <c r="E305" s="348">
        <v>46844</v>
      </c>
      <c r="F305" s="346" t="s">
        <v>600</v>
      </c>
      <c r="G305" s="349" t="s">
        <v>438</v>
      </c>
      <c r="H305" s="350">
        <f t="shared" si="7"/>
        <v>3120</v>
      </c>
      <c r="I305" s="120" t="str">
        <f>IF(OR(D305&lt;Capa!$A$5,D305&gt;Capa!$A$7,E305&lt;Capa!$A$5,E305&gt;Capa!$A$7,D305&gt;E305),"Erro","")</f>
        <v/>
      </c>
    </row>
    <row r="306" spans="1:9" ht="20" hidden="1">
      <c r="A306" s="345">
        <v>369</v>
      </c>
      <c r="B306" s="346" t="s">
        <v>206</v>
      </c>
      <c r="C306" s="347">
        <v>1500</v>
      </c>
      <c r="D306" s="348">
        <v>45658</v>
      </c>
      <c r="E306" s="348">
        <v>45992</v>
      </c>
      <c r="F306" s="346" t="s">
        <v>600</v>
      </c>
      <c r="G306" s="349" t="s">
        <v>439</v>
      </c>
      <c r="H306" s="350">
        <f t="shared" si="7"/>
        <v>18000</v>
      </c>
      <c r="I306" s="120" t="str">
        <f>IF(OR(D306&lt;Capa!$A$5,D306&gt;Capa!$A$7,E306&lt;Capa!$A$5,E306&gt;Capa!$A$7,D306&gt;E306),"Erro","")</f>
        <v/>
      </c>
    </row>
    <row r="307" spans="1:9" ht="20" hidden="1">
      <c r="A307" s="345">
        <v>370</v>
      </c>
      <c r="B307" s="346" t="s">
        <v>206</v>
      </c>
      <c r="C307" s="347">
        <v>1500</v>
      </c>
      <c r="D307" s="348">
        <v>46023</v>
      </c>
      <c r="E307" s="348">
        <v>46357</v>
      </c>
      <c r="F307" s="346" t="s">
        <v>600</v>
      </c>
      <c r="G307" s="349" t="s">
        <v>439</v>
      </c>
      <c r="H307" s="350">
        <f t="shared" si="7"/>
        <v>18000</v>
      </c>
      <c r="I307" s="120" t="str">
        <f>IF(OR(D307&lt;Capa!$A$5,D307&gt;Capa!$A$7,E307&lt;Capa!$A$5,E307&gt;Capa!$A$7,D307&gt;E307),"Erro","")</f>
        <v/>
      </c>
    </row>
    <row r="308" spans="1:9" ht="20" hidden="1">
      <c r="A308" s="345">
        <v>371</v>
      </c>
      <c r="B308" s="346" t="s">
        <v>206</v>
      </c>
      <c r="C308" s="347">
        <v>1500</v>
      </c>
      <c r="D308" s="348">
        <v>46388</v>
      </c>
      <c r="E308" s="348">
        <v>46722</v>
      </c>
      <c r="F308" s="346" t="s">
        <v>600</v>
      </c>
      <c r="G308" s="349" t="s">
        <v>439</v>
      </c>
      <c r="H308" s="350">
        <f t="shared" si="7"/>
        <v>18000</v>
      </c>
      <c r="I308" s="120" t="str">
        <f>IF(OR(D308&lt;Capa!$A$5,D308&gt;Capa!$A$7,E308&lt;Capa!$A$5,E308&gt;Capa!$A$7,D308&gt;E308),"Erro","")</f>
        <v/>
      </c>
    </row>
    <row r="309" spans="1:9" ht="20" hidden="1">
      <c r="A309" s="345">
        <v>372</v>
      </c>
      <c r="B309" s="346" t="s">
        <v>206</v>
      </c>
      <c r="C309" s="347">
        <v>800</v>
      </c>
      <c r="D309" s="348">
        <v>46753</v>
      </c>
      <c r="E309" s="348">
        <v>47058</v>
      </c>
      <c r="F309" s="346" t="s">
        <v>600</v>
      </c>
      <c r="G309" s="349" t="s">
        <v>439</v>
      </c>
      <c r="H309" s="350">
        <f t="shared" si="7"/>
        <v>8800</v>
      </c>
      <c r="I309" s="120" t="str">
        <f>IF(OR(D309&lt;Capa!$A$5,D309&gt;Capa!$A$7,E309&lt;Capa!$A$5,E309&gt;Capa!$A$7,D309&gt;E309),"Erro","")</f>
        <v/>
      </c>
    </row>
    <row r="310" spans="1:9" ht="20" hidden="1">
      <c r="A310" s="345">
        <v>374</v>
      </c>
      <c r="B310" s="346" t="s">
        <v>208</v>
      </c>
      <c r="C310" s="347">
        <v>1800</v>
      </c>
      <c r="D310" s="348">
        <v>45658</v>
      </c>
      <c r="E310" s="348">
        <v>45992</v>
      </c>
      <c r="F310" s="346" t="s">
        <v>600</v>
      </c>
      <c r="G310" s="349" t="s">
        <v>439</v>
      </c>
      <c r="H310" s="350">
        <f t="shared" si="7"/>
        <v>21600</v>
      </c>
      <c r="I310" s="120" t="str">
        <f>IF(OR(D310&lt;Capa!$A$5,D310&gt;Capa!$A$7,E310&lt;Capa!$A$5,E310&gt;Capa!$A$7,D310&gt;E310),"Erro","")</f>
        <v/>
      </c>
    </row>
    <row r="311" spans="1:9" ht="20" hidden="1">
      <c r="A311" s="345">
        <v>375</v>
      </c>
      <c r="B311" s="346" t="s">
        <v>208</v>
      </c>
      <c r="C311" s="347">
        <v>1800</v>
      </c>
      <c r="D311" s="348">
        <v>46023</v>
      </c>
      <c r="E311" s="348">
        <v>46357</v>
      </c>
      <c r="F311" s="346" t="s">
        <v>600</v>
      </c>
      <c r="G311" s="349" t="s">
        <v>439</v>
      </c>
      <c r="H311" s="350">
        <f t="shared" si="7"/>
        <v>21600</v>
      </c>
      <c r="I311" s="120" t="str">
        <f>IF(OR(D311&lt;Capa!$A$5,D311&gt;Capa!$A$7,E311&lt;Capa!$A$5,E311&gt;Capa!$A$7,D311&gt;E311),"Erro","")</f>
        <v/>
      </c>
    </row>
    <row r="312" spans="1:9" ht="20" hidden="1">
      <c r="A312" s="345">
        <v>376</v>
      </c>
      <c r="B312" s="346" t="s">
        <v>208</v>
      </c>
      <c r="C312" s="347">
        <v>1800</v>
      </c>
      <c r="D312" s="348">
        <v>46388</v>
      </c>
      <c r="E312" s="348">
        <v>46722</v>
      </c>
      <c r="F312" s="346" t="s">
        <v>600</v>
      </c>
      <c r="G312" s="349" t="s">
        <v>439</v>
      </c>
      <c r="H312" s="350">
        <f t="shared" si="7"/>
        <v>21600</v>
      </c>
      <c r="I312" s="120" t="str">
        <f>IF(OR(D312&lt;Capa!$A$5,D312&gt;Capa!$A$7,E312&lt;Capa!$A$5,E312&gt;Capa!$A$7,D312&gt;E312),"Erro","")</f>
        <v/>
      </c>
    </row>
    <row r="313" spans="1:9" ht="20" hidden="1">
      <c r="A313" s="345">
        <v>377</v>
      </c>
      <c r="B313" s="346" t="s">
        <v>208</v>
      </c>
      <c r="C313" s="347">
        <v>900</v>
      </c>
      <c r="D313" s="348">
        <v>46753</v>
      </c>
      <c r="E313" s="348">
        <v>47058</v>
      </c>
      <c r="F313" s="346" t="s">
        <v>600</v>
      </c>
      <c r="G313" s="349" t="s">
        <v>439</v>
      </c>
      <c r="H313" s="350">
        <f t="shared" si="7"/>
        <v>9900</v>
      </c>
      <c r="I313" s="120" t="str">
        <f>IF(OR(D313&lt;Capa!$A$5,D313&gt;Capa!$A$7,E313&lt;Capa!$A$5,E313&gt;Capa!$A$7,D313&gt;E313),"Erro","")</f>
        <v/>
      </c>
    </row>
    <row r="314" spans="1:9" ht="20" hidden="1">
      <c r="A314" s="345">
        <v>379</v>
      </c>
      <c r="B314" s="346" t="s">
        <v>210</v>
      </c>
      <c r="C314" s="347">
        <v>60</v>
      </c>
      <c r="D314" s="348">
        <v>45658</v>
      </c>
      <c r="E314" s="348">
        <v>45992</v>
      </c>
      <c r="F314" s="346" t="s">
        <v>600</v>
      </c>
      <c r="G314" s="349" t="s">
        <v>439</v>
      </c>
      <c r="H314" s="350">
        <f t="shared" si="7"/>
        <v>720</v>
      </c>
      <c r="I314" s="120" t="str">
        <f>IF(OR(D314&lt;Capa!$A$5,D314&gt;Capa!$A$7,E314&lt;Capa!$A$5,E314&gt;Capa!$A$7,D314&gt;E314),"Erro","")</f>
        <v/>
      </c>
    </row>
    <row r="315" spans="1:9" ht="20" hidden="1">
      <c r="A315" s="345">
        <v>380</v>
      </c>
      <c r="B315" s="346" t="s">
        <v>210</v>
      </c>
      <c r="C315" s="347">
        <v>60</v>
      </c>
      <c r="D315" s="348">
        <v>46023</v>
      </c>
      <c r="E315" s="348">
        <v>46357</v>
      </c>
      <c r="F315" s="346" t="s">
        <v>600</v>
      </c>
      <c r="G315" s="349" t="s">
        <v>439</v>
      </c>
      <c r="H315" s="350">
        <f t="shared" si="7"/>
        <v>720</v>
      </c>
      <c r="I315" s="120" t="str">
        <f>IF(OR(D315&lt;Capa!$A$5,D315&gt;Capa!$A$7,E315&lt;Capa!$A$5,E315&gt;Capa!$A$7,D315&gt;E315),"Erro","")</f>
        <v/>
      </c>
    </row>
    <row r="316" spans="1:9" ht="20" hidden="1">
      <c r="A316" s="345">
        <v>381</v>
      </c>
      <c r="B316" s="346" t="s">
        <v>210</v>
      </c>
      <c r="C316" s="347">
        <v>60</v>
      </c>
      <c r="D316" s="348">
        <v>46388</v>
      </c>
      <c r="E316" s="348">
        <v>46722</v>
      </c>
      <c r="F316" s="346" t="s">
        <v>600</v>
      </c>
      <c r="G316" s="349" t="s">
        <v>439</v>
      </c>
      <c r="H316" s="350">
        <f t="shared" si="7"/>
        <v>720</v>
      </c>
      <c r="I316" s="120" t="str">
        <f>IF(OR(D316&lt;Capa!$A$5,D316&gt;Capa!$A$7,E316&lt;Capa!$A$5,E316&gt;Capa!$A$7,D316&gt;E316),"Erro","")</f>
        <v/>
      </c>
    </row>
    <row r="317" spans="1:9" ht="20" hidden="1">
      <c r="A317" s="345">
        <v>382</v>
      </c>
      <c r="B317" s="346" t="s">
        <v>210</v>
      </c>
      <c r="C317" s="347">
        <v>49</v>
      </c>
      <c r="D317" s="348">
        <v>46753</v>
      </c>
      <c r="E317" s="348">
        <v>47058</v>
      </c>
      <c r="F317" s="346" t="s">
        <v>600</v>
      </c>
      <c r="G317" s="349" t="s">
        <v>439</v>
      </c>
      <c r="H317" s="350">
        <f t="shared" si="7"/>
        <v>539</v>
      </c>
      <c r="I317" s="120" t="str">
        <f>IF(OR(D317&lt;Capa!$A$5,D317&gt;Capa!$A$7,E317&lt;Capa!$A$5,E317&gt;Capa!$A$7,D317&gt;E317),"Erro","")</f>
        <v/>
      </c>
    </row>
    <row r="318" spans="1:9" ht="20" hidden="1">
      <c r="A318" s="345">
        <v>384</v>
      </c>
      <c r="B318" s="346" t="s">
        <v>214</v>
      </c>
      <c r="C318" s="347">
        <v>140</v>
      </c>
      <c r="D318" s="348">
        <v>45658</v>
      </c>
      <c r="E318" s="348">
        <v>45992</v>
      </c>
      <c r="F318" s="346" t="s">
        <v>600</v>
      </c>
      <c r="G318" s="349" t="s">
        <v>439</v>
      </c>
      <c r="H318" s="350">
        <f t="shared" si="7"/>
        <v>1680</v>
      </c>
      <c r="I318" s="120" t="str">
        <f>IF(OR(D318&lt;Capa!$A$5,D318&gt;Capa!$A$7,E318&lt;Capa!$A$5,E318&gt;Capa!$A$7,D318&gt;E318),"Erro","")</f>
        <v/>
      </c>
    </row>
    <row r="319" spans="1:9" ht="20" hidden="1">
      <c r="A319" s="345">
        <v>385</v>
      </c>
      <c r="B319" s="346" t="s">
        <v>214</v>
      </c>
      <c r="C319" s="347">
        <v>140</v>
      </c>
      <c r="D319" s="348">
        <v>46023</v>
      </c>
      <c r="E319" s="348">
        <v>46357</v>
      </c>
      <c r="F319" s="346" t="s">
        <v>600</v>
      </c>
      <c r="G319" s="349" t="s">
        <v>439</v>
      </c>
      <c r="H319" s="350">
        <f t="shared" si="7"/>
        <v>1680</v>
      </c>
      <c r="I319" s="120" t="str">
        <f>IF(OR(D319&lt;Capa!$A$5,D319&gt;Capa!$A$7,E319&lt;Capa!$A$5,E319&gt;Capa!$A$7,D319&gt;E319),"Erro","")</f>
        <v/>
      </c>
    </row>
    <row r="320" spans="1:9" ht="20" hidden="1">
      <c r="A320" s="345">
        <v>386</v>
      </c>
      <c r="B320" s="346" t="s">
        <v>214</v>
      </c>
      <c r="C320" s="347">
        <v>140</v>
      </c>
      <c r="D320" s="348">
        <v>46388</v>
      </c>
      <c r="E320" s="348">
        <v>46722</v>
      </c>
      <c r="F320" s="346" t="s">
        <v>600</v>
      </c>
      <c r="G320" s="349" t="s">
        <v>439</v>
      </c>
      <c r="H320" s="350">
        <f t="shared" si="7"/>
        <v>1680</v>
      </c>
      <c r="I320" s="120" t="str">
        <f>IF(OR(D320&lt;Capa!$A$5,D320&gt;Capa!$A$7,E320&lt;Capa!$A$5,E320&gt;Capa!$A$7,D320&gt;E320),"Erro","")</f>
        <v/>
      </c>
    </row>
    <row r="321" spans="1:9" ht="20" hidden="1">
      <c r="A321" s="345">
        <v>387</v>
      </c>
      <c r="B321" s="346" t="s">
        <v>214</v>
      </c>
      <c r="C321" s="347">
        <v>70</v>
      </c>
      <c r="D321" s="348">
        <v>46753</v>
      </c>
      <c r="E321" s="348">
        <v>47058</v>
      </c>
      <c r="F321" s="346" t="s">
        <v>600</v>
      </c>
      <c r="G321" s="349" t="s">
        <v>439</v>
      </c>
      <c r="H321" s="350">
        <f t="shared" si="7"/>
        <v>770</v>
      </c>
      <c r="I321" s="120" t="str">
        <f>IF(OR(D321&lt;Capa!$A$5,D321&gt;Capa!$A$7,E321&lt;Capa!$A$5,E321&gt;Capa!$A$7,D321&gt;E321),"Erro","")</f>
        <v/>
      </c>
    </row>
    <row r="322" spans="1:9" ht="50" hidden="1">
      <c r="A322" s="345">
        <v>389</v>
      </c>
      <c r="B322" s="346" t="s">
        <v>212</v>
      </c>
      <c r="C322" s="347">
        <v>260</v>
      </c>
      <c r="D322" s="348">
        <v>45658</v>
      </c>
      <c r="E322" s="348">
        <v>45992</v>
      </c>
      <c r="F322" s="346" t="s">
        <v>600</v>
      </c>
      <c r="G322" s="349" t="s">
        <v>493</v>
      </c>
      <c r="H322" s="350">
        <f t="shared" si="7"/>
        <v>3120</v>
      </c>
      <c r="I322" s="120" t="str">
        <f>IF(OR(D322&lt;Capa!$A$5,D322&gt;Capa!$A$7,E322&lt;Capa!$A$5,E322&gt;Capa!$A$7,D322&gt;E322),"Erro","")</f>
        <v/>
      </c>
    </row>
    <row r="323" spans="1:9" ht="50" hidden="1">
      <c r="A323" s="345">
        <v>390</v>
      </c>
      <c r="B323" s="346" t="s">
        <v>212</v>
      </c>
      <c r="C323" s="347">
        <v>260</v>
      </c>
      <c r="D323" s="348">
        <v>46023</v>
      </c>
      <c r="E323" s="348">
        <v>46357</v>
      </c>
      <c r="F323" s="346" t="s">
        <v>600</v>
      </c>
      <c r="G323" s="349" t="s">
        <v>493</v>
      </c>
      <c r="H323" s="350">
        <f t="shared" si="7"/>
        <v>3120</v>
      </c>
      <c r="I323" s="120" t="str">
        <f>IF(OR(D323&lt;Capa!$A$5,D323&gt;Capa!$A$7,E323&lt;Capa!$A$5,E323&gt;Capa!$A$7,D323&gt;E323),"Erro","")</f>
        <v/>
      </c>
    </row>
    <row r="324" spans="1:9" ht="50" hidden="1">
      <c r="A324" s="345">
        <v>391</v>
      </c>
      <c r="B324" s="346" t="s">
        <v>212</v>
      </c>
      <c r="C324" s="347">
        <v>260</v>
      </c>
      <c r="D324" s="348">
        <v>46388</v>
      </c>
      <c r="E324" s="348">
        <v>46722</v>
      </c>
      <c r="F324" s="346" t="s">
        <v>600</v>
      </c>
      <c r="G324" s="349" t="s">
        <v>493</v>
      </c>
      <c r="H324" s="350">
        <f t="shared" si="7"/>
        <v>3120</v>
      </c>
      <c r="I324" s="120" t="str">
        <f>IF(OR(D324&lt;Capa!$A$5,D324&gt;Capa!$A$7,E324&lt;Capa!$A$5,E324&gt;Capa!$A$7,D324&gt;E324),"Erro","")</f>
        <v/>
      </c>
    </row>
    <row r="325" spans="1:9" ht="50" hidden="1">
      <c r="A325" s="345">
        <v>392</v>
      </c>
      <c r="B325" s="346" t="s">
        <v>212</v>
      </c>
      <c r="C325" s="347">
        <v>220</v>
      </c>
      <c r="D325" s="348">
        <v>46753</v>
      </c>
      <c r="E325" s="348">
        <v>47058</v>
      </c>
      <c r="F325" s="346" t="s">
        <v>600</v>
      </c>
      <c r="G325" s="349" t="s">
        <v>493</v>
      </c>
      <c r="H325" s="350">
        <f t="shared" si="7"/>
        <v>2420</v>
      </c>
      <c r="I325" s="120" t="str">
        <f>IF(OR(D325&lt;Capa!$A$5,D325&gt;Capa!$A$7,E325&lt;Capa!$A$5,E325&gt;Capa!$A$7,D325&gt;E325),"Erro","")</f>
        <v/>
      </c>
    </row>
    <row r="326" spans="1:9" ht="40" hidden="1">
      <c r="A326" s="345">
        <v>393</v>
      </c>
      <c r="B326" s="346" t="s">
        <v>248</v>
      </c>
      <c r="C326" s="347">
        <v>846</v>
      </c>
      <c r="D326" s="348">
        <v>45658</v>
      </c>
      <c r="E326" s="348">
        <v>45809</v>
      </c>
      <c r="F326" s="346" t="s">
        <v>600</v>
      </c>
      <c r="G326" s="349" t="s">
        <v>440</v>
      </c>
      <c r="H326" s="350">
        <f t="shared" si="7"/>
        <v>5076</v>
      </c>
      <c r="I326" s="120" t="str">
        <f>IF(OR(D326&lt;Capa!$A$5,D326&gt;Capa!$A$7,E326&lt;Capa!$A$5,E326&gt;Capa!$A$7,D326&gt;E326),"Erro","")</f>
        <v/>
      </c>
    </row>
    <row r="327" spans="1:9" ht="40" hidden="1">
      <c r="A327" s="345">
        <v>394</v>
      </c>
      <c r="B327" s="346" t="s">
        <v>248</v>
      </c>
      <c r="C327" s="347">
        <v>846</v>
      </c>
      <c r="D327" s="348">
        <v>46023</v>
      </c>
      <c r="E327" s="348">
        <v>46174</v>
      </c>
      <c r="F327" s="346" t="s">
        <v>600</v>
      </c>
      <c r="G327" s="349" t="s">
        <v>440</v>
      </c>
      <c r="H327" s="350">
        <f t="shared" si="7"/>
        <v>5076</v>
      </c>
      <c r="I327" s="120" t="str">
        <f>IF(OR(D327&lt;Capa!$A$5,D327&gt;Capa!$A$7,E327&lt;Capa!$A$5,E327&gt;Capa!$A$7,D327&gt;E327),"Erro","")</f>
        <v/>
      </c>
    </row>
    <row r="328" spans="1:9" ht="40" hidden="1">
      <c r="A328" s="345">
        <v>395</v>
      </c>
      <c r="B328" s="346" t="s">
        <v>248</v>
      </c>
      <c r="C328" s="347">
        <v>846</v>
      </c>
      <c r="D328" s="348">
        <v>46388</v>
      </c>
      <c r="E328" s="348">
        <v>46539</v>
      </c>
      <c r="F328" s="346" t="s">
        <v>600</v>
      </c>
      <c r="G328" s="349" t="s">
        <v>440</v>
      </c>
      <c r="H328" s="350">
        <f t="shared" si="7"/>
        <v>5076</v>
      </c>
      <c r="I328" s="120" t="str">
        <f>IF(OR(D328&lt;Capa!$A$5,D328&gt;Capa!$A$7,E328&lt;Capa!$A$5,E328&gt;Capa!$A$7,D328&gt;E328),"Erro","")</f>
        <v/>
      </c>
    </row>
    <row r="329" spans="1:9" ht="40" hidden="1">
      <c r="A329" s="345">
        <v>396</v>
      </c>
      <c r="B329" s="346" t="s">
        <v>248</v>
      </c>
      <c r="C329" s="347">
        <v>500</v>
      </c>
      <c r="D329" s="348">
        <v>46753</v>
      </c>
      <c r="E329" s="348">
        <v>46905</v>
      </c>
      <c r="F329" s="346" t="s">
        <v>600</v>
      </c>
      <c r="G329" s="349" t="s">
        <v>440</v>
      </c>
      <c r="H329" s="350">
        <f t="shared" ref="H329:H379" si="8">IFERROR((DATEDIF(D329,E329,"M")+1)*C329,0)</f>
        <v>3000</v>
      </c>
      <c r="I329" s="120" t="str">
        <f>IF(OR(D329&lt;Capa!$A$5,D329&gt;Capa!$A$7,E329&lt;Capa!$A$5,E329&gt;Capa!$A$7,D329&gt;E329),"Erro","")</f>
        <v/>
      </c>
    </row>
    <row r="330" spans="1:9" ht="30" hidden="1">
      <c r="A330" s="345">
        <v>397</v>
      </c>
      <c r="B330" s="346" t="s">
        <v>266</v>
      </c>
      <c r="C330" s="347">
        <v>1500</v>
      </c>
      <c r="D330" s="348">
        <v>45658</v>
      </c>
      <c r="E330" s="348">
        <v>45658</v>
      </c>
      <c r="F330" s="346" t="s">
        <v>600</v>
      </c>
      <c r="G330" s="349" t="s">
        <v>441</v>
      </c>
      <c r="H330" s="350">
        <f t="shared" si="8"/>
        <v>1500</v>
      </c>
      <c r="I330" s="120" t="str">
        <f>IF(OR(D330&lt;Capa!$A$5,D330&gt;Capa!$A$7,E330&lt;Capa!$A$5,E330&gt;Capa!$A$7,D330&gt;E330),"Erro","")</f>
        <v/>
      </c>
    </row>
    <row r="331" spans="1:9" ht="30" hidden="1">
      <c r="A331" s="345">
        <v>398</v>
      </c>
      <c r="B331" s="346" t="s">
        <v>266</v>
      </c>
      <c r="C331" s="347">
        <v>1500</v>
      </c>
      <c r="D331" s="348">
        <v>46023</v>
      </c>
      <c r="E331" s="348">
        <v>46023</v>
      </c>
      <c r="F331" s="346" t="s">
        <v>600</v>
      </c>
      <c r="G331" s="349" t="s">
        <v>441</v>
      </c>
      <c r="H331" s="350">
        <f t="shared" si="8"/>
        <v>1500</v>
      </c>
      <c r="I331" s="120" t="str">
        <f>IF(OR(D331&lt;Capa!$A$5,D331&gt;Capa!$A$7,E331&lt;Capa!$A$5,E331&gt;Capa!$A$7,D331&gt;E331),"Erro","")</f>
        <v/>
      </c>
    </row>
    <row r="332" spans="1:9" ht="30" hidden="1">
      <c r="A332" s="345">
        <v>399</v>
      </c>
      <c r="B332" s="346" t="s">
        <v>266</v>
      </c>
      <c r="C332" s="347">
        <v>1500</v>
      </c>
      <c r="D332" s="348">
        <v>46388</v>
      </c>
      <c r="E332" s="348">
        <v>46388</v>
      </c>
      <c r="F332" s="346" t="s">
        <v>600</v>
      </c>
      <c r="G332" s="349" t="s">
        <v>441</v>
      </c>
      <c r="H332" s="350">
        <f t="shared" si="8"/>
        <v>1500</v>
      </c>
      <c r="I332" s="120" t="str">
        <f>IF(OR(D332&lt;Capa!$A$5,D332&gt;Capa!$A$7,E332&lt;Capa!$A$5,E332&gt;Capa!$A$7,D332&gt;E332),"Erro","")</f>
        <v/>
      </c>
    </row>
    <row r="333" spans="1:9" ht="30" hidden="1">
      <c r="A333" s="345">
        <v>400</v>
      </c>
      <c r="B333" s="346" t="s">
        <v>266</v>
      </c>
      <c r="C333" s="347">
        <v>750</v>
      </c>
      <c r="D333" s="348">
        <v>46753</v>
      </c>
      <c r="E333" s="348">
        <v>46753</v>
      </c>
      <c r="F333" s="346" t="s">
        <v>600</v>
      </c>
      <c r="G333" s="349" t="s">
        <v>441</v>
      </c>
      <c r="H333" s="350">
        <f t="shared" si="8"/>
        <v>750</v>
      </c>
      <c r="I333" s="120" t="str">
        <f>IF(OR(D333&lt;Capa!$A$5,D333&gt;Capa!$A$7,E333&lt;Capa!$A$5,E333&gt;Capa!$A$7,D333&gt;E333),"Erro","")</f>
        <v/>
      </c>
    </row>
    <row r="334" spans="1:9" hidden="1">
      <c r="A334" s="345">
        <v>402</v>
      </c>
      <c r="B334" s="346" t="s">
        <v>274</v>
      </c>
      <c r="C334" s="347">
        <v>850</v>
      </c>
      <c r="D334" s="348">
        <v>45658</v>
      </c>
      <c r="E334" s="348">
        <v>45992</v>
      </c>
      <c r="F334" s="346" t="s">
        <v>600</v>
      </c>
      <c r="G334" s="349" t="s">
        <v>442</v>
      </c>
      <c r="H334" s="350">
        <f t="shared" si="8"/>
        <v>10200</v>
      </c>
      <c r="I334" s="120" t="str">
        <f>IF(OR(D334&lt;Capa!$A$5,D334&gt;Capa!$A$7,E334&lt;Capa!$A$5,E334&gt;Capa!$A$7,D334&gt;E334),"Erro","")</f>
        <v/>
      </c>
    </row>
    <row r="335" spans="1:9" hidden="1">
      <c r="A335" s="345">
        <v>403</v>
      </c>
      <c r="B335" s="346" t="s">
        <v>274</v>
      </c>
      <c r="C335" s="347">
        <v>850</v>
      </c>
      <c r="D335" s="348">
        <v>46023</v>
      </c>
      <c r="E335" s="348">
        <v>46357</v>
      </c>
      <c r="F335" s="346" t="s">
        <v>600</v>
      </c>
      <c r="G335" s="349" t="s">
        <v>442</v>
      </c>
      <c r="H335" s="350">
        <f t="shared" si="8"/>
        <v>10200</v>
      </c>
      <c r="I335" s="120" t="str">
        <f>IF(OR(D335&lt;Capa!$A$5,D335&gt;Capa!$A$7,E335&lt;Capa!$A$5,E335&gt;Capa!$A$7,D335&gt;E335),"Erro","")</f>
        <v/>
      </c>
    </row>
    <row r="336" spans="1:9" hidden="1">
      <c r="A336" s="345">
        <v>404</v>
      </c>
      <c r="B336" s="346" t="s">
        <v>274</v>
      </c>
      <c r="C336" s="347">
        <v>850</v>
      </c>
      <c r="D336" s="348">
        <v>46388</v>
      </c>
      <c r="E336" s="348">
        <v>46722</v>
      </c>
      <c r="F336" s="346" t="s">
        <v>600</v>
      </c>
      <c r="G336" s="349" t="s">
        <v>442</v>
      </c>
      <c r="H336" s="350">
        <f t="shared" si="8"/>
        <v>10200</v>
      </c>
      <c r="I336" s="120" t="str">
        <f>IF(OR(D336&lt;Capa!$A$5,D336&gt;Capa!$A$7,E336&lt;Capa!$A$5,E336&gt;Capa!$A$7,D336&gt;E336),"Erro","")</f>
        <v/>
      </c>
    </row>
    <row r="337" spans="1:9" hidden="1">
      <c r="A337" s="345">
        <v>405</v>
      </c>
      <c r="B337" s="346" t="s">
        <v>274</v>
      </c>
      <c r="C337" s="347">
        <v>450</v>
      </c>
      <c r="D337" s="348">
        <v>46753</v>
      </c>
      <c r="E337" s="348">
        <v>47058</v>
      </c>
      <c r="F337" s="346" t="s">
        <v>600</v>
      </c>
      <c r="G337" s="349" t="s">
        <v>442</v>
      </c>
      <c r="H337" s="350">
        <f t="shared" si="8"/>
        <v>4950</v>
      </c>
      <c r="I337" s="120" t="str">
        <f>IF(OR(D337&lt;Capa!$A$5,D337&gt;Capa!$A$7,E337&lt;Capa!$A$5,E337&gt;Capa!$A$7,D337&gt;E337),"Erro","")</f>
        <v/>
      </c>
    </row>
    <row r="338" spans="1:9" ht="40" hidden="1">
      <c r="A338" s="345">
        <v>407</v>
      </c>
      <c r="B338" s="346" t="s">
        <v>236</v>
      </c>
      <c r="C338" s="347">
        <v>450</v>
      </c>
      <c r="D338" s="348">
        <v>45658</v>
      </c>
      <c r="E338" s="348">
        <v>45992</v>
      </c>
      <c r="F338" s="346" t="s">
        <v>600</v>
      </c>
      <c r="G338" s="349" t="s">
        <v>443</v>
      </c>
      <c r="H338" s="350">
        <f t="shared" si="8"/>
        <v>5400</v>
      </c>
      <c r="I338" s="120" t="str">
        <f>IF(OR(D338&lt;Capa!$A$5,D338&gt;Capa!$A$7,E338&lt;Capa!$A$5,E338&gt;Capa!$A$7,D338&gt;E338),"Erro","")</f>
        <v/>
      </c>
    </row>
    <row r="339" spans="1:9" ht="40" hidden="1">
      <c r="A339" s="345">
        <v>408</v>
      </c>
      <c r="B339" s="346" t="s">
        <v>236</v>
      </c>
      <c r="C339" s="347">
        <v>450</v>
      </c>
      <c r="D339" s="348">
        <v>46023</v>
      </c>
      <c r="E339" s="348">
        <v>46357</v>
      </c>
      <c r="F339" s="346" t="s">
        <v>600</v>
      </c>
      <c r="G339" s="349" t="s">
        <v>443</v>
      </c>
      <c r="H339" s="350">
        <f t="shared" si="8"/>
        <v>5400</v>
      </c>
      <c r="I339" s="120" t="str">
        <f>IF(OR(D339&lt;Capa!$A$5,D339&gt;Capa!$A$7,E339&lt;Capa!$A$5,E339&gt;Capa!$A$7,D339&gt;E339),"Erro","")</f>
        <v/>
      </c>
    </row>
    <row r="340" spans="1:9" ht="40" hidden="1">
      <c r="A340" s="345">
        <v>409</v>
      </c>
      <c r="B340" s="346" t="s">
        <v>236</v>
      </c>
      <c r="C340" s="347">
        <v>450</v>
      </c>
      <c r="D340" s="348">
        <v>46388</v>
      </c>
      <c r="E340" s="348">
        <v>46722</v>
      </c>
      <c r="F340" s="346" t="s">
        <v>600</v>
      </c>
      <c r="G340" s="349" t="s">
        <v>443</v>
      </c>
      <c r="H340" s="350">
        <f t="shared" si="8"/>
        <v>5400</v>
      </c>
      <c r="I340" s="120" t="str">
        <f>IF(OR(D340&lt;Capa!$A$5,D340&gt;Capa!$A$7,E340&lt;Capa!$A$5,E340&gt;Capa!$A$7,D340&gt;E340),"Erro","")</f>
        <v/>
      </c>
    </row>
    <row r="341" spans="1:9" ht="40" hidden="1">
      <c r="A341" s="345">
        <v>410</v>
      </c>
      <c r="B341" s="346" t="s">
        <v>236</v>
      </c>
      <c r="C341" s="347">
        <v>200</v>
      </c>
      <c r="D341" s="348">
        <v>46753</v>
      </c>
      <c r="E341" s="348">
        <v>47058</v>
      </c>
      <c r="F341" s="346" t="s">
        <v>600</v>
      </c>
      <c r="G341" s="349" t="s">
        <v>443</v>
      </c>
      <c r="H341" s="350">
        <f t="shared" si="8"/>
        <v>2200</v>
      </c>
      <c r="I341" s="120" t="str">
        <f>IF(OR(D341&lt;Capa!$A$5,D341&gt;Capa!$A$7,E341&lt;Capa!$A$5,E341&gt;Capa!$A$7,D341&gt;E341),"Erro","")</f>
        <v/>
      </c>
    </row>
    <row r="342" spans="1:9" ht="30" hidden="1">
      <c r="A342" s="345">
        <v>412</v>
      </c>
      <c r="B342" s="346" t="s">
        <v>240</v>
      </c>
      <c r="C342" s="347">
        <v>50</v>
      </c>
      <c r="D342" s="348">
        <v>45658</v>
      </c>
      <c r="E342" s="348">
        <v>45992</v>
      </c>
      <c r="F342" s="346" t="s">
        <v>600</v>
      </c>
      <c r="G342" s="349" t="s">
        <v>444</v>
      </c>
      <c r="H342" s="350">
        <f t="shared" si="8"/>
        <v>600</v>
      </c>
      <c r="I342" s="120" t="str">
        <f>IF(OR(D342&lt;Capa!$A$5,D342&gt;Capa!$A$7,E342&lt;Capa!$A$5,E342&gt;Capa!$A$7,D342&gt;E342),"Erro","")</f>
        <v/>
      </c>
    </row>
    <row r="343" spans="1:9" ht="30" hidden="1">
      <c r="A343" s="345">
        <v>413</v>
      </c>
      <c r="B343" s="346" t="s">
        <v>240</v>
      </c>
      <c r="C343" s="347">
        <v>50</v>
      </c>
      <c r="D343" s="348">
        <v>46023</v>
      </c>
      <c r="E343" s="348">
        <v>46357</v>
      </c>
      <c r="F343" s="346" t="s">
        <v>600</v>
      </c>
      <c r="G343" s="349" t="s">
        <v>444</v>
      </c>
      <c r="H343" s="350">
        <f t="shared" si="8"/>
        <v>600</v>
      </c>
      <c r="I343" s="120" t="str">
        <f>IF(OR(D343&lt;Capa!$A$5,D343&gt;Capa!$A$7,E343&lt;Capa!$A$5,E343&gt;Capa!$A$7,D343&gt;E343),"Erro","")</f>
        <v/>
      </c>
    </row>
    <row r="344" spans="1:9" ht="30" hidden="1">
      <c r="A344" s="345">
        <v>414</v>
      </c>
      <c r="B344" s="346" t="s">
        <v>240</v>
      </c>
      <c r="C344" s="347">
        <v>50</v>
      </c>
      <c r="D344" s="348">
        <v>46388</v>
      </c>
      <c r="E344" s="348">
        <v>46722</v>
      </c>
      <c r="F344" s="346" t="s">
        <v>600</v>
      </c>
      <c r="G344" s="349" t="s">
        <v>444</v>
      </c>
      <c r="H344" s="350">
        <f t="shared" si="8"/>
        <v>600</v>
      </c>
      <c r="I344" s="120" t="str">
        <f>IF(OR(D344&lt;Capa!$A$5,D344&gt;Capa!$A$7,E344&lt;Capa!$A$5,E344&gt;Capa!$A$7,D344&gt;E344),"Erro","")</f>
        <v/>
      </c>
    </row>
    <row r="345" spans="1:9" ht="30" hidden="1">
      <c r="A345" s="345">
        <v>415</v>
      </c>
      <c r="B345" s="346" t="s">
        <v>240</v>
      </c>
      <c r="C345" s="347">
        <v>25</v>
      </c>
      <c r="D345" s="348">
        <v>46753</v>
      </c>
      <c r="E345" s="348">
        <v>47058</v>
      </c>
      <c r="F345" s="346" t="s">
        <v>600</v>
      </c>
      <c r="G345" s="349" t="s">
        <v>444</v>
      </c>
      <c r="H345" s="350">
        <f t="shared" si="8"/>
        <v>275</v>
      </c>
      <c r="I345" s="120" t="str">
        <f>IF(OR(D345&lt;Capa!$A$5,D345&gt;Capa!$A$7,E345&lt;Capa!$A$5,E345&gt;Capa!$A$7,D345&gt;E345),"Erro","")</f>
        <v/>
      </c>
    </row>
    <row r="346" spans="1:9" ht="30" hidden="1">
      <c r="A346" s="345">
        <v>417</v>
      </c>
      <c r="B346" s="346" t="s">
        <v>244</v>
      </c>
      <c r="C346" s="347">
        <v>250</v>
      </c>
      <c r="D346" s="348">
        <v>45658</v>
      </c>
      <c r="E346" s="348">
        <v>45992</v>
      </c>
      <c r="F346" s="346" t="s">
        <v>600</v>
      </c>
      <c r="G346" s="349" t="s">
        <v>445</v>
      </c>
      <c r="H346" s="350">
        <f t="shared" si="8"/>
        <v>3000</v>
      </c>
      <c r="I346" s="120" t="str">
        <f>IF(OR(D346&lt;Capa!$A$5,D346&gt;Capa!$A$7,E346&lt;Capa!$A$5,E346&gt;Capa!$A$7,D346&gt;E346),"Erro","")</f>
        <v/>
      </c>
    </row>
    <row r="347" spans="1:9" ht="30" hidden="1">
      <c r="A347" s="345">
        <v>418</v>
      </c>
      <c r="B347" s="346" t="s">
        <v>244</v>
      </c>
      <c r="C347" s="347">
        <v>250</v>
      </c>
      <c r="D347" s="348">
        <v>46023</v>
      </c>
      <c r="E347" s="348">
        <v>46357</v>
      </c>
      <c r="F347" s="346" t="s">
        <v>600</v>
      </c>
      <c r="G347" s="349" t="s">
        <v>445</v>
      </c>
      <c r="H347" s="350">
        <f t="shared" si="8"/>
        <v>3000</v>
      </c>
      <c r="I347" s="120" t="str">
        <f>IF(OR(D347&lt;Capa!$A$5,D347&gt;Capa!$A$7,E347&lt;Capa!$A$5,E347&gt;Capa!$A$7,D347&gt;E347),"Erro","")</f>
        <v/>
      </c>
    </row>
    <row r="348" spans="1:9" ht="30" hidden="1">
      <c r="A348" s="345">
        <v>419</v>
      </c>
      <c r="B348" s="346" t="s">
        <v>244</v>
      </c>
      <c r="C348" s="347">
        <v>250</v>
      </c>
      <c r="D348" s="348">
        <v>46388</v>
      </c>
      <c r="E348" s="348">
        <v>46722</v>
      </c>
      <c r="F348" s="346" t="s">
        <v>600</v>
      </c>
      <c r="G348" s="349" t="s">
        <v>445</v>
      </c>
      <c r="H348" s="350">
        <f t="shared" si="8"/>
        <v>3000</v>
      </c>
      <c r="I348" s="120" t="str">
        <f>IF(OR(D348&lt;Capa!$A$5,D348&gt;Capa!$A$7,E348&lt;Capa!$A$5,E348&gt;Capa!$A$7,D348&gt;E348),"Erro","")</f>
        <v/>
      </c>
    </row>
    <row r="349" spans="1:9" ht="30" hidden="1">
      <c r="A349" s="345">
        <v>420</v>
      </c>
      <c r="B349" s="346" t="s">
        <v>244</v>
      </c>
      <c r="C349" s="347">
        <v>125</v>
      </c>
      <c r="D349" s="348">
        <v>46753</v>
      </c>
      <c r="E349" s="348">
        <v>47058</v>
      </c>
      <c r="F349" s="346" t="s">
        <v>600</v>
      </c>
      <c r="G349" s="349" t="s">
        <v>445</v>
      </c>
      <c r="H349" s="350">
        <f t="shared" si="8"/>
        <v>1375</v>
      </c>
      <c r="I349" s="120" t="str">
        <f>IF(OR(D349&lt;Capa!$A$5,D349&gt;Capa!$A$7,E349&lt;Capa!$A$5,E349&gt;Capa!$A$7,D349&gt;E349),"Erro","")</f>
        <v/>
      </c>
    </row>
    <row r="350" spans="1:9" ht="20" hidden="1">
      <c r="A350" s="345">
        <v>421</v>
      </c>
      <c r="B350" s="346" t="s">
        <v>246</v>
      </c>
      <c r="C350" s="347">
        <v>390</v>
      </c>
      <c r="D350" s="348">
        <v>45658</v>
      </c>
      <c r="E350" s="348">
        <v>45992</v>
      </c>
      <c r="F350" s="346" t="s">
        <v>600</v>
      </c>
      <c r="G350" s="349" t="s">
        <v>446</v>
      </c>
      <c r="H350" s="350">
        <f t="shared" si="8"/>
        <v>4680</v>
      </c>
      <c r="I350" s="120" t="str">
        <f>IF(OR(D350&lt;Capa!$A$5,D350&gt;Capa!$A$7,E350&lt;Capa!$A$5,E350&gt;Capa!$A$7,D350&gt;E350),"Erro","")</f>
        <v/>
      </c>
    </row>
    <row r="351" spans="1:9" ht="20" hidden="1">
      <c r="A351" s="345">
        <v>422</v>
      </c>
      <c r="B351" s="346" t="s">
        <v>246</v>
      </c>
      <c r="C351" s="347">
        <v>390</v>
      </c>
      <c r="D351" s="348">
        <v>46023</v>
      </c>
      <c r="E351" s="348">
        <v>46357</v>
      </c>
      <c r="F351" s="346" t="s">
        <v>600</v>
      </c>
      <c r="G351" s="349" t="s">
        <v>446</v>
      </c>
      <c r="H351" s="350">
        <f t="shared" si="8"/>
        <v>4680</v>
      </c>
      <c r="I351" s="120" t="str">
        <f>IF(OR(D351&lt;Capa!$A$5,D351&gt;Capa!$A$7,E351&lt;Capa!$A$5,E351&gt;Capa!$A$7,D351&gt;E351),"Erro","")</f>
        <v/>
      </c>
    </row>
    <row r="352" spans="1:9" ht="20" hidden="1">
      <c r="A352" s="345">
        <v>423</v>
      </c>
      <c r="B352" s="346" t="s">
        <v>246</v>
      </c>
      <c r="C352" s="347">
        <v>390</v>
      </c>
      <c r="D352" s="348">
        <v>46388</v>
      </c>
      <c r="E352" s="348">
        <v>46722</v>
      </c>
      <c r="F352" s="346" t="s">
        <v>600</v>
      </c>
      <c r="G352" s="349" t="s">
        <v>446</v>
      </c>
      <c r="H352" s="350">
        <f t="shared" si="8"/>
        <v>4680</v>
      </c>
      <c r="I352" s="120" t="str">
        <f>IF(OR(D352&lt;Capa!$A$5,D352&gt;Capa!$A$7,E352&lt;Capa!$A$5,E352&gt;Capa!$A$7,D352&gt;E352),"Erro","")</f>
        <v/>
      </c>
    </row>
    <row r="353" spans="1:9" ht="20" hidden="1">
      <c r="A353" s="345">
        <v>424</v>
      </c>
      <c r="B353" s="346" t="s">
        <v>246</v>
      </c>
      <c r="C353" s="347">
        <v>190</v>
      </c>
      <c r="D353" s="348">
        <v>46753</v>
      </c>
      <c r="E353" s="348">
        <v>47058</v>
      </c>
      <c r="F353" s="346" t="s">
        <v>600</v>
      </c>
      <c r="G353" s="349" t="s">
        <v>446</v>
      </c>
      <c r="H353" s="350">
        <f t="shared" si="8"/>
        <v>2090</v>
      </c>
      <c r="I353" s="120" t="str">
        <f>IF(OR(D353&lt;Capa!$A$5,D353&gt;Capa!$A$7,E353&lt;Capa!$A$5,E353&gt;Capa!$A$7,D353&gt;E353),"Erro","")</f>
        <v/>
      </c>
    </row>
    <row r="354" spans="1:9" ht="30" hidden="1">
      <c r="A354" s="345">
        <v>426</v>
      </c>
      <c r="B354" s="346" t="s">
        <v>258</v>
      </c>
      <c r="C354" s="347">
        <v>50</v>
      </c>
      <c r="D354" s="348">
        <v>45658</v>
      </c>
      <c r="E354" s="348">
        <v>45992</v>
      </c>
      <c r="F354" s="346" t="s">
        <v>600</v>
      </c>
      <c r="G354" s="349" t="s">
        <v>447</v>
      </c>
      <c r="H354" s="350">
        <f t="shared" si="8"/>
        <v>600</v>
      </c>
      <c r="I354" s="120" t="str">
        <f>IF(OR(D354&lt;Capa!$A$5,D354&gt;Capa!$A$7,E354&lt;Capa!$A$5,E354&gt;Capa!$A$7,D354&gt;E354),"Erro","")</f>
        <v/>
      </c>
    </row>
    <row r="355" spans="1:9" ht="30" hidden="1">
      <c r="A355" s="345">
        <v>427</v>
      </c>
      <c r="B355" s="346" t="s">
        <v>258</v>
      </c>
      <c r="C355" s="347">
        <v>50</v>
      </c>
      <c r="D355" s="348">
        <v>46023</v>
      </c>
      <c r="E355" s="348">
        <v>46357</v>
      </c>
      <c r="F355" s="346" t="s">
        <v>600</v>
      </c>
      <c r="G355" s="349" t="s">
        <v>447</v>
      </c>
      <c r="H355" s="350">
        <f t="shared" si="8"/>
        <v>600</v>
      </c>
      <c r="I355" s="120" t="str">
        <f>IF(OR(D355&lt;Capa!$A$5,D355&gt;Capa!$A$7,E355&lt;Capa!$A$5,E355&gt;Capa!$A$7,D355&gt;E355),"Erro","")</f>
        <v/>
      </c>
    </row>
    <row r="356" spans="1:9" ht="30" hidden="1">
      <c r="A356" s="345">
        <v>428</v>
      </c>
      <c r="B356" s="346" t="s">
        <v>258</v>
      </c>
      <c r="C356" s="347">
        <v>50</v>
      </c>
      <c r="D356" s="348">
        <v>46388</v>
      </c>
      <c r="E356" s="348">
        <v>46722</v>
      </c>
      <c r="F356" s="346" t="s">
        <v>600</v>
      </c>
      <c r="G356" s="349" t="s">
        <v>447</v>
      </c>
      <c r="H356" s="350">
        <f t="shared" si="8"/>
        <v>600</v>
      </c>
      <c r="I356" s="120" t="str">
        <f>IF(OR(D356&lt;Capa!$A$5,D356&gt;Capa!$A$7,E356&lt;Capa!$A$5,E356&gt;Capa!$A$7,D356&gt;E356),"Erro","")</f>
        <v/>
      </c>
    </row>
    <row r="357" spans="1:9" ht="30" hidden="1">
      <c r="A357" s="345">
        <v>429</v>
      </c>
      <c r="B357" s="346" t="s">
        <v>258</v>
      </c>
      <c r="C357" s="347">
        <v>20</v>
      </c>
      <c r="D357" s="348">
        <v>46753</v>
      </c>
      <c r="E357" s="348">
        <v>47058</v>
      </c>
      <c r="F357" s="346" t="s">
        <v>600</v>
      </c>
      <c r="G357" s="349" t="s">
        <v>447</v>
      </c>
      <c r="H357" s="350">
        <f t="shared" si="8"/>
        <v>220</v>
      </c>
      <c r="I357" s="120" t="str">
        <f>IF(OR(D357&lt;Capa!$A$5,D357&gt;Capa!$A$7,E357&lt;Capa!$A$5,E357&gt;Capa!$A$7,D357&gt;E357),"Erro","")</f>
        <v/>
      </c>
    </row>
    <row r="358" spans="1:9" ht="40" hidden="1">
      <c r="A358" s="345">
        <v>430</v>
      </c>
      <c r="B358" s="346" t="s">
        <v>276</v>
      </c>
      <c r="C358" s="347">
        <v>500</v>
      </c>
      <c r="D358" s="348">
        <v>45658</v>
      </c>
      <c r="E358" s="348">
        <v>45992</v>
      </c>
      <c r="F358" s="346" t="s">
        <v>600</v>
      </c>
      <c r="G358" s="349" t="s">
        <v>448</v>
      </c>
      <c r="H358" s="350">
        <f t="shared" si="8"/>
        <v>6000</v>
      </c>
      <c r="I358" s="120" t="str">
        <f>IF(OR(D358&lt;Capa!$A$5,D358&gt;Capa!$A$7,E358&lt;Capa!$A$5,E358&gt;Capa!$A$7,D358&gt;E358),"Erro","")</f>
        <v/>
      </c>
    </row>
    <row r="359" spans="1:9" ht="40" hidden="1">
      <c r="A359" s="345">
        <v>431</v>
      </c>
      <c r="B359" s="346" t="s">
        <v>276</v>
      </c>
      <c r="C359" s="347">
        <v>500</v>
      </c>
      <c r="D359" s="348">
        <v>46023</v>
      </c>
      <c r="E359" s="348">
        <v>46357</v>
      </c>
      <c r="F359" s="346" t="s">
        <v>600</v>
      </c>
      <c r="G359" s="349" t="s">
        <v>448</v>
      </c>
      <c r="H359" s="350">
        <f t="shared" si="8"/>
        <v>6000</v>
      </c>
      <c r="I359" s="120" t="str">
        <f>IF(OR(D359&lt;Capa!$A$5,D359&gt;Capa!$A$7,E359&lt;Capa!$A$5,E359&gt;Capa!$A$7,D359&gt;E359),"Erro","")</f>
        <v/>
      </c>
    </row>
    <row r="360" spans="1:9" ht="40" hidden="1">
      <c r="A360" s="345">
        <v>432</v>
      </c>
      <c r="B360" s="346" t="s">
        <v>276</v>
      </c>
      <c r="C360" s="347">
        <v>500</v>
      </c>
      <c r="D360" s="348">
        <v>46388</v>
      </c>
      <c r="E360" s="348">
        <v>46722</v>
      </c>
      <c r="F360" s="346" t="s">
        <v>600</v>
      </c>
      <c r="G360" s="349" t="s">
        <v>448</v>
      </c>
      <c r="H360" s="350">
        <f t="shared" si="8"/>
        <v>6000</v>
      </c>
      <c r="I360" s="120" t="str">
        <f>IF(OR(D360&lt;Capa!$A$5,D360&gt;Capa!$A$7,E360&lt;Capa!$A$5,E360&gt;Capa!$A$7,D360&gt;E360),"Erro","")</f>
        <v/>
      </c>
    </row>
    <row r="361" spans="1:9" ht="40" hidden="1">
      <c r="A361" s="345">
        <v>433</v>
      </c>
      <c r="B361" s="346" t="s">
        <v>276</v>
      </c>
      <c r="C361" s="347">
        <v>250</v>
      </c>
      <c r="D361" s="348">
        <v>46753</v>
      </c>
      <c r="E361" s="348">
        <v>47058</v>
      </c>
      <c r="F361" s="346" t="s">
        <v>600</v>
      </c>
      <c r="G361" s="349" t="s">
        <v>448</v>
      </c>
      <c r="H361" s="350">
        <f t="shared" si="8"/>
        <v>2750</v>
      </c>
      <c r="I361" s="120" t="str">
        <f>IF(OR(D361&lt;Capa!$A$5,D361&gt;Capa!$A$7,E361&lt;Capa!$A$5,E361&gt;Capa!$A$7,D361&gt;E361),"Erro","")</f>
        <v/>
      </c>
    </row>
    <row r="362" spans="1:9" ht="40">
      <c r="A362" s="345">
        <v>435</v>
      </c>
      <c r="B362" s="346" t="s">
        <v>278</v>
      </c>
      <c r="C362" s="347">
        <v>36500</v>
      </c>
      <c r="D362" s="348">
        <v>45658</v>
      </c>
      <c r="E362" s="348">
        <v>45992</v>
      </c>
      <c r="F362" s="346" t="s">
        <v>600</v>
      </c>
      <c r="G362" s="349" t="s">
        <v>449</v>
      </c>
      <c r="H362" s="350">
        <f t="shared" si="8"/>
        <v>438000</v>
      </c>
      <c r="I362" s="120" t="str">
        <f>IF(OR(D362&lt;Capa!$A$5,D362&gt;Capa!$A$7,E362&lt;Capa!$A$5,E362&gt;Capa!$A$7,D362&gt;E362),"Erro","")</f>
        <v/>
      </c>
    </row>
    <row r="363" spans="1:9" ht="40">
      <c r="A363" s="345">
        <v>436</v>
      </c>
      <c r="B363" s="346" t="s">
        <v>278</v>
      </c>
      <c r="C363" s="347">
        <v>36500</v>
      </c>
      <c r="D363" s="348">
        <v>46023</v>
      </c>
      <c r="E363" s="348">
        <v>46357</v>
      </c>
      <c r="F363" s="346" t="s">
        <v>600</v>
      </c>
      <c r="G363" s="349" t="s">
        <v>449</v>
      </c>
      <c r="H363" s="350">
        <f t="shared" si="8"/>
        <v>438000</v>
      </c>
      <c r="I363" s="120" t="str">
        <f>IF(OR(D363&lt;Capa!$A$5,D363&gt;Capa!$A$7,E363&lt;Capa!$A$5,E363&gt;Capa!$A$7,D363&gt;E363),"Erro","")</f>
        <v/>
      </c>
    </row>
    <row r="364" spans="1:9" ht="40">
      <c r="A364" s="345">
        <v>437</v>
      </c>
      <c r="B364" s="346" t="s">
        <v>278</v>
      </c>
      <c r="C364" s="347">
        <v>36500</v>
      </c>
      <c r="D364" s="348">
        <v>46388</v>
      </c>
      <c r="E364" s="348">
        <v>46722</v>
      </c>
      <c r="F364" s="346" t="s">
        <v>600</v>
      </c>
      <c r="G364" s="349" t="s">
        <v>449</v>
      </c>
      <c r="H364" s="350">
        <f t="shared" si="8"/>
        <v>438000</v>
      </c>
      <c r="I364" s="120" t="str">
        <f>IF(OR(D364&lt;Capa!$A$5,D364&gt;Capa!$A$7,E364&lt;Capa!$A$5,E364&gt;Capa!$A$7,D364&gt;E364),"Erro","")</f>
        <v/>
      </c>
    </row>
    <row r="365" spans="1:9" ht="40">
      <c r="A365" s="345">
        <v>438</v>
      </c>
      <c r="B365" s="346" t="s">
        <v>278</v>
      </c>
      <c r="C365" s="347">
        <v>18500</v>
      </c>
      <c r="D365" s="348">
        <v>46753</v>
      </c>
      <c r="E365" s="348">
        <v>47058</v>
      </c>
      <c r="F365" s="346" t="s">
        <v>600</v>
      </c>
      <c r="G365" s="349" t="s">
        <v>449</v>
      </c>
      <c r="H365" s="350">
        <f t="shared" si="8"/>
        <v>203500</v>
      </c>
      <c r="I365" s="120" t="str">
        <f>IF(OR(D365&lt;Capa!$A$5,D365&gt;Capa!$A$7,E365&lt;Capa!$A$5,E365&gt;Capa!$A$7,D365&gt;E365),"Erro","")</f>
        <v/>
      </c>
    </row>
    <row r="366" spans="1:9" ht="40" hidden="1">
      <c r="A366" s="345">
        <v>440</v>
      </c>
      <c r="B366" s="346" t="s">
        <v>280</v>
      </c>
      <c r="C366" s="347">
        <v>100</v>
      </c>
      <c r="D366" s="348">
        <v>45658</v>
      </c>
      <c r="E366" s="348">
        <v>45992</v>
      </c>
      <c r="F366" s="346" t="s">
        <v>600</v>
      </c>
      <c r="G366" s="349" t="s">
        <v>450</v>
      </c>
      <c r="H366" s="350">
        <f t="shared" si="8"/>
        <v>1200</v>
      </c>
      <c r="I366" s="120" t="str">
        <f>IF(OR(D366&lt;Capa!$A$5,D366&gt;Capa!$A$7,E366&lt;Capa!$A$5,E366&gt;Capa!$A$7,D366&gt;E366),"Erro","")</f>
        <v/>
      </c>
    </row>
    <row r="367" spans="1:9" ht="40" hidden="1">
      <c r="A367" s="345">
        <v>441</v>
      </c>
      <c r="B367" s="346" t="s">
        <v>280</v>
      </c>
      <c r="C367" s="347">
        <v>100</v>
      </c>
      <c r="D367" s="348">
        <v>46023</v>
      </c>
      <c r="E367" s="348">
        <v>46357</v>
      </c>
      <c r="F367" s="346" t="s">
        <v>600</v>
      </c>
      <c r="G367" s="349" t="s">
        <v>450</v>
      </c>
      <c r="H367" s="350">
        <f t="shared" si="8"/>
        <v>1200</v>
      </c>
      <c r="I367" s="120" t="str">
        <f>IF(OR(D367&lt;Capa!$A$5,D367&gt;Capa!$A$7,E367&lt;Capa!$A$5,E367&gt;Capa!$A$7,D367&gt;E367),"Erro","")</f>
        <v/>
      </c>
    </row>
    <row r="368" spans="1:9" ht="40" hidden="1">
      <c r="A368" s="345">
        <v>442</v>
      </c>
      <c r="B368" s="346" t="s">
        <v>280</v>
      </c>
      <c r="C368" s="347">
        <v>100</v>
      </c>
      <c r="D368" s="348">
        <v>46388</v>
      </c>
      <c r="E368" s="348">
        <v>46722</v>
      </c>
      <c r="F368" s="346" t="s">
        <v>600</v>
      </c>
      <c r="G368" s="349" t="s">
        <v>450</v>
      </c>
      <c r="H368" s="350">
        <f t="shared" si="8"/>
        <v>1200</v>
      </c>
      <c r="I368" s="120" t="str">
        <f>IF(OR(D368&lt;Capa!$A$5,D368&gt;Capa!$A$7,E368&lt;Capa!$A$5,E368&gt;Capa!$A$7,D368&gt;E368),"Erro","")</f>
        <v/>
      </c>
    </row>
    <row r="369" spans="1:9" ht="40" hidden="1">
      <c r="A369" s="345">
        <v>443</v>
      </c>
      <c r="B369" s="346" t="s">
        <v>280</v>
      </c>
      <c r="C369" s="347">
        <v>50</v>
      </c>
      <c r="D369" s="348">
        <v>46753</v>
      </c>
      <c r="E369" s="348">
        <v>47058</v>
      </c>
      <c r="F369" s="346" t="s">
        <v>600</v>
      </c>
      <c r="G369" s="349" t="s">
        <v>450</v>
      </c>
      <c r="H369" s="350">
        <f t="shared" si="8"/>
        <v>550</v>
      </c>
      <c r="I369" s="120" t="str">
        <f>IF(OR(D369&lt;Capa!$A$5,D369&gt;Capa!$A$7,E369&lt;Capa!$A$5,E369&gt;Capa!$A$7,D369&gt;E369),"Erro","")</f>
        <v/>
      </c>
    </row>
    <row r="370" spans="1:9" ht="40" hidden="1">
      <c r="A370" s="345">
        <v>445</v>
      </c>
      <c r="B370" s="346" t="s">
        <v>282</v>
      </c>
      <c r="C370" s="347">
        <v>450</v>
      </c>
      <c r="D370" s="348">
        <v>45658</v>
      </c>
      <c r="E370" s="348">
        <v>45992</v>
      </c>
      <c r="F370" s="346" t="s">
        <v>600</v>
      </c>
      <c r="G370" s="349" t="s">
        <v>451</v>
      </c>
      <c r="H370" s="350">
        <f t="shared" si="8"/>
        <v>5400</v>
      </c>
      <c r="I370" s="120" t="str">
        <f>IF(OR(D370&lt;Capa!$A$5,D370&gt;Capa!$A$7,E370&lt;Capa!$A$5,E370&gt;Capa!$A$7,D370&gt;E370),"Erro","")</f>
        <v/>
      </c>
    </row>
    <row r="371" spans="1:9" ht="40" hidden="1">
      <c r="A371" s="345">
        <v>446</v>
      </c>
      <c r="B371" s="346" t="s">
        <v>282</v>
      </c>
      <c r="C371" s="347">
        <v>450</v>
      </c>
      <c r="D371" s="348">
        <v>46023</v>
      </c>
      <c r="E371" s="348">
        <v>46357</v>
      </c>
      <c r="F371" s="346" t="s">
        <v>600</v>
      </c>
      <c r="G371" s="349" t="s">
        <v>451</v>
      </c>
      <c r="H371" s="350">
        <f t="shared" si="8"/>
        <v>5400</v>
      </c>
      <c r="I371" s="120" t="str">
        <f>IF(OR(D371&lt;Capa!$A$5,D371&gt;Capa!$A$7,E371&lt;Capa!$A$5,E371&gt;Capa!$A$7,D371&gt;E371),"Erro","")</f>
        <v/>
      </c>
    </row>
    <row r="372" spans="1:9" ht="40" hidden="1">
      <c r="A372" s="345">
        <v>447</v>
      </c>
      <c r="B372" s="346" t="s">
        <v>282</v>
      </c>
      <c r="C372" s="347">
        <v>450</v>
      </c>
      <c r="D372" s="348">
        <v>46388</v>
      </c>
      <c r="E372" s="348">
        <v>46722</v>
      </c>
      <c r="F372" s="346" t="s">
        <v>600</v>
      </c>
      <c r="G372" s="349" t="s">
        <v>451</v>
      </c>
      <c r="H372" s="350">
        <f t="shared" si="8"/>
        <v>5400</v>
      </c>
      <c r="I372" s="120" t="str">
        <f>IF(OR(D372&lt;Capa!$A$5,D372&gt;Capa!$A$7,E372&lt;Capa!$A$5,E372&gt;Capa!$A$7,D372&gt;E372),"Erro","")</f>
        <v/>
      </c>
    </row>
    <row r="373" spans="1:9" ht="40" hidden="1">
      <c r="A373" s="345">
        <v>448</v>
      </c>
      <c r="B373" s="346" t="s">
        <v>282</v>
      </c>
      <c r="C373" s="347">
        <v>200</v>
      </c>
      <c r="D373" s="348">
        <v>46753</v>
      </c>
      <c r="E373" s="348">
        <v>47058</v>
      </c>
      <c r="F373" s="346" t="s">
        <v>600</v>
      </c>
      <c r="G373" s="349" t="s">
        <v>451</v>
      </c>
      <c r="H373" s="350">
        <f t="shared" si="8"/>
        <v>2200</v>
      </c>
      <c r="I373" s="120" t="str">
        <f>IF(OR(D373&lt;Capa!$A$5,D373&gt;Capa!$A$7,E373&lt;Capa!$A$5,E373&gt;Capa!$A$7,D373&gt;E373),"Erro","")</f>
        <v/>
      </c>
    </row>
    <row r="374" spans="1:9" ht="40" hidden="1">
      <c r="A374" s="345">
        <v>450</v>
      </c>
      <c r="B374" s="346" t="s">
        <v>284</v>
      </c>
      <c r="C374" s="347">
        <v>950</v>
      </c>
      <c r="D374" s="348">
        <v>45658</v>
      </c>
      <c r="E374" s="348">
        <v>45992</v>
      </c>
      <c r="F374" s="346" t="s">
        <v>600</v>
      </c>
      <c r="G374" s="349" t="s">
        <v>451</v>
      </c>
      <c r="H374" s="350">
        <f t="shared" si="8"/>
        <v>11400</v>
      </c>
      <c r="I374" s="120" t="str">
        <f>IF(OR(D374&lt;Capa!$A$5,D374&gt;Capa!$A$7,E374&lt;Capa!$A$5,E374&gt;Capa!$A$7,D374&gt;E374),"Erro","")</f>
        <v/>
      </c>
    </row>
    <row r="375" spans="1:9" ht="40" hidden="1">
      <c r="A375" s="345">
        <v>451</v>
      </c>
      <c r="B375" s="346" t="s">
        <v>284</v>
      </c>
      <c r="C375" s="347">
        <v>950</v>
      </c>
      <c r="D375" s="348">
        <v>46023</v>
      </c>
      <c r="E375" s="348">
        <v>46357</v>
      </c>
      <c r="F375" s="346" t="s">
        <v>600</v>
      </c>
      <c r="G375" s="349" t="s">
        <v>451</v>
      </c>
      <c r="H375" s="350">
        <f t="shared" si="8"/>
        <v>11400</v>
      </c>
      <c r="I375" s="120" t="str">
        <f>IF(OR(D375&lt;Capa!$A$5,D375&gt;Capa!$A$7,E375&lt;Capa!$A$5,E375&gt;Capa!$A$7,D375&gt;E375),"Erro","")</f>
        <v/>
      </c>
    </row>
    <row r="376" spans="1:9" ht="40" hidden="1">
      <c r="A376" s="345">
        <v>452</v>
      </c>
      <c r="B376" s="346" t="s">
        <v>284</v>
      </c>
      <c r="C376" s="347">
        <v>950</v>
      </c>
      <c r="D376" s="348">
        <v>46388</v>
      </c>
      <c r="E376" s="348">
        <v>46722</v>
      </c>
      <c r="F376" s="346" t="s">
        <v>600</v>
      </c>
      <c r="G376" s="349" t="s">
        <v>451</v>
      </c>
      <c r="H376" s="350">
        <f t="shared" si="8"/>
        <v>11400</v>
      </c>
      <c r="I376" s="120" t="str">
        <f>IF(OR(D376&lt;Capa!$A$5,D376&gt;Capa!$A$7,E376&lt;Capa!$A$5,E376&gt;Capa!$A$7,D376&gt;E376),"Erro","")</f>
        <v/>
      </c>
    </row>
    <row r="377" spans="1:9" ht="40" hidden="1">
      <c r="A377" s="345">
        <v>453</v>
      </c>
      <c r="B377" s="346" t="s">
        <v>284</v>
      </c>
      <c r="C377" s="347">
        <v>400</v>
      </c>
      <c r="D377" s="348">
        <v>46753</v>
      </c>
      <c r="E377" s="348">
        <v>47058</v>
      </c>
      <c r="F377" s="346" t="s">
        <v>600</v>
      </c>
      <c r="G377" s="349" t="s">
        <v>451</v>
      </c>
      <c r="H377" s="350">
        <f t="shared" si="8"/>
        <v>4400</v>
      </c>
      <c r="I377" s="120" t="str">
        <f>IF(OR(D377&lt;Capa!$A$5,D377&gt;Capa!$A$7,E377&lt;Capa!$A$5,E377&gt;Capa!$A$7,D377&gt;E377),"Erro","")</f>
        <v/>
      </c>
    </row>
    <row r="378" spans="1:9" ht="40" hidden="1">
      <c r="A378" s="345">
        <v>455</v>
      </c>
      <c r="B378" s="346" t="s">
        <v>286</v>
      </c>
      <c r="C378" s="347">
        <v>1000</v>
      </c>
      <c r="D378" s="348">
        <v>45658</v>
      </c>
      <c r="E378" s="348">
        <v>45992</v>
      </c>
      <c r="F378" s="346" t="s">
        <v>600</v>
      </c>
      <c r="G378" s="349" t="s">
        <v>451</v>
      </c>
      <c r="H378" s="350">
        <f t="shared" si="8"/>
        <v>12000</v>
      </c>
      <c r="I378" s="120" t="str">
        <f>IF(OR(D378&lt;Capa!$A$5,D378&gt;Capa!$A$7,E378&lt;Capa!$A$5,E378&gt;Capa!$A$7,D378&gt;E378),"Erro","")</f>
        <v/>
      </c>
    </row>
    <row r="379" spans="1:9" ht="40" hidden="1">
      <c r="A379" s="345">
        <v>456</v>
      </c>
      <c r="B379" s="346" t="s">
        <v>286</v>
      </c>
      <c r="C379" s="347">
        <v>1000</v>
      </c>
      <c r="D379" s="348">
        <v>46023</v>
      </c>
      <c r="E379" s="348">
        <v>46357</v>
      </c>
      <c r="F379" s="346" t="s">
        <v>600</v>
      </c>
      <c r="G379" s="349" t="s">
        <v>451</v>
      </c>
      <c r="H379" s="350">
        <f t="shared" si="8"/>
        <v>12000</v>
      </c>
      <c r="I379" s="120" t="str">
        <f>IF(OR(D379&lt;Capa!$A$5,D379&gt;Capa!$A$7,E379&lt;Capa!$A$5,E379&gt;Capa!$A$7,D379&gt;E379),"Erro","")</f>
        <v/>
      </c>
    </row>
    <row r="380" spans="1:9" ht="40" hidden="1">
      <c r="A380" s="345">
        <v>457</v>
      </c>
      <c r="B380" s="346" t="s">
        <v>286</v>
      </c>
      <c r="C380" s="347">
        <v>1000</v>
      </c>
      <c r="D380" s="348">
        <v>46388</v>
      </c>
      <c r="E380" s="348">
        <v>46722</v>
      </c>
      <c r="F380" s="346" t="s">
        <v>600</v>
      </c>
      <c r="G380" s="349" t="s">
        <v>451</v>
      </c>
      <c r="H380" s="350">
        <f t="shared" ref="H380:H433" si="9">IFERROR((DATEDIF(D380,E380,"M")+1)*C380,0)</f>
        <v>12000</v>
      </c>
      <c r="I380" s="120" t="str">
        <f>IF(OR(D380&lt;Capa!$A$5,D380&gt;Capa!$A$7,E380&lt;Capa!$A$5,E380&gt;Capa!$A$7,D380&gt;E380),"Erro","")</f>
        <v/>
      </c>
    </row>
    <row r="381" spans="1:9" ht="40" hidden="1">
      <c r="A381" s="345">
        <v>458</v>
      </c>
      <c r="B381" s="346" t="s">
        <v>286</v>
      </c>
      <c r="C381" s="347">
        <v>500</v>
      </c>
      <c r="D381" s="348">
        <v>46753</v>
      </c>
      <c r="E381" s="348">
        <v>47058</v>
      </c>
      <c r="F381" s="346" t="s">
        <v>600</v>
      </c>
      <c r="G381" s="349" t="s">
        <v>451</v>
      </c>
      <c r="H381" s="350">
        <f t="shared" si="9"/>
        <v>5500</v>
      </c>
      <c r="I381" s="120" t="str">
        <f>IF(OR(D381&lt;Capa!$A$5,D381&gt;Capa!$A$7,E381&lt;Capa!$A$5,E381&gt;Capa!$A$7,D381&gt;E381),"Erro","")</f>
        <v/>
      </c>
    </row>
    <row r="382" spans="1:9" ht="30" hidden="1">
      <c r="A382" s="345">
        <v>460</v>
      </c>
      <c r="B382" s="346" t="s">
        <v>288</v>
      </c>
      <c r="C382" s="347">
        <v>200</v>
      </c>
      <c r="D382" s="348">
        <v>45658</v>
      </c>
      <c r="E382" s="348">
        <v>45992</v>
      </c>
      <c r="F382" s="346" t="s">
        <v>600</v>
      </c>
      <c r="G382" s="349" t="s">
        <v>452</v>
      </c>
      <c r="H382" s="350">
        <f t="shared" si="9"/>
        <v>2400</v>
      </c>
      <c r="I382" s="120" t="str">
        <f>IF(OR(D382&lt;Capa!$A$5,D382&gt;Capa!$A$7,E382&lt;Capa!$A$5,E382&gt;Capa!$A$7,D382&gt;E382),"Erro","")</f>
        <v/>
      </c>
    </row>
    <row r="383" spans="1:9" ht="30" hidden="1">
      <c r="A383" s="345">
        <v>461</v>
      </c>
      <c r="B383" s="346" t="s">
        <v>288</v>
      </c>
      <c r="C383" s="347">
        <v>200</v>
      </c>
      <c r="D383" s="348">
        <v>46023</v>
      </c>
      <c r="E383" s="348">
        <v>46357</v>
      </c>
      <c r="F383" s="346" t="s">
        <v>600</v>
      </c>
      <c r="G383" s="349" t="s">
        <v>452</v>
      </c>
      <c r="H383" s="350">
        <f t="shared" si="9"/>
        <v>2400</v>
      </c>
      <c r="I383" s="120" t="str">
        <f>IF(OR(D383&lt;Capa!$A$5,D383&gt;Capa!$A$7,E383&lt;Capa!$A$5,E383&gt;Capa!$A$7,D383&gt;E383),"Erro","")</f>
        <v/>
      </c>
    </row>
    <row r="384" spans="1:9" ht="30" hidden="1">
      <c r="A384" s="345">
        <v>462</v>
      </c>
      <c r="B384" s="346" t="s">
        <v>288</v>
      </c>
      <c r="C384" s="347">
        <v>200</v>
      </c>
      <c r="D384" s="348">
        <v>46388</v>
      </c>
      <c r="E384" s="348">
        <v>46722</v>
      </c>
      <c r="F384" s="346" t="s">
        <v>600</v>
      </c>
      <c r="G384" s="349" t="s">
        <v>452</v>
      </c>
      <c r="H384" s="350">
        <f t="shared" si="9"/>
        <v>2400</v>
      </c>
      <c r="I384" s="120" t="str">
        <f>IF(OR(D384&lt;Capa!$A$5,D384&gt;Capa!$A$7,E384&lt;Capa!$A$5,E384&gt;Capa!$A$7,D384&gt;E384),"Erro","")</f>
        <v/>
      </c>
    </row>
    <row r="385" spans="1:9" ht="30" hidden="1">
      <c r="A385" s="345">
        <v>463</v>
      </c>
      <c r="B385" s="346" t="s">
        <v>288</v>
      </c>
      <c r="C385" s="347">
        <v>100</v>
      </c>
      <c r="D385" s="348">
        <v>46753</v>
      </c>
      <c r="E385" s="348">
        <v>47058</v>
      </c>
      <c r="F385" s="346" t="s">
        <v>600</v>
      </c>
      <c r="G385" s="349" t="s">
        <v>452</v>
      </c>
      <c r="H385" s="350">
        <f t="shared" si="9"/>
        <v>1100</v>
      </c>
      <c r="I385" s="120" t="str">
        <f>IF(OR(D385&lt;Capa!$A$5,D385&gt;Capa!$A$7,E385&lt;Capa!$A$5,E385&gt;Capa!$A$7,D385&gt;E385),"Erro","")</f>
        <v/>
      </c>
    </row>
    <row r="386" spans="1:9" ht="30" hidden="1">
      <c r="A386" s="345">
        <v>465</v>
      </c>
      <c r="B386" s="346" t="s">
        <v>294</v>
      </c>
      <c r="C386" s="347">
        <v>5000</v>
      </c>
      <c r="D386" s="348">
        <v>45658</v>
      </c>
      <c r="E386" s="348">
        <v>45992</v>
      </c>
      <c r="F386" s="346" t="s">
        <v>600</v>
      </c>
      <c r="G386" s="349" t="s">
        <v>453</v>
      </c>
      <c r="H386" s="350">
        <f t="shared" si="9"/>
        <v>60000</v>
      </c>
      <c r="I386" s="120" t="str">
        <f>IF(OR(D386&lt;Capa!$A$5,D386&gt;Capa!$A$7,E386&lt;Capa!$A$5,E386&gt;Capa!$A$7,D386&gt;E386),"Erro","")</f>
        <v/>
      </c>
    </row>
    <row r="387" spans="1:9" ht="30" hidden="1">
      <c r="A387" s="345">
        <v>466</v>
      </c>
      <c r="B387" s="346" t="s">
        <v>294</v>
      </c>
      <c r="C387" s="347">
        <v>5000</v>
      </c>
      <c r="D387" s="348">
        <v>46023</v>
      </c>
      <c r="E387" s="348">
        <v>46357</v>
      </c>
      <c r="F387" s="346" t="s">
        <v>600</v>
      </c>
      <c r="G387" s="349" t="s">
        <v>453</v>
      </c>
      <c r="H387" s="350">
        <f t="shared" si="9"/>
        <v>60000</v>
      </c>
      <c r="I387" s="120" t="str">
        <f>IF(OR(D387&lt;Capa!$A$5,D387&gt;Capa!$A$7,E387&lt;Capa!$A$5,E387&gt;Capa!$A$7,D387&gt;E387),"Erro","")</f>
        <v/>
      </c>
    </row>
    <row r="388" spans="1:9" ht="30" hidden="1">
      <c r="A388" s="345">
        <v>467</v>
      </c>
      <c r="B388" s="346" t="s">
        <v>294</v>
      </c>
      <c r="C388" s="347">
        <v>5000</v>
      </c>
      <c r="D388" s="348">
        <v>46388</v>
      </c>
      <c r="E388" s="348">
        <v>46722</v>
      </c>
      <c r="F388" s="346" t="s">
        <v>600</v>
      </c>
      <c r="G388" s="349" t="s">
        <v>453</v>
      </c>
      <c r="H388" s="350">
        <f t="shared" si="9"/>
        <v>60000</v>
      </c>
      <c r="I388" s="120" t="str">
        <f>IF(OR(D388&lt;Capa!$A$5,D388&gt;Capa!$A$7,E388&lt;Capa!$A$5,E388&gt;Capa!$A$7,D388&gt;E388),"Erro","")</f>
        <v/>
      </c>
    </row>
    <row r="389" spans="1:9" ht="30" hidden="1">
      <c r="A389" s="345">
        <v>468</v>
      </c>
      <c r="B389" s="346" t="s">
        <v>294</v>
      </c>
      <c r="C389" s="347">
        <v>2000</v>
      </c>
      <c r="D389" s="348">
        <v>46753</v>
      </c>
      <c r="E389" s="348">
        <v>47058</v>
      </c>
      <c r="F389" s="346" t="s">
        <v>600</v>
      </c>
      <c r="G389" s="349" t="s">
        <v>453</v>
      </c>
      <c r="H389" s="350">
        <f t="shared" si="9"/>
        <v>22000</v>
      </c>
      <c r="I389" s="120" t="str">
        <f>IF(OR(D389&lt;Capa!$A$5,D389&gt;Capa!$A$7,E389&lt;Capa!$A$5,E389&gt;Capa!$A$7,D389&gt;E389),"Erro","")</f>
        <v/>
      </c>
    </row>
    <row r="390" spans="1:9" ht="20" hidden="1">
      <c r="A390" s="345">
        <v>470</v>
      </c>
      <c r="B390" s="346" t="s">
        <v>302</v>
      </c>
      <c r="C390" s="347">
        <v>100</v>
      </c>
      <c r="D390" s="348">
        <v>45658</v>
      </c>
      <c r="E390" s="348">
        <v>45992</v>
      </c>
      <c r="F390" s="346" t="s">
        <v>600</v>
      </c>
      <c r="G390" s="349" t="s">
        <v>454</v>
      </c>
      <c r="H390" s="350">
        <f t="shared" si="9"/>
        <v>1200</v>
      </c>
      <c r="I390" s="120" t="str">
        <f>IF(OR(D390&lt;Capa!$A$5,D390&gt;Capa!$A$7,E390&lt;Capa!$A$5,E390&gt;Capa!$A$7,D390&gt;E390),"Erro","")</f>
        <v/>
      </c>
    </row>
    <row r="391" spans="1:9" ht="20" hidden="1">
      <c r="A391" s="345">
        <v>471</v>
      </c>
      <c r="B391" s="346" t="s">
        <v>302</v>
      </c>
      <c r="C391" s="347">
        <v>100</v>
      </c>
      <c r="D391" s="348">
        <v>46023</v>
      </c>
      <c r="E391" s="348">
        <v>46357</v>
      </c>
      <c r="F391" s="346" t="s">
        <v>600</v>
      </c>
      <c r="G391" s="349" t="s">
        <v>454</v>
      </c>
      <c r="H391" s="350">
        <f t="shared" si="9"/>
        <v>1200</v>
      </c>
      <c r="I391" s="120" t="str">
        <f>IF(OR(D391&lt;Capa!$A$5,D391&gt;Capa!$A$7,E391&lt;Capa!$A$5,E391&gt;Capa!$A$7,D391&gt;E391),"Erro","")</f>
        <v/>
      </c>
    </row>
    <row r="392" spans="1:9" ht="20" hidden="1">
      <c r="A392" s="345">
        <v>472</v>
      </c>
      <c r="B392" s="346" t="s">
        <v>302</v>
      </c>
      <c r="C392" s="347">
        <v>100</v>
      </c>
      <c r="D392" s="348">
        <v>46388</v>
      </c>
      <c r="E392" s="348">
        <v>46722</v>
      </c>
      <c r="F392" s="346" t="s">
        <v>600</v>
      </c>
      <c r="G392" s="349" t="s">
        <v>454</v>
      </c>
      <c r="H392" s="350">
        <f t="shared" si="9"/>
        <v>1200</v>
      </c>
      <c r="I392" s="120" t="str">
        <f>IF(OR(D392&lt;Capa!$A$5,D392&gt;Capa!$A$7,E392&lt;Capa!$A$5,E392&gt;Capa!$A$7,D392&gt;E392),"Erro","")</f>
        <v/>
      </c>
    </row>
    <row r="393" spans="1:9" ht="20" hidden="1">
      <c r="A393" s="345">
        <v>473</v>
      </c>
      <c r="B393" s="346" t="s">
        <v>302</v>
      </c>
      <c r="C393" s="347">
        <v>50</v>
      </c>
      <c r="D393" s="348">
        <v>46753</v>
      </c>
      <c r="E393" s="348">
        <v>47058</v>
      </c>
      <c r="F393" s="346" t="s">
        <v>600</v>
      </c>
      <c r="G393" s="349" t="s">
        <v>454</v>
      </c>
      <c r="H393" s="350">
        <f t="shared" si="9"/>
        <v>550</v>
      </c>
      <c r="I393" s="120" t="str">
        <f>IF(OR(D393&lt;Capa!$A$5,D393&gt;Capa!$A$7,E393&lt;Capa!$A$5,E393&gt;Capa!$A$7,D393&gt;E393),"Erro","")</f>
        <v/>
      </c>
    </row>
    <row r="394" spans="1:9" ht="30" hidden="1">
      <c r="A394" s="345">
        <v>475</v>
      </c>
      <c r="B394" s="346" t="s">
        <v>304</v>
      </c>
      <c r="C394" s="347">
        <v>1000</v>
      </c>
      <c r="D394" s="348">
        <v>45658</v>
      </c>
      <c r="E394" s="348">
        <v>45992</v>
      </c>
      <c r="F394" s="346" t="s">
        <v>600</v>
      </c>
      <c r="G394" s="349" t="s">
        <v>455</v>
      </c>
      <c r="H394" s="350">
        <f t="shared" si="9"/>
        <v>12000</v>
      </c>
      <c r="I394" s="120" t="str">
        <f>IF(OR(D394&lt;Capa!$A$5,D394&gt;Capa!$A$7,E394&lt;Capa!$A$5,E394&gt;Capa!$A$7,D394&gt;E394),"Erro","")</f>
        <v/>
      </c>
    </row>
    <row r="395" spans="1:9" ht="30" hidden="1">
      <c r="A395" s="345">
        <v>476</v>
      </c>
      <c r="B395" s="346" t="s">
        <v>304</v>
      </c>
      <c r="C395" s="347">
        <v>1000</v>
      </c>
      <c r="D395" s="348">
        <v>46023</v>
      </c>
      <c r="E395" s="348">
        <v>46357</v>
      </c>
      <c r="F395" s="346" t="s">
        <v>600</v>
      </c>
      <c r="G395" s="349" t="s">
        <v>455</v>
      </c>
      <c r="H395" s="350">
        <f t="shared" si="9"/>
        <v>12000</v>
      </c>
      <c r="I395" s="120" t="str">
        <f>IF(OR(D395&lt;Capa!$A$5,D395&gt;Capa!$A$7,E395&lt;Capa!$A$5,E395&gt;Capa!$A$7,D395&gt;E395),"Erro","")</f>
        <v/>
      </c>
    </row>
    <row r="396" spans="1:9" ht="30" hidden="1">
      <c r="A396" s="345">
        <v>477</v>
      </c>
      <c r="B396" s="346" t="s">
        <v>304</v>
      </c>
      <c r="C396" s="347">
        <v>1000</v>
      </c>
      <c r="D396" s="348">
        <v>46388</v>
      </c>
      <c r="E396" s="348">
        <v>46722</v>
      </c>
      <c r="F396" s="346" t="s">
        <v>600</v>
      </c>
      <c r="G396" s="349" t="s">
        <v>455</v>
      </c>
      <c r="H396" s="350">
        <f t="shared" si="9"/>
        <v>12000</v>
      </c>
      <c r="I396" s="120" t="str">
        <f>IF(OR(D396&lt;Capa!$A$5,D396&gt;Capa!$A$7,E396&lt;Capa!$A$5,E396&gt;Capa!$A$7,D396&gt;E396),"Erro","")</f>
        <v/>
      </c>
    </row>
    <row r="397" spans="1:9" ht="30" hidden="1">
      <c r="A397" s="345">
        <v>478</v>
      </c>
      <c r="B397" s="346" t="s">
        <v>304</v>
      </c>
      <c r="C397" s="347">
        <v>500</v>
      </c>
      <c r="D397" s="348">
        <v>46753</v>
      </c>
      <c r="E397" s="348">
        <v>47058</v>
      </c>
      <c r="F397" s="346" t="s">
        <v>600</v>
      </c>
      <c r="G397" s="349" t="s">
        <v>455</v>
      </c>
      <c r="H397" s="350">
        <f t="shared" si="9"/>
        <v>5500</v>
      </c>
      <c r="I397" s="120" t="str">
        <f>IF(OR(D397&lt;Capa!$A$5,D397&gt;Capa!$A$7,E397&lt;Capa!$A$5,E397&gt;Capa!$A$7,D397&gt;E397),"Erro","")</f>
        <v/>
      </c>
    </row>
    <row r="398" spans="1:9" hidden="1">
      <c r="A398" s="345">
        <v>479</v>
      </c>
      <c r="B398" s="346" t="s">
        <v>308</v>
      </c>
      <c r="C398" s="347">
        <v>200</v>
      </c>
      <c r="D398" s="348">
        <v>45658</v>
      </c>
      <c r="E398" s="348">
        <v>45778</v>
      </c>
      <c r="F398" s="346" t="s">
        <v>600</v>
      </c>
      <c r="G398" s="349" t="s">
        <v>665</v>
      </c>
      <c r="H398" s="350">
        <f t="shared" si="9"/>
        <v>1000</v>
      </c>
      <c r="I398" s="120" t="str">
        <f>IF(OR(D398&lt;Capa!$A$5,D398&gt;Capa!$A$7,E398&lt;Capa!$A$5,E398&gt;Capa!$A$7,D398&gt;E398),"Erro","")</f>
        <v/>
      </c>
    </row>
    <row r="399" spans="1:9" hidden="1">
      <c r="A399" s="345">
        <v>480</v>
      </c>
      <c r="B399" s="346" t="s">
        <v>308</v>
      </c>
      <c r="C399" s="347">
        <v>200</v>
      </c>
      <c r="D399" s="348">
        <v>46023</v>
      </c>
      <c r="E399" s="348">
        <v>46143</v>
      </c>
      <c r="F399" s="346" t="s">
        <v>600</v>
      </c>
      <c r="G399" s="349" t="s">
        <v>665</v>
      </c>
      <c r="H399" s="350">
        <f t="shared" si="9"/>
        <v>1000</v>
      </c>
      <c r="I399" s="120" t="str">
        <f>IF(OR(D399&lt;Capa!$A$5,D399&gt;Capa!$A$7,E399&lt;Capa!$A$5,E399&gt;Capa!$A$7,D399&gt;E399),"Erro","")</f>
        <v/>
      </c>
    </row>
    <row r="400" spans="1:9" hidden="1">
      <c r="A400" s="345">
        <v>481</v>
      </c>
      <c r="B400" s="346" t="s">
        <v>308</v>
      </c>
      <c r="C400" s="347">
        <v>200</v>
      </c>
      <c r="D400" s="348">
        <v>46388</v>
      </c>
      <c r="E400" s="348">
        <v>46508</v>
      </c>
      <c r="F400" s="346" t="s">
        <v>600</v>
      </c>
      <c r="G400" s="349" t="s">
        <v>665</v>
      </c>
      <c r="H400" s="350">
        <f t="shared" si="9"/>
        <v>1000</v>
      </c>
      <c r="I400" s="120" t="str">
        <f>IF(OR(D400&lt;Capa!$A$5,D400&gt;Capa!$A$7,E400&lt;Capa!$A$5,E400&gt;Capa!$A$7,D400&gt;E400),"Erro","")</f>
        <v/>
      </c>
    </row>
    <row r="401" spans="1:9" hidden="1">
      <c r="A401" s="345">
        <v>482</v>
      </c>
      <c r="B401" s="346" t="s">
        <v>308</v>
      </c>
      <c r="C401" s="347">
        <v>200</v>
      </c>
      <c r="D401" s="348">
        <v>46753</v>
      </c>
      <c r="E401" s="348">
        <v>46874</v>
      </c>
      <c r="F401" s="346" t="s">
        <v>600</v>
      </c>
      <c r="G401" s="349" t="s">
        <v>665</v>
      </c>
      <c r="H401" s="350">
        <f t="shared" si="9"/>
        <v>1000</v>
      </c>
      <c r="I401" s="120" t="str">
        <f>IF(OR(D401&lt;Capa!$A$5,D401&gt;Capa!$A$7,E401&lt;Capa!$A$5,E401&gt;Capa!$A$7,D401&gt;E401),"Erro","")</f>
        <v/>
      </c>
    </row>
    <row r="402" spans="1:9" ht="30" hidden="1">
      <c r="A402" s="345">
        <v>483</v>
      </c>
      <c r="B402" s="346" t="s">
        <v>312</v>
      </c>
      <c r="C402" s="347">
        <v>200</v>
      </c>
      <c r="D402" s="348">
        <v>45658</v>
      </c>
      <c r="E402" s="348">
        <v>45992</v>
      </c>
      <c r="F402" s="346" t="s">
        <v>600</v>
      </c>
      <c r="G402" s="349" t="s">
        <v>571</v>
      </c>
      <c r="H402" s="350">
        <f t="shared" si="9"/>
        <v>2400</v>
      </c>
      <c r="I402" s="120" t="str">
        <f>IF(OR(D402&lt;Capa!$A$5,D402&gt;Capa!$A$7,E402&lt;Capa!$A$5,E402&gt;Capa!$A$7,D402&gt;E402),"Erro","")</f>
        <v/>
      </c>
    </row>
    <row r="403" spans="1:9" ht="30" hidden="1">
      <c r="A403" s="345">
        <v>484</v>
      </c>
      <c r="B403" s="346" t="s">
        <v>312</v>
      </c>
      <c r="C403" s="347">
        <v>200</v>
      </c>
      <c r="D403" s="348">
        <v>46023</v>
      </c>
      <c r="E403" s="348">
        <v>46357</v>
      </c>
      <c r="F403" s="346" t="s">
        <v>600</v>
      </c>
      <c r="G403" s="349" t="s">
        <v>571</v>
      </c>
      <c r="H403" s="350">
        <f t="shared" si="9"/>
        <v>2400</v>
      </c>
      <c r="I403" s="120" t="str">
        <f>IF(OR(D403&lt;Capa!$A$5,D403&gt;Capa!$A$7,E403&lt;Capa!$A$5,E403&gt;Capa!$A$7,D403&gt;E403),"Erro","")</f>
        <v/>
      </c>
    </row>
    <row r="404" spans="1:9" ht="30" hidden="1">
      <c r="A404" s="345">
        <v>485</v>
      </c>
      <c r="B404" s="346" t="s">
        <v>312</v>
      </c>
      <c r="C404" s="347">
        <v>200</v>
      </c>
      <c r="D404" s="348">
        <v>46388</v>
      </c>
      <c r="E404" s="348">
        <v>46722</v>
      </c>
      <c r="F404" s="346" t="s">
        <v>600</v>
      </c>
      <c r="G404" s="349" t="s">
        <v>571</v>
      </c>
      <c r="H404" s="350">
        <f t="shared" si="9"/>
        <v>2400</v>
      </c>
      <c r="I404" s="120" t="str">
        <f>IF(OR(D404&lt;Capa!$A$5,D404&gt;Capa!$A$7,E404&lt;Capa!$A$5,E404&gt;Capa!$A$7,D404&gt;E404),"Erro","")</f>
        <v/>
      </c>
    </row>
    <row r="405" spans="1:9" ht="30" hidden="1">
      <c r="A405" s="345">
        <v>486</v>
      </c>
      <c r="B405" s="346" t="s">
        <v>312</v>
      </c>
      <c r="C405" s="347">
        <v>100</v>
      </c>
      <c r="D405" s="348">
        <v>46753</v>
      </c>
      <c r="E405" s="348">
        <v>47058</v>
      </c>
      <c r="F405" s="346" t="s">
        <v>600</v>
      </c>
      <c r="G405" s="349" t="s">
        <v>571</v>
      </c>
      <c r="H405" s="350">
        <f t="shared" si="9"/>
        <v>1100</v>
      </c>
      <c r="I405" s="120" t="str">
        <f>IF(OR(D405&lt;Capa!$A$5,D405&gt;Capa!$A$7,E405&lt;Capa!$A$5,E405&gt;Capa!$A$7,D405&gt;E405),"Erro","")</f>
        <v/>
      </c>
    </row>
    <row r="406" spans="1:9" ht="50" hidden="1">
      <c r="A406" s="345">
        <v>488</v>
      </c>
      <c r="B406" s="346" t="s">
        <v>316</v>
      </c>
      <c r="C406" s="347">
        <v>800</v>
      </c>
      <c r="D406" s="348">
        <v>45658</v>
      </c>
      <c r="E406" s="348">
        <v>45992</v>
      </c>
      <c r="F406" s="346" t="s">
        <v>600</v>
      </c>
      <c r="G406" s="349" t="s">
        <v>741</v>
      </c>
      <c r="H406" s="350">
        <f t="shared" si="9"/>
        <v>9600</v>
      </c>
      <c r="I406" s="120" t="str">
        <f>IF(OR(D406&lt;Capa!$A$5,D406&gt;Capa!$A$7,E406&lt;Capa!$A$5,E406&gt;Capa!$A$7,D406&gt;E406),"Erro","")</f>
        <v/>
      </c>
    </row>
    <row r="407" spans="1:9" ht="50" hidden="1">
      <c r="A407" s="345">
        <v>489</v>
      </c>
      <c r="B407" s="346" t="s">
        <v>316</v>
      </c>
      <c r="C407" s="347">
        <v>800</v>
      </c>
      <c r="D407" s="348">
        <v>46023</v>
      </c>
      <c r="E407" s="348">
        <v>46357</v>
      </c>
      <c r="F407" s="346" t="s">
        <v>600</v>
      </c>
      <c r="G407" s="349" t="s">
        <v>741</v>
      </c>
      <c r="H407" s="350">
        <f t="shared" si="9"/>
        <v>9600</v>
      </c>
      <c r="I407" s="120" t="str">
        <f>IF(OR(D407&lt;Capa!$A$5,D407&gt;Capa!$A$7,E407&lt;Capa!$A$5,E407&gt;Capa!$A$7,D407&gt;E407),"Erro","")</f>
        <v/>
      </c>
    </row>
    <row r="408" spans="1:9" ht="50" hidden="1">
      <c r="A408" s="345">
        <v>490</v>
      </c>
      <c r="B408" s="346" t="s">
        <v>316</v>
      </c>
      <c r="C408" s="347">
        <v>800</v>
      </c>
      <c r="D408" s="348">
        <v>46388</v>
      </c>
      <c r="E408" s="348">
        <v>46722</v>
      </c>
      <c r="F408" s="346" t="s">
        <v>600</v>
      </c>
      <c r="G408" s="349" t="s">
        <v>741</v>
      </c>
      <c r="H408" s="350">
        <f t="shared" si="9"/>
        <v>9600</v>
      </c>
      <c r="I408" s="120" t="str">
        <f>IF(OR(D408&lt;Capa!$A$5,D408&gt;Capa!$A$7,E408&lt;Capa!$A$5,E408&gt;Capa!$A$7,D408&gt;E408),"Erro","")</f>
        <v/>
      </c>
    </row>
    <row r="409" spans="1:9" ht="50" hidden="1">
      <c r="A409" s="345">
        <v>491</v>
      </c>
      <c r="B409" s="346" t="s">
        <v>316</v>
      </c>
      <c r="C409" s="347">
        <v>400</v>
      </c>
      <c r="D409" s="348">
        <v>46753</v>
      </c>
      <c r="E409" s="348">
        <v>47058</v>
      </c>
      <c r="F409" s="346" t="s">
        <v>600</v>
      </c>
      <c r="G409" s="349" t="s">
        <v>741</v>
      </c>
      <c r="H409" s="350">
        <f t="shared" si="9"/>
        <v>4400</v>
      </c>
      <c r="I409" s="120" t="str">
        <f>IF(OR(D409&lt;Capa!$A$5,D409&gt;Capa!$A$7,E409&lt;Capa!$A$5,E409&gt;Capa!$A$7,D409&gt;E409),"Erro","")</f>
        <v/>
      </c>
    </row>
    <row r="410" spans="1:9" ht="50" hidden="1">
      <c r="A410" s="345">
        <v>493</v>
      </c>
      <c r="B410" s="346" t="s">
        <v>318</v>
      </c>
      <c r="C410" s="347">
        <v>700</v>
      </c>
      <c r="D410" s="348">
        <v>45658</v>
      </c>
      <c r="E410" s="348">
        <v>45992</v>
      </c>
      <c r="F410" s="346" t="s">
        <v>600</v>
      </c>
      <c r="G410" s="349" t="s">
        <v>456</v>
      </c>
      <c r="H410" s="350">
        <f t="shared" si="9"/>
        <v>8400</v>
      </c>
      <c r="I410" s="120" t="str">
        <f>IF(OR(D410&lt;Capa!$A$5,D410&gt;Capa!$A$7,E410&lt;Capa!$A$5,E410&gt;Capa!$A$7,D410&gt;E410),"Erro","")</f>
        <v/>
      </c>
    </row>
    <row r="411" spans="1:9" ht="50" hidden="1">
      <c r="A411" s="345">
        <v>494</v>
      </c>
      <c r="B411" s="346" t="s">
        <v>318</v>
      </c>
      <c r="C411" s="347">
        <v>700</v>
      </c>
      <c r="D411" s="348">
        <v>46023</v>
      </c>
      <c r="E411" s="348">
        <v>46357</v>
      </c>
      <c r="F411" s="346" t="s">
        <v>600</v>
      </c>
      <c r="G411" s="349" t="s">
        <v>456</v>
      </c>
      <c r="H411" s="350">
        <f t="shared" si="9"/>
        <v>8400</v>
      </c>
      <c r="I411" s="120" t="str">
        <f>IF(OR(D411&lt;Capa!$A$5,D411&gt;Capa!$A$7,E411&lt;Capa!$A$5,E411&gt;Capa!$A$7,D411&gt;E411),"Erro","")</f>
        <v/>
      </c>
    </row>
    <row r="412" spans="1:9" ht="50" hidden="1">
      <c r="A412" s="345">
        <v>495</v>
      </c>
      <c r="B412" s="346" t="s">
        <v>318</v>
      </c>
      <c r="C412" s="347">
        <v>700</v>
      </c>
      <c r="D412" s="348">
        <v>46388</v>
      </c>
      <c r="E412" s="348">
        <v>46722</v>
      </c>
      <c r="F412" s="346" t="s">
        <v>600</v>
      </c>
      <c r="G412" s="349" t="s">
        <v>456</v>
      </c>
      <c r="H412" s="350">
        <f t="shared" si="9"/>
        <v>8400</v>
      </c>
      <c r="I412" s="120" t="str">
        <f>IF(OR(D412&lt;Capa!$A$5,D412&gt;Capa!$A$7,E412&lt;Capa!$A$5,E412&gt;Capa!$A$7,D412&gt;E412),"Erro","")</f>
        <v/>
      </c>
    </row>
    <row r="413" spans="1:9" ht="50" hidden="1">
      <c r="A413" s="345">
        <v>496</v>
      </c>
      <c r="B413" s="346" t="s">
        <v>318</v>
      </c>
      <c r="C413" s="347">
        <v>250</v>
      </c>
      <c r="D413" s="348">
        <v>46753</v>
      </c>
      <c r="E413" s="348">
        <v>47058</v>
      </c>
      <c r="F413" s="346" t="s">
        <v>600</v>
      </c>
      <c r="G413" s="349" t="s">
        <v>456</v>
      </c>
      <c r="H413" s="350">
        <f t="shared" si="9"/>
        <v>2750</v>
      </c>
      <c r="I413" s="120" t="str">
        <f>IF(OR(D413&lt;Capa!$A$5,D413&gt;Capa!$A$7,E413&lt;Capa!$A$5,E413&gt;Capa!$A$7,D413&gt;E413),"Erro","")</f>
        <v/>
      </c>
    </row>
    <row r="414" spans="1:9" ht="50" hidden="1">
      <c r="A414" s="345">
        <v>498</v>
      </c>
      <c r="B414" s="346" t="s">
        <v>318</v>
      </c>
      <c r="C414" s="347">
        <v>1000</v>
      </c>
      <c r="D414" s="348">
        <v>45658</v>
      </c>
      <c r="E414" s="348">
        <v>45992</v>
      </c>
      <c r="F414" s="346" t="s">
        <v>600</v>
      </c>
      <c r="G414" s="349" t="s">
        <v>572</v>
      </c>
      <c r="H414" s="350">
        <f t="shared" si="9"/>
        <v>12000</v>
      </c>
      <c r="I414" s="120" t="str">
        <f>IF(OR(D414&lt;Capa!$A$5,D414&gt;Capa!$A$7,E414&lt;Capa!$A$5,E414&gt;Capa!$A$7,D414&gt;E414),"Erro","")</f>
        <v/>
      </c>
    </row>
    <row r="415" spans="1:9" ht="50" hidden="1">
      <c r="A415" s="345">
        <v>499</v>
      </c>
      <c r="B415" s="346" t="s">
        <v>318</v>
      </c>
      <c r="C415" s="347">
        <v>1000</v>
      </c>
      <c r="D415" s="348">
        <v>46023</v>
      </c>
      <c r="E415" s="348">
        <v>46357</v>
      </c>
      <c r="F415" s="346" t="s">
        <v>600</v>
      </c>
      <c r="G415" s="349" t="s">
        <v>572</v>
      </c>
      <c r="H415" s="350">
        <f t="shared" si="9"/>
        <v>12000</v>
      </c>
      <c r="I415" s="120" t="str">
        <f>IF(OR(D415&lt;Capa!$A$5,D415&gt;Capa!$A$7,E415&lt;Capa!$A$5,E415&gt;Capa!$A$7,D415&gt;E415),"Erro","")</f>
        <v/>
      </c>
    </row>
    <row r="416" spans="1:9" ht="50" hidden="1">
      <c r="A416" s="345">
        <v>500</v>
      </c>
      <c r="B416" s="346" t="s">
        <v>318</v>
      </c>
      <c r="C416" s="347">
        <v>1000</v>
      </c>
      <c r="D416" s="348">
        <v>46388</v>
      </c>
      <c r="E416" s="348">
        <v>46722</v>
      </c>
      <c r="F416" s="346" t="s">
        <v>600</v>
      </c>
      <c r="G416" s="349" t="s">
        <v>572</v>
      </c>
      <c r="H416" s="350">
        <f t="shared" si="9"/>
        <v>12000</v>
      </c>
      <c r="I416" s="120" t="str">
        <f>IF(OR(D416&lt;Capa!$A$5,D416&gt;Capa!$A$7,E416&lt;Capa!$A$5,E416&gt;Capa!$A$7,D416&gt;E416),"Erro","")</f>
        <v/>
      </c>
    </row>
    <row r="417" spans="1:9" ht="50" hidden="1">
      <c r="A417" s="345">
        <v>501</v>
      </c>
      <c r="B417" s="346" t="s">
        <v>318</v>
      </c>
      <c r="C417" s="347">
        <v>250</v>
      </c>
      <c r="D417" s="348">
        <v>46753</v>
      </c>
      <c r="E417" s="348">
        <v>47058</v>
      </c>
      <c r="F417" s="346" t="s">
        <v>600</v>
      </c>
      <c r="G417" s="349" t="s">
        <v>572</v>
      </c>
      <c r="H417" s="350">
        <f t="shared" si="9"/>
        <v>2750</v>
      </c>
      <c r="I417" s="120" t="str">
        <f>IF(OR(D417&lt;Capa!$A$5,D417&gt;Capa!$A$7,E417&lt;Capa!$A$5,E417&gt;Capa!$A$7,D417&gt;E417),"Erro","")</f>
        <v/>
      </c>
    </row>
    <row r="418" spans="1:9" ht="20" hidden="1">
      <c r="A418" s="345">
        <v>503</v>
      </c>
      <c r="B418" s="346" t="s">
        <v>298</v>
      </c>
      <c r="C418" s="347">
        <v>2450</v>
      </c>
      <c r="D418" s="348">
        <v>45658</v>
      </c>
      <c r="E418" s="348">
        <v>45992</v>
      </c>
      <c r="F418" s="346" t="s">
        <v>600</v>
      </c>
      <c r="G418" s="349" t="s">
        <v>457</v>
      </c>
      <c r="H418" s="350">
        <f t="shared" si="9"/>
        <v>29400</v>
      </c>
      <c r="I418" s="120" t="str">
        <f>IF(OR(D418&lt;Capa!$A$5,D418&gt;Capa!$A$7,E418&lt;Capa!$A$5,E418&gt;Capa!$A$7,D418&gt;E418),"Erro","")</f>
        <v/>
      </c>
    </row>
    <row r="419" spans="1:9" ht="20" hidden="1">
      <c r="A419" s="345">
        <v>504</v>
      </c>
      <c r="B419" s="346" t="s">
        <v>298</v>
      </c>
      <c r="C419" s="347">
        <v>2450</v>
      </c>
      <c r="D419" s="348">
        <v>46023</v>
      </c>
      <c r="E419" s="348">
        <v>46357</v>
      </c>
      <c r="F419" s="346" t="s">
        <v>600</v>
      </c>
      <c r="G419" s="349" t="s">
        <v>457</v>
      </c>
      <c r="H419" s="350">
        <f t="shared" si="9"/>
        <v>29400</v>
      </c>
      <c r="I419" s="120" t="str">
        <f>IF(OR(D419&lt;Capa!$A$5,D419&gt;Capa!$A$7,E419&lt;Capa!$A$5,E419&gt;Capa!$A$7,D419&gt;E419),"Erro","")</f>
        <v/>
      </c>
    </row>
    <row r="420" spans="1:9" ht="20" hidden="1">
      <c r="A420" s="345">
        <v>505</v>
      </c>
      <c r="B420" s="346" t="s">
        <v>298</v>
      </c>
      <c r="C420" s="347">
        <v>2450</v>
      </c>
      <c r="D420" s="348">
        <v>46388</v>
      </c>
      <c r="E420" s="348">
        <v>46722</v>
      </c>
      <c r="F420" s="346" t="s">
        <v>600</v>
      </c>
      <c r="G420" s="349" t="s">
        <v>457</v>
      </c>
      <c r="H420" s="350">
        <f t="shared" si="9"/>
        <v>29400</v>
      </c>
      <c r="I420" s="120" t="str">
        <f>IF(OR(D420&lt;Capa!$A$5,D420&gt;Capa!$A$7,E420&lt;Capa!$A$5,E420&gt;Capa!$A$7,D420&gt;E420),"Erro","")</f>
        <v/>
      </c>
    </row>
    <row r="421" spans="1:9" ht="20" hidden="1">
      <c r="A421" s="345">
        <v>506</v>
      </c>
      <c r="B421" s="346" t="s">
        <v>298</v>
      </c>
      <c r="C421" s="347">
        <v>1250</v>
      </c>
      <c r="D421" s="348">
        <v>46753</v>
      </c>
      <c r="E421" s="348">
        <v>47058</v>
      </c>
      <c r="F421" s="346" t="s">
        <v>600</v>
      </c>
      <c r="G421" s="349" t="s">
        <v>457</v>
      </c>
      <c r="H421" s="350">
        <f t="shared" si="9"/>
        <v>13750</v>
      </c>
      <c r="I421" s="120" t="str">
        <f>IF(OR(D421&lt;Capa!$A$5,D421&gt;Capa!$A$7,E421&lt;Capa!$A$5,E421&gt;Capa!$A$7,D421&gt;E421),"Erro","")</f>
        <v/>
      </c>
    </row>
    <row r="422" spans="1:9" ht="30" hidden="1">
      <c r="A422" s="345">
        <v>507</v>
      </c>
      <c r="B422" s="346" t="s">
        <v>238</v>
      </c>
      <c r="C422" s="347">
        <v>480</v>
      </c>
      <c r="D422" s="348">
        <v>45658</v>
      </c>
      <c r="E422" s="348">
        <v>45992</v>
      </c>
      <c r="F422" s="346" t="s">
        <v>600</v>
      </c>
      <c r="G422" s="349" t="s">
        <v>458</v>
      </c>
      <c r="H422" s="350">
        <f t="shared" si="9"/>
        <v>5760</v>
      </c>
      <c r="I422" s="120" t="str">
        <f>IF(OR(D422&lt;Capa!$A$5,D422&gt;Capa!$A$7,E422&lt;Capa!$A$5,E422&gt;Capa!$A$7,D422&gt;E422),"Erro","")</f>
        <v/>
      </c>
    </row>
    <row r="423" spans="1:9" ht="30" hidden="1">
      <c r="A423" s="345">
        <v>508</v>
      </c>
      <c r="B423" s="346" t="s">
        <v>238</v>
      </c>
      <c r="C423" s="347">
        <v>480</v>
      </c>
      <c r="D423" s="348">
        <v>46023</v>
      </c>
      <c r="E423" s="348">
        <v>46357</v>
      </c>
      <c r="F423" s="346" t="s">
        <v>600</v>
      </c>
      <c r="G423" s="349" t="s">
        <v>458</v>
      </c>
      <c r="H423" s="350">
        <f t="shared" si="9"/>
        <v>5760</v>
      </c>
      <c r="I423" s="120" t="str">
        <f>IF(OR(D423&lt;Capa!$A$5,D423&gt;Capa!$A$7,E423&lt;Capa!$A$5,E423&gt;Capa!$A$7,D423&gt;E423),"Erro","")</f>
        <v/>
      </c>
    </row>
    <row r="424" spans="1:9" ht="30" hidden="1">
      <c r="A424" s="345">
        <v>509</v>
      </c>
      <c r="B424" s="346" t="s">
        <v>238</v>
      </c>
      <c r="C424" s="347">
        <v>480</v>
      </c>
      <c r="D424" s="348">
        <v>46388</v>
      </c>
      <c r="E424" s="348">
        <v>46722</v>
      </c>
      <c r="F424" s="346" t="s">
        <v>600</v>
      </c>
      <c r="G424" s="349" t="s">
        <v>458</v>
      </c>
      <c r="H424" s="350">
        <f t="shared" si="9"/>
        <v>5760</v>
      </c>
      <c r="I424" s="120" t="str">
        <f>IF(OR(D424&lt;Capa!$A$5,D424&gt;Capa!$A$7,E424&lt;Capa!$A$5,E424&gt;Capa!$A$7,D424&gt;E424),"Erro","")</f>
        <v/>
      </c>
    </row>
    <row r="425" spans="1:9" ht="30" hidden="1">
      <c r="A425" s="345">
        <v>510</v>
      </c>
      <c r="B425" s="346" t="s">
        <v>238</v>
      </c>
      <c r="C425" s="347">
        <v>240</v>
      </c>
      <c r="D425" s="348">
        <v>46753</v>
      </c>
      <c r="E425" s="348">
        <v>47058</v>
      </c>
      <c r="F425" s="346" t="s">
        <v>600</v>
      </c>
      <c r="G425" s="349" t="s">
        <v>458</v>
      </c>
      <c r="H425" s="350">
        <f t="shared" si="9"/>
        <v>2640</v>
      </c>
      <c r="I425" s="120" t="str">
        <f>IF(OR(D425&lt;Capa!$A$5,D425&gt;Capa!$A$7,E425&lt;Capa!$A$5,E425&gt;Capa!$A$7,D425&gt;E425),"Erro","")</f>
        <v/>
      </c>
    </row>
    <row r="426" spans="1:9" ht="40" hidden="1">
      <c r="A426" s="345">
        <v>512</v>
      </c>
      <c r="B426" s="346" t="s">
        <v>252</v>
      </c>
      <c r="C426" s="347">
        <v>8000</v>
      </c>
      <c r="D426" s="348">
        <v>45658</v>
      </c>
      <c r="E426" s="348">
        <v>45992</v>
      </c>
      <c r="F426" s="346" t="s">
        <v>600</v>
      </c>
      <c r="G426" s="349" t="s">
        <v>459</v>
      </c>
      <c r="H426" s="350">
        <f t="shared" si="9"/>
        <v>96000</v>
      </c>
      <c r="I426" s="120" t="str">
        <f>IF(OR(D426&lt;Capa!$A$5,D426&gt;Capa!$A$7,E426&lt;Capa!$A$5,E426&gt;Capa!$A$7,D426&gt;E426),"Erro","")</f>
        <v/>
      </c>
    </row>
    <row r="427" spans="1:9" ht="40" hidden="1">
      <c r="A427" s="345">
        <v>513</v>
      </c>
      <c r="B427" s="346" t="s">
        <v>252</v>
      </c>
      <c r="C427" s="347">
        <v>8000</v>
      </c>
      <c r="D427" s="348">
        <v>46023</v>
      </c>
      <c r="E427" s="348">
        <v>46357</v>
      </c>
      <c r="F427" s="346" t="s">
        <v>600</v>
      </c>
      <c r="G427" s="349" t="s">
        <v>459</v>
      </c>
      <c r="H427" s="350">
        <f t="shared" si="9"/>
        <v>96000</v>
      </c>
      <c r="I427" s="120" t="str">
        <f>IF(OR(D427&lt;Capa!$A$5,D427&gt;Capa!$A$7,E427&lt;Capa!$A$5,E427&gt;Capa!$A$7,D427&gt;E427),"Erro","")</f>
        <v/>
      </c>
    </row>
    <row r="428" spans="1:9" ht="40" hidden="1">
      <c r="A428" s="345">
        <v>514</v>
      </c>
      <c r="B428" s="346" t="s">
        <v>252</v>
      </c>
      <c r="C428" s="347">
        <v>8000</v>
      </c>
      <c r="D428" s="348">
        <v>46388</v>
      </c>
      <c r="E428" s="348">
        <v>46722</v>
      </c>
      <c r="F428" s="346" t="s">
        <v>600</v>
      </c>
      <c r="G428" s="349" t="s">
        <v>459</v>
      </c>
      <c r="H428" s="350">
        <f t="shared" si="9"/>
        <v>96000</v>
      </c>
      <c r="I428" s="120" t="str">
        <f>IF(OR(D428&lt;Capa!$A$5,D428&gt;Capa!$A$7,E428&lt;Capa!$A$5,E428&gt;Capa!$A$7,D428&gt;E428),"Erro","")</f>
        <v/>
      </c>
    </row>
    <row r="429" spans="1:9" ht="40" hidden="1">
      <c r="A429" s="345">
        <v>515</v>
      </c>
      <c r="B429" s="346" t="s">
        <v>252</v>
      </c>
      <c r="C429" s="347">
        <v>4000</v>
      </c>
      <c r="D429" s="348">
        <v>46753</v>
      </c>
      <c r="E429" s="348">
        <v>47058</v>
      </c>
      <c r="F429" s="346" t="s">
        <v>600</v>
      </c>
      <c r="G429" s="349" t="s">
        <v>459</v>
      </c>
      <c r="H429" s="350">
        <f t="shared" si="9"/>
        <v>44000</v>
      </c>
      <c r="I429" s="120" t="str">
        <f>IF(OR(D429&lt;Capa!$A$5,D429&gt;Capa!$A$7,E429&lt;Capa!$A$5,E429&gt;Capa!$A$7,D429&gt;E429),"Erro","")</f>
        <v/>
      </c>
    </row>
    <row r="430" spans="1:9" ht="20" hidden="1">
      <c r="A430" s="345">
        <v>516</v>
      </c>
      <c r="B430" s="346" t="s">
        <v>620</v>
      </c>
      <c r="C430" s="347">
        <v>110</v>
      </c>
      <c r="D430" s="348">
        <v>45658</v>
      </c>
      <c r="E430" s="348">
        <v>47058</v>
      </c>
      <c r="F430" s="346" t="s">
        <v>600</v>
      </c>
      <c r="G430" s="349" t="s">
        <v>662</v>
      </c>
      <c r="H430" s="350">
        <f t="shared" si="9"/>
        <v>5170</v>
      </c>
      <c r="I430" s="120" t="str">
        <f>IF(OR(D430&lt;Capa!$A$5,D430&gt;Capa!$A$7,E430&lt;Capa!$A$5,E430&gt;Capa!$A$7,D430&gt;E430),"Erro","")</f>
        <v/>
      </c>
    </row>
    <row r="431" spans="1:9" ht="20" hidden="1">
      <c r="A431" s="345">
        <v>518</v>
      </c>
      <c r="B431" s="346" t="s">
        <v>622</v>
      </c>
      <c r="C431" s="347">
        <v>850</v>
      </c>
      <c r="D431" s="348">
        <v>45658</v>
      </c>
      <c r="E431" s="348">
        <v>47058</v>
      </c>
      <c r="F431" s="346" t="s">
        <v>600</v>
      </c>
      <c r="G431" s="349" t="s">
        <v>664</v>
      </c>
      <c r="H431" s="350">
        <f t="shared" si="9"/>
        <v>39950</v>
      </c>
      <c r="I431" s="120" t="str">
        <f>IF(OR(D431&lt;Capa!$A$5,D431&gt;Capa!$A$7,E431&lt;Capa!$A$5,E431&gt;Capa!$A$7,D431&gt;E431),"Erro","")</f>
        <v/>
      </c>
    </row>
    <row r="432" spans="1:9" ht="30" hidden="1">
      <c r="A432" s="345">
        <v>519</v>
      </c>
      <c r="B432" s="346" t="s">
        <v>621</v>
      </c>
      <c r="C432" s="347">
        <v>2000</v>
      </c>
      <c r="D432" s="348">
        <v>45689</v>
      </c>
      <c r="E432" s="348">
        <v>45689</v>
      </c>
      <c r="F432" s="346" t="s">
        <v>600</v>
      </c>
      <c r="G432" s="349" t="s">
        <v>595</v>
      </c>
      <c r="H432" s="350">
        <f t="shared" si="9"/>
        <v>2000</v>
      </c>
      <c r="I432" s="120" t="str">
        <f>IF(OR(D432&lt;Capa!$A$5,D432&gt;Capa!$A$7,E432&lt;Capa!$A$5,E432&gt;Capa!$A$7,D432&gt;E432),"Erro","")</f>
        <v/>
      </c>
    </row>
    <row r="433" spans="1:9" ht="40" hidden="1">
      <c r="A433" s="345">
        <v>520</v>
      </c>
      <c r="B433" s="346" t="s">
        <v>621</v>
      </c>
      <c r="C433" s="347">
        <v>2000</v>
      </c>
      <c r="D433" s="348">
        <v>46419</v>
      </c>
      <c r="E433" s="348">
        <v>46419</v>
      </c>
      <c r="F433" s="346" t="s">
        <v>600</v>
      </c>
      <c r="G433" s="349" t="s">
        <v>667</v>
      </c>
      <c r="H433" s="350">
        <f t="shared" si="9"/>
        <v>2000</v>
      </c>
      <c r="I433" s="120" t="str">
        <f>IF(OR(D433&lt;Capa!$A$5,D433&gt;Capa!$A$7,E433&lt;Capa!$A$5,E433&gt;Capa!$A$7,D433&gt;E433),"Erro","")</f>
        <v/>
      </c>
    </row>
    <row r="434" spans="1:9" ht="30" hidden="1">
      <c r="A434" s="345">
        <v>521</v>
      </c>
      <c r="B434" s="346" t="s">
        <v>619</v>
      </c>
      <c r="C434" s="347">
        <v>70</v>
      </c>
      <c r="D434" s="348">
        <v>45658</v>
      </c>
      <c r="E434" s="348">
        <v>47058</v>
      </c>
      <c r="F434" s="346" t="s">
        <v>600</v>
      </c>
      <c r="G434" s="349" t="s">
        <v>663</v>
      </c>
      <c r="H434" s="350">
        <f>IFERROR((DATEDIF(D434,E434,"M")+1)*C434,0)</f>
        <v>3290</v>
      </c>
      <c r="I434" s="120" t="str">
        <f>IF(OR(D434&lt;Capa!$A$5,D434&gt;Capa!$A$7,E434&lt;Capa!$A$5,E434&gt;Capa!$A$7,D434&gt;E434),"Erro","")</f>
        <v/>
      </c>
    </row>
    <row r="435" spans="1:9" ht="30" hidden="1">
      <c r="A435" s="345">
        <v>522</v>
      </c>
      <c r="B435" s="346" t="s">
        <v>617</v>
      </c>
      <c r="C435" s="347">
        <v>200</v>
      </c>
      <c r="D435" s="348">
        <v>45658</v>
      </c>
      <c r="E435" s="348">
        <v>47058</v>
      </c>
      <c r="F435" s="346" t="s">
        <v>600</v>
      </c>
      <c r="G435" s="349" t="s">
        <v>639</v>
      </c>
      <c r="H435" s="350">
        <f t="shared" ref="H435:H440" si="10">IFERROR((DATEDIF(D435,E435,"M")+1)*C435,0)</f>
        <v>9400</v>
      </c>
      <c r="I435" s="120" t="str">
        <f>IF(OR(D435&lt;Capa!$A$5,D435&gt;Capa!$A$7,E435&lt;Capa!$A$5,E435&gt;Capa!$A$7,D435&gt;E435),"Erro","")</f>
        <v/>
      </c>
    </row>
    <row r="436" spans="1:9" ht="20" hidden="1">
      <c r="A436" s="345">
        <v>523</v>
      </c>
      <c r="B436" s="346" t="s">
        <v>618</v>
      </c>
      <c r="C436" s="347">
        <v>2500</v>
      </c>
      <c r="D436" s="348">
        <v>45658</v>
      </c>
      <c r="E436" s="348">
        <v>47058</v>
      </c>
      <c r="F436" s="346" t="s">
        <v>600</v>
      </c>
      <c r="G436" s="349" t="s">
        <v>657</v>
      </c>
      <c r="H436" s="350">
        <f t="shared" si="10"/>
        <v>117500</v>
      </c>
      <c r="I436" s="120" t="str">
        <f>IF(OR(D436&lt;Capa!$A$5,D436&gt;Capa!$A$7,E436&lt;Capa!$A$5,E436&gt;Capa!$A$7,D436&gt;E436),"Erro","")</f>
        <v/>
      </c>
    </row>
    <row r="437" spans="1:9" ht="30" hidden="1">
      <c r="A437" s="345">
        <v>525</v>
      </c>
      <c r="B437" s="346" t="s">
        <v>623</v>
      </c>
      <c r="C437" s="347">
        <v>650</v>
      </c>
      <c r="D437" s="348">
        <v>45658</v>
      </c>
      <c r="E437" s="348">
        <v>46784</v>
      </c>
      <c r="F437" s="346" t="s">
        <v>600</v>
      </c>
      <c r="G437" s="349" t="s">
        <v>658</v>
      </c>
      <c r="H437" s="350">
        <f t="shared" si="10"/>
        <v>24700</v>
      </c>
      <c r="I437" s="120" t="str">
        <f>IF(OR(D437&lt;Capa!$A$5,D437&gt;Capa!$A$7,E437&lt;Capa!$A$5,E437&gt;Capa!$A$7,D437&gt;E437),"Erro","")</f>
        <v/>
      </c>
    </row>
    <row r="438" spans="1:9" ht="20" hidden="1">
      <c r="A438" s="345">
        <v>526</v>
      </c>
      <c r="B438" s="346" t="s">
        <v>625</v>
      </c>
      <c r="C438" s="347">
        <v>90</v>
      </c>
      <c r="D438" s="348">
        <v>45658</v>
      </c>
      <c r="E438" s="348">
        <v>47058</v>
      </c>
      <c r="F438" s="346" t="s">
        <v>600</v>
      </c>
      <c r="G438" s="349" t="s">
        <v>659</v>
      </c>
      <c r="H438" s="350">
        <f t="shared" si="10"/>
        <v>4230</v>
      </c>
      <c r="I438" s="120" t="str">
        <f>IF(OR(D438&lt;Capa!$A$5,D438&gt;Capa!$A$7,E438&lt;Capa!$A$5,E438&gt;Capa!$A$7,D438&gt;E438),"Erro","")</f>
        <v/>
      </c>
    </row>
    <row r="439" spans="1:9" ht="20" hidden="1">
      <c r="A439" s="345">
        <v>527</v>
      </c>
      <c r="B439" s="346" t="s">
        <v>627</v>
      </c>
      <c r="C439" s="347">
        <v>50</v>
      </c>
      <c r="D439" s="348">
        <v>45658</v>
      </c>
      <c r="E439" s="348">
        <v>47058</v>
      </c>
      <c r="F439" s="346" t="s">
        <v>600</v>
      </c>
      <c r="G439" s="349" t="s">
        <v>661</v>
      </c>
      <c r="H439" s="350">
        <f t="shared" si="10"/>
        <v>2350</v>
      </c>
      <c r="I439" s="120" t="str">
        <f>IF(OR(D439&lt;Capa!$A$5,D439&gt;Capa!$A$7,E439&lt;Capa!$A$5,E439&gt;Capa!$A$7,D439&gt;E439),"Erro","")</f>
        <v/>
      </c>
    </row>
    <row r="440" spans="1:9" ht="30" hidden="1">
      <c r="A440" s="345">
        <v>528</v>
      </c>
      <c r="B440" s="346" t="s">
        <v>626</v>
      </c>
      <c r="C440" s="347">
        <v>350</v>
      </c>
      <c r="D440" s="348">
        <v>45658</v>
      </c>
      <c r="E440" s="348">
        <v>47058</v>
      </c>
      <c r="F440" s="346" t="s">
        <v>600</v>
      </c>
      <c r="G440" s="349" t="s">
        <v>660</v>
      </c>
      <c r="H440" s="350">
        <f t="shared" si="10"/>
        <v>16450</v>
      </c>
      <c r="I440" s="120" t="str">
        <f>IF(OR(D440&lt;Capa!$A$5,D440&gt;Capa!$A$7,E440&lt;Capa!$A$5,E440&gt;Capa!$A$7,D440&gt;E440),"Erro","")</f>
        <v/>
      </c>
    </row>
    <row r="441" spans="1:9" ht="20" hidden="1">
      <c r="A441" s="345">
        <v>532</v>
      </c>
      <c r="B441" s="346" t="s">
        <v>198</v>
      </c>
      <c r="C441" s="347">
        <v>4079.39</v>
      </c>
      <c r="D441" s="348">
        <v>45658</v>
      </c>
      <c r="E441" s="348">
        <v>45992</v>
      </c>
      <c r="F441" s="346" t="s">
        <v>601</v>
      </c>
      <c r="G441" s="349" t="s">
        <v>437</v>
      </c>
      <c r="H441" s="350">
        <f t="shared" ref="H441:H451" si="11">IFERROR((DATEDIF(D441,E441,"M")+1)*C441,0)</f>
        <v>48952.68</v>
      </c>
      <c r="I441" s="120" t="str">
        <f>IF(OR(D441&lt;Capa!$A$5,D441&gt;Capa!$A$7,E441&lt;Capa!$A$5,E441&gt;Capa!$A$7,D441&gt;E441),"Erro","")</f>
        <v/>
      </c>
    </row>
    <row r="442" spans="1:9" ht="20" hidden="1">
      <c r="A442" s="345">
        <v>533</v>
      </c>
      <c r="B442" s="346" t="s">
        <v>198</v>
      </c>
      <c r="C442" s="347">
        <v>4283.3629912500001</v>
      </c>
      <c r="D442" s="348">
        <v>46023</v>
      </c>
      <c r="E442" s="348">
        <v>46357</v>
      </c>
      <c r="F442" s="346" t="s">
        <v>601</v>
      </c>
      <c r="G442" s="349" t="s">
        <v>437</v>
      </c>
      <c r="H442" s="350">
        <f t="shared" si="11"/>
        <v>51400.355895000001</v>
      </c>
      <c r="I442" s="120" t="str">
        <f>IF(OR(D442&lt;Capa!$A$5,D442&gt;Capa!$A$7,E442&lt;Capa!$A$5,E442&gt;Capa!$A$7,D442&gt;E442),"Erro","")</f>
        <v/>
      </c>
    </row>
    <row r="443" spans="1:9" ht="20" hidden="1">
      <c r="A443" s="345">
        <v>534</v>
      </c>
      <c r="B443" s="346" t="s">
        <v>198</v>
      </c>
      <c r="C443" s="347">
        <v>4497.5311408124999</v>
      </c>
      <c r="D443" s="348">
        <v>46388</v>
      </c>
      <c r="E443" s="348">
        <v>46722</v>
      </c>
      <c r="F443" s="346" t="s">
        <v>601</v>
      </c>
      <c r="G443" s="349" t="s">
        <v>437</v>
      </c>
      <c r="H443" s="350">
        <f t="shared" si="11"/>
        <v>53970.373689749998</v>
      </c>
      <c r="I443" s="120" t="str">
        <f>IF(OR(D443&lt;Capa!$A$5,D443&gt;Capa!$A$7,E443&lt;Capa!$A$5,E443&gt;Capa!$A$7,D443&gt;E443),"Erro","")</f>
        <v/>
      </c>
    </row>
    <row r="444" spans="1:9" ht="20" hidden="1">
      <c r="A444" s="345">
        <v>535</v>
      </c>
      <c r="B444" s="346" t="s">
        <v>198</v>
      </c>
      <c r="C444" s="347">
        <v>2000</v>
      </c>
      <c r="D444" s="348">
        <v>46753</v>
      </c>
      <c r="E444" s="348">
        <v>47058</v>
      </c>
      <c r="F444" s="346" t="s">
        <v>601</v>
      </c>
      <c r="G444" s="349" t="s">
        <v>437</v>
      </c>
      <c r="H444" s="350">
        <f t="shared" si="11"/>
        <v>22000</v>
      </c>
      <c r="I444" s="120" t="str">
        <f>IF(OR(D444&lt;Capa!$A$5,D444&gt;Capa!$A$7,E444&lt;Capa!$A$5,E444&gt;Capa!$A$7,D444&gt;E444),"Erro","")</f>
        <v/>
      </c>
    </row>
    <row r="445" spans="1:9" ht="20" hidden="1">
      <c r="A445" s="345">
        <v>536</v>
      </c>
      <c r="B445" s="346" t="s">
        <v>202</v>
      </c>
      <c r="C445" s="347">
        <v>1500</v>
      </c>
      <c r="D445" s="348">
        <v>45658</v>
      </c>
      <c r="E445" s="348">
        <v>45748</v>
      </c>
      <c r="F445" s="346" t="s">
        <v>601</v>
      </c>
      <c r="G445" s="349" t="s">
        <v>438</v>
      </c>
      <c r="H445" s="350">
        <f t="shared" si="11"/>
        <v>6000</v>
      </c>
      <c r="I445" s="120" t="str">
        <f>IF(OR(D445&lt;Capa!$A$5,D445&gt;Capa!$A$7,E445&lt;Capa!$A$5,E445&gt;Capa!$A$7,D445&gt;E445),"Erro","")</f>
        <v/>
      </c>
    </row>
    <row r="446" spans="1:9" ht="20" hidden="1">
      <c r="A446" s="345">
        <v>537</v>
      </c>
      <c r="B446" s="346" t="s">
        <v>202</v>
      </c>
      <c r="C446" s="347">
        <v>1300</v>
      </c>
      <c r="D446" s="348">
        <v>46023</v>
      </c>
      <c r="E446" s="348">
        <v>46113</v>
      </c>
      <c r="F446" s="346" t="s">
        <v>601</v>
      </c>
      <c r="G446" s="349" t="s">
        <v>438</v>
      </c>
      <c r="H446" s="350">
        <f t="shared" si="11"/>
        <v>5200</v>
      </c>
      <c r="I446" s="120" t="str">
        <f>IF(OR(D446&lt;Capa!$A$5,D446&gt;Capa!$A$7,E446&lt;Capa!$A$5,E446&gt;Capa!$A$7,D446&gt;E446),"Erro","")</f>
        <v/>
      </c>
    </row>
    <row r="447" spans="1:9" ht="20" hidden="1">
      <c r="A447" s="345">
        <v>538</v>
      </c>
      <c r="B447" s="346" t="s">
        <v>202</v>
      </c>
      <c r="C447" s="347">
        <v>1300</v>
      </c>
      <c r="D447" s="348">
        <v>46388</v>
      </c>
      <c r="E447" s="348">
        <v>46478</v>
      </c>
      <c r="F447" s="346" t="s">
        <v>601</v>
      </c>
      <c r="G447" s="349" t="s">
        <v>438</v>
      </c>
      <c r="H447" s="350">
        <f t="shared" si="11"/>
        <v>5200</v>
      </c>
      <c r="I447" s="120" t="str">
        <f>IF(OR(D447&lt;Capa!$A$5,D447&gt;Capa!$A$7,E447&lt;Capa!$A$5,E447&gt;Capa!$A$7,D447&gt;E447),"Erro","")</f>
        <v/>
      </c>
    </row>
    <row r="448" spans="1:9" ht="20" hidden="1">
      <c r="A448" s="345">
        <v>539</v>
      </c>
      <c r="B448" s="346" t="s">
        <v>202</v>
      </c>
      <c r="C448" s="347">
        <v>750</v>
      </c>
      <c r="D448" s="348">
        <v>46753</v>
      </c>
      <c r="E448" s="348">
        <v>46844</v>
      </c>
      <c r="F448" s="346" t="s">
        <v>601</v>
      </c>
      <c r="G448" s="349" t="s">
        <v>438</v>
      </c>
      <c r="H448" s="350">
        <f t="shared" si="11"/>
        <v>3000</v>
      </c>
      <c r="I448" s="120" t="str">
        <f>IF(OR(D448&lt;Capa!$A$5,D448&gt;Capa!$A$7,E448&lt;Capa!$A$5,E448&gt;Capa!$A$7,D448&gt;E448),"Erro","")</f>
        <v/>
      </c>
    </row>
    <row r="449" spans="1:9" ht="20" hidden="1">
      <c r="A449" s="345">
        <v>540</v>
      </c>
      <c r="B449" s="346" t="s">
        <v>204</v>
      </c>
      <c r="C449" s="347">
        <v>1250</v>
      </c>
      <c r="D449" s="348">
        <v>45658</v>
      </c>
      <c r="E449" s="348">
        <v>45748</v>
      </c>
      <c r="F449" s="346" t="s">
        <v>601</v>
      </c>
      <c r="G449" s="349" t="s">
        <v>438</v>
      </c>
      <c r="H449" s="350">
        <f t="shared" si="11"/>
        <v>5000</v>
      </c>
      <c r="I449" s="120" t="str">
        <f>IF(OR(D449&lt;Capa!$A$5,D449&gt;Capa!$A$7,E449&lt;Capa!$A$5,E449&gt;Capa!$A$7,D449&gt;E449),"Erro","")</f>
        <v/>
      </c>
    </row>
    <row r="450" spans="1:9" ht="20" hidden="1">
      <c r="A450" s="345">
        <v>541</v>
      </c>
      <c r="B450" s="346" t="s">
        <v>204</v>
      </c>
      <c r="C450" s="347">
        <v>1250</v>
      </c>
      <c r="D450" s="348">
        <v>46023</v>
      </c>
      <c r="E450" s="348">
        <v>46113</v>
      </c>
      <c r="F450" s="346" t="s">
        <v>601</v>
      </c>
      <c r="G450" s="349" t="s">
        <v>438</v>
      </c>
      <c r="H450" s="350">
        <f t="shared" si="11"/>
        <v>5000</v>
      </c>
      <c r="I450" s="120" t="str">
        <f>IF(OR(D450&lt;Capa!$A$5,D450&gt;Capa!$A$7,E450&lt;Capa!$A$5,E450&gt;Capa!$A$7,D450&gt;E450),"Erro","")</f>
        <v/>
      </c>
    </row>
    <row r="451" spans="1:9" ht="20" hidden="1">
      <c r="A451" s="345">
        <v>542</v>
      </c>
      <c r="B451" s="346" t="s">
        <v>204</v>
      </c>
      <c r="C451" s="347">
        <v>1250</v>
      </c>
      <c r="D451" s="348">
        <v>46388</v>
      </c>
      <c r="E451" s="348">
        <v>46478</v>
      </c>
      <c r="F451" s="346" t="s">
        <v>601</v>
      </c>
      <c r="G451" s="349" t="s">
        <v>438</v>
      </c>
      <c r="H451" s="350">
        <f t="shared" si="11"/>
        <v>5000</v>
      </c>
      <c r="I451" s="120" t="str">
        <f>IF(OR(D451&lt;Capa!$A$5,D451&gt;Capa!$A$7,E451&lt;Capa!$A$5,E451&gt;Capa!$A$7,D451&gt;E451),"Erro","")</f>
        <v/>
      </c>
    </row>
    <row r="452" spans="1:9" ht="20" hidden="1">
      <c r="A452" s="345">
        <v>543</v>
      </c>
      <c r="B452" s="346" t="s">
        <v>204</v>
      </c>
      <c r="C452" s="347">
        <v>780</v>
      </c>
      <c r="D452" s="348">
        <v>46753</v>
      </c>
      <c r="E452" s="348">
        <v>46844</v>
      </c>
      <c r="F452" s="346" t="s">
        <v>601</v>
      </c>
      <c r="G452" s="349" t="s">
        <v>438</v>
      </c>
      <c r="H452" s="350">
        <f t="shared" ref="H452:H502" si="12">IFERROR((DATEDIF(D452,E452,"M")+1)*C452,0)</f>
        <v>3120</v>
      </c>
      <c r="I452" s="120" t="str">
        <f>IF(OR(D452&lt;Capa!$A$5,D452&gt;Capa!$A$7,E452&lt;Capa!$A$5,E452&gt;Capa!$A$7,D452&gt;E452),"Erro","")</f>
        <v/>
      </c>
    </row>
    <row r="453" spans="1:9" ht="20" hidden="1">
      <c r="A453" s="345">
        <v>545</v>
      </c>
      <c r="B453" s="346" t="s">
        <v>206</v>
      </c>
      <c r="C453" s="347">
        <v>1200</v>
      </c>
      <c r="D453" s="348">
        <v>45658</v>
      </c>
      <c r="E453" s="348">
        <v>45992</v>
      </c>
      <c r="F453" s="346" t="s">
        <v>601</v>
      </c>
      <c r="G453" s="349" t="s">
        <v>439</v>
      </c>
      <c r="H453" s="350">
        <f t="shared" si="12"/>
        <v>14400</v>
      </c>
      <c r="I453" s="120" t="str">
        <f>IF(OR(D453&lt;Capa!$A$5,D453&gt;Capa!$A$7,E453&lt;Capa!$A$5,E453&gt;Capa!$A$7,D453&gt;E453),"Erro","")</f>
        <v/>
      </c>
    </row>
    <row r="454" spans="1:9" ht="20" hidden="1">
      <c r="A454" s="345">
        <v>546</v>
      </c>
      <c r="B454" s="346" t="s">
        <v>206</v>
      </c>
      <c r="C454" s="347">
        <v>1200</v>
      </c>
      <c r="D454" s="348">
        <v>46023</v>
      </c>
      <c r="E454" s="348">
        <v>46357</v>
      </c>
      <c r="F454" s="346" t="s">
        <v>601</v>
      </c>
      <c r="G454" s="349" t="s">
        <v>439</v>
      </c>
      <c r="H454" s="350">
        <f t="shared" si="12"/>
        <v>14400</v>
      </c>
      <c r="I454" s="120" t="str">
        <f>IF(OR(D454&lt;Capa!$A$5,D454&gt;Capa!$A$7,E454&lt;Capa!$A$5,E454&gt;Capa!$A$7,D454&gt;E454),"Erro","")</f>
        <v/>
      </c>
    </row>
    <row r="455" spans="1:9" ht="20" hidden="1">
      <c r="A455" s="345">
        <v>547</v>
      </c>
      <c r="B455" s="346" t="s">
        <v>206</v>
      </c>
      <c r="C455" s="347">
        <v>1200</v>
      </c>
      <c r="D455" s="348">
        <v>46388</v>
      </c>
      <c r="E455" s="348">
        <v>46722</v>
      </c>
      <c r="F455" s="346" t="s">
        <v>601</v>
      </c>
      <c r="G455" s="349" t="s">
        <v>439</v>
      </c>
      <c r="H455" s="350">
        <f t="shared" si="12"/>
        <v>14400</v>
      </c>
      <c r="I455" s="120" t="str">
        <f>IF(OR(D455&lt;Capa!$A$5,D455&gt;Capa!$A$7,E455&lt;Capa!$A$5,E455&gt;Capa!$A$7,D455&gt;E455),"Erro","")</f>
        <v/>
      </c>
    </row>
    <row r="456" spans="1:9" ht="20" hidden="1">
      <c r="A456" s="345">
        <v>548</v>
      </c>
      <c r="B456" s="346" t="s">
        <v>206</v>
      </c>
      <c r="C456" s="347">
        <v>800</v>
      </c>
      <c r="D456" s="348">
        <v>46753</v>
      </c>
      <c r="E456" s="348">
        <v>47058</v>
      </c>
      <c r="F456" s="346" t="s">
        <v>601</v>
      </c>
      <c r="G456" s="349" t="s">
        <v>439</v>
      </c>
      <c r="H456" s="350">
        <f t="shared" si="12"/>
        <v>8800</v>
      </c>
      <c r="I456" s="120" t="str">
        <f>IF(OR(D456&lt;Capa!$A$5,D456&gt;Capa!$A$7,E456&lt;Capa!$A$5,E456&gt;Capa!$A$7,D456&gt;E456),"Erro","")</f>
        <v/>
      </c>
    </row>
    <row r="457" spans="1:9" ht="20" hidden="1">
      <c r="A457" s="345">
        <v>550</v>
      </c>
      <c r="B457" s="346" t="s">
        <v>208</v>
      </c>
      <c r="C457" s="347">
        <v>350</v>
      </c>
      <c r="D457" s="348">
        <v>45658</v>
      </c>
      <c r="E457" s="348">
        <v>45992</v>
      </c>
      <c r="F457" s="346" t="s">
        <v>601</v>
      </c>
      <c r="G457" s="349" t="s">
        <v>439</v>
      </c>
      <c r="H457" s="350">
        <f t="shared" si="12"/>
        <v>4200</v>
      </c>
      <c r="I457" s="120" t="str">
        <f>IF(OR(D457&lt;Capa!$A$5,D457&gt;Capa!$A$7,E457&lt;Capa!$A$5,E457&gt;Capa!$A$7,D457&gt;E457),"Erro","")</f>
        <v/>
      </c>
    </row>
    <row r="458" spans="1:9" ht="20" hidden="1">
      <c r="A458" s="345">
        <v>551</v>
      </c>
      <c r="B458" s="346" t="s">
        <v>208</v>
      </c>
      <c r="C458" s="347">
        <v>350</v>
      </c>
      <c r="D458" s="348">
        <v>46023</v>
      </c>
      <c r="E458" s="348">
        <v>46357</v>
      </c>
      <c r="F458" s="346" t="s">
        <v>601</v>
      </c>
      <c r="G458" s="349" t="s">
        <v>439</v>
      </c>
      <c r="H458" s="350">
        <f t="shared" si="12"/>
        <v>4200</v>
      </c>
      <c r="I458" s="120" t="str">
        <f>IF(OR(D458&lt;Capa!$A$5,D458&gt;Capa!$A$7,E458&lt;Capa!$A$5,E458&gt;Capa!$A$7,D458&gt;E458),"Erro","")</f>
        <v/>
      </c>
    </row>
    <row r="459" spans="1:9" ht="20" hidden="1">
      <c r="A459" s="345">
        <v>552</v>
      </c>
      <c r="B459" s="346" t="s">
        <v>208</v>
      </c>
      <c r="C459" s="347">
        <v>350</v>
      </c>
      <c r="D459" s="348">
        <v>46388</v>
      </c>
      <c r="E459" s="348">
        <v>46722</v>
      </c>
      <c r="F459" s="346" t="s">
        <v>601</v>
      </c>
      <c r="G459" s="349" t="s">
        <v>439</v>
      </c>
      <c r="H459" s="350">
        <f t="shared" si="12"/>
        <v>4200</v>
      </c>
      <c r="I459" s="120" t="str">
        <f>IF(OR(D459&lt;Capa!$A$5,D459&gt;Capa!$A$7,E459&lt;Capa!$A$5,E459&gt;Capa!$A$7,D459&gt;E459),"Erro","")</f>
        <v/>
      </c>
    </row>
    <row r="460" spans="1:9" ht="20" hidden="1">
      <c r="A460" s="345">
        <v>553</v>
      </c>
      <c r="B460" s="346" t="s">
        <v>208</v>
      </c>
      <c r="C460" s="347">
        <v>350</v>
      </c>
      <c r="D460" s="348">
        <v>46753</v>
      </c>
      <c r="E460" s="348">
        <v>47058</v>
      </c>
      <c r="F460" s="346" t="s">
        <v>601</v>
      </c>
      <c r="G460" s="349" t="s">
        <v>439</v>
      </c>
      <c r="H460" s="350">
        <f t="shared" si="12"/>
        <v>3850</v>
      </c>
      <c r="I460" s="120" t="str">
        <f>IF(OR(D460&lt;Capa!$A$5,D460&gt;Capa!$A$7,E460&lt;Capa!$A$5,E460&gt;Capa!$A$7,D460&gt;E460),"Erro","")</f>
        <v/>
      </c>
    </row>
    <row r="461" spans="1:9" ht="20" hidden="1">
      <c r="A461" s="345">
        <v>555</v>
      </c>
      <c r="B461" s="346" t="s">
        <v>210</v>
      </c>
      <c r="C461" s="347">
        <v>60</v>
      </c>
      <c r="D461" s="348">
        <v>45658</v>
      </c>
      <c r="E461" s="348">
        <v>45992</v>
      </c>
      <c r="F461" s="346" t="s">
        <v>601</v>
      </c>
      <c r="G461" s="349" t="s">
        <v>439</v>
      </c>
      <c r="H461" s="350">
        <f t="shared" si="12"/>
        <v>720</v>
      </c>
      <c r="I461" s="120" t="str">
        <f>IF(OR(D461&lt;Capa!$A$5,D461&gt;Capa!$A$7,E461&lt;Capa!$A$5,E461&gt;Capa!$A$7,D461&gt;E461),"Erro","")</f>
        <v/>
      </c>
    </row>
    <row r="462" spans="1:9" ht="20" hidden="1">
      <c r="A462" s="345">
        <v>556</v>
      </c>
      <c r="B462" s="346" t="s">
        <v>210</v>
      </c>
      <c r="C462" s="347">
        <v>60</v>
      </c>
      <c r="D462" s="348">
        <v>46023</v>
      </c>
      <c r="E462" s="348">
        <v>46357</v>
      </c>
      <c r="F462" s="346" t="s">
        <v>601</v>
      </c>
      <c r="G462" s="349" t="s">
        <v>439</v>
      </c>
      <c r="H462" s="350">
        <f t="shared" si="12"/>
        <v>720</v>
      </c>
      <c r="I462" s="120" t="str">
        <f>IF(OR(D462&lt;Capa!$A$5,D462&gt;Capa!$A$7,E462&lt;Capa!$A$5,E462&gt;Capa!$A$7,D462&gt;E462),"Erro","")</f>
        <v/>
      </c>
    </row>
    <row r="463" spans="1:9" ht="20" hidden="1">
      <c r="A463" s="345">
        <v>557</v>
      </c>
      <c r="B463" s="346" t="s">
        <v>210</v>
      </c>
      <c r="C463" s="347">
        <v>60</v>
      </c>
      <c r="D463" s="348">
        <v>46388</v>
      </c>
      <c r="E463" s="348">
        <v>46722</v>
      </c>
      <c r="F463" s="346" t="s">
        <v>601</v>
      </c>
      <c r="G463" s="349" t="s">
        <v>439</v>
      </c>
      <c r="H463" s="350">
        <f t="shared" si="12"/>
        <v>720</v>
      </c>
      <c r="I463" s="120" t="str">
        <f>IF(OR(D463&lt;Capa!$A$5,D463&gt;Capa!$A$7,E463&lt;Capa!$A$5,E463&gt;Capa!$A$7,D463&gt;E463),"Erro","")</f>
        <v/>
      </c>
    </row>
    <row r="464" spans="1:9" ht="20" hidden="1">
      <c r="A464" s="345">
        <v>558</v>
      </c>
      <c r="B464" s="346" t="s">
        <v>210</v>
      </c>
      <c r="C464" s="347">
        <v>49</v>
      </c>
      <c r="D464" s="348">
        <v>46753</v>
      </c>
      <c r="E464" s="348">
        <v>47058</v>
      </c>
      <c r="F464" s="346" t="s">
        <v>601</v>
      </c>
      <c r="G464" s="349" t="s">
        <v>439</v>
      </c>
      <c r="H464" s="350">
        <f t="shared" si="12"/>
        <v>539</v>
      </c>
      <c r="I464" s="120" t="str">
        <f>IF(OR(D464&lt;Capa!$A$5,D464&gt;Capa!$A$7,E464&lt;Capa!$A$5,E464&gt;Capa!$A$7,D464&gt;E464),"Erro","")</f>
        <v/>
      </c>
    </row>
    <row r="465" spans="1:9" ht="20" hidden="1">
      <c r="A465" s="345">
        <v>560</v>
      </c>
      <c r="B465" s="346" t="s">
        <v>214</v>
      </c>
      <c r="C465" s="347">
        <v>140</v>
      </c>
      <c r="D465" s="348">
        <v>45658</v>
      </c>
      <c r="E465" s="348">
        <v>45992</v>
      </c>
      <c r="F465" s="346" t="s">
        <v>601</v>
      </c>
      <c r="G465" s="349" t="s">
        <v>439</v>
      </c>
      <c r="H465" s="350">
        <f t="shared" si="12"/>
        <v>1680</v>
      </c>
      <c r="I465" s="120" t="str">
        <f>IF(OR(D465&lt;Capa!$A$5,D465&gt;Capa!$A$7,E465&lt;Capa!$A$5,E465&gt;Capa!$A$7,D465&gt;E465),"Erro","")</f>
        <v/>
      </c>
    </row>
    <row r="466" spans="1:9" ht="20" hidden="1">
      <c r="A466" s="345">
        <v>561</v>
      </c>
      <c r="B466" s="346" t="s">
        <v>214</v>
      </c>
      <c r="C466" s="347">
        <v>140</v>
      </c>
      <c r="D466" s="348">
        <v>46023</v>
      </c>
      <c r="E466" s="348">
        <v>46357</v>
      </c>
      <c r="F466" s="346" t="s">
        <v>601</v>
      </c>
      <c r="G466" s="349" t="s">
        <v>439</v>
      </c>
      <c r="H466" s="350">
        <f t="shared" si="12"/>
        <v>1680</v>
      </c>
      <c r="I466" s="120" t="str">
        <f>IF(OR(D466&lt;Capa!$A$5,D466&gt;Capa!$A$7,E466&lt;Capa!$A$5,E466&gt;Capa!$A$7,D466&gt;E466),"Erro","")</f>
        <v/>
      </c>
    </row>
    <row r="467" spans="1:9" ht="20" hidden="1">
      <c r="A467" s="345">
        <v>562</v>
      </c>
      <c r="B467" s="346" t="s">
        <v>214</v>
      </c>
      <c r="C467" s="347">
        <v>140</v>
      </c>
      <c r="D467" s="348">
        <v>46388</v>
      </c>
      <c r="E467" s="348">
        <v>46722</v>
      </c>
      <c r="F467" s="346" t="s">
        <v>601</v>
      </c>
      <c r="G467" s="349" t="s">
        <v>439</v>
      </c>
      <c r="H467" s="350">
        <f t="shared" si="12"/>
        <v>1680</v>
      </c>
      <c r="I467" s="120" t="str">
        <f>IF(OR(D467&lt;Capa!$A$5,D467&gt;Capa!$A$7,E467&lt;Capa!$A$5,E467&gt;Capa!$A$7,D467&gt;E467),"Erro","")</f>
        <v/>
      </c>
    </row>
    <row r="468" spans="1:9" ht="20" hidden="1">
      <c r="A468" s="345">
        <v>563</v>
      </c>
      <c r="B468" s="346" t="s">
        <v>214</v>
      </c>
      <c r="C468" s="347">
        <v>70</v>
      </c>
      <c r="D468" s="348">
        <v>46753</v>
      </c>
      <c r="E468" s="348">
        <v>47058</v>
      </c>
      <c r="F468" s="346" t="s">
        <v>601</v>
      </c>
      <c r="G468" s="349" t="s">
        <v>439</v>
      </c>
      <c r="H468" s="350">
        <f t="shared" si="12"/>
        <v>770</v>
      </c>
      <c r="I468" s="120" t="str">
        <f>IF(OR(D468&lt;Capa!$A$5,D468&gt;Capa!$A$7,E468&lt;Capa!$A$5,E468&gt;Capa!$A$7,D468&gt;E468),"Erro","")</f>
        <v/>
      </c>
    </row>
    <row r="469" spans="1:9" ht="50" hidden="1">
      <c r="A469" s="345">
        <v>565</v>
      </c>
      <c r="B469" s="346" t="s">
        <v>212</v>
      </c>
      <c r="C469" s="347">
        <v>260</v>
      </c>
      <c r="D469" s="348">
        <v>45658</v>
      </c>
      <c r="E469" s="348">
        <v>45992</v>
      </c>
      <c r="F469" s="346" t="s">
        <v>601</v>
      </c>
      <c r="G469" s="349" t="s">
        <v>492</v>
      </c>
      <c r="H469" s="350">
        <f t="shared" si="12"/>
        <v>3120</v>
      </c>
      <c r="I469" s="120" t="str">
        <f>IF(OR(D469&lt;Capa!$A$5,D469&gt;Capa!$A$7,E469&lt;Capa!$A$5,E469&gt;Capa!$A$7,D469&gt;E469),"Erro","")</f>
        <v/>
      </c>
    </row>
    <row r="470" spans="1:9" ht="50" hidden="1">
      <c r="A470" s="345">
        <v>566</v>
      </c>
      <c r="B470" s="346" t="s">
        <v>212</v>
      </c>
      <c r="C470" s="347">
        <v>260</v>
      </c>
      <c r="D470" s="348">
        <v>46023</v>
      </c>
      <c r="E470" s="348">
        <v>46357</v>
      </c>
      <c r="F470" s="346" t="s">
        <v>601</v>
      </c>
      <c r="G470" s="349" t="s">
        <v>492</v>
      </c>
      <c r="H470" s="350">
        <f t="shared" si="12"/>
        <v>3120</v>
      </c>
      <c r="I470" s="120" t="str">
        <f>IF(OR(D470&lt;Capa!$A$5,D470&gt;Capa!$A$7,E470&lt;Capa!$A$5,E470&gt;Capa!$A$7,D470&gt;E470),"Erro","")</f>
        <v/>
      </c>
    </row>
    <row r="471" spans="1:9" ht="50" hidden="1">
      <c r="A471" s="345">
        <v>567</v>
      </c>
      <c r="B471" s="346" t="s">
        <v>212</v>
      </c>
      <c r="C471" s="347">
        <v>260</v>
      </c>
      <c r="D471" s="348">
        <v>46388</v>
      </c>
      <c r="E471" s="348">
        <v>46722</v>
      </c>
      <c r="F471" s="346" t="s">
        <v>601</v>
      </c>
      <c r="G471" s="349" t="s">
        <v>492</v>
      </c>
      <c r="H471" s="350">
        <f t="shared" si="12"/>
        <v>3120</v>
      </c>
      <c r="I471" s="120" t="str">
        <f>IF(OR(D471&lt;Capa!$A$5,D471&gt;Capa!$A$7,E471&lt;Capa!$A$5,E471&gt;Capa!$A$7,D471&gt;E471),"Erro","")</f>
        <v/>
      </c>
    </row>
    <row r="472" spans="1:9" ht="50" hidden="1">
      <c r="A472" s="345">
        <v>568</v>
      </c>
      <c r="B472" s="346" t="s">
        <v>212</v>
      </c>
      <c r="C472" s="347">
        <v>220</v>
      </c>
      <c r="D472" s="348">
        <v>46753</v>
      </c>
      <c r="E472" s="348">
        <v>47058</v>
      </c>
      <c r="F472" s="346" t="s">
        <v>601</v>
      </c>
      <c r="G472" s="349" t="s">
        <v>492</v>
      </c>
      <c r="H472" s="350">
        <f t="shared" si="12"/>
        <v>2420</v>
      </c>
      <c r="I472" s="120" t="str">
        <f>IF(OR(D472&lt;Capa!$A$5,D472&gt;Capa!$A$7,E472&lt;Capa!$A$5,E472&gt;Capa!$A$7,D472&gt;E472),"Erro","")</f>
        <v/>
      </c>
    </row>
    <row r="473" spans="1:9" ht="40" hidden="1">
      <c r="A473" s="345">
        <v>569</v>
      </c>
      <c r="B473" s="346" t="s">
        <v>248</v>
      </c>
      <c r="C473" s="347">
        <v>846</v>
      </c>
      <c r="D473" s="348">
        <v>45658</v>
      </c>
      <c r="E473" s="348">
        <v>45809</v>
      </c>
      <c r="F473" s="346" t="s">
        <v>601</v>
      </c>
      <c r="G473" s="349" t="s">
        <v>440</v>
      </c>
      <c r="H473" s="350">
        <f t="shared" si="12"/>
        <v>5076</v>
      </c>
      <c r="I473" s="120" t="str">
        <f>IF(OR(D473&lt;Capa!$A$5,D473&gt;Capa!$A$7,E473&lt;Capa!$A$5,E473&gt;Capa!$A$7,D473&gt;E473),"Erro","")</f>
        <v/>
      </c>
    </row>
    <row r="474" spans="1:9" ht="40" hidden="1">
      <c r="A474" s="345">
        <v>570</v>
      </c>
      <c r="B474" s="346" t="s">
        <v>248</v>
      </c>
      <c r="C474" s="347">
        <v>846</v>
      </c>
      <c r="D474" s="348">
        <v>45962</v>
      </c>
      <c r="E474" s="348">
        <v>46174</v>
      </c>
      <c r="F474" s="346" t="s">
        <v>601</v>
      </c>
      <c r="G474" s="349" t="s">
        <v>440</v>
      </c>
      <c r="H474" s="350">
        <f t="shared" si="12"/>
        <v>6768</v>
      </c>
      <c r="I474" s="120" t="str">
        <f>IF(OR(D474&lt;Capa!$A$5,D474&gt;Capa!$A$7,E474&lt;Capa!$A$5,E474&gt;Capa!$A$7,D474&gt;E474),"Erro","")</f>
        <v/>
      </c>
    </row>
    <row r="475" spans="1:9" ht="40" hidden="1">
      <c r="A475" s="345">
        <v>571</v>
      </c>
      <c r="B475" s="346" t="s">
        <v>248</v>
      </c>
      <c r="C475" s="347">
        <v>846</v>
      </c>
      <c r="D475" s="348">
        <v>46327</v>
      </c>
      <c r="E475" s="348">
        <v>46539</v>
      </c>
      <c r="F475" s="346" t="s">
        <v>601</v>
      </c>
      <c r="G475" s="349" t="s">
        <v>440</v>
      </c>
      <c r="H475" s="350">
        <f t="shared" si="12"/>
        <v>6768</v>
      </c>
      <c r="I475" s="120" t="str">
        <f>IF(OR(D475&lt;Capa!$A$5,D475&gt;Capa!$A$7,E475&lt;Capa!$A$5,E475&gt;Capa!$A$7,D475&gt;E475),"Erro","")</f>
        <v/>
      </c>
    </row>
    <row r="476" spans="1:9" ht="40" hidden="1">
      <c r="A476" s="345">
        <v>572</v>
      </c>
      <c r="B476" s="346" t="s">
        <v>248</v>
      </c>
      <c r="C476" s="347">
        <v>500</v>
      </c>
      <c r="D476" s="348">
        <v>46692</v>
      </c>
      <c r="E476" s="348">
        <v>46905</v>
      </c>
      <c r="F476" s="346" t="s">
        <v>601</v>
      </c>
      <c r="G476" s="349" t="s">
        <v>440</v>
      </c>
      <c r="H476" s="350">
        <f t="shared" si="12"/>
        <v>4000</v>
      </c>
      <c r="I476" s="120" t="str">
        <f>IF(OR(D476&lt;Capa!$A$5,D476&gt;Capa!$A$7,E476&lt;Capa!$A$5,E476&gt;Capa!$A$7,D476&gt;E476),"Erro","")</f>
        <v/>
      </c>
    </row>
    <row r="477" spans="1:9" ht="30" hidden="1">
      <c r="A477" s="345">
        <v>573</v>
      </c>
      <c r="B477" s="346" t="s">
        <v>266</v>
      </c>
      <c r="C477" s="347">
        <v>1500</v>
      </c>
      <c r="D477" s="348">
        <v>45658</v>
      </c>
      <c r="E477" s="348">
        <v>45658</v>
      </c>
      <c r="F477" s="346" t="s">
        <v>601</v>
      </c>
      <c r="G477" s="349" t="s">
        <v>441</v>
      </c>
      <c r="H477" s="350">
        <f t="shared" si="12"/>
        <v>1500</v>
      </c>
      <c r="I477" s="120" t="str">
        <f>IF(OR(D477&lt;Capa!$A$5,D477&gt;Capa!$A$7,E477&lt;Capa!$A$5,E477&gt;Capa!$A$7,D477&gt;E477),"Erro","")</f>
        <v/>
      </c>
    </row>
    <row r="478" spans="1:9" ht="30" hidden="1">
      <c r="A478" s="345">
        <v>574</v>
      </c>
      <c r="B478" s="346" t="s">
        <v>266</v>
      </c>
      <c r="C478" s="347">
        <v>1500</v>
      </c>
      <c r="D478" s="348">
        <v>46023</v>
      </c>
      <c r="E478" s="348">
        <v>46023</v>
      </c>
      <c r="F478" s="346" t="s">
        <v>601</v>
      </c>
      <c r="G478" s="349" t="s">
        <v>441</v>
      </c>
      <c r="H478" s="350">
        <f t="shared" si="12"/>
        <v>1500</v>
      </c>
      <c r="I478" s="120" t="str">
        <f>IF(OR(D478&lt;Capa!$A$5,D478&gt;Capa!$A$7,E478&lt;Capa!$A$5,E478&gt;Capa!$A$7,D478&gt;E478),"Erro","")</f>
        <v/>
      </c>
    </row>
    <row r="479" spans="1:9" ht="30" hidden="1">
      <c r="A479" s="345">
        <v>575</v>
      </c>
      <c r="B479" s="346" t="s">
        <v>266</v>
      </c>
      <c r="C479" s="347">
        <v>1500</v>
      </c>
      <c r="D479" s="348">
        <v>46388</v>
      </c>
      <c r="E479" s="348">
        <v>46388</v>
      </c>
      <c r="F479" s="346" t="s">
        <v>601</v>
      </c>
      <c r="G479" s="349" t="s">
        <v>441</v>
      </c>
      <c r="H479" s="350">
        <f t="shared" si="12"/>
        <v>1500</v>
      </c>
      <c r="I479" s="120" t="str">
        <f>IF(OR(D479&lt;Capa!$A$5,D479&gt;Capa!$A$7,E479&lt;Capa!$A$5,E479&gt;Capa!$A$7,D479&gt;E479),"Erro","")</f>
        <v/>
      </c>
    </row>
    <row r="480" spans="1:9" ht="30" hidden="1">
      <c r="A480" s="345">
        <v>576</v>
      </c>
      <c r="B480" s="346" t="s">
        <v>266</v>
      </c>
      <c r="C480" s="347">
        <v>750</v>
      </c>
      <c r="D480" s="348">
        <v>46753</v>
      </c>
      <c r="E480" s="348">
        <v>46753</v>
      </c>
      <c r="F480" s="346" t="s">
        <v>601</v>
      </c>
      <c r="G480" s="349" t="s">
        <v>441</v>
      </c>
      <c r="H480" s="350">
        <f t="shared" si="12"/>
        <v>750</v>
      </c>
      <c r="I480" s="120" t="str">
        <f>IF(OR(D480&lt;Capa!$A$5,D480&gt;Capa!$A$7,E480&lt;Capa!$A$5,E480&gt;Capa!$A$7,D480&gt;E480),"Erro","")</f>
        <v/>
      </c>
    </row>
    <row r="481" spans="1:9" hidden="1">
      <c r="A481" s="345">
        <v>578</v>
      </c>
      <c r="B481" s="346" t="s">
        <v>274</v>
      </c>
      <c r="C481" s="347">
        <v>850</v>
      </c>
      <c r="D481" s="348">
        <v>45658</v>
      </c>
      <c r="E481" s="348">
        <v>45992</v>
      </c>
      <c r="F481" s="346" t="s">
        <v>601</v>
      </c>
      <c r="G481" s="349" t="s">
        <v>442</v>
      </c>
      <c r="H481" s="350">
        <f t="shared" si="12"/>
        <v>10200</v>
      </c>
      <c r="I481" s="120" t="str">
        <f>IF(OR(D481&lt;Capa!$A$5,D481&gt;Capa!$A$7,E481&lt;Capa!$A$5,E481&gt;Capa!$A$7,D481&gt;E481),"Erro","")</f>
        <v/>
      </c>
    </row>
    <row r="482" spans="1:9" hidden="1">
      <c r="A482" s="345">
        <v>579</v>
      </c>
      <c r="B482" s="346" t="s">
        <v>274</v>
      </c>
      <c r="C482" s="347">
        <v>850</v>
      </c>
      <c r="D482" s="348">
        <v>46023</v>
      </c>
      <c r="E482" s="348">
        <v>46357</v>
      </c>
      <c r="F482" s="346" t="s">
        <v>601</v>
      </c>
      <c r="G482" s="349" t="s">
        <v>442</v>
      </c>
      <c r="H482" s="350">
        <f t="shared" si="12"/>
        <v>10200</v>
      </c>
      <c r="I482" s="120" t="str">
        <f>IF(OR(D482&lt;Capa!$A$5,D482&gt;Capa!$A$7,E482&lt;Capa!$A$5,E482&gt;Capa!$A$7,D482&gt;E482),"Erro","")</f>
        <v/>
      </c>
    </row>
    <row r="483" spans="1:9" hidden="1">
      <c r="A483" s="345">
        <v>580</v>
      </c>
      <c r="B483" s="346" t="s">
        <v>274</v>
      </c>
      <c r="C483" s="347">
        <v>850</v>
      </c>
      <c r="D483" s="348">
        <v>46388</v>
      </c>
      <c r="E483" s="348">
        <v>46722</v>
      </c>
      <c r="F483" s="346" t="s">
        <v>601</v>
      </c>
      <c r="G483" s="349" t="s">
        <v>442</v>
      </c>
      <c r="H483" s="350">
        <f t="shared" si="12"/>
        <v>10200</v>
      </c>
      <c r="I483" s="120" t="str">
        <f>IF(OR(D483&lt;Capa!$A$5,D483&gt;Capa!$A$7,E483&lt;Capa!$A$5,E483&gt;Capa!$A$7,D483&gt;E483),"Erro","")</f>
        <v/>
      </c>
    </row>
    <row r="484" spans="1:9" hidden="1">
      <c r="A484" s="345">
        <v>581</v>
      </c>
      <c r="B484" s="346" t="s">
        <v>274</v>
      </c>
      <c r="C484" s="347">
        <v>450</v>
      </c>
      <c r="D484" s="348">
        <v>46753</v>
      </c>
      <c r="E484" s="348">
        <v>47058</v>
      </c>
      <c r="F484" s="346" t="s">
        <v>601</v>
      </c>
      <c r="G484" s="349" t="s">
        <v>442</v>
      </c>
      <c r="H484" s="350">
        <f t="shared" si="12"/>
        <v>4950</v>
      </c>
      <c r="I484" s="120" t="str">
        <f>IF(OR(D484&lt;Capa!$A$5,D484&gt;Capa!$A$7,E484&lt;Capa!$A$5,E484&gt;Capa!$A$7,D484&gt;E484),"Erro","")</f>
        <v/>
      </c>
    </row>
    <row r="485" spans="1:9" ht="40" hidden="1">
      <c r="A485" s="345">
        <v>583</v>
      </c>
      <c r="B485" s="346" t="s">
        <v>236</v>
      </c>
      <c r="C485" s="347">
        <v>450</v>
      </c>
      <c r="D485" s="348">
        <v>45658</v>
      </c>
      <c r="E485" s="348">
        <v>45992</v>
      </c>
      <c r="F485" s="346" t="s">
        <v>601</v>
      </c>
      <c r="G485" s="349" t="s">
        <v>443</v>
      </c>
      <c r="H485" s="350">
        <f t="shared" si="12"/>
        <v>5400</v>
      </c>
      <c r="I485" s="120" t="str">
        <f>IF(OR(D485&lt;Capa!$A$5,D485&gt;Capa!$A$7,E485&lt;Capa!$A$5,E485&gt;Capa!$A$7,D485&gt;E485),"Erro","")</f>
        <v/>
      </c>
    </row>
    <row r="486" spans="1:9" ht="40" hidden="1">
      <c r="A486" s="345">
        <v>584</v>
      </c>
      <c r="B486" s="346" t="s">
        <v>236</v>
      </c>
      <c r="C486" s="347">
        <v>450</v>
      </c>
      <c r="D486" s="348">
        <v>46023</v>
      </c>
      <c r="E486" s="348">
        <v>46357</v>
      </c>
      <c r="F486" s="346" t="s">
        <v>601</v>
      </c>
      <c r="G486" s="349" t="s">
        <v>443</v>
      </c>
      <c r="H486" s="350">
        <f t="shared" si="12"/>
        <v>5400</v>
      </c>
      <c r="I486" s="120" t="str">
        <f>IF(OR(D486&lt;Capa!$A$5,D486&gt;Capa!$A$7,E486&lt;Capa!$A$5,E486&gt;Capa!$A$7,D486&gt;E486),"Erro","")</f>
        <v/>
      </c>
    </row>
    <row r="487" spans="1:9" ht="40" hidden="1">
      <c r="A487" s="345">
        <v>585</v>
      </c>
      <c r="B487" s="346" t="s">
        <v>236</v>
      </c>
      <c r="C487" s="347">
        <v>450</v>
      </c>
      <c r="D487" s="348">
        <v>46388</v>
      </c>
      <c r="E487" s="348">
        <v>46722</v>
      </c>
      <c r="F487" s="346" t="s">
        <v>601</v>
      </c>
      <c r="G487" s="349" t="s">
        <v>443</v>
      </c>
      <c r="H487" s="350">
        <f t="shared" si="12"/>
        <v>5400</v>
      </c>
      <c r="I487" s="120" t="str">
        <f>IF(OR(D487&lt;Capa!$A$5,D487&gt;Capa!$A$7,E487&lt;Capa!$A$5,E487&gt;Capa!$A$7,D487&gt;E487),"Erro","")</f>
        <v/>
      </c>
    </row>
    <row r="488" spans="1:9" ht="40" hidden="1">
      <c r="A488" s="345">
        <v>586</v>
      </c>
      <c r="B488" s="346" t="s">
        <v>236</v>
      </c>
      <c r="C488" s="347">
        <v>200</v>
      </c>
      <c r="D488" s="348">
        <v>46753</v>
      </c>
      <c r="E488" s="348">
        <v>47058</v>
      </c>
      <c r="F488" s="346" t="s">
        <v>601</v>
      </c>
      <c r="G488" s="349" t="s">
        <v>443</v>
      </c>
      <c r="H488" s="350">
        <f t="shared" si="12"/>
        <v>2200</v>
      </c>
      <c r="I488" s="120" t="str">
        <f>IF(OR(D488&lt;Capa!$A$5,D488&gt;Capa!$A$7,E488&lt;Capa!$A$5,E488&gt;Capa!$A$7,D488&gt;E488),"Erro","")</f>
        <v/>
      </c>
    </row>
    <row r="489" spans="1:9" ht="30" hidden="1">
      <c r="A489" s="345">
        <v>588</v>
      </c>
      <c r="B489" s="346" t="s">
        <v>240</v>
      </c>
      <c r="C489" s="347">
        <v>50</v>
      </c>
      <c r="D489" s="348">
        <v>45658</v>
      </c>
      <c r="E489" s="348">
        <v>45992</v>
      </c>
      <c r="F489" s="346" t="s">
        <v>601</v>
      </c>
      <c r="G489" s="349" t="s">
        <v>444</v>
      </c>
      <c r="H489" s="350">
        <f t="shared" si="12"/>
        <v>600</v>
      </c>
      <c r="I489" s="120" t="str">
        <f>IF(OR(D489&lt;Capa!$A$5,D489&gt;Capa!$A$7,E489&lt;Capa!$A$5,E489&gt;Capa!$A$7,D489&gt;E489),"Erro","")</f>
        <v/>
      </c>
    </row>
    <row r="490" spans="1:9" ht="30" hidden="1">
      <c r="A490" s="345">
        <v>589</v>
      </c>
      <c r="B490" s="346" t="s">
        <v>240</v>
      </c>
      <c r="C490" s="347">
        <v>50</v>
      </c>
      <c r="D490" s="348">
        <v>46023</v>
      </c>
      <c r="E490" s="348">
        <v>46357</v>
      </c>
      <c r="F490" s="346" t="s">
        <v>601</v>
      </c>
      <c r="G490" s="349" t="s">
        <v>444</v>
      </c>
      <c r="H490" s="350">
        <f t="shared" si="12"/>
        <v>600</v>
      </c>
      <c r="I490" s="120" t="str">
        <f>IF(OR(D490&lt;Capa!$A$5,D490&gt;Capa!$A$7,E490&lt;Capa!$A$5,E490&gt;Capa!$A$7,D490&gt;E490),"Erro","")</f>
        <v/>
      </c>
    </row>
    <row r="491" spans="1:9" ht="30" hidden="1">
      <c r="A491" s="345">
        <v>590</v>
      </c>
      <c r="B491" s="346" t="s">
        <v>240</v>
      </c>
      <c r="C491" s="347">
        <v>50</v>
      </c>
      <c r="D491" s="348">
        <v>46388</v>
      </c>
      <c r="E491" s="348">
        <v>46722</v>
      </c>
      <c r="F491" s="346" t="s">
        <v>601</v>
      </c>
      <c r="G491" s="349" t="s">
        <v>444</v>
      </c>
      <c r="H491" s="350">
        <f t="shared" si="12"/>
        <v>600</v>
      </c>
      <c r="I491" s="120" t="str">
        <f>IF(OR(D491&lt;Capa!$A$5,D491&gt;Capa!$A$7,E491&lt;Capa!$A$5,E491&gt;Capa!$A$7,D491&gt;E491),"Erro","")</f>
        <v/>
      </c>
    </row>
    <row r="492" spans="1:9" ht="30" hidden="1">
      <c r="A492" s="345">
        <v>591</v>
      </c>
      <c r="B492" s="346" t="s">
        <v>240</v>
      </c>
      <c r="C492" s="347">
        <v>25</v>
      </c>
      <c r="D492" s="348">
        <v>46753</v>
      </c>
      <c r="E492" s="348">
        <v>47058</v>
      </c>
      <c r="F492" s="346" t="s">
        <v>601</v>
      </c>
      <c r="G492" s="349" t="s">
        <v>444</v>
      </c>
      <c r="H492" s="350">
        <f t="shared" si="12"/>
        <v>275</v>
      </c>
      <c r="I492" s="120" t="str">
        <f>IF(OR(D492&lt;Capa!$A$5,D492&gt;Capa!$A$7,E492&lt;Capa!$A$5,E492&gt;Capa!$A$7,D492&gt;E492),"Erro","")</f>
        <v/>
      </c>
    </row>
    <row r="493" spans="1:9" ht="30" hidden="1">
      <c r="A493" s="345">
        <v>593</v>
      </c>
      <c r="B493" s="346" t="s">
        <v>244</v>
      </c>
      <c r="C493" s="347">
        <v>250</v>
      </c>
      <c r="D493" s="348">
        <v>45658</v>
      </c>
      <c r="E493" s="348">
        <v>45992</v>
      </c>
      <c r="F493" s="346" t="s">
        <v>601</v>
      </c>
      <c r="G493" s="349" t="s">
        <v>445</v>
      </c>
      <c r="H493" s="350">
        <f t="shared" si="12"/>
        <v>3000</v>
      </c>
      <c r="I493" s="120" t="str">
        <f>IF(OR(D493&lt;Capa!$A$5,D493&gt;Capa!$A$7,E493&lt;Capa!$A$5,E493&gt;Capa!$A$7,D493&gt;E493),"Erro","")</f>
        <v/>
      </c>
    </row>
    <row r="494" spans="1:9" ht="30" hidden="1">
      <c r="A494" s="345">
        <v>594</v>
      </c>
      <c r="B494" s="346" t="s">
        <v>244</v>
      </c>
      <c r="C494" s="347">
        <v>250</v>
      </c>
      <c r="D494" s="348">
        <v>46023</v>
      </c>
      <c r="E494" s="348">
        <v>46357</v>
      </c>
      <c r="F494" s="346" t="s">
        <v>601</v>
      </c>
      <c r="G494" s="349" t="s">
        <v>445</v>
      </c>
      <c r="H494" s="350">
        <f t="shared" si="12"/>
        <v>3000</v>
      </c>
      <c r="I494" s="120" t="str">
        <f>IF(OR(D494&lt;Capa!$A$5,D494&gt;Capa!$A$7,E494&lt;Capa!$A$5,E494&gt;Capa!$A$7,D494&gt;E494),"Erro","")</f>
        <v/>
      </c>
    </row>
    <row r="495" spans="1:9" ht="30" hidden="1">
      <c r="A495" s="345">
        <v>595</v>
      </c>
      <c r="B495" s="346" t="s">
        <v>244</v>
      </c>
      <c r="C495" s="347">
        <v>250</v>
      </c>
      <c r="D495" s="348">
        <v>46388</v>
      </c>
      <c r="E495" s="348">
        <v>46722</v>
      </c>
      <c r="F495" s="346" t="s">
        <v>601</v>
      </c>
      <c r="G495" s="349" t="s">
        <v>445</v>
      </c>
      <c r="H495" s="350">
        <f t="shared" si="12"/>
        <v>3000</v>
      </c>
      <c r="I495" s="120" t="str">
        <f>IF(OR(D495&lt;Capa!$A$5,D495&gt;Capa!$A$7,E495&lt;Capa!$A$5,E495&gt;Capa!$A$7,D495&gt;E495),"Erro","")</f>
        <v/>
      </c>
    </row>
    <row r="496" spans="1:9" ht="30" hidden="1">
      <c r="A496" s="345">
        <v>596</v>
      </c>
      <c r="B496" s="346" t="s">
        <v>244</v>
      </c>
      <c r="C496" s="347">
        <v>125</v>
      </c>
      <c r="D496" s="348">
        <v>46753</v>
      </c>
      <c r="E496" s="348">
        <v>47058</v>
      </c>
      <c r="F496" s="346" t="s">
        <v>601</v>
      </c>
      <c r="G496" s="349" t="s">
        <v>445</v>
      </c>
      <c r="H496" s="350">
        <f t="shared" si="12"/>
        <v>1375</v>
      </c>
      <c r="I496" s="120" t="str">
        <f>IF(OR(D496&lt;Capa!$A$5,D496&gt;Capa!$A$7,E496&lt;Capa!$A$5,E496&gt;Capa!$A$7,D496&gt;E496),"Erro","")</f>
        <v/>
      </c>
    </row>
    <row r="497" spans="1:9" ht="20" hidden="1">
      <c r="A497" s="345">
        <v>597</v>
      </c>
      <c r="B497" s="346" t="s">
        <v>246</v>
      </c>
      <c r="C497" s="347">
        <v>390</v>
      </c>
      <c r="D497" s="348">
        <v>45658</v>
      </c>
      <c r="E497" s="348">
        <v>45992</v>
      </c>
      <c r="F497" s="346" t="s">
        <v>601</v>
      </c>
      <c r="G497" s="349" t="s">
        <v>446</v>
      </c>
      <c r="H497" s="350">
        <f t="shared" si="12"/>
        <v>4680</v>
      </c>
      <c r="I497" s="120" t="str">
        <f>IF(OR(D497&lt;Capa!$A$5,D497&gt;Capa!$A$7,E497&lt;Capa!$A$5,E497&gt;Capa!$A$7,D497&gt;E497),"Erro","")</f>
        <v/>
      </c>
    </row>
    <row r="498" spans="1:9" ht="20" hidden="1">
      <c r="A498" s="345">
        <v>598</v>
      </c>
      <c r="B498" s="346" t="s">
        <v>246</v>
      </c>
      <c r="C498" s="347">
        <v>390</v>
      </c>
      <c r="D498" s="348">
        <v>46023</v>
      </c>
      <c r="E498" s="348">
        <v>46357</v>
      </c>
      <c r="F498" s="346" t="s">
        <v>601</v>
      </c>
      <c r="G498" s="349" t="s">
        <v>446</v>
      </c>
      <c r="H498" s="350">
        <f t="shared" si="12"/>
        <v>4680</v>
      </c>
      <c r="I498" s="120" t="str">
        <f>IF(OR(D498&lt;Capa!$A$5,D498&gt;Capa!$A$7,E498&lt;Capa!$A$5,E498&gt;Capa!$A$7,D498&gt;E498),"Erro","")</f>
        <v/>
      </c>
    </row>
    <row r="499" spans="1:9" ht="20" hidden="1">
      <c r="A499" s="345">
        <v>599</v>
      </c>
      <c r="B499" s="346" t="s">
        <v>246</v>
      </c>
      <c r="C499" s="347">
        <v>390</v>
      </c>
      <c r="D499" s="348">
        <v>46388</v>
      </c>
      <c r="E499" s="348">
        <v>46722</v>
      </c>
      <c r="F499" s="346" t="s">
        <v>601</v>
      </c>
      <c r="G499" s="349" t="s">
        <v>446</v>
      </c>
      <c r="H499" s="350">
        <f t="shared" si="12"/>
        <v>4680</v>
      </c>
      <c r="I499" s="120" t="str">
        <f>IF(OR(D499&lt;Capa!$A$5,D499&gt;Capa!$A$7,E499&lt;Capa!$A$5,E499&gt;Capa!$A$7,D499&gt;E499),"Erro","")</f>
        <v/>
      </c>
    </row>
    <row r="500" spans="1:9" ht="20" hidden="1">
      <c r="A500" s="345">
        <v>600</v>
      </c>
      <c r="B500" s="346" t="s">
        <v>246</v>
      </c>
      <c r="C500" s="347">
        <v>190</v>
      </c>
      <c r="D500" s="348">
        <v>46753</v>
      </c>
      <c r="E500" s="348">
        <v>47058</v>
      </c>
      <c r="F500" s="346" t="s">
        <v>601</v>
      </c>
      <c r="G500" s="349" t="s">
        <v>446</v>
      </c>
      <c r="H500" s="350">
        <f t="shared" si="12"/>
        <v>2090</v>
      </c>
      <c r="I500" s="120" t="str">
        <f>IF(OR(D500&lt;Capa!$A$5,D500&gt;Capa!$A$7,E500&lt;Capa!$A$5,E500&gt;Capa!$A$7,D500&gt;E500),"Erro","")</f>
        <v/>
      </c>
    </row>
    <row r="501" spans="1:9" ht="30" hidden="1">
      <c r="A501" s="345">
        <v>602</v>
      </c>
      <c r="B501" s="346" t="s">
        <v>258</v>
      </c>
      <c r="C501" s="347">
        <v>50</v>
      </c>
      <c r="D501" s="348">
        <v>45658</v>
      </c>
      <c r="E501" s="348">
        <v>45992</v>
      </c>
      <c r="F501" s="346" t="s">
        <v>601</v>
      </c>
      <c r="G501" s="349" t="s">
        <v>447</v>
      </c>
      <c r="H501" s="350">
        <f t="shared" si="12"/>
        <v>600</v>
      </c>
      <c r="I501" s="120" t="str">
        <f>IF(OR(D501&lt;Capa!$A$5,D501&gt;Capa!$A$7,E501&lt;Capa!$A$5,E501&gt;Capa!$A$7,D501&gt;E501),"Erro","")</f>
        <v/>
      </c>
    </row>
    <row r="502" spans="1:9" ht="30" hidden="1">
      <c r="A502" s="345">
        <v>603</v>
      </c>
      <c r="B502" s="346" t="s">
        <v>258</v>
      </c>
      <c r="C502" s="347">
        <v>50</v>
      </c>
      <c r="D502" s="348">
        <v>46023</v>
      </c>
      <c r="E502" s="348">
        <v>46357</v>
      </c>
      <c r="F502" s="346" t="s">
        <v>601</v>
      </c>
      <c r="G502" s="349" t="s">
        <v>447</v>
      </c>
      <c r="H502" s="350">
        <f t="shared" si="12"/>
        <v>600</v>
      </c>
      <c r="I502" s="120" t="str">
        <f>IF(OR(D502&lt;Capa!$A$5,D502&gt;Capa!$A$7,E502&lt;Capa!$A$5,E502&gt;Capa!$A$7,D502&gt;E502),"Erro","")</f>
        <v/>
      </c>
    </row>
    <row r="503" spans="1:9" ht="30" hidden="1">
      <c r="A503" s="345">
        <v>604</v>
      </c>
      <c r="B503" s="346" t="s">
        <v>258</v>
      </c>
      <c r="C503" s="347">
        <v>50</v>
      </c>
      <c r="D503" s="348">
        <v>46388</v>
      </c>
      <c r="E503" s="348">
        <v>46722</v>
      </c>
      <c r="F503" s="346" t="s">
        <v>601</v>
      </c>
      <c r="G503" s="349" t="s">
        <v>447</v>
      </c>
      <c r="H503" s="350">
        <f t="shared" ref="H503:H545" si="13">IFERROR((DATEDIF(D503,E503,"M")+1)*C503,0)</f>
        <v>600</v>
      </c>
      <c r="I503" s="120" t="str">
        <f>IF(OR(D503&lt;Capa!$A$5,D503&gt;Capa!$A$7,E503&lt;Capa!$A$5,E503&gt;Capa!$A$7,D503&gt;E503),"Erro","")</f>
        <v/>
      </c>
    </row>
    <row r="504" spans="1:9" ht="30" hidden="1">
      <c r="A504" s="345">
        <v>605</v>
      </c>
      <c r="B504" s="346" t="s">
        <v>258</v>
      </c>
      <c r="C504" s="347">
        <v>20</v>
      </c>
      <c r="D504" s="348">
        <v>46753</v>
      </c>
      <c r="E504" s="348">
        <v>47058</v>
      </c>
      <c r="F504" s="346" t="s">
        <v>601</v>
      </c>
      <c r="G504" s="349" t="s">
        <v>447</v>
      </c>
      <c r="H504" s="350">
        <f t="shared" si="13"/>
        <v>220</v>
      </c>
      <c r="I504" s="120" t="str">
        <f>IF(OR(D504&lt;Capa!$A$5,D504&gt;Capa!$A$7,E504&lt;Capa!$A$5,E504&gt;Capa!$A$7,D504&gt;E504),"Erro","")</f>
        <v/>
      </c>
    </row>
    <row r="505" spans="1:9" ht="40" hidden="1">
      <c r="A505" s="345">
        <v>606</v>
      </c>
      <c r="B505" s="346" t="s">
        <v>276</v>
      </c>
      <c r="C505" s="347">
        <v>500</v>
      </c>
      <c r="D505" s="348">
        <v>45658</v>
      </c>
      <c r="E505" s="348">
        <v>45992</v>
      </c>
      <c r="F505" s="346" t="s">
        <v>601</v>
      </c>
      <c r="G505" s="349" t="s">
        <v>448</v>
      </c>
      <c r="H505" s="350">
        <f t="shared" si="13"/>
        <v>6000</v>
      </c>
      <c r="I505" s="120" t="str">
        <f>IF(OR(D505&lt;Capa!$A$5,D505&gt;Capa!$A$7,E505&lt;Capa!$A$5,E505&gt;Capa!$A$7,D505&gt;E505),"Erro","")</f>
        <v/>
      </c>
    </row>
    <row r="506" spans="1:9" ht="40" hidden="1">
      <c r="A506" s="345">
        <v>607</v>
      </c>
      <c r="B506" s="346" t="s">
        <v>276</v>
      </c>
      <c r="C506" s="347">
        <v>500</v>
      </c>
      <c r="D506" s="348">
        <v>46023</v>
      </c>
      <c r="E506" s="348">
        <v>46357</v>
      </c>
      <c r="F506" s="346" t="s">
        <v>601</v>
      </c>
      <c r="G506" s="349" t="s">
        <v>448</v>
      </c>
      <c r="H506" s="350">
        <f t="shared" si="13"/>
        <v>6000</v>
      </c>
      <c r="I506" s="120" t="str">
        <f>IF(OR(D506&lt;Capa!$A$5,D506&gt;Capa!$A$7,E506&lt;Capa!$A$5,E506&gt;Capa!$A$7,D506&gt;E506),"Erro","")</f>
        <v/>
      </c>
    </row>
    <row r="507" spans="1:9" ht="40" hidden="1">
      <c r="A507" s="345">
        <v>608</v>
      </c>
      <c r="B507" s="346" t="s">
        <v>276</v>
      </c>
      <c r="C507" s="347">
        <v>500</v>
      </c>
      <c r="D507" s="348">
        <v>46388</v>
      </c>
      <c r="E507" s="348">
        <v>46722</v>
      </c>
      <c r="F507" s="346" t="s">
        <v>601</v>
      </c>
      <c r="G507" s="349" t="s">
        <v>448</v>
      </c>
      <c r="H507" s="350">
        <f t="shared" si="13"/>
        <v>6000</v>
      </c>
      <c r="I507" s="120" t="str">
        <f>IF(OR(D507&lt;Capa!$A$5,D507&gt;Capa!$A$7,E507&lt;Capa!$A$5,E507&gt;Capa!$A$7,D507&gt;E507),"Erro","")</f>
        <v/>
      </c>
    </row>
    <row r="508" spans="1:9" ht="40" hidden="1">
      <c r="A508" s="345">
        <v>609</v>
      </c>
      <c r="B508" s="346" t="s">
        <v>276</v>
      </c>
      <c r="C508" s="347">
        <v>250</v>
      </c>
      <c r="D508" s="348">
        <v>46753</v>
      </c>
      <c r="E508" s="348">
        <v>47058</v>
      </c>
      <c r="F508" s="346" t="s">
        <v>601</v>
      </c>
      <c r="G508" s="349" t="s">
        <v>448</v>
      </c>
      <c r="H508" s="350">
        <f t="shared" si="13"/>
        <v>2750</v>
      </c>
      <c r="I508" s="120" t="str">
        <f>IF(OR(D508&lt;Capa!$A$5,D508&gt;Capa!$A$7,E508&lt;Capa!$A$5,E508&gt;Capa!$A$7,D508&gt;E508),"Erro","")</f>
        <v/>
      </c>
    </row>
    <row r="509" spans="1:9" ht="40">
      <c r="A509" s="345">
        <v>611</v>
      </c>
      <c r="B509" s="346" t="s">
        <v>278</v>
      </c>
      <c r="C509" s="347">
        <v>22000</v>
      </c>
      <c r="D509" s="348">
        <v>45658</v>
      </c>
      <c r="E509" s="348">
        <v>45992</v>
      </c>
      <c r="F509" s="346" t="s">
        <v>601</v>
      </c>
      <c r="G509" s="349" t="s">
        <v>449</v>
      </c>
      <c r="H509" s="350">
        <f t="shared" si="13"/>
        <v>264000</v>
      </c>
      <c r="I509" s="120" t="str">
        <f>IF(OR(D509&lt;Capa!$A$5,D509&gt;Capa!$A$7,E509&lt;Capa!$A$5,E509&gt;Capa!$A$7,D509&gt;E509),"Erro","")</f>
        <v/>
      </c>
    </row>
    <row r="510" spans="1:9" ht="40">
      <c r="A510" s="345">
        <v>612</v>
      </c>
      <c r="B510" s="346" t="s">
        <v>278</v>
      </c>
      <c r="C510" s="347">
        <v>22000</v>
      </c>
      <c r="D510" s="348">
        <v>46023</v>
      </c>
      <c r="E510" s="348">
        <v>46357</v>
      </c>
      <c r="F510" s="346" t="s">
        <v>601</v>
      </c>
      <c r="G510" s="349" t="s">
        <v>449</v>
      </c>
      <c r="H510" s="350">
        <f t="shared" si="13"/>
        <v>264000</v>
      </c>
      <c r="I510" s="120" t="str">
        <f>IF(OR(D510&lt;Capa!$A$5,D510&gt;Capa!$A$7,E510&lt;Capa!$A$5,E510&gt;Capa!$A$7,D510&gt;E510),"Erro","")</f>
        <v/>
      </c>
    </row>
    <row r="511" spans="1:9" ht="40">
      <c r="A511" s="345">
        <v>613</v>
      </c>
      <c r="B511" s="346" t="s">
        <v>278</v>
      </c>
      <c r="C511" s="347">
        <v>22000</v>
      </c>
      <c r="D511" s="348">
        <v>46388</v>
      </c>
      <c r="E511" s="348">
        <v>46722</v>
      </c>
      <c r="F511" s="346" t="s">
        <v>601</v>
      </c>
      <c r="G511" s="349" t="s">
        <v>449</v>
      </c>
      <c r="H511" s="350">
        <f t="shared" si="13"/>
        <v>264000</v>
      </c>
      <c r="I511" s="120" t="str">
        <f>IF(OR(D511&lt;Capa!$A$5,D511&gt;Capa!$A$7,E511&lt;Capa!$A$5,E511&gt;Capa!$A$7,D511&gt;E511),"Erro","")</f>
        <v/>
      </c>
    </row>
    <row r="512" spans="1:9" ht="40">
      <c r="A512" s="345">
        <v>614</v>
      </c>
      <c r="B512" s="346" t="s">
        <v>278</v>
      </c>
      <c r="C512" s="347">
        <v>11000</v>
      </c>
      <c r="D512" s="348">
        <v>46753</v>
      </c>
      <c r="E512" s="348">
        <v>47058</v>
      </c>
      <c r="F512" s="346" t="s">
        <v>601</v>
      </c>
      <c r="G512" s="349" t="s">
        <v>449</v>
      </c>
      <c r="H512" s="350">
        <f t="shared" si="13"/>
        <v>121000</v>
      </c>
      <c r="I512" s="120" t="str">
        <f>IF(OR(D512&lt;Capa!$A$5,D512&gt;Capa!$A$7,E512&lt;Capa!$A$5,E512&gt;Capa!$A$7,D512&gt;E512),"Erro","")</f>
        <v/>
      </c>
    </row>
    <row r="513" spans="1:9" ht="40" hidden="1">
      <c r="A513" s="345">
        <v>616</v>
      </c>
      <c r="B513" s="346" t="s">
        <v>280</v>
      </c>
      <c r="C513" s="347">
        <v>100</v>
      </c>
      <c r="D513" s="348">
        <v>45658</v>
      </c>
      <c r="E513" s="348">
        <v>45992</v>
      </c>
      <c r="F513" s="346" t="s">
        <v>601</v>
      </c>
      <c r="G513" s="349" t="s">
        <v>450</v>
      </c>
      <c r="H513" s="350">
        <f t="shared" si="13"/>
        <v>1200</v>
      </c>
      <c r="I513" s="120" t="str">
        <f>IF(OR(D513&lt;Capa!$A$5,D513&gt;Capa!$A$7,E513&lt;Capa!$A$5,E513&gt;Capa!$A$7,D513&gt;E513),"Erro","")</f>
        <v/>
      </c>
    </row>
    <row r="514" spans="1:9" ht="40" hidden="1">
      <c r="A514" s="345">
        <v>617</v>
      </c>
      <c r="B514" s="346" t="s">
        <v>280</v>
      </c>
      <c r="C514" s="347">
        <v>100</v>
      </c>
      <c r="D514" s="348">
        <v>46023</v>
      </c>
      <c r="E514" s="348">
        <v>46357</v>
      </c>
      <c r="F514" s="346" t="s">
        <v>601</v>
      </c>
      <c r="G514" s="349" t="s">
        <v>450</v>
      </c>
      <c r="H514" s="350">
        <f t="shared" si="13"/>
        <v>1200</v>
      </c>
      <c r="I514" s="120" t="str">
        <f>IF(OR(D514&lt;Capa!$A$5,D514&gt;Capa!$A$7,E514&lt;Capa!$A$5,E514&gt;Capa!$A$7,D514&gt;E514),"Erro","")</f>
        <v/>
      </c>
    </row>
    <row r="515" spans="1:9" ht="40" hidden="1">
      <c r="A515" s="345">
        <v>618</v>
      </c>
      <c r="B515" s="346" t="s">
        <v>280</v>
      </c>
      <c r="C515" s="347">
        <v>100</v>
      </c>
      <c r="D515" s="348">
        <v>46388</v>
      </c>
      <c r="E515" s="348">
        <v>46722</v>
      </c>
      <c r="F515" s="346" t="s">
        <v>601</v>
      </c>
      <c r="G515" s="349" t="s">
        <v>450</v>
      </c>
      <c r="H515" s="350">
        <f t="shared" si="13"/>
        <v>1200</v>
      </c>
      <c r="I515" s="120" t="str">
        <f>IF(OR(D515&lt;Capa!$A$5,D515&gt;Capa!$A$7,E515&lt;Capa!$A$5,E515&gt;Capa!$A$7,D515&gt;E515),"Erro","")</f>
        <v/>
      </c>
    </row>
    <row r="516" spans="1:9" ht="40" hidden="1">
      <c r="A516" s="345">
        <v>619</v>
      </c>
      <c r="B516" s="346" t="s">
        <v>280</v>
      </c>
      <c r="C516" s="347">
        <v>50</v>
      </c>
      <c r="D516" s="348">
        <v>46753</v>
      </c>
      <c r="E516" s="348">
        <v>47058</v>
      </c>
      <c r="F516" s="346" t="s">
        <v>601</v>
      </c>
      <c r="G516" s="349" t="s">
        <v>450</v>
      </c>
      <c r="H516" s="350">
        <f t="shared" si="13"/>
        <v>550</v>
      </c>
      <c r="I516" s="120" t="str">
        <f>IF(OR(D516&lt;Capa!$A$5,D516&gt;Capa!$A$7,E516&lt;Capa!$A$5,E516&gt;Capa!$A$7,D516&gt;E516),"Erro","")</f>
        <v/>
      </c>
    </row>
    <row r="517" spans="1:9" ht="40" hidden="1">
      <c r="A517" s="345">
        <v>621</v>
      </c>
      <c r="B517" s="346" t="s">
        <v>282</v>
      </c>
      <c r="C517" s="347">
        <v>450</v>
      </c>
      <c r="D517" s="348">
        <v>45658</v>
      </c>
      <c r="E517" s="348">
        <v>45992</v>
      </c>
      <c r="F517" s="346" t="s">
        <v>601</v>
      </c>
      <c r="G517" s="349" t="s">
        <v>451</v>
      </c>
      <c r="H517" s="350">
        <f t="shared" si="13"/>
        <v>5400</v>
      </c>
      <c r="I517" s="120" t="str">
        <f>IF(OR(D517&lt;Capa!$A$5,D517&gt;Capa!$A$7,E517&lt;Capa!$A$5,E517&gt;Capa!$A$7,D517&gt;E517),"Erro","")</f>
        <v/>
      </c>
    </row>
    <row r="518" spans="1:9" ht="40" hidden="1">
      <c r="A518" s="345">
        <v>622</v>
      </c>
      <c r="B518" s="346" t="s">
        <v>282</v>
      </c>
      <c r="C518" s="347">
        <v>450</v>
      </c>
      <c r="D518" s="348">
        <v>46023</v>
      </c>
      <c r="E518" s="348">
        <v>46357</v>
      </c>
      <c r="F518" s="346" t="s">
        <v>601</v>
      </c>
      <c r="G518" s="349" t="s">
        <v>451</v>
      </c>
      <c r="H518" s="350">
        <f t="shared" si="13"/>
        <v>5400</v>
      </c>
      <c r="I518" s="120" t="str">
        <f>IF(OR(D518&lt;Capa!$A$5,D518&gt;Capa!$A$7,E518&lt;Capa!$A$5,E518&gt;Capa!$A$7,D518&gt;E518),"Erro","")</f>
        <v/>
      </c>
    </row>
    <row r="519" spans="1:9" ht="40" hidden="1">
      <c r="A519" s="345">
        <v>623</v>
      </c>
      <c r="B519" s="346" t="s">
        <v>282</v>
      </c>
      <c r="C519" s="347">
        <v>450</v>
      </c>
      <c r="D519" s="348">
        <v>46388</v>
      </c>
      <c r="E519" s="348">
        <v>46722</v>
      </c>
      <c r="F519" s="346" t="s">
        <v>601</v>
      </c>
      <c r="G519" s="349" t="s">
        <v>451</v>
      </c>
      <c r="H519" s="350">
        <f t="shared" si="13"/>
        <v>5400</v>
      </c>
      <c r="I519" s="120" t="str">
        <f>IF(OR(D519&lt;Capa!$A$5,D519&gt;Capa!$A$7,E519&lt;Capa!$A$5,E519&gt;Capa!$A$7,D519&gt;E519),"Erro","")</f>
        <v/>
      </c>
    </row>
    <row r="520" spans="1:9" ht="40" hidden="1">
      <c r="A520" s="345">
        <v>624</v>
      </c>
      <c r="B520" s="346" t="s">
        <v>282</v>
      </c>
      <c r="C520" s="347">
        <v>200</v>
      </c>
      <c r="D520" s="348">
        <v>46753</v>
      </c>
      <c r="E520" s="348">
        <v>47058</v>
      </c>
      <c r="F520" s="346" t="s">
        <v>601</v>
      </c>
      <c r="G520" s="349" t="s">
        <v>451</v>
      </c>
      <c r="H520" s="350">
        <f t="shared" si="13"/>
        <v>2200</v>
      </c>
      <c r="I520" s="120" t="str">
        <f>IF(OR(D520&lt;Capa!$A$5,D520&gt;Capa!$A$7,E520&lt;Capa!$A$5,E520&gt;Capa!$A$7,D520&gt;E520),"Erro","")</f>
        <v/>
      </c>
    </row>
    <row r="521" spans="1:9" ht="40" hidden="1">
      <c r="A521" s="345">
        <v>626</v>
      </c>
      <c r="B521" s="346" t="s">
        <v>284</v>
      </c>
      <c r="C521" s="347">
        <v>950</v>
      </c>
      <c r="D521" s="348">
        <v>45658</v>
      </c>
      <c r="E521" s="348">
        <v>45992</v>
      </c>
      <c r="F521" s="346" t="s">
        <v>601</v>
      </c>
      <c r="G521" s="349" t="s">
        <v>451</v>
      </c>
      <c r="H521" s="350">
        <f t="shared" si="13"/>
        <v>11400</v>
      </c>
      <c r="I521" s="120" t="str">
        <f>IF(OR(D521&lt;Capa!$A$5,D521&gt;Capa!$A$7,E521&lt;Capa!$A$5,E521&gt;Capa!$A$7,D521&gt;E521),"Erro","")</f>
        <v/>
      </c>
    </row>
    <row r="522" spans="1:9" ht="40" hidden="1">
      <c r="A522" s="345">
        <v>627</v>
      </c>
      <c r="B522" s="346" t="s">
        <v>284</v>
      </c>
      <c r="C522" s="347">
        <v>950</v>
      </c>
      <c r="D522" s="348">
        <v>46023</v>
      </c>
      <c r="E522" s="348">
        <v>46357</v>
      </c>
      <c r="F522" s="346" t="s">
        <v>601</v>
      </c>
      <c r="G522" s="349" t="s">
        <v>451</v>
      </c>
      <c r="H522" s="350">
        <f t="shared" si="13"/>
        <v>11400</v>
      </c>
      <c r="I522" s="120" t="str">
        <f>IF(OR(D522&lt;Capa!$A$5,D522&gt;Capa!$A$7,E522&lt;Capa!$A$5,E522&gt;Capa!$A$7,D522&gt;E522),"Erro","")</f>
        <v/>
      </c>
    </row>
    <row r="523" spans="1:9" ht="40" hidden="1">
      <c r="A523" s="345">
        <v>628</v>
      </c>
      <c r="B523" s="346" t="s">
        <v>284</v>
      </c>
      <c r="C523" s="347">
        <v>950</v>
      </c>
      <c r="D523" s="348">
        <v>46388</v>
      </c>
      <c r="E523" s="348">
        <v>46722</v>
      </c>
      <c r="F523" s="346" t="s">
        <v>601</v>
      </c>
      <c r="G523" s="349" t="s">
        <v>451</v>
      </c>
      <c r="H523" s="350">
        <f t="shared" si="13"/>
        <v>11400</v>
      </c>
      <c r="I523" s="120" t="str">
        <f>IF(OR(D523&lt;Capa!$A$5,D523&gt;Capa!$A$7,E523&lt;Capa!$A$5,E523&gt;Capa!$A$7,D523&gt;E523),"Erro","")</f>
        <v/>
      </c>
    </row>
    <row r="524" spans="1:9" ht="40" hidden="1">
      <c r="A524" s="345">
        <v>629</v>
      </c>
      <c r="B524" s="346" t="s">
        <v>284</v>
      </c>
      <c r="C524" s="347">
        <v>400</v>
      </c>
      <c r="D524" s="348">
        <v>46753</v>
      </c>
      <c r="E524" s="348">
        <v>47058</v>
      </c>
      <c r="F524" s="346" t="s">
        <v>601</v>
      </c>
      <c r="G524" s="349" t="s">
        <v>451</v>
      </c>
      <c r="H524" s="350">
        <f t="shared" si="13"/>
        <v>4400</v>
      </c>
      <c r="I524" s="120" t="str">
        <f>IF(OR(D524&lt;Capa!$A$5,D524&gt;Capa!$A$7,E524&lt;Capa!$A$5,E524&gt;Capa!$A$7,D524&gt;E524),"Erro","")</f>
        <v/>
      </c>
    </row>
    <row r="525" spans="1:9" ht="40" hidden="1">
      <c r="A525" s="345">
        <v>631</v>
      </c>
      <c r="B525" s="346" t="s">
        <v>286</v>
      </c>
      <c r="C525" s="347">
        <v>1000</v>
      </c>
      <c r="D525" s="348">
        <v>45658</v>
      </c>
      <c r="E525" s="348">
        <v>45992</v>
      </c>
      <c r="F525" s="346" t="s">
        <v>601</v>
      </c>
      <c r="G525" s="349" t="s">
        <v>451</v>
      </c>
      <c r="H525" s="350">
        <f t="shared" si="13"/>
        <v>12000</v>
      </c>
      <c r="I525" s="120" t="str">
        <f>IF(OR(D525&lt;Capa!$A$5,D525&gt;Capa!$A$7,E525&lt;Capa!$A$5,E525&gt;Capa!$A$7,D525&gt;E525),"Erro","")</f>
        <v/>
      </c>
    </row>
    <row r="526" spans="1:9" ht="40" hidden="1">
      <c r="A526" s="345">
        <v>632</v>
      </c>
      <c r="B526" s="346" t="s">
        <v>286</v>
      </c>
      <c r="C526" s="347">
        <v>1000</v>
      </c>
      <c r="D526" s="348">
        <v>46023</v>
      </c>
      <c r="E526" s="348">
        <v>46357</v>
      </c>
      <c r="F526" s="346" t="s">
        <v>601</v>
      </c>
      <c r="G526" s="349" t="s">
        <v>451</v>
      </c>
      <c r="H526" s="350">
        <f t="shared" si="13"/>
        <v>12000</v>
      </c>
      <c r="I526" s="120" t="str">
        <f>IF(OR(D526&lt;Capa!$A$5,D526&gt;Capa!$A$7,E526&lt;Capa!$A$5,E526&gt;Capa!$A$7,D526&gt;E526),"Erro","")</f>
        <v/>
      </c>
    </row>
    <row r="527" spans="1:9" ht="40" hidden="1">
      <c r="A527" s="345">
        <v>633</v>
      </c>
      <c r="B527" s="346" t="s">
        <v>286</v>
      </c>
      <c r="C527" s="347">
        <v>1000</v>
      </c>
      <c r="D527" s="348">
        <v>46388</v>
      </c>
      <c r="E527" s="348">
        <v>46722</v>
      </c>
      <c r="F527" s="346" t="s">
        <v>601</v>
      </c>
      <c r="G527" s="349" t="s">
        <v>451</v>
      </c>
      <c r="H527" s="350">
        <f t="shared" si="13"/>
        <v>12000</v>
      </c>
      <c r="I527" s="120" t="str">
        <f>IF(OR(D527&lt;Capa!$A$5,D527&gt;Capa!$A$7,E527&lt;Capa!$A$5,E527&gt;Capa!$A$7,D527&gt;E527),"Erro","")</f>
        <v/>
      </c>
    </row>
    <row r="528" spans="1:9" ht="40" hidden="1">
      <c r="A528" s="345">
        <v>634</v>
      </c>
      <c r="B528" s="346" t="s">
        <v>286</v>
      </c>
      <c r="C528" s="347">
        <v>500</v>
      </c>
      <c r="D528" s="348">
        <v>46753</v>
      </c>
      <c r="E528" s="348">
        <v>47058</v>
      </c>
      <c r="F528" s="346" t="s">
        <v>601</v>
      </c>
      <c r="G528" s="349" t="s">
        <v>451</v>
      </c>
      <c r="H528" s="350">
        <f t="shared" si="13"/>
        <v>5500</v>
      </c>
      <c r="I528" s="120" t="str">
        <f>IF(OR(D528&lt;Capa!$A$5,D528&gt;Capa!$A$7,E528&lt;Capa!$A$5,E528&gt;Capa!$A$7,D528&gt;E528),"Erro","")</f>
        <v/>
      </c>
    </row>
    <row r="529" spans="1:9" ht="30" hidden="1">
      <c r="A529" s="345">
        <v>636</v>
      </c>
      <c r="B529" s="346" t="s">
        <v>288</v>
      </c>
      <c r="C529" s="347">
        <v>200</v>
      </c>
      <c r="D529" s="348">
        <v>45658</v>
      </c>
      <c r="E529" s="348">
        <v>45992</v>
      </c>
      <c r="F529" s="346" t="s">
        <v>601</v>
      </c>
      <c r="G529" s="349" t="s">
        <v>452</v>
      </c>
      <c r="H529" s="350">
        <f t="shared" si="13"/>
        <v>2400</v>
      </c>
      <c r="I529" s="120" t="str">
        <f>IF(OR(D529&lt;Capa!$A$5,D529&gt;Capa!$A$7,E529&lt;Capa!$A$5,E529&gt;Capa!$A$7,D529&gt;E529),"Erro","")</f>
        <v/>
      </c>
    </row>
    <row r="530" spans="1:9" ht="30" hidden="1">
      <c r="A530" s="345">
        <v>637</v>
      </c>
      <c r="B530" s="346" t="s">
        <v>288</v>
      </c>
      <c r="C530" s="347">
        <v>200</v>
      </c>
      <c r="D530" s="348">
        <v>46023</v>
      </c>
      <c r="E530" s="348">
        <v>46357</v>
      </c>
      <c r="F530" s="346" t="s">
        <v>601</v>
      </c>
      <c r="G530" s="349" t="s">
        <v>452</v>
      </c>
      <c r="H530" s="350">
        <f t="shared" si="13"/>
        <v>2400</v>
      </c>
      <c r="I530" s="120" t="str">
        <f>IF(OR(D530&lt;Capa!$A$5,D530&gt;Capa!$A$7,E530&lt;Capa!$A$5,E530&gt;Capa!$A$7,D530&gt;E530),"Erro","")</f>
        <v/>
      </c>
    </row>
    <row r="531" spans="1:9" ht="30" hidden="1">
      <c r="A531" s="345">
        <v>638</v>
      </c>
      <c r="B531" s="346" t="s">
        <v>288</v>
      </c>
      <c r="C531" s="347">
        <v>200</v>
      </c>
      <c r="D531" s="348">
        <v>46388</v>
      </c>
      <c r="E531" s="348">
        <v>46722</v>
      </c>
      <c r="F531" s="346" t="s">
        <v>601</v>
      </c>
      <c r="G531" s="349" t="s">
        <v>452</v>
      </c>
      <c r="H531" s="350">
        <f t="shared" si="13"/>
        <v>2400</v>
      </c>
      <c r="I531" s="120" t="str">
        <f>IF(OR(D531&lt;Capa!$A$5,D531&gt;Capa!$A$7,E531&lt;Capa!$A$5,E531&gt;Capa!$A$7,D531&gt;E531),"Erro","")</f>
        <v/>
      </c>
    </row>
    <row r="532" spans="1:9" ht="30" hidden="1">
      <c r="A532" s="345">
        <v>639</v>
      </c>
      <c r="B532" s="346" t="s">
        <v>288</v>
      </c>
      <c r="C532" s="347">
        <v>100</v>
      </c>
      <c r="D532" s="348">
        <v>46753</v>
      </c>
      <c r="E532" s="348">
        <v>47058</v>
      </c>
      <c r="F532" s="346" t="s">
        <v>601</v>
      </c>
      <c r="G532" s="349" t="s">
        <v>452</v>
      </c>
      <c r="H532" s="350">
        <f t="shared" si="13"/>
        <v>1100</v>
      </c>
      <c r="I532" s="120" t="str">
        <f>IF(OR(D532&lt;Capa!$A$5,D532&gt;Capa!$A$7,E532&lt;Capa!$A$5,E532&gt;Capa!$A$7,D532&gt;E532),"Erro","")</f>
        <v/>
      </c>
    </row>
    <row r="533" spans="1:9" ht="30" hidden="1">
      <c r="A533" s="345">
        <v>641</v>
      </c>
      <c r="B533" s="346" t="s">
        <v>294</v>
      </c>
      <c r="C533" s="347">
        <v>5000</v>
      </c>
      <c r="D533" s="348">
        <v>45658</v>
      </c>
      <c r="E533" s="348">
        <v>45992</v>
      </c>
      <c r="F533" s="346" t="s">
        <v>601</v>
      </c>
      <c r="G533" s="349" t="s">
        <v>453</v>
      </c>
      <c r="H533" s="350">
        <f t="shared" si="13"/>
        <v>60000</v>
      </c>
      <c r="I533" s="120" t="str">
        <f>IF(OR(D533&lt;Capa!$A$5,D533&gt;Capa!$A$7,E533&lt;Capa!$A$5,E533&gt;Capa!$A$7,D533&gt;E533),"Erro","")</f>
        <v/>
      </c>
    </row>
    <row r="534" spans="1:9" ht="30" hidden="1">
      <c r="A534" s="345">
        <v>642</v>
      </c>
      <c r="B534" s="346" t="s">
        <v>294</v>
      </c>
      <c r="C534" s="347">
        <v>5000</v>
      </c>
      <c r="D534" s="348">
        <v>46023</v>
      </c>
      <c r="E534" s="348">
        <v>46357</v>
      </c>
      <c r="F534" s="346" t="s">
        <v>601</v>
      </c>
      <c r="G534" s="349" t="s">
        <v>453</v>
      </c>
      <c r="H534" s="350">
        <f t="shared" si="13"/>
        <v>60000</v>
      </c>
      <c r="I534" s="120" t="str">
        <f>IF(OR(D534&lt;Capa!$A$5,D534&gt;Capa!$A$7,E534&lt;Capa!$A$5,E534&gt;Capa!$A$7,D534&gt;E534),"Erro","")</f>
        <v/>
      </c>
    </row>
    <row r="535" spans="1:9" ht="30" hidden="1">
      <c r="A535" s="345">
        <v>643</v>
      </c>
      <c r="B535" s="346" t="s">
        <v>294</v>
      </c>
      <c r="C535" s="347">
        <v>5000</v>
      </c>
      <c r="D535" s="348">
        <v>46388</v>
      </c>
      <c r="E535" s="348">
        <v>46722</v>
      </c>
      <c r="F535" s="346" t="s">
        <v>601</v>
      </c>
      <c r="G535" s="349" t="s">
        <v>453</v>
      </c>
      <c r="H535" s="350">
        <f t="shared" si="13"/>
        <v>60000</v>
      </c>
      <c r="I535" s="120" t="str">
        <f>IF(OR(D535&lt;Capa!$A$5,D535&gt;Capa!$A$7,E535&lt;Capa!$A$5,E535&gt;Capa!$A$7,D535&gt;E535),"Erro","")</f>
        <v/>
      </c>
    </row>
    <row r="536" spans="1:9" ht="30" hidden="1">
      <c r="A536" s="345">
        <v>644</v>
      </c>
      <c r="B536" s="346" t="s">
        <v>294</v>
      </c>
      <c r="C536" s="347">
        <v>2000</v>
      </c>
      <c r="D536" s="348">
        <v>46753</v>
      </c>
      <c r="E536" s="348">
        <v>47058</v>
      </c>
      <c r="F536" s="346" t="s">
        <v>601</v>
      </c>
      <c r="G536" s="349" t="s">
        <v>453</v>
      </c>
      <c r="H536" s="350">
        <f t="shared" si="13"/>
        <v>22000</v>
      </c>
      <c r="I536" s="120" t="str">
        <f>IF(OR(D536&lt;Capa!$A$5,D536&gt;Capa!$A$7,E536&lt;Capa!$A$5,E536&gt;Capa!$A$7,D536&gt;E536),"Erro","")</f>
        <v/>
      </c>
    </row>
    <row r="537" spans="1:9" ht="20" hidden="1">
      <c r="A537" s="345">
        <v>646</v>
      </c>
      <c r="B537" s="346" t="s">
        <v>302</v>
      </c>
      <c r="C537" s="347">
        <v>100</v>
      </c>
      <c r="D537" s="348">
        <v>45658</v>
      </c>
      <c r="E537" s="348">
        <v>45992</v>
      </c>
      <c r="F537" s="346" t="s">
        <v>601</v>
      </c>
      <c r="G537" s="349" t="s">
        <v>454</v>
      </c>
      <c r="H537" s="350">
        <f t="shared" si="13"/>
        <v>1200</v>
      </c>
      <c r="I537" s="120" t="str">
        <f>IF(OR(D537&lt;Capa!$A$5,D537&gt;Capa!$A$7,E537&lt;Capa!$A$5,E537&gt;Capa!$A$7,D537&gt;E537),"Erro","")</f>
        <v/>
      </c>
    </row>
    <row r="538" spans="1:9" ht="20" hidden="1">
      <c r="A538" s="345">
        <v>647</v>
      </c>
      <c r="B538" s="346" t="s">
        <v>302</v>
      </c>
      <c r="C538" s="347">
        <v>100</v>
      </c>
      <c r="D538" s="348">
        <v>46023</v>
      </c>
      <c r="E538" s="348">
        <v>46357</v>
      </c>
      <c r="F538" s="346" t="s">
        <v>601</v>
      </c>
      <c r="G538" s="349" t="s">
        <v>454</v>
      </c>
      <c r="H538" s="350">
        <f t="shared" si="13"/>
        <v>1200</v>
      </c>
      <c r="I538" s="120" t="str">
        <f>IF(OR(D538&lt;Capa!$A$5,D538&gt;Capa!$A$7,E538&lt;Capa!$A$5,E538&gt;Capa!$A$7,D538&gt;E538),"Erro","")</f>
        <v/>
      </c>
    </row>
    <row r="539" spans="1:9" ht="20" hidden="1">
      <c r="A539" s="345">
        <v>648</v>
      </c>
      <c r="B539" s="346" t="s">
        <v>302</v>
      </c>
      <c r="C539" s="347">
        <v>100</v>
      </c>
      <c r="D539" s="348">
        <v>46388</v>
      </c>
      <c r="E539" s="348">
        <v>46722</v>
      </c>
      <c r="F539" s="346" t="s">
        <v>601</v>
      </c>
      <c r="G539" s="349" t="s">
        <v>454</v>
      </c>
      <c r="H539" s="350">
        <f t="shared" si="13"/>
        <v>1200</v>
      </c>
      <c r="I539" s="120" t="str">
        <f>IF(OR(D539&lt;Capa!$A$5,D539&gt;Capa!$A$7,E539&lt;Capa!$A$5,E539&gt;Capa!$A$7,D539&gt;E539),"Erro","")</f>
        <v/>
      </c>
    </row>
    <row r="540" spans="1:9" ht="20" hidden="1">
      <c r="A540" s="345">
        <v>649</v>
      </c>
      <c r="B540" s="346" t="s">
        <v>302</v>
      </c>
      <c r="C540" s="347">
        <v>50</v>
      </c>
      <c r="D540" s="348">
        <v>46753</v>
      </c>
      <c r="E540" s="348">
        <v>47058</v>
      </c>
      <c r="F540" s="346" t="s">
        <v>601</v>
      </c>
      <c r="G540" s="349" t="s">
        <v>454</v>
      </c>
      <c r="H540" s="350">
        <f t="shared" si="13"/>
        <v>550</v>
      </c>
      <c r="I540" s="120" t="str">
        <f>IF(OR(D540&lt;Capa!$A$5,D540&gt;Capa!$A$7,E540&lt;Capa!$A$5,E540&gt;Capa!$A$7,D540&gt;E540),"Erro","")</f>
        <v/>
      </c>
    </row>
    <row r="541" spans="1:9" ht="30" hidden="1">
      <c r="A541" s="345">
        <v>651</v>
      </c>
      <c r="B541" s="346" t="s">
        <v>304</v>
      </c>
      <c r="C541" s="347">
        <v>1000</v>
      </c>
      <c r="D541" s="348">
        <v>45658</v>
      </c>
      <c r="E541" s="348">
        <v>45992</v>
      </c>
      <c r="F541" s="346" t="s">
        <v>601</v>
      </c>
      <c r="G541" s="349" t="s">
        <v>455</v>
      </c>
      <c r="H541" s="350">
        <f t="shared" si="13"/>
        <v>12000</v>
      </c>
      <c r="I541" s="120" t="str">
        <f>IF(OR(D541&lt;Capa!$A$5,D541&gt;Capa!$A$7,E541&lt;Capa!$A$5,E541&gt;Capa!$A$7,D541&gt;E541),"Erro","")</f>
        <v/>
      </c>
    </row>
    <row r="542" spans="1:9" ht="30" hidden="1">
      <c r="A542" s="345">
        <v>652</v>
      </c>
      <c r="B542" s="346" t="s">
        <v>304</v>
      </c>
      <c r="C542" s="347">
        <v>1000</v>
      </c>
      <c r="D542" s="348">
        <v>46023</v>
      </c>
      <c r="E542" s="348">
        <v>46357</v>
      </c>
      <c r="F542" s="346" t="s">
        <v>601</v>
      </c>
      <c r="G542" s="349" t="s">
        <v>455</v>
      </c>
      <c r="H542" s="350">
        <f t="shared" si="13"/>
        <v>12000</v>
      </c>
      <c r="I542" s="120" t="str">
        <f>IF(OR(D542&lt;Capa!$A$5,D542&gt;Capa!$A$7,E542&lt;Capa!$A$5,E542&gt;Capa!$A$7,D542&gt;E542),"Erro","")</f>
        <v/>
      </c>
    </row>
    <row r="543" spans="1:9" ht="30" hidden="1">
      <c r="A543" s="345">
        <v>653</v>
      </c>
      <c r="B543" s="346" t="s">
        <v>304</v>
      </c>
      <c r="C543" s="347">
        <v>1000</v>
      </c>
      <c r="D543" s="348">
        <v>46388</v>
      </c>
      <c r="E543" s="348">
        <v>46722</v>
      </c>
      <c r="F543" s="346" t="s">
        <v>601</v>
      </c>
      <c r="G543" s="349" t="s">
        <v>455</v>
      </c>
      <c r="H543" s="350">
        <f t="shared" si="13"/>
        <v>12000</v>
      </c>
      <c r="I543" s="120" t="str">
        <f>IF(OR(D543&lt;Capa!$A$5,D543&gt;Capa!$A$7,E543&lt;Capa!$A$5,E543&gt;Capa!$A$7,D543&gt;E543),"Erro","")</f>
        <v/>
      </c>
    </row>
    <row r="544" spans="1:9" ht="30" hidden="1">
      <c r="A544" s="345">
        <v>654</v>
      </c>
      <c r="B544" s="346" t="s">
        <v>304</v>
      </c>
      <c r="C544" s="347">
        <v>500</v>
      </c>
      <c r="D544" s="348">
        <v>46753</v>
      </c>
      <c r="E544" s="348">
        <v>47058</v>
      </c>
      <c r="F544" s="346" t="s">
        <v>601</v>
      </c>
      <c r="G544" s="349" t="s">
        <v>455</v>
      </c>
      <c r="H544" s="350">
        <f t="shared" si="13"/>
        <v>5500</v>
      </c>
      <c r="I544" s="120" t="str">
        <f>IF(OR(D544&lt;Capa!$A$5,D544&gt;Capa!$A$7,E544&lt;Capa!$A$5,E544&gt;Capa!$A$7,D544&gt;E544),"Erro","")</f>
        <v/>
      </c>
    </row>
    <row r="545" spans="1:9" ht="30" hidden="1">
      <c r="A545" s="345">
        <v>655</v>
      </c>
      <c r="B545" s="346" t="s">
        <v>312</v>
      </c>
      <c r="C545" s="347">
        <v>200</v>
      </c>
      <c r="D545" s="348">
        <v>45658</v>
      </c>
      <c r="E545" s="348">
        <v>45992</v>
      </c>
      <c r="F545" s="346" t="s">
        <v>601</v>
      </c>
      <c r="G545" s="349" t="s">
        <v>571</v>
      </c>
      <c r="H545" s="350">
        <f t="shared" si="13"/>
        <v>2400</v>
      </c>
      <c r="I545" s="120" t="str">
        <f>IF(OR(D545&lt;Capa!$A$5,D545&gt;Capa!$A$7,E545&lt;Capa!$A$5,E545&gt;Capa!$A$7,D545&gt;E545),"Erro","")</f>
        <v/>
      </c>
    </row>
    <row r="546" spans="1:9" ht="30" hidden="1">
      <c r="A546" s="345">
        <v>656</v>
      </c>
      <c r="B546" s="346" t="s">
        <v>312</v>
      </c>
      <c r="C546" s="347">
        <v>200</v>
      </c>
      <c r="D546" s="348">
        <v>46023</v>
      </c>
      <c r="E546" s="348">
        <v>46357</v>
      </c>
      <c r="F546" s="346" t="s">
        <v>601</v>
      </c>
      <c r="G546" s="349" t="s">
        <v>571</v>
      </c>
      <c r="H546" s="350">
        <f t="shared" ref="H546:H606" si="14">IFERROR((DATEDIF(D546,E546,"M")+1)*C546,0)</f>
        <v>2400</v>
      </c>
      <c r="I546" s="120" t="str">
        <f>IF(OR(D546&lt;Capa!$A$5,D546&gt;Capa!$A$7,E546&lt;Capa!$A$5,E546&gt;Capa!$A$7,D546&gt;E546),"Erro","")</f>
        <v/>
      </c>
    </row>
    <row r="547" spans="1:9" ht="30" hidden="1">
      <c r="A547" s="345">
        <v>657</v>
      </c>
      <c r="B547" s="346" t="s">
        <v>312</v>
      </c>
      <c r="C547" s="347">
        <v>200</v>
      </c>
      <c r="D547" s="348">
        <v>46388</v>
      </c>
      <c r="E547" s="348">
        <v>46722</v>
      </c>
      <c r="F547" s="346" t="s">
        <v>601</v>
      </c>
      <c r="G547" s="349" t="s">
        <v>571</v>
      </c>
      <c r="H547" s="350">
        <f t="shared" si="14"/>
        <v>2400</v>
      </c>
      <c r="I547" s="120" t="str">
        <f>IF(OR(D547&lt;Capa!$A$5,D547&gt;Capa!$A$7,E547&lt;Capa!$A$5,E547&gt;Capa!$A$7,D547&gt;E547),"Erro","")</f>
        <v/>
      </c>
    </row>
    <row r="548" spans="1:9" ht="30" hidden="1">
      <c r="A548" s="345">
        <v>658</v>
      </c>
      <c r="B548" s="346" t="s">
        <v>312</v>
      </c>
      <c r="C548" s="347">
        <v>100</v>
      </c>
      <c r="D548" s="348">
        <v>46753</v>
      </c>
      <c r="E548" s="348">
        <v>47058</v>
      </c>
      <c r="F548" s="346" t="s">
        <v>601</v>
      </c>
      <c r="G548" s="349" t="s">
        <v>571</v>
      </c>
      <c r="H548" s="350">
        <f t="shared" si="14"/>
        <v>1100</v>
      </c>
      <c r="I548" s="120" t="str">
        <f>IF(OR(D548&lt;Capa!$A$5,D548&gt;Capa!$A$7,E548&lt;Capa!$A$5,E548&gt;Capa!$A$7,D548&gt;E548),"Erro","")</f>
        <v/>
      </c>
    </row>
    <row r="549" spans="1:9" ht="50" hidden="1">
      <c r="A549" s="345">
        <v>660</v>
      </c>
      <c r="B549" s="346" t="s">
        <v>316</v>
      </c>
      <c r="C549" s="347">
        <v>800</v>
      </c>
      <c r="D549" s="348">
        <v>45658</v>
      </c>
      <c r="E549" s="348">
        <v>45992</v>
      </c>
      <c r="F549" s="346" t="s">
        <v>601</v>
      </c>
      <c r="G549" s="349" t="s">
        <v>741</v>
      </c>
      <c r="H549" s="350">
        <f t="shared" si="14"/>
        <v>9600</v>
      </c>
      <c r="I549" s="120" t="str">
        <f>IF(OR(D549&lt;Capa!$A$5,D549&gt;Capa!$A$7,E549&lt;Capa!$A$5,E549&gt;Capa!$A$7,D549&gt;E549),"Erro","")</f>
        <v/>
      </c>
    </row>
    <row r="550" spans="1:9" ht="50" hidden="1">
      <c r="A550" s="345">
        <v>661</v>
      </c>
      <c r="B550" s="346" t="s">
        <v>316</v>
      </c>
      <c r="C550" s="347">
        <v>800</v>
      </c>
      <c r="D550" s="348">
        <v>46023</v>
      </c>
      <c r="E550" s="348">
        <v>46357</v>
      </c>
      <c r="F550" s="346" t="s">
        <v>601</v>
      </c>
      <c r="G550" s="349" t="s">
        <v>741</v>
      </c>
      <c r="H550" s="350">
        <f t="shared" si="14"/>
        <v>9600</v>
      </c>
      <c r="I550" s="120" t="str">
        <f>IF(OR(D550&lt;Capa!$A$5,D550&gt;Capa!$A$7,E550&lt;Capa!$A$5,E550&gt;Capa!$A$7,D550&gt;E550),"Erro","")</f>
        <v/>
      </c>
    </row>
    <row r="551" spans="1:9" ht="50" hidden="1">
      <c r="A551" s="345">
        <v>662</v>
      </c>
      <c r="B551" s="346" t="s">
        <v>316</v>
      </c>
      <c r="C551" s="347">
        <v>800</v>
      </c>
      <c r="D551" s="348">
        <v>46388</v>
      </c>
      <c r="E551" s="348">
        <v>46722</v>
      </c>
      <c r="F551" s="346" t="s">
        <v>601</v>
      </c>
      <c r="G551" s="349" t="s">
        <v>741</v>
      </c>
      <c r="H551" s="350">
        <f t="shared" si="14"/>
        <v>9600</v>
      </c>
      <c r="I551" s="120" t="str">
        <f>IF(OR(D551&lt;Capa!$A$5,D551&gt;Capa!$A$7,E551&lt;Capa!$A$5,E551&gt;Capa!$A$7,D551&gt;E551),"Erro","")</f>
        <v/>
      </c>
    </row>
    <row r="552" spans="1:9" ht="50" hidden="1">
      <c r="A552" s="345">
        <v>663</v>
      </c>
      <c r="B552" s="346" t="s">
        <v>316</v>
      </c>
      <c r="C552" s="347">
        <v>400</v>
      </c>
      <c r="D552" s="348">
        <v>46753</v>
      </c>
      <c r="E552" s="348">
        <v>47058</v>
      </c>
      <c r="F552" s="346" t="s">
        <v>601</v>
      </c>
      <c r="G552" s="349" t="s">
        <v>741</v>
      </c>
      <c r="H552" s="350">
        <f t="shared" si="14"/>
        <v>4400</v>
      </c>
      <c r="I552" s="120" t="str">
        <f>IF(OR(D552&lt;Capa!$A$5,D552&gt;Capa!$A$7,E552&lt;Capa!$A$5,E552&gt;Capa!$A$7,D552&gt;E552),"Erro","")</f>
        <v/>
      </c>
    </row>
    <row r="553" spans="1:9" ht="50" hidden="1">
      <c r="A553" s="345">
        <v>665</v>
      </c>
      <c r="B553" s="346" t="s">
        <v>318</v>
      </c>
      <c r="C553" s="347">
        <v>1000</v>
      </c>
      <c r="D553" s="348">
        <v>45658</v>
      </c>
      <c r="E553" s="348">
        <v>45992</v>
      </c>
      <c r="F553" s="346" t="s">
        <v>601</v>
      </c>
      <c r="G553" s="349" t="s">
        <v>572</v>
      </c>
      <c r="H553" s="350">
        <f t="shared" si="14"/>
        <v>12000</v>
      </c>
      <c r="I553" s="120" t="str">
        <f>IF(OR(D553&lt;Capa!$A$5,D553&gt;Capa!$A$7,E553&lt;Capa!$A$5,E553&gt;Capa!$A$7,D553&gt;E553),"Erro","")</f>
        <v/>
      </c>
    </row>
    <row r="554" spans="1:9" ht="50" hidden="1">
      <c r="A554" s="345">
        <v>666</v>
      </c>
      <c r="B554" s="346" t="s">
        <v>318</v>
      </c>
      <c r="C554" s="347">
        <v>1000</v>
      </c>
      <c r="D554" s="348">
        <v>46023</v>
      </c>
      <c r="E554" s="348">
        <v>46357</v>
      </c>
      <c r="F554" s="346" t="s">
        <v>601</v>
      </c>
      <c r="G554" s="349" t="s">
        <v>572</v>
      </c>
      <c r="H554" s="350">
        <f t="shared" si="14"/>
        <v>12000</v>
      </c>
      <c r="I554" s="120" t="str">
        <f>IF(OR(D554&lt;Capa!$A$5,D554&gt;Capa!$A$7,E554&lt;Capa!$A$5,E554&gt;Capa!$A$7,D554&gt;E554),"Erro","")</f>
        <v/>
      </c>
    </row>
    <row r="555" spans="1:9" ht="50" hidden="1">
      <c r="A555" s="345">
        <v>667</v>
      </c>
      <c r="B555" s="346" t="s">
        <v>318</v>
      </c>
      <c r="C555" s="347">
        <v>1000</v>
      </c>
      <c r="D555" s="348">
        <v>46388</v>
      </c>
      <c r="E555" s="348">
        <v>46722</v>
      </c>
      <c r="F555" s="346" t="s">
        <v>601</v>
      </c>
      <c r="G555" s="349" t="s">
        <v>572</v>
      </c>
      <c r="H555" s="350">
        <f t="shared" si="14"/>
        <v>12000</v>
      </c>
      <c r="I555" s="120" t="str">
        <f>IF(OR(D555&lt;Capa!$A$5,D555&gt;Capa!$A$7,E555&lt;Capa!$A$5,E555&gt;Capa!$A$7,D555&gt;E555),"Erro","")</f>
        <v/>
      </c>
    </row>
    <row r="556" spans="1:9" ht="50" hidden="1">
      <c r="A556" s="345">
        <v>668</v>
      </c>
      <c r="B556" s="346" t="s">
        <v>318</v>
      </c>
      <c r="C556" s="347">
        <v>250</v>
      </c>
      <c r="D556" s="348">
        <v>46753</v>
      </c>
      <c r="E556" s="348">
        <v>47058</v>
      </c>
      <c r="F556" s="346" t="s">
        <v>601</v>
      </c>
      <c r="G556" s="349" t="s">
        <v>572</v>
      </c>
      <c r="H556" s="350">
        <f t="shared" si="14"/>
        <v>2750</v>
      </c>
      <c r="I556" s="120" t="str">
        <f>IF(OR(D556&lt;Capa!$A$5,D556&gt;Capa!$A$7,E556&lt;Capa!$A$5,E556&gt;Capa!$A$7,D556&gt;E556),"Erro","")</f>
        <v/>
      </c>
    </row>
    <row r="557" spans="1:9" ht="50" hidden="1">
      <c r="A557" s="345">
        <v>670</v>
      </c>
      <c r="B557" s="346" t="s">
        <v>318</v>
      </c>
      <c r="C557" s="347">
        <v>700</v>
      </c>
      <c r="D557" s="348">
        <v>45658</v>
      </c>
      <c r="E557" s="348">
        <v>45992</v>
      </c>
      <c r="F557" s="346" t="s">
        <v>601</v>
      </c>
      <c r="G557" s="349" t="s">
        <v>456</v>
      </c>
      <c r="H557" s="350">
        <f t="shared" si="14"/>
        <v>8400</v>
      </c>
      <c r="I557" s="120" t="str">
        <f>IF(OR(D557&lt;Capa!$A$5,D557&gt;Capa!$A$7,E557&lt;Capa!$A$5,E557&gt;Capa!$A$7,D557&gt;E557),"Erro","")</f>
        <v/>
      </c>
    </row>
    <row r="558" spans="1:9" ht="50" hidden="1">
      <c r="A558" s="345">
        <v>671</v>
      </c>
      <c r="B558" s="346" t="s">
        <v>318</v>
      </c>
      <c r="C558" s="347">
        <v>700</v>
      </c>
      <c r="D558" s="348">
        <v>46023</v>
      </c>
      <c r="E558" s="348">
        <v>46357</v>
      </c>
      <c r="F558" s="346" t="s">
        <v>601</v>
      </c>
      <c r="G558" s="349" t="s">
        <v>456</v>
      </c>
      <c r="H558" s="350">
        <f t="shared" si="14"/>
        <v>8400</v>
      </c>
      <c r="I558" s="120" t="str">
        <f>IF(OR(D558&lt;Capa!$A$5,D558&gt;Capa!$A$7,E558&lt;Capa!$A$5,E558&gt;Capa!$A$7,D558&gt;E558),"Erro","")</f>
        <v/>
      </c>
    </row>
    <row r="559" spans="1:9" ht="50" hidden="1">
      <c r="A559" s="345">
        <v>672</v>
      </c>
      <c r="B559" s="346" t="s">
        <v>318</v>
      </c>
      <c r="C559" s="347">
        <v>700</v>
      </c>
      <c r="D559" s="348">
        <v>46388</v>
      </c>
      <c r="E559" s="348">
        <v>46722</v>
      </c>
      <c r="F559" s="346" t="s">
        <v>601</v>
      </c>
      <c r="G559" s="349" t="s">
        <v>456</v>
      </c>
      <c r="H559" s="350">
        <f t="shared" si="14"/>
        <v>8400</v>
      </c>
      <c r="I559" s="120" t="str">
        <f>IF(OR(D559&lt;Capa!$A$5,D559&gt;Capa!$A$7,E559&lt;Capa!$A$5,E559&gt;Capa!$A$7,D559&gt;E559),"Erro","")</f>
        <v/>
      </c>
    </row>
    <row r="560" spans="1:9" ht="50" hidden="1">
      <c r="A560" s="345">
        <v>673</v>
      </c>
      <c r="B560" s="346" t="s">
        <v>318</v>
      </c>
      <c r="C560" s="347">
        <v>250</v>
      </c>
      <c r="D560" s="348">
        <v>46753</v>
      </c>
      <c r="E560" s="348">
        <v>47058</v>
      </c>
      <c r="F560" s="346" t="s">
        <v>601</v>
      </c>
      <c r="G560" s="349" t="s">
        <v>456</v>
      </c>
      <c r="H560" s="350">
        <f t="shared" si="14"/>
        <v>2750</v>
      </c>
      <c r="I560" s="120" t="str">
        <f>IF(OR(D560&lt;Capa!$A$5,D560&gt;Capa!$A$7,E560&lt;Capa!$A$5,E560&gt;Capa!$A$7,D560&gt;E560),"Erro","")</f>
        <v/>
      </c>
    </row>
    <row r="561" spans="1:9" ht="20" hidden="1">
      <c r="A561" s="345">
        <v>675</v>
      </c>
      <c r="B561" s="346" t="s">
        <v>298</v>
      </c>
      <c r="C561" s="347">
        <v>2450</v>
      </c>
      <c r="D561" s="348">
        <v>45658</v>
      </c>
      <c r="E561" s="348">
        <v>45992</v>
      </c>
      <c r="F561" s="346" t="s">
        <v>601</v>
      </c>
      <c r="G561" s="349" t="s">
        <v>457</v>
      </c>
      <c r="H561" s="350">
        <f t="shared" si="14"/>
        <v>29400</v>
      </c>
      <c r="I561" s="120" t="str">
        <f>IF(OR(D561&lt;Capa!$A$5,D561&gt;Capa!$A$7,E561&lt;Capa!$A$5,E561&gt;Capa!$A$7,D561&gt;E561),"Erro","")</f>
        <v/>
      </c>
    </row>
    <row r="562" spans="1:9" ht="20" hidden="1">
      <c r="A562" s="345">
        <v>676</v>
      </c>
      <c r="B562" s="346" t="s">
        <v>298</v>
      </c>
      <c r="C562" s="347">
        <v>2450</v>
      </c>
      <c r="D562" s="348">
        <v>46023</v>
      </c>
      <c r="E562" s="348">
        <v>46357</v>
      </c>
      <c r="F562" s="346" t="s">
        <v>601</v>
      </c>
      <c r="G562" s="349" t="s">
        <v>457</v>
      </c>
      <c r="H562" s="350">
        <f t="shared" si="14"/>
        <v>29400</v>
      </c>
      <c r="I562" s="120" t="str">
        <f>IF(OR(D562&lt;Capa!$A$5,D562&gt;Capa!$A$7,E562&lt;Capa!$A$5,E562&gt;Capa!$A$7,D562&gt;E562),"Erro","")</f>
        <v/>
      </c>
    </row>
    <row r="563" spans="1:9" ht="20" hidden="1">
      <c r="A563" s="345">
        <v>677</v>
      </c>
      <c r="B563" s="346" t="s">
        <v>298</v>
      </c>
      <c r="C563" s="347">
        <v>2450</v>
      </c>
      <c r="D563" s="348">
        <v>46388</v>
      </c>
      <c r="E563" s="348">
        <v>46722</v>
      </c>
      <c r="F563" s="346" t="s">
        <v>601</v>
      </c>
      <c r="G563" s="349" t="s">
        <v>457</v>
      </c>
      <c r="H563" s="350">
        <f t="shared" si="14"/>
        <v>29400</v>
      </c>
      <c r="I563" s="120" t="str">
        <f>IF(OR(D563&lt;Capa!$A$5,D563&gt;Capa!$A$7,E563&lt;Capa!$A$5,E563&gt;Capa!$A$7,D563&gt;E563),"Erro","")</f>
        <v/>
      </c>
    </row>
    <row r="564" spans="1:9" ht="20" hidden="1">
      <c r="A564" s="345">
        <v>678</v>
      </c>
      <c r="B564" s="346" t="s">
        <v>298</v>
      </c>
      <c r="C564" s="347">
        <v>1250</v>
      </c>
      <c r="D564" s="348">
        <v>46753</v>
      </c>
      <c r="E564" s="348">
        <v>47058</v>
      </c>
      <c r="F564" s="346" t="s">
        <v>601</v>
      </c>
      <c r="G564" s="349" t="s">
        <v>457</v>
      </c>
      <c r="H564" s="350">
        <f t="shared" si="14"/>
        <v>13750</v>
      </c>
      <c r="I564" s="120" t="str">
        <f>IF(OR(D564&lt;Capa!$A$5,D564&gt;Capa!$A$7,E564&lt;Capa!$A$5,E564&gt;Capa!$A$7,D564&gt;E564),"Erro","")</f>
        <v/>
      </c>
    </row>
    <row r="565" spans="1:9" ht="30" hidden="1">
      <c r="A565" s="345">
        <v>679</v>
      </c>
      <c r="B565" s="346" t="s">
        <v>238</v>
      </c>
      <c r="C565" s="347">
        <v>480</v>
      </c>
      <c r="D565" s="348">
        <v>45658</v>
      </c>
      <c r="E565" s="348">
        <v>45992</v>
      </c>
      <c r="F565" s="346" t="s">
        <v>601</v>
      </c>
      <c r="G565" s="349" t="s">
        <v>458</v>
      </c>
      <c r="H565" s="350">
        <f t="shared" si="14"/>
        <v>5760</v>
      </c>
      <c r="I565" s="120" t="str">
        <f>IF(OR(D565&lt;Capa!$A$5,D565&gt;Capa!$A$7,E565&lt;Capa!$A$5,E565&gt;Capa!$A$7,D565&gt;E565),"Erro","")</f>
        <v/>
      </c>
    </row>
    <row r="566" spans="1:9" ht="30" hidden="1">
      <c r="A566" s="345">
        <v>680</v>
      </c>
      <c r="B566" s="346" t="s">
        <v>238</v>
      </c>
      <c r="C566" s="347">
        <v>480</v>
      </c>
      <c r="D566" s="348">
        <v>46023</v>
      </c>
      <c r="E566" s="348">
        <v>46357</v>
      </c>
      <c r="F566" s="346" t="s">
        <v>601</v>
      </c>
      <c r="G566" s="349" t="s">
        <v>458</v>
      </c>
      <c r="H566" s="350">
        <f t="shared" si="14"/>
        <v>5760</v>
      </c>
      <c r="I566" s="120" t="str">
        <f>IF(OR(D566&lt;Capa!$A$5,D566&gt;Capa!$A$7,E566&lt;Capa!$A$5,E566&gt;Capa!$A$7,D566&gt;E566),"Erro","")</f>
        <v/>
      </c>
    </row>
    <row r="567" spans="1:9" ht="30" hidden="1">
      <c r="A567" s="345">
        <v>681</v>
      </c>
      <c r="B567" s="346" t="s">
        <v>238</v>
      </c>
      <c r="C567" s="347">
        <v>480</v>
      </c>
      <c r="D567" s="348">
        <v>46388</v>
      </c>
      <c r="E567" s="348">
        <v>46722</v>
      </c>
      <c r="F567" s="346" t="s">
        <v>601</v>
      </c>
      <c r="G567" s="349" t="s">
        <v>458</v>
      </c>
      <c r="H567" s="350">
        <f t="shared" si="14"/>
        <v>5760</v>
      </c>
      <c r="I567" s="120" t="str">
        <f>IF(OR(D567&lt;Capa!$A$5,D567&gt;Capa!$A$7,E567&lt;Capa!$A$5,E567&gt;Capa!$A$7,D567&gt;E567),"Erro","")</f>
        <v/>
      </c>
    </row>
    <row r="568" spans="1:9" ht="30" hidden="1">
      <c r="A568" s="345">
        <v>682</v>
      </c>
      <c r="B568" s="346" t="s">
        <v>238</v>
      </c>
      <c r="C568" s="347">
        <v>240</v>
      </c>
      <c r="D568" s="348">
        <v>46753</v>
      </c>
      <c r="E568" s="348">
        <v>47058</v>
      </c>
      <c r="F568" s="346" t="s">
        <v>601</v>
      </c>
      <c r="G568" s="349" t="s">
        <v>458</v>
      </c>
      <c r="H568" s="350">
        <f t="shared" si="14"/>
        <v>2640</v>
      </c>
      <c r="I568" s="120" t="str">
        <f>IF(OR(D568&lt;Capa!$A$5,D568&gt;Capa!$A$7,E568&lt;Capa!$A$5,E568&gt;Capa!$A$7,D568&gt;E568),"Erro","")</f>
        <v/>
      </c>
    </row>
    <row r="569" spans="1:9" ht="40" hidden="1">
      <c r="A569" s="345">
        <v>684</v>
      </c>
      <c r="B569" s="346" t="s">
        <v>252</v>
      </c>
      <c r="C569" s="347">
        <v>8000</v>
      </c>
      <c r="D569" s="348">
        <v>45658</v>
      </c>
      <c r="E569" s="348">
        <v>45992</v>
      </c>
      <c r="F569" s="346" t="s">
        <v>601</v>
      </c>
      <c r="G569" s="349" t="s">
        <v>459</v>
      </c>
      <c r="H569" s="350">
        <f t="shared" si="14"/>
        <v>96000</v>
      </c>
      <c r="I569" s="120" t="str">
        <f>IF(OR(D569&lt;Capa!$A$5,D569&gt;Capa!$A$7,E569&lt;Capa!$A$5,E569&gt;Capa!$A$7,D569&gt;E569),"Erro","")</f>
        <v/>
      </c>
    </row>
    <row r="570" spans="1:9" ht="40" hidden="1">
      <c r="A570" s="345">
        <v>685</v>
      </c>
      <c r="B570" s="346" t="s">
        <v>252</v>
      </c>
      <c r="C570" s="347">
        <v>8000</v>
      </c>
      <c r="D570" s="348">
        <v>46023</v>
      </c>
      <c r="E570" s="348">
        <v>46357</v>
      </c>
      <c r="F570" s="346" t="s">
        <v>601</v>
      </c>
      <c r="G570" s="349" t="s">
        <v>459</v>
      </c>
      <c r="H570" s="350">
        <f t="shared" si="14"/>
        <v>96000</v>
      </c>
      <c r="I570" s="120" t="str">
        <f>IF(OR(D570&lt;Capa!$A$5,D570&gt;Capa!$A$7,E570&lt;Capa!$A$5,E570&gt;Capa!$A$7,D570&gt;E570),"Erro","")</f>
        <v/>
      </c>
    </row>
    <row r="571" spans="1:9" ht="40" hidden="1">
      <c r="A571" s="345">
        <v>686</v>
      </c>
      <c r="B571" s="346" t="s">
        <v>252</v>
      </c>
      <c r="C571" s="347">
        <v>8000</v>
      </c>
      <c r="D571" s="348">
        <v>46388</v>
      </c>
      <c r="E571" s="348">
        <v>46722</v>
      </c>
      <c r="F571" s="346" t="s">
        <v>601</v>
      </c>
      <c r="G571" s="349" t="s">
        <v>459</v>
      </c>
      <c r="H571" s="350">
        <f t="shared" si="14"/>
        <v>96000</v>
      </c>
      <c r="I571" s="120" t="str">
        <f>IF(OR(D571&lt;Capa!$A$5,D571&gt;Capa!$A$7,E571&lt;Capa!$A$5,E571&gt;Capa!$A$7,D571&gt;E571),"Erro","")</f>
        <v/>
      </c>
    </row>
    <row r="572" spans="1:9" ht="40" hidden="1">
      <c r="A572" s="345">
        <v>687</v>
      </c>
      <c r="B572" s="346" t="s">
        <v>252</v>
      </c>
      <c r="C572" s="347">
        <v>4000</v>
      </c>
      <c r="D572" s="348">
        <v>46753</v>
      </c>
      <c r="E572" s="348">
        <v>47058</v>
      </c>
      <c r="F572" s="346" t="s">
        <v>601</v>
      </c>
      <c r="G572" s="349" t="s">
        <v>459</v>
      </c>
      <c r="H572" s="350">
        <f t="shared" si="14"/>
        <v>44000</v>
      </c>
      <c r="I572" s="120" t="str">
        <f>IF(OR(D572&lt;Capa!$A$5,D572&gt;Capa!$A$7,E572&lt;Capa!$A$5,E572&gt;Capa!$A$7,D572&gt;E572),"Erro","")</f>
        <v/>
      </c>
    </row>
    <row r="573" spans="1:9" ht="20" hidden="1">
      <c r="A573" s="345">
        <v>688</v>
      </c>
      <c r="B573" s="346" t="s">
        <v>620</v>
      </c>
      <c r="C573" s="347">
        <v>110</v>
      </c>
      <c r="D573" s="348">
        <v>45658</v>
      </c>
      <c r="E573" s="348">
        <v>47058</v>
      </c>
      <c r="F573" s="346" t="s">
        <v>601</v>
      </c>
      <c r="G573" s="349" t="s">
        <v>662</v>
      </c>
      <c r="H573" s="350">
        <f t="shared" si="14"/>
        <v>5170</v>
      </c>
      <c r="I573" s="120" t="str">
        <f>IF(OR(D573&lt;Capa!$A$5,D573&gt;Capa!$A$7,E573&lt;Capa!$A$5,E573&gt;Capa!$A$7,D573&gt;E573),"Erro","")</f>
        <v/>
      </c>
    </row>
    <row r="574" spans="1:9" ht="20" hidden="1">
      <c r="A574" s="345">
        <v>690</v>
      </c>
      <c r="B574" s="346" t="s">
        <v>622</v>
      </c>
      <c r="C574" s="347">
        <v>850</v>
      </c>
      <c r="D574" s="348">
        <v>45658</v>
      </c>
      <c r="E574" s="348">
        <v>47058</v>
      </c>
      <c r="F574" s="346" t="s">
        <v>601</v>
      </c>
      <c r="G574" s="349" t="s">
        <v>664</v>
      </c>
      <c r="H574" s="350">
        <f t="shared" si="14"/>
        <v>39950</v>
      </c>
      <c r="I574" s="120" t="str">
        <f>IF(OR(D574&lt;Capa!$A$5,D574&gt;Capa!$A$7,E574&lt;Capa!$A$5,E574&gt;Capa!$A$7,D574&gt;E574),"Erro","")</f>
        <v/>
      </c>
    </row>
    <row r="575" spans="1:9" ht="40" hidden="1">
      <c r="A575" s="345">
        <v>691</v>
      </c>
      <c r="B575" s="346" t="s">
        <v>621</v>
      </c>
      <c r="C575" s="347">
        <v>2000</v>
      </c>
      <c r="D575" s="348">
        <v>46419</v>
      </c>
      <c r="E575" s="348">
        <v>46419</v>
      </c>
      <c r="F575" s="346" t="s">
        <v>601</v>
      </c>
      <c r="G575" s="349" t="s">
        <v>667</v>
      </c>
      <c r="H575" s="350">
        <f t="shared" si="14"/>
        <v>2000</v>
      </c>
      <c r="I575" s="120" t="str">
        <f>IF(OR(D575&lt;Capa!$A$5,D575&gt;Capa!$A$7,E575&lt;Capa!$A$5,E575&gt;Capa!$A$7,D575&gt;E575),"Erro","")</f>
        <v/>
      </c>
    </row>
    <row r="576" spans="1:9" ht="30" hidden="1">
      <c r="A576" s="345">
        <v>692</v>
      </c>
      <c r="B576" s="346" t="s">
        <v>619</v>
      </c>
      <c r="C576" s="347">
        <v>70</v>
      </c>
      <c r="D576" s="348">
        <v>45658</v>
      </c>
      <c r="E576" s="348">
        <v>47058</v>
      </c>
      <c r="F576" s="346" t="s">
        <v>601</v>
      </c>
      <c r="G576" s="349" t="s">
        <v>663</v>
      </c>
      <c r="H576" s="350">
        <f t="shared" si="14"/>
        <v>3290</v>
      </c>
      <c r="I576" s="120" t="str">
        <f>IF(OR(D576&lt;Capa!$A$5,D576&gt;Capa!$A$7,E576&lt;Capa!$A$5,E576&gt;Capa!$A$7,D576&gt;E576),"Erro","")</f>
        <v/>
      </c>
    </row>
    <row r="577" spans="1:9" ht="30" hidden="1">
      <c r="A577" s="345">
        <v>693</v>
      </c>
      <c r="B577" s="346" t="s">
        <v>617</v>
      </c>
      <c r="C577" s="347">
        <v>200</v>
      </c>
      <c r="D577" s="348">
        <v>45658</v>
      </c>
      <c r="E577" s="348">
        <v>47058</v>
      </c>
      <c r="F577" s="346" t="s">
        <v>601</v>
      </c>
      <c r="G577" s="349" t="s">
        <v>639</v>
      </c>
      <c r="H577" s="350">
        <f t="shared" si="14"/>
        <v>9400</v>
      </c>
      <c r="I577" s="120" t="str">
        <f>IF(OR(D577&lt;Capa!$A$5,D577&gt;Capa!$A$7,E577&lt;Capa!$A$5,E577&gt;Capa!$A$7,D577&gt;E577),"Erro","")</f>
        <v/>
      </c>
    </row>
    <row r="578" spans="1:9" ht="20" hidden="1">
      <c r="A578" s="345">
        <v>694</v>
      </c>
      <c r="B578" s="346" t="s">
        <v>618</v>
      </c>
      <c r="C578" s="347">
        <v>2500</v>
      </c>
      <c r="D578" s="348">
        <v>45658</v>
      </c>
      <c r="E578" s="348">
        <v>47058</v>
      </c>
      <c r="F578" s="346" t="s">
        <v>601</v>
      </c>
      <c r="G578" s="349" t="s">
        <v>657</v>
      </c>
      <c r="H578" s="350">
        <f t="shared" si="14"/>
        <v>117500</v>
      </c>
      <c r="I578" s="120" t="str">
        <f>IF(OR(D578&lt;Capa!$A$5,D578&gt;Capa!$A$7,E578&lt;Capa!$A$5,E578&gt;Capa!$A$7,D578&gt;E578),"Erro","")</f>
        <v/>
      </c>
    </row>
    <row r="579" spans="1:9" ht="30" hidden="1">
      <c r="A579" s="345">
        <v>696</v>
      </c>
      <c r="B579" s="346" t="s">
        <v>623</v>
      </c>
      <c r="C579" s="347">
        <v>650</v>
      </c>
      <c r="D579" s="348">
        <v>45658</v>
      </c>
      <c r="E579" s="348">
        <v>46784</v>
      </c>
      <c r="F579" s="346" t="s">
        <v>601</v>
      </c>
      <c r="G579" s="349" t="s">
        <v>658</v>
      </c>
      <c r="H579" s="350">
        <f t="shared" si="14"/>
        <v>24700</v>
      </c>
      <c r="I579" s="120" t="str">
        <f>IF(OR(D579&lt;Capa!$A$5,D579&gt;Capa!$A$7,E579&lt;Capa!$A$5,E579&gt;Capa!$A$7,D579&gt;E579),"Erro","")</f>
        <v/>
      </c>
    </row>
    <row r="580" spans="1:9" ht="20" hidden="1">
      <c r="A580" s="345">
        <v>697</v>
      </c>
      <c r="B580" s="346" t="s">
        <v>625</v>
      </c>
      <c r="C580" s="347">
        <v>90</v>
      </c>
      <c r="D580" s="348">
        <v>45658</v>
      </c>
      <c r="E580" s="348">
        <v>47058</v>
      </c>
      <c r="F580" s="346" t="s">
        <v>601</v>
      </c>
      <c r="G580" s="349" t="s">
        <v>659</v>
      </c>
      <c r="H580" s="350">
        <f t="shared" si="14"/>
        <v>4230</v>
      </c>
      <c r="I580" s="120" t="str">
        <f>IF(OR(D580&lt;Capa!$A$5,D580&gt;Capa!$A$7,E580&lt;Capa!$A$5,E580&gt;Capa!$A$7,D580&gt;E580),"Erro","")</f>
        <v/>
      </c>
    </row>
    <row r="581" spans="1:9" ht="20" hidden="1">
      <c r="A581" s="345">
        <v>698</v>
      </c>
      <c r="B581" s="346" t="s">
        <v>627</v>
      </c>
      <c r="C581" s="347">
        <v>50</v>
      </c>
      <c r="D581" s="348">
        <v>45658</v>
      </c>
      <c r="E581" s="348">
        <v>47058</v>
      </c>
      <c r="F581" s="346" t="s">
        <v>601</v>
      </c>
      <c r="G581" s="349" t="s">
        <v>661</v>
      </c>
      <c r="H581" s="350">
        <f t="shared" si="14"/>
        <v>2350</v>
      </c>
      <c r="I581" s="120" t="str">
        <f>IF(OR(D581&lt;Capa!$A$5,D581&gt;Capa!$A$7,E581&lt;Capa!$A$5,E581&gt;Capa!$A$7,D581&gt;E581),"Erro","")</f>
        <v/>
      </c>
    </row>
    <row r="582" spans="1:9" ht="30" hidden="1">
      <c r="A582" s="345">
        <v>699</v>
      </c>
      <c r="B582" s="346" t="s">
        <v>626</v>
      </c>
      <c r="C582" s="347">
        <v>350</v>
      </c>
      <c r="D582" s="348">
        <v>45658</v>
      </c>
      <c r="E582" s="348">
        <v>47058</v>
      </c>
      <c r="F582" s="346" t="s">
        <v>601</v>
      </c>
      <c r="G582" s="349" t="s">
        <v>660</v>
      </c>
      <c r="H582" s="350">
        <f t="shared" si="14"/>
        <v>16450</v>
      </c>
      <c r="I582" s="120" t="str">
        <f>IF(OR(D582&lt;Capa!$A$5,D582&gt;Capa!$A$7,E582&lt;Capa!$A$5,E582&gt;Capa!$A$7,D582&gt;E582),"Erro","")</f>
        <v/>
      </c>
    </row>
    <row r="583" spans="1:9" ht="20" hidden="1">
      <c r="A583" s="345">
        <v>703</v>
      </c>
      <c r="B583" s="346" t="s">
        <v>198</v>
      </c>
      <c r="C583" s="347">
        <v>4200</v>
      </c>
      <c r="D583" s="348">
        <v>45658</v>
      </c>
      <c r="E583" s="348">
        <v>45992</v>
      </c>
      <c r="F583" s="346" t="s">
        <v>602</v>
      </c>
      <c r="G583" s="349" t="s">
        <v>437</v>
      </c>
      <c r="H583" s="350">
        <f t="shared" si="14"/>
        <v>50400</v>
      </c>
      <c r="I583" s="120" t="str">
        <f>IF(OR(D583&lt;Capa!$A$5,D583&gt;Capa!$A$7,E583&lt;Capa!$A$5,E583&gt;Capa!$A$7,D583&gt;E583),"Erro","")</f>
        <v/>
      </c>
    </row>
    <row r="584" spans="1:9" ht="20" hidden="1">
      <c r="A584" s="345">
        <v>704</v>
      </c>
      <c r="B584" s="346" t="s">
        <v>198</v>
      </c>
      <c r="C584" s="347">
        <v>4410</v>
      </c>
      <c r="D584" s="348">
        <v>46023</v>
      </c>
      <c r="E584" s="348">
        <v>46357</v>
      </c>
      <c r="F584" s="346" t="s">
        <v>602</v>
      </c>
      <c r="G584" s="349" t="s">
        <v>437</v>
      </c>
      <c r="H584" s="350">
        <f t="shared" si="14"/>
        <v>52920</v>
      </c>
      <c r="I584" s="120" t="str">
        <f>IF(OR(D584&lt;Capa!$A$5,D584&gt;Capa!$A$7,E584&lt;Capa!$A$5,E584&gt;Capa!$A$7,D584&gt;E584),"Erro","")</f>
        <v/>
      </c>
    </row>
    <row r="585" spans="1:9" ht="20" hidden="1">
      <c r="A585" s="345">
        <v>705</v>
      </c>
      <c r="B585" s="346" t="s">
        <v>198</v>
      </c>
      <c r="C585" s="347">
        <v>4630.5</v>
      </c>
      <c r="D585" s="348">
        <v>46388</v>
      </c>
      <c r="E585" s="348">
        <v>46722</v>
      </c>
      <c r="F585" s="346" t="s">
        <v>602</v>
      </c>
      <c r="G585" s="349" t="s">
        <v>437</v>
      </c>
      <c r="H585" s="350">
        <f t="shared" si="14"/>
        <v>55566</v>
      </c>
      <c r="I585" s="120" t="str">
        <f>IF(OR(D585&lt;Capa!$A$5,D585&gt;Capa!$A$7,E585&lt;Capa!$A$5,E585&gt;Capa!$A$7,D585&gt;E585),"Erro","")</f>
        <v/>
      </c>
    </row>
    <row r="586" spans="1:9" ht="20" hidden="1">
      <c r="A586" s="345">
        <v>706</v>
      </c>
      <c r="B586" s="346" t="s">
        <v>198</v>
      </c>
      <c r="C586" s="347">
        <v>2000</v>
      </c>
      <c r="D586" s="348">
        <v>46753</v>
      </c>
      <c r="E586" s="348">
        <v>47058</v>
      </c>
      <c r="F586" s="346" t="s">
        <v>602</v>
      </c>
      <c r="G586" s="349" t="s">
        <v>437</v>
      </c>
      <c r="H586" s="350">
        <f t="shared" si="14"/>
        <v>22000</v>
      </c>
      <c r="I586" s="120" t="str">
        <f>IF(OR(D586&lt;Capa!$A$5,D586&gt;Capa!$A$7,E586&lt;Capa!$A$5,E586&gt;Capa!$A$7,D586&gt;E586),"Erro","")</f>
        <v/>
      </c>
    </row>
    <row r="587" spans="1:9" ht="20" hidden="1">
      <c r="A587" s="345">
        <v>707</v>
      </c>
      <c r="B587" s="346" t="s">
        <v>202</v>
      </c>
      <c r="C587" s="347">
        <v>1500</v>
      </c>
      <c r="D587" s="348">
        <v>45658</v>
      </c>
      <c r="E587" s="348">
        <v>45748</v>
      </c>
      <c r="F587" s="346" t="s">
        <v>602</v>
      </c>
      <c r="G587" s="349" t="s">
        <v>438</v>
      </c>
      <c r="H587" s="350">
        <f t="shared" si="14"/>
        <v>6000</v>
      </c>
      <c r="I587" s="120" t="str">
        <f>IF(OR(D587&lt;Capa!$A$5,D587&gt;Capa!$A$7,E587&lt;Capa!$A$5,E587&gt;Capa!$A$7,D587&gt;E587),"Erro","")</f>
        <v/>
      </c>
    </row>
    <row r="588" spans="1:9" ht="20" hidden="1">
      <c r="A588" s="345">
        <v>708</v>
      </c>
      <c r="B588" s="346" t="s">
        <v>202</v>
      </c>
      <c r="C588" s="347">
        <v>1300</v>
      </c>
      <c r="D588" s="348">
        <v>46023</v>
      </c>
      <c r="E588" s="348">
        <v>46113</v>
      </c>
      <c r="F588" s="346" t="s">
        <v>602</v>
      </c>
      <c r="G588" s="349" t="s">
        <v>438</v>
      </c>
      <c r="H588" s="350">
        <f t="shared" si="14"/>
        <v>5200</v>
      </c>
      <c r="I588" s="120" t="str">
        <f>IF(OR(D588&lt;Capa!$A$5,D588&gt;Capa!$A$7,E588&lt;Capa!$A$5,E588&gt;Capa!$A$7,D588&gt;E588),"Erro","")</f>
        <v/>
      </c>
    </row>
    <row r="589" spans="1:9" ht="20" hidden="1">
      <c r="A589" s="345">
        <v>709</v>
      </c>
      <c r="B589" s="346" t="s">
        <v>202</v>
      </c>
      <c r="C589" s="347">
        <v>1300</v>
      </c>
      <c r="D589" s="348">
        <v>46388</v>
      </c>
      <c r="E589" s="348">
        <v>46478</v>
      </c>
      <c r="F589" s="346" t="s">
        <v>602</v>
      </c>
      <c r="G589" s="349" t="s">
        <v>438</v>
      </c>
      <c r="H589" s="350">
        <f t="shared" si="14"/>
        <v>5200</v>
      </c>
      <c r="I589" s="120" t="str">
        <f>IF(OR(D589&lt;Capa!$A$5,D589&gt;Capa!$A$7,E589&lt;Capa!$A$5,E589&gt;Capa!$A$7,D589&gt;E589),"Erro","")</f>
        <v/>
      </c>
    </row>
    <row r="590" spans="1:9" ht="20" hidden="1">
      <c r="A590" s="345">
        <v>710</v>
      </c>
      <c r="B590" s="346" t="s">
        <v>202</v>
      </c>
      <c r="C590" s="347">
        <v>750</v>
      </c>
      <c r="D590" s="348">
        <v>46753</v>
      </c>
      <c r="E590" s="348">
        <v>46844</v>
      </c>
      <c r="F590" s="346" t="s">
        <v>602</v>
      </c>
      <c r="G590" s="349" t="s">
        <v>438</v>
      </c>
      <c r="H590" s="350">
        <f t="shared" si="14"/>
        <v>3000</v>
      </c>
      <c r="I590" s="120" t="str">
        <f>IF(OR(D590&lt;Capa!$A$5,D590&gt;Capa!$A$7,E590&lt;Capa!$A$5,E590&gt;Capa!$A$7,D590&gt;E590),"Erro","")</f>
        <v/>
      </c>
    </row>
    <row r="591" spans="1:9" ht="20" hidden="1">
      <c r="A591" s="345">
        <v>711</v>
      </c>
      <c r="B591" s="346" t="s">
        <v>204</v>
      </c>
      <c r="C591" s="347">
        <v>1250</v>
      </c>
      <c r="D591" s="348">
        <v>45658</v>
      </c>
      <c r="E591" s="348">
        <v>45748</v>
      </c>
      <c r="F591" s="346" t="s">
        <v>602</v>
      </c>
      <c r="G591" s="349" t="s">
        <v>438</v>
      </c>
      <c r="H591" s="350">
        <f t="shared" si="14"/>
        <v>5000</v>
      </c>
      <c r="I591" s="120" t="str">
        <f>IF(OR(D591&lt;Capa!$A$5,D591&gt;Capa!$A$7,E591&lt;Capa!$A$5,E591&gt;Capa!$A$7,D591&gt;E591),"Erro","")</f>
        <v/>
      </c>
    </row>
    <row r="592" spans="1:9" ht="20" hidden="1">
      <c r="A592" s="345">
        <v>712</v>
      </c>
      <c r="B592" s="346" t="s">
        <v>204</v>
      </c>
      <c r="C592" s="347">
        <v>1250</v>
      </c>
      <c r="D592" s="348">
        <v>46023</v>
      </c>
      <c r="E592" s="348">
        <v>46113</v>
      </c>
      <c r="F592" s="346" t="s">
        <v>602</v>
      </c>
      <c r="G592" s="349" t="s">
        <v>438</v>
      </c>
      <c r="H592" s="350">
        <f t="shared" si="14"/>
        <v>5000</v>
      </c>
      <c r="I592" s="120" t="str">
        <f>IF(OR(D592&lt;Capa!$A$5,D592&gt;Capa!$A$7,E592&lt;Capa!$A$5,E592&gt;Capa!$A$7,D592&gt;E592),"Erro","")</f>
        <v/>
      </c>
    </row>
    <row r="593" spans="1:9" ht="20" hidden="1">
      <c r="A593" s="345">
        <v>713</v>
      </c>
      <c r="B593" s="346" t="s">
        <v>204</v>
      </c>
      <c r="C593" s="347">
        <v>1250</v>
      </c>
      <c r="D593" s="348">
        <v>46388</v>
      </c>
      <c r="E593" s="348">
        <v>46478</v>
      </c>
      <c r="F593" s="346" t="s">
        <v>602</v>
      </c>
      <c r="G593" s="349" t="s">
        <v>438</v>
      </c>
      <c r="H593" s="350">
        <f t="shared" si="14"/>
        <v>5000</v>
      </c>
      <c r="I593" s="120" t="str">
        <f>IF(OR(D593&lt;Capa!$A$5,D593&gt;Capa!$A$7,E593&lt;Capa!$A$5,E593&gt;Capa!$A$7,D593&gt;E593),"Erro","")</f>
        <v/>
      </c>
    </row>
    <row r="594" spans="1:9" ht="20" hidden="1">
      <c r="A594" s="345">
        <v>714</v>
      </c>
      <c r="B594" s="346" t="s">
        <v>204</v>
      </c>
      <c r="C594" s="347">
        <v>780</v>
      </c>
      <c r="D594" s="348">
        <v>46753</v>
      </c>
      <c r="E594" s="348">
        <v>46844</v>
      </c>
      <c r="F594" s="346" t="s">
        <v>602</v>
      </c>
      <c r="G594" s="349" t="s">
        <v>438</v>
      </c>
      <c r="H594" s="350">
        <f t="shared" si="14"/>
        <v>3120</v>
      </c>
      <c r="I594" s="120" t="str">
        <f>IF(OR(D594&lt;Capa!$A$5,D594&gt;Capa!$A$7,E594&lt;Capa!$A$5,E594&gt;Capa!$A$7,D594&gt;E594),"Erro","")</f>
        <v/>
      </c>
    </row>
    <row r="595" spans="1:9" ht="20" hidden="1">
      <c r="A595" s="345">
        <v>716</v>
      </c>
      <c r="B595" s="346" t="s">
        <v>206</v>
      </c>
      <c r="C595" s="347">
        <v>1200</v>
      </c>
      <c r="D595" s="348">
        <v>45658</v>
      </c>
      <c r="E595" s="348">
        <v>45992</v>
      </c>
      <c r="F595" s="346" t="s">
        <v>602</v>
      </c>
      <c r="G595" s="349" t="s">
        <v>439</v>
      </c>
      <c r="H595" s="350">
        <f t="shared" si="14"/>
        <v>14400</v>
      </c>
      <c r="I595" s="120" t="str">
        <f>IF(OR(D595&lt;Capa!$A$5,D595&gt;Capa!$A$7,E595&lt;Capa!$A$5,E595&gt;Capa!$A$7,D595&gt;E595),"Erro","")</f>
        <v/>
      </c>
    </row>
    <row r="596" spans="1:9" ht="20" hidden="1">
      <c r="A596" s="345">
        <v>717</v>
      </c>
      <c r="B596" s="346" t="s">
        <v>206</v>
      </c>
      <c r="C596" s="347">
        <v>1200</v>
      </c>
      <c r="D596" s="348">
        <v>46023</v>
      </c>
      <c r="E596" s="348">
        <v>46357</v>
      </c>
      <c r="F596" s="346" t="s">
        <v>602</v>
      </c>
      <c r="G596" s="349" t="s">
        <v>439</v>
      </c>
      <c r="H596" s="350">
        <f t="shared" si="14"/>
        <v>14400</v>
      </c>
      <c r="I596" s="120" t="str">
        <f>IF(OR(D596&lt;Capa!$A$5,D596&gt;Capa!$A$7,E596&lt;Capa!$A$5,E596&gt;Capa!$A$7,D596&gt;E596),"Erro","")</f>
        <v/>
      </c>
    </row>
    <row r="597" spans="1:9" ht="20" hidden="1">
      <c r="A597" s="345">
        <v>718</v>
      </c>
      <c r="B597" s="346" t="s">
        <v>206</v>
      </c>
      <c r="C597" s="347">
        <v>1200</v>
      </c>
      <c r="D597" s="348">
        <v>46388</v>
      </c>
      <c r="E597" s="348">
        <v>46722</v>
      </c>
      <c r="F597" s="346" t="s">
        <v>602</v>
      </c>
      <c r="G597" s="349" t="s">
        <v>439</v>
      </c>
      <c r="H597" s="350">
        <f t="shared" si="14"/>
        <v>14400</v>
      </c>
      <c r="I597" s="120" t="str">
        <f>IF(OR(D597&lt;Capa!$A$5,D597&gt;Capa!$A$7,E597&lt;Capa!$A$5,E597&gt;Capa!$A$7,D597&gt;E597),"Erro","")</f>
        <v/>
      </c>
    </row>
    <row r="598" spans="1:9" ht="20" hidden="1">
      <c r="A598" s="345">
        <v>719</v>
      </c>
      <c r="B598" s="346" t="s">
        <v>206</v>
      </c>
      <c r="C598" s="347">
        <v>600</v>
      </c>
      <c r="D598" s="348">
        <v>46753</v>
      </c>
      <c r="E598" s="348">
        <v>47058</v>
      </c>
      <c r="F598" s="346" t="s">
        <v>602</v>
      </c>
      <c r="G598" s="349" t="s">
        <v>439</v>
      </c>
      <c r="H598" s="350">
        <f t="shared" si="14"/>
        <v>6600</v>
      </c>
      <c r="I598" s="120" t="str">
        <f>IF(OR(D598&lt;Capa!$A$5,D598&gt;Capa!$A$7,E598&lt;Capa!$A$5,E598&gt;Capa!$A$7,D598&gt;E598),"Erro","")</f>
        <v/>
      </c>
    </row>
    <row r="599" spans="1:9" ht="20" hidden="1">
      <c r="A599" s="345">
        <v>721</v>
      </c>
      <c r="B599" s="346" t="s">
        <v>208</v>
      </c>
      <c r="C599" s="347">
        <v>1800</v>
      </c>
      <c r="D599" s="348">
        <v>45658</v>
      </c>
      <c r="E599" s="348">
        <v>45992</v>
      </c>
      <c r="F599" s="346" t="s">
        <v>602</v>
      </c>
      <c r="G599" s="349" t="s">
        <v>439</v>
      </c>
      <c r="H599" s="350">
        <f t="shared" si="14"/>
        <v>21600</v>
      </c>
      <c r="I599" s="120" t="str">
        <f>IF(OR(D599&lt;Capa!$A$5,D599&gt;Capa!$A$7,E599&lt;Capa!$A$5,E599&gt;Capa!$A$7,D599&gt;E599),"Erro","")</f>
        <v/>
      </c>
    </row>
    <row r="600" spans="1:9" ht="20" hidden="1">
      <c r="A600" s="345">
        <v>722</v>
      </c>
      <c r="B600" s="346" t="s">
        <v>208</v>
      </c>
      <c r="C600" s="347">
        <v>1800</v>
      </c>
      <c r="D600" s="348">
        <v>46023</v>
      </c>
      <c r="E600" s="348">
        <v>46357</v>
      </c>
      <c r="F600" s="346" t="s">
        <v>602</v>
      </c>
      <c r="G600" s="349" t="s">
        <v>439</v>
      </c>
      <c r="H600" s="350">
        <f t="shared" si="14"/>
        <v>21600</v>
      </c>
      <c r="I600" s="120" t="str">
        <f>IF(OR(D600&lt;Capa!$A$5,D600&gt;Capa!$A$7,E600&lt;Capa!$A$5,E600&gt;Capa!$A$7,D600&gt;E600),"Erro","")</f>
        <v/>
      </c>
    </row>
    <row r="601" spans="1:9" ht="20" hidden="1">
      <c r="A601" s="345">
        <v>723</v>
      </c>
      <c r="B601" s="346" t="s">
        <v>208</v>
      </c>
      <c r="C601" s="347">
        <v>1800</v>
      </c>
      <c r="D601" s="348">
        <v>46388</v>
      </c>
      <c r="E601" s="348">
        <v>46722</v>
      </c>
      <c r="F601" s="346" t="s">
        <v>602</v>
      </c>
      <c r="G601" s="349" t="s">
        <v>439</v>
      </c>
      <c r="H601" s="350">
        <f t="shared" si="14"/>
        <v>21600</v>
      </c>
      <c r="I601" s="120" t="str">
        <f>IF(OR(D601&lt;Capa!$A$5,D601&gt;Capa!$A$7,E601&lt;Capa!$A$5,E601&gt;Capa!$A$7,D601&gt;E601),"Erro","")</f>
        <v/>
      </c>
    </row>
    <row r="602" spans="1:9" ht="20" hidden="1">
      <c r="A602" s="345">
        <v>724</v>
      </c>
      <c r="B602" s="346" t="s">
        <v>208</v>
      </c>
      <c r="C602" s="347">
        <v>900</v>
      </c>
      <c r="D602" s="348">
        <v>46753</v>
      </c>
      <c r="E602" s="348">
        <v>47058</v>
      </c>
      <c r="F602" s="346" t="s">
        <v>602</v>
      </c>
      <c r="G602" s="349" t="s">
        <v>439</v>
      </c>
      <c r="H602" s="350">
        <f t="shared" si="14"/>
        <v>9900</v>
      </c>
      <c r="I602" s="120" t="str">
        <f>IF(OR(D602&lt;Capa!$A$5,D602&gt;Capa!$A$7,E602&lt;Capa!$A$5,E602&gt;Capa!$A$7,D602&gt;E602),"Erro","")</f>
        <v/>
      </c>
    </row>
    <row r="603" spans="1:9" ht="20" hidden="1">
      <c r="A603" s="345">
        <v>726</v>
      </c>
      <c r="B603" s="346" t="s">
        <v>210</v>
      </c>
      <c r="C603" s="347">
        <v>60</v>
      </c>
      <c r="D603" s="348">
        <v>45658</v>
      </c>
      <c r="E603" s="348">
        <v>45992</v>
      </c>
      <c r="F603" s="346" t="s">
        <v>602</v>
      </c>
      <c r="G603" s="349" t="s">
        <v>439</v>
      </c>
      <c r="H603" s="350">
        <f t="shared" si="14"/>
        <v>720</v>
      </c>
      <c r="I603" s="120" t="str">
        <f>IF(OR(D603&lt;Capa!$A$5,D603&gt;Capa!$A$7,E603&lt;Capa!$A$5,E603&gt;Capa!$A$7,D603&gt;E603),"Erro","")</f>
        <v/>
      </c>
    </row>
    <row r="604" spans="1:9" ht="20" hidden="1">
      <c r="A604" s="345">
        <v>727</v>
      </c>
      <c r="B604" s="346" t="s">
        <v>210</v>
      </c>
      <c r="C604" s="347">
        <v>60</v>
      </c>
      <c r="D604" s="348">
        <v>46023</v>
      </c>
      <c r="E604" s="348">
        <v>46357</v>
      </c>
      <c r="F604" s="346" t="s">
        <v>602</v>
      </c>
      <c r="G604" s="349" t="s">
        <v>439</v>
      </c>
      <c r="H604" s="350">
        <f t="shared" si="14"/>
        <v>720</v>
      </c>
      <c r="I604" s="120" t="str">
        <f>IF(OR(D604&lt;Capa!$A$5,D604&gt;Capa!$A$7,E604&lt;Capa!$A$5,E604&gt;Capa!$A$7,D604&gt;E604),"Erro","")</f>
        <v/>
      </c>
    </row>
    <row r="605" spans="1:9" ht="20" hidden="1">
      <c r="A605" s="345">
        <v>728</v>
      </c>
      <c r="B605" s="346" t="s">
        <v>210</v>
      </c>
      <c r="C605" s="347">
        <v>60</v>
      </c>
      <c r="D605" s="348">
        <v>46388</v>
      </c>
      <c r="E605" s="348">
        <v>46722</v>
      </c>
      <c r="F605" s="346" t="s">
        <v>602</v>
      </c>
      <c r="G605" s="349" t="s">
        <v>439</v>
      </c>
      <c r="H605" s="350">
        <f t="shared" si="14"/>
        <v>720</v>
      </c>
      <c r="I605" s="120" t="str">
        <f>IF(OR(D605&lt;Capa!$A$5,D605&gt;Capa!$A$7,E605&lt;Capa!$A$5,E605&gt;Capa!$A$7,D605&gt;E605),"Erro","")</f>
        <v/>
      </c>
    </row>
    <row r="606" spans="1:9" ht="20" hidden="1">
      <c r="A606" s="345">
        <v>729</v>
      </c>
      <c r="B606" s="346" t="s">
        <v>210</v>
      </c>
      <c r="C606" s="347">
        <v>49</v>
      </c>
      <c r="D606" s="348">
        <v>46753</v>
      </c>
      <c r="E606" s="348">
        <v>47058</v>
      </c>
      <c r="F606" s="346" t="s">
        <v>602</v>
      </c>
      <c r="G606" s="349" t="s">
        <v>439</v>
      </c>
      <c r="H606" s="350">
        <f t="shared" si="14"/>
        <v>539</v>
      </c>
      <c r="I606" s="120" t="str">
        <f>IF(OR(D606&lt;Capa!$A$5,D606&gt;Capa!$A$7,E606&lt;Capa!$A$5,E606&gt;Capa!$A$7,D606&gt;E606),"Erro","")</f>
        <v/>
      </c>
    </row>
    <row r="607" spans="1:9" ht="20" hidden="1">
      <c r="A607" s="345">
        <v>731</v>
      </c>
      <c r="B607" s="346" t="s">
        <v>214</v>
      </c>
      <c r="C607" s="347">
        <v>140</v>
      </c>
      <c r="D607" s="348">
        <v>45658</v>
      </c>
      <c r="E607" s="348">
        <v>45992</v>
      </c>
      <c r="F607" s="346" t="s">
        <v>602</v>
      </c>
      <c r="G607" s="349" t="s">
        <v>439</v>
      </c>
      <c r="H607" s="350">
        <f t="shared" ref="H607:H658" si="15">IFERROR((DATEDIF(D607,E607,"M")+1)*C607,0)</f>
        <v>1680</v>
      </c>
      <c r="I607" s="120" t="str">
        <f>IF(OR(D607&lt;Capa!$A$5,D607&gt;Capa!$A$7,E607&lt;Capa!$A$5,E607&gt;Capa!$A$7,D607&gt;E607),"Erro","")</f>
        <v/>
      </c>
    </row>
    <row r="608" spans="1:9" ht="20" hidden="1">
      <c r="A608" s="345">
        <v>732</v>
      </c>
      <c r="B608" s="346" t="s">
        <v>214</v>
      </c>
      <c r="C608" s="347">
        <v>140</v>
      </c>
      <c r="D608" s="348">
        <v>46023</v>
      </c>
      <c r="E608" s="348">
        <v>46357</v>
      </c>
      <c r="F608" s="346" t="s">
        <v>602</v>
      </c>
      <c r="G608" s="349" t="s">
        <v>439</v>
      </c>
      <c r="H608" s="350">
        <f t="shared" si="15"/>
        <v>1680</v>
      </c>
      <c r="I608" s="120" t="str">
        <f>IF(OR(D608&lt;Capa!$A$5,D608&gt;Capa!$A$7,E608&lt;Capa!$A$5,E608&gt;Capa!$A$7,D608&gt;E608),"Erro","")</f>
        <v/>
      </c>
    </row>
    <row r="609" spans="1:9" ht="20" hidden="1">
      <c r="A609" s="345">
        <v>733</v>
      </c>
      <c r="B609" s="346" t="s">
        <v>214</v>
      </c>
      <c r="C609" s="347">
        <v>140</v>
      </c>
      <c r="D609" s="348">
        <v>46388</v>
      </c>
      <c r="E609" s="348">
        <v>46722</v>
      </c>
      <c r="F609" s="346" t="s">
        <v>602</v>
      </c>
      <c r="G609" s="349" t="s">
        <v>439</v>
      </c>
      <c r="H609" s="350">
        <f t="shared" si="15"/>
        <v>1680</v>
      </c>
      <c r="I609" s="120" t="str">
        <f>IF(OR(D609&lt;Capa!$A$5,D609&gt;Capa!$A$7,E609&lt;Capa!$A$5,E609&gt;Capa!$A$7,D609&gt;E609),"Erro","")</f>
        <v/>
      </c>
    </row>
    <row r="610" spans="1:9" ht="20" hidden="1">
      <c r="A610" s="345">
        <v>734</v>
      </c>
      <c r="B610" s="346" t="s">
        <v>214</v>
      </c>
      <c r="C610" s="347">
        <v>70</v>
      </c>
      <c r="D610" s="348">
        <v>46753</v>
      </c>
      <c r="E610" s="348">
        <v>47058</v>
      </c>
      <c r="F610" s="346" t="s">
        <v>602</v>
      </c>
      <c r="G610" s="349" t="s">
        <v>439</v>
      </c>
      <c r="H610" s="350">
        <f t="shared" si="15"/>
        <v>770</v>
      </c>
      <c r="I610" s="120" t="str">
        <f>IF(OR(D610&lt;Capa!$A$5,D610&gt;Capa!$A$7,E610&lt;Capa!$A$5,E610&gt;Capa!$A$7,D610&gt;E610),"Erro","")</f>
        <v/>
      </c>
    </row>
    <row r="611" spans="1:9" ht="50" hidden="1">
      <c r="A611" s="345">
        <v>736</v>
      </c>
      <c r="B611" s="346" t="s">
        <v>212</v>
      </c>
      <c r="C611" s="347">
        <v>260</v>
      </c>
      <c r="D611" s="348">
        <v>45658</v>
      </c>
      <c r="E611" s="348">
        <v>45992</v>
      </c>
      <c r="F611" s="346" t="s">
        <v>602</v>
      </c>
      <c r="G611" s="349" t="s">
        <v>492</v>
      </c>
      <c r="H611" s="350">
        <f t="shared" si="15"/>
        <v>3120</v>
      </c>
      <c r="I611" s="120" t="str">
        <f>IF(OR(D611&lt;Capa!$A$5,D611&gt;Capa!$A$7,E611&lt;Capa!$A$5,E611&gt;Capa!$A$7,D611&gt;E611),"Erro","")</f>
        <v/>
      </c>
    </row>
    <row r="612" spans="1:9" ht="50" hidden="1">
      <c r="A612" s="345">
        <v>737</v>
      </c>
      <c r="B612" s="346" t="s">
        <v>212</v>
      </c>
      <c r="C612" s="347">
        <v>260</v>
      </c>
      <c r="D612" s="348">
        <v>46023</v>
      </c>
      <c r="E612" s="348">
        <v>46357</v>
      </c>
      <c r="F612" s="346" t="s">
        <v>602</v>
      </c>
      <c r="G612" s="349" t="s">
        <v>492</v>
      </c>
      <c r="H612" s="350">
        <f t="shared" si="15"/>
        <v>3120</v>
      </c>
      <c r="I612" s="120" t="str">
        <f>IF(OR(D612&lt;Capa!$A$5,D612&gt;Capa!$A$7,E612&lt;Capa!$A$5,E612&gt;Capa!$A$7,D612&gt;E612),"Erro","")</f>
        <v/>
      </c>
    </row>
    <row r="613" spans="1:9" ht="50" hidden="1">
      <c r="A613" s="345">
        <v>738</v>
      </c>
      <c r="B613" s="346" t="s">
        <v>212</v>
      </c>
      <c r="C613" s="347">
        <v>260</v>
      </c>
      <c r="D613" s="348">
        <v>46388</v>
      </c>
      <c r="E613" s="348">
        <v>46722</v>
      </c>
      <c r="F613" s="346" t="s">
        <v>602</v>
      </c>
      <c r="G613" s="349" t="s">
        <v>492</v>
      </c>
      <c r="H613" s="350">
        <f t="shared" si="15"/>
        <v>3120</v>
      </c>
      <c r="I613" s="120" t="str">
        <f>IF(OR(D613&lt;Capa!$A$5,D613&gt;Capa!$A$7,E613&lt;Capa!$A$5,E613&gt;Capa!$A$7,D613&gt;E613),"Erro","")</f>
        <v/>
      </c>
    </row>
    <row r="614" spans="1:9" ht="50" hidden="1">
      <c r="A614" s="345">
        <v>739</v>
      </c>
      <c r="B614" s="346" t="s">
        <v>212</v>
      </c>
      <c r="C614" s="347">
        <v>220</v>
      </c>
      <c r="D614" s="348">
        <v>46753</v>
      </c>
      <c r="E614" s="348">
        <v>47058</v>
      </c>
      <c r="F614" s="346" t="s">
        <v>602</v>
      </c>
      <c r="G614" s="349" t="s">
        <v>492</v>
      </c>
      <c r="H614" s="350">
        <f t="shared" si="15"/>
        <v>2420</v>
      </c>
      <c r="I614" s="120" t="str">
        <f>IF(OR(D614&lt;Capa!$A$5,D614&gt;Capa!$A$7,E614&lt;Capa!$A$5,E614&gt;Capa!$A$7,D614&gt;E614),"Erro","")</f>
        <v/>
      </c>
    </row>
    <row r="615" spans="1:9" ht="40" hidden="1">
      <c r="A615" s="345">
        <v>740</v>
      </c>
      <c r="B615" s="346" t="s">
        <v>248</v>
      </c>
      <c r="C615" s="347">
        <v>846</v>
      </c>
      <c r="D615" s="348">
        <v>45658</v>
      </c>
      <c r="E615" s="348">
        <v>45809</v>
      </c>
      <c r="F615" s="346" t="s">
        <v>602</v>
      </c>
      <c r="G615" s="349" t="s">
        <v>440</v>
      </c>
      <c r="H615" s="350">
        <f t="shared" si="15"/>
        <v>5076</v>
      </c>
      <c r="I615" s="120" t="str">
        <f>IF(OR(D615&lt;Capa!$A$5,D615&gt;Capa!$A$7,E615&lt;Capa!$A$5,E615&gt;Capa!$A$7,D615&gt;E615),"Erro","")</f>
        <v/>
      </c>
    </row>
    <row r="616" spans="1:9" ht="40" hidden="1">
      <c r="A616" s="345">
        <v>741</v>
      </c>
      <c r="B616" s="346" t="s">
        <v>248</v>
      </c>
      <c r="C616" s="347">
        <v>846</v>
      </c>
      <c r="D616" s="348">
        <v>46023</v>
      </c>
      <c r="E616" s="348">
        <v>46174</v>
      </c>
      <c r="F616" s="346" t="s">
        <v>602</v>
      </c>
      <c r="G616" s="349" t="s">
        <v>440</v>
      </c>
      <c r="H616" s="350">
        <f t="shared" si="15"/>
        <v>5076</v>
      </c>
      <c r="I616" s="120" t="str">
        <f>IF(OR(D616&lt;Capa!$A$5,D616&gt;Capa!$A$7,E616&lt;Capa!$A$5,E616&gt;Capa!$A$7,D616&gt;E616),"Erro","")</f>
        <v/>
      </c>
    </row>
    <row r="617" spans="1:9" ht="40" hidden="1">
      <c r="A617" s="345">
        <v>742</v>
      </c>
      <c r="B617" s="346" t="s">
        <v>248</v>
      </c>
      <c r="C617" s="347">
        <v>846</v>
      </c>
      <c r="D617" s="348">
        <v>46388</v>
      </c>
      <c r="E617" s="348">
        <v>46539</v>
      </c>
      <c r="F617" s="346" t="s">
        <v>602</v>
      </c>
      <c r="G617" s="349" t="s">
        <v>440</v>
      </c>
      <c r="H617" s="350">
        <f t="shared" si="15"/>
        <v>5076</v>
      </c>
      <c r="I617" s="120" t="str">
        <f>IF(OR(D617&lt;Capa!$A$5,D617&gt;Capa!$A$7,E617&lt;Capa!$A$5,E617&gt;Capa!$A$7,D617&gt;E617),"Erro","")</f>
        <v/>
      </c>
    </row>
    <row r="618" spans="1:9" ht="40" hidden="1">
      <c r="A618" s="345">
        <v>743</v>
      </c>
      <c r="B618" s="346" t="s">
        <v>248</v>
      </c>
      <c r="C618" s="347">
        <v>500</v>
      </c>
      <c r="D618" s="348">
        <v>46753</v>
      </c>
      <c r="E618" s="348">
        <v>46905</v>
      </c>
      <c r="F618" s="346" t="s">
        <v>602</v>
      </c>
      <c r="G618" s="349" t="s">
        <v>440</v>
      </c>
      <c r="H618" s="350">
        <f t="shared" si="15"/>
        <v>3000</v>
      </c>
      <c r="I618" s="120" t="str">
        <f>IF(OR(D618&lt;Capa!$A$5,D618&gt;Capa!$A$7,E618&lt;Capa!$A$5,E618&gt;Capa!$A$7,D618&gt;E618),"Erro","")</f>
        <v/>
      </c>
    </row>
    <row r="619" spans="1:9" ht="30" hidden="1">
      <c r="A619" s="345">
        <v>744</v>
      </c>
      <c r="B619" s="346" t="s">
        <v>266</v>
      </c>
      <c r="C619" s="347">
        <v>1500</v>
      </c>
      <c r="D619" s="348">
        <v>45658</v>
      </c>
      <c r="E619" s="348">
        <v>45658</v>
      </c>
      <c r="F619" s="346" t="s">
        <v>602</v>
      </c>
      <c r="G619" s="349" t="s">
        <v>441</v>
      </c>
      <c r="H619" s="350">
        <f t="shared" si="15"/>
        <v>1500</v>
      </c>
      <c r="I619" s="120" t="str">
        <f>IF(OR(D619&lt;Capa!$A$5,D619&gt;Capa!$A$7,E619&lt;Capa!$A$5,E619&gt;Capa!$A$7,D619&gt;E619),"Erro","")</f>
        <v/>
      </c>
    </row>
    <row r="620" spans="1:9" ht="30" hidden="1">
      <c r="A620" s="345">
        <v>745</v>
      </c>
      <c r="B620" s="346" t="s">
        <v>266</v>
      </c>
      <c r="C620" s="347">
        <v>1500</v>
      </c>
      <c r="D620" s="348">
        <v>46023</v>
      </c>
      <c r="E620" s="348">
        <v>46023</v>
      </c>
      <c r="F620" s="346" t="s">
        <v>602</v>
      </c>
      <c r="G620" s="349" t="s">
        <v>441</v>
      </c>
      <c r="H620" s="350">
        <f t="shared" si="15"/>
        <v>1500</v>
      </c>
      <c r="I620" s="120" t="str">
        <f>IF(OR(D620&lt;Capa!$A$5,D620&gt;Capa!$A$7,E620&lt;Capa!$A$5,E620&gt;Capa!$A$7,D620&gt;E620),"Erro","")</f>
        <v/>
      </c>
    </row>
    <row r="621" spans="1:9" ht="30" hidden="1">
      <c r="A621" s="345">
        <v>746</v>
      </c>
      <c r="B621" s="346" t="s">
        <v>266</v>
      </c>
      <c r="C621" s="347">
        <v>1500</v>
      </c>
      <c r="D621" s="348">
        <v>46388</v>
      </c>
      <c r="E621" s="348">
        <v>46388</v>
      </c>
      <c r="F621" s="346" t="s">
        <v>602</v>
      </c>
      <c r="G621" s="349" t="s">
        <v>441</v>
      </c>
      <c r="H621" s="350">
        <f t="shared" si="15"/>
        <v>1500</v>
      </c>
      <c r="I621" s="120" t="str">
        <f>IF(OR(D621&lt;Capa!$A$5,D621&gt;Capa!$A$7,E621&lt;Capa!$A$5,E621&gt;Capa!$A$7,D621&gt;E621),"Erro","")</f>
        <v/>
      </c>
    </row>
    <row r="622" spans="1:9" ht="30" hidden="1">
      <c r="A622" s="345">
        <v>747</v>
      </c>
      <c r="B622" s="346" t="s">
        <v>266</v>
      </c>
      <c r="C622" s="347">
        <v>750</v>
      </c>
      <c r="D622" s="348">
        <v>46753</v>
      </c>
      <c r="E622" s="348">
        <v>46753</v>
      </c>
      <c r="F622" s="346" t="s">
        <v>602</v>
      </c>
      <c r="G622" s="349" t="s">
        <v>441</v>
      </c>
      <c r="H622" s="350">
        <f t="shared" si="15"/>
        <v>750</v>
      </c>
      <c r="I622" s="120" t="str">
        <f>IF(OR(D622&lt;Capa!$A$5,D622&gt;Capa!$A$7,E622&lt;Capa!$A$5,E622&gt;Capa!$A$7,D622&gt;E622),"Erro","")</f>
        <v/>
      </c>
    </row>
    <row r="623" spans="1:9" hidden="1">
      <c r="A623" s="345">
        <v>749</v>
      </c>
      <c r="B623" s="346" t="s">
        <v>274</v>
      </c>
      <c r="C623" s="347">
        <v>850</v>
      </c>
      <c r="D623" s="348">
        <v>45658</v>
      </c>
      <c r="E623" s="348">
        <v>45992</v>
      </c>
      <c r="F623" s="346" t="s">
        <v>602</v>
      </c>
      <c r="G623" s="349" t="s">
        <v>442</v>
      </c>
      <c r="H623" s="350">
        <f t="shared" si="15"/>
        <v>10200</v>
      </c>
      <c r="I623" s="120" t="str">
        <f>IF(OR(D623&lt;Capa!$A$5,D623&gt;Capa!$A$7,E623&lt;Capa!$A$5,E623&gt;Capa!$A$7,D623&gt;E623),"Erro","")</f>
        <v/>
      </c>
    </row>
    <row r="624" spans="1:9" hidden="1">
      <c r="A624" s="345">
        <v>750</v>
      </c>
      <c r="B624" s="346" t="s">
        <v>274</v>
      </c>
      <c r="C624" s="347">
        <v>850</v>
      </c>
      <c r="D624" s="348">
        <v>46023</v>
      </c>
      <c r="E624" s="348">
        <v>46357</v>
      </c>
      <c r="F624" s="346" t="s">
        <v>602</v>
      </c>
      <c r="G624" s="349" t="s">
        <v>442</v>
      </c>
      <c r="H624" s="350">
        <f t="shared" si="15"/>
        <v>10200</v>
      </c>
      <c r="I624" s="120" t="str">
        <f>IF(OR(D624&lt;Capa!$A$5,D624&gt;Capa!$A$7,E624&lt;Capa!$A$5,E624&gt;Capa!$A$7,D624&gt;E624),"Erro","")</f>
        <v/>
      </c>
    </row>
    <row r="625" spans="1:9" hidden="1">
      <c r="A625" s="345">
        <v>751</v>
      </c>
      <c r="B625" s="346" t="s">
        <v>274</v>
      </c>
      <c r="C625" s="347">
        <v>850</v>
      </c>
      <c r="D625" s="348">
        <v>46388</v>
      </c>
      <c r="E625" s="348">
        <v>46722</v>
      </c>
      <c r="F625" s="346" t="s">
        <v>602</v>
      </c>
      <c r="G625" s="349" t="s">
        <v>442</v>
      </c>
      <c r="H625" s="350">
        <f t="shared" si="15"/>
        <v>10200</v>
      </c>
      <c r="I625" s="120" t="str">
        <f>IF(OR(D625&lt;Capa!$A$5,D625&gt;Capa!$A$7,E625&lt;Capa!$A$5,E625&gt;Capa!$A$7,D625&gt;E625),"Erro","")</f>
        <v/>
      </c>
    </row>
    <row r="626" spans="1:9" hidden="1">
      <c r="A626" s="345">
        <v>752</v>
      </c>
      <c r="B626" s="346" t="s">
        <v>274</v>
      </c>
      <c r="C626" s="347">
        <v>450</v>
      </c>
      <c r="D626" s="348">
        <v>46753</v>
      </c>
      <c r="E626" s="348">
        <v>47058</v>
      </c>
      <c r="F626" s="346" t="s">
        <v>602</v>
      </c>
      <c r="G626" s="349" t="s">
        <v>442</v>
      </c>
      <c r="H626" s="350">
        <f t="shared" si="15"/>
        <v>4950</v>
      </c>
      <c r="I626" s="120" t="str">
        <f>IF(OR(D626&lt;Capa!$A$5,D626&gt;Capa!$A$7,E626&lt;Capa!$A$5,E626&gt;Capa!$A$7,D626&gt;E626),"Erro","")</f>
        <v/>
      </c>
    </row>
    <row r="627" spans="1:9" ht="40" hidden="1">
      <c r="A627" s="345">
        <v>754</v>
      </c>
      <c r="B627" s="346" t="s">
        <v>236</v>
      </c>
      <c r="C627" s="347">
        <v>450</v>
      </c>
      <c r="D627" s="348">
        <v>45658</v>
      </c>
      <c r="E627" s="348">
        <v>45992</v>
      </c>
      <c r="F627" s="346" t="s">
        <v>602</v>
      </c>
      <c r="G627" s="349" t="s">
        <v>443</v>
      </c>
      <c r="H627" s="350">
        <f t="shared" si="15"/>
        <v>5400</v>
      </c>
      <c r="I627" s="120" t="str">
        <f>IF(OR(D627&lt;Capa!$A$5,D627&gt;Capa!$A$7,E627&lt;Capa!$A$5,E627&gt;Capa!$A$7,D627&gt;E627),"Erro","")</f>
        <v/>
      </c>
    </row>
    <row r="628" spans="1:9" ht="40" hidden="1">
      <c r="A628" s="345">
        <v>755</v>
      </c>
      <c r="B628" s="346" t="s">
        <v>236</v>
      </c>
      <c r="C628" s="347">
        <v>450</v>
      </c>
      <c r="D628" s="348">
        <v>46023</v>
      </c>
      <c r="E628" s="348">
        <v>46357</v>
      </c>
      <c r="F628" s="346" t="s">
        <v>602</v>
      </c>
      <c r="G628" s="349" t="s">
        <v>443</v>
      </c>
      <c r="H628" s="350">
        <f t="shared" si="15"/>
        <v>5400</v>
      </c>
      <c r="I628" s="120" t="str">
        <f>IF(OR(D628&lt;Capa!$A$5,D628&gt;Capa!$A$7,E628&lt;Capa!$A$5,E628&gt;Capa!$A$7,D628&gt;E628),"Erro","")</f>
        <v/>
      </c>
    </row>
    <row r="629" spans="1:9" ht="40" hidden="1">
      <c r="A629" s="345">
        <v>756</v>
      </c>
      <c r="B629" s="346" t="s">
        <v>236</v>
      </c>
      <c r="C629" s="347">
        <v>450</v>
      </c>
      <c r="D629" s="348">
        <v>46388</v>
      </c>
      <c r="E629" s="348">
        <v>46722</v>
      </c>
      <c r="F629" s="346" t="s">
        <v>602</v>
      </c>
      <c r="G629" s="349" t="s">
        <v>443</v>
      </c>
      <c r="H629" s="350">
        <f t="shared" si="15"/>
        <v>5400</v>
      </c>
      <c r="I629" s="120" t="str">
        <f>IF(OR(D629&lt;Capa!$A$5,D629&gt;Capa!$A$7,E629&lt;Capa!$A$5,E629&gt;Capa!$A$7,D629&gt;E629),"Erro","")</f>
        <v/>
      </c>
    </row>
    <row r="630" spans="1:9" ht="40" hidden="1">
      <c r="A630" s="345">
        <v>757</v>
      </c>
      <c r="B630" s="346" t="s">
        <v>236</v>
      </c>
      <c r="C630" s="347">
        <v>200</v>
      </c>
      <c r="D630" s="348">
        <v>46753</v>
      </c>
      <c r="E630" s="348">
        <v>47058</v>
      </c>
      <c r="F630" s="346" t="s">
        <v>602</v>
      </c>
      <c r="G630" s="349" t="s">
        <v>443</v>
      </c>
      <c r="H630" s="350">
        <f t="shared" si="15"/>
        <v>2200</v>
      </c>
      <c r="I630" s="120" t="str">
        <f>IF(OR(D630&lt;Capa!$A$5,D630&gt;Capa!$A$7,E630&lt;Capa!$A$5,E630&gt;Capa!$A$7,D630&gt;E630),"Erro","")</f>
        <v/>
      </c>
    </row>
    <row r="631" spans="1:9" ht="30" hidden="1">
      <c r="A631" s="345">
        <v>759</v>
      </c>
      <c r="B631" s="346" t="s">
        <v>240</v>
      </c>
      <c r="C631" s="347">
        <v>50</v>
      </c>
      <c r="D631" s="348">
        <v>45658</v>
      </c>
      <c r="E631" s="348">
        <v>45992</v>
      </c>
      <c r="F631" s="346" t="s">
        <v>602</v>
      </c>
      <c r="G631" s="349" t="s">
        <v>444</v>
      </c>
      <c r="H631" s="350">
        <f t="shared" si="15"/>
        <v>600</v>
      </c>
      <c r="I631" s="120" t="str">
        <f>IF(OR(D631&lt;Capa!$A$5,D631&gt;Capa!$A$7,E631&lt;Capa!$A$5,E631&gt;Capa!$A$7,D631&gt;E631),"Erro","")</f>
        <v/>
      </c>
    </row>
    <row r="632" spans="1:9" ht="30" hidden="1">
      <c r="A632" s="345">
        <v>760</v>
      </c>
      <c r="B632" s="346" t="s">
        <v>240</v>
      </c>
      <c r="C632" s="347">
        <v>50</v>
      </c>
      <c r="D632" s="348">
        <v>46023</v>
      </c>
      <c r="E632" s="348">
        <v>46357</v>
      </c>
      <c r="F632" s="346" t="s">
        <v>602</v>
      </c>
      <c r="G632" s="349" t="s">
        <v>444</v>
      </c>
      <c r="H632" s="350">
        <f t="shared" si="15"/>
        <v>600</v>
      </c>
      <c r="I632" s="120" t="str">
        <f>IF(OR(D632&lt;Capa!$A$5,D632&gt;Capa!$A$7,E632&lt;Capa!$A$5,E632&gt;Capa!$A$7,D632&gt;E632),"Erro","")</f>
        <v/>
      </c>
    </row>
    <row r="633" spans="1:9" ht="30" hidden="1">
      <c r="A633" s="345">
        <v>761</v>
      </c>
      <c r="B633" s="346" t="s">
        <v>240</v>
      </c>
      <c r="C633" s="347">
        <v>50</v>
      </c>
      <c r="D633" s="348">
        <v>46388</v>
      </c>
      <c r="E633" s="348">
        <v>46722</v>
      </c>
      <c r="F633" s="346" t="s">
        <v>602</v>
      </c>
      <c r="G633" s="349" t="s">
        <v>444</v>
      </c>
      <c r="H633" s="350">
        <f t="shared" si="15"/>
        <v>600</v>
      </c>
      <c r="I633" s="120" t="str">
        <f>IF(OR(D633&lt;Capa!$A$5,D633&gt;Capa!$A$7,E633&lt;Capa!$A$5,E633&gt;Capa!$A$7,D633&gt;E633),"Erro","")</f>
        <v/>
      </c>
    </row>
    <row r="634" spans="1:9" ht="30" hidden="1">
      <c r="A634" s="345">
        <v>762</v>
      </c>
      <c r="B634" s="346" t="s">
        <v>240</v>
      </c>
      <c r="C634" s="347">
        <v>25</v>
      </c>
      <c r="D634" s="348">
        <v>46753</v>
      </c>
      <c r="E634" s="348">
        <v>47058</v>
      </c>
      <c r="F634" s="346" t="s">
        <v>602</v>
      </c>
      <c r="G634" s="349" t="s">
        <v>444</v>
      </c>
      <c r="H634" s="350">
        <f t="shared" si="15"/>
        <v>275</v>
      </c>
      <c r="I634" s="120" t="str">
        <f>IF(OR(D634&lt;Capa!$A$5,D634&gt;Capa!$A$7,E634&lt;Capa!$A$5,E634&gt;Capa!$A$7,D634&gt;E634),"Erro","")</f>
        <v/>
      </c>
    </row>
    <row r="635" spans="1:9" ht="30" hidden="1">
      <c r="A635" s="345">
        <v>764</v>
      </c>
      <c r="B635" s="346" t="s">
        <v>244</v>
      </c>
      <c r="C635" s="347">
        <v>250</v>
      </c>
      <c r="D635" s="348">
        <v>45658</v>
      </c>
      <c r="E635" s="348">
        <v>45992</v>
      </c>
      <c r="F635" s="346" t="s">
        <v>602</v>
      </c>
      <c r="G635" s="349" t="s">
        <v>445</v>
      </c>
      <c r="H635" s="350">
        <f t="shared" si="15"/>
        <v>3000</v>
      </c>
      <c r="I635" s="120" t="str">
        <f>IF(OR(D635&lt;Capa!$A$5,D635&gt;Capa!$A$7,E635&lt;Capa!$A$5,E635&gt;Capa!$A$7,D635&gt;E635),"Erro","")</f>
        <v/>
      </c>
    </row>
    <row r="636" spans="1:9" ht="30" hidden="1">
      <c r="A636" s="345">
        <v>765</v>
      </c>
      <c r="B636" s="346" t="s">
        <v>244</v>
      </c>
      <c r="C636" s="347">
        <v>250</v>
      </c>
      <c r="D636" s="348">
        <v>46023</v>
      </c>
      <c r="E636" s="348">
        <v>46357</v>
      </c>
      <c r="F636" s="346" t="s">
        <v>602</v>
      </c>
      <c r="G636" s="349" t="s">
        <v>445</v>
      </c>
      <c r="H636" s="350">
        <f t="shared" si="15"/>
        <v>3000</v>
      </c>
      <c r="I636" s="120" t="str">
        <f>IF(OR(D636&lt;Capa!$A$5,D636&gt;Capa!$A$7,E636&lt;Capa!$A$5,E636&gt;Capa!$A$7,D636&gt;E636),"Erro","")</f>
        <v/>
      </c>
    </row>
    <row r="637" spans="1:9" ht="30" hidden="1">
      <c r="A637" s="345">
        <v>766</v>
      </c>
      <c r="B637" s="346" t="s">
        <v>244</v>
      </c>
      <c r="C637" s="347">
        <v>250</v>
      </c>
      <c r="D637" s="348">
        <v>46388</v>
      </c>
      <c r="E637" s="348">
        <v>46722</v>
      </c>
      <c r="F637" s="346" t="s">
        <v>602</v>
      </c>
      <c r="G637" s="349" t="s">
        <v>445</v>
      </c>
      <c r="H637" s="350">
        <f t="shared" si="15"/>
        <v>3000</v>
      </c>
      <c r="I637" s="120" t="str">
        <f>IF(OR(D637&lt;Capa!$A$5,D637&gt;Capa!$A$7,E637&lt;Capa!$A$5,E637&gt;Capa!$A$7,D637&gt;E637),"Erro","")</f>
        <v/>
      </c>
    </row>
    <row r="638" spans="1:9" ht="30" hidden="1">
      <c r="A638" s="345">
        <v>767</v>
      </c>
      <c r="B638" s="346" t="s">
        <v>244</v>
      </c>
      <c r="C638" s="347">
        <v>125</v>
      </c>
      <c r="D638" s="348">
        <v>46753</v>
      </c>
      <c r="E638" s="348">
        <v>47058</v>
      </c>
      <c r="F638" s="346" t="s">
        <v>602</v>
      </c>
      <c r="G638" s="349" t="s">
        <v>445</v>
      </c>
      <c r="H638" s="350">
        <f t="shared" si="15"/>
        <v>1375</v>
      </c>
      <c r="I638" s="120" t="str">
        <f>IF(OR(D638&lt;Capa!$A$5,D638&gt;Capa!$A$7,E638&lt;Capa!$A$5,E638&gt;Capa!$A$7,D638&gt;E638),"Erro","")</f>
        <v/>
      </c>
    </row>
    <row r="639" spans="1:9" ht="20" hidden="1">
      <c r="A639" s="345">
        <v>768</v>
      </c>
      <c r="B639" s="346" t="s">
        <v>246</v>
      </c>
      <c r="C639" s="347">
        <v>390</v>
      </c>
      <c r="D639" s="348">
        <v>45658</v>
      </c>
      <c r="E639" s="348">
        <v>45992</v>
      </c>
      <c r="F639" s="346" t="s">
        <v>602</v>
      </c>
      <c r="G639" s="349" t="s">
        <v>446</v>
      </c>
      <c r="H639" s="350">
        <f t="shared" si="15"/>
        <v>4680</v>
      </c>
      <c r="I639" s="120" t="str">
        <f>IF(OR(D639&lt;Capa!$A$5,D639&gt;Capa!$A$7,E639&lt;Capa!$A$5,E639&gt;Capa!$A$7,D639&gt;E639),"Erro","")</f>
        <v/>
      </c>
    </row>
    <row r="640" spans="1:9" ht="20" hidden="1">
      <c r="A640" s="345">
        <v>769</v>
      </c>
      <c r="B640" s="346" t="s">
        <v>246</v>
      </c>
      <c r="C640" s="347">
        <v>390</v>
      </c>
      <c r="D640" s="348">
        <v>46023</v>
      </c>
      <c r="E640" s="348">
        <v>46357</v>
      </c>
      <c r="F640" s="346" t="s">
        <v>602</v>
      </c>
      <c r="G640" s="349" t="s">
        <v>446</v>
      </c>
      <c r="H640" s="350">
        <f t="shared" si="15"/>
        <v>4680</v>
      </c>
      <c r="I640" s="120" t="str">
        <f>IF(OR(D640&lt;Capa!$A$5,D640&gt;Capa!$A$7,E640&lt;Capa!$A$5,E640&gt;Capa!$A$7,D640&gt;E640),"Erro","")</f>
        <v/>
      </c>
    </row>
    <row r="641" spans="1:9" ht="20" hidden="1">
      <c r="A641" s="345">
        <v>770</v>
      </c>
      <c r="B641" s="346" t="s">
        <v>246</v>
      </c>
      <c r="C641" s="347">
        <v>390</v>
      </c>
      <c r="D641" s="348">
        <v>46388</v>
      </c>
      <c r="E641" s="348">
        <v>46722</v>
      </c>
      <c r="F641" s="346" t="s">
        <v>602</v>
      </c>
      <c r="G641" s="349" t="s">
        <v>446</v>
      </c>
      <c r="H641" s="350">
        <f t="shared" si="15"/>
        <v>4680</v>
      </c>
      <c r="I641" s="120" t="str">
        <f>IF(OR(D641&lt;Capa!$A$5,D641&gt;Capa!$A$7,E641&lt;Capa!$A$5,E641&gt;Capa!$A$7,D641&gt;E641),"Erro","")</f>
        <v/>
      </c>
    </row>
    <row r="642" spans="1:9" ht="20" hidden="1">
      <c r="A642" s="345">
        <v>771</v>
      </c>
      <c r="B642" s="346" t="s">
        <v>246</v>
      </c>
      <c r="C642" s="347">
        <v>190</v>
      </c>
      <c r="D642" s="348">
        <v>46753</v>
      </c>
      <c r="E642" s="348">
        <v>47058</v>
      </c>
      <c r="F642" s="346" t="s">
        <v>602</v>
      </c>
      <c r="G642" s="349" t="s">
        <v>446</v>
      </c>
      <c r="H642" s="350">
        <f t="shared" si="15"/>
        <v>2090</v>
      </c>
      <c r="I642" s="120" t="str">
        <f>IF(OR(D642&lt;Capa!$A$5,D642&gt;Capa!$A$7,E642&lt;Capa!$A$5,E642&gt;Capa!$A$7,D642&gt;E642),"Erro","")</f>
        <v/>
      </c>
    </row>
    <row r="643" spans="1:9" ht="30" hidden="1">
      <c r="A643" s="345">
        <v>773</v>
      </c>
      <c r="B643" s="346" t="s">
        <v>258</v>
      </c>
      <c r="C643" s="347">
        <v>50</v>
      </c>
      <c r="D643" s="348">
        <v>45658</v>
      </c>
      <c r="E643" s="348">
        <v>45992</v>
      </c>
      <c r="F643" s="346" t="s">
        <v>602</v>
      </c>
      <c r="G643" s="349" t="s">
        <v>447</v>
      </c>
      <c r="H643" s="350">
        <f t="shared" si="15"/>
        <v>600</v>
      </c>
      <c r="I643" s="120" t="str">
        <f>IF(OR(D643&lt;Capa!$A$5,D643&gt;Capa!$A$7,E643&lt;Capa!$A$5,E643&gt;Capa!$A$7,D643&gt;E643),"Erro","")</f>
        <v/>
      </c>
    </row>
    <row r="644" spans="1:9" ht="30" hidden="1">
      <c r="A644" s="345">
        <v>774</v>
      </c>
      <c r="B644" s="346" t="s">
        <v>258</v>
      </c>
      <c r="C644" s="347">
        <v>50</v>
      </c>
      <c r="D644" s="348">
        <v>46023</v>
      </c>
      <c r="E644" s="348">
        <v>46357</v>
      </c>
      <c r="F644" s="346" t="s">
        <v>602</v>
      </c>
      <c r="G644" s="349" t="s">
        <v>447</v>
      </c>
      <c r="H644" s="350">
        <f t="shared" si="15"/>
        <v>600</v>
      </c>
      <c r="I644" s="120" t="str">
        <f>IF(OR(D644&lt;Capa!$A$5,D644&gt;Capa!$A$7,E644&lt;Capa!$A$5,E644&gt;Capa!$A$7,D644&gt;E644),"Erro","")</f>
        <v/>
      </c>
    </row>
    <row r="645" spans="1:9" ht="30" hidden="1">
      <c r="A645" s="345">
        <v>775</v>
      </c>
      <c r="B645" s="346" t="s">
        <v>258</v>
      </c>
      <c r="C645" s="347">
        <v>50</v>
      </c>
      <c r="D645" s="348">
        <v>46388</v>
      </c>
      <c r="E645" s="348">
        <v>46722</v>
      </c>
      <c r="F645" s="346" t="s">
        <v>602</v>
      </c>
      <c r="G645" s="349" t="s">
        <v>447</v>
      </c>
      <c r="H645" s="350">
        <f t="shared" si="15"/>
        <v>600</v>
      </c>
      <c r="I645" s="120" t="str">
        <f>IF(OR(D645&lt;Capa!$A$5,D645&gt;Capa!$A$7,E645&lt;Capa!$A$5,E645&gt;Capa!$A$7,D645&gt;E645),"Erro","")</f>
        <v/>
      </c>
    </row>
    <row r="646" spans="1:9" ht="30" hidden="1">
      <c r="A646" s="345">
        <v>776</v>
      </c>
      <c r="B646" s="346" t="s">
        <v>258</v>
      </c>
      <c r="C646" s="347">
        <v>20</v>
      </c>
      <c r="D646" s="348">
        <v>46753</v>
      </c>
      <c r="E646" s="348">
        <v>47058</v>
      </c>
      <c r="F646" s="346" t="s">
        <v>602</v>
      </c>
      <c r="G646" s="349" t="s">
        <v>447</v>
      </c>
      <c r="H646" s="350">
        <f t="shared" si="15"/>
        <v>220</v>
      </c>
      <c r="I646" s="120" t="str">
        <f>IF(OR(D646&lt;Capa!$A$5,D646&gt;Capa!$A$7,E646&lt;Capa!$A$5,E646&gt;Capa!$A$7,D646&gt;E646),"Erro","")</f>
        <v/>
      </c>
    </row>
    <row r="647" spans="1:9" ht="40" hidden="1">
      <c r="A647" s="345">
        <v>777</v>
      </c>
      <c r="B647" s="346" t="s">
        <v>276</v>
      </c>
      <c r="C647" s="347">
        <v>500</v>
      </c>
      <c r="D647" s="348">
        <v>45658</v>
      </c>
      <c r="E647" s="348">
        <v>45992</v>
      </c>
      <c r="F647" s="346" t="s">
        <v>602</v>
      </c>
      <c r="G647" s="349" t="s">
        <v>448</v>
      </c>
      <c r="H647" s="350">
        <f t="shared" si="15"/>
        <v>6000</v>
      </c>
      <c r="I647" s="120" t="str">
        <f>IF(OR(D647&lt;Capa!$A$5,D647&gt;Capa!$A$7,E647&lt;Capa!$A$5,E647&gt;Capa!$A$7,D647&gt;E647),"Erro","")</f>
        <v/>
      </c>
    </row>
    <row r="648" spans="1:9" ht="40" hidden="1">
      <c r="A648" s="345">
        <v>778</v>
      </c>
      <c r="B648" s="346" t="s">
        <v>276</v>
      </c>
      <c r="C648" s="347">
        <v>500</v>
      </c>
      <c r="D648" s="348">
        <v>46023</v>
      </c>
      <c r="E648" s="348">
        <v>46357</v>
      </c>
      <c r="F648" s="346" t="s">
        <v>602</v>
      </c>
      <c r="G648" s="349" t="s">
        <v>448</v>
      </c>
      <c r="H648" s="350">
        <f t="shared" si="15"/>
        <v>6000</v>
      </c>
      <c r="I648" s="120" t="str">
        <f>IF(OR(D648&lt;Capa!$A$5,D648&gt;Capa!$A$7,E648&lt;Capa!$A$5,E648&gt;Capa!$A$7,D648&gt;E648),"Erro","")</f>
        <v/>
      </c>
    </row>
    <row r="649" spans="1:9" ht="40" hidden="1">
      <c r="A649" s="345">
        <v>779</v>
      </c>
      <c r="B649" s="346" t="s">
        <v>276</v>
      </c>
      <c r="C649" s="347">
        <v>500</v>
      </c>
      <c r="D649" s="348">
        <v>46388</v>
      </c>
      <c r="E649" s="348">
        <v>46722</v>
      </c>
      <c r="F649" s="346" t="s">
        <v>602</v>
      </c>
      <c r="G649" s="349" t="s">
        <v>448</v>
      </c>
      <c r="H649" s="350">
        <f t="shared" si="15"/>
        <v>6000</v>
      </c>
      <c r="I649" s="120" t="str">
        <f>IF(OR(D649&lt;Capa!$A$5,D649&gt;Capa!$A$7,E649&lt;Capa!$A$5,E649&gt;Capa!$A$7,D649&gt;E649),"Erro","")</f>
        <v/>
      </c>
    </row>
    <row r="650" spans="1:9" ht="40" hidden="1">
      <c r="A650" s="345">
        <v>780</v>
      </c>
      <c r="B650" s="346" t="s">
        <v>276</v>
      </c>
      <c r="C650" s="347">
        <v>250</v>
      </c>
      <c r="D650" s="348">
        <v>46753</v>
      </c>
      <c r="E650" s="348">
        <v>47058</v>
      </c>
      <c r="F650" s="346" t="s">
        <v>602</v>
      </c>
      <c r="G650" s="349" t="s">
        <v>448</v>
      </c>
      <c r="H650" s="350">
        <f t="shared" si="15"/>
        <v>2750</v>
      </c>
      <c r="I650" s="120" t="str">
        <f>IF(OR(D650&lt;Capa!$A$5,D650&gt;Capa!$A$7,E650&lt;Capa!$A$5,E650&gt;Capa!$A$7,D650&gt;E650),"Erro","")</f>
        <v/>
      </c>
    </row>
    <row r="651" spans="1:9" ht="40">
      <c r="A651" s="345">
        <v>782</v>
      </c>
      <c r="B651" s="346" t="s">
        <v>278</v>
      </c>
      <c r="C651" s="347">
        <v>36500</v>
      </c>
      <c r="D651" s="348">
        <v>45658</v>
      </c>
      <c r="E651" s="348">
        <v>45992</v>
      </c>
      <c r="F651" s="346" t="s">
        <v>602</v>
      </c>
      <c r="G651" s="349" t="s">
        <v>449</v>
      </c>
      <c r="H651" s="350">
        <f t="shared" si="15"/>
        <v>438000</v>
      </c>
      <c r="I651" s="120" t="str">
        <f>IF(OR(D651&lt;Capa!$A$5,D651&gt;Capa!$A$7,E651&lt;Capa!$A$5,E651&gt;Capa!$A$7,D651&gt;E651),"Erro","")</f>
        <v/>
      </c>
    </row>
    <row r="652" spans="1:9" ht="40">
      <c r="A652" s="345">
        <v>783</v>
      </c>
      <c r="B652" s="346" t="s">
        <v>278</v>
      </c>
      <c r="C652" s="347">
        <v>36500</v>
      </c>
      <c r="D652" s="348">
        <v>46023</v>
      </c>
      <c r="E652" s="348">
        <v>46357</v>
      </c>
      <c r="F652" s="346" t="s">
        <v>602</v>
      </c>
      <c r="G652" s="349" t="s">
        <v>449</v>
      </c>
      <c r="H652" s="350">
        <f t="shared" si="15"/>
        <v>438000</v>
      </c>
      <c r="I652" s="120" t="str">
        <f>IF(OR(D652&lt;Capa!$A$5,D652&gt;Capa!$A$7,E652&lt;Capa!$A$5,E652&gt;Capa!$A$7,D652&gt;E652),"Erro","")</f>
        <v/>
      </c>
    </row>
    <row r="653" spans="1:9" ht="40">
      <c r="A653" s="345">
        <v>784</v>
      </c>
      <c r="B653" s="346" t="s">
        <v>278</v>
      </c>
      <c r="C653" s="347">
        <v>36500</v>
      </c>
      <c r="D653" s="348">
        <v>46388</v>
      </c>
      <c r="E653" s="348">
        <v>46722</v>
      </c>
      <c r="F653" s="346" t="s">
        <v>602</v>
      </c>
      <c r="G653" s="349" t="s">
        <v>449</v>
      </c>
      <c r="H653" s="350">
        <f t="shared" si="15"/>
        <v>438000</v>
      </c>
      <c r="I653" s="120" t="str">
        <f>IF(OR(D653&lt;Capa!$A$5,D653&gt;Capa!$A$7,E653&lt;Capa!$A$5,E653&gt;Capa!$A$7,D653&gt;E653),"Erro","")</f>
        <v/>
      </c>
    </row>
    <row r="654" spans="1:9" ht="40">
      <c r="A654" s="345">
        <v>785</v>
      </c>
      <c r="B654" s="346" t="s">
        <v>278</v>
      </c>
      <c r="C654" s="347">
        <v>18500</v>
      </c>
      <c r="D654" s="348">
        <v>46753</v>
      </c>
      <c r="E654" s="348">
        <v>47058</v>
      </c>
      <c r="F654" s="346" t="s">
        <v>602</v>
      </c>
      <c r="G654" s="349" t="s">
        <v>449</v>
      </c>
      <c r="H654" s="350">
        <f t="shared" si="15"/>
        <v>203500</v>
      </c>
      <c r="I654" s="120" t="str">
        <f>IF(OR(D654&lt;Capa!$A$5,D654&gt;Capa!$A$7,E654&lt;Capa!$A$5,E654&gt;Capa!$A$7,D654&gt;E654),"Erro","")</f>
        <v/>
      </c>
    </row>
    <row r="655" spans="1:9" ht="40" hidden="1">
      <c r="A655" s="345">
        <v>787</v>
      </c>
      <c r="B655" s="346" t="s">
        <v>280</v>
      </c>
      <c r="C655" s="347">
        <v>100</v>
      </c>
      <c r="D655" s="348">
        <v>45658</v>
      </c>
      <c r="E655" s="348">
        <v>45992</v>
      </c>
      <c r="F655" s="346" t="s">
        <v>602</v>
      </c>
      <c r="G655" s="349" t="s">
        <v>450</v>
      </c>
      <c r="H655" s="350">
        <f t="shared" si="15"/>
        <v>1200</v>
      </c>
      <c r="I655" s="120" t="str">
        <f>IF(OR(D655&lt;Capa!$A$5,D655&gt;Capa!$A$7,E655&lt;Capa!$A$5,E655&gt;Capa!$A$7,D655&gt;E655),"Erro","")</f>
        <v/>
      </c>
    </row>
    <row r="656" spans="1:9" ht="40" hidden="1">
      <c r="A656" s="345">
        <v>788</v>
      </c>
      <c r="B656" s="346" t="s">
        <v>280</v>
      </c>
      <c r="C656" s="347">
        <v>100</v>
      </c>
      <c r="D656" s="348">
        <v>46023</v>
      </c>
      <c r="E656" s="348">
        <v>46357</v>
      </c>
      <c r="F656" s="346" t="s">
        <v>602</v>
      </c>
      <c r="G656" s="349" t="s">
        <v>450</v>
      </c>
      <c r="H656" s="350">
        <f t="shared" si="15"/>
        <v>1200</v>
      </c>
      <c r="I656" s="120" t="str">
        <f>IF(OR(D656&lt;Capa!$A$5,D656&gt;Capa!$A$7,E656&lt;Capa!$A$5,E656&gt;Capa!$A$7,D656&gt;E656),"Erro","")</f>
        <v/>
      </c>
    </row>
    <row r="657" spans="1:9" ht="40" hidden="1">
      <c r="A657" s="345">
        <v>789</v>
      </c>
      <c r="B657" s="346" t="s">
        <v>280</v>
      </c>
      <c r="C657" s="347">
        <v>100</v>
      </c>
      <c r="D657" s="348">
        <v>46388</v>
      </c>
      <c r="E657" s="348">
        <v>46722</v>
      </c>
      <c r="F657" s="346" t="s">
        <v>602</v>
      </c>
      <c r="G657" s="349" t="s">
        <v>450</v>
      </c>
      <c r="H657" s="350">
        <f t="shared" si="15"/>
        <v>1200</v>
      </c>
      <c r="I657" s="120" t="str">
        <f>IF(OR(D657&lt;Capa!$A$5,D657&gt;Capa!$A$7,E657&lt;Capa!$A$5,E657&gt;Capa!$A$7,D657&gt;E657),"Erro","")</f>
        <v/>
      </c>
    </row>
    <row r="658" spans="1:9" ht="40" hidden="1">
      <c r="A658" s="345">
        <v>790</v>
      </c>
      <c r="B658" s="346" t="s">
        <v>280</v>
      </c>
      <c r="C658" s="347">
        <v>50</v>
      </c>
      <c r="D658" s="348">
        <v>46753</v>
      </c>
      <c r="E658" s="348">
        <v>47058</v>
      </c>
      <c r="F658" s="346" t="s">
        <v>602</v>
      </c>
      <c r="G658" s="349" t="s">
        <v>450</v>
      </c>
      <c r="H658" s="350">
        <f t="shared" si="15"/>
        <v>550</v>
      </c>
      <c r="I658" s="120" t="str">
        <f>IF(OR(D658&lt;Capa!$A$5,D658&gt;Capa!$A$7,E658&lt;Capa!$A$5,E658&gt;Capa!$A$7,D658&gt;E658),"Erro","")</f>
        <v/>
      </c>
    </row>
    <row r="659" spans="1:9" ht="40" hidden="1">
      <c r="A659" s="345">
        <v>792</v>
      </c>
      <c r="B659" s="346" t="s">
        <v>282</v>
      </c>
      <c r="C659" s="347">
        <v>450</v>
      </c>
      <c r="D659" s="348">
        <v>45658</v>
      </c>
      <c r="E659" s="348">
        <v>45992</v>
      </c>
      <c r="F659" s="346" t="s">
        <v>602</v>
      </c>
      <c r="G659" s="349" t="s">
        <v>451</v>
      </c>
      <c r="H659" s="350">
        <f t="shared" ref="H659:H705" si="16">IFERROR((DATEDIF(D659,E659,"M")+1)*C659,0)</f>
        <v>5400</v>
      </c>
      <c r="I659" s="120" t="str">
        <f>IF(OR(D659&lt;Capa!$A$5,D659&gt;Capa!$A$7,E659&lt;Capa!$A$5,E659&gt;Capa!$A$7,D659&gt;E659),"Erro","")</f>
        <v/>
      </c>
    </row>
    <row r="660" spans="1:9" ht="40" hidden="1">
      <c r="A660" s="345">
        <v>793</v>
      </c>
      <c r="B660" s="346" t="s">
        <v>282</v>
      </c>
      <c r="C660" s="347">
        <v>450</v>
      </c>
      <c r="D660" s="348">
        <v>46023</v>
      </c>
      <c r="E660" s="348">
        <v>46357</v>
      </c>
      <c r="F660" s="346" t="s">
        <v>602</v>
      </c>
      <c r="G660" s="349" t="s">
        <v>451</v>
      </c>
      <c r="H660" s="350">
        <f t="shared" si="16"/>
        <v>5400</v>
      </c>
      <c r="I660" s="120" t="str">
        <f>IF(OR(D660&lt;Capa!$A$5,D660&gt;Capa!$A$7,E660&lt;Capa!$A$5,E660&gt;Capa!$A$7,D660&gt;E660),"Erro","")</f>
        <v/>
      </c>
    </row>
    <row r="661" spans="1:9" ht="40" hidden="1">
      <c r="A661" s="345">
        <v>794</v>
      </c>
      <c r="B661" s="346" t="s">
        <v>282</v>
      </c>
      <c r="C661" s="347">
        <v>450</v>
      </c>
      <c r="D661" s="348">
        <v>46388</v>
      </c>
      <c r="E661" s="348">
        <v>46722</v>
      </c>
      <c r="F661" s="346" t="s">
        <v>602</v>
      </c>
      <c r="G661" s="349" t="s">
        <v>451</v>
      </c>
      <c r="H661" s="350">
        <f t="shared" si="16"/>
        <v>5400</v>
      </c>
      <c r="I661" s="120" t="str">
        <f>IF(OR(D661&lt;Capa!$A$5,D661&gt;Capa!$A$7,E661&lt;Capa!$A$5,E661&gt;Capa!$A$7,D661&gt;E661),"Erro","")</f>
        <v/>
      </c>
    </row>
    <row r="662" spans="1:9" ht="40" hidden="1">
      <c r="A662" s="345">
        <v>795</v>
      </c>
      <c r="B662" s="346" t="s">
        <v>282</v>
      </c>
      <c r="C662" s="347">
        <v>200</v>
      </c>
      <c r="D662" s="348">
        <v>46753</v>
      </c>
      <c r="E662" s="348">
        <v>47058</v>
      </c>
      <c r="F662" s="346" t="s">
        <v>602</v>
      </c>
      <c r="G662" s="349" t="s">
        <v>451</v>
      </c>
      <c r="H662" s="350">
        <f t="shared" si="16"/>
        <v>2200</v>
      </c>
      <c r="I662" s="120" t="str">
        <f>IF(OR(D662&lt;Capa!$A$5,D662&gt;Capa!$A$7,E662&lt;Capa!$A$5,E662&gt;Capa!$A$7,D662&gt;E662),"Erro","")</f>
        <v/>
      </c>
    </row>
    <row r="663" spans="1:9" ht="40" hidden="1">
      <c r="A663" s="345">
        <v>797</v>
      </c>
      <c r="B663" s="346" t="s">
        <v>284</v>
      </c>
      <c r="C663" s="347">
        <v>950</v>
      </c>
      <c r="D663" s="348">
        <v>45658</v>
      </c>
      <c r="E663" s="348">
        <v>45992</v>
      </c>
      <c r="F663" s="346" t="s">
        <v>602</v>
      </c>
      <c r="G663" s="349" t="s">
        <v>451</v>
      </c>
      <c r="H663" s="350">
        <f t="shared" si="16"/>
        <v>11400</v>
      </c>
      <c r="I663" s="120" t="str">
        <f>IF(OR(D663&lt;Capa!$A$5,D663&gt;Capa!$A$7,E663&lt;Capa!$A$5,E663&gt;Capa!$A$7,D663&gt;E663),"Erro","")</f>
        <v/>
      </c>
    </row>
    <row r="664" spans="1:9" ht="40" hidden="1">
      <c r="A664" s="345">
        <v>798</v>
      </c>
      <c r="B664" s="346" t="s">
        <v>284</v>
      </c>
      <c r="C664" s="347">
        <v>950</v>
      </c>
      <c r="D664" s="348">
        <v>46023</v>
      </c>
      <c r="E664" s="348">
        <v>46357</v>
      </c>
      <c r="F664" s="346" t="s">
        <v>602</v>
      </c>
      <c r="G664" s="349" t="s">
        <v>451</v>
      </c>
      <c r="H664" s="350">
        <f t="shared" si="16"/>
        <v>11400</v>
      </c>
      <c r="I664" s="120" t="str">
        <f>IF(OR(D664&lt;Capa!$A$5,D664&gt;Capa!$A$7,E664&lt;Capa!$A$5,E664&gt;Capa!$A$7,D664&gt;E664),"Erro","")</f>
        <v/>
      </c>
    </row>
    <row r="665" spans="1:9" ht="40" hidden="1">
      <c r="A665" s="345">
        <v>799</v>
      </c>
      <c r="B665" s="346" t="s">
        <v>284</v>
      </c>
      <c r="C665" s="347">
        <v>950</v>
      </c>
      <c r="D665" s="348">
        <v>46388</v>
      </c>
      <c r="E665" s="348">
        <v>46722</v>
      </c>
      <c r="F665" s="346" t="s">
        <v>602</v>
      </c>
      <c r="G665" s="349" t="s">
        <v>451</v>
      </c>
      <c r="H665" s="350">
        <f t="shared" si="16"/>
        <v>11400</v>
      </c>
      <c r="I665" s="120" t="str">
        <f>IF(OR(D665&lt;Capa!$A$5,D665&gt;Capa!$A$7,E665&lt;Capa!$A$5,E665&gt;Capa!$A$7,D665&gt;E665),"Erro","")</f>
        <v/>
      </c>
    </row>
    <row r="666" spans="1:9" ht="40" hidden="1">
      <c r="A666" s="345">
        <v>800</v>
      </c>
      <c r="B666" s="346" t="s">
        <v>284</v>
      </c>
      <c r="C666" s="347">
        <v>400</v>
      </c>
      <c r="D666" s="348">
        <v>46753</v>
      </c>
      <c r="E666" s="348">
        <v>47058</v>
      </c>
      <c r="F666" s="346" t="s">
        <v>602</v>
      </c>
      <c r="G666" s="349" t="s">
        <v>451</v>
      </c>
      <c r="H666" s="350">
        <f t="shared" si="16"/>
        <v>4400</v>
      </c>
      <c r="I666" s="120" t="str">
        <f>IF(OR(D666&lt;Capa!$A$5,D666&gt;Capa!$A$7,E666&lt;Capa!$A$5,E666&gt;Capa!$A$7,D666&gt;E666),"Erro","")</f>
        <v/>
      </c>
    </row>
    <row r="667" spans="1:9" ht="40" hidden="1">
      <c r="A667" s="345">
        <v>802</v>
      </c>
      <c r="B667" s="346" t="s">
        <v>286</v>
      </c>
      <c r="C667" s="347">
        <v>1000</v>
      </c>
      <c r="D667" s="348">
        <v>45658</v>
      </c>
      <c r="E667" s="348">
        <v>45992</v>
      </c>
      <c r="F667" s="346" t="s">
        <v>602</v>
      </c>
      <c r="G667" s="349" t="s">
        <v>451</v>
      </c>
      <c r="H667" s="350">
        <f t="shared" si="16"/>
        <v>12000</v>
      </c>
      <c r="I667" s="120" t="str">
        <f>IF(OR(D667&lt;Capa!$A$5,D667&gt;Capa!$A$7,E667&lt;Capa!$A$5,E667&gt;Capa!$A$7,D667&gt;E667),"Erro","")</f>
        <v/>
      </c>
    </row>
    <row r="668" spans="1:9" ht="40" hidden="1">
      <c r="A668" s="345">
        <v>803</v>
      </c>
      <c r="B668" s="346" t="s">
        <v>286</v>
      </c>
      <c r="C668" s="347">
        <v>1000</v>
      </c>
      <c r="D668" s="348">
        <v>46023</v>
      </c>
      <c r="E668" s="348">
        <v>46357</v>
      </c>
      <c r="F668" s="346" t="s">
        <v>602</v>
      </c>
      <c r="G668" s="349" t="s">
        <v>451</v>
      </c>
      <c r="H668" s="350">
        <f t="shared" si="16"/>
        <v>12000</v>
      </c>
      <c r="I668" s="120" t="str">
        <f>IF(OR(D668&lt;Capa!$A$5,D668&gt;Capa!$A$7,E668&lt;Capa!$A$5,E668&gt;Capa!$A$7,D668&gt;E668),"Erro","")</f>
        <v/>
      </c>
    </row>
    <row r="669" spans="1:9" ht="40" hidden="1">
      <c r="A669" s="345">
        <v>804</v>
      </c>
      <c r="B669" s="346" t="s">
        <v>286</v>
      </c>
      <c r="C669" s="347">
        <v>1000</v>
      </c>
      <c r="D669" s="348">
        <v>46388</v>
      </c>
      <c r="E669" s="348">
        <v>46722</v>
      </c>
      <c r="F669" s="346" t="s">
        <v>602</v>
      </c>
      <c r="G669" s="349" t="s">
        <v>451</v>
      </c>
      <c r="H669" s="350">
        <f t="shared" si="16"/>
        <v>12000</v>
      </c>
      <c r="I669" s="120" t="str">
        <f>IF(OR(D669&lt;Capa!$A$5,D669&gt;Capa!$A$7,E669&lt;Capa!$A$5,E669&gt;Capa!$A$7,D669&gt;E669),"Erro","")</f>
        <v/>
      </c>
    </row>
    <row r="670" spans="1:9" ht="40" hidden="1">
      <c r="A670" s="345">
        <v>805</v>
      </c>
      <c r="B670" s="346" t="s">
        <v>286</v>
      </c>
      <c r="C670" s="347">
        <v>500</v>
      </c>
      <c r="D670" s="348">
        <v>46753</v>
      </c>
      <c r="E670" s="348">
        <v>47058</v>
      </c>
      <c r="F670" s="346" t="s">
        <v>602</v>
      </c>
      <c r="G670" s="349" t="s">
        <v>451</v>
      </c>
      <c r="H670" s="350">
        <f t="shared" si="16"/>
        <v>5500</v>
      </c>
      <c r="I670" s="120" t="str">
        <f>IF(OR(D670&lt;Capa!$A$5,D670&gt;Capa!$A$7,E670&lt;Capa!$A$5,E670&gt;Capa!$A$7,D670&gt;E670),"Erro","")</f>
        <v/>
      </c>
    </row>
    <row r="671" spans="1:9" ht="30" hidden="1">
      <c r="A671" s="345">
        <v>807</v>
      </c>
      <c r="B671" s="346" t="s">
        <v>288</v>
      </c>
      <c r="C671" s="347">
        <v>200</v>
      </c>
      <c r="D671" s="348">
        <v>45658</v>
      </c>
      <c r="E671" s="348">
        <v>45992</v>
      </c>
      <c r="F671" s="346" t="s">
        <v>602</v>
      </c>
      <c r="G671" s="349" t="s">
        <v>452</v>
      </c>
      <c r="H671" s="350">
        <f t="shared" si="16"/>
        <v>2400</v>
      </c>
      <c r="I671" s="120" t="str">
        <f>IF(OR(D671&lt;Capa!$A$5,D671&gt;Capa!$A$7,E671&lt;Capa!$A$5,E671&gt;Capa!$A$7,D671&gt;E671),"Erro","")</f>
        <v/>
      </c>
    </row>
    <row r="672" spans="1:9" ht="30" hidden="1">
      <c r="A672" s="345">
        <v>808</v>
      </c>
      <c r="B672" s="346" t="s">
        <v>288</v>
      </c>
      <c r="C672" s="347">
        <v>200</v>
      </c>
      <c r="D672" s="348">
        <v>46023</v>
      </c>
      <c r="E672" s="348">
        <v>46357</v>
      </c>
      <c r="F672" s="346" t="s">
        <v>602</v>
      </c>
      <c r="G672" s="349" t="s">
        <v>452</v>
      </c>
      <c r="H672" s="350">
        <f t="shared" si="16"/>
        <v>2400</v>
      </c>
      <c r="I672" s="120" t="str">
        <f>IF(OR(D672&lt;Capa!$A$5,D672&gt;Capa!$A$7,E672&lt;Capa!$A$5,E672&gt;Capa!$A$7,D672&gt;E672),"Erro","")</f>
        <v/>
      </c>
    </row>
    <row r="673" spans="1:9" ht="30" hidden="1">
      <c r="A673" s="345">
        <v>809</v>
      </c>
      <c r="B673" s="346" t="s">
        <v>288</v>
      </c>
      <c r="C673" s="347">
        <v>200</v>
      </c>
      <c r="D673" s="348">
        <v>46388</v>
      </c>
      <c r="E673" s="348">
        <v>46722</v>
      </c>
      <c r="F673" s="346" t="s">
        <v>602</v>
      </c>
      <c r="G673" s="349" t="s">
        <v>452</v>
      </c>
      <c r="H673" s="350">
        <f t="shared" si="16"/>
        <v>2400</v>
      </c>
      <c r="I673" s="120" t="str">
        <f>IF(OR(D673&lt;Capa!$A$5,D673&gt;Capa!$A$7,E673&lt;Capa!$A$5,E673&gt;Capa!$A$7,D673&gt;E673),"Erro","")</f>
        <v/>
      </c>
    </row>
    <row r="674" spans="1:9" ht="30" hidden="1">
      <c r="A674" s="345">
        <v>810</v>
      </c>
      <c r="B674" s="346" t="s">
        <v>288</v>
      </c>
      <c r="C674" s="347">
        <v>100</v>
      </c>
      <c r="D674" s="348">
        <v>46753</v>
      </c>
      <c r="E674" s="348">
        <v>47058</v>
      </c>
      <c r="F674" s="346" t="s">
        <v>602</v>
      </c>
      <c r="G674" s="349" t="s">
        <v>452</v>
      </c>
      <c r="H674" s="350">
        <f t="shared" si="16"/>
        <v>1100</v>
      </c>
      <c r="I674" s="120" t="str">
        <f>IF(OR(D674&lt;Capa!$A$5,D674&gt;Capa!$A$7,E674&lt;Capa!$A$5,E674&gt;Capa!$A$7,D674&gt;E674),"Erro","")</f>
        <v/>
      </c>
    </row>
    <row r="675" spans="1:9" ht="30" hidden="1">
      <c r="A675" s="345">
        <v>812</v>
      </c>
      <c r="B675" s="346" t="s">
        <v>294</v>
      </c>
      <c r="C675" s="347">
        <v>1500</v>
      </c>
      <c r="D675" s="348">
        <v>45658</v>
      </c>
      <c r="E675" s="348">
        <v>45992</v>
      </c>
      <c r="F675" s="346" t="s">
        <v>602</v>
      </c>
      <c r="G675" s="349" t="s">
        <v>453</v>
      </c>
      <c r="H675" s="350">
        <f t="shared" si="16"/>
        <v>18000</v>
      </c>
      <c r="I675" s="120" t="str">
        <f>IF(OR(D675&lt;Capa!$A$5,D675&gt;Capa!$A$7,E675&lt;Capa!$A$5,E675&gt;Capa!$A$7,D675&gt;E675),"Erro","")</f>
        <v/>
      </c>
    </row>
    <row r="676" spans="1:9" ht="30" hidden="1">
      <c r="A676" s="345">
        <v>813</v>
      </c>
      <c r="B676" s="346" t="s">
        <v>294</v>
      </c>
      <c r="C676" s="347">
        <v>1500</v>
      </c>
      <c r="D676" s="348">
        <v>46023</v>
      </c>
      <c r="E676" s="348">
        <v>46357</v>
      </c>
      <c r="F676" s="346" t="s">
        <v>602</v>
      </c>
      <c r="G676" s="349" t="s">
        <v>453</v>
      </c>
      <c r="H676" s="350">
        <f t="shared" si="16"/>
        <v>18000</v>
      </c>
      <c r="I676" s="120" t="str">
        <f>IF(OR(D676&lt;Capa!$A$5,D676&gt;Capa!$A$7,E676&lt;Capa!$A$5,E676&gt;Capa!$A$7,D676&gt;E676),"Erro","")</f>
        <v/>
      </c>
    </row>
    <row r="677" spans="1:9" ht="30" hidden="1">
      <c r="A677" s="345">
        <v>814</v>
      </c>
      <c r="B677" s="346" t="s">
        <v>294</v>
      </c>
      <c r="C677" s="347">
        <v>1500</v>
      </c>
      <c r="D677" s="348">
        <v>46388</v>
      </c>
      <c r="E677" s="348">
        <v>46722</v>
      </c>
      <c r="F677" s="346" t="s">
        <v>602</v>
      </c>
      <c r="G677" s="349" t="s">
        <v>453</v>
      </c>
      <c r="H677" s="350">
        <f t="shared" si="16"/>
        <v>18000</v>
      </c>
      <c r="I677" s="120" t="str">
        <f>IF(OR(D677&lt;Capa!$A$5,D677&gt;Capa!$A$7,E677&lt;Capa!$A$5,E677&gt;Capa!$A$7,D677&gt;E677),"Erro","")</f>
        <v/>
      </c>
    </row>
    <row r="678" spans="1:9" ht="30" hidden="1">
      <c r="A678" s="345">
        <v>815</v>
      </c>
      <c r="B678" s="346" t="s">
        <v>294</v>
      </c>
      <c r="C678" s="347">
        <v>1500</v>
      </c>
      <c r="D678" s="348">
        <v>46753</v>
      </c>
      <c r="E678" s="348">
        <v>47058</v>
      </c>
      <c r="F678" s="346" t="s">
        <v>602</v>
      </c>
      <c r="G678" s="349" t="s">
        <v>453</v>
      </c>
      <c r="H678" s="350">
        <f t="shared" si="16"/>
        <v>16500</v>
      </c>
      <c r="I678" s="120" t="str">
        <f>IF(OR(D678&lt;Capa!$A$5,D678&gt;Capa!$A$7,E678&lt;Capa!$A$5,E678&gt;Capa!$A$7,D678&gt;E678),"Erro","")</f>
        <v/>
      </c>
    </row>
    <row r="679" spans="1:9" ht="20" hidden="1">
      <c r="A679" s="345">
        <v>817</v>
      </c>
      <c r="B679" s="346" t="s">
        <v>302</v>
      </c>
      <c r="C679" s="347">
        <v>100</v>
      </c>
      <c r="D679" s="348">
        <v>45658</v>
      </c>
      <c r="E679" s="348">
        <v>45992</v>
      </c>
      <c r="F679" s="346" t="s">
        <v>602</v>
      </c>
      <c r="G679" s="349" t="s">
        <v>454</v>
      </c>
      <c r="H679" s="350">
        <f t="shared" si="16"/>
        <v>1200</v>
      </c>
      <c r="I679" s="120" t="str">
        <f>IF(OR(D679&lt;Capa!$A$5,D679&gt;Capa!$A$7,E679&lt;Capa!$A$5,E679&gt;Capa!$A$7,D679&gt;E679),"Erro","")</f>
        <v/>
      </c>
    </row>
    <row r="680" spans="1:9" ht="20" hidden="1">
      <c r="A680" s="345">
        <v>818</v>
      </c>
      <c r="B680" s="346" t="s">
        <v>302</v>
      </c>
      <c r="C680" s="347">
        <v>100</v>
      </c>
      <c r="D680" s="348">
        <v>46023</v>
      </c>
      <c r="E680" s="348">
        <v>46357</v>
      </c>
      <c r="F680" s="346" t="s">
        <v>602</v>
      </c>
      <c r="G680" s="349" t="s">
        <v>454</v>
      </c>
      <c r="H680" s="350">
        <f t="shared" si="16"/>
        <v>1200</v>
      </c>
      <c r="I680" s="120" t="str">
        <f>IF(OR(D680&lt;Capa!$A$5,D680&gt;Capa!$A$7,E680&lt;Capa!$A$5,E680&gt;Capa!$A$7,D680&gt;E680),"Erro","")</f>
        <v/>
      </c>
    </row>
    <row r="681" spans="1:9" ht="20" hidden="1">
      <c r="A681" s="345">
        <v>819</v>
      </c>
      <c r="B681" s="346" t="s">
        <v>302</v>
      </c>
      <c r="C681" s="347">
        <v>100</v>
      </c>
      <c r="D681" s="348">
        <v>46388</v>
      </c>
      <c r="E681" s="348">
        <v>46722</v>
      </c>
      <c r="F681" s="346" t="s">
        <v>602</v>
      </c>
      <c r="G681" s="349" t="s">
        <v>454</v>
      </c>
      <c r="H681" s="350">
        <f t="shared" si="16"/>
        <v>1200</v>
      </c>
      <c r="I681" s="120" t="str">
        <f>IF(OR(D681&lt;Capa!$A$5,D681&gt;Capa!$A$7,E681&lt;Capa!$A$5,E681&gt;Capa!$A$7,D681&gt;E681),"Erro","")</f>
        <v/>
      </c>
    </row>
    <row r="682" spans="1:9" ht="20" hidden="1">
      <c r="A682" s="345">
        <v>820</v>
      </c>
      <c r="B682" s="346" t="s">
        <v>302</v>
      </c>
      <c r="C682" s="347">
        <v>50</v>
      </c>
      <c r="D682" s="348">
        <v>46753</v>
      </c>
      <c r="E682" s="348">
        <v>47058</v>
      </c>
      <c r="F682" s="346" t="s">
        <v>602</v>
      </c>
      <c r="G682" s="349" t="s">
        <v>454</v>
      </c>
      <c r="H682" s="350">
        <f t="shared" si="16"/>
        <v>550</v>
      </c>
      <c r="I682" s="120" t="str">
        <f>IF(OR(D682&lt;Capa!$A$5,D682&gt;Capa!$A$7,E682&lt;Capa!$A$5,E682&gt;Capa!$A$7,D682&gt;E682),"Erro","")</f>
        <v/>
      </c>
    </row>
    <row r="683" spans="1:9" ht="30" hidden="1">
      <c r="A683" s="345">
        <v>822</v>
      </c>
      <c r="B683" s="346" t="s">
        <v>304</v>
      </c>
      <c r="C683" s="347">
        <v>1000</v>
      </c>
      <c r="D683" s="348">
        <v>45658</v>
      </c>
      <c r="E683" s="348">
        <v>45992</v>
      </c>
      <c r="F683" s="346" t="s">
        <v>602</v>
      </c>
      <c r="G683" s="349" t="s">
        <v>455</v>
      </c>
      <c r="H683" s="350">
        <f t="shared" si="16"/>
        <v>12000</v>
      </c>
      <c r="I683" s="120" t="str">
        <f>IF(OR(D683&lt;Capa!$A$5,D683&gt;Capa!$A$7,E683&lt;Capa!$A$5,E683&gt;Capa!$A$7,D683&gt;E683),"Erro","")</f>
        <v/>
      </c>
    </row>
    <row r="684" spans="1:9" ht="30" hidden="1">
      <c r="A684" s="345">
        <v>823</v>
      </c>
      <c r="B684" s="346" t="s">
        <v>304</v>
      </c>
      <c r="C684" s="347">
        <v>1000</v>
      </c>
      <c r="D684" s="348">
        <v>46023</v>
      </c>
      <c r="E684" s="348">
        <v>46357</v>
      </c>
      <c r="F684" s="346" t="s">
        <v>602</v>
      </c>
      <c r="G684" s="349" t="s">
        <v>455</v>
      </c>
      <c r="H684" s="350">
        <f t="shared" si="16"/>
        <v>12000</v>
      </c>
      <c r="I684" s="120" t="str">
        <f>IF(OR(D684&lt;Capa!$A$5,D684&gt;Capa!$A$7,E684&lt;Capa!$A$5,E684&gt;Capa!$A$7,D684&gt;E684),"Erro","")</f>
        <v/>
      </c>
    </row>
    <row r="685" spans="1:9" ht="30" hidden="1">
      <c r="A685" s="345">
        <v>824</v>
      </c>
      <c r="B685" s="346" t="s">
        <v>304</v>
      </c>
      <c r="C685" s="347">
        <v>1000</v>
      </c>
      <c r="D685" s="348">
        <v>46388</v>
      </c>
      <c r="E685" s="348">
        <v>46722</v>
      </c>
      <c r="F685" s="346" t="s">
        <v>602</v>
      </c>
      <c r="G685" s="349" t="s">
        <v>455</v>
      </c>
      <c r="H685" s="350">
        <f t="shared" si="16"/>
        <v>12000</v>
      </c>
      <c r="I685" s="120" t="str">
        <f>IF(OR(D685&lt;Capa!$A$5,D685&gt;Capa!$A$7,E685&lt;Capa!$A$5,E685&gt;Capa!$A$7,D685&gt;E685),"Erro","")</f>
        <v/>
      </c>
    </row>
    <row r="686" spans="1:9" ht="30" hidden="1">
      <c r="A686" s="345">
        <v>825</v>
      </c>
      <c r="B686" s="346" t="s">
        <v>304</v>
      </c>
      <c r="C686" s="347">
        <v>500</v>
      </c>
      <c r="D686" s="348">
        <v>46753</v>
      </c>
      <c r="E686" s="348">
        <v>47058</v>
      </c>
      <c r="F686" s="346" t="s">
        <v>602</v>
      </c>
      <c r="G686" s="349" t="s">
        <v>455</v>
      </c>
      <c r="H686" s="350">
        <f t="shared" si="16"/>
        <v>5500</v>
      </c>
      <c r="I686" s="120" t="str">
        <f>IF(OR(D686&lt;Capa!$A$5,D686&gt;Capa!$A$7,E686&lt;Capa!$A$5,E686&gt;Capa!$A$7,D686&gt;E686),"Erro","")</f>
        <v/>
      </c>
    </row>
    <row r="687" spans="1:9" ht="30" hidden="1">
      <c r="A687" s="345">
        <v>826</v>
      </c>
      <c r="B687" s="346" t="s">
        <v>312</v>
      </c>
      <c r="C687" s="347">
        <v>200</v>
      </c>
      <c r="D687" s="348">
        <v>45658</v>
      </c>
      <c r="E687" s="348">
        <v>45992</v>
      </c>
      <c r="F687" s="346" t="s">
        <v>602</v>
      </c>
      <c r="G687" s="349" t="s">
        <v>571</v>
      </c>
      <c r="H687" s="350">
        <f t="shared" si="16"/>
        <v>2400</v>
      </c>
      <c r="I687" s="120" t="str">
        <f>IF(OR(D687&lt;Capa!$A$5,D687&gt;Capa!$A$7,E687&lt;Capa!$A$5,E687&gt;Capa!$A$7,D687&gt;E687),"Erro","")</f>
        <v/>
      </c>
    </row>
    <row r="688" spans="1:9" ht="30" hidden="1">
      <c r="A688" s="345">
        <v>827</v>
      </c>
      <c r="B688" s="346" t="s">
        <v>312</v>
      </c>
      <c r="C688" s="347">
        <v>200</v>
      </c>
      <c r="D688" s="348">
        <v>46023</v>
      </c>
      <c r="E688" s="348">
        <v>46357</v>
      </c>
      <c r="F688" s="346" t="s">
        <v>602</v>
      </c>
      <c r="G688" s="349" t="s">
        <v>571</v>
      </c>
      <c r="H688" s="350">
        <f t="shared" si="16"/>
        <v>2400</v>
      </c>
      <c r="I688" s="120" t="str">
        <f>IF(OR(D688&lt;Capa!$A$5,D688&gt;Capa!$A$7,E688&lt;Capa!$A$5,E688&gt;Capa!$A$7,D688&gt;E688),"Erro","")</f>
        <v/>
      </c>
    </row>
    <row r="689" spans="1:9" ht="30" hidden="1">
      <c r="A689" s="345">
        <v>828</v>
      </c>
      <c r="B689" s="346" t="s">
        <v>312</v>
      </c>
      <c r="C689" s="347">
        <v>200</v>
      </c>
      <c r="D689" s="348">
        <v>46388</v>
      </c>
      <c r="E689" s="348">
        <v>46722</v>
      </c>
      <c r="F689" s="346" t="s">
        <v>602</v>
      </c>
      <c r="G689" s="349" t="s">
        <v>571</v>
      </c>
      <c r="H689" s="350">
        <f t="shared" si="16"/>
        <v>2400</v>
      </c>
      <c r="I689" s="120" t="str">
        <f>IF(OR(D689&lt;Capa!$A$5,D689&gt;Capa!$A$7,E689&lt;Capa!$A$5,E689&gt;Capa!$A$7,D689&gt;E689),"Erro","")</f>
        <v/>
      </c>
    </row>
    <row r="690" spans="1:9" ht="30" hidden="1">
      <c r="A690" s="345">
        <v>829</v>
      </c>
      <c r="B690" s="346" t="s">
        <v>312</v>
      </c>
      <c r="C690" s="347">
        <v>100</v>
      </c>
      <c r="D690" s="348">
        <v>46753</v>
      </c>
      <c r="E690" s="348">
        <v>47058</v>
      </c>
      <c r="F690" s="346" t="s">
        <v>602</v>
      </c>
      <c r="G690" s="349" t="s">
        <v>571</v>
      </c>
      <c r="H690" s="350">
        <f t="shared" si="16"/>
        <v>1100</v>
      </c>
      <c r="I690" s="120" t="str">
        <f>IF(OR(D690&lt;Capa!$A$5,D690&gt;Capa!$A$7,E690&lt;Capa!$A$5,E690&gt;Capa!$A$7,D690&gt;E690),"Erro","")</f>
        <v/>
      </c>
    </row>
    <row r="691" spans="1:9" ht="50" hidden="1">
      <c r="A691" s="345">
        <v>831</v>
      </c>
      <c r="B691" s="346" t="s">
        <v>316</v>
      </c>
      <c r="C691" s="347">
        <v>800</v>
      </c>
      <c r="D691" s="348">
        <v>45658</v>
      </c>
      <c r="E691" s="348">
        <v>45992</v>
      </c>
      <c r="F691" s="346" t="s">
        <v>602</v>
      </c>
      <c r="G691" s="349" t="s">
        <v>741</v>
      </c>
      <c r="H691" s="350">
        <f t="shared" si="16"/>
        <v>9600</v>
      </c>
      <c r="I691" s="120" t="str">
        <f>IF(OR(D691&lt;Capa!$A$5,D691&gt;Capa!$A$7,E691&lt;Capa!$A$5,E691&gt;Capa!$A$7,D691&gt;E691),"Erro","")</f>
        <v/>
      </c>
    </row>
    <row r="692" spans="1:9" ht="50" hidden="1">
      <c r="A692" s="345">
        <v>832</v>
      </c>
      <c r="B692" s="346" t="s">
        <v>316</v>
      </c>
      <c r="C692" s="347">
        <v>800</v>
      </c>
      <c r="D692" s="348">
        <v>46023</v>
      </c>
      <c r="E692" s="348">
        <v>46357</v>
      </c>
      <c r="F692" s="346" t="s">
        <v>602</v>
      </c>
      <c r="G692" s="349" t="s">
        <v>741</v>
      </c>
      <c r="H692" s="350">
        <f t="shared" si="16"/>
        <v>9600</v>
      </c>
      <c r="I692" s="120" t="str">
        <f>IF(OR(D692&lt;Capa!$A$5,D692&gt;Capa!$A$7,E692&lt;Capa!$A$5,E692&gt;Capa!$A$7,D692&gt;E692),"Erro","")</f>
        <v/>
      </c>
    </row>
    <row r="693" spans="1:9" ht="50" hidden="1">
      <c r="A693" s="345">
        <v>833</v>
      </c>
      <c r="B693" s="346" t="s">
        <v>316</v>
      </c>
      <c r="C693" s="347">
        <v>800</v>
      </c>
      <c r="D693" s="348">
        <v>46388</v>
      </c>
      <c r="E693" s="348">
        <v>46722</v>
      </c>
      <c r="F693" s="346" t="s">
        <v>602</v>
      </c>
      <c r="G693" s="349" t="s">
        <v>741</v>
      </c>
      <c r="H693" s="350">
        <f t="shared" si="16"/>
        <v>9600</v>
      </c>
      <c r="I693" s="120" t="str">
        <f>IF(OR(D693&lt;Capa!$A$5,D693&gt;Capa!$A$7,E693&lt;Capa!$A$5,E693&gt;Capa!$A$7,D693&gt;E693),"Erro","")</f>
        <v/>
      </c>
    </row>
    <row r="694" spans="1:9" ht="50" hidden="1">
      <c r="A694" s="345">
        <v>834</v>
      </c>
      <c r="B694" s="346" t="s">
        <v>316</v>
      </c>
      <c r="C694" s="347">
        <v>400</v>
      </c>
      <c r="D694" s="348">
        <v>46753</v>
      </c>
      <c r="E694" s="348">
        <v>47058</v>
      </c>
      <c r="F694" s="346" t="s">
        <v>602</v>
      </c>
      <c r="G694" s="349" t="s">
        <v>741</v>
      </c>
      <c r="H694" s="350">
        <f t="shared" si="16"/>
        <v>4400</v>
      </c>
      <c r="I694" s="120" t="str">
        <f>IF(OR(D694&lt;Capa!$A$5,D694&gt;Capa!$A$7,E694&lt;Capa!$A$5,E694&gt;Capa!$A$7,D694&gt;E694),"Erro","")</f>
        <v/>
      </c>
    </row>
    <row r="695" spans="1:9" ht="50" hidden="1">
      <c r="A695" s="345">
        <v>836</v>
      </c>
      <c r="B695" s="346" t="s">
        <v>318</v>
      </c>
      <c r="C695" s="347">
        <v>1000</v>
      </c>
      <c r="D695" s="348">
        <v>45658</v>
      </c>
      <c r="E695" s="348">
        <v>45992</v>
      </c>
      <c r="F695" s="346" t="s">
        <v>602</v>
      </c>
      <c r="G695" s="349" t="s">
        <v>572</v>
      </c>
      <c r="H695" s="350">
        <f t="shared" si="16"/>
        <v>12000</v>
      </c>
      <c r="I695" s="120" t="str">
        <f>IF(OR(D695&lt;Capa!$A$5,D695&gt;Capa!$A$7,E695&lt;Capa!$A$5,E695&gt;Capa!$A$7,D695&gt;E695),"Erro","")</f>
        <v/>
      </c>
    </row>
    <row r="696" spans="1:9" ht="50" hidden="1">
      <c r="A696" s="345">
        <v>837</v>
      </c>
      <c r="B696" s="346" t="s">
        <v>318</v>
      </c>
      <c r="C696" s="347">
        <v>1000</v>
      </c>
      <c r="D696" s="348">
        <v>46023</v>
      </c>
      <c r="E696" s="348">
        <v>46357</v>
      </c>
      <c r="F696" s="346" t="s">
        <v>602</v>
      </c>
      <c r="G696" s="349" t="s">
        <v>572</v>
      </c>
      <c r="H696" s="350">
        <f t="shared" si="16"/>
        <v>12000</v>
      </c>
      <c r="I696" s="120" t="str">
        <f>IF(OR(D696&lt;Capa!$A$5,D696&gt;Capa!$A$7,E696&lt;Capa!$A$5,E696&gt;Capa!$A$7,D696&gt;E696),"Erro","")</f>
        <v/>
      </c>
    </row>
    <row r="697" spans="1:9" ht="50" hidden="1">
      <c r="A697" s="345">
        <v>838</v>
      </c>
      <c r="B697" s="346" t="s">
        <v>318</v>
      </c>
      <c r="C697" s="347">
        <v>1000</v>
      </c>
      <c r="D697" s="348">
        <v>46388</v>
      </c>
      <c r="E697" s="348">
        <v>46722</v>
      </c>
      <c r="F697" s="346" t="s">
        <v>602</v>
      </c>
      <c r="G697" s="349" t="s">
        <v>572</v>
      </c>
      <c r="H697" s="350">
        <f t="shared" si="16"/>
        <v>12000</v>
      </c>
      <c r="I697" s="120" t="str">
        <f>IF(OR(D697&lt;Capa!$A$5,D697&gt;Capa!$A$7,E697&lt;Capa!$A$5,E697&gt;Capa!$A$7,D697&gt;E697),"Erro","")</f>
        <v/>
      </c>
    </row>
    <row r="698" spans="1:9" ht="50" hidden="1">
      <c r="A698" s="345">
        <v>839</v>
      </c>
      <c r="B698" s="346" t="s">
        <v>318</v>
      </c>
      <c r="C698" s="347">
        <v>250</v>
      </c>
      <c r="D698" s="348">
        <v>46753</v>
      </c>
      <c r="E698" s="348">
        <v>47058</v>
      </c>
      <c r="F698" s="346" t="s">
        <v>602</v>
      </c>
      <c r="G698" s="349" t="s">
        <v>572</v>
      </c>
      <c r="H698" s="350">
        <f t="shared" si="16"/>
        <v>2750</v>
      </c>
      <c r="I698" s="120" t="str">
        <f>IF(OR(D698&lt;Capa!$A$5,D698&gt;Capa!$A$7,E698&lt;Capa!$A$5,E698&gt;Capa!$A$7,D698&gt;E698),"Erro","")</f>
        <v/>
      </c>
    </row>
    <row r="699" spans="1:9" ht="50" hidden="1">
      <c r="A699" s="345">
        <v>841</v>
      </c>
      <c r="B699" s="346" t="s">
        <v>318</v>
      </c>
      <c r="C699" s="347">
        <v>700</v>
      </c>
      <c r="D699" s="348">
        <v>45658</v>
      </c>
      <c r="E699" s="348">
        <v>45992</v>
      </c>
      <c r="F699" s="346" t="s">
        <v>602</v>
      </c>
      <c r="G699" s="349" t="s">
        <v>456</v>
      </c>
      <c r="H699" s="350">
        <f t="shared" si="16"/>
        <v>8400</v>
      </c>
      <c r="I699" s="120" t="str">
        <f>IF(OR(D699&lt;Capa!$A$5,D699&gt;Capa!$A$7,E699&lt;Capa!$A$5,E699&gt;Capa!$A$7,D699&gt;E699),"Erro","")</f>
        <v/>
      </c>
    </row>
    <row r="700" spans="1:9" ht="50" hidden="1">
      <c r="A700" s="345">
        <v>842</v>
      </c>
      <c r="B700" s="346" t="s">
        <v>318</v>
      </c>
      <c r="C700" s="347">
        <v>700</v>
      </c>
      <c r="D700" s="348">
        <v>46023</v>
      </c>
      <c r="E700" s="348">
        <v>46357</v>
      </c>
      <c r="F700" s="346" t="s">
        <v>602</v>
      </c>
      <c r="G700" s="349" t="s">
        <v>456</v>
      </c>
      <c r="H700" s="350">
        <f t="shared" si="16"/>
        <v>8400</v>
      </c>
      <c r="I700" s="120" t="str">
        <f>IF(OR(D700&lt;Capa!$A$5,D700&gt;Capa!$A$7,E700&lt;Capa!$A$5,E700&gt;Capa!$A$7,D700&gt;E700),"Erro","")</f>
        <v/>
      </c>
    </row>
    <row r="701" spans="1:9" ht="50" hidden="1">
      <c r="A701" s="345">
        <v>843</v>
      </c>
      <c r="B701" s="346" t="s">
        <v>318</v>
      </c>
      <c r="C701" s="347">
        <v>700</v>
      </c>
      <c r="D701" s="348">
        <v>46388</v>
      </c>
      <c r="E701" s="348">
        <v>46722</v>
      </c>
      <c r="F701" s="346" t="s">
        <v>602</v>
      </c>
      <c r="G701" s="349" t="s">
        <v>456</v>
      </c>
      <c r="H701" s="350">
        <f t="shared" si="16"/>
        <v>8400</v>
      </c>
      <c r="I701" s="120" t="str">
        <f>IF(OR(D701&lt;Capa!$A$5,D701&gt;Capa!$A$7,E701&lt;Capa!$A$5,E701&gt;Capa!$A$7,D701&gt;E701),"Erro","")</f>
        <v/>
      </c>
    </row>
    <row r="702" spans="1:9" ht="50" hidden="1">
      <c r="A702" s="345">
        <v>844</v>
      </c>
      <c r="B702" s="346" t="s">
        <v>318</v>
      </c>
      <c r="C702" s="347">
        <v>250</v>
      </c>
      <c r="D702" s="348">
        <v>46753</v>
      </c>
      <c r="E702" s="348">
        <v>47058</v>
      </c>
      <c r="F702" s="346" t="s">
        <v>602</v>
      </c>
      <c r="G702" s="349" t="s">
        <v>456</v>
      </c>
      <c r="H702" s="350">
        <f t="shared" si="16"/>
        <v>2750</v>
      </c>
      <c r="I702" s="120" t="str">
        <f>IF(OR(D702&lt;Capa!$A$5,D702&gt;Capa!$A$7,E702&lt;Capa!$A$5,E702&gt;Capa!$A$7,D702&gt;E702),"Erro","")</f>
        <v/>
      </c>
    </row>
    <row r="703" spans="1:9" ht="20" hidden="1">
      <c r="A703" s="345">
        <v>846</v>
      </c>
      <c r="B703" s="346" t="s">
        <v>298</v>
      </c>
      <c r="C703" s="347">
        <v>2450</v>
      </c>
      <c r="D703" s="348">
        <v>45658</v>
      </c>
      <c r="E703" s="348">
        <v>45992</v>
      </c>
      <c r="F703" s="346" t="s">
        <v>602</v>
      </c>
      <c r="G703" s="349" t="s">
        <v>457</v>
      </c>
      <c r="H703" s="350">
        <f t="shared" si="16"/>
        <v>29400</v>
      </c>
      <c r="I703" s="120" t="str">
        <f>IF(OR(D703&lt;Capa!$A$5,D703&gt;Capa!$A$7,E703&lt;Capa!$A$5,E703&gt;Capa!$A$7,D703&gt;E703),"Erro","")</f>
        <v/>
      </c>
    </row>
    <row r="704" spans="1:9" ht="20" hidden="1">
      <c r="A704" s="345">
        <v>847</v>
      </c>
      <c r="B704" s="346" t="s">
        <v>298</v>
      </c>
      <c r="C704" s="347">
        <v>2450</v>
      </c>
      <c r="D704" s="348">
        <v>46023</v>
      </c>
      <c r="E704" s="348">
        <v>46357</v>
      </c>
      <c r="F704" s="346" t="s">
        <v>602</v>
      </c>
      <c r="G704" s="349" t="s">
        <v>457</v>
      </c>
      <c r="H704" s="350">
        <f t="shared" si="16"/>
        <v>29400</v>
      </c>
      <c r="I704" s="120" t="str">
        <f>IF(OR(D704&lt;Capa!$A$5,D704&gt;Capa!$A$7,E704&lt;Capa!$A$5,E704&gt;Capa!$A$7,D704&gt;E704),"Erro","")</f>
        <v/>
      </c>
    </row>
    <row r="705" spans="1:9" ht="20" hidden="1">
      <c r="A705" s="345">
        <v>848</v>
      </c>
      <c r="B705" s="346" t="s">
        <v>298</v>
      </c>
      <c r="C705" s="347">
        <v>2450</v>
      </c>
      <c r="D705" s="348">
        <v>46388</v>
      </c>
      <c r="E705" s="348">
        <v>46722</v>
      </c>
      <c r="F705" s="346" t="s">
        <v>602</v>
      </c>
      <c r="G705" s="349" t="s">
        <v>457</v>
      </c>
      <c r="H705" s="350">
        <f t="shared" si="16"/>
        <v>29400</v>
      </c>
      <c r="I705" s="120" t="str">
        <f>IF(OR(D705&lt;Capa!$A$5,D705&gt;Capa!$A$7,E705&lt;Capa!$A$5,E705&gt;Capa!$A$7,D705&gt;E705),"Erro","")</f>
        <v/>
      </c>
    </row>
    <row r="706" spans="1:9" ht="20" hidden="1">
      <c r="A706" s="345">
        <v>849</v>
      </c>
      <c r="B706" s="346" t="s">
        <v>298</v>
      </c>
      <c r="C706" s="347">
        <v>1250</v>
      </c>
      <c r="D706" s="348">
        <v>46753</v>
      </c>
      <c r="E706" s="348">
        <v>47058</v>
      </c>
      <c r="F706" s="346" t="s">
        <v>602</v>
      </c>
      <c r="G706" s="349" t="s">
        <v>457</v>
      </c>
      <c r="H706" s="350">
        <f t="shared" ref="H706:H762" si="17">IFERROR((DATEDIF(D706,E706,"M")+1)*C706,0)</f>
        <v>13750</v>
      </c>
      <c r="I706" s="120" t="str">
        <f>IF(OR(D706&lt;Capa!$A$5,D706&gt;Capa!$A$7,E706&lt;Capa!$A$5,E706&gt;Capa!$A$7,D706&gt;E706),"Erro","")</f>
        <v/>
      </c>
    </row>
    <row r="707" spans="1:9" ht="30" hidden="1">
      <c r="A707" s="345">
        <v>850</v>
      </c>
      <c r="B707" s="346" t="s">
        <v>238</v>
      </c>
      <c r="C707" s="347">
        <v>480</v>
      </c>
      <c r="D707" s="348">
        <v>45658</v>
      </c>
      <c r="E707" s="348">
        <v>45992</v>
      </c>
      <c r="F707" s="346" t="s">
        <v>602</v>
      </c>
      <c r="G707" s="349" t="s">
        <v>458</v>
      </c>
      <c r="H707" s="350">
        <f t="shared" si="17"/>
        <v>5760</v>
      </c>
      <c r="I707" s="120" t="str">
        <f>IF(OR(D707&lt;Capa!$A$5,D707&gt;Capa!$A$7,E707&lt;Capa!$A$5,E707&gt;Capa!$A$7,D707&gt;E707),"Erro","")</f>
        <v/>
      </c>
    </row>
    <row r="708" spans="1:9" ht="30" hidden="1">
      <c r="A708" s="345">
        <v>851</v>
      </c>
      <c r="B708" s="346" t="s">
        <v>238</v>
      </c>
      <c r="C708" s="347">
        <v>480</v>
      </c>
      <c r="D708" s="348">
        <v>46023</v>
      </c>
      <c r="E708" s="348">
        <v>46357</v>
      </c>
      <c r="F708" s="346" t="s">
        <v>602</v>
      </c>
      <c r="G708" s="349" t="s">
        <v>458</v>
      </c>
      <c r="H708" s="350">
        <f t="shared" si="17"/>
        <v>5760</v>
      </c>
      <c r="I708" s="120" t="str">
        <f>IF(OR(D708&lt;Capa!$A$5,D708&gt;Capa!$A$7,E708&lt;Capa!$A$5,E708&gt;Capa!$A$7,D708&gt;E708),"Erro","")</f>
        <v/>
      </c>
    </row>
    <row r="709" spans="1:9" ht="30" hidden="1">
      <c r="A709" s="345">
        <v>852</v>
      </c>
      <c r="B709" s="346" t="s">
        <v>238</v>
      </c>
      <c r="C709" s="347">
        <v>480</v>
      </c>
      <c r="D709" s="348">
        <v>46388</v>
      </c>
      <c r="E709" s="348">
        <v>46722</v>
      </c>
      <c r="F709" s="346" t="s">
        <v>602</v>
      </c>
      <c r="G709" s="349" t="s">
        <v>458</v>
      </c>
      <c r="H709" s="350">
        <f t="shared" si="17"/>
        <v>5760</v>
      </c>
      <c r="I709" s="120" t="str">
        <f>IF(OR(D709&lt;Capa!$A$5,D709&gt;Capa!$A$7,E709&lt;Capa!$A$5,E709&gt;Capa!$A$7,D709&gt;E709),"Erro","")</f>
        <v/>
      </c>
    </row>
    <row r="710" spans="1:9" ht="30" hidden="1">
      <c r="A710" s="345">
        <v>853</v>
      </c>
      <c r="B710" s="346" t="s">
        <v>238</v>
      </c>
      <c r="C710" s="347">
        <v>240</v>
      </c>
      <c r="D710" s="348">
        <v>46753</v>
      </c>
      <c r="E710" s="348">
        <v>47058</v>
      </c>
      <c r="F710" s="346" t="s">
        <v>602</v>
      </c>
      <c r="G710" s="349" t="s">
        <v>458</v>
      </c>
      <c r="H710" s="350">
        <f t="shared" si="17"/>
        <v>2640</v>
      </c>
      <c r="I710" s="120" t="str">
        <f>IF(OR(D710&lt;Capa!$A$5,D710&gt;Capa!$A$7,E710&lt;Capa!$A$5,E710&gt;Capa!$A$7,D710&gt;E710),"Erro","")</f>
        <v/>
      </c>
    </row>
    <row r="711" spans="1:9" ht="40" hidden="1">
      <c r="A711" s="345">
        <v>855</v>
      </c>
      <c r="B711" s="346" t="s">
        <v>252</v>
      </c>
      <c r="C711" s="347">
        <v>8000</v>
      </c>
      <c r="D711" s="348">
        <v>45658</v>
      </c>
      <c r="E711" s="348">
        <v>45992</v>
      </c>
      <c r="F711" s="346" t="s">
        <v>602</v>
      </c>
      <c r="G711" s="349" t="s">
        <v>459</v>
      </c>
      <c r="H711" s="350">
        <f t="shared" si="17"/>
        <v>96000</v>
      </c>
      <c r="I711" s="120" t="str">
        <f>IF(OR(D711&lt;Capa!$A$5,D711&gt;Capa!$A$7,E711&lt;Capa!$A$5,E711&gt;Capa!$A$7,D711&gt;E711),"Erro","")</f>
        <v/>
      </c>
    </row>
    <row r="712" spans="1:9" ht="40" hidden="1">
      <c r="A712" s="345">
        <v>856</v>
      </c>
      <c r="B712" s="346" t="s">
        <v>252</v>
      </c>
      <c r="C712" s="347">
        <v>8000</v>
      </c>
      <c r="D712" s="348">
        <v>46023</v>
      </c>
      <c r="E712" s="348">
        <v>46357</v>
      </c>
      <c r="F712" s="346" t="s">
        <v>602</v>
      </c>
      <c r="G712" s="349" t="s">
        <v>459</v>
      </c>
      <c r="H712" s="350">
        <f t="shared" si="17"/>
        <v>96000</v>
      </c>
      <c r="I712" s="120" t="str">
        <f>IF(OR(D712&lt;Capa!$A$5,D712&gt;Capa!$A$7,E712&lt;Capa!$A$5,E712&gt;Capa!$A$7,D712&gt;E712),"Erro","")</f>
        <v/>
      </c>
    </row>
    <row r="713" spans="1:9" ht="40" hidden="1">
      <c r="A713" s="345">
        <v>857</v>
      </c>
      <c r="B713" s="346" t="s">
        <v>252</v>
      </c>
      <c r="C713" s="347">
        <v>8000</v>
      </c>
      <c r="D713" s="348">
        <v>46388</v>
      </c>
      <c r="E713" s="348">
        <v>46722</v>
      </c>
      <c r="F713" s="346" t="s">
        <v>602</v>
      </c>
      <c r="G713" s="349" t="s">
        <v>459</v>
      </c>
      <c r="H713" s="350">
        <f t="shared" si="17"/>
        <v>96000</v>
      </c>
      <c r="I713" s="120" t="str">
        <f>IF(OR(D713&lt;Capa!$A$5,D713&gt;Capa!$A$7,E713&lt;Capa!$A$5,E713&gt;Capa!$A$7,D713&gt;E713),"Erro","")</f>
        <v/>
      </c>
    </row>
    <row r="714" spans="1:9" ht="40" hidden="1">
      <c r="A714" s="345">
        <v>858</v>
      </c>
      <c r="B714" s="346" t="s">
        <v>252</v>
      </c>
      <c r="C714" s="347">
        <v>4000</v>
      </c>
      <c r="D714" s="348">
        <v>46753</v>
      </c>
      <c r="E714" s="348">
        <v>47058</v>
      </c>
      <c r="F714" s="346" t="s">
        <v>602</v>
      </c>
      <c r="G714" s="349" t="s">
        <v>459</v>
      </c>
      <c r="H714" s="350">
        <f t="shared" si="17"/>
        <v>44000</v>
      </c>
      <c r="I714" s="120" t="str">
        <f>IF(OR(D714&lt;Capa!$A$5,D714&gt;Capa!$A$7,E714&lt;Capa!$A$5,E714&gt;Capa!$A$7,D714&gt;E714),"Erro","")</f>
        <v/>
      </c>
    </row>
    <row r="715" spans="1:9" ht="20" hidden="1">
      <c r="A715" s="345">
        <v>859</v>
      </c>
      <c r="B715" s="346" t="s">
        <v>620</v>
      </c>
      <c r="C715" s="347">
        <v>110</v>
      </c>
      <c r="D715" s="348">
        <v>45658</v>
      </c>
      <c r="E715" s="348">
        <v>47058</v>
      </c>
      <c r="F715" s="346" t="s">
        <v>602</v>
      </c>
      <c r="G715" s="349" t="s">
        <v>662</v>
      </c>
      <c r="H715" s="350">
        <f t="shared" si="17"/>
        <v>5170</v>
      </c>
      <c r="I715" s="120" t="str">
        <f>IF(OR(D715&lt;Capa!$A$5,D715&gt;Capa!$A$7,E715&lt;Capa!$A$5,E715&gt;Capa!$A$7,D715&gt;E715),"Erro","")</f>
        <v/>
      </c>
    </row>
    <row r="716" spans="1:9" ht="20" hidden="1">
      <c r="A716" s="345">
        <v>861</v>
      </c>
      <c r="B716" s="346" t="s">
        <v>622</v>
      </c>
      <c r="C716" s="347">
        <v>850</v>
      </c>
      <c r="D716" s="348">
        <v>45658</v>
      </c>
      <c r="E716" s="348">
        <v>47058</v>
      </c>
      <c r="F716" s="346" t="s">
        <v>602</v>
      </c>
      <c r="G716" s="349" t="s">
        <v>664</v>
      </c>
      <c r="H716" s="350">
        <f t="shared" si="17"/>
        <v>39950</v>
      </c>
      <c r="I716" s="120" t="str">
        <f>IF(OR(D716&lt;Capa!$A$5,D716&gt;Capa!$A$7,E716&lt;Capa!$A$5,E716&gt;Capa!$A$7,D716&gt;E716),"Erro","")</f>
        <v/>
      </c>
    </row>
    <row r="717" spans="1:9" ht="40" hidden="1">
      <c r="A717" s="345">
        <v>862</v>
      </c>
      <c r="B717" s="346" t="s">
        <v>621</v>
      </c>
      <c r="C717" s="347">
        <v>2000</v>
      </c>
      <c r="D717" s="348">
        <v>46419</v>
      </c>
      <c r="E717" s="348">
        <v>46419</v>
      </c>
      <c r="F717" s="346" t="s">
        <v>602</v>
      </c>
      <c r="G717" s="349" t="s">
        <v>667</v>
      </c>
      <c r="H717" s="350">
        <f t="shared" si="17"/>
        <v>2000</v>
      </c>
      <c r="I717" s="120" t="str">
        <f>IF(OR(D717&lt;Capa!$A$5,D717&gt;Capa!$A$7,E717&lt;Capa!$A$5,E717&gt;Capa!$A$7,D717&gt;E717),"Erro","")</f>
        <v/>
      </c>
    </row>
    <row r="718" spans="1:9" ht="30" hidden="1">
      <c r="A718" s="345">
        <v>863</v>
      </c>
      <c r="B718" s="346" t="s">
        <v>619</v>
      </c>
      <c r="C718" s="347">
        <v>70</v>
      </c>
      <c r="D718" s="348">
        <v>45658</v>
      </c>
      <c r="E718" s="348">
        <v>47058</v>
      </c>
      <c r="F718" s="346" t="s">
        <v>602</v>
      </c>
      <c r="G718" s="349" t="s">
        <v>663</v>
      </c>
      <c r="H718" s="350">
        <f t="shared" si="17"/>
        <v>3290</v>
      </c>
      <c r="I718" s="120" t="str">
        <f>IF(OR(D718&lt;Capa!$A$5,D718&gt;Capa!$A$7,E718&lt;Capa!$A$5,E718&gt;Capa!$A$7,D718&gt;E718),"Erro","")</f>
        <v/>
      </c>
    </row>
    <row r="719" spans="1:9" ht="30" hidden="1">
      <c r="A719" s="345">
        <v>864</v>
      </c>
      <c r="B719" s="346" t="s">
        <v>617</v>
      </c>
      <c r="C719" s="347">
        <v>200</v>
      </c>
      <c r="D719" s="348">
        <v>45658</v>
      </c>
      <c r="E719" s="348">
        <v>47058</v>
      </c>
      <c r="F719" s="346" t="s">
        <v>602</v>
      </c>
      <c r="G719" s="349" t="s">
        <v>639</v>
      </c>
      <c r="H719" s="350">
        <f t="shared" si="17"/>
        <v>9400</v>
      </c>
      <c r="I719" s="120" t="str">
        <f>IF(OR(D719&lt;Capa!$A$5,D719&gt;Capa!$A$7,E719&lt;Capa!$A$5,E719&gt;Capa!$A$7,D719&gt;E719),"Erro","")</f>
        <v/>
      </c>
    </row>
    <row r="720" spans="1:9" ht="20" hidden="1">
      <c r="A720" s="345">
        <v>865</v>
      </c>
      <c r="B720" s="346" t="s">
        <v>618</v>
      </c>
      <c r="C720" s="347">
        <v>2500</v>
      </c>
      <c r="D720" s="348">
        <v>45658</v>
      </c>
      <c r="E720" s="348">
        <v>47058</v>
      </c>
      <c r="F720" s="346" t="s">
        <v>602</v>
      </c>
      <c r="G720" s="349" t="s">
        <v>657</v>
      </c>
      <c r="H720" s="350">
        <f t="shared" si="17"/>
        <v>117500</v>
      </c>
      <c r="I720" s="120" t="str">
        <f>IF(OR(D720&lt;Capa!$A$5,D720&gt;Capa!$A$7,E720&lt;Capa!$A$5,E720&gt;Capa!$A$7,D720&gt;E720),"Erro","")</f>
        <v/>
      </c>
    </row>
    <row r="721" spans="1:9" ht="30" hidden="1">
      <c r="A721" s="345">
        <v>867</v>
      </c>
      <c r="B721" s="346" t="s">
        <v>623</v>
      </c>
      <c r="C721" s="347">
        <v>650</v>
      </c>
      <c r="D721" s="348">
        <v>45658</v>
      </c>
      <c r="E721" s="348">
        <v>46784</v>
      </c>
      <c r="F721" s="346" t="s">
        <v>602</v>
      </c>
      <c r="G721" s="349" t="s">
        <v>658</v>
      </c>
      <c r="H721" s="350">
        <f t="shared" si="17"/>
        <v>24700</v>
      </c>
      <c r="I721" s="120" t="str">
        <f>IF(OR(D721&lt;Capa!$A$5,D721&gt;Capa!$A$7,E721&lt;Capa!$A$5,E721&gt;Capa!$A$7,D721&gt;E721),"Erro","")</f>
        <v/>
      </c>
    </row>
    <row r="722" spans="1:9" ht="20" hidden="1">
      <c r="A722" s="345">
        <v>868</v>
      </c>
      <c r="B722" s="346" t="s">
        <v>625</v>
      </c>
      <c r="C722" s="347">
        <v>90</v>
      </c>
      <c r="D722" s="348">
        <v>45658</v>
      </c>
      <c r="E722" s="348">
        <v>47058</v>
      </c>
      <c r="F722" s="346" t="s">
        <v>602</v>
      </c>
      <c r="G722" s="349" t="s">
        <v>659</v>
      </c>
      <c r="H722" s="350">
        <f t="shared" si="17"/>
        <v>4230</v>
      </c>
      <c r="I722" s="120" t="str">
        <f>IF(OR(D722&lt;Capa!$A$5,D722&gt;Capa!$A$7,E722&lt;Capa!$A$5,E722&gt;Capa!$A$7,D722&gt;E722),"Erro","")</f>
        <v/>
      </c>
    </row>
    <row r="723" spans="1:9" ht="20" hidden="1">
      <c r="A723" s="345">
        <v>869</v>
      </c>
      <c r="B723" s="346" t="s">
        <v>627</v>
      </c>
      <c r="C723" s="347">
        <v>50</v>
      </c>
      <c r="D723" s="348">
        <v>45658</v>
      </c>
      <c r="E723" s="348">
        <v>47058</v>
      </c>
      <c r="F723" s="346" t="s">
        <v>602</v>
      </c>
      <c r="G723" s="349" t="s">
        <v>661</v>
      </c>
      <c r="H723" s="350">
        <f t="shared" si="17"/>
        <v>2350</v>
      </c>
      <c r="I723" s="120" t="str">
        <f>IF(OR(D723&lt;Capa!$A$5,D723&gt;Capa!$A$7,E723&lt;Capa!$A$5,E723&gt;Capa!$A$7,D723&gt;E723),"Erro","")</f>
        <v/>
      </c>
    </row>
    <row r="724" spans="1:9" ht="30" hidden="1">
      <c r="A724" s="345">
        <v>870</v>
      </c>
      <c r="B724" s="346" t="s">
        <v>626</v>
      </c>
      <c r="C724" s="347">
        <v>350</v>
      </c>
      <c r="D724" s="348">
        <v>45658</v>
      </c>
      <c r="E724" s="348">
        <v>47058</v>
      </c>
      <c r="F724" s="346" t="s">
        <v>602</v>
      </c>
      <c r="G724" s="349" t="s">
        <v>660</v>
      </c>
      <c r="H724" s="350">
        <f t="shared" si="17"/>
        <v>16450</v>
      </c>
      <c r="I724" s="120" t="str">
        <f>IF(OR(D724&lt;Capa!$A$5,D724&gt;Capa!$A$7,E724&lt;Capa!$A$5,E724&gt;Capa!$A$7,D724&gt;E724),"Erro","")</f>
        <v/>
      </c>
    </row>
    <row r="725" spans="1:9" ht="20" hidden="1">
      <c r="A725" s="345">
        <v>874</v>
      </c>
      <c r="B725" s="346" t="s">
        <v>198</v>
      </c>
      <c r="C725" s="347">
        <v>7455</v>
      </c>
      <c r="D725" s="348">
        <v>45658</v>
      </c>
      <c r="E725" s="348">
        <v>45992</v>
      </c>
      <c r="F725" s="346" t="s">
        <v>603</v>
      </c>
      <c r="G725" s="349" t="s">
        <v>437</v>
      </c>
      <c r="H725" s="350">
        <f t="shared" si="17"/>
        <v>89460</v>
      </c>
      <c r="I725" s="120" t="str">
        <f>IF(OR(D725&lt;Capa!$A$5,D725&gt;Capa!$A$7,E725&lt;Capa!$A$5,E725&gt;Capa!$A$7,D725&gt;E725),"Erro","")</f>
        <v/>
      </c>
    </row>
    <row r="726" spans="1:9" ht="20" hidden="1">
      <c r="A726" s="345">
        <v>875</v>
      </c>
      <c r="B726" s="346" t="s">
        <v>198</v>
      </c>
      <c r="C726" s="347">
        <v>7827.75</v>
      </c>
      <c r="D726" s="348">
        <v>46023</v>
      </c>
      <c r="E726" s="348">
        <v>46023</v>
      </c>
      <c r="F726" s="346" t="s">
        <v>603</v>
      </c>
      <c r="G726" s="349" t="s">
        <v>437</v>
      </c>
      <c r="H726" s="350">
        <f t="shared" si="17"/>
        <v>7827.75</v>
      </c>
      <c r="I726" s="120" t="str">
        <f>IF(OR(D726&lt;Capa!$A$5,D726&gt;Capa!$A$7,E726&lt;Capa!$A$5,E726&gt;Capa!$A$7,D726&gt;E726),"Erro","")</f>
        <v/>
      </c>
    </row>
    <row r="727" spans="1:9" ht="20" hidden="1">
      <c r="A727" s="345">
        <v>876</v>
      </c>
      <c r="B727" s="346" t="s">
        <v>198</v>
      </c>
      <c r="C727" s="347">
        <v>8219.1375000000007</v>
      </c>
      <c r="D727" s="348">
        <v>46388</v>
      </c>
      <c r="E727" s="348">
        <v>46722</v>
      </c>
      <c r="F727" s="346" t="s">
        <v>603</v>
      </c>
      <c r="G727" s="349" t="s">
        <v>437</v>
      </c>
      <c r="H727" s="350">
        <f t="shared" si="17"/>
        <v>98629.650000000009</v>
      </c>
      <c r="I727" s="120" t="str">
        <f>IF(OR(D727&lt;Capa!$A$5,D727&gt;Capa!$A$7,E727&lt;Capa!$A$5,E727&gt;Capa!$A$7,D727&gt;E727),"Erro","")</f>
        <v/>
      </c>
    </row>
    <row r="728" spans="1:9" ht="20" hidden="1">
      <c r="A728" s="345">
        <v>877</v>
      </c>
      <c r="B728" s="346" t="s">
        <v>198</v>
      </c>
      <c r="C728" s="347">
        <v>2000</v>
      </c>
      <c r="D728" s="348">
        <v>46753</v>
      </c>
      <c r="E728" s="348">
        <v>47058</v>
      </c>
      <c r="F728" s="346" t="s">
        <v>603</v>
      </c>
      <c r="G728" s="349" t="s">
        <v>437</v>
      </c>
      <c r="H728" s="350">
        <f t="shared" si="17"/>
        <v>22000</v>
      </c>
      <c r="I728" s="120" t="str">
        <f>IF(OR(D728&lt;Capa!$A$5,D728&gt;Capa!$A$7,E728&lt;Capa!$A$5,E728&gt;Capa!$A$7,D728&gt;E728),"Erro","")</f>
        <v/>
      </c>
    </row>
    <row r="729" spans="1:9" ht="20" hidden="1">
      <c r="A729" s="345">
        <v>878</v>
      </c>
      <c r="B729" s="346" t="s">
        <v>202</v>
      </c>
      <c r="C729" s="347">
        <v>1500</v>
      </c>
      <c r="D729" s="348">
        <v>45658</v>
      </c>
      <c r="E729" s="348">
        <v>45717</v>
      </c>
      <c r="F729" s="346" t="s">
        <v>603</v>
      </c>
      <c r="G729" s="349" t="s">
        <v>438</v>
      </c>
      <c r="H729" s="350">
        <f t="shared" si="17"/>
        <v>4500</v>
      </c>
      <c r="I729" s="120" t="str">
        <f>IF(OR(D729&lt;Capa!$A$5,D729&gt;Capa!$A$7,E729&lt;Capa!$A$5,E729&gt;Capa!$A$7,D729&gt;E729),"Erro","")</f>
        <v/>
      </c>
    </row>
    <row r="730" spans="1:9" ht="20" hidden="1">
      <c r="A730" s="345">
        <v>879</v>
      </c>
      <c r="B730" s="346" t="s">
        <v>202</v>
      </c>
      <c r="C730" s="347">
        <v>1300</v>
      </c>
      <c r="D730" s="348">
        <v>46023</v>
      </c>
      <c r="E730" s="348">
        <v>46082</v>
      </c>
      <c r="F730" s="346" t="s">
        <v>603</v>
      </c>
      <c r="G730" s="349" t="s">
        <v>438</v>
      </c>
      <c r="H730" s="350">
        <f t="shared" si="17"/>
        <v>3900</v>
      </c>
      <c r="I730" s="120" t="str">
        <f>IF(OR(D730&lt;Capa!$A$5,D730&gt;Capa!$A$7,E730&lt;Capa!$A$5,E730&gt;Capa!$A$7,D730&gt;E730),"Erro","")</f>
        <v/>
      </c>
    </row>
    <row r="731" spans="1:9" ht="20" hidden="1">
      <c r="A731" s="345">
        <v>880</v>
      </c>
      <c r="B731" s="346" t="s">
        <v>202</v>
      </c>
      <c r="C731" s="347">
        <v>1300</v>
      </c>
      <c r="D731" s="348">
        <v>46388</v>
      </c>
      <c r="E731" s="348">
        <v>46447</v>
      </c>
      <c r="F731" s="346" t="s">
        <v>603</v>
      </c>
      <c r="G731" s="349" t="s">
        <v>438</v>
      </c>
      <c r="H731" s="350">
        <f t="shared" si="17"/>
        <v>3900</v>
      </c>
      <c r="I731" s="120" t="str">
        <f>IF(OR(D731&lt;Capa!$A$5,D731&gt;Capa!$A$7,E731&lt;Capa!$A$5,E731&gt;Capa!$A$7,D731&gt;E731),"Erro","")</f>
        <v/>
      </c>
    </row>
    <row r="732" spans="1:9" ht="20" hidden="1">
      <c r="A732" s="345">
        <v>881</v>
      </c>
      <c r="B732" s="346" t="s">
        <v>202</v>
      </c>
      <c r="C732" s="347">
        <v>750</v>
      </c>
      <c r="D732" s="348">
        <v>46753</v>
      </c>
      <c r="E732" s="348">
        <v>46813</v>
      </c>
      <c r="F732" s="346" t="s">
        <v>603</v>
      </c>
      <c r="G732" s="349" t="s">
        <v>438</v>
      </c>
      <c r="H732" s="350">
        <f t="shared" si="17"/>
        <v>2250</v>
      </c>
      <c r="I732" s="120" t="str">
        <f>IF(OR(D732&lt;Capa!$A$5,D732&gt;Capa!$A$7,E732&lt;Capa!$A$5,E732&gt;Capa!$A$7,D732&gt;E732),"Erro","")</f>
        <v/>
      </c>
    </row>
    <row r="733" spans="1:9" ht="20" hidden="1">
      <c r="A733" s="345">
        <v>882</v>
      </c>
      <c r="B733" s="346" t="s">
        <v>204</v>
      </c>
      <c r="C733" s="347">
        <v>1250</v>
      </c>
      <c r="D733" s="348">
        <v>45658</v>
      </c>
      <c r="E733" s="348">
        <v>45748</v>
      </c>
      <c r="F733" s="346" t="s">
        <v>603</v>
      </c>
      <c r="G733" s="349" t="s">
        <v>438</v>
      </c>
      <c r="H733" s="350">
        <f t="shared" si="17"/>
        <v>5000</v>
      </c>
      <c r="I733" s="120" t="str">
        <f>IF(OR(D733&lt;Capa!$A$5,D733&gt;Capa!$A$7,E733&lt;Capa!$A$5,E733&gt;Capa!$A$7,D733&gt;E733),"Erro","")</f>
        <v/>
      </c>
    </row>
    <row r="734" spans="1:9" ht="20" hidden="1">
      <c r="A734" s="345">
        <v>883</v>
      </c>
      <c r="B734" s="346" t="s">
        <v>204</v>
      </c>
      <c r="C734" s="347">
        <v>1250</v>
      </c>
      <c r="D734" s="348">
        <v>46023</v>
      </c>
      <c r="E734" s="348">
        <v>46113</v>
      </c>
      <c r="F734" s="346" t="s">
        <v>603</v>
      </c>
      <c r="G734" s="349" t="s">
        <v>438</v>
      </c>
      <c r="H734" s="350">
        <f t="shared" si="17"/>
        <v>5000</v>
      </c>
      <c r="I734" s="120" t="str">
        <f>IF(OR(D734&lt;Capa!$A$5,D734&gt;Capa!$A$7,E734&lt;Capa!$A$5,E734&gt;Capa!$A$7,D734&gt;E734),"Erro","")</f>
        <v/>
      </c>
    </row>
    <row r="735" spans="1:9" ht="20" hidden="1">
      <c r="A735" s="345">
        <v>884</v>
      </c>
      <c r="B735" s="346" t="s">
        <v>204</v>
      </c>
      <c r="C735" s="347">
        <v>1250</v>
      </c>
      <c r="D735" s="348">
        <v>46388</v>
      </c>
      <c r="E735" s="348">
        <v>46478</v>
      </c>
      <c r="F735" s="346" t="s">
        <v>603</v>
      </c>
      <c r="G735" s="349" t="s">
        <v>438</v>
      </c>
      <c r="H735" s="350">
        <f t="shared" si="17"/>
        <v>5000</v>
      </c>
      <c r="I735" s="120" t="str">
        <f>IF(OR(D735&lt;Capa!$A$5,D735&gt;Capa!$A$7,E735&lt;Capa!$A$5,E735&gt;Capa!$A$7,D735&gt;E735),"Erro","")</f>
        <v/>
      </c>
    </row>
    <row r="736" spans="1:9" ht="20" hidden="1">
      <c r="A736" s="345">
        <v>885</v>
      </c>
      <c r="B736" s="346" t="s">
        <v>204</v>
      </c>
      <c r="C736" s="347">
        <v>780</v>
      </c>
      <c r="D736" s="348">
        <v>46753</v>
      </c>
      <c r="E736" s="348">
        <v>46844</v>
      </c>
      <c r="F736" s="346" t="s">
        <v>603</v>
      </c>
      <c r="G736" s="349" t="s">
        <v>438</v>
      </c>
      <c r="H736" s="350">
        <f t="shared" si="17"/>
        <v>3120</v>
      </c>
      <c r="I736" s="120" t="str">
        <f>IF(OR(D736&lt;Capa!$A$5,D736&gt;Capa!$A$7,E736&lt;Capa!$A$5,E736&gt;Capa!$A$7,D736&gt;E736),"Erro","")</f>
        <v/>
      </c>
    </row>
    <row r="737" spans="1:9" ht="20" hidden="1">
      <c r="A737" s="345">
        <v>887</v>
      </c>
      <c r="B737" s="346" t="s">
        <v>206</v>
      </c>
      <c r="C737" s="347">
        <v>1100</v>
      </c>
      <c r="D737" s="348">
        <v>45658</v>
      </c>
      <c r="E737" s="348">
        <v>45992</v>
      </c>
      <c r="F737" s="346" t="s">
        <v>603</v>
      </c>
      <c r="G737" s="349" t="s">
        <v>439</v>
      </c>
      <c r="H737" s="350">
        <f t="shared" si="17"/>
        <v>13200</v>
      </c>
      <c r="I737" s="120" t="str">
        <f>IF(OR(D737&lt;Capa!$A$5,D737&gt;Capa!$A$7,E737&lt;Capa!$A$5,E737&gt;Capa!$A$7,D737&gt;E737),"Erro","")</f>
        <v/>
      </c>
    </row>
    <row r="738" spans="1:9" ht="20" hidden="1">
      <c r="A738" s="345">
        <v>888</v>
      </c>
      <c r="B738" s="346" t="s">
        <v>206</v>
      </c>
      <c r="C738" s="347">
        <v>1100</v>
      </c>
      <c r="D738" s="348">
        <v>46023</v>
      </c>
      <c r="E738" s="348">
        <v>46357</v>
      </c>
      <c r="F738" s="346" t="s">
        <v>603</v>
      </c>
      <c r="G738" s="349" t="s">
        <v>439</v>
      </c>
      <c r="H738" s="350">
        <f t="shared" si="17"/>
        <v>13200</v>
      </c>
      <c r="I738" s="120" t="str">
        <f>IF(OR(D738&lt;Capa!$A$5,D738&gt;Capa!$A$7,E738&lt;Capa!$A$5,E738&gt;Capa!$A$7,D738&gt;E738),"Erro","")</f>
        <v/>
      </c>
    </row>
    <row r="739" spans="1:9" ht="20" hidden="1">
      <c r="A739" s="345">
        <v>889</v>
      </c>
      <c r="B739" s="346" t="s">
        <v>206</v>
      </c>
      <c r="C739" s="347">
        <v>1100</v>
      </c>
      <c r="D739" s="348">
        <v>46388</v>
      </c>
      <c r="E739" s="348">
        <v>46722</v>
      </c>
      <c r="F739" s="346" t="s">
        <v>603</v>
      </c>
      <c r="G739" s="349" t="s">
        <v>439</v>
      </c>
      <c r="H739" s="350">
        <f t="shared" si="17"/>
        <v>13200</v>
      </c>
      <c r="I739" s="120" t="str">
        <f>IF(OR(D739&lt;Capa!$A$5,D739&gt;Capa!$A$7,E739&lt;Capa!$A$5,E739&gt;Capa!$A$7,D739&gt;E739),"Erro","")</f>
        <v/>
      </c>
    </row>
    <row r="740" spans="1:9" ht="20" hidden="1">
      <c r="A740" s="345">
        <v>890</v>
      </c>
      <c r="B740" s="346" t="s">
        <v>206</v>
      </c>
      <c r="C740" s="347">
        <v>550</v>
      </c>
      <c r="D740" s="348">
        <v>46753</v>
      </c>
      <c r="E740" s="348">
        <v>47058</v>
      </c>
      <c r="F740" s="346" t="s">
        <v>603</v>
      </c>
      <c r="G740" s="349" t="s">
        <v>439</v>
      </c>
      <c r="H740" s="350">
        <f t="shared" si="17"/>
        <v>6050</v>
      </c>
      <c r="I740" s="120" t="str">
        <f>IF(OR(D740&lt;Capa!$A$5,D740&gt;Capa!$A$7,E740&lt;Capa!$A$5,E740&gt;Capa!$A$7,D740&gt;E740),"Erro","")</f>
        <v/>
      </c>
    </row>
    <row r="741" spans="1:9" ht="20" hidden="1">
      <c r="A741" s="345">
        <v>892</v>
      </c>
      <c r="B741" s="346" t="s">
        <v>208</v>
      </c>
      <c r="C741" s="347">
        <v>2500</v>
      </c>
      <c r="D741" s="348">
        <v>45658</v>
      </c>
      <c r="E741" s="348">
        <v>45992</v>
      </c>
      <c r="F741" s="346" t="s">
        <v>603</v>
      </c>
      <c r="G741" s="349" t="s">
        <v>439</v>
      </c>
      <c r="H741" s="350">
        <f t="shared" si="17"/>
        <v>30000</v>
      </c>
      <c r="I741" s="120" t="str">
        <f>IF(OR(D741&lt;Capa!$A$5,D741&gt;Capa!$A$7,E741&lt;Capa!$A$5,E741&gt;Capa!$A$7,D741&gt;E741),"Erro","")</f>
        <v/>
      </c>
    </row>
    <row r="742" spans="1:9" ht="20" hidden="1">
      <c r="A742" s="345">
        <v>893</v>
      </c>
      <c r="B742" s="346" t="s">
        <v>208</v>
      </c>
      <c r="C742" s="347">
        <v>2500</v>
      </c>
      <c r="D742" s="348">
        <v>46023</v>
      </c>
      <c r="E742" s="348">
        <v>46023</v>
      </c>
      <c r="F742" s="346" t="s">
        <v>603</v>
      </c>
      <c r="G742" s="349" t="s">
        <v>439</v>
      </c>
      <c r="H742" s="350">
        <f t="shared" si="17"/>
        <v>2500</v>
      </c>
      <c r="I742" s="120" t="str">
        <f>IF(OR(D742&lt;Capa!$A$5,D742&gt;Capa!$A$7,E742&lt;Capa!$A$5,E742&gt;Capa!$A$7,D742&gt;E742),"Erro","")</f>
        <v/>
      </c>
    </row>
    <row r="743" spans="1:9" ht="20" hidden="1">
      <c r="A743" s="345">
        <v>894</v>
      </c>
      <c r="B743" s="346" t="s">
        <v>208</v>
      </c>
      <c r="C743" s="347">
        <v>2500</v>
      </c>
      <c r="D743" s="348">
        <v>46388</v>
      </c>
      <c r="E743" s="348">
        <v>46722</v>
      </c>
      <c r="F743" s="346" t="s">
        <v>603</v>
      </c>
      <c r="G743" s="349" t="s">
        <v>439</v>
      </c>
      <c r="H743" s="350">
        <f t="shared" si="17"/>
        <v>30000</v>
      </c>
      <c r="I743" s="120" t="str">
        <f>IF(OR(D743&lt;Capa!$A$5,D743&gt;Capa!$A$7,E743&lt;Capa!$A$5,E743&gt;Capa!$A$7,D743&gt;E743),"Erro","")</f>
        <v/>
      </c>
    </row>
    <row r="744" spans="1:9" ht="20" hidden="1">
      <c r="A744" s="345">
        <v>895</v>
      </c>
      <c r="B744" s="346" t="s">
        <v>208</v>
      </c>
      <c r="C744" s="347">
        <v>1250</v>
      </c>
      <c r="D744" s="348">
        <v>46753</v>
      </c>
      <c r="E744" s="348">
        <v>47058</v>
      </c>
      <c r="F744" s="346" t="s">
        <v>603</v>
      </c>
      <c r="G744" s="349" t="s">
        <v>439</v>
      </c>
      <c r="H744" s="350">
        <f t="shared" si="17"/>
        <v>13750</v>
      </c>
      <c r="I744" s="120" t="str">
        <f>IF(OR(D744&lt;Capa!$A$5,D744&gt;Capa!$A$7,E744&lt;Capa!$A$5,E744&gt;Capa!$A$7,D744&gt;E744),"Erro","")</f>
        <v/>
      </c>
    </row>
    <row r="745" spans="1:9" ht="20" hidden="1">
      <c r="A745" s="345">
        <v>897</v>
      </c>
      <c r="B745" s="346" t="s">
        <v>210</v>
      </c>
      <c r="C745" s="347">
        <v>60</v>
      </c>
      <c r="D745" s="348">
        <v>45658</v>
      </c>
      <c r="E745" s="348">
        <v>45992</v>
      </c>
      <c r="F745" s="346" t="s">
        <v>603</v>
      </c>
      <c r="G745" s="349" t="s">
        <v>439</v>
      </c>
      <c r="H745" s="350">
        <f t="shared" si="17"/>
        <v>720</v>
      </c>
      <c r="I745" s="120" t="str">
        <f>IF(OR(D745&lt;Capa!$A$5,D745&gt;Capa!$A$7,E745&lt;Capa!$A$5,E745&gt;Capa!$A$7,D745&gt;E745),"Erro","")</f>
        <v/>
      </c>
    </row>
    <row r="746" spans="1:9" ht="20" hidden="1">
      <c r="A746" s="345">
        <v>898</v>
      </c>
      <c r="B746" s="346" t="s">
        <v>210</v>
      </c>
      <c r="C746" s="347">
        <v>60</v>
      </c>
      <c r="D746" s="348">
        <v>46023</v>
      </c>
      <c r="E746" s="348">
        <v>46023</v>
      </c>
      <c r="F746" s="346" t="s">
        <v>603</v>
      </c>
      <c r="G746" s="349" t="s">
        <v>439</v>
      </c>
      <c r="H746" s="350">
        <f t="shared" si="17"/>
        <v>60</v>
      </c>
      <c r="I746" s="120" t="str">
        <f>IF(OR(D746&lt;Capa!$A$5,D746&gt;Capa!$A$7,E746&lt;Capa!$A$5,E746&gt;Capa!$A$7,D746&gt;E746),"Erro","")</f>
        <v/>
      </c>
    </row>
    <row r="747" spans="1:9" ht="20" hidden="1">
      <c r="A747" s="345">
        <v>899</v>
      </c>
      <c r="B747" s="346" t="s">
        <v>210</v>
      </c>
      <c r="C747" s="347">
        <v>60</v>
      </c>
      <c r="D747" s="348">
        <v>46388</v>
      </c>
      <c r="E747" s="348">
        <v>46722</v>
      </c>
      <c r="F747" s="346" t="s">
        <v>603</v>
      </c>
      <c r="G747" s="349" t="s">
        <v>439</v>
      </c>
      <c r="H747" s="350">
        <f t="shared" si="17"/>
        <v>720</v>
      </c>
      <c r="I747" s="120" t="str">
        <f>IF(OR(D747&lt;Capa!$A$5,D747&gt;Capa!$A$7,E747&lt;Capa!$A$5,E747&gt;Capa!$A$7,D747&gt;E747),"Erro","")</f>
        <v/>
      </c>
    </row>
    <row r="748" spans="1:9" ht="20" hidden="1">
      <c r="A748" s="345">
        <v>900</v>
      </c>
      <c r="B748" s="346" t="s">
        <v>210</v>
      </c>
      <c r="C748" s="347">
        <v>49</v>
      </c>
      <c r="D748" s="348">
        <v>46753</v>
      </c>
      <c r="E748" s="348">
        <v>47058</v>
      </c>
      <c r="F748" s="346" t="s">
        <v>603</v>
      </c>
      <c r="G748" s="349" t="s">
        <v>439</v>
      </c>
      <c r="H748" s="350">
        <f t="shared" si="17"/>
        <v>539</v>
      </c>
      <c r="I748" s="120" t="str">
        <f>IF(OR(D748&lt;Capa!$A$5,D748&gt;Capa!$A$7,E748&lt;Capa!$A$5,E748&gt;Capa!$A$7,D748&gt;E748),"Erro","")</f>
        <v/>
      </c>
    </row>
    <row r="749" spans="1:9" ht="20" hidden="1">
      <c r="A749" s="345">
        <v>902</v>
      </c>
      <c r="B749" s="346" t="s">
        <v>214</v>
      </c>
      <c r="C749" s="347">
        <v>140</v>
      </c>
      <c r="D749" s="348">
        <v>45658</v>
      </c>
      <c r="E749" s="348">
        <v>45992</v>
      </c>
      <c r="F749" s="346" t="s">
        <v>603</v>
      </c>
      <c r="G749" s="349" t="s">
        <v>439</v>
      </c>
      <c r="H749" s="350">
        <f t="shared" si="17"/>
        <v>1680</v>
      </c>
      <c r="I749" s="120" t="str">
        <f>IF(OR(D749&lt;Capa!$A$5,D749&gt;Capa!$A$7,E749&lt;Capa!$A$5,E749&gt;Capa!$A$7,D749&gt;E749),"Erro","")</f>
        <v/>
      </c>
    </row>
    <row r="750" spans="1:9" ht="20" hidden="1">
      <c r="A750" s="345">
        <v>903</v>
      </c>
      <c r="B750" s="346" t="s">
        <v>214</v>
      </c>
      <c r="C750" s="347">
        <v>140</v>
      </c>
      <c r="D750" s="348">
        <v>46023</v>
      </c>
      <c r="E750" s="348">
        <v>46023</v>
      </c>
      <c r="F750" s="346" t="s">
        <v>603</v>
      </c>
      <c r="G750" s="349" t="s">
        <v>439</v>
      </c>
      <c r="H750" s="350">
        <f t="shared" si="17"/>
        <v>140</v>
      </c>
      <c r="I750" s="120" t="str">
        <f>IF(OR(D750&lt;Capa!$A$5,D750&gt;Capa!$A$7,E750&lt;Capa!$A$5,E750&gt;Capa!$A$7,D750&gt;E750),"Erro","")</f>
        <v/>
      </c>
    </row>
    <row r="751" spans="1:9" ht="20" hidden="1">
      <c r="A751" s="345">
        <v>904</v>
      </c>
      <c r="B751" s="346" t="s">
        <v>214</v>
      </c>
      <c r="C751" s="347">
        <v>140</v>
      </c>
      <c r="D751" s="348">
        <v>46388</v>
      </c>
      <c r="E751" s="348">
        <v>46722</v>
      </c>
      <c r="F751" s="346" t="s">
        <v>603</v>
      </c>
      <c r="G751" s="349" t="s">
        <v>439</v>
      </c>
      <c r="H751" s="350">
        <f t="shared" si="17"/>
        <v>1680</v>
      </c>
      <c r="I751" s="120" t="str">
        <f>IF(OR(D751&lt;Capa!$A$5,D751&gt;Capa!$A$7,E751&lt;Capa!$A$5,E751&gt;Capa!$A$7,D751&gt;E751),"Erro","")</f>
        <v/>
      </c>
    </row>
    <row r="752" spans="1:9" ht="20" hidden="1">
      <c r="A752" s="345">
        <v>905</v>
      </c>
      <c r="B752" s="346" t="s">
        <v>214</v>
      </c>
      <c r="C752" s="347">
        <v>70</v>
      </c>
      <c r="D752" s="348">
        <v>46753</v>
      </c>
      <c r="E752" s="348">
        <v>47058</v>
      </c>
      <c r="F752" s="346" t="s">
        <v>603</v>
      </c>
      <c r="G752" s="349" t="s">
        <v>439</v>
      </c>
      <c r="H752" s="350">
        <f t="shared" si="17"/>
        <v>770</v>
      </c>
      <c r="I752" s="120" t="str">
        <f>IF(OR(D752&lt;Capa!$A$5,D752&gt;Capa!$A$7,E752&lt;Capa!$A$5,E752&gt;Capa!$A$7,D752&gt;E752),"Erro","")</f>
        <v/>
      </c>
    </row>
    <row r="753" spans="1:9" ht="50" hidden="1">
      <c r="A753" s="345">
        <v>907</v>
      </c>
      <c r="B753" s="346" t="s">
        <v>212</v>
      </c>
      <c r="C753" s="347">
        <v>260</v>
      </c>
      <c r="D753" s="348">
        <v>45658</v>
      </c>
      <c r="E753" s="348">
        <v>45992</v>
      </c>
      <c r="F753" s="346" t="s">
        <v>603</v>
      </c>
      <c r="G753" s="349" t="s">
        <v>492</v>
      </c>
      <c r="H753" s="350">
        <f t="shared" si="17"/>
        <v>3120</v>
      </c>
      <c r="I753" s="120" t="str">
        <f>IF(OR(D753&lt;Capa!$A$5,D753&gt;Capa!$A$7,E753&lt;Capa!$A$5,E753&gt;Capa!$A$7,D753&gt;E753),"Erro","")</f>
        <v/>
      </c>
    </row>
    <row r="754" spans="1:9" ht="50" hidden="1">
      <c r="A754" s="345">
        <v>908</v>
      </c>
      <c r="B754" s="346" t="s">
        <v>212</v>
      </c>
      <c r="C754" s="347">
        <v>260</v>
      </c>
      <c r="D754" s="348">
        <v>46023</v>
      </c>
      <c r="E754" s="348">
        <v>46023</v>
      </c>
      <c r="F754" s="346" t="s">
        <v>603</v>
      </c>
      <c r="G754" s="349" t="s">
        <v>492</v>
      </c>
      <c r="H754" s="350">
        <f t="shared" si="17"/>
        <v>260</v>
      </c>
      <c r="I754" s="120" t="str">
        <f>IF(OR(D754&lt;Capa!$A$5,D754&gt;Capa!$A$7,E754&lt;Capa!$A$5,E754&gt;Capa!$A$7,D754&gt;E754),"Erro","")</f>
        <v/>
      </c>
    </row>
    <row r="755" spans="1:9" ht="50" hidden="1">
      <c r="A755" s="345">
        <v>909</v>
      </c>
      <c r="B755" s="346" t="s">
        <v>212</v>
      </c>
      <c r="C755" s="347">
        <v>260</v>
      </c>
      <c r="D755" s="348">
        <v>46388</v>
      </c>
      <c r="E755" s="348">
        <v>46722</v>
      </c>
      <c r="F755" s="346" t="s">
        <v>603</v>
      </c>
      <c r="G755" s="349" t="s">
        <v>492</v>
      </c>
      <c r="H755" s="350">
        <f t="shared" si="17"/>
        <v>3120</v>
      </c>
      <c r="I755" s="120" t="str">
        <f>IF(OR(D755&lt;Capa!$A$5,D755&gt;Capa!$A$7,E755&lt;Capa!$A$5,E755&gt;Capa!$A$7,D755&gt;E755),"Erro","")</f>
        <v/>
      </c>
    </row>
    <row r="756" spans="1:9" ht="50" hidden="1">
      <c r="A756" s="345">
        <v>910</v>
      </c>
      <c r="B756" s="346" t="s">
        <v>212</v>
      </c>
      <c r="C756" s="347">
        <v>220</v>
      </c>
      <c r="D756" s="348">
        <v>46753</v>
      </c>
      <c r="E756" s="348">
        <v>47058</v>
      </c>
      <c r="F756" s="346" t="s">
        <v>603</v>
      </c>
      <c r="G756" s="349" t="s">
        <v>492</v>
      </c>
      <c r="H756" s="350">
        <f t="shared" si="17"/>
        <v>2420</v>
      </c>
      <c r="I756" s="120" t="str">
        <f>IF(OR(D756&lt;Capa!$A$5,D756&gt;Capa!$A$7,E756&lt;Capa!$A$5,E756&gt;Capa!$A$7,D756&gt;E756),"Erro","")</f>
        <v/>
      </c>
    </row>
    <row r="757" spans="1:9" ht="40" hidden="1">
      <c r="A757" s="345">
        <v>911</v>
      </c>
      <c r="B757" s="346" t="s">
        <v>248</v>
      </c>
      <c r="C757" s="347">
        <v>846</v>
      </c>
      <c r="D757" s="348">
        <v>45658</v>
      </c>
      <c r="E757" s="348">
        <v>45809</v>
      </c>
      <c r="F757" s="346" t="s">
        <v>603</v>
      </c>
      <c r="G757" s="349" t="s">
        <v>440</v>
      </c>
      <c r="H757" s="350">
        <f t="shared" si="17"/>
        <v>5076</v>
      </c>
      <c r="I757" s="120" t="str">
        <f>IF(OR(D757&lt;Capa!$A$5,D757&gt;Capa!$A$7,E757&lt;Capa!$A$5,E757&gt;Capa!$A$7,D757&gt;E757),"Erro","")</f>
        <v/>
      </c>
    </row>
    <row r="758" spans="1:9" ht="40" hidden="1">
      <c r="A758" s="345">
        <v>912</v>
      </c>
      <c r="B758" s="346" t="s">
        <v>248</v>
      </c>
      <c r="C758" s="347">
        <v>846</v>
      </c>
      <c r="D758" s="348">
        <v>46023</v>
      </c>
      <c r="E758" s="348">
        <v>46174</v>
      </c>
      <c r="F758" s="346" t="s">
        <v>603</v>
      </c>
      <c r="G758" s="349" t="s">
        <v>440</v>
      </c>
      <c r="H758" s="350">
        <f t="shared" si="17"/>
        <v>5076</v>
      </c>
      <c r="I758" s="120" t="str">
        <f>IF(OR(D758&lt;Capa!$A$5,D758&gt;Capa!$A$7,E758&lt;Capa!$A$5,E758&gt;Capa!$A$7,D758&gt;E758),"Erro","")</f>
        <v/>
      </c>
    </row>
    <row r="759" spans="1:9" ht="40" hidden="1">
      <c r="A759" s="345">
        <v>913</v>
      </c>
      <c r="B759" s="346" t="s">
        <v>248</v>
      </c>
      <c r="C759" s="347">
        <v>846</v>
      </c>
      <c r="D759" s="348">
        <v>46388</v>
      </c>
      <c r="E759" s="348">
        <v>46539</v>
      </c>
      <c r="F759" s="346" t="s">
        <v>603</v>
      </c>
      <c r="G759" s="349" t="s">
        <v>440</v>
      </c>
      <c r="H759" s="350">
        <f t="shared" si="17"/>
        <v>5076</v>
      </c>
      <c r="I759" s="120" t="str">
        <f>IF(OR(D759&lt;Capa!$A$5,D759&gt;Capa!$A$7,E759&lt;Capa!$A$5,E759&gt;Capa!$A$7,D759&gt;E759),"Erro","")</f>
        <v/>
      </c>
    </row>
    <row r="760" spans="1:9" ht="40" hidden="1">
      <c r="A760" s="345">
        <v>914</v>
      </c>
      <c r="B760" s="346" t="s">
        <v>248</v>
      </c>
      <c r="C760" s="347">
        <v>500</v>
      </c>
      <c r="D760" s="348">
        <v>46753</v>
      </c>
      <c r="E760" s="348">
        <v>46905</v>
      </c>
      <c r="F760" s="346" t="s">
        <v>603</v>
      </c>
      <c r="G760" s="349" t="s">
        <v>440</v>
      </c>
      <c r="H760" s="350">
        <f t="shared" si="17"/>
        <v>3000</v>
      </c>
      <c r="I760" s="120" t="str">
        <f>IF(OR(D760&lt;Capa!$A$5,D760&gt;Capa!$A$7,E760&lt;Capa!$A$5,E760&gt;Capa!$A$7,D760&gt;E760),"Erro","")</f>
        <v/>
      </c>
    </row>
    <row r="761" spans="1:9" ht="30" hidden="1">
      <c r="A761" s="345">
        <v>915</v>
      </c>
      <c r="B761" s="346" t="s">
        <v>266</v>
      </c>
      <c r="C761" s="347">
        <v>1500</v>
      </c>
      <c r="D761" s="348">
        <v>45658</v>
      </c>
      <c r="E761" s="348">
        <v>45658</v>
      </c>
      <c r="F761" s="346" t="s">
        <v>603</v>
      </c>
      <c r="G761" s="349" t="s">
        <v>441</v>
      </c>
      <c r="H761" s="350">
        <f t="shared" si="17"/>
        <v>1500</v>
      </c>
      <c r="I761" s="120" t="str">
        <f>IF(OR(D761&lt;Capa!$A$5,D761&gt;Capa!$A$7,E761&lt;Capa!$A$5,E761&gt;Capa!$A$7,D761&gt;E761),"Erro","")</f>
        <v/>
      </c>
    </row>
    <row r="762" spans="1:9" ht="30" hidden="1">
      <c r="A762" s="345">
        <v>916</v>
      </c>
      <c r="B762" s="346" t="s">
        <v>266</v>
      </c>
      <c r="C762" s="347">
        <v>1500</v>
      </c>
      <c r="D762" s="348">
        <v>46023</v>
      </c>
      <c r="E762" s="348">
        <v>46023</v>
      </c>
      <c r="F762" s="346" t="s">
        <v>603</v>
      </c>
      <c r="G762" s="349" t="s">
        <v>441</v>
      </c>
      <c r="H762" s="350">
        <f t="shared" si="17"/>
        <v>1500</v>
      </c>
      <c r="I762" s="120" t="str">
        <f>IF(OR(D762&lt;Capa!$A$5,D762&gt;Capa!$A$7,E762&lt;Capa!$A$5,E762&gt;Capa!$A$7,D762&gt;E762),"Erro","")</f>
        <v/>
      </c>
    </row>
    <row r="763" spans="1:9" ht="30" hidden="1">
      <c r="A763" s="345">
        <v>917</v>
      </c>
      <c r="B763" s="346" t="s">
        <v>266</v>
      </c>
      <c r="C763" s="347">
        <v>1500</v>
      </c>
      <c r="D763" s="348">
        <v>46388</v>
      </c>
      <c r="E763" s="348">
        <v>46388</v>
      </c>
      <c r="F763" s="346" t="s">
        <v>603</v>
      </c>
      <c r="G763" s="349" t="s">
        <v>441</v>
      </c>
      <c r="H763" s="350">
        <f t="shared" ref="H763:H813" si="18">IFERROR((DATEDIF(D763,E763,"M")+1)*C763,0)</f>
        <v>1500</v>
      </c>
      <c r="I763" s="120" t="str">
        <f>IF(OR(D763&lt;Capa!$A$5,D763&gt;Capa!$A$7,E763&lt;Capa!$A$5,E763&gt;Capa!$A$7,D763&gt;E763),"Erro","")</f>
        <v/>
      </c>
    </row>
    <row r="764" spans="1:9" ht="30" hidden="1">
      <c r="A764" s="345">
        <v>918</v>
      </c>
      <c r="B764" s="346" t="s">
        <v>266</v>
      </c>
      <c r="C764" s="347">
        <v>750</v>
      </c>
      <c r="D764" s="348">
        <v>46753</v>
      </c>
      <c r="E764" s="348">
        <v>46753</v>
      </c>
      <c r="F764" s="346" t="s">
        <v>603</v>
      </c>
      <c r="G764" s="349" t="s">
        <v>441</v>
      </c>
      <c r="H764" s="350">
        <f t="shared" si="18"/>
        <v>750</v>
      </c>
      <c r="I764" s="120" t="str">
        <f>IF(OR(D764&lt;Capa!$A$5,D764&gt;Capa!$A$7,E764&lt;Capa!$A$5,E764&gt;Capa!$A$7,D764&gt;E764),"Erro","")</f>
        <v/>
      </c>
    </row>
    <row r="765" spans="1:9" hidden="1">
      <c r="A765" s="345">
        <v>920</v>
      </c>
      <c r="B765" s="346" t="s">
        <v>274</v>
      </c>
      <c r="C765" s="347">
        <v>850</v>
      </c>
      <c r="D765" s="348">
        <v>45658</v>
      </c>
      <c r="E765" s="348">
        <v>45992</v>
      </c>
      <c r="F765" s="346" t="s">
        <v>603</v>
      </c>
      <c r="G765" s="349" t="s">
        <v>442</v>
      </c>
      <c r="H765" s="350">
        <f t="shared" si="18"/>
        <v>10200</v>
      </c>
      <c r="I765" s="120" t="str">
        <f>IF(OR(D765&lt;Capa!$A$5,D765&gt;Capa!$A$7,E765&lt;Capa!$A$5,E765&gt;Capa!$A$7,D765&gt;E765),"Erro","")</f>
        <v/>
      </c>
    </row>
    <row r="766" spans="1:9" hidden="1">
      <c r="A766" s="345">
        <v>921</v>
      </c>
      <c r="B766" s="346" t="s">
        <v>274</v>
      </c>
      <c r="C766" s="347">
        <v>850</v>
      </c>
      <c r="D766" s="348">
        <v>46023</v>
      </c>
      <c r="E766" s="348">
        <v>46357</v>
      </c>
      <c r="F766" s="346" t="s">
        <v>603</v>
      </c>
      <c r="G766" s="349" t="s">
        <v>442</v>
      </c>
      <c r="H766" s="350">
        <f t="shared" si="18"/>
        <v>10200</v>
      </c>
      <c r="I766" s="120" t="str">
        <f>IF(OR(D766&lt;Capa!$A$5,D766&gt;Capa!$A$7,E766&lt;Capa!$A$5,E766&gt;Capa!$A$7,D766&gt;E766),"Erro","")</f>
        <v/>
      </c>
    </row>
    <row r="767" spans="1:9" hidden="1">
      <c r="A767" s="345">
        <v>922</v>
      </c>
      <c r="B767" s="346" t="s">
        <v>274</v>
      </c>
      <c r="C767" s="347">
        <v>850</v>
      </c>
      <c r="D767" s="348">
        <v>46388</v>
      </c>
      <c r="E767" s="348">
        <v>46722</v>
      </c>
      <c r="F767" s="346" t="s">
        <v>603</v>
      </c>
      <c r="G767" s="349" t="s">
        <v>442</v>
      </c>
      <c r="H767" s="350">
        <f t="shared" si="18"/>
        <v>10200</v>
      </c>
      <c r="I767" s="120" t="str">
        <f>IF(OR(D767&lt;Capa!$A$5,D767&gt;Capa!$A$7,E767&lt;Capa!$A$5,E767&gt;Capa!$A$7,D767&gt;E767),"Erro","")</f>
        <v/>
      </c>
    </row>
    <row r="768" spans="1:9" hidden="1">
      <c r="A768" s="345">
        <v>923</v>
      </c>
      <c r="B768" s="346" t="s">
        <v>274</v>
      </c>
      <c r="C768" s="347">
        <v>450</v>
      </c>
      <c r="D768" s="348">
        <v>46753</v>
      </c>
      <c r="E768" s="348">
        <v>47058</v>
      </c>
      <c r="F768" s="346" t="s">
        <v>603</v>
      </c>
      <c r="G768" s="349" t="s">
        <v>442</v>
      </c>
      <c r="H768" s="350">
        <f t="shared" si="18"/>
        <v>4950</v>
      </c>
      <c r="I768" s="120" t="str">
        <f>IF(OR(D768&lt;Capa!$A$5,D768&gt;Capa!$A$7,E768&lt;Capa!$A$5,E768&gt;Capa!$A$7,D768&gt;E768),"Erro","")</f>
        <v/>
      </c>
    </row>
    <row r="769" spans="1:9" ht="40" hidden="1">
      <c r="A769" s="345">
        <v>925</v>
      </c>
      <c r="B769" s="346" t="s">
        <v>236</v>
      </c>
      <c r="C769" s="347">
        <v>450</v>
      </c>
      <c r="D769" s="348">
        <v>45658</v>
      </c>
      <c r="E769" s="348">
        <v>45992</v>
      </c>
      <c r="F769" s="346" t="s">
        <v>603</v>
      </c>
      <c r="G769" s="349" t="s">
        <v>443</v>
      </c>
      <c r="H769" s="350">
        <f t="shared" si="18"/>
        <v>5400</v>
      </c>
      <c r="I769" s="120" t="str">
        <f>IF(OR(D769&lt;Capa!$A$5,D769&gt;Capa!$A$7,E769&lt;Capa!$A$5,E769&gt;Capa!$A$7,D769&gt;E769),"Erro","")</f>
        <v/>
      </c>
    </row>
    <row r="770" spans="1:9" ht="40" hidden="1">
      <c r="A770" s="345">
        <v>926</v>
      </c>
      <c r="B770" s="346" t="s">
        <v>236</v>
      </c>
      <c r="C770" s="347">
        <v>450</v>
      </c>
      <c r="D770" s="348">
        <v>46023</v>
      </c>
      <c r="E770" s="348">
        <v>46357</v>
      </c>
      <c r="F770" s="346" t="s">
        <v>603</v>
      </c>
      <c r="G770" s="349" t="s">
        <v>443</v>
      </c>
      <c r="H770" s="350">
        <f t="shared" si="18"/>
        <v>5400</v>
      </c>
      <c r="I770" s="120" t="str">
        <f>IF(OR(D770&lt;Capa!$A$5,D770&gt;Capa!$A$7,E770&lt;Capa!$A$5,E770&gt;Capa!$A$7,D770&gt;E770),"Erro","")</f>
        <v/>
      </c>
    </row>
    <row r="771" spans="1:9" ht="40" hidden="1">
      <c r="A771" s="345">
        <v>927</v>
      </c>
      <c r="B771" s="346" t="s">
        <v>236</v>
      </c>
      <c r="C771" s="347">
        <v>450</v>
      </c>
      <c r="D771" s="348">
        <v>46388</v>
      </c>
      <c r="E771" s="348">
        <v>46722</v>
      </c>
      <c r="F771" s="346" t="s">
        <v>603</v>
      </c>
      <c r="G771" s="349" t="s">
        <v>443</v>
      </c>
      <c r="H771" s="350">
        <f t="shared" si="18"/>
        <v>5400</v>
      </c>
      <c r="I771" s="120" t="str">
        <f>IF(OR(D771&lt;Capa!$A$5,D771&gt;Capa!$A$7,E771&lt;Capa!$A$5,E771&gt;Capa!$A$7,D771&gt;E771),"Erro","")</f>
        <v/>
      </c>
    </row>
    <row r="772" spans="1:9" ht="40" hidden="1">
      <c r="A772" s="345">
        <v>928</v>
      </c>
      <c r="B772" s="346" t="s">
        <v>236</v>
      </c>
      <c r="C772" s="347">
        <v>200</v>
      </c>
      <c r="D772" s="348">
        <v>46753</v>
      </c>
      <c r="E772" s="348">
        <v>47058</v>
      </c>
      <c r="F772" s="346" t="s">
        <v>603</v>
      </c>
      <c r="G772" s="349" t="s">
        <v>443</v>
      </c>
      <c r="H772" s="350">
        <f t="shared" si="18"/>
        <v>2200</v>
      </c>
      <c r="I772" s="120" t="str">
        <f>IF(OR(D772&lt;Capa!$A$5,D772&gt;Capa!$A$7,E772&lt;Capa!$A$5,E772&gt;Capa!$A$7,D772&gt;E772),"Erro","")</f>
        <v/>
      </c>
    </row>
    <row r="773" spans="1:9" ht="30" hidden="1">
      <c r="A773" s="345">
        <v>930</v>
      </c>
      <c r="B773" s="346" t="s">
        <v>240</v>
      </c>
      <c r="C773" s="347">
        <v>50</v>
      </c>
      <c r="D773" s="348">
        <v>45658</v>
      </c>
      <c r="E773" s="348">
        <v>45992</v>
      </c>
      <c r="F773" s="346" t="s">
        <v>603</v>
      </c>
      <c r="G773" s="349" t="s">
        <v>444</v>
      </c>
      <c r="H773" s="350">
        <f t="shared" si="18"/>
        <v>600</v>
      </c>
      <c r="I773" s="120" t="str">
        <f>IF(OR(D773&lt;Capa!$A$5,D773&gt;Capa!$A$7,E773&lt;Capa!$A$5,E773&gt;Capa!$A$7,D773&gt;E773),"Erro","")</f>
        <v/>
      </c>
    </row>
    <row r="774" spans="1:9" ht="30" hidden="1">
      <c r="A774" s="345">
        <v>931</v>
      </c>
      <c r="B774" s="346" t="s">
        <v>240</v>
      </c>
      <c r="C774" s="347">
        <v>50</v>
      </c>
      <c r="D774" s="348">
        <v>46023</v>
      </c>
      <c r="E774" s="348">
        <v>46357</v>
      </c>
      <c r="F774" s="346" t="s">
        <v>603</v>
      </c>
      <c r="G774" s="349" t="s">
        <v>444</v>
      </c>
      <c r="H774" s="350">
        <f t="shared" si="18"/>
        <v>600</v>
      </c>
      <c r="I774" s="120" t="str">
        <f>IF(OR(D774&lt;Capa!$A$5,D774&gt;Capa!$A$7,E774&lt;Capa!$A$5,E774&gt;Capa!$A$7,D774&gt;E774),"Erro","")</f>
        <v/>
      </c>
    </row>
    <row r="775" spans="1:9" ht="30" hidden="1">
      <c r="A775" s="345">
        <v>932</v>
      </c>
      <c r="B775" s="346" t="s">
        <v>240</v>
      </c>
      <c r="C775" s="347">
        <v>50</v>
      </c>
      <c r="D775" s="348">
        <v>46388</v>
      </c>
      <c r="E775" s="348">
        <v>46722</v>
      </c>
      <c r="F775" s="346" t="s">
        <v>603</v>
      </c>
      <c r="G775" s="349" t="s">
        <v>444</v>
      </c>
      <c r="H775" s="350">
        <f t="shared" si="18"/>
        <v>600</v>
      </c>
      <c r="I775" s="120" t="str">
        <f>IF(OR(D775&lt;Capa!$A$5,D775&gt;Capa!$A$7,E775&lt;Capa!$A$5,E775&gt;Capa!$A$7,D775&gt;E775),"Erro","")</f>
        <v/>
      </c>
    </row>
    <row r="776" spans="1:9" ht="30" hidden="1">
      <c r="A776" s="345">
        <v>933</v>
      </c>
      <c r="B776" s="346" t="s">
        <v>240</v>
      </c>
      <c r="C776" s="347">
        <v>25</v>
      </c>
      <c r="D776" s="348">
        <v>46753</v>
      </c>
      <c r="E776" s="348">
        <v>47058</v>
      </c>
      <c r="F776" s="346" t="s">
        <v>603</v>
      </c>
      <c r="G776" s="349" t="s">
        <v>444</v>
      </c>
      <c r="H776" s="350">
        <f t="shared" si="18"/>
        <v>275</v>
      </c>
      <c r="I776" s="120" t="str">
        <f>IF(OR(D776&lt;Capa!$A$5,D776&gt;Capa!$A$7,E776&lt;Capa!$A$5,E776&gt;Capa!$A$7,D776&gt;E776),"Erro","")</f>
        <v/>
      </c>
    </row>
    <row r="777" spans="1:9" ht="30" hidden="1">
      <c r="A777" s="345">
        <v>935</v>
      </c>
      <c r="B777" s="346" t="s">
        <v>244</v>
      </c>
      <c r="C777" s="347">
        <v>250</v>
      </c>
      <c r="D777" s="348">
        <v>45658</v>
      </c>
      <c r="E777" s="348">
        <v>45992</v>
      </c>
      <c r="F777" s="346" t="s">
        <v>603</v>
      </c>
      <c r="G777" s="349" t="s">
        <v>445</v>
      </c>
      <c r="H777" s="350">
        <f t="shared" si="18"/>
        <v>3000</v>
      </c>
      <c r="I777" s="120" t="str">
        <f>IF(OR(D777&lt;Capa!$A$5,D777&gt;Capa!$A$7,E777&lt;Capa!$A$5,E777&gt;Capa!$A$7,D777&gt;E777),"Erro","")</f>
        <v/>
      </c>
    </row>
    <row r="778" spans="1:9" ht="30" hidden="1">
      <c r="A778" s="345">
        <v>936</v>
      </c>
      <c r="B778" s="346" t="s">
        <v>244</v>
      </c>
      <c r="C778" s="347">
        <v>250</v>
      </c>
      <c r="D778" s="348">
        <v>46023</v>
      </c>
      <c r="E778" s="348">
        <v>46357</v>
      </c>
      <c r="F778" s="346" t="s">
        <v>603</v>
      </c>
      <c r="G778" s="349" t="s">
        <v>445</v>
      </c>
      <c r="H778" s="350">
        <f t="shared" si="18"/>
        <v>3000</v>
      </c>
      <c r="I778" s="120" t="str">
        <f>IF(OR(D778&lt;Capa!$A$5,D778&gt;Capa!$A$7,E778&lt;Capa!$A$5,E778&gt;Capa!$A$7,D778&gt;E778),"Erro","")</f>
        <v/>
      </c>
    </row>
    <row r="779" spans="1:9" ht="30" hidden="1">
      <c r="A779" s="345">
        <v>937</v>
      </c>
      <c r="B779" s="346" t="s">
        <v>244</v>
      </c>
      <c r="C779" s="347">
        <v>250</v>
      </c>
      <c r="D779" s="348">
        <v>46388</v>
      </c>
      <c r="E779" s="348">
        <v>46722</v>
      </c>
      <c r="F779" s="346" t="s">
        <v>603</v>
      </c>
      <c r="G779" s="349" t="s">
        <v>445</v>
      </c>
      <c r="H779" s="350">
        <f t="shared" si="18"/>
        <v>3000</v>
      </c>
      <c r="I779" s="120" t="str">
        <f>IF(OR(D779&lt;Capa!$A$5,D779&gt;Capa!$A$7,E779&lt;Capa!$A$5,E779&gt;Capa!$A$7,D779&gt;E779),"Erro","")</f>
        <v/>
      </c>
    </row>
    <row r="780" spans="1:9" ht="30" hidden="1">
      <c r="A780" s="345">
        <v>938</v>
      </c>
      <c r="B780" s="346" t="s">
        <v>244</v>
      </c>
      <c r="C780" s="347">
        <v>125</v>
      </c>
      <c r="D780" s="348">
        <v>46753</v>
      </c>
      <c r="E780" s="348">
        <v>47058</v>
      </c>
      <c r="F780" s="346" t="s">
        <v>603</v>
      </c>
      <c r="G780" s="349" t="s">
        <v>445</v>
      </c>
      <c r="H780" s="350">
        <f t="shared" si="18"/>
        <v>1375</v>
      </c>
      <c r="I780" s="120" t="str">
        <f>IF(OR(D780&lt;Capa!$A$5,D780&gt;Capa!$A$7,E780&lt;Capa!$A$5,E780&gt;Capa!$A$7,D780&gt;E780),"Erro","")</f>
        <v/>
      </c>
    </row>
    <row r="781" spans="1:9" ht="20" hidden="1">
      <c r="A781" s="345">
        <v>939</v>
      </c>
      <c r="B781" s="346" t="s">
        <v>246</v>
      </c>
      <c r="C781" s="347">
        <v>390</v>
      </c>
      <c r="D781" s="348">
        <v>45658</v>
      </c>
      <c r="E781" s="348">
        <v>45992</v>
      </c>
      <c r="F781" s="346" t="s">
        <v>603</v>
      </c>
      <c r="G781" s="349" t="s">
        <v>446</v>
      </c>
      <c r="H781" s="350">
        <f t="shared" si="18"/>
        <v>4680</v>
      </c>
      <c r="I781" s="120" t="str">
        <f>IF(OR(D781&lt;Capa!$A$5,D781&gt;Capa!$A$7,E781&lt;Capa!$A$5,E781&gt;Capa!$A$7,D781&gt;E781),"Erro","")</f>
        <v/>
      </c>
    </row>
    <row r="782" spans="1:9" ht="20" hidden="1">
      <c r="A782" s="345">
        <v>940</v>
      </c>
      <c r="B782" s="346" t="s">
        <v>246</v>
      </c>
      <c r="C782" s="347">
        <v>390</v>
      </c>
      <c r="D782" s="348">
        <v>46023</v>
      </c>
      <c r="E782" s="348">
        <v>46357</v>
      </c>
      <c r="F782" s="346" t="s">
        <v>603</v>
      </c>
      <c r="G782" s="349" t="s">
        <v>446</v>
      </c>
      <c r="H782" s="350">
        <f t="shared" si="18"/>
        <v>4680</v>
      </c>
      <c r="I782" s="120" t="str">
        <f>IF(OR(D782&lt;Capa!$A$5,D782&gt;Capa!$A$7,E782&lt;Capa!$A$5,E782&gt;Capa!$A$7,D782&gt;E782),"Erro","")</f>
        <v/>
      </c>
    </row>
    <row r="783" spans="1:9" ht="20" hidden="1">
      <c r="A783" s="345">
        <v>941</v>
      </c>
      <c r="B783" s="346" t="s">
        <v>246</v>
      </c>
      <c r="C783" s="347">
        <v>390</v>
      </c>
      <c r="D783" s="348">
        <v>46388</v>
      </c>
      <c r="E783" s="348">
        <v>46722</v>
      </c>
      <c r="F783" s="346" t="s">
        <v>603</v>
      </c>
      <c r="G783" s="349" t="s">
        <v>446</v>
      </c>
      <c r="H783" s="350">
        <f t="shared" si="18"/>
        <v>4680</v>
      </c>
      <c r="I783" s="120" t="str">
        <f>IF(OR(D783&lt;Capa!$A$5,D783&gt;Capa!$A$7,E783&lt;Capa!$A$5,E783&gt;Capa!$A$7,D783&gt;E783),"Erro","")</f>
        <v/>
      </c>
    </row>
    <row r="784" spans="1:9" ht="20" hidden="1">
      <c r="A784" s="345">
        <v>942</v>
      </c>
      <c r="B784" s="346" t="s">
        <v>246</v>
      </c>
      <c r="C784" s="347">
        <v>190</v>
      </c>
      <c r="D784" s="348">
        <v>46753</v>
      </c>
      <c r="E784" s="348">
        <v>47058</v>
      </c>
      <c r="F784" s="346" t="s">
        <v>603</v>
      </c>
      <c r="G784" s="349" t="s">
        <v>446</v>
      </c>
      <c r="H784" s="350">
        <f t="shared" si="18"/>
        <v>2090</v>
      </c>
      <c r="I784" s="120" t="str">
        <f>IF(OR(D784&lt;Capa!$A$5,D784&gt;Capa!$A$7,E784&lt;Capa!$A$5,E784&gt;Capa!$A$7,D784&gt;E784),"Erro","")</f>
        <v/>
      </c>
    </row>
    <row r="785" spans="1:9" ht="30" hidden="1">
      <c r="A785" s="345">
        <v>944</v>
      </c>
      <c r="B785" s="346" t="s">
        <v>258</v>
      </c>
      <c r="C785" s="347">
        <v>50</v>
      </c>
      <c r="D785" s="348">
        <v>45658</v>
      </c>
      <c r="E785" s="348">
        <v>45992</v>
      </c>
      <c r="F785" s="346" t="s">
        <v>603</v>
      </c>
      <c r="G785" s="349" t="s">
        <v>447</v>
      </c>
      <c r="H785" s="350">
        <f t="shared" si="18"/>
        <v>600</v>
      </c>
      <c r="I785" s="120" t="str">
        <f>IF(OR(D785&lt;Capa!$A$5,D785&gt;Capa!$A$7,E785&lt;Capa!$A$5,E785&gt;Capa!$A$7,D785&gt;E785),"Erro","")</f>
        <v/>
      </c>
    </row>
    <row r="786" spans="1:9" ht="30" hidden="1">
      <c r="A786" s="345">
        <v>945</v>
      </c>
      <c r="B786" s="346" t="s">
        <v>258</v>
      </c>
      <c r="C786" s="347">
        <v>50</v>
      </c>
      <c r="D786" s="348">
        <v>46023</v>
      </c>
      <c r="E786" s="348">
        <v>46357</v>
      </c>
      <c r="F786" s="346" t="s">
        <v>603</v>
      </c>
      <c r="G786" s="349" t="s">
        <v>447</v>
      </c>
      <c r="H786" s="350">
        <f t="shared" si="18"/>
        <v>600</v>
      </c>
      <c r="I786" s="120" t="str">
        <f>IF(OR(D786&lt;Capa!$A$5,D786&gt;Capa!$A$7,E786&lt;Capa!$A$5,E786&gt;Capa!$A$7,D786&gt;E786),"Erro","")</f>
        <v/>
      </c>
    </row>
    <row r="787" spans="1:9" ht="30" hidden="1">
      <c r="A787" s="345">
        <v>946</v>
      </c>
      <c r="B787" s="346" t="s">
        <v>258</v>
      </c>
      <c r="C787" s="347">
        <v>50</v>
      </c>
      <c r="D787" s="348">
        <v>46388</v>
      </c>
      <c r="E787" s="348">
        <v>46722</v>
      </c>
      <c r="F787" s="346" t="s">
        <v>603</v>
      </c>
      <c r="G787" s="349" t="s">
        <v>447</v>
      </c>
      <c r="H787" s="350">
        <f t="shared" si="18"/>
        <v>600</v>
      </c>
      <c r="I787" s="120" t="str">
        <f>IF(OR(D787&lt;Capa!$A$5,D787&gt;Capa!$A$7,E787&lt;Capa!$A$5,E787&gt;Capa!$A$7,D787&gt;E787),"Erro","")</f>
        <v/>
      </c>
    </row>
    <row r="788" spans="1:9" ht="30" hidden="1">
      <c r="A788" s="345">
        <v>947</v>
      </c>
      <c r="B788" s="346" t="s">
        <v>258</v>
      </c>
      <c r="C788" s="347">
        <v>20</v>
      </c>
      <c r="D788" s="348">
        <v>46753</v>
      </c>
      <c r="E788" s="348">
        <v>47058</v>
      </c>
      <c r="F788" s="346" t="s">
        <v>603</v>
      </c>
      <c r="G788" s="349" t="s">
        <v>447</v>
      </c>
      <c r="H788" s="350">
        <f t="shared" si="18"/>
        <v>220</v>
      </c>
      <c r="I788" s="120" t="str">
        <f>IF(OR(D788&lt;Capa!$A$5,D788&gt;Capa!$A$7,E788&lt;Capa!$A$5,E788&gt;Capa!$A$7,D788&gt;E788),"Erro","")</f>
        <v/>
      </c>
    </row>
    <row r="789" spans="1:9" ht="40" hidden="1">
      <c r="A789" s="345">
        <v>948</v>
      </c>
      <c r="B789" s="346" t="s">
        <v>276</v>
      </c>
      <c r="C789" s="347">
        <v>500</v>
      </c>
      <c r="D789" s="348">
        <v>45658</v>
      </c>
      <c r="E789" s="348">
        <v>45992</v>
      </c>
      <c r="F789" s="346" t="s">
        <v>603</v>
      </c>
      <c r="G789" s="349" t="s">
        <v>448</v>
      </c>
      <c r="H789" s="350">
        <f t="shared" si="18"/>
        <v>6000</v>
      </c>
      <c r="I789" s="120" t="str">
        <f>IF(OR(D789&lt;Capa!$A$5,D789&gt;Capa!$A$7,E789&lt;Capa!$A$5,E789&gt;Capa!$A$7,D789&gt;E789),"Erro","")</f>
        <v/>
      </c>
    </row>
    <row r="790" spans="1:9" ht="40" hidden="1">
      <c r="A790" s="345">
        <v>949</v>
      </c>
      <c r="B790" s="346" t="s">
        <v>276</v>
      </c>
      <c r="C790" s="347">
        <v>500</v>
      </c>
      <c r="D790" s="348">
        <v>46023</v>
      </c>
      <c r="E790" s="348">
        <v>46357</v>
      </c>
      <c r="F790" s="346" t="s">
        <v>603</v>
      </c>
      <c r="G790" s="349" t="s">
        <v>448</v>
      </c>
      <c r="H790" s="350">
        <f t="shared" si="18"/>
        <v>6000</v>
      </c>
      <c r="I790" s="120" t="str">
        <f>IF(OR(D790&lt;Capa!$A$5,D790&gt;Capa!$A$7,E790&lt;Capa!$A$5,E790&gt;Capa!$A$7,D790&gt;E790),"Erro","")</f>
        <v/>
      </c>
    </row>
    <row r="791" spans="1:9" ht="40" hidden="1">
      <c r="A791" s="345">
        <v>950</v>
      </c>
      <c r="B791" s="346" t="s">
        <v>276</v>
      </c>
      <c r="C791" s="347">
        <v>500</v>
      </c>
      <c r="D791" s="348">
        <v>46388</v>
      </c>
      <c r="E791" s="348">
        <v>46722</v>
      </c>
      <c r="F791" s="346" t="s">
        <v>603</v>
      </c>
      <c r="G791" s="349" t="s">
        <v>448</v>
      </c>
      <c r="H791" s="350">
        <f t="shared" si="18"/>
        <v>6000</v>
      </c>
      <c r="I791" s="120" t="str">
        <f>IF(OR(D791&lt;Capa!$A$5,D791&gt;Capa!$A$7,E791&lt;Capa!$A$5,E791&gt;Capa!$A$7,D791&gt;E791),"Erro","")</f>
        <v/>
      </c>
    </row>
    <row r="792" spans="1:9" ht="40" hidden="1">
      <c r="A792" s="345">
        <v>951</v>
      </c>
      <c r="B792" s="346" t="s">
        <v>276</v>
      </c>
      <c r="C792" s="347">
        <v>250</v>
      </c>
      <c r="D792" s="348">
        <v>46753</v>
      </c>
      <c r="E792" s="348">
        <v>47058</v>
      </c>
      <c r="F792" s="346" t="s">
        <v>603</v>
      </c>
      <c r="G792" s="349" t="s">
        <v>448</v>
      </c>
      <c r="H792" s="350">
        <f t="shared" si="18"/>
        <v>2750</v>
      </c>
      <c r="I792" s="120" t="str">
        <f>IF(OR(D792&lt;Capa!$A$5,D792&gt;Capa!$A$7,E792&lt;Capa!$A$5,E792&gt;Capa!$A$7,D792&gt;E792),"Erro","")</f>
        <v/>
      </c>
    </row>
    <row r="793" spans="1:9" ht="40">
      <c r="A793" s="345">
        <v>953</v>
      </c>
      <c r="B793" s="346" t="s">
        <v>278</v>
      </c>
      <c r="C793" s="347">
        <v>36500</v>
      </c>
      <c r="D793" s="348">
        <v>45658</v>
      </c>
      <c r="E793" s="348">
        <v>45992</v>
      </c>
      <c r="F793" s="346" t="s">
        <v>603</v>
      </c>
      <c r="G793" s="349" t="s">
        <v>449</v>
      </c>
      <c r="H793" s="350">
        <f t="shared" si="18"/>
        <v>438000</v>
      </c>
      <c r="I793" s="120" t="str">
        <f>IF(OR(D793&lt;Capa!$A$5,D793&gt;Capa!$A$7,E793&lt;Capa!$A$5,E793&gt;Capa!$A$7,D793&gt;E793),"Erro","")</f>
        <v/>
      </c>
    </row>
    <row r="794" spans="1:9" ht="40">
      <c r="A794" s="345">
        <v>954</v>
      </c>
      <c r="B794" s="346" t="s">
        <v>278</v>
      </c>
      <c r="C794" s="347">
        <v>36500</v>
      </c>
      <c r="D794" s="348">
        <v>46023</v>
      </c>
      <c r="E794" s="348">
        <v>46357</v>
      </c>
      <c r="F794" s="346" t="s">
        <v>603</v>
      </c>
      <c r="G794" s="349" t="s">
        <v>449</v>
      </c>
      <c r="H794" s="350">
        <f t="shared" si="18"/>
        <v>438000</v>
      </c>
      <c r="I794" s="120" t="str">
        <f>IF(OR(D794&lt;Capa!$A$5,D794&gt;Capa!$A$7,E794&lt;Capa!$A$5,E794&gt;Capa!$A$7,D794&gt;E794),"Erro","")</f>
        <v/>
      </c>
    </row>
    <row r="795" spans="1:9" ht="40">
      <c r="A795" s="345">
        <v>955</v>
      </c>
      <c r="B795" s="346" t="s">
        <v>278</v>
      </c>
      <c r="C795" s="347">
        <v>36500</v>
      </c>
      <c r="D795" s="348">
        <v>46388</v>
      </c>
      <c r="E795" s="348">
        <v>46722</v>
      </c>
      <c r="F795" s="346" t="s">
        <v>603</v>
      </c>
      <c r="G795" s="349" t="s">
        <v>449</v>
      </c>
      <c r="H795" s="350">
        <f t="shared" si="18"/>
        <v>438000</v>
      </c>
      <c r="I795" s="120" t="str">
        <f>IF(OR(D795&lt;Capa!$A$5,D795&gt;Capa!$A$7,E795&lt;Capa!$A$5,E795&gt;Capa!$A$7,D795&gt;E795),"Erro","")</f>
        <v/>
      </c>
    </row>
    <row r="796" spans="1:9" ht="40">
      <c r="A796" s="345">
        <v>956</v>
      </c>
      <c r="B796" s="346" t="s">
        <v>278</v>
      </c>
      <c r="C796" s="347">
        <v>18500</v>
      </c>
      <c r="D796" s="348">
        <v>46753</v>
      </c>
      <c r="E796" s="348">
        <v>47058</v>
      </c>
      <c r="F796" s="346" t="s">
        <v>603</v>
      </c>
      <c r="G796" s="349" t="s">
        <v>449</v>
      </c>
      <c r="H796" s="350">
        <f t="shared" si="18"/>
        <v>203500</v>
      </c>
      <c r="I796" s="120" t="str">
        <f>IF(OR(D796&lt;Capa!$A$5,D796&gt;Capa!$A$7,E796&lt;Capa!$A$5,E796&gt;Capa!$A$7,D796&gt;E796),"Erro","")</f>
        <v/>
      </c>
    </row>
    <row r="797" spans="1:9" ht="40" hidden="1">
      <c r="A797" s="345">
        <v>958</v>
      </c>
      <c r="B797" s="346" t="s">
        <v>280</v>
      </c>
      <c r="C797" s="347">
        <v>100</v>
      </c>
      <c r="D797" s="348">
        <v>45658</v>
      </c>
      <c r="E797" s="348">
        <v>45992</v>
      </c>
      <c r="F797" s="346" t="s">
        <v>603</v>
      </c>
      <c r="G797" s="349" t="s">
        <v>450</v>
      </c>
      <c r="H797" s="350">
        <f t="shared" si="18"/>
        <v>1200</v>
      </c>
      <c r="I797" s="120" t="str">
        <f>IF(OR(D797&lt;Capa!$A$5,D797&gt;Capa!$A$7,E797&lt;Capa!$A$5,E797&gt;Capa!$A$7,D797&gt;E797),"Erro","")</f>
        <v/>
      </c>
    </row>
    <row r="798" spans="1:9" ht="40" hidden="1">
      <c r="A798" s="345">
        <v>959</v>
      </c>
      <c r="B798" s="346" t="s">
        <v>280</v>
      </c>
      <c r="C798" s="347">
        <v>100</v>
      </c>
      <c r="D798" s="348">
        <v>46023</v>
      </c>
      <c r="E798" s="348">
        <v>46357</v>
      </c>
      <c r="F798" s="346" t="s">
        <v>603</v>
      </c>
      <c r="G798" s="349" t="s">
        <v>450</v>
      </c>
      <c r="H798" s="350">
        <f t="shared" si="18"/>
        <v>1200</v>
      </c>
      <c r="I798" s="120" t="str">
        <f>IF(OR(D798&lt;Capa!$A$5,D798&gt;Capa!$A$7,E798&lt;Capa!$A$5,E798&gt;Capa!$A$7,D798&gt;E798),"Erro","")</f>
        <v/>
      </c>
    </row>
    <row r="799" spans="1:9" ht="40" hidden="1">
      <c r="A799" s="345">
        <v>960</v>
      </c>
      <c r="B799" s="346" t="s">
        <v>280</v>
      </c>
      <c r="C799" s="347">
        <v>100</v>
      </c>
      <c r="D799" s="348">
        <v>46388</v>
      </c>
      <c r="E799" s="348">
        <v>46722</v>
      </c>
      <c r="F799" s="346" t="s">
        <v>603</v>
      </c>
      <c r="G799" s="349" t="s">
        <v>450</v>
      </c>
      <c r="H799" s="350">
        <f t="shared" si="18"/>
        <v>1200</v>
      </c>
      <c r="I799" s="120" t="str">
        <f>IF(OR(D799&lt;Capa!$A$5,D799&gt;Capa!$A$7,E799&lt;Capa!$A$5,E799&gt;Capa!$A$7,D799&gt;E799),"Erro","")</f>
        <v/>
      </c>
    </row>
    <row r="800" spans="1:9" ht="40" hidden="1">
      <c r="A800" s="345">
        <v>961</v>
      </c>
      <c r="B800" s="346" t="s">
        <v>280</v>
      </c>
      <c r="C800" s="347">
        <v>50</v>
      </c>
      <c r="D800" s="348">
        <v>46753</v>
      </c>
      <c r="E800" s="348">
        <v>47058</v>
      </c>
      <c r="F800" s="346" t="s">
        <v>603</v>
      </c>
      <c r="G800" s="349" t="s">
        <v>450</v>
      </c>
      <c r="H800" s="350">
        <f t="shared" si="18"/>
        <v>550</v>
      </c>
      <c r="I800" s="120" t="str">
        <f>IF(OR(D800&lt;Capa!$A$5,D800&gt;Capa!$A$7,E800&lt;Capa!$A$5,E800&gt;Capa!$A$7,D800&gt;E800),"Erro","")</f>
        <v/>
      </c>
    </row>
    <row r="801" spans="1:9" ht="40" hidden="1">
      <c r="A801" s="345">
        <v>963</v>
      </c>
      <c r="B801" s="346" t="s">
        <v>282</v>
      </c>
      <c r="C801" s="347">
        <v>450</v>
      </c>
      <c r="D801" s="348">
        <v>45658</v>
      </c>
      <c r="E801" s="348">
        <v>45992</v>
      </c>
      <c r="F801" s="346" t="s">
        <v>603</v>
      </c>
      <c r="G801" s="349" t="s">
        <v>451</v>
      </c>
      <c r="H801" s="350">
        <f t="shared" si="18"/>
        <v>5400</v>
      </c>
      <c r="I801" s="120" t="str">
        <f>IF(OR(D801&lt;Capa!$A$5,D801&gt;Capa!$A$7,E801&lt;Capa!$A$5,E801&gt;Capa!$A$7,D801&gt;E801),"Erro","")</f>
        <v/>
      </c>
    </row>
    <row r="802" spans="1:9" ht="40" hidden="1">
      <c r="A802" s="345">
        <v>964</v>
      </c>
      <c r="B802" s="346" t="s">
        <v>282</v>
      </c>
      <c r="C802" s="347">
        <v>450</v>
      </c>
      <c r="D802" s="348">
        <v>46023</v>
      </c>
      <c r="E802" s="348">
        <v>46357</v>
      </c>
      <c r="F802" s="346" t="s">
        <v>603</v>
      </c>
      <c r="G802" s="349" t="s">
        <v>451</v>
      </c>
      <c r="H802" s="350">
        <f t="shared" si="18"/>
        <v>5400</v>
      </c>
      <c r="I802" s="120" t="str">
        <f>IF(OR(D802&lt;Capa!$A$5,D802&gt;Capa!$A$7,E802&lt;Capa!$A$5,E802&gt;Capa!$A$7,D802&gt;E802),"Erro","")</f>
        <v/>
      </c>
    </row>
    <row r="803" spans="1:9" ht="40" hidden="1">
      <c r="A803" s="345">
        <v>965</v>
      </c>
      <c r="B803" s="346" t="s">
        <v>282</v>
      </c>
      <c r="C803" s="347">
        <v>450</v>
      </c>
      <c r="D803" s="348">
        <v>46388</v>
      </c>
      <c r="E803" s="348">
        <v>46722</v>
      </c>
      <c r="F803" s="346" t="s">
        <v>603</v>
      </c>
      <c r="G803" s="349" t="s">
        <v>451</v>
      </c>
      <c r="H803" s="350">
        <f t="shared" si="18"/>
        <v>5400</v>
      </c>
      <c r="I803" s="120" t="str">
        <f>IF(OR(D803&lt;Capa!$A$5,D803&gt;Capa!$A$7,E803&lt;Capa!$A$5,E803&gt;Capa!$A$7,D803&gt;E803),"Erro","")</f>
        <v/>
      </c>
    </row>
    <row r="804" spans="1:9" ht="40" hidden="1">
      <c r="A804" s="345">
        <v>966</v>
      </c>
      <c r="B804" s="346" t="s">
        <v>282</v>
      </c>
      <c r="C804" s="347">
        <v>200</v>
      </c>
      <c r="D804" s="348">
        <v>46753</v>
      </c>
      <c r="E804" s="348">
        <v>47058</v>
      </c>
      <c r="F804" s="346" t="s">
        <v>603</v>
      </c>
      <c r="G804" s="349" t="s">
        <v>451</v>
      </c>
      <c r="H804" s="350">
        <f t="shared" si="18"/>
        <v>2200</v>
      </c>
      <c r="I804" s="120" t="str">
        <f>IF(OR(D804&lt;Capa!$A$5,D804&gt;Capa!$A$7,E804&lt;Capa!$A$5,E804&gt;Capa!$A$7,D804&gt;E804),"Erro","")</f>
        <v/>
      </c>
    </row>
    <row r="805" spans="1:9" ht="40" hidden="1">
      <c r="A805" s="345">
        <v>968</v>
      </c>
      <c r="B805" s="346" t="s">
        <v>284</v>
      </c>
      <c r="C805" s="347">
        <v>950</v>
      </c>
      <c r="D805" s="348">
        <v>45658</v>
      </c>
      <c r="E805" s="348">
        <v>45992</v>
      </c>
      <c r="F805" s="346" t="s">
        <v>603</v>
      </c>
      <c r="G805" s="349" t="s">
        <v>451</v>
      </c>
      <c r="H805" s="350">
        <f t="shared" si="18"/>
        <v>11400</v>
      </c>
      <c r="I805" s="120" t="str">
        <f>IF(OR(D805&lt;Capa!$A$5,D805&gt;Capa!$A$7,E805&lt;Capa!$A$5,E805&gt;Capa!$A$7,D805&gt;E805),"Erro","")</f>
        <v/>
      </c>
    </row>
    <row r="806" spans="1:9" ht="40" hidden="1">
      <c r="A806" s="345">
        <v>969</v>
      </c>
      <c r="B806" s="346" t="s">
        <v>284</v>
      </c>
      <c r="C806" s="347">
        <v>950</v>
      </c>
      <c r="D806" s="348">
        <v>46023</v>
      </c>
      <c r="E806" s="348">
        <v>46357</v>
      </c>
      <c r="F806" s="346" t="s">
        <v>603</v>
      </c>
      <c r="G806" s="349" t="s">
        <v>451</v>
      </c>
      <c r="H806" s="350">
        <f t="shared" si="18"/>
        <v>11400</v>
      </c>
      <c r="I806" s="120" t="str">
        <f>IF(OR(D806&lt;Capa!$A$5,D806&gt;Capa!$A$7,E806&lt;Capa!$A$5,E806&gt;Capa!$A$7,D806&gt;E806),"Erro","")</f>
        <v/>
      </c>
    </row>
    <row r="807" spans="1:9" ht="40" hidden="1">
      <c r="A807" s="345">
        <v>970</v>
      </c>
      <c r="B807" s="346" t="s">
        <v>284</v>
      </c>
      <c r="C807" s="347">
        <v>950</v>
      </c>
      <c r="D807" s="348">
        <v>46388</v>
      </c>
      <c r="E807" s="348">
        <v>46722</v>
      </c>
      <c r="F807" s="346" t="s">
        <v>603</v>
      </c>
      <c r="G807" s="349" t="s">
        <v>451</v>
      </c>
      <c r="H807" s="350">
        <f t="shared" si="18"/>
        <v>11400</v>
      </c>
      <c r="I807" s="120" t="str">
        <f>IF(OR(D807&lt;Capa!$A$5,D807&gt;Capa!$A$7,E807&lt;Capa!$A$5,E807&gt;Capa!$A$7,D807&gt;E807),"Erro","")</f>
        <v/>
      </c>
    </row>
    <row r="808" spans="1:9" ht="40" hidden="1">
      <c r="A808" s="345">
        <v>971</v>
      </c>
      <c r="B808" s="346" t="s">
        <v>284</v>
      </c>
      <c r="C808" s="347">
        <v>400</v>
      </c>
      <c r="D808" s="348">
        <v>46753</v>
      </c>
      <c r="E808" s="348">
        <v>47058</v>
      </c>
      <c r="F808" s="346" t="s">
        <v>603</v>
      </c>
      <c r="G808" s="349" t="s">
        <v>451</v>
      </c>
      <c r="H808" s="350">
        <f t="shared" si="18"/>
        <v>4400</v>
      </c>
      <c r="I808" s="120" t="str">
        <f>IF(OR(D808&lt;Capa!$A$5,D808&gt;Capa!$A$7,E808&lt;Capa!$A$5,E808&gt;Capa!$A$7,D808&gt;E808),"Erro","")</f>
        <v/>
      </c>
    </row>
    <row r="809" spans="1:9" ht="40" hidden="1">
      <c r="A809" s="345">
        <v>973</v>
      </c>
      <c r="B809" s="346" t="s">
        <v>286</v>
      </c>
      <c r="C809" s="347">
        <v>1000</v>
      </c>
      <c r="D809" s="348">
        <v>45658</v>
      </c>
      <c r="E809" s="348">
        <v>45992</v>
      </c>
      <c r="F809" s="346" t="s">
        <v>603</v>
      </c>
      <c r="G809" s="349" t="s">
        <v>451</v>
      </c>
      <c r="H809" s="350">
        <f t="shared" si="18"/>
        <v>12000</v>
      </c>
      <c r="I809" s="120" t="str">
        <f>IF(OR(D809&lt;Capa!$A$5,D809&gt;Capa!$A$7,E809&lt;Capa!$A$5,E809&gt;Capa!$A$7,D809&gt;E809),"Erro","")</f>
        <v/>
      </c>
    </row>
    <row r="810" spans="1:9" ht="40" hidden="1">
      <c r="A810" s="345">
        <v>974</v>
      </c>
      <c r="B810" s="346" t="s">
        <v>286</v>
      </c>
      <c r="C810" s="347">
        <v>1000</v>
      </c>
      <c r="D810" s="348">
        <v>46023</v>
      </c>
      <c r="E810" s="348">
        <v>46357</v>
      </c>
      <c r="F810" s="346" t="s">
        <v>603</v>
      </c>
      <c r="G810" s="349" t="s">
        <v>451</v>
      </c>
      <c r="H810" s="350">
        <f t="shared" si="18"/>
        <v>12000</v>
      </c>
      <c r="I810" s="120" t="str">
        <f>IF(OR(D810&lt;Capa!$A$5,D810&gt;Capa!$A$7,E810&lt;Capa!$A$5,E810&gt;Capa!$A$7,D810&gt;E810),"Erro","")</f>
        <v/>
      </c>
    </row>
    <row r="811" spans="1:9" ht="40" hidden="1">
      <c r="A811" s="345">
        <v>975</v>
      </c>
      <c r="B811" s="346" t="s">
        <v>286</v>
      </c>
      <c r="C811" s="347">
        <v>1000</v>
      </c>
      <c r="D811" s="348">
        <v>46388</v>
      </c>
      <c r="E811" s="348">
        <v>46722</v>
      </c>
      <c r="F811" s="346" t="s">
        <v>603</v>
      </c>
      <c r="G811" s="349" t="s">
        <v>451</v>
      </c>
      <c r="H811" s="350">
        <f t="shared" si="18"/>
        <v>12000</v>
      </c>
      <c r="I811" s="120" t="str">
        <f>IF(OR(D811&lt;Capa!$A$5,D811&gt;Capa!$A$7,E811&lt;Capa!$A$5,E811&gt;Capa!$A$7,D811&gt;E811),"Erro","")</f>
        <v/>
      </c>
    </row>
    <row r="812" spans="1:9" ht="40" hidden="1">
      <c r="A812" s="345">
        <v>976</v>
      </c>
      <c r="B812" s="346" t="s">
        <v>286</v>
      </c>
      <c r="C812" s="347">
        <v>500</v>
      </c>
      <c r="D812" s="348">
        <v>46753</v>
      </c>
      <c r="E812" s="348">
        <v>47058</v>
      </c>
      <c r="F812" s="346" t="s">
        <v>603</v>
      </c>
      <c r="G812" s="349" t="s">
        <v>451</v>
      </c>
      <c r="H812" s="350">
        <f t="shared" si="18"/>
        <v>5500</v>
      </c>
      <c r="I812" s="120" t="str">
        <f>IF(OR(D812&lt;Capa!$A$5,D812&gt;Capa!$A$7,E812&lt;Capa!$A$5,E812&gt;Capa!$A$7,D812&gt;E812),"Erro","")</f>
        <v/>
      </c>
    </row>
    <row r="813" spans="1:9" ht="30" hidden="1">
      <c r="A813" s="345">
        <v>978</v>
      </c>
      <c r="B813" s="346" t="s">
        <v>288</v>
      </c>
      <c r="C813" s="347">
        <v>200</v>
      </c>
      <c r="D813" s="348">
        <v>45658</v>
      </c>
      <c r="E813" s="348">
        <v>45992</v>
      </c>
      <c r="F813" s="346" t="s">
        <v>603</v>
      </c>
      <c r="G813" s="349" t="s">
        <v>452</v>
      </c>
      <c r="H813" s="350">
        <f t="shared" si="18"/>
        <v>2400</v>
      </c>
      <c r="I813" s="120" t="str">
        <f>IF(OR(D813&lt;Capa!$A$5,D813&gt;Capa!$A$7,E813&lt;Capa!$A$5,E813&gt;Capa!$A$7,D813&gt;E813),"Erro","")</f>
        <v/>
      </c>
    </row>
    <row r="814" spans="1:9" ht="30" hidden="1">
      <c r="A814" s="345">
        <v>979</v>
      </c>
      <c r="B814" s="346" t="s">
        <v>288</v>
      </c>
      <c r="C814" s="347">
        <v>200</v>
      </c>
      <c r="D814" s="348">
        <v>46023</v>
      </c>
      <c r="E814" s="348">
        <v>46357</v>
      </c>
      <c r="F814" s="346" t="s">
        <v>603</v>
      </c>
      <c r="G814" s="349" t="s">
        <v>452</v>
      </c>
      <c r="H814" s="350">
        <f t="shared" ref="H814:H866" si="19">IFERROR((DATEDIF(D814,E814,"M")+1)*C814,0)</f>
        <v>2400</v>
      </c>
      <c r="I814" s="120" t="str">
        <f>IF(OR(D814&lt;Capa!$A$5,D814&gt;Capa!$A$7,E814&lt;Capa!$A$5,E814&gt;Capa!$A$7,D814&gt;E814),"Erro","")</f>
        <v/>
      </c>
    </row>
    <row r="815" spans="1:9" ht="30" hidden="1">
      <c r="A815" s="345">
        <v>980</v>
      </c>
      <c r="B815" s="346" t="s">
        <v>288</v>
      </c>
      <c r="C815" s="347">
        <v>200</v>
      </c>
      <c r="D815" s="348">
        <v>46388</v>
      </c>
      <c r="E815" s="348">
        <v>46722</v>
      </c>
      <c r="F815" s="346" t="s">
        <v>603</v>
      </c>
      <c r="G815" s="349" t="s">
        <v>452</v>
      </c>
      <c r="H815" s="350">
        <f t="shared" si="19"/>
        <v>2400</v>
      </c>
      <c r="I815" s="120" t="str">
        <f>IF(OR(D815&lt;Capa!$A$5,D815&gt;Capa!$A$7,E815&lt;Capa!$A$5,E815&gt;Capa!$A$7,D815&gt;E815),"Erro","")</f>
        <v/>
      </c>
    </row>
    <row r="816" spans="1:9" ht="30" hidden="1">
      <c r="A816" s="345">
        <v>981</v>
      </c>
      <c r="B816" s="346" t="s">
        <v>288</v>
      </c>
      <c r="C816" s="347">
        <v>100</v>
      </c>
      <c r="D816" s="348">
        <v>46753</v>
      </c>
      <c r="E816" s="348">
        <v>47058</v>
      </c>
      <c r="F816" s="346" t="s">
        <v>603</v>
      </c>
      <c r="G816" s="349" t="s">
        <v>452</v>
      </c>
      <c r="H816" s="350">
        <f t="shared" si="19"/>
        <v>1100</v>
      </c>
      <c r="I816" s="120" t="str">
        <f>IF(OR(D816&lt;Capa!$A$5,D816&gt;Capa!$A$7,E816&lt;Capa!$A$5,E816&gt;Capa!$A$7,D816&gt;E816),"Erro","")</f>
        <v/>
      </c>
    </row>
    <row r="817" spans="1:9" ht="30" hidden="1">
      <c r="A817" s="345">
        <v>983</v>
      </c>
      <c r="B817" s="346" t="s">
        <v>294</v>
      </c>
      <c r="C817" s="347">
        <v>5000</v>
      </c>
      <c r="D817" s="348">
        <v>45658</v>
      </c>
      <c r="E817" s="348">
        <v>45992</v>
      </c>
      <c r="F817" s="346" t="s">
        <v>603</v>
      </c>
      <c r="G817" s="349" t="s">
        <v>453</v>
      </c>
      <c r="H817" s="350">
        <f t="shared" si="19"/>
        <v>60000</v>
      </c>
      <c r="I817" s="120" t="str">
        <f>IF(OR(D817&lt;Capa!$A$5,D817&gt;Capa!$A$7,E817&lt;Capa!$A$5,E817&gt;Capa!$A$7,D817&gt;E817),"Erro","")</f>
        <v/>
      </c>
    </row>
    <row r="818" spans="1:9" ht="30" hidden="1">
      <c r="A818" s="345">
        <v>984</v>
      </c>
      <c r="B818" s="346" t="s">
        <v>294</v>
      </c>
      <c r="C818" s="347">
        <v>5000</v>
      </c>
      <c r="D818" s="348">
        <v>46023</v>
      </c>
      <c r="E818" s="348">
        <v>46357</v>
      </c>
      <c r="F818" s="346" t="s">
        <v>603</v>
      </c>
      <c r="G818" s="349" t="s">
        <v>453</v>
      </c>
      <c r="H818" s="350">
        <f t="shared" si="19"/>
        <v>60000</v>
      </c>
      <c r="I818" s="120" t="str">
        <f>IF(OR(D818&lt;Capa!$A$5,D818&gt;Capa!$A$7,E818&lt;Capa!$A$5,E818&gt;Capa!$A$7,D818&gt;E818),"Erro","")</f>
        <v/>
      </c>
    </row>
    <row r="819" spans="1:9" ht="30" hidden="1">
      <c r="A819" s="345">
        <v>985</v>
      </c>
      <c r="B819" s="346" t="s">
        <v>294</v>
      </c>
      <c r="C819" s="347">
        <v>5000</v>
      </c>
      <c r="D819" s="348">
        <v>46388</v>
      </c>
      <c r="E819" s="348">
        <v>46722</v>
      </c>
      <c r="F819" s="346" t="s">
        <v>603</v>
      </c>
      <c r="G819" s="349" t="s">
        <v>453</v>
      </c>
      <c r="H819" s="350">
        <f t="shared" si="19"/>
        <v>60000</v>
      </c>
      <c r="I819" s="120" t="str">
        <f>IF(OR(D819&lt;Capa!$A$5,D819&gt;Capa!$A$7,E819&lt;Capa!$A$5,E819&gt;Capa!$A$7,D819&gt;E819),"Erro","")</f>
        <v/>
      </c>
    </row>
    <row r="820" spans="1:9" ht="30" hidden="1">
      <c r="A820" s="345">
        <v>986</v>
      </c>
      <c r="B820" s="346" t="s">
        <v>294</v>
      </c>
      <c r="C820" s="347">
        <v>5000</v>
      </c>
      <c r="D820" s="348">
        <v>46753</v>
      </c>
      <c r="E820" s="348">
        <v>47058</v>
      </c>
      <c r="F820" s="346" t="s">
        <v>603</v>
      </c>
      <c r="G820" s="349" t="s">
        <v>453</v>
      </c>
      <c r="H820" s="350">
        <f t="shared" si="19"/>
        <v>55000</v>
      </c>
      <c r="I820" s="120" t="str">
        <f>IF(OR(D820&lt;Capa!$A$5,D820&gt;Capa!$A$7,E820&lt;Capa!$A$5,E820&gt;Capa!$A$7,D820&gt;E820),"Erro","")</f>
        <v/>
      </c>
    </row>
    <row r="821" spans="1:9" ht="20" hidden="1">
      <c r="A821" s="345">
        <v>988</v>
      </c>
      <c r="B821" s="346" t="s">
        <v>302</v>
      </c>
      <c r="C821" s="347">
        <v>100</v>
      </c>
      <c r="D821" s="348">
        <v>45658</v>
      </c>
      <c r="E821" s="348">
        <v>45992</v>
      </c>
      <c r="F821" s="346" t="s">
        <v>603</v>
      </c>
      <c r="G821" s="349" t="s">
        <v>454</v>
      </c>
      <c r="H821" s="350">
        <f t="shared" si="19"/>
        <v>1200</v>
      </c>
      <c r="I821" s="120" t="str">
        <f>IF(OR(D821&lt;Capa!$A$5,D821&gt;Capa!$A$7,E821&lt;Capa!$A$5,E821&gt;Capa!$A$7,D821&gt;E821),"Erro","")</f>
        <v/>
      </c>
    </row>
    <row r="822" spans="1:9" ht="20" hidden="1">
      <c r="A822" s="345">
        <v>989</v>
      </c>
      <c r="B822" s="346" t="s">
        <v>302</v>
      </c>
      <c r="C822" s="347">
        <v>100</v>
      </c>
      <c r="D822" s="348">
        <v>46023</v>
      </c>
      <c r="E822" s="348">
        <v>46357</v>
      </c>
      <c r="F822" s="346" t="s">
        <v>603</v>
      </c>
      <c r="G822" s="349" t="s">
        <v>454</v>
      </c>
      <c r="H822" s="350">
        <f t="shared" si="19"/>
        <v>1200</v>
      </c>
      <c r="I822" s="120" t="str">
        <f>IF(OR(D822&lt;Capa!$A$5,D822&gt;Capa!$A$7,E822&lt;Capa!$A$5,E822&gt;Capa!$A$7,D822&gt;E822),"Erro","")</f>
        <v/>
      </c>
    </row>
    <row r="823" spans="1:9" ht="20" hidden="1">
      <c r="A823" s="345">
        <v>990</v>
      </c>
      <c r="B823" s="346" t="s">
        <v>302</v>
      </c>
      <c r="C823" s="347">
        <v>100</v>
      </c>
      <c r="D823" s="348">
        <v>46388</v>
      </c>
      <c r="E823" s="348">
        <v>46722</v>
      </c>
      <c r="F823" s="346" t="s">
        <v>603</v>
      </c>
      <c r="G823" s="349" t="s">
        <v>454</v>
      </c>
      <c r="H823" s="350">
        <f t="shared" si="19"/>
        <v>1200</v>
      </c>
      <c r="I823" s="120" t="str">
        <f>IF(OR(D823&lt;Capa!$A$5,D823&gt;Capa!$A$7,E823&lt;Capa!$A$5,E823&gt;Capa!$A$7,D823&gt;E823),"Erro","")</f>
        <v/>
      </c>
    </row>
    <row r="824" spans="1:9" ht="20" hidden="1">
      <c r="A824" s="345">
        <v>991</v>
      </c>
      <c r="B824" s="346" t="s">
        <v>302</v>
      </c>
      <c r="C824" s="347">
        <v>50</v>
      </c>
      <c r="D824" s="348">
        <v>46753</v>
      </c>
      <c r="E824" s="348">
        <v>47058</v>
      </c>
      <c r="F824" s="346" t="s">
        <v>603</v>
      </c>
      <c r="G824" s="349" t="s">
        <v>454</v>
      </c>
      <c r="H824" s="350">
        <f t="shared" si="19"/>
        <v>550</v>
      </c>
      <c r="I824" s="120" t="str">
        <f>IF(OR(D824&lt;Capa!$A$5,D824&gt;Capa!$A$7,E824&lt;Capa!$A$5,E824&gt;Capa!$A$7,D824&gt;E824),"Erro","")</f>
        <v/>
      </c>
    </row>
    <row r="825" spans="1:9" ht="30" hidden="1">
      <c r="A825" s="345">
        <v>993</v>
      </c>
      <c r="B825" s="346" t="s">
        <v>304</v>
      </c>
      <c r="C825" s="347">
        <v>1000</v>
      </c>
      <c r="D825" s="348">
        <v>45658</v>
      </c>
      <c r="E825" s="348">
        <v>45992</v>
      </c>
      <c r="F825" s="346" t="s">
        <v>603</v>
      </c>
      <c r="G825" s="349" t="s">
        <v>455</v>
      </c>
      <c r="H825" s="350">
        <f t="shared" si="19"/>
        <v>12000</v>
      </c>
      <c r="I825" s="120" t="str">
        <f>IF(OR(D825&lt;Capa!$A$5,D825&gt;Capa!$A$7,E825&lt;Capa!$A$5,E825&gt;Capa!$A$7,D825&gt;E825),"Erro","")</f>
        <v/>
      </c>
    </row>
    <row r="826" spans="1:9" ht="30" hidden="1">
      <c r="A826" s="345">
        <v>994</v>
      </c>
      <c r="B826" s="346" t="s">
        <v>304</v>
      </c>
      <c r="C826" s="347">
        <v>1000</v>
      </c>
      <c r="D826" s="348">
        <v>46023</v>
      </c>
      <c r="E826" s="348">
        <v>46357</v>
      </c>
      <c r="F826" s="346" t="s">
        <v>603</v>
      </c>
      <c r="G826" s="349" t="s">
        <v>455</v>
      </c>
      <c r="H826" s="350">
        <f t="shared" si="19"/>
        <v>12000</v>
      </c>
      <c r="I826" s="120" t="str">
        <f>IF(OR(D826&lt;Capa!$A$5,D826&gt;Capa!$A$7,E826&lt;Capa!$A$5,E826&gt;Capa!$A$7,D826&gt;E826),"Erro","")</f>
        <v/>
      </c>
    </row>
    <row r="827" spans="1:9" ht="30" hidden="1">
      <c r="A827" s="345">
        <v>995</v>
      </c>
      <c r="B827" s="346" t="s">
        <v>304</v>
      </c>
      <c r="C827" s="347">
        <v>1000</v>
      </c>
      <c r="D827" s="348">
        <v>46388</v>
      </c>
      <c r="E827" s="348">
        <v>46722</v>
      </c>
      <c r="F827" s="346" t="s">
        <v>603</v>
      </c>
      <c r="G827" s="349" t="s">
        <v>455</v>
      </c>
      <c r="H827" s="350">
        <f t="shared" si="19"/>
        <v>12000</v>
      </c>
      <c r="I827" s="120" t="str">
        <f>IF(OR(D827&lt;Capa!$A$5,D827&gt;Capa!$A$7,E827&lt;Capa!$A$5,E827&gt;Capa!$A$7,D827&gt;E827),"Erro","")</f>
        <v/>
      </c>
    </row>
    <row r="828" spans="1:9" ht="30" hidden="1">
      <c r="A828" s="345">
        <v>996</v>
      </c>
      <c r="B828" s="346" t="s">
        <v>304</v>
      </c>
      <c r="C828" s="347">
        <v>500</v>
      </c>
      <c r="D828" s="348">
        <v>46753</v>
      </c>
      <c r="E828" s="348">
        <v>47058</v>
      </c>
      <c r="F828" s="346" t="s">
        <v>603</v>
      </c>
      <c r="G828" s="349" t="s">
        <v>455</v>
      </c>
      <c r="H828" s="350">
        <f t="shared" si="19"/>
        <v>5500</v>
      </c>
      <c r="I828" s="120" t="str">
        <f>IF(OR(D828&lt;Capa!$A$5,D828&gt;Capa!$A$7,E828&lt;Capa!$A$5,E828&gt;Capa!$A$7,D828&gt;E828),"Erro","")</f>
        <v/>
      </c>
    </row>
    <row r="829" spans="1:9" ht="30" hidden="1">
      <c r="A829" s="345">
        <v>997</v>
      </c>
      <c r="B829" s="346" t="s">
        <v>312</v>
      </c>
      <c r="C829" s="347">
        <v>200</v>
      </c>
      <c r="D829" s="348">
        <v>45658</v>
      </c>
      <c r="E829" s="348">
        <v>45992</v>
      </c>
      <c r="F829" s="346" t="s">
        <v>603</v>
      </c>
      <c r="G829" s="349" t="s">
        <v>571</v>
      </c>
      <c r="H829" s="350">
        <f t="shared" si="19"/>
        <v>2400</v>
      </c>
      <c r="I829" s="120" t="str">
        <f>IF(OR(D829&lt;Capa!$A$5,D829&gt;Capa!$A$7,E829&lt;Capa!$A$5,E829&gt;Capa!$A$7,D829&gt;E829),"Erro","")</f>
        <v/>
      </c>
    </row>
    <row r="830" spans="1:9" ht="30" hidden="1">
      <c r="A830" s="345">
        <v>998</v>
      </c>
      <c r="B830" s="346" t="s">
        <v>312</v>
      </c>
      <c r="C830" s="347">
        <v>200</v>
      </c>
      <c r="D830" s="348">
        <v>46023</v>
      </c>
      <c r="E830" s="348">
        <v>46357</v>
      </c>
      <c r="F830" s="346" t="s">
        <v>603</v>
      </c>
      <c r="G830" s="349" t="s">
        <v>571</v>
      </c>
      <c r="H830" s="350">
        <f t="shared" si="19"/>
        <v>2400</v>
      </c>
      <c r="I830" s="120" t="str">
        <f>IF(OR(D830&lt;Capa!$A$5,D830&gt;Capa!$A$7,E830&lt;Capa!$A$5,E830&gt;Capa!$A$7,D830&gt;E830),"Erro","")</f>
        <v/>
      </c>
    </row>
    <row r="831" spans="1:9" ht="30" hidden="1">
      <c r="A831" s="345">
        <v>999</v>
      </c>
      <c r="B831" s="346" t="s">
        <v>312</v>
      </c>
      <c r="C831" s="347">
        <v>200</v>
      </c>
      <c r="D831" s="348">
        <v>46388</v>
      </c>
      <c r="E831" s="348">
        <v>46722</v>
      </c>
      <c r="F831" s="346" t="s">
        <v>603</v>
      </c>
      <c r="G831" s="349" t="s">
        <v>571</v>
      </c>
      <c r="H831" s="350">
        <f t="shared" si="19"/>
        <v>2400</v>
      </c>
      <c r="I831" s="120" t="str">
        <f>IF(OR(D831&lt;Capa!$A$5,D831&gt;Capa!$A$7,E831&lt;Capa!$A$5,E831&gt;Capa!$A$7,D831&gt;E831),"Erro","")</f>
        <v/>
      </c>
    </row>
    <row r="832" spans="1:9" ht="30" hidden="1">
      <c r="A832" s="345">
        <v>1000</v>
      </c>
      <c r="B832" s="346" t="s">
        <v>312</v>
      </c>
      <c r="C832" s="347">
        <v>100</v>
      </c>
      <c r="D832" s="348">
        <v>46753</v>
      </c>
      <c r="E832" s="348">
        <v>47058</v>
      </c>
      <c r="F832" s="346" t="s">
        <v>603</v>
      </c>
      <c r="G832" s="349" t="s">
        <v>571</v>
      </c>
      <c r="H832" s="350">
        <f t="shared" si="19"/>
        <v>1100</v>
      </c>
      <c r="I832" s="120" t="str">
        <f>IF(OR(D832&lt;Capa!$A$5,D832&gt;Capa!$A$7,E832&lt;Capa!$A$5,E832&gt;Capa!$A$7,D832&gt;E832),"Erro","")</f>
        <v/>
      </c>
    </row>
    <row r="833" spans="1:9" ht="50" hidden="1">
      <c r="A833" s="345">
        <v>1002</v>
      </c>
      <c r="B833" s="346" t="s">
        <v>316</v>
      </c>
      <c r="C833" s="347">
        <v>800</v>
      </c>
      <c r="D833" s="348">
        <v>45658</v>
      </c>
      <c r="E833" s="348">
        <v>45992</v>
      </c>
      <c r="F833" s="346" t="s">
        <v>603</v>
      </c>
      <c r="G833" s="349" t="s">
        <v>741</v>
      </c>
      <c r="H833" s="350">
        <f t="shared" si="19"/>
        <v>9600</v>
      </c>
      <c r="I833" s="120" t="str">
        <f>IF(OR(D833&lt;Capa!$A$5,D833&gt;Capa!$A$7,E833&lt;Capa!$A$5,E833&gt;Capa!$A$7,D833&gt;E833),"Erro","")</f>
        <v/>
      </c>
    </row>
    <row r="834" spans="1:9" ht="50" hidden="1">
      <c r="A834" s="345">
        <v>1003</v>
      </c>
      <c r="B834" s="346" t="s">
        <v>316</v>
      </c>
      <c r="C834" s="347">
        <v>800</v>
      </c>
      <c r="D834" s="348">
        <v>46023</v>
      </c>
      <c r="E834" s="348">
        <v>46357</v>
      </c>
      <c r="F834" s="346" t="s">
        <v>603</v>
      </c>
      <c r="G834" s="349" t="s">
        <v>741</v>
      </c>
      <c r="H834" s="350">
        <f t="shared" si="19"/>
        <v>9600</v>
      </c>
      <c r="I834" s="120" t="str">
        <f>IF(OR(D834&lt;Capa!$A$5,D834&gt;Capa!$A$7,E834&lt;Capa!$A$5,E834&gt;Capa!$A$7,D834&gt;E834),"Erro","")</f>
        <v/>
      </c>
    </row>
    <row r="835" spans="1:9" ht="50" hidden="1">
      <c r="A835" s="345">
        <v>1004</v>
      </c>
      <c r="B835" s="346" t="s">
        <v>316</v>
      </c>
      <c r="C835" s="347">
        <v>800</v>
      </c>
      <c r="D835" s="348">
        <v>46388</v>
      </c>
      <c r="E835" s="348">
        <v>46722</v>
      </c>
      <c r="F835" s="346" t="s">
        <v>603</v>
      </c>
      <c r="G835" s="349" t="s">
        <v>741</v>
      </c>
      <c r="H835" s="350">
        <f t="shared" si="19"/>
        <v>9600</v>
      </c>
      <c r="I835" s="120" t="str">
        <f>IF(OR(D835&lt;Capa!$A$5,D835&gt;Capa!$A$7,E835&lt;Capa!$A$5,E835&gt;Capa!$A$7,D835&gt;E835),"Erro","")</f>
        <v/>
      </c>
    </row>
    <row r="836" spans="1:9" ht="50" hidden="1">
      <c r="A836" s="345">
        <v>1005</v>
      </c>
      <c r="B836" s="346" t="s">
        <v>316</v>
      </c>
      <c r="C836" s="347">
        <v>400</v>
      </c>
      <c r="D836" s="348">
        <v>46753</v>
      </c>
      <c r="E836" s="348">
        <v>47058</v>
      </c>
      <c r="F836" s="346" t="s">
        <v>603</v>
      </c>
      <c r="G836" s="349" t="s">
        <v>741</v>
      </c>
      <c r="H836" s="350">
        <f t="shared" si="19"/>
        <v>4400</v>
      </c>
      <c r="I836" s="120" t="str">
        <f>IF(OR(D836&lt;Capa!$A$5,D836&gt;Capa!$A$7,E836&lt;Capa!$A$5,E836&gt;Capa!$A$7,D836&gt;E836),"Erro","")</f>
        <v/>
      </c>
    </row>
    <row r="837" spans="1:9" ht="50" hidden="1">
      <c r="A837" s="345">
        <v>1007</v>
      </c>
      <c r="B837" s="346" t="s">
        <v>318</v>
      </c>
      <c r="C837" s="347">
        <v>1000</v>
      </c>
      <c r="D837" s="348">
        <v>45658</v>
      </c>
      <c r="E837" s="348">
        <v>45992</v>
      </c>
      <c r="F837" s="346" t="s">
        <v>603</v>
      </c>
      <c r="G837" s="349" t="s">
        <v>572</v>
      </c>
      <c r="H837" s="350">
        <f t="shared" si="19"/>
        <v>12000</v>
      </c>
      <c r="I837" s="120" t="str">
        <f>IF(OR(D837&lt;Capa!$A$5,D837&gt;Capa!$A$7,E837&lt;Capa!$A$5,E837&gt;Capa!$A$7,D837&gt;E837),"Erro","")</f>
        <v/>
      </c>
    </row>
    <row r="838" spans="1:9" ht="50" hidden="1">
      <c r="A838" s="345">
        <v>1008</v>
      </c>
      <c r="B838" s="346" t="s">
        <v>318</v>
      </c>
      <c r="C838" s="347">
        <v>1000</v>
      </c>
      <c r="D838" s="348">
        <v>46023</v>
      </c>
      <c r="E838" s="348">
        <v>46357</v>
      </c>
      <c r="F838" s="346" t="s">
        <v>603</v>
      </c>
      <c r="G838" s="349" t="s">
        <v>572</v>
      </c>
      <c r="H838" s="350">
        <f t="shared" si="19"/>
        <v>12000</v>
      </c>
      <c r="I838" s="120" t="str">
        <f>IF(OR(D838&lt;Capa!$A$5,D838&gt;Capa!$A$7,E838&lt;Capa!$A$5,E838&gt;Capa!$A$7,D838&gt;E838),"Erro","")</f>
        <v/>
      </c>
    </row>
    <row r="839" spans="1:9" ht="50" hidden="1">
      <c r="A839" s="345">
        <v>1009</v>
      </c>
      <c r="B839" s="346" t="s">
        <v>318</v>
      </c>
      <c r="C839" s="347">
        <v>1000</v>
      </c>
      <c r="D839" s="348">
        <v>46388</v>
      </c>
      <c r="E839" s="348">
        <v>46722</v>
      </c>
      <c r="F839" s="346" t="s">
        <v>603</v>
      </c>
      <c r="G839" s="349" t="s">
        <v>572</v>
      </c>
      <c r="H839" s="350">
        <f t="shared" si="19"/>
        <v>12000</v>
      </c>
      <c r="I839" s="120" t="str">
        <f>IF(OR(D839&lt;Capa!$A$5,D839&gt;Capa!$A$7,E839&lt;Capa!$A$5,E839&gt;Capa!$A$7,D839&gt;E839),"Erro","")</f>
        <v/>
      </c>
    </row>
    <row r="840" spans="1:9" ht="50" hidden="1">
      <c r="A840" s="345">
        <v>1010</v>
      </c>
      <c r="B840" s="346" t="s">
        <v>318</v>
      </c>
      <c r="C840" s="347">
        <v>250</v>
      </c>
      <c r="D840" s="348">
        <v>46753</v>
      </c>
      <c r="E840" s="348">
        <v>47058</v>
      </c>
      <c r="F840" s="346" t="s">
        <v>603</v>
      </c>
      <c r="G840" s="349" t="s">
        <v>572</v>
      </c>
      <c r="H840" s="350">
        <f t="shared" si="19"/>
        <v>2750</v>
      </c>
      <c r="I840" s="120" t="str">
        <f>IF(OR(D840&lt;Capa!$A$5,D840&gt;Capa!$A$7,E840&lt;Capa!$A$5,E840&gt;Capa!$A$7,D840&gt;E840),"Erro","")</f>
        <v/>
      </c>
    </row>
    <row r="841" spans="1:9" ht="50" hidden="1">
      <c r="A841" s="345">
        <v>1012</v>
      </c>
      <c r="B841" s="346" t="s">
        <v>318</v>
      </c>
      <c r="C841" s="347">
        <v>700</v>
      </c>
      <c r="D841" s="348">
        <v>45658</v>
      </c>
      <c r="E841" s="348">
        <v>45992</v>
      </c>
      <c r="F841" s="346" t="s">
        <v>603</v>
      </c>
      <c r="G841" s="349" t="s">
        <v>456</v>
      </c>
      <c r="H841" s="350">
        <f t="shared" si="19"/>
        <v>8400</v>
      </c>
      <c r="I841" s="120" t="str">
        <f>IF(OR(D841&lt;Capa!$A$5,D841&gt;Capa!$A$7,E841&lt;Capa!$A$5,E841&gt;Capa!$A$7,D841&gt;E841),"Erro","")</f>
        <v/>
      </c>
    </row>
    <row r="842" spans="1:9" ht="50" hidden="1">
      <c r="A842" s="345">
        <v>1013</v>
      </c>
      <c r="B842" s="346" t="s">
        <v>318</v>
      </c>
      <c r="C842" s="347">
        <v>700</v>
      </c>
      <c r="D842" s="348">
        <v>46023</v>
      </c>
      <c r="E842" s="348">
        <v>46357</v>
      </c>
      <c r="F842" s="346" t="s">
        <v>603</v>
      </c>
      <c r="G842" s="349" t="s">
        <v>456</v>
      </c>
      <c r="H842" s="350">
        <f t="shared" si="19"/>
        <v>8400</v>
      </c>
      <c r="I842" s="120" t="str">
        <f>IF(OR(D842&lt;Capa!$A$5,D842&gt;Capa!$A$7,E842&lt;Capa!$A$5,E842&gt;Capa!$A$7,D842&gt;E842),"Erro","")</f>
        <v/>
      </c>
    </row>
    <row r="843" spans="1:9" ht="50" hidden="1">
      <c r="A843" s="345">
        <v>1014</v>
      </c>
      <c r="B843" s="346" t="s">
        <v>318</v>
      </c>
      <c r="C843" s="347">
        <v>700</v>
      </c>
      <c r="D843" s="348">
        <v>46388</v>
      </c>
      <c r="E843" s="348">
        <v>46722</v>
      </c>
      <c r="F843" s="346" t="s">
        <v>603</v>
      </c>
      <c r="G843" s="349" t="s">
        <v>456</v>
      </c>
      <c r="H843" s="350">
        <f t="shared" si="19"/>
        <v>8400</v>
      </c>
      <c r="I843" s="120" t="str">
        <f>IF(OR(D843&lt;Capa!$A$5,D843&gt;Capa!$A$7,E843&lt;Capa!$A$5,E843&gt;Capa!$A$7,D843&gt;E843),"Erro","")</f>
        <v/>
      </c>
    </row>
    <row r="844" spans="1:9" ht="50" hidden="1">
      <c r="A844" s="345">
        <v>1015</v>
      </c>
      <c r="B844" s="346" t="s">
        <v>318</v>
      </c>
      <c r="C844" s="347">
        <v>250</v>
      </c>
      <c r="D844" s="348">
        <v>46753</v>
      </c>
      <c r="E844" s="348">
        <v>47058</v>
      </c>
      <c r="F844" s="346" t="s">
        <v>603</v>
      </c>
      <c r="G844" s="349" t="s">
        <v>456</v>
      </c>
      <c r="H844" s="350">
        <f t="shared" si="19"/>
        <v>2750</v>
      </c>
      <c r="I844" s="120" t="str">
        <f>IF(OR(D844&lt;Capa!$A$5,D844&gt;Capa!$A$7,E844&lt;Capa!$A$5,E844&gt;Capa!$A$7,D844&gt;E844),"Erro","")</f>
        <v/>
      </c>
    </row>
    <row r="845" spans="1:9" ht="20" hidden="1">
      <c r="A845" s="345">
        <v>1017</v>
      </c>
      <c r="B845" s="346" t="s">
        <v>298</v>
      </c>
      <c r="C845" s="347">
        <v>2450</v>
      </c>
      <c r="D845" s="348">
        <v>45658</v>
      </c>
      <c r="E845" s="348">
        <v>45992</v>
      </c>
      <c r="F845" s="346" t="s">
        <v>603</v>
      </c>
      <c r="G845" s="349" t="s">
        <v>457</v>
      </c>
      <c r="H845" s="350">
        <f t="shared" si="19"/>
        <v>29400</v>
      </c>
      <c r="I845" s="120" t="str">
        <f>IF(OR(D845&lt;Capa!$A$5,D845&gt;Capa!$A$7,E845&lt;Capa!$A$5,E845&gt;Capa!$A$7,D845&gt;E845),"Erro","")</f>
        <v/>
      </c>
    </row>
    <row r="846" spans="1:9" ht="20" hidden="1">
      <c r="A846" s="345">
        <v>1018</v>
      </c>
      <c r="B846" s="346" t="s">
        <v>298</v>
      </c>
      <c r="C846" s="347">
        <v>2450</v>
      </c>
      <c r="D846" s="348">
        <v>46023</v>
      </c>
      <c r="E846" s="348">
        <v>46357</v>
      </c>
      <c r="F846" s="346" t="s">
        <v>603</v>
      </c>
      <c r="G846" s="349" t="s">
        <v>457</v>
      </c>
      <c r="H846" s="350">
        <f t="shared" si="19"/>
        <v>29400</v>
      </c>
      <c r="I846" s="120" t="str">
        <f>IF(OR(D846&lt;Capa!$A$5,D846&gt;Capa!$A$7,E846&lt;Capa!$A$5,E846&gt;Capa!$A$7,D846&gt;E846),"Erro","")</f>
        <v/>
      </c>
    </row>
    <row r="847" spans="1:9" ht="20" hidden="1">
      <c r="A847" s="345">
        <v>1019</v>
      </c>
      <c r="B847" s="346" t="s">
        <v>298</v>
      </c>
      <c r="C847" s="347">
        <v>2450</v>
      </c>
      <c r="D847" s="348">
        <v>46388</v>
      </c>
      <c r="E847" s="348">
        <v>46722</v>
      </c>
      <c r="F847" s="346" t="s">
        <v>603</v>
      </c>
      <c r="G847" s="349" t="s">
        <v>457</v>
      </c>
      <c r="H847" s="350">
        <f t="shared" si="19"/>
        <v>29400</v>
      </c>
      <c r="I847" s="120" t="str">
        <f>IF(OR(D847&lt;Capa!$A$5,D847&gt;Capa!$A$7,E847&lt;Capa!$A$5,E847&gt;Capa!$A$7,D847&gt;E847),"Erro","")</f>
        <v/>
      </c>
    </row>
    <row r="848" spans="1:9" ht="20" hidden="1">
      <c r="A848" s="345">
        <v>1020</v>
      </c>
      <c r="B848" s="346" t="s">
        <v>298</v>
      </c>
      <c r="C848" s="347">
        <v>1250</v>
      </c>
      <c r="D848" s="348">
        <v>46753</v>
      </c>
      <c r="E848" s="348">
        <v>47058</v>
      </c>
      <c r="F848" s="346" t="s">
        <v>603</v>
      </c>
      <c r="G848" s="349" t="s">
        <v>457</v>
      </c>
      <c r="H848" s="350">
        <f t="shared" si="19"/>
        <v>13750</v>
      </c>
      <c r="I848" s="120" t="str">
        <f>IF(OR(D848&lt;Capa!$A$5,D848&gt;Capa!$A$7,E848&lt;Capa!$A$5,E848&gt;Capa!$A$7,D848&gt;E848),"Erro","")</f>
        <v/>
      </c>
    </row>
    <row r="849" spans="1:9" ht="30" hidden="1">
      <c r="A849" s="345">
        <v>1021</v>
      </c>
      <c r="B849" s="346" t="s">
        <v>238</v>
      </c>
      <c r="C849" s="347">
        <v>480</v>
      </c>
      <c r="D849" s="348">
        <v>45658</v>
      </c>
      <c r="E849" s="348">
        <v>45992</v>
      </c>
      <c r="F849" s="346" t="s">
        <v>603</v>
      </c>
      <c r="G849" s="349" t="s">
        <v>458</v>
      </c>
      <c r="H849" s="350">
        <f t="shared" si="19"/>
        <v>5760</v>
      </c>
      <c r="I849" s="120" t="str">
        <f>IF(OR(D849&lt;Capa!$A$5,D849&gt;Capa!$A$7,E849&lt;Capa!$A$5,E849&gt;Capa!$A$7,D849&gt;E849),"Erro","")</f>
        <v/>
      </c>
    </row>
    <row r="850" spans="1:9" ht="30" hidden="1">
      <c r="A850" s="345">
        <v>1022</v>
      </c>
      <c r="B850" s="346" t="s">
        <v>238</v>
      </c>
      <c r="C850" s="347">
        <v>480</v>
      </c>
      <c r="D850" s="348">
        <v>46023</v>
      </c>
      <c r="E850" s="348">
        <v>46357</v>
      </c>
      <c r="F850" s="346" t="s">
        <v>603</v>
      </c>
      <c r="G850" s="349" t="s">
        <v>458</v>
      </c>
      <c r="H850" s="350">
        <f t="shared" si="19"/>
        <v>5760</v>
      </c>
      <c r="I850" s="120" t="str">
        <f>IF(OR(D850&lt;Capa!$A$5,D850&gt;Capa!$A$7,E850&lt;Capa!$A$5,E850&gt;Capa!$A$7,D850&gt;E850),"Erro","")</f>
        <v/>
      </c>
    </row>
    <row r="851" spans="1:9" ht="30" hidden="1">
      <c r="A851" s="345">
        <v>1023</v>
      </c>
      <c r="B851" s="346" t="s">
        <v>238</v>
      </c>
      <c r="C851" s="347">
        <v>480</v>
      </c>
      <c r="D851" s="348">
        <v>46388</v>
      </c>
      <c r="E851" s="348">
        <v>46722</v>
      </c>
      <c r="F851" s="346" t="s">
        <v>603</v>
      </c>
      <c r="G851" s="349" t="s">
        <v>458</v>
      </c>
      <c r="H851" s="350">
        <f t="shared" si="19"/>
        <v>5760</v>
      </c>
      <c r="I851" s="120" t="str">
        <f>IF(OR(D851&lt;Capa!$A$5,D851&gt;Capa!$A$7,E851&lt;Capa!$A$5,E851&gt;Capa!$A$7,D851&gt;E851),"Erro","")</f>
        <v/>
      </c>
    </row>
    <row r="852" spans="1:9" ht="30" hidden="1">
      <c r="A852" s="345">
        <v>1024</v>
      </c>
      <c r="B852" s="346" t="s">
        <v>238</v>
      </c>
      <c r="C852" s="347">
        <v>240</v>
      </c>
      <c r="D852" s="348">
        <v>46753</v>
      </c>
      <c r="E852" s="348">
        <v>47058</v>
      </c>
      <c r="F852" s="346" t="s">
        <v>603</v>
      </c>
      <c r="G852" s="349" t="s">
        <v>458</v>
      </c>
      <c r="H852" s="350">
        <f t="shared" si="19"/>
        <v>2640</v>
      </c>
      <c r="I852" s="120" t="str">
        <f>IF(OR(D852&lt;Capa!$A$5,D852&gt;Capa!$A$7,E852&lt;Capa!$A$5,E852&gt;Capa!$A$7,D852&gt;E852),"Erro","")</f>
        <v/>
      </c>
    </row>
    <row r="853" spans="1:9" ht="40" hidden="1">
      <c r="A853" s="345">
        <v>1026</v>
      </c>
      <c r="B853" s="346" t="s">
        <v>252</v>
      </c>
      <c r="C853" s="347">
        <v>8000</v>
      </c>
      <c r="D853" s="348">
        <v>45658</v>
      </c>
      <c r="E853" s="348">
        <v>45992</v>
      </c>
      <c r="F853" s="346" t="s">
        <v>603</v>
      </c>
      <c r="G853" s="349" t="s">
        <v>459</v>
      </c>
      <c r="H853" s="350">
        <f t="shared" si="19"/>
        <v>96000</v>
      </c>
      <c r="I853" s="120" t="str">
        <f>IF(OR(D853&lt;Capa!$A$5,D853&gt;Capa!$A$7,E853&lt;Capa!$A$5,E853&gt;Capa!$A$7,D853&gt;E853),"Erro","")</f>
        <v/>
      </c>
    </row>
    <row r="854" spans="1:9" ht="40" hidden="1">
      <c r="A854" s="345">
        <v>1027</v>
      </c>
      <c r="B854" s="346" t="s">
        <v>252</v>
      </c>
      <c r="C854" s="347">
        <v>8000</v>
      </c>
      <c r="D854" s="348">
        <v>46023</v>
      </c>
      <c r="E854" s="348">
        <v>46357</v>
      </c>
      <c r="F854" s="346" t="s">
        <v>603</v>
      </c>
      <c r="G854" s="349" t="s">
        <v>459</v>
      </c>
      <c r="H854" s="350">
        <f t="shared" si="19"/>
        <v>96000</v>
      </c>
      <c r="I854" s="120" t="str">
        <f>IF(OR(D854&lt;Capa!$A$5,D854&gt;Capa!$A$7,E854&lt;Capa!$A$5,E854&gt;Capa!$A$7,D854&gt;E854),"Erro","")</f>
        <v/>
      </c>
    </row>
    <row r="855" spans="1:9" ht="40" hidden="1">
      <c r="A855" s="345">
        <v>1028</v>
      </c>
      <c r="B855" s="346" t="s">
        <v>252</v>
      </c>
      <c r="C855" s="347">
        <v>8000</v>
      </c>
      <c r="D855" s="348">
        <v>46388</v>
      </c>
      <c r="E855" s="348">
        <v>46722</v>
      </c>
      <c r="F855" s="346" t="s">
        <v>603</v>
      </c>
      <c r="G855" s="349" t="s">
        <v>459</v>
      </c>
      <c r="H855" s="350">
        <f t="shared" si="19"/>
        <v>96000</v>
      </c>
      <c r="I855" s="120" t="str">
        <f>IF(OR(D855&lt;Capa!$A$5,D855&gt;Capa!$A$7,E855&lt;Capa!$A$5,E855&gt;Capa!$A$7,D855&gt;E855),"Erro","")</f>
        <v/>
      </c>
    </row>
    <row r="856" spans="1:9" ht="40" hidden="1">
      <c r="A856" s="345">
        <v>1029</v>
      </c>
      <c r="B856" s="346" t="s">
        <v>252</v>
      </c>
      <c r="C856" s="347">
        <v>4000</v>
      </c>
      <c r="D856" s="348">
        <v>46753</v>
      </c>
      <c r="E856" s="348">
        <v>47058</v>
      </c>
      <c r="F856" s="346" t="s">
        <v>603</v>
      </c>
      <c r="G856" s="349" t="s">
        <v>459</v>
      </c>
      <c r="H856" s="350">
        <f t="shared" si="19"/>
        <v>44000</v>
      </c>
      <c r="I856" s="120" t="str">
        <f>IF(OR(D856&lt;Capa!$A$5,D856&gt;Capa!$A$7,E856&lt;Capa!$A$5,E856&gt;Capa!$A$7,D856&gt;E856),"Erro","")</f>
        <v/>
      </c>
    </row>
    <row r="857" spans="1:9" ht="20" hidden="1">
      <c r="A857" s="345">
        <v>1030</v>
      </c>
      <c r="B857" s="346" t="s">
        <v>620</v>
      </c>
      <c r="C857" s="347">
        <v>110</v>
      </c>
      <c r="D857" s="348">
        <v>45658</v>
      </c>
      <c r="E857" s="348">
        <v>47058</v>
      </c>
      <c r="F857" s="346" t="s">
        <v>603</v>
      </c>
      <c r="G857" s="349" t="s">
        <v>662</v>
      </c>
      <c r="H857" s="350">
        <f t="shared" si="19"/>
        <v>5170</v>
      </c>
      <c r="I857" s="120" t="str">
        <f>IF(OR(D857&lt;Capa!$A$5,D857&gt;Capa!$A$7,E857&lt;Capa!$A$5,E857&gt;Capa!$A$7,D857&gt;E857),"Erro","")</f>
        <v/>
      </c>
    </row>
    <row r="858" spans="1:9" ht="20" hidden="1">
      <c r="A858" s="345">
        <v>1032</v>
      </c>
      <c r="B858" s="346" t="s">
        <v>622</v>
      </c>
      <c r="C858" s="347">
        <v>850</v>
      </c>
      <c r="D858" s="348">
        <v>45658</v>
      </c>
      <c r="E858" s="348">
        <v>47058</v>
      </c>
      <c r="F858" s="346" t="s">
        <v>603</v>
      </c>
      <c r="G858" s="349" t="s">
        <v>664</v>
      </c>
      <c r="H858" s="350">
        <f t="shared" si="19"/>
        <v>39950</v>
      </c>
      <c r="I858" s="120" t="str">
        <f>IF(OR(D858&lt;Capa!$A$5,D858&gt;Capa!$A$7,E858&lt;Capa!$A$5,E858&gt;Capa!$A$7,D858&gt;E858),"Erro","")</f>
        <v/>
      </c>
    </row>
    <row r="859" spans="1:9" ht="40" hidden="1">
      <c r="A859" s="345">
        <v>1033</v>
      </c>
      <c r="B859" s="346" t="s">
        <v>621</v>
      </c>
      <c r="C859" s="347">
        <v>2000</v>
      </c>
      <c r="D859" s="348">
        <v>46419</v>
      </c>
      <c r="E859" s="348">
        <v>46419</v>
      </c>
      <c r="F859" s="346" t="s">
        <v>603</v>
      </c>
      <c r="G859" s="349" t="s">
        <v>667</v>
      </c>
      <c r="H859" s="350">
        <f t="shared" si="19"/>
        <v>2000</v>
      </c>
      <c r="I859" s="120" t="str">
        <f>IF(OR(D859&lt;Capa!$A$5,D859&gt;Capa!$A$7,E859&lt;Capa!$A$5,E859&gt;Capa!$A$7,D859&gt;E859),"Erro","")</f>
        <v/>
      </c>
    </row>
    <row r="860" spans="1:9" ht="30" hidden="1">
      <c r="A860" s="345">
        <v>1034</v>
      </c>
      <c r="B860" s="346" t="s">
        <v>619</v>
      </c>
      <c r="C860" s="347">
        <v>70</v>
      </c>
      <c r="D860" s="348">
        <v>45658</v>
      </c>
      <c r="E860" s="348">
        <v>47058</v>
      </c>
      <c r="F860" s="346" t="s">
        <v>603</v>
      </c>
      <c r="G860" s="349" t="s">
        <v>663</v>
      </c>
      <c r="H860" s="350">
        <f t="shared" si="19"/>
        <v>3290</v>
      </c>
      <c r="I860" s="120" t="str">
        <f>IF(OR(D860&lt;Capa!$A$5,D860&gt;Capa!$A$7,E860&lt;Capa!$A$5,E860&gt;Capa!$A$7,D860&gt;E860),"Erro","")</f>
        <v/>
      </c>
    </row>
    <row r="861" spans="1:9" ht="30" hidden="1">
      <c r="A861" s="345">
        <v>1035</v>
      </c>
      <c r="B861" s="346" t="s">
        <v>617</v>
      </c>
      <c r="C861" s="347">
        <v>200</v>
      </c>
      <c r="D861" s="348">
        <v>45658</v>
      </c>
      <c r="E861" s="348">
        <v>47058</v>
      </c>
      <c r="F861" s="346" t="s">
        <v>603</v>
      </c>
      <c r="G861" s="349" t="s">
        <v>639</v>
      </c>
      <c r="H861" s="350">
        <f t="shared" si="19"/>
        <v>9400</v>
      </c>
      <c r="I861" s="120" t="str">
        <f>IF(OR(D861&lt;Capa!$A$5,D861&gt;Capa!$A$7,E861&lt;Capa!$A$5,E861&gt;Capa!$A$7,D861&gt;E861),"Erro","")</f>
        <v/>
      </c>
    </row>
    <row r="862" spans="1:9" ht="20" hidden="1">
      <c r="A862" s="345">
        <v>1036</v>
      </c>
      <c r="B862" s="346" t="s">
        <v>618</v>
      </c>
      <c r="C862" s="347">
        <v>2500</v>
      </c>
      <c r="D862" s="348">
        <v>45658</v>
      </c>
      <c r="E862" s="348">
        <v>47058</v>
      </c>
      <c r="F862" s="346" t="s">
        <v>603</v>
      </c>
      <c r="G862" s="349" t="s">
        <v>657</v>
      </c>
      <c r="H862" s="350">
        <f t="shared" si="19"/>
        <v>117500</v>
      </c>
      <c r="I862" s="120" t="str">
        <f>IF(OR(D862&lt;Capa!$A$5,D862&gt;Capa!$A$7,E862&lt;Capa!$A$5,E862&gt;Capa!$A$7,D862&gt;E862),"Erro","")</f>
        <v/>
      </c>
    </row>
    <row r="863" spans="1:9" ht="30" hidden="1">
      <c r="A863" s="345">
        <v>1038</v>
      </c>
      <c r="B863" s="346" t="s">
        <v>623</v>
      </c>
      <c r="C863" s="347">
        <v>650</v>
      </c>
      <c r="D863" s="348">
        <v>45658</v>
      </c>
      <c r="E863" s="348">
        <v>46784</v>
      </c>
      <c r="F863" s="346" t="s">
        <v>603</v>
      </c>
      <c r="G863" s="349" t="s">
        <v>658</v>
      </c>
      <c r="H863" s="350">
        <f t="shared" si="19"/>
        <v>24700</v>
      </c>
      <c r="I863" s="120" t="str">
        <f>IF(OR(D863&lt;Capa!$A$5,D863&gt;Capa!$A$7,E863&lt;Capa!$A$5,E863&gt;Capa!$A$7,D863&gt;E863),"Erro","")</f>
        <v/>
      </c>
    </row>
    <row r="864" spans="1:9" ht="20" hidden="1">
      <c r="A864" s="345">
        <v>1039</v>
      </c>
      <c r="B864" s="346" t="s">
        <v>625</v>
      </c>
      <c r="C864" s="347">
        <v>90</v>
      </c>
      <c r="D864" s="348">
        <v>45658</v>
      </c>
      <c r="E864" s="348">
        <v>47058</v>
      </c>
      <c r="F864" s="346" t="s">
        <v>603</v>
      </c>
      <c r="G864" s="349" t="s">
        <v>659</v>
      </c>
      <c r="H864" s="350">
        <f t="shared" si="19"/>
        <v>4230</v>
      </c>
      <c r="I864" s="120" t="str">
        <f>IF(OR(D864&lt;Capa!$A$5,D864&gt;Capa!$A$7,E864&lt;Capa!$A$5,E864&gt;Capa!$A$7,D864&gt;E864),"Erro","")</f>
        <v/>
      </c>
    </row>
    <row r="865" spans="1:9" ht="20" hidden="1">
      <c r="A865" s="345">
        <v>1040</v>
      </c>
      <c r="B865" s="346" t="s">
        <v>627</v>
      </c>
      <c r="C865" s="347">
        <v>50</v>
      </c>
      <c r="D865" s="348">
        <v>45658</v>
      </c>
      <c r="E865" s="348">
        <v>47058</v>
      </c>
      <c r="F865" s="346" t="s">
        <v>603</v>
      </c>
      <c r="G865" s="349" t="s">
        <v>661</v>
      </c>
      <c r="H865" s="350">
        <f t="shared" si="19"/>
        <v>2350</v>
      </c>
      <c r="I865" s="120" t="str">
        <f>IF(OR(D865&lt;Capa!$A$5,D865&gt;Capa!$A$7,E865&lt;Capa!$A$5,E865&gt;Capa!$A$7,D865&gt;E865),"Erro","")</f>
        <v/>
      </c>
    </row>
    <row r="866" spans="1:9" ht="30" hidden="1">
      <c r="A866" s="345">
        <v>1041</v>
      </c>
      <c r="B866" s="346" t="s">
        <v>626</v>
      </c>
      <c r="C866" s="347">
        <v>350</v>
      </c>
      <c r="D866" s="348">
        <v>45658</v>
      </c>
      <c r="E866" s="348">
        <v>47058</v>
      </c>
      <c r="F866" s="346" t="s">
        <v>603</v>
      </c>
      <c r="G866" s="349" t="s">
        <v>660</v>
      </c>
      <c r="H866" s="350">
        <f t="shared" si="19"/>
        <v>16450</v>
      </c>
      <c r="I866" s="120" t="str">
        <f>IF(OR(D866&lt;Capa!$A$5,D866&gt;Capa!$A$7,E866&lt;Capa!$A$5,E866&gt;Capa!$A$7,D866&gt;E866),"Erro","")</f>
        <v/>
      </c>
    </row>
    <row r="867" spans="1:9" ht="20" hidden="1">
      <c r="A867" s="345">
        <v>1045</v>
      </c>
      <c r="B867" s="346" t="s">
        <v>198</v>
      </c>
      <c r="C867" s="347">
        <v>5040</v>
      </c>
      <c r="D867" s="348">
        <v>45658</v>
      </c>
      <c r="E867" s="348">
        <v>45992</v>
      </c>
      <c r="F867" s="346" t="s">
        <v>604</v>
      </c>
      <c r="G867" s="349" t="s">
        <v>437</v>
      </c>
      <c r="H867" s="350">
        <f t="shared" ref="H867:H918" si="20">IFERROR((DATEDIF(D867,E867,"M")+1)*C867,0)</f>
        <v>60480</v>
      </c>
      <c r="I867" s="120" t="str">
        <f>IF(OR(D867&lt;Capa!$A$5,D867&gt;Capa!$A$7,E867&lt;Capa!$A$5,E867&gt;Capa!$A$7,D867&gt;E867),"Erro","")</f>
        <v/>
      </c>
    </row>
    <row r="868" spans="1:9" ht="20" hidden="1">
      <c r="A868" s="345">
        <v>1046</v>
      </c>
      <c r="B868" s="346" t="s">
        <v>198</v>
      </c>
      <c r="C868" s="347">
        <v>5292</v>
      </c>
      <c r="D868" s="348">
        <v>46023</v>
      </c>
      <c r="E868" s="348">
        <v>46357</v>
      </c>
      <c r="F868" s="346" t="s">
        <v>604</v>
      </c>
      <c r="G868" s="349" t="s">
        <v>437</v>
      </c>
      <c r="H868" s="350">
        <f t="shared" si="20"/>
        <v>63504</v>
      </c>
      <c r="I868" s="120" t="str">
        <f>IF(OR(D868&lt;Capa!$A$5,D868&gt;Capa!$A$7,E868&lt;Capa!$A$5,E868&gt;Capa!$A$7,D868&gt;E868),"Erro","")</f>
        <v/>
      </c>
    </row>
    <row r="869" spans="1:9" ht="20" hidden="1">
      <c r="A869" s="345">
        <v>1047</v>
      </c>
      <c r="B869" s="346" t="s">
        <v>198</v>
      </c>
      <c r="C869" s="347">
        <v>5556.6</v>
      </c>
      <c r="D869" s="348">
        <v>46388</v>
      </c>
      <c r="E869" s="348">
        <v>46722</v>
      </c>
      <c r="F869" s="346" t="s">
        <v>604</v>
      </c>
      <c r="G869" s="349" t="s">
        <v>437</v>
      </c>
      <c r="H869" s="350">
        <f t="shared" si="20"/>
        <v>66679.200000000012</v>
      </c>
      <c r="I869" s="120" t="str">
        <f>IF(OR(D869&lt;Capa!$A$5,D869&gt;Capa!$A$7,E869&lt;Capa!$A$5,E869&gt;Capa!$A$7,D869&gt;E869),"Erro","")</f>
        <v/>
      </c>
    </row>
    <row r="870" spans="1:9" ht="20" hidden="1">
      <c r="A870" s="345">
        <v>1048</v>
      </c>
      <c r="B870" s="346" t="s">
        <v>198</v>
      </c>
      <c r="C870" s="347">
        <v>2000</v>
      </c>
      <c r="D870" s="348">
        <v>46753</v>
      </c>
      <c r="E870" s="348">
        <v>47058</v>
      </c>
      <c r="F870" s="346" t="s">
        <v>604</v>
      </c>
      <c r="G870" s="349" t="s">
        <v>437</v>
      </c>
      <c r="H870" s="350">
        <f t="shared" si="20"/>
        <v>22000</v>
      </c>
      <c r="I870" s="120" t="str">
        <f>IF(OR(D870&lt;Capa!$A$5,D870&gt;Capa!$A$7,E870&lt;Capa!$A$5,E870&gt;Capa!$A$7,D870&gt;E870),"Erro","")</f>
        <v/>
      </c>
    </row>
    <row r="871" spans="1:9" ht="20" hidden="1">
      <c r="A871" s="345">
        <v>1049</v>
      </c>
      <c r="B871" s="346" t="s">
        <v>202</v>
      </c>
      <c r="C871" s="347">
        <v>1500</v>
      </c>
      <c r="D871" s="348">
        <v>45658</v>
      </c>
      <c r="E871" s="348">
        <v>45658</v>
      </c>
      <c r="F871" s="346" t="s">
        <v>604</v>
      </c>
      <c r="G871" s="349" t="s">
        <v>438</v>
      </c>
      <c r="H871" s="350">
        <f t="shared" si="20"/>
        <v>1500</v>
      </c>
      <c r="I871" s="120" t="str">
        <f>IF(OR(D871&lt;Capa!$A$5,D871&gt;Capa!$A$7,E871&lt;Capa!$A$5,E871&gt;Capa!$A$7,D871&gt;E871),"Erro","")</f>
        <v/>
      </c>
    </row>
    <row r="872" spans="1:9" ht="20" hidden="1">
      <c r="A872" s="345">
        <v>1050</v>
      </c>
      <c r="B872" s="346" t="s">
        <v>202</v>
      </c>
      <c r="C872" s="347">
        <v>1300</v>
      </c>
      <c r="D872" s="348">
        <v>46023</v>
      </c>
      <c r="E872" s="348">
        <v>46023</v>
      </c>
      <c r="F872" s="346" t="s">
        <v>604</v>
      </c>
      <c r="G872" s="349" t="s">
        <v>438</v>
      </c>
      <c r="H872" s="350">
        <f t="shared" si="20"/>
        <v>1300</v>
      </c>
      <c r="I872" s="120" t="str">
        <f>IF(OR(D872&lt;Capa!$A$5,D872&gt;Capa!$A$7,E872&lt;Capa!$A$5,E872&gt;Capa!$A$7,D872&gt;E872),"Erro","")</f>
        <v/>
      </c>
    </row>
    <row r="873" spans="1:9" ht="20" hidden="1">
      <c r="A873" s="345">
        <v>1051</v>
      </c>
      <c r="B873" s="346" t="s">
        <v>202</v>
      </c>
      <c r="C873" s="347">
        <v>1300</v>
      </c>
      <c r="D873" s="348">
        <v>46388</v>
      </c>
      <c r="E873" s="348">
        <v>46388</v>
      </c>
      <c r="F873" s="346" t="s">
        <v>604</v>
      </c>
      <c r="G873" s="349" t="s">
        <v>438</v>
      </c>
      <c r="H873" s="350">
        <f t="shared" si="20"/>
        <v>1300</v>
      </c>
      <c r="I873" s="120" t="str">
        <f>IF(OR(D873&lt;Capa!$A$5,D873&gt;Capa!$A$7,E873&lt;Capa!$A$5,E873&gt;Capa!$A$7,D873&gt;E873),"Erro","")</f>
        <v/>
      </c>
    </row>
    <row r="874" spans="1:9" ht="20" hidden="1">
      <c r="A874" s="345">
        <v>1052</v>
      </c>
      <c r="B874" s="346" t="s">
        <v>202</v>
      </c>
      <c r="C874" s="347">
        <v>750</v>
      </c>
      <c r="D874" s="348">
        <v>46753</v>
      </c>
      <c r="E874" s="348">
        <v>46753</v>
      </c>
      <c r="F874" s="346" t="s">
        <v>604</v>
      </c>
      <c r="G874" s="349" t="s">
        <v>438</v>
      </c>
      <c r="H874" s="350">
        <f t="shared" si="20"/>
        <v>750</v>
      </c>
      <c r="I874" s="120" t="str">
        <f>IF(OR(D874&lt;Capa!$A$5,D874&gt;Capa!$A$7,E874&lt;Capa!$A$5,E874&gt;Capa!$A$7,D874&gt;E874),"Erro","")</f>
        <v/>
      </c>
    </row>
    <row r="875" spans="1:9" ht="20" hidden="1">
      <c r="A875" s="345">
        <v>1053</v>
      </c>
      <c r="B875" s="346" t="s">
        <v>204</v>
      </c>
      <c r="C875" s="347">
        <v>1250</v>
      </c>
      <c r="D875" s="348">
        <v>45658</v>
      </c>
      <c r="E875" s="348">
        <v>45748</v>
      </c>
      <c r="F875" s="346" t="s">
        <v>604</v>
      </c>
      <c r="G875" s="349" t="s">
        <v>438</v>
      </c>
      <c r="H875" s="350">
        <f t="shared" si="20"/>
        <v>5000</v>
      </c>
      <c r="I875" s="120" t="str">
        <f>IF(OR(D875&lt;Capa!$A$5,D875&gt;Capa!$A$7,E875&lt;Capa!$A$5,E875&gt;Capa!$A$7,D875&gt;E875),"Erro","")</f>
        <v/>
      </c>
    </row>
    <row r="876" spans="1:9" ht="20" hidden="1">
      <c r="A876" s="345">
        <v>1054</v>
      </c>
      <c r="B876" s="346" t="s">
        <v>204</v>
      </c>
      <c r="C876" s="347">
        <v>1250</v>
      </c>
      <c r="D876" s="348">
        <v>46023</v>
      </c>
      <c r="E876" s="348">
        <v>46113</v>
      </c>
      <c r="F876" s="346" t="s">
        <v>604</v>
      </c>
      <c r="G876" s="349" t="s">
        <v>438</v>
      </c>
      <c r="H876" s="350">
        <f t="shared" si="20"/>
        <v>5000</v>
      </c>
      <c r="I876" s="120" t="str">
        <f>IF(OR(D876&lt;Capa!$A$5,D876&gt;Capa!$A$7,E876&lt;Capa!$A$5,E876&gt;Capa!$A$7,D876&gt;E876),"Erro","")</f>
        <v/>
      </c>
    </row>
    <row r="877" spans="1:9" ht="20" hidden="1">
      <c r="A877" s="345">
        <v>1055</v>
      </c>
      <c r="B877" s="346" t="s">
        <v>204</v>
      </c>
      <c r="C877" s="347">
        <v>1250</v>
      </c>
      <c r="D877" s="348">
        <v>46388</v>
      </c>
      <c r="E877" s="348">
        <v>46478</v>
      </c>
      <c r="F877" s="346" t="s">
        <v>604</v>
      </c>
      <c r="G877" s="349" t="s">
        <v>438</v>
      </c>
      <c r="H877" s="350">
        <f t="shared" si="20"/>
        <v>5000</v>
      </c>
      <c r="I877" s="120" t="str">
        <f>IF(OR(D877&lt;Capa!$A$5,D877&gt;Capa!$A$7,E877&lt;Capa!$A$5,E877&gt;Capa!$A$7,D877&gt;E877),"Erro","")</f>
        <v/>
      </c>
    </row>
    <row r="878" spans="1:9" ht="20" hidden="1">
      <c r="A878" s="345">
        <v>1056</v>
      </c>
      <c r="B878" s="346" t="s">
        <v>204</v>
      </c>
      <c r="C878" s="347">
        <v>780</v>
      </c>
      <c r="D878" s="348">
        <v>46753</v>
      </c>
      <c r="E878" s="348">
        <v>46844</v>
      </c>
      <c r="F878" s="346" t="s">
        <v>604</v>
      </c>
      <c r="G878" s="349" t="s">
        <v>438</v>
      </c>
      <c r="H878" s="350">
        <f t="shared" si="20"/>
        <v>3120</v>
      </c>
      <c r="I878" s="120" t="str">
        <f>IF(OR(D878&lt;Capa!$A$5,D878&gt;Capa!$A$7,E878&lt;Capa!$A$5,E878&gt;Capa!$A$7,D878&gt;E878),"Erro","")</f>
        <v/>
      </c>
    </row>
    <row r="879" spans="1:9" ht="20" hidden="1">
      <c r="A879" s="345">
        <v>1058</v>
      </c>
      <c r="B879" s="346" t="s">
        <v>206</v>
      </c>
      <c r="C879" s="347">
        <v>900</v>
      </c>
      <c r="D879" s="348">
        <v>45658</v>
      </c>
      <c r="E879" s="348">
        <v>45992</v>
      </c>
      <c r="F879" s="346" t="s">
        <v>604</v>
      </c>
      <c r="G879" s="349" t="s">
        <v>439</v>
      </c>
      <c r="H879" s="350">
        <f t="shared" si="20"/>
        <v>10800</v>
      </c>
      <c r="I879" s="120" t="str">
        <f>IF(OR(D879&lt;Capa!$A$5,D879&gt;Capa!$A$7,E879&lt;Capa!$A$5,E879&gt;Capa!$A$7,D879&gt;E879),"Erro","")</f>
        <v/>
      </c>
    </row>
    <row r="880" spans="1:9" ht="20" hidden="1">
      <c r="A880" s="345">
        <v>1059</v>
      </c>
      <c r="B880" s="346" t="s">
        <v>206</v>
      </c>
      <c r="C880" s="347">
        <v>900</v>
      </c>
      <c r="D880" s="348">
        <v>46023</v>
      </c>
      <c r="E880" s="348">
        <v>46357</v>
      </c>
      <c r="F880" s="346" t="s">
        <v>604</v>
      </c>
      <c r="G880" s="349" t="s">
        <v>439</v>
      </c>
      <c r="H880" s="350">
        <f t="shared" si="20"/>
        <v>10800</v>
      </c>
      <c r="I880" s="120" t="str">
        <f>IF(OR(D880&lt;Capa!$A$5,D880&gt;Capa!$A$7,E880&lt;Capa!$A$5,E880&gt;Capa!$A$7,D880&gt;E880),"Erro","")</f>
        <v/>
      </c>
    </row>
    <row r="881" spans="1:9" ht="20" hidden="1">
      <c r="A881" s="345">
        <v>1060</v>
      </c>
      <c r="B881" s="346" t="s">
        <v>206</v>
      </c>
      <c r="C881" s="347">
        <v>900</v>
      </c>
      <c r="D881" s="348">
        <v>46388</v>
      </c>
      <c r="E881" s="348">
        <v>46722</v>
      </c>
      <c r="F881" s="346" t="s">
        <v>604</v>
      </c>
      <c r="G881" s="349" t="s">
        <v>439</v>
      </c>
      <c r="H881" s="350">
        <f t="shared" si="20"/>
        <v>10800</v>
      </c>
      <c r="I881" s="120" t="str">
        <f>IF(OR(D881&lt;Capa!$A$5,D881&gt;Capa!$A$7,E881&lt;Capa!$A$5,E881&gt;Capa!$A$7,D881&gt;E881),"Erro","")</f>
        <v/>
      </c>
    </row>
    <row r="882" spans="1:9" ht="20" hidden="1">
      <c r="A882" s="345">
        <v>1061</v>
      </c>
      <c r="B882" s="346" t="s">
        <v>206</v>
      </c>
      <c r="C882" s="347">
        <v>400</v>
      </c>
      <c r="D882" s="348">
        <v>46753</v>
      </c>
      <c r="E882" s="348">
        <v>47058</v>
      </c>
      <c r="F882" s="346" t="s">
        <v>604</v>
      </c>
      <c r="G882" s="349" t="s">
        <v>439</v>
      </c>
      <c r="H882" s="350">
        <f t="shared" si="20"/>
        <v>4400</v>
      </c>
      <c r="I882" s="120" t="str">
        <f>IF(OR(D882&lt;Capa!$A$5,D882&gt;Capa!$A$7,E882&lt;Capa!$A$5,E882&gt;Capa!$A$7,D882&gt;E882),"Erro","")</f>
        <v/>
      </c>
    </row>
    <row r="883" spans="1:9" ht="20" hidden="1">
      <c r="A883" s="345">
        <v>1063</v>
      </c>
      <c r="B883" s="346" t="s">
        <v>208</v>
      </c>
      <c r="C883" s="347">
        <v>500</v>
      </c>
      <c r="D883" s="348">
        <v>45658</v>
      </c>
      <c r="E883" s="348">
        <v>45992</v>
      </c>
      <c r="F883" s="346" t="s">
        <v>604</v>
      </c>
      <c r="G883" s="349" t="s">
        <v>439</v>
      </c>
      <c r="H883" s="350">
        <f t="shared" si="20"/>
        <v>6000</v>
      </c>
      <c r="I883" s="120" t="str">
        <f>IF(OR(D883&lt;Capa!$A$5,D883&gt;Capa!$A$7,E883&lt;Capa!$A$5,E883&gt;Capa!$A$7,D883&gt;E883),"Erro","")</f>
        <v/>
      </c>
    </row>
    <row r="884" spans="1:9" ht="20" hidden="1">
      <c r="A884" s="345">
        <v>1064</v>
      </c>
      <c r="B884" s="346" t="s">
        <v>208</v>
      </c>
      <c r="C884" s="347">
        <v>500</v>
      </c>
      <c r="D884" s="348">
        <v>46023</v>
      </c>
      <c r="E884" s="348">
        <v>46357</v>
      </c>
      <c r="F884" s="346" t="s">
        <v>604</v>
      </c>
      <c r="G884" s="349" t="s">
        <v>439</v>
      </c>
      <c r="H884" s="350">
        <f t="shared" si="20"/>
        <v>6000</v>
      </c>
      <c r="I884" s="120" t="str">
        <f>IF(OR(D884&lt;Capa!$A$5,D884&gt;Capa!$A$7,E884&lt;Capa!$A$5,E884&gt;Capa!$A$7,D884&gt;E884),"Erro","")</f>
        <v/>
      </c>
    </row>
    <row r="885" spans="1:9" ht="20" hidden="1">
      <c r="A885" s="345">
        <v>1065</v>
      </c>
      <c r="B885" s="346" t="s">
        <v>208</v>
      </c>
      <c r="C885" s="347">
        <v>500</v>
      </c>
      <c r="D885" s="348">
        <v>46388</v>
      </c>
      <c r="E885" s="348">
        <v>46722</v>
      </c>
      <c r="F885" s="346" t="s">
        <v>604</v>
      </c>
      <c r="G885" s="349" t="s">
        <v>439</v>
      </c>
      <c r="H885" s="350">
        <f t="shared" si="20"/>
        <v>6000</v>
      </c>
      <c r="I885" s="120" t="str">
        <f>IF(OR(D885&lt;Capa!$A$5,D885&gt;Capa!$A$7,E885&lt;Capa!$A$5,E885&gt;Capa!$A$7,D885&gt;E885),"Erro","")</f>
        <v/>
      </c>
    </row>
    <row r="886" spans="1:9" ht="20" hidden="1">
      <c r="A886" s="345">
        <v>1066</v>
      </c>
      <c r="B886" s="346" t="s">
        <v>208</v>
      </c>
      <c r="C886" s="347">
        <v>250</v>
      </c>
      <c r="D886" s="348">
        <v>46753</v>
      </c>
      <c r="E886" s="348">
        <v>47058</v>
      </c>
      <c r="F886" s="346" t="s">
        <v>604</v>
      </c>
      <c r="G886" s="349" t="s">
        <v>439</v>
      </c>
      <c r="H886" s="350">
        <f t="shared" si="20"/>
        <v>2750</v>
      </c>
      <c r="I886" s="120" t="str">
        <f>IF(OR(D886&lt;Capa!$A$5,D886&gt;Capa!$A$7,E886&lt;Capa!$A$5,E886&gt;Capa!$A$7,D886&gt;E886),"Erro","")</f>
        <v/>
      </c>
    </row>
    <row r="887" spans="1:9" ht="20" hidden="1">
      <c r="A887" s="345">
        <v>1068</v>
      </c>
      <c r="B887" s="346" t="s">
        <v>210</v>
      </c>
      <c r="C887" s="347">
        <v>60</v>
      </c>
      <c r="D887" s="348">
        <v>45658</v>
      </c>
      <c r="E887" s="348">
        <v>45992</v>
      </c>
      <c r="F887" s="346" t="s">
        <v>604</v>
      </c>
      <c r="G887" s="349" t="s">
        <v>439</v>
      </c>
      <c r="H887" s="350">
        <f t="shared" si="20"/>
        <v>720</v>
      </c>
      <c r="I887" s="120" t="str">
        <f>IF(OR(D887&lt;Capa!$A$5,D887&gt;Capa!$A$7,E887&lt;Capa!$A$5,E887&gt;Capa!$A$7,D887&gt;E887),"Erro","")</f>
        <v/>
      </c>
    </row>
    <row r="888" spans="1:9" ht="20" hidden="1">
      <c r="A888" s="345">
        <v>1069</v>
      </c>
      <c r="B888" s="346" t="s">
        <v>210</v>
      </c>
      <c r="C888" s="347">
        <v>60</v>
      </c>
      <c r="D888" s="348">
        <v>46023</v>
      </c>
      <c r="E888" s="348">
        <v>46357</v>
      </c>
      <c r="F888" s="346" t="s">
        <v>604</v>
      </c>
      <c r="G888" s="349" t="s">
        <v>439</v>
      </c>
      <c r="H888" s="350">
        <f t="shared" si="20"/>
        <v>720</v>
      </c>
      <c r="I888" s="120" t="str">
        <f>IF(OR(D888&lt;Capa!$A$5,D888&gt;Capa!$A$7,E888&lt;Capa!$A$5,E888&gt;Capa!$A$7,D888&gt;E888),"Erro","")</f>
        <v/>
      </c>
    </row>
    <row r="889" spans="1:9" ht="20" hidden="1">
      <c r="A889" s="345">
        <v>1070</v>
      </c>
      <c r="B889" s="346" t="s">
        <v>210</v>
      </c>
      <c r="C889" s="347">
        <v>60</v>
      </c>
      <c r="D889" s="348">
        <v>46388</v>
      </c>
      <c r="E889" s="348">
        <v>46722</v>
      </c>
      <c r="F889" s="346" t="s">
        <v>604</v>
      </c>
      <c r="G889" s="349" t="s">
        <v>439</v>
      </c>
      <c r="H889" s="350">
        <f t="shared" si="20"/>
        <v>720</v>
      </c>
      <c r="I889" s="120" t="str">
        <f>IF(OR(D889&lt;Capa!$A$5,D889&gt;Capa!$A$7,E889&lt;Capa!$A$5,E889&gt;Capa!$A$7,D889&gt;E889),"Erro","")</f>
        <v/>
      </c>
    </row>
    <row r="890" spans="1:9" ht="20" hidden="1">
      <c r="A890" s="345">
        <v>1071</v>
      </c>
      <c r="B890" s="346" t="s">
        <v>210</v>
      </c>
      <c r="C890" s="347">
        <v>49</v>
      </c>
      <c r="D890" s="348">
        <v>46753</v>
      </c>
      <c r="E890" s="348">
        <v>47058</v>
      </c>
      <c r="F890" s="346" t="s">
        <v>604</v>
      </c>
      <c r="G890" s="349" t="s">
        <v>439</v>
      </c>
      <c r="H890" s="350">
        <f t="shared" si="20"/>
        <v>539</v>
      </c>
      <c r="I890" s="120" t="str">
        <f>IF(OR(D890&lt;Capa!$A$5,D890&gt;Capa!$A$7,E890&lt;Capa!$A$5,E890&gt;Capa!$A$7,D890&gt;E890),"Erro","")</f>
        <v/>
      </c>
    </row>
    <row r="891" spans="1:9" ht="20" hidden="1">
      <c r="A891" s="345">
        <v>1073</v>
      </c>
      <c r="B891" s="346" t="s">
        <v>214</v>
      </c>
      <c r="C891" s="347">
        <v>140</v>
      </c>
      <c r="D891" s="348">
        <v>45658</v>
      </c>
      <c r="E891" s="348">
        <v>45992</v>
      </c>
      <c r="F891" s="346" t="s">
        <v>604</v>
      </c>
      <c r="G891" s="349" t="s">
        <v>439</v>
      </c>
      <c r="H891" s="350">
        <f t="shared" si="20"/>
        <v>1680</v>
      </c>
      <c r="I891" s="120" t="str">
        <f>IF(OR(D891&lt;Capa!$A$5,D891&gt;Capa!$A$7,E891&lt;Capa!$A$5,E891&gt;Capa!$A$7,D891&gt;E891),"Erro","")</f>
        <v/>
      </c>
    </row>
    <row r="892" spans="1:9" ht="20" hidden="1">
      <c r="A892" s="345">
        <v>1074</v>
      </c>
      <c r="B892" s="346" t="s">
        <v>214</v>
      </c>
      <c r="C892" s="347">
        <v>140</v>
      </c>
      <c r="D892" s="348">
        <v>46023</v>
      </c>
      <c r="E892" s="348">
        <v>46357</v>
      </c>
      <c r="F892" s="346" t="s">
        <v>604</v>
      </c>
      <c r="G892" s="349" t="s">
        <v>439</v>
      </c>
      <c r="H892" s="350">
        <f t="shared" si="20"/>
        <v>1680</v>
      </c>
      <c r="I892" s="120" t="str">
        <f>IF(OR(D892&lt;Capa!$A$5,D892&gt;Capa!$A$7,E892&lt;Capa!$A$5,E892&gt;Capa!$A$7,D892&gt;E892),"Erro","")</f>
        <v/>
      </c>
    </row>
    <row r="893" spans="1:9" ht="20" hidden="1">
      <c r="A893" s="345">
        <v>1075</v>
      </c>
      <c r="B893" s="346" t="s">
        <v>214</v>
      </c>
      <c r="C893" s="347">
        <v>140</v>
      </c>
      <c r="D893" s="348">
        <v>46388</v>
      </c>
      <c r="E893" s="348">
        <v>46722</v>
      </c>
      <c r="F893" s="346" t="s">
        <v>604</v>
      </c>
      <c r="G893" s="349" t="s">
        <v>439</v>
      </c>
      <c r="H893" s="350">
        <f t="shared" si="20"/>
        <v>1680</v>
      </c>
      <c r="I893" s="120" t="str">
        <f>IF(OR(D893&lt;Capa!$A$5,D893&gt;Capa!$A$7,E893&lt;Capa!$A$5,E893&gt;Capa!$A$7,D893&gt;E893),"Erro","")</f>
        <v/>
      </c>
    </row>
    <row r="894" spans="1:9" ht="20" hidden="1">
      <c r="A894" s="345">
        <v>1076</v>
      </c>
      <c r="B894" s="346" t="s">
        <v>214</v>
      </c>
      <c r="C894" s="347">
        <v>70</v>
      </c>
      <c r="D894" s="348">
        <v>46753</v>
      </c>
      <c r="E894" s="348">
        <v>47058</v>
      </c>
      <c r="F894" s="346" t="s">
        <v>604</v>
      </c>
      <c r="G894" s="349" t="s">
        <v>439</v>
      </c>
      <c r="H894" s="350">
        <f t="shared" si="20"/>
        <v>770</v>
      </c>
      <c r="I894" s="120" t="str">
        <f>IF(OR(D894&lt;Capa!$A$5,D894&gt;Capa!$A$7,E894&lt;Capa!$A$5,E894&gt;Capa!$A$7,D894&gt;E894),"Erro","")</f>
        <v/>
      </c>
    </row>
    <row r="895" spans="1:9" ht="20" hidden="1">
      <c r="A895" s="345">
        <v>1078</v>
      </c>
      <c r="B895" s="346" t="s">
        <v>212</v>
      </c>
      <c r="C895" s="347">
        <v>260</v>
      </c>
      <c r="D895" s="348">
        <v>45658</v>
      </c>
      <c r="E895" s="348">
        <v>45992</v>
      </c>
      <c r="F895" s="346" t="s">
        <v>604</v>
      </c>
      <c r="G895" s="349" t="s">
        <v>439</v>
      </c>
      <c r="H895" s="350">
        <f t="shared" si="20"/>
        <v>3120</v>
      </c>
      <c r="I895" s="120" t="str">
        <f>IF(OR(D895&lt;Capa!$A$5,D895&gt;Capa!$A$7,E895&lt;Capa!$A$5,E895&gt;Capa!$A$7,D895&gt;E895),"Erro","")</f>
        <v/>
      </c>
    </row>
    <row r="896" spans="1:9" ht="20" hidden="1">
      <c r="A896" s="345">
        <v>1079</v>
      </c>
      <c r="B896" s="346" t="s">
        <v>212</v>
      </c>
      <c r="C896" s="347">
        <v>260</v>
      </c>
      <c r="D896" s="348">
        <v>46023</v>
      </c>
      <c r="E896" s="348">
        <v>46357</v>
      </c>
      <c r="F896" s="346" t="s">
        <v>604</v>
      </c>
      <c r="G896" s="349" t="s">
        <v>439</v>
      </c>
      <c r="H896" s="350">
        <f t="shared" si="20"/>
        <v>3120</v>
      </c>
      <c r="I896" s="120" t="str">
        <f>IF(OR(D896&lt;Capa!$A$5,D896&gt;Capa!$A$7,E896&lt;Capa!$A$5,E896&gt;Capa!$A$7,D896&gt;E896),"Erro","")</f>
        <v/>
      </c>
    </row>
    <row r="897" spans="1:9" ht="20" hidden="1">
      <c r="A897" s="345">
        <v>1080</v>
      </c>
      <c r="B897" s="346" t="s">
        <v>212</v>
      </c>
      <c r="C897" s="347">
        <v>260</v>
      </c>
      <c r="D897" s="348">
        <v>46388</v>
      </c>
      <c r="E897" s="348">
        <v>46722</v>
      </c>
      <c r="F897" s="346" t="s">
        <v>604</v>
      </c>
      <c r="G897" s="349" t="s">
        <v>439</v>
      </c>
      <c r="H897" s="350">
        <f t="shared" si="20"/>
        <v>3120</v>
      </c>
      <c r="I897" s="120" t="str">
        <f>IF(OR(D897&lt;Capa!$A$5,D897&gt;Capa!$A$7,E897&lt;Capa!$A$5,E897&gt;Capa!$A$7,D897&gt;E897),"Erro","")</f>
        <v/>
      </c>
    </row>
    <row r="898" spans="1:9" ht="20" hidden="1">
      <c r="A898" s="345">
        <v>1081</v>
      </c>
      <c r="B898" s="346" t="s">
        <v>212</v>
      </c>
      <c r="C898" s="347">
        <v>220</v>
      </c>
      <c r="D898" s="348">
        <v>46753</v>
      </c>
      <c r="E898" s="348">
        <v>47058</v>
      </c>
      <c r="F898" s="346" t="s">
        <v>604</v>
      </c>
      <c r="G898" s="349" t="s">
        <v>439</v>
      </c>
      <c r="H898" s="350">
        <f t="shared" si="20"/>
        <v>2420</v>
      </c>
      <c r="I898" s="120" t="str">
        <f>IF(OR(D898&lt;Capa!$A$5,D898&gt;Capa!$A$7,E898&lt;Capa!$A$5,E898&gt;Capa!$A$7,D898&gt;E898),"Erro","")</f>
        <v/>
      </c>
    </row>
    <row r="899" spans="1:9" ht="40" hidden="1">
      <c r="A899" s="345">
        <v>1083</v>
      </c>
      <c r="B899" s="346" t="s">
        <v>248</v>
      </c>
      <c r="C899" s="347">
        <v>846</v>
      </c>
      <c r="D899" s="348">
        <v>45658</v>
      </c>
      <c r="E899" s="348">
        <v>45992</v>
      </c>
      <c r="F899" s="346" t="s">
        <v>604</v>
      </c>
      <c r="G899" s="349" t="s">
        <v>440</v>
      </c>
      <c r="H899" s="350">
        <f t="shared" si="20"/>
        <v>10152</v>
      </c>
      <c r="I899" s="120" t="str">
        <f>IF(OR(D899&lt;Capa!$A$5,D899&gt;Capa!$A$7,E899&lt;Capa!$A$5,E899&gt;Capa!$A$7,D899&gt;E899),"Erro","")</f>
        <v/>
      </c>
    </row>
    <row r="900" spans="1:9" ht="40" hidden="1">
      <c r="A900" s="345">
        <v>1084</v>
      </c>
      <c r="B900" s="346" t="s">
        <v>248</v>
      </c>
      <c r="C900" s="347">
        <v>846</v>
      </c>
      <c r="D900" s="348">
        <v>46023</v>
      </c>
      <c r="E900" s="348">
        <v>46357</v>
      </c>
      <c r="F900" s="346" t="s">
        <v>604</v>
      </c>
      <c r="G900" s="349" t="s">
        <v>440</v>
      </c>
      <c r="H900" s="350">
        <f t="shared" si="20"/>
        <v>10152</v>
      </c>
      <c r="I900" s="120" t="str">
        <f>IF(OR(D900&lt;Capa!$A$5,D900&gt;Capa!$A$7,E900&lt;Capa!$A$5,E900&gt;Capa!$A$7,D900&gt;E900),"Erro","")</f>
        <v/>
      </c>
    </row>
    <row r="901" spans="1:9" ht="40" hidden="1">
      <c r="A901" s="345">
        <v>1085</v>
      </c>
      <c r="B901" s="346" t="s">
        <v>248</v>
      </c>
      <c r="C901" s="347">
        <v>846</v>
      </c>
      <c r="D901" s="348">
        <v>46388</v>
      </c>
      <c r="E901" s="348">
        <v>46722</v>
      </c>
      <c r="F901" s="346" t="s">
        <v>604</v>
      </c>
      <c r="G901" s="349" t="s">
        <v>440</v>
      </c>
      <c r="H901" s="350">
        <f t="shared" si="20"/>
        <v>10152</v>
      </c>
      <c r="I901" s="120" t="str">
        <f>IF(OR(D901&lt;Capa!$A$5,D901&gt;Capa!$A$7,E901&lt;Capa!$A$5,E901&gt;Capa!$A$7,D901&gt;E901),"Erro","")</f>
        <v/>
      </c>
    </row>
    <row r="902" spans="1:9" ht="40" hidden="1">
      <c r="A902" s="345">
        <v>1086</v>
      </c>
      <c r="B902" s="346" t="s">
        <v>248</v>
      </c>
      <c r="C902" s="347">
        <v>500</v>
      </c>
      <c r="D902" s="348">
        <v>46753</v>
      </c>
      <c r="E902" s="348">
        <v>47058</v>
      </c>
      <c r="F902" s="346" t="s">
        <v>604</v>
      </c>
      <c r="G902" s="349" t="s">
        <v>440</v>
      </c>
      <c r="H902" s="350">
        <f t="shared" si="20"/>
        <v>5500</v>
      </c>
      <c r="I902" s="120" t="str">
        <f>IF(OR(D902&lt;Capa!$A$5,D902&gt;Capa!$A$7,E902&lt;Capa!$A$5,E902&gt;Capa!$A$7,D902&gt;E902),"Erro","")</f>
        <v/>
      </c>
    </row>
    <row r="903" spans="1:9" ht="30" hidden="1">
      <c r="A903" s="345">
        <v>1087</v>
      </c>
      <c r="B903" s="346" t="s">
        <v>266</v>
      </c>
      <c r="C903" s="347">
        <v>1500</v>
      </c>
      <c r="D903" s="348">
        <v>45658</v>
      </c>
      <c r="E903" s="348">
        <v>45658</v>
      </c>
      <c r="F903" s="346" t="s">
        <v>604</v>
      </c>
      <c r="G903" s="349" t="s">
        <v>441</v>
      </c>
      <c r="H903" s="350">
        <f t="shared" si="20"/>
        <v>1500</v>
      </c>
      <c r="I903" s="120" t="str">
        <f>IF(OR(D903&lt;Capa!$A$5,D903&gt;Capa!$A$7,E903&lt;Capa!$A$5,E903&gt;Capa!$A$7,D903&gt;E903),"Erro","")</f>
        <v/>
      </c>
    </row>
    <row r="904" spans="1:9" ht="30" hidden="1">
      <c r="A904" s="345">
        <v>1088</v>
      </c>
      <c r="B904" s="346" t="s">
        <v>266</v>
      </c>
      <c r="C904" s="347">
        <v>1500</v>
      </c>
      <c r="D904" s="348">
        <v>46023</v>
      </c>
      <c r="E904" s="348">
        <v>46023</v>
      </c>
      <c r="F904" s="346" t="s">
        <v>604</v>
      </c>
      <c r="G904" s="349" t="s">
        <v>441</v>
      </c>
      <c r="H904" s="350">
        <f t="shared" si="20"/>
        <v>1500</v>
      </c>
      <c r="I904" s="120" t="str">
        <f>IF(OR(D904&lt;Capa!$A$5,D904&gt;Capa!$A$7,E904&lt;Capa!$A$5,E904&gt;Capa!$A$7,D904&gt;E904),"Erro","")</f>
        <v/>
      </c>
    </row>
    <row r="905" spans="1:9" ht="30" hidden="1">
      <c r="A905" s="345">
        <v>1089</v>
      </c>
      <c r="B905" s="346" t="s">
        <v>266</v>
      </c>
      <c r="C905" s="347">
        <v>1500</v>
      </c>
      <c r="D905" s="348">
        <v>46388</v>
      </c>
      <c r="E905" s="348">
        <v>46388</v>
      </c>
      <c r="F905" s="346" t="s">
        <v>604</v>
      </c>
      <c r="G905" s="349" t="s">
        <v>441</v>
      </c>
      <c r="H905" s="350">
        <f t="shared" si="20"/>
        <v>1500</v>
      </c>
      <c r="I905" s="120" t="str">
        <f>IF(OR(D905&lt;Capa!$A$5,D905&gt;Capa!$A$7,E905&lt;Capa!$A$5,E905&gt;Capa!$A$7,D905&gt;E905),"Erro","")</f>
        <v/>
      </c>
    </row>
    <row r="906" spans="1:9" ht="30" hidden="1">
      <c r="A906" s="345">
        <v>1090</v>
      </c>
      <c r="B906" s="346" t="s">
        <v>266</v>
      </c>
      <c r="C906" s="347">
        <v>750</v>
      </c>
      <c r="D906" s="348">
        <v>46753</v>
      </c>
      <c r="E906" s="348">
        <v>46753</v>
      </c>
      <c r="F906" s="346" t="s">
        <v>604</v>
      </c>
      <c r="G906" s="349" t="s">
        <v>441</v>
      </c>
      <c r="H906" s="350">
        <f t="shared" si="20"/>
        <v>750</v>
      </c>
      <c r="I906" s="120" t="str">
        <f>IF(OR(D906&lt;Capa!$A$5,D906&gt;Capa!$A$7,E906&lt;Capa!$A$5,E906&gt;Capa!$A$7,D906&gt;E906),"Erro","")</f>
        <v/>
      </c>
    </row>
    <row r="907" spans="1:9" hidden="1">
      <c r="A907" s="345">
        <v>1092</v>
      </c>
      <c r="B907" s="346" t="s">
        <v>274</v>
      </c>
      <c r="C907" s="347">
        <v>850</v>
      </c>
      <c r="D907" s="348">
        <v>45658</v>
      </c>
      <c r="E907" s="348">
        <v>45992</v>
      </c>
      <c r="F907" s="346" t="s">
        <v>604</v>
      </c>
      <c r="G907" s="349" t="s">
        <v>442</v>
      </c>
      <c r="H907" s="350">
        <f t="shared" si="20"/>
        <v>10200</v>
      </c>
      <c r="I907" s="120" t="str">
        <f>IF(OR(D907&lt;Capa!$A$5,D907&gt;Capa!$A$7,E907&lt;Capa!$A$5,E907&gt;Capa!$A$7,D907&gt;E907),"Erro","")</f>
        <v/>
      </c>
    </row>
    <row r="908" spans="1:9" hidden="1">
      <c r="A908" s="345">
        <v>1093</v>
      </c>
      <c r="B908" s="346" t="s">
        <v>274</v>
      </c>
      <c r="C908" s="347">
        <v>850</v>
      </c>
      <c r="D908" s="348">
        <v>46023</v>
      </c>
      <c r="E908" s="348">
        <v>46357</v>
      </c>
      <c r="F908" s="346" t="s">
        <v>604</v>
      </c>
      <c r="G908" s="349" t="s">
        <v>442</v>
      </c>
      <c r="H908" s="350">
        <f t="shared" si="20"/>
        <v>10200</v>
      </c>
      <c r="I908" s="120" t="str">
        <f>IF(OR(D908&lt;Capa!$A$5,D908&gt;Capa!$A$7,E908&lt;Capa!$A$5,E908&gt;Capa!$A$7,D908&gt;E908),"Erro","")</f>
        <v/>
      </c>
    </row>
    <row r="909" spans="1:9" hidden="1">
      <c r="A909" s="345">
        <v>1094</v>
      </c>
      <c r="B909" s="346" t="s">
        <v>274</v>
      </c>
      <c r="C909" s="347">
        <v>850</v>
      </c>
      <c r="D909" s="348">
        <v>46388</v>
      </c>
      <c r="E909" s="348">
        <v>46722</v>
      </c>
      <c r="F909" s="346" t="s">
        <v>604</v>
      </c>
      <c r="G909" s="349" t="s">
        <v>442</v>
      </c>
      <c r="H909" s="350">
        <f t="shared" si="20"/>
        <v>10200</v>
      </c>
      <c r="I909" s="120" t="str">
        <f>IF(OR(D909&lt;Capa!$A$5,D909&gt;Capa!$A$7,E909&lt;Capa!$A$5,E909&gt;Capa!$A$7,D909&gt;E909),"Erro","")</f>
        <v/>
      </c>
    </row>
    <row r="910" spans="1:9" hidden="1">
      <c r="A910" s="345">
        <v>1095</v>
      </c>
      <c r="B910" s="346" t="s">
        <v>274</v>
      </c>
      <c r="C910" s="347">
        <v>450</v>
      </c>
      <c r="D910" s="348">
        <v>46753</v>
      </c>
      <c r="E910" s="348">
        <v>47058</v>
      </c>
      <c r="F910" s="346" t="s">
        <v>604</v>
      </c>
      <c r="G910" s="349" t="s">
        <v>442</v>
      </c>
      <c r="H910" s="350">
        <f t="shared" si="20"/>
        <v>4950</v>
      </c>
      <c r="I910" s="120" t="str">
        <f>IF(OR(D910&lt;Capa!$A$5,D910&gt;Capa!$A$7,E910&lt;Capa!$A$5,E910&gt;Capa!$A$7,D910&gt;E910),"Erro","")</f>
        <v/>
      </c>
    </row>
    <row r="911" spans="1:9" ht="40" hidden="1">
      <c r="A911" s="345">
        <v>1097</v>
      </c>
      <c r="B911" s="346" t="s">
        <v>236</v>
      </c>
      <c r="C911" s="347">
        <v>450</v>
      </c>
      <c r="D911" s="348">
        <v>45658</v>
      </c>
      <c r="E911" s="348">
        <v>45992</v>
      </c>
      <c r="F911" s="346" t="s">
        <v>604</v>
      </c>
      <c r="G911" s="349" t="s">
        <v>443</v>
      </c>
      <c r="H911" s="350">
        <f t="shared" si="20"/>
        <v>5400</v>
      </c>
      <c r="I911" s="120" t="str">
        <f>IF(OR(D911&lt;Capa!$A$5,D911&gt;Capa!$A$7,E911&lt;Capa!$A$5,E911&gt;Capa!$A$7,D911&gt;E911),"Erro","")</f>
        <v/>
      </c>
    </row>
    <row r="912" spans="1:9" ht="40" hidden="1">
      <c r="A912" s="345">
        <v>1098</v>
      </c>
      <c r="B912" s="346" t="s">
        <v>236</v>
      </c>
      <c r="C912" s="347">
        <v>450</v>
      </c>
      <c r="D912" s="348">
        <v>46023</v>
      </c>
      <c r="E912" s="348">
        <v>46357</v>
      </c>
      <c r="F912" s="346" t="s">
        <v>604</v>
      </c>
      <c r="G912" s="349" t="s">
        <v>443</v>
      </c>
      <c r="H912" s="350">
        <f t="shared" si="20"/>
        <v>5400</v>
      </c>
      <c r="I912" s="120" t="str">
        <f>IF(OR(D912&lt;Capa!$A$5,D912&gt;Capa!$A$7,E912&lt;Capa!$A$5,E912&gt;Capa!$A$7,D912&gt;E912),"Erro","")</f>
        <v/>
      </c>
    </row>
    <row r="913" spans="1:9" ht="40" hidden="1">
      <c r="A913" s="345">
        <v>1099</v>
      </c>
      <c r="B913" s="346" t="s">
        <v>236</v>
      </c>
      <c r="C913" s="347">
        <v>450</v>
      </c>
      <c r="D913" s="348">
        <v>46388</v>
      </c>
      <c r="E913" s="348">
        <v>46722</v>
      </c>
      <c r="F913" s="346" t="s">
        <v>604</v>
      </c>
      <c r="G913" s="349" t="s">
        <v>443</v>
      </c>
      <c r="H913" s="350">
        <f t="shared" si="20"/>
        <v>5400</v>
      </c>
      <c r="I913" s="120" t="str">
        <f>IF(OR(D913&lt;Capa!$A$5,D913&gt;Capa!$A$7,E913&lt;Capa!$A$5,E913&gt;Capa!$A$7,D913&gt;E913),"Erro","")</f>
        <v/>
      </c>
    </row>
    <row r="914" spans="1:9" ht="40" hidden="1">
      <c r="A914" s="345">
        <v>1100</v>
      </c>
      <c r="B914" s="346" t="s">
        <v>236</v>
      </c>
      <c r="C914" s="347">
        <v>200</v>
      </c>
      <c r="D914" s="348">
        <v>46753</v>
      </c>
      <c r="E914" s="348">
        <v>47058</v>
      </c>
      <c r="F914" s="346" t="s">
        <v>604</v>
      </c>
      <c r="G914" s="349" t="s">
        <v>443</v>
      </c>
      <c r="H914" s="350">
        <f t="shared" si="20"/>
        <v>2200</v>
      </c>
      <c r="I914" s="120" t="str">
        <f>IF(OR(D914&lt;Capa!$A$5,D914&gt;Capa!$A$7,E914&lt;Capa!$A$5,E914&gt;Capa!$A$7,D914&gt;E914),"Erro","")</f>
        <v/>
      </c>
    </row>
    <row r="915" spans="1:9" ht="30" hidden="1">
      <c r="A915" s="345">
        <v>1102</v>
      </c>
      <c r="B915" s="346" t="s">
        <v>240</v>
      </c>
      <c r="C915" s="347">
        <v>50</v>
      </c>
      <c r="D915" s="348">
        <v>45658</v>
      </c>
      <c r="E915" s="348">
        <v>45992</v>
      </c>
      <c r="F915" s="346" t="s">
        <v>604</v>
      </c>
      <c r="G915" s="349" t="s">
        <v>444</v>
      </c>
      <c r="H915" s="350">
        <f t="shared" si="20"/>
        <v>600</v>
      </c>
      <c r="I915" s="120" t="str">
        <f>IF(OR(D915&lt;Capa!$A$5,D915&gt;Capa!$A$7,E915&lt;Capa!$A$5,E915&gt;Capa!$A$7,D915&gt;E915),"Erro","")</f>
        <v/>
      </c>
    </row>
    <row r="916" spans="1:9" ht="30" hidden="1">
      <c r="A916" s="345">
        <v>1103</v>
      </c>
      <c r="B916" s="346" t="s">
        <v>240</v>
      </c>
      <c r="C916" s="347">
        <v>50</v>
      </c>
      <c r="D916" s="348">
        <v>46023</v>
      </c>
      <c r="E916" s="348">
        <v>46357</v>
      </c>
      <c r="F916" s="346" t="s">
        <v>604</v>
      </c>
      <c r="G916" s="349" t="s">
        <v>444</v>
      </c>
      <c r="H916" s="350">
        <f t="shared" si="20"/>
        <v>600</v>
      </c>
      <c r="I916" s="120" t="str">
        <f>IF(OR(D916&lt;Capa!$A$5,D916&gt;Capa!$A$7,E916&lt;Capa!$A$5,E916&gt;Capa!$A$7,D916&gt;E916),"Erro","")</f>
        <v/>
      </c>
    </row>
    <row r="917" spans="1:9" ht="30" hidden="1">
      <c r="A917" s="345">
        <v>1104</v>
      </c>
      <c r="B917" s="346" t="s">
        <v>240</v>
      </c>
      <c r="C917" s="347">
        <v>50</v>
      </c>
      <c r="D917" s="348">
        <v>46388</v>
      </c>
      <c r="E917" s="348">
        <v>46722</v>
      </c>
      <c r="F917" s="346" t="s">
        <v>604</v>
      </c>
      <c r="G917" s="349" t="s">
        <v>444</v>
      </c>
      <c r="H917" s="350">
        <f t="shared" si="20"/>
        <v>600</v>
      </c>
      <c r="I917" s="120" t="str">
        <f>IF(OR(D917&lt;Capa!$A$5,D917&gt;Capa!$A$7,E917&lt;Capa!$A$5,E917&gt;Capa!$A$7,D917&gt;E917),"Erro","")</f>
        <v/>
      </c>
    </row>
    <row r="918" spans="1:9" ht="30" hidden="1">
      <c r="A918" s="345">
        <v>1105</v>
      </c>
      <c r="B918" s="346" t="s">
        <v>240</v>
      </c>
      <c r="C918" s="347">
        <v>25</v>
      </c>
      <c r="D918" s="348">
        <v>46753</v>
      </c>
      <c r="E918" s="348">
        <v>47058</v>
      </c>
      <c r="F918" s="346" t="s">
        <v>604</v>
      </c>
      <c r="G918" s="349" t="s">
        <v>444</v>
      </c>
      <c r="H918" s="350">
        <f t="shared" si="20"/>
        <v>275</v>
      </c>
      <c r="I918" s="120" t="str">
        <f>IF(OR(D918&lt;Capa!$A$5,D918&gt;Capa!$A$7,E918&lt;Capa!$A$5,E918&gt;Capa!$A$7,D918&gt;E918),"Erro","")</f>
        <v/>
      </c>
    </row>
    <row r="919" spans="1:9" ht="30" hidden="1">
      <c r="A919" s="345">
        <v>1107</v>
      </c>
      <c r="B919" s="346" t="s">
        <v>244</v>
      </c>
      <c r="C919" s="347">
        <v>250</v>
      </c>
      <c r="D919" s="348">
        <v>45658</v>
      </c>
      <c r="E919" s="348">
        <v>45992</v>
      </c>
      <c r="F919" s="346" t="s">
        <v>604</v>
      </c>
      <c r="G919" s="349" t="s">
        <v>445</v>
      </c>
      <c r="H919" s="350">
        <f t="shared" ref="H919:H969" si="21">IFERROR((DATEDIF(D919,E919,"M")+1)*C919,0)</f>
        <v>3000</v>
      </c>
      <c r="I919" s="120" t="str">
        <f>IF(OR(D919&lt;Capa!$A$5,D919&gt;Capa!$A$7,E919&lt;Capa!$A$5,E919&gt;Capa!$A$7,D919&gt;E919),"Erro","")</f>
        <v/>
      </c>
    </row>
    <row r="920" spans="1:9" ht="30" hidden="1">
      <c r="A920" s="345">
        <v>1108</v>
      </c>
      <c r="B920" s="346" t="s">
        <v>244</v>
      </c>
      <c r="C920" s="347">
        <v>250</v>
      </c>
      <c r="D920" s="348">
        <v>46023</v>
      </c>
      <c r="E920" s="348">
        <v>46357</v>
      </c>
      <c r="F920" s="346" t="s">
        <v>604</v>
      </c>
      <c r="G920" s="349" t="s">
        <v>445</v>
      </c>
      <c r="H920" s="350">
        <f t="shared" si="21"/>
        <v>3000</v>
      </c>
      <c r="I920" s="120" t="str">
        <f>IF(OR(D920&lt;Capa!$A$5,D920&gt;Capa!$A$7,E920&lt;Capa!$A$5,E920&gt;Capa!$A$7,D920&gt;E920),"Erro","")</f>
        <v/>
      </c>
    </row>
    <row r="921" spans="1:9" ht="30" hidden="1">
      <c r="A921" s="345">
        <v>1109</v>
      </c>
      <c r="B921" s="346" t="s">
        <v>244</v>
      </c>
      <c r="C921" s="347">
        <v>250</v>
      </c>
      <c r="D921" s="348">
        <v>46388</v>
      </c>
      <c r="E921" s="348">
        <v>46722</v>
      </c>
      <c r="F921" s="346" t="s">
        <v>604</v>
      </c>
      <c r="G921" s="349" t="s">
        <v>445</v>
      </c>
      <c r="H921" s="350">
        <f t="shared" si="21"/>
        <v>3000</v>
      </c>
      <c r="I921" s="120" t="str">
        <f>IF(OR(D921&lt;Capa!$A$5,D921&gt;Capa!$A$7,E921&lt;Capa!$A$5,E921&gt;Capa!$A$7,D921&gt;E921),"Erro","")</f>
        <v/>
      </c>
    </row>
    <row r="922" spans="1:9" ht="30" hidden="1">
      <c r="A922" s="345">
        <v>1110</v>
      </c>
      <c r="B922" s="346" t="s">
        <v>244</v>
      </c>
      <c r="C922" s="347">
        <v>125</v>
      </c>
      <c r="D922" s="348">
        <v>46753</v>
      </c>
      <c r="E922" s="348">
        <v>47058</v>
      </c>
      <c r="F922" s="346" t="s">
        <v>604</v>
      </c>
      <c r="G922" s="349" t="s">
        <v>445</v>
      </c>
      <c r="H922" s="350">
        <f t="shared" si="21"/>
        <v>1375</v>
      </c>
      <c r="I922" s="120" t="str">
        <f>IF(OR(D922&lt;Capa!$A$5,D922&gt;Capa!$A$7,E922&lt;Capa!$A$5,E922&gt;Capa!$A$7,D922&gt;E922),"Erro","")</f>
        <v/>
      </c>
    </row>
    <row r="923" spans="1:9" ht="20" hidden="1">
      <c r="A923" s="345">
        <v>1111</v>
      </c>
      <c r="B923" s="346" t="s">
        <v>246</v>
      </c>
      <c r="C923" s="347">
        <v>390</v>
      </c>
      <c r="D923" s="348">
        <v>45658</v>
      </c>
      <c r="E923" s="348">
        <v>45992</v>
      </c>
      <c r="F923" s="346" t="s">
        <v>604</v>
      </c>
      <c r="G923" s="349" t="s">
        <v>446</v>
      </c>
      <c r="H923" s="350">
        <f t="shared" si="21"/>
        <v>4680</v>
      </c>
      <c r="I923" s="120" t="str">
        <f>IF(OR(D923&lt;Capa!$A$5,D923&gt;Capa!$A$7,E923&lt;Capa!$A$5,E923&gt;Capa!$A$7,D923&gt;E923),"Erro","")</f>
        <v/>
      </c>
    </row>
    <row r="924" spans="1:9" ht="20" hidden="1">
      <c r="A924" s="345">
        <v>1112</v>
      </c>
      <c r="B924" s="346" t="s">
        <v>246</v>
      </c>
      <c r="C924" s="347">
        <v>390</v>
      </c>
      <c r="D924" s="348">
        <v>46023</v>
      </c>
      <c r="E924" s="348">
        <v>46357</v>
      </c>
      <c r="F924" s="346" t="s">
        <v>604</v>
      </c>
      <c r="G924" s="349" t="s">
        <v>446</v>
      </c>
      <c r="H924" s="350">
        <f t="shared" si="21"/>
        <v>4680</v>
      </c>
      <c r="I924" s="120" t="str">
        <f>IF(OR(D924&lt;Capa!$A$5,D924&gt;Capa!$A$7,E924&lt;Capa!$A$5,E924&gt;Capa!$A$7,D924&gt;E924),"Erro","")</f>
        <v/>
      </c>
    </row>
    <row r="925" spans="1:9" ht="20" hidden="1">
      <c r="A925" s="345">
        <v>1113</v>
      </c>
      <c r="B925" s="346" t="s">
        <v>246</v>
      </c>
      <c r="C925" s="347">
        <v>390</v>
      </c>
      <c r="D925" s="348">
        <v>46388</v>
      </c>
      <c r="E925" s="348">
        <v>46722</v>
      </c>
      <c r="F925" s="346" t="s">
        <v>604</v>
      </c>
      <c r="G925" s="349" t="s">
        <v>446</v>
      </c>
      <c r="H925" s="350">
        <f t="shared" si="21"/>
        <v>4680</v>
      </c>
      <c r="I925" s="120" t="str">
        <f>IF(OR(D925&lt;Capa!$A$5,D925&gt;Capa!$A$7,E925&lt;Capa!$A$5,E925&gt;Capa!$A$7,D925&gt;E925),"Erro","")</f>
        <v/>
      </c>
    </row>
    <row r="926" spans="1:9" ht="20" hidden="1">
      <c r="A926" s="345">
        <v>1114</v>
      </c>
      <c r="B926" s="346" t="s">
        <v>246</v>
      </c>
      <c r="C926" s="347">
        <v>190</v>
      </c>
      <c r="D926" s="348">
        <v>46753</v>
      </c>
      <c r="E926" s="348">
        <v>47058</v>
      </c>
      <c r="F926" s="346" t="s">
        <v>604</v>
      </c>
      <c r="G926" s="349" t="s">
        <v>446</v>
      </c>
      <c r="H926" s="350">
        <f t="shared" si="21"/>
        <v>2090</v>
      </c>
      <c r="I926" s="120" t="str">
        <f>IF(OR(D926&lt;Capa!$A$5,D926&gt;Capa!$A$7,E926&lt;Capa!$A$5,E926&gt;Capa!$A$7,D926&gt;E926),"Erro","")</f>
        <v/>
      </c>
    </row>
    <row r="927" spans="1:9" ht="30" hidden="1">
      <c r="A927" s="345">
        <v>1116</v>
      </c>
      <c r="B927" s="346" t="s">
        <v>258</v>
      </c>
      <c r="C927" s="347">
        <v>50</v>
      </c>
      <c r="D927" s="348">
        <v>45658</v>
      </c>
      <c r="E927" s="348">
        <v>45992</v>
      </c>
      <c r="F927" s="346" t="s">
        <v>604</v>
      </c>
      <c r="G927" s="349" t="s">
        <v>447</v>
      </c>
      <c r="H927" s="350">
        <f t="shared" si="21"/>
        <v>600</v>
      </c>
      <c r="I927" s="120" t="str">
        <f>IF(OR(D927&lt;Capa!$A$5,D927&gt;Capa!$A$7,E927&lt;Capa!$A$5,E927&gt;Capa!$A$7,D927&gt;E927),"Erro","")</f>
        <v/>
      </c>
    </row>
    <row r="928" spans="1:9" ht="30" hidden="1">
      <c r="A928" s="345">
        <v>1117</v>
      </c>
      <c r="B928" s="346" t="s">
        <v>258</v>
      </c>
      <c r="C928" s="347">
        <v>50</v>
      </c>
      <c r="D928" s="348">
        <v>46023</v>
      </c>
      <c r="E928" s="348">
        <v>46357</v>
      </c>
      <c r="F928" s="346" t="s">
        <v>604</v>
      </c>
      <c r="G928" s="349" t="s">
        <v>447</v>
      </c>
      <c r="H928" s="350">
        <f t="shared" si="21"/>
        <v>600</v>
      </c>
      <c r="I928" s="120" t="str">
        <f>IF(OR(D928&lt;Capa!$A$5,D928&gt;Capa!$A$7,E928&lt;Capa!$A$5,E928&gt;Capa!$A$7,D928&gt;E928),"Erro","")</f>
        <v/>
      </c>
    </row>
    <row r="929" spans="1:9" ht="30" hidden="1">
      <c r="A929" s="345">
        <v>1118</v>
      </c>
      <c r="B929" s="346" t="s">
        <v>258</v>
      </c>
      <c r="C929" s="347">
        <v>50</v>
      </c>
      <c r="D929" s="348">
        <v>46388</v>
      </c>
      <c r="E929" s="348">
        <v>46722</v>
      </c>
      <c r="F929" s="346" t="s">
        <v>604</v>
      </c>
      <c r="G929" s="349" t="s">
        <v>447</v>
      </c>
      <c r="H929" s="350">
        <f t="shared" si="21"/>
        <v>600</v>
      </c>
      <c r="I929" s="120" t="str">
        <f>IF(OR(D929&lt;Capa!$A$5,D929&gt;Capa!$A$7,E929&lt;Capa!$A$5,E929&gt;Capa!$A$7,D929&gt;E929),"Erro","")</f>
        <v/>
      </c>
    </row>
    <row r="930" spans="1:9" ht="30" hidden="1">
      <c r="A930" s="345">
        <v>1119</v>
      </c>
      <c r="B930" s="346" t="s">
        <v>258</v>
      </c>
      <c r="C930" s="347">
        <v>20</v>
      </c>
      <c r="D930" s="348">
        <v>46753</v>
      </c>
      <c r="E930" s="348">
        <v>47058</v>
      </c>
      <c r="F930" s="346" t="s">
        <v>604</v>
      </c>
      <c r="G930" s="349" t="s">
        <v>447</v>
      </c>
      <c r="H930" s="350">
        <f t="shared" si="21"/>
        <v>220</v>
      </c>
      <c r="I930" s="120" t="str">
        <f>IF(OR(D930&lt;Capa!$A$5,D930&gt;Capa!$A$7,E930&lt;Capa!$A$5,E930&gt;Capa!$A$7,D930&gt;E930),"Erro","")</f>
        <v/>
      </c>
    </row>
    <row r="931" spans="1:9" ht="40" hidden="1">
      <c r="A931" s="345">
        <v>1120</v>
      </c>
      <c r="B931" s="346" t="s">
        <v>276</v>
      </c>
      <c r="C931" s="347">
        <v>500</v>
      </c>
      <c r="D931" s="348">
        <v>45658</v>
      </c>
      <c r="E931" s="348">
        <v>45992</v>
      </c>
      <c r="F931" s="346" t="s">
        <v>604</v>
      </c>
      <c r="G931" s="349" t="s">
        <v>448</v>
      </c>
      <c r="H931" s="350">
        <f t="shared" si="21"/>
        <v>6000</v>
      </c>
      <c r="I931" s="120" t="str">
        <f>IF(OR(D931&lt;Capa!$A$5,D931&gt;Capa!$A$7,E931&lt;Capa!$A$5,E931&gt;Capa!$A$7,D931&gt;E931),"Erro","")</f>
        <v/>
      </c>
    </row>
    <row r="932" spans="1:9" ht="40" hidden="1">
      <c r="A932" s="345">
        <v>1121</v>
      </c>
      <c r="B932" s="346" t="s">
        <v>276</v>
      </c>
      <c r="C932" s="347">
        <v>500</v>
      </c>
      <c r="D932" s="348">
        <v>46023</v>
      </c>
      <c r="E932" s="348">
        <v>46357</v>
      </c>
      <c r="F932" s="346" t="s">
        <v>604</v>
      </c>
      <c r="G932" s="349" t="s">
        <v>448</v>
      </c>
      <c r="H932" s="350">
        <f t="shared" si="21"/>
        <v>6000</v>
      </c>
      <c r="I932" s="120" t="str">
        <f>IF(OR(D932&lt;Capa!$A$5,D932&gt;Capa!$A$7,E932&lt;Capa!$A$5,E932&gt;Capa!$A$7,D932&gt;E932),"Erro","")</f>
        <v/>
      </c>
    </row>
    <row r="933" spans="1:9" ht="40" hidden="1">
      <c r="A933" s="345">
        <v>1122</v>
      </c>
      <c r="B933" s="346" t="s">
        <v>276</v>
      </c>
      <c r="C933" s="347">
        <v>500</v>
      </c>
      <c r="D933" s="348">
        <v>46388</v>
      </c>
      <c r="E933" s="348">
        <v>46722</v>
      </c>
      <c r="F933" s="346" t="s">
        <v>604</v>
      </c>
      <c r="G933" s="349" t="s">
        <v>448</v>
      </c>
      <c r="H933" s="350">
        <f t="shared" si="21"/>
        <v>6000</v>
      </c>
      <c r="I933" s="120" t="str">
        <f>IF(OR(D933&lt;Capa!$A$5,D933&gt;Capa!$A$7,E933&lt;Capa!$A$5,E933&gt;Capa!$A$7,D933&gt;E933),"Erro","")</f>
        <v/>
      </c>
    </row>
    <row r="934" spans="1:9" ht="40" hidden="1">
      <c r="A934" s="345">
        <v>1123</v>
      </c>
      <c r="B934" s="346" t="s">
        <v>276</v>
      </c>
      <c r="C934" s="347">
        <v>250</v>
      </c>
      <c r="D934" s="348">
        <v>46753</v>
      </c>
      <c r="E934" s="348">
        <v>47058</v>
      </c>
      <c r="F934" s="346" t="s">
        <v>604</v>
      </c>
      <c r="G934" s="349" t="s">
        <v>448</v>
      </c>
      <c r="H934" s="350">
        <f t="shared" si="21"/>
        <v>2750</v>
      </c>
      <c r="I934" s="120" t="str">
        <f>IF(OR(D934&lt;Capa!$A$5,D934&gt;Capa!$A$7,E934&lt;Capa!$A$5,E934&gt;Capa!$A$7,D934&gt;E934),"Erro","")</f>
        <v/>
      </c>
    </row>
    <row r="935" spans="1:9" ht="40">
      <c r="A935" s="345">
        <v>1125</v>
      </c>
      <c r="B935" s="346" t="s">
        <v>278</v>
      </c>
      <c r="C935" s="347">
        <v>25000</v>
      </c>
      <c r="D935" s="348">
        <v>45658</v>
      </c>
      <c r="E935" s="348">
        <v>45992</v>
      </c>
      <c r="F935" s="346" t="s">
        <v>604</v>
      </c>
      <c r="G935" s="349" t="s">
        <v>449</v>
      </c>
      <c r="H935" s="350">
        <f t="shared" si="21"/>
        <v>300000</v>
      </c>
      <c r="I935" s="120" t="str">
        <f>IF(OR(D935&lt;Capa!$A$5,D935&gt;Capa!$A$7,E935&lt;Capa!$A$5,E935&gt;Capa!$A$7,D935&gt;E935),"Erro","")</f>
        <v/>
      </c>
    </row>
    <row r="936" spans="1:9" ht="40">
      <c r="A936" s="345">
        <v>1126</v>
      </c>
      <c r="B936" s="346" t="s">
        <v>278</v>
      </c>
      <c r="C936" s="347">
        <v>25000</v>
      </c>
      <c r="D936" s="348">
        <v>46023</v>
      </c>
      <c r="E936" s="348">
        <v>46357</v>
      </c>
      <c r="F936" s="346" t="s">
        <v>604</v>
      </c>
      <c r="G936" s="349" t="s">
        <v>449</v>
      </c>
      <c r="H936" s="350">
        <f t="shared" si="21"/>
        <v>300000</v>
      </c>
      <c r="I936" s="120" t="str">
        <f>IF(OR(D936&lt;Capa!$A$5,D936&gt;Capa!$A$7,E936&lt;Capa!$A$5,E936&gt;Capa!$A$7,D936&gt;E936),"Erro","")</f>
        <v/>
      </c>
    </row>
    <row r="937" spans="1:9" ht="40">
      <c r="A937" s="345">
        <v>1127</v>
      </c>
      <c r="B937" s="346" t="s">
        <v>278</v>
      </c>
      <c r="C937" s="347">
        <v>25000</v>
      </c>
      <c r="D937" s="348">
        <v>46388</v>
      </c>
      <c r="E937" s="348">
        <v>46722</v>
      </c>
      <c r="F937" s="346" t="s">
        <v>604</v>
      </c>
      <c r="G937" s="349" t="s">
        <v>449</v>
      </c>
      <c r="H937" s="350">
        <f t="shared" si="21"/>
        <v>300000</v>
      </c>
      <c r="I937" s="120" t="str">
        <f>IF(OR(D937&lt;Capa!$A$5,D937&gt;Capa!$A$7,E937&lt;Capa!$A$5,E937&gt;Capa!$A$7,D937&gt;E937),"Erro","")</f>
        <v/>
      </c>
    </row>
    <row r="938" spans="1:9" ht="40">
      <c r="A938" s="345">
        <v>1128</v>
      </c>
      <c r="B938" s="346" t="s">
        <v>278</v>
      </c>
      <c r="C938" s="347">
        <v>15000</v>
      </c>
      <c r="D938" s="348">
        <v>46753</v>
      </c>
      <c r="E938" s="348">
        <v>47058</v>
      </c>
      <c r="F938" s="346" t="s">
        <v>604</v>
      </c>
      <c r="G938" s="349" t="s">
        <v>449</v>
      </c>
      <c r="H938" s="350">
        <f t="shared" si="21"/>
        <v>165000</v>
      </c>
      <c r="I938" s="120" t="str">
        <f>IF(OR(D938&lt;Capa!$A$5,D938&gt;Capa!$A$7,E938&lt;Capa!$A$5,E938&gt;Capa!$A$7,D938&gt;E938),"Erro","")</f>
        <v/>
      </c>
    </row>
    <row r="939" spans="1:9" ht="40" hidden="1">
      <c r="A939" s="345">
        <v>1130</v>
      </c>
      <c r="B939" s="346" t="s">
        <v>280</v>
      </c>
      <c r="C939" s="347">
        <v>100</v>
      </c>
      <c r="D939" s="348">
        <v>45658</v>
      </c>
      <c r="E939" s="348">
        <v>45992</v>
      </c>
      <c r="F939" s="346" t="s">
        <v>604</v>
      </c>
      <c r="G939" s="349" t="s">
        <v>450</v>
      </c>
      <c r="H939" s="350">
        <f t="shared" si="21"/>
        <v>1200</v>
      </c>
      <c r="I939" s="120" t="str">
        <f>IF(OR(D939&lt;Capa!$A$5,D939&gt;Capa!$A$7,E939&lt;Capa!$A$5,E939&gt;Capa!$A$7,D939&gt;E939),"Erro","")</f>
        <v/>
      </c>
    </row>
    <row r="940" spans="1:9" ht="40" hidden="1">
      <c r="A940" s="345">
        <v>1131</v>
      </c>
      <c r="B940" s="346" t="s">
        <v>280</v>
      </c>
      <c r="C940" s="347">
        <v>100</v>
      </c>
      <c r="D940" s="348">
        <v>46023</v>
      </c>
      <c r="E940" s="348">
        <v>46357</v>
      </c>
      <c r="F940" s="346" t="s">
        <v>604</v>
      </c>
      <c r="G940" s="349" t="s">
        <v>450</v>
      </c>
      <c r="H940" s="350">
        <f t="shared" si="21"/>
        <v>1200</v>
      </c>
      <c r="I940" s="120" t="str">
        <f>IF(OR(D940&lt;Capa!$A$5,D940&gt;Capa!$A$7,E940&lt;Capa!$A$5,E940&gt;Capa!$A$7,D940&gt;E940),"Erro","")</f>
        <v/>
      </c>
    </row>
    <row r="941" spans="1:9" ht="40" hidden="1">
      <c r="A941" s="345">
        <v>1132</v>
      </c>
      <c r="B941" s="346" t="s">
        <v>280</v>
      </c>
      <c r="C941" s="347">
        <v>100</v>
      </c>
      <c r="D941" s="348">
        <v>46388</v>
      </c>
      <c r="E941" s="348">
        <v>46722</v>
      </c>
      <c r="F941" s="346" t="s">
        <v>604</v>
      </c>
      <c r="G941" s="349" t="s">
        <v>450</v>
      </c>
      <c r="H941" s="350">
        <f t="shared" si="21"/>
        <v>1200</v>
      </c>
      <c r="I941" s="120" t="str">
        <f>IF(OR(D941&lt;Capa!$A$5,D941&gt;Capa!$A$7,E941&lt;Capa!$A$5,E941&gt;Capa!$A$7,D941&gt;E941),"Erro","")</f>
        <v/>
      </c>
    </row>
    <row r="942" spans="1:9" ht="40" hidden="1">
      <c r="A942" s="345">
        <v>1133</v>
      </c>
      <c r="B942" s="346" t="s">
        <v>280</v>
      </c>
      <c r="C942" s="347">
        <v>50</v>
      </c>
      <c r="D942" s="348">
        <v>46753</v>
      </c>
      <c r="E942" s="348">
        <v>47058</v>
      </c>
      <c r="F942" s="346" t="s">
        <v>604</v>
      </c>
      <c r="G942" s="349" t="s">
        <v>450</v>
      </c>
      <c r="H942" s="350">
        <f t="shared" si="21"/>
        <v>550</v>
      </c>
      <c r="I942" s="120" t="str">
        <f>IF(OR(D942&lt;Capa!$A$5,D942&gt;Capa!$A$7,E942&lt;Capa!$A$5,E942&gt;Capa!$A$7,D942&gt;E942),"Erro","")</f>
        <v/>
      </c>
    </row>
    <row r="943" spans="1:9" ht="40" hidden="1">
      <c r="A943" s="345">
        <v>1135</v>
      </c>
      <c r="B943" s="346" t="s">
        <v>282</v>
      </c>
      <c r="C943" s="347">
        <v>450</v>
      </c>
      <c r="D943" s="348">
        <v>45658</v>
      </c>
      <c r="E943" s="348">
        <v>45992</v>
      </c>
      <c r="F943" s="346" t="s">
        <v>604</v>
      </c>
      <c r="G943" s="349" t="s">
        <v>451</v>
      </c>
      <c r="H943" s="350">
        <f t="shared" si="21"/>
        <v>5400</v>
      </c>
      <c r="I943" s="120" t="str">
        <f>IF(OR(D943&lt;Capa!$A$5,D943&gt;Capa!$A$7,E943&lt;Capa!$A$5,E943&gt;Capa!$A$7,D943&gt;E943),"Erro","")</f>
        <v/>
      </c>
    </row>
    <row r="944" spans="1:9" ht="40" hidden="1">
      <c r="A944" s="345">
        <v>1136</v>
      </c>
      <c r="B944" s="346" t="s">
        <v>282</v>
      </c>
      <c r="C944" s="347">
        <v>450</v>
      </c>
      <c r="D944" s="348">
        <v>46023</v>
      </c>
      <c r="E944" s="348">
        <v>46357</v>
      </c>
      <c r="F944" s="346" t="s">
        <v>604</v>
      </c>
      <c r="G944" s="349" t="s">
        <v>451</v>
      </c>
      <c r="H944" s="350">
        <f t="shared" si="21"/>
        <v>5400</v>
      </c>
      <c r="I944" s="120" t="str">
        <f>IF(OR(D944&lt;Capa!$A$5,D944&gt;Capa!$A$7,E944&lt;Capa!$A$5,E944&gt;Capa!$A$7,D944&gt;E944),"Erro","")</f>
        <v/>
      </c>
    </row>
    <row r="945" spans="1:9" ht="40" hidden="1">
      <c r="A945" s="345">
        <v>1137</v>
      </c>
      <c r="B945" s="346" t="s">
        <v>282</v>
      </c>
      <c r="C945" s="347">
        <v>450</v>
      </c>
      <c r="D945" s="348">
        <v>46388</v>
      </c>
      <c r="E945" s="348">
        <v>46722</v>
      </c>
      <c r="F945" s="346" t="s">
        <v>604</v>
      </c>
      <c r="G945" s="349" t="s">
        <v>451</v>
      </c>
      <c r="H945" s="350">
        <f t="shared" si="21"/>
        <v>5400</v>
      </c>
      <c r="I945" s="120" t="str">
        <f>IF(OR(D945&lt;Capa!$A$5,D945&gt;Capa!$A$7,E945&lt;Capa!$A$5,E945&gt;Capa!$A$7,D945&gt;E945),"Erro","")</f>
        <v/>
      </c>
    </row>
    <row r="946" spans="1:9" ht="40" hidden="1">
      <c r="A946" s="345">
        <v>1138</v>
      </c>
      <c r="B946" s="346" t="s">
        <v>282</v>
      </c>
      <c r="C946" s="347">
        <v>200</v>
      </c>
      <c r="D946" s="348">
        <v>46753</v>
      </c>
      <c r="E946" s="348">
        <v>47058</v>
      </c>
      <c r="F946" s="346" t="s">
        <v>604</v>
      </c>
      <c r="G946" s="349" t="s">
        <v>451</v>
      </c>
      <c r="H946" s="350">
        <f t="shared" si="21"/>
        <v>2200</v>
      </c>
      <c r="I946" s="120" t="str">
        <f>IF(OR(D946&lt;Capa!$A$5,D946&gt;Capa!$A$7,E946&lt;Capa!$A$5,E946&gt;Capa!$A$7,D946&gt;E946),"Erro","")</f>
        <v/>
      </c>
    </row>
    <row r="947" spans="1:9" ht="40" hidden="1">
      <c r="A947" s="345">
        <v>1140</v>
      </c>
      <c r="B947" s="346" t="s">
        <v>284</v>
      </c>
      <c r="C947" s="347">
        <v>950</v>
      </c>
      <c r="D947" s="348">
        <v>45658</v>
      </c>
      <c r="E947" s="348">
        <v>45992</v>
      </c>
      <c r="F947" s="346" t="s">
        <v>604</v>
      </c>
      <c r="G947" s="349" t="s">
        <v>451</v>
      </c>
      <c r="H947" s="350">
        <f t="shared" si="21"/>
        <v>11400</v>
      </c>
      <c r="I947" s="120" t="str">
        <f>IF(OR(D947&lt;Capa!$A$5,D947&gt;Capa!$A$7,E947&lt;Capa!$A$5,E947&gt;Capa!$A$7,D947&gt;E947),"Erro","")</f>
        <v/>
      </c>
    </row>
    <row r="948" spans="1:9" ht="40" hidden="1">
      <c r="A948" s="345">
        <v>1141</v>
      </c>
      <c r="B948" s="346" t="s">
        <v>284</v>
      </c>
      <c r="C948" s="347">
        <v>950</v>
      </c>
      <c r="D948" s="348">
        <v>46023</v>
      </c>
      <c r="E948" s="348">
        <v>46357</v>
      </c>
      <c r="F948" s="346" t="s">
        <v>604</v>
      </c>
      <c r="G948" s="349" t="s">
        <v>451</v>
      </c>
      <c r="H948" s="350">
        <f t="shared" si="21"/>
        <v>11400</v>
      </c>
      <c r="I948" s="120" t="str">
        <f>IF(OR(D948&lt;Capa!$A$5,D948&gt;Capa!$A$7,E948&lt;Capa!$A$5,E948&gt;Capa!$A$7,D948&gt;E948),"Erro","")</f>
        <v/>
      </c>
    </row>
    <row r="949" spans="1:9" ht="40" hidden="1">
      <c r="A949" s="345">
        <v>1142</v>
      </c>
      <c r="B949" s="346" t="s">
        <v>284</v>
      </c>
      <c r="C949" s="347">
        <v>950</v>
      </c>
      <c r="D949" s="348">
        <v>46388</v>
      </c>
      <c r="E949" s="348">
        <v>46722</v>
      </c>
      <c r="F949" s="346" t="s">
        <v>604</v>
      </c>
      <c r="G949" s="349" t="s">
        <v>451</v>
      </c>
      <c r="H949" s="350">
        <f t="shared" si="21"/>
        <v>11400</v>
      </c>
      <c r="I949" s="120" t="str">
        <f>IF(OR(D949&lt;Capa!$A$5,D949&gt;Capa!$A$7,E949&lt;Capa!$A$5,E949&gt;Capa!$A$7,D949&gt;E949),"Erro","")</f>
        <v/>
      </c>
    </row>
    <row r="950" spans="1:9" ht="40" hidden="1">
      <c r="A950" s="345">
        <v>1143</v>
      </c>
      <c r="B950" s="346" t="s">
        <v>284</v>
      </c>
      <c r="C950" s="347">
        <v>400</v>
      </c>
      <c r="D950" s="348">
        <v>46753</v>
      </c>
      <c r="E950" s="348">
        <v>47058</v>
      </c>
      <c r="F950" s="346" t="s">
        <v>604</v>
      </c>
      <c r="G950" s="349" t="s">
        <v>451</v>
      </c>
      <c r="H950" s="350">
        <f t="shared" si="21"/>
        <v>4400</v>
      </c>
      <c r="I950" s="120" t="str">
        <f>IF(OR(D950&lt;Capa!$A$5,D950&gt;Capa!$A$7,E950&lt;Capa!$A$5,E950&gt;Capa!$A$7,D950&gt;E950),"Erro","")</f>
        <v/>
      </c>
    </row>
    <row r="951" spans="1:9" ht="40" hidden="1">
      <c r="A951" s="345">
        <v>1145</v>
      </c>
      <c r="B951" s="346" t="s">
        <v>286</v>
      </c>
      <c r="C951" s="347">
        <v>1000</v>
      </c>
      <c r="D951" s="348">
        <v>45658</v>
      </c>
      <c r="E951" s="348">
        <v>45992</v>
      </c>
      <c r="F951" s="346" t="s">
        <v>604</v>
      </c>
      <c r="G951" s="349" t="s">
        <v>451</v>
      </c>
      <c r="H951" s="350">
        <f t="shared" si="21"/>
        <v>12000</v>
      </c>
      <c r="I951" s="120" t="str">
        <f>IF(OR(D951&lt;Capa!$A$5,D951&gt;Capa!$A$7,E951&lt;Capa!$A$5,E951&gt;Capa!$A$7,D951&gt;E951),"Erro","")</f>
        <v/>
      </c>
    </row>
    <row r="952" spans="1:9" ht="40" hidden="1">
      <c r="A952" s="345">
        <v>1146</v>
      </c>
      <c r="B952" s="346" t="s">
        <v>286</v>
      </c>
      <c r="C952" s="347">
        <v>1000</v>
      </c>
      <c r="D952" s="348">
        <v>46023</v>
      </c>
      <c r="E952" s="348">
        <v>46357</v>
      </c>
      <c r="F952" s="346" t="s">
        <v>604</v>
      </c>
      <c r="G952" s="349" t="s">
        <v>451</v>
      </c>
      <c r="H952" s="350">
        <f t="shared" si="21"/>
        <v>12000</v>
      </c>
      <c r="I952" s="120" t="str">
        <f>IF(OR(D952&lt;Capa!$A$5,D952&gt;Capa!$A$7,E952&lt;Capa!$A$5,E952&gt;Capa!$A$7,D952&gt;E952),"Erro","")</f>
        <v/>
      </c>
    </row>
    <row r="953" spans="1:9" ht="40" hidden="1">
      <c r="A953" s="345">
        <v>1147</v>
      </c>
      <c r="B953" s="346" t="s">
        <v>286</v>
      </c>
      <c r="C953" s="347">
        <v>1000</v>
      </c>
      <c r="D953" s="348">
        <v>46388</v>
      </c>
      <c r="E953" s="348">
        <v>46722</v>
      </c>
      <c r="F953" s="346" t="s">
        <v>604</v>
      </c>
      <c r="G953" s="349" t="s">
        <v>451</v>
      </c>
      <c r="H953" s="350">
        <f t="shared" si="21"/>
        <v>12000</v>
      </c>
      <c r="I953" s="120" t="str">
        <f>IF(OR(D953&lt;Capa!$A$5,D953&gt;Capa!$A$7,E953&lt;Capa!$A$5,E953&gt;Capa!$A$7,D953&gt;E953),"Erro","")</f>
        <v/>
      </c>
    </row>
    <row r="954" spans="1:9" ht="40" hidden="1">
      <c r="A954" s="345">
        <v>1148</v>
      </c>
      <c r="B954" s="346" t="s">
        <v>286</v>
      </c>
      <c r="C954" s="347">
        <v>500</v>
      </c>
      <c r="D954" s="348">
        <v>46753</v>
      </c>
      <c r="E954" s="348">
        <v>47058</v>
      </c>
      <c r="F954" s="346" t="s">
        <v>604</v>
      </c>
      <c r="G954" s="349" t="s">
        <v>451</v>
      </c>
      <c r="H954" s="350">
        <f t="shared" si="21"/>
        <v>5500</v>
      </c>
      <c r="I954" s="120" t="str">
        <f>IF(OR(D954&lt;Capa!$A$5,D954&gt;Capa!$A$7,E954&lt;Capa!$A$5,E954&gt;Capa!$A$7,D954&gt;E954),"Erro","")</f>
        <v/>
      </c>
    </row>
    <row r="955" spans="1:9" ht="30" hidden="1">
      <c r="A955" s="345">
        <v>1150</v>
      </c>
      <c r="B955" s="346" t="s">
        <v>288</v>
      </c>
      <c r="C955" s="347">
        <v>200</v>
      </c>
      <c r="D955" s="348">
        <v>45658</v>
      </c>
      <c r="E955" s="348">
        <v>45992</v>
      </c>
      <c r="F955" s="346" t="s">
        <v>604</v>
      </c>
      <c r="G955" s="349" t="s">
        <v>452</v>
      </c>
      <c r="H955" s="350">
        <f t="shared" si="21"/>
        <v>2400</v>
      </c>
      <c r="I955" s="120" t="str">
        <f>IF(OR(D955&lt;Capa!$A$5,D955&gt;Capa!$A$7,E955&lt;Capa!$A$5,E955&gt;Capa!$A$7,D955&gt;E955),"Erro","")</f>
        <v/>
      </c>
    </row>
    <row r="956" spans="1:9" ht="30" hidden="1">
      <c r="A956" s="345">
        <v>1151</v>
      </c>
      <c r="B956" s="346" t="s">
        <v>288</v>
      </c>
      <c r="C956" s="347">
        <v>200</v>
      </c>
      <c r="D956" s="348">
        <v>46023</v>
      </c>
      <c r="E956" s="348">
        <v>46357</v>
      </c>
      <c r="F956" s="346" t="s">
        <v>604</v>
      </c>
      <c r="G956" s="349" t="s">
        <v>452</v>
      </c>
      <c r="H956" s="350">
        <f t="shared" si="21"/>
        <v>2400</v>
      </c>
      <c r="I956" s="120" t="str">
        <f>IF(OR(D956&lt;Capa!$A$5,D956&gt;Capa!$A$7,E956&lt;Capa!$A$5,E956&gt;Capa!$A$7,D956&gt;E956),"Erro","")</f>
        <v/>
      </c>
    </row>
    <row r="957" spans="1:9" ht="30" hidden="1">
      <c r="A957" s="345">
        <v>1152</v>
      </c>
      <c r="B957" s="346" t="s">
        <v>288</v>
      </c>
      <c r="C957" s="347">
        <v>200</v>
      </c>
      <c r="D957" s="348">
        <v>46388</v>
      </c>
      <c r="E957" s="348">
        <v>46722</v>
      </c>
      <c r="F957" s="346" t="s">
        <v>604</v>
      </c>
      <c r="G957" s="349" t="s">
        <v>452</v>
      </c>
      <c r="H957" s="350">
        <f t="shared" si="21"/>
        <v>2400</v>
      </c>
      <c r="I957" s="120" t="str">
        <f>IF(OR(D957&lt;Capa!$A$5,D957&gt;Capa!$A$7,E957&lt;Capa!$A$5,E957&gt;Capa!$A$7,D957&gt;E957),"Erro","")</f>
        <v/>
      </c>
    </row>
    <row r="958" spans="1:9" ht="30" hidden="1">
      <c r="A958" s="345">
        <v>1153</v>
      </c>
      <c r="B958" s="346" t="s">
        <v>288</v>
      </c>
      <c r="C958" s="347">
        <v>100</v>
      </c>
      <c r="D958" s="348">
        <v>46753</v>
      </c>
      <c r="E958" s="348">
        <v>47058</v>
      </c>
      <c r="F958" s="346" t="s">
        <v>604</v>
      </c>
      <c r="G958" s="349" t="s">
        <v>452</v>
      </c>
      <c r="H958" s="350">
        <f t="shared" si="21"/>
        <v>1100</v>
      </c>
      <c r="I958" s="120" t="str">
        <f>IF(OR(D958&lt;Capa!$A$5,D958&gt;Capa!$A$7,E958&lt;Capa!$A$5,E958&gt;Capa!$A$7,D958&gt;E958),"Erro","")</f>
        <v/>
      </c>
    </row>
    <row r="959" spans="1:9" ht="30" hidden="1">
      <c r="A959" s="345">
        <v>1155</v>
      </c>
      <c r="B959" s="346" t="s">
        <v>294</v>
      </c>
      <c r="C959" s="347">
        <v>1000</v>
      </c>
      <c r="D959" s="348">
        <v>45658</v>
      </c>
      <c r="E959" s="348">
        <v>45992</v>
      </c>
      <c r="F959" s="346" t="s">
        <v>604</v>
      </c>
      <c r="G959" s="349" t="s">
        <v>453</v>
      </c>
      <c r="H959" s="350">
        <f t="shared" si="21"/>
        <v>12000</v>
      </c>
      <c r="I959" s="120" t="str">
        <f>IF(OR(D959&lt;Capa!$A$5,D959&gt;Capa!$A$7,E959&lt;Capa!$A$5,E959&gt;Capa!$A$7,D959&gt;E959),"Erro","")</f>
        <v/>
      </c>
    </row>
    <row r="960" spans="1:9" ht="30" hidden="1">
      <c r="A960" s="345">
        <v>1156</v>
      </c>
      <c r="B960" s="346" t="s">
        <v>294</v>
      </c>
      <c r="C960" s="347">
        <v>1000</v>
      </c>
      <c r="D960" s="348">
        <v>46023</v>
      </c>
      <c r="E960" s="348">
        <v>46357</v>
      </c>
      <c r="F960" s="346" t="s">
        <v>604</v>
      </c>
      <c r="G960" s="349" t="s">
        <v>453</v>
      </c>
      <c r="H960" s="350">
        <f t="shared" si="21"/>
        <v>12000</v>
      </c>
      <c r="I960" s="120" t="str">
        <f>IF(OR(D960&lt;Capa!$A$5,D960&gt;Capa!$A$7,E960&lt;Capa!$A$5,E960&gt;Capa!$A$7,D960&gt;E960),"Erro","")</f>
        <v/>
      </c>
    </row>
    <row r="961" spans="1:9" ht="30" hidden="1">
      <c r="A961" s="345">
        <v>1157</v>
      </c>
      <c r="B961" s="346" t="s">
        <v>294</v>
      </c>
      <c r="C961" s="347">
        <v>1000</v>
      </c>
      <c r="D961" s="348">
        <v>46388</v>
      </c>
      <c r="E961" s="348">
        <v>46722</v>
      </c>
      <c r="F961" s="346" t="s">
        <v>604</v>
      </c>
      <c r="G961" s="349" t="s">
        <v>453</v>
      </c>
      <c r="H961" s="350">
        <f t="shared" si="21"/>
        <v>12000</v>
      </c>
      <c r="I961" s="120" t="str">
        <f>IF(OR(D961&lt;Capa!$A$5,D961&gt;Capa!$A$7,E961&lt;Capa!$A$5,E961&gt;Capa!$A$7,D961&gt;E961),"Erro","")</f>
        <v/>
      </c>
    </row>
    <row r="962" spans="1:9" ht="30" hidden="1">
      <c r="A962" s="345">
        <v>1158</v>
      </c>
      <c r="B962" s="346" t="s">
        <v>294</v>
      </c>
      <c r="C962" s="347">
        <v>1000</v>
      </c>
      <c r="D962" s="348">
        <v>46753</v>
      </c>
      <c r="E962" s="348">
        <v>47058</v>
      </c>
      <c r="F962" s="346" t="s">
        <v>604</v>
      </c>
      <c r="G962" s="349" t="s">
        <v>453</v>
      </c>
      <c r="H962" s="350">
        <f t="shared" si="21"/>
        <v>11000</v>
      </c>
      <c r="I962" s="120" t="str">
        <f>IF(OR(D962&lt;Capa!$A$5,D962&gt;Capa!$A$7,E962&lt;Capa!$A$5,E962&gt;Capa!$A$7,D962&gt;E962),"Erro","")</f>
        <v/>
      </c>
    </row>
    <row r="963" spans="1:9" ht="20" hidden="1">
      <c r="A963" s="345">
        <v>1160</v>
      </c>
      <c r="B963" s="346" t="s">
        <v>302</v>
      </c>
      <c r="C963" s="347">
        <v>100</v>
      </c>
      <c r="D963" s="348">
        <v>45658</v>
      </c>
      <c r="E963" s="348">
        <v>45992</v>
      </c>
      <c r="F963" s="346" t="s">
        <v>604</v>
      </c>
      <c r="G963" s="349" t="s">
        <v>454</v>
      </c>
      <c r="H963" s="350">
        <f t="shared" si="21"/>
        <v>1200</v>
      </c>
      <c r="I963" s="120" t="str">
        <f>IF(OR(D963&lt;Capa!$A$5,D963&gt;Capa!$A$7,E963&lt;Capa!$A$5,E963&gt;Capa!$A$7,D963&gt;E963),"Erro","")</f>
        <v/>
      </c>
    </row>
    <row r="964" spans="1:9" ht="20" hidden="1">
      <c r="A964" s="345">
        <v>1161</v>
      </c>
      <c r="B964" s="346" t="s">
        <v>302</v>
      </c>
      <c r="C964" s="347">
        <v>100</v>
      </c>
      <c r="D964" s="348">
        <v>46023</v>
      </c>
      <c r="E964" s="348">
        <v>46357</v>
      </c>
      <c r="F964" s="346" t="s">
        <v>604</v>
      </c>
      <c r="G964" s="349" t="s">
        <v>454</v>
      </c>
      <c r="H964" s="350">
        <f t="shared" si="21"/>
        <v>1200</v>
      </c>
      <c r="I964" s="120" t="str">
        <f>IF(OR(D964&lt;Capa!$A$5,D964&gt;Capa!$A$7,E964&lt;Capa!$A$5,E964&gt;Capa!$A$7,D964&gt;E964),"Erro","")</f>
        <v/>
      </c>
    </row>
    <row r="965" spans="1:9" ht="20" hidden="1">
      <c r="A965" s="345">
        <v>1162</v>
      </c>
      <c r="B965" s="346" t="s">
        <v>302</v>
      </c>
      <c r="C965" s="347">
        <v>100</v>
      </c>
      <c r="D965" s="348">
        <v>46388</v>
      </c>
      <c r="E965" s="348">
        <v>46722</v>
      </c>
      <c r="F965" s="346" t="s">
        <v>604</v>
      </c>
      <c r="G965" s="349" t="s">
        <v>454</v>
      </c>
      <c r="H965" s="350">
        <f t="shared" si="21"/>
        <v>1200</v>
      </c>
      <c r="I965" s="120" t="str">
        <f>IF(OR(D965&lt;Capa!$A$5,D965&gt;Capa!$A$7,E965&lt;Capa!$A$5,E965&gt;Capa!$A$7,D965&gt;E965),"Erro","")</f>
        <v/>
      </c>
    </row>
    <row r="966" spans="1:9" ht="20" hidden="1">
      <c r="A966" s="345">
        <v>1163</v>
      </c>
      <c r="B966" s="346" t="s">
        <v>302</v>
      </c>
      <c r="C966" s="347">
        <v>50</v>
      </c>
      <c r="D966" s="348">
        <v>46753</v>
      </c>
      <c r="E966" s="348">
        <v>47058</v>
      </c>
      <c r="F966" s="346" t="s">
        <v>604</v>
      </c>
      <c r="G966" s="349" t="s">
        <v>454</v>
      </c>
      <c r="H966" s="350">
        <f t="shared" si="21"/>
        <v>550</v>
      </c>
      <c r="I966" s="120" t="str">
        <f>IF(OR(D966&lt;Capa!$A$5,D966&gt;Capa!$A$7,E966&lt;Capa!$A$5,E966&gt;Capa!$A$7,D966&gt;E966),"Erro","")</f>
        <v/>
      </c>
    </row>
    <row r="967" spans="1:9" ht="30" hidden="1">
      <c r="A967" s="345">
        <v>1165</v>
      </c>
      <c r="B967" s="346" t="s">
        <v>304</v>
      </c>
      <c r="C967" s="347">
        <v>1000</v>
      </c>
      <c r="D967" s="348">
        <v>45658</v>
      </c>
      <c r="E967" s="348">
        <v>45992</v>
      </c>
      <c r="F967" s="346" t="s">
        <v>604</v>
      </c>
      <c r="G967" s="349" t="s">
        <v>455</v>
      </c>
      <c r="H967" s="350">
        <f t="shared" si="21"/>
        <v>12000</v>
      </c>
      <c r="I967" s="120" t="str">
        <f>IF(OR(D967&lt;Capa!$A$5,D967&gt;Capa!$A$7,E967&lt;Capa!$A$5,E967&gt;Capa!$A$7,D967&gt;E967),"Erro","")</f>
        <v/>
      </c>
    </row>
    <row r="968" spans="1:9" ht="30" hidden="1">
      <c r="A968" s="345">
        <v>1166</v>
      </c>
      <c r="B968" s="346" t="s">
        <v>304</v>
      </c>
      <c r="C968" s="347">
        <v>1000</v>
      </c>
      <c r="D968" s="348">
        <v>46023</v>
      </c>
      <c r="E968" s="348">
        <v>46357</v>
      </c>
      <c r="F968" s="346" t="s">
        <v>604</v>
      </c>
      <c r="G968" s="349" t="s">
        <v>455</v>
      </c>
      <c r="H968" s="350">
        <f t="shared" si="21"/>
        <v>12000</v>
      </c>
      <c r="I968" s="120" t="str">
        <f>IF(OR(D968&lt;Capa!$A$5,D968&gt;Capa!$A$7,E968&lt;Capa!$A$5,E968&gt;Capa!$A$7,D968&gt;E968),"Erro","")</f>
        <v/>
      </c>
    </row>
    <row r="969" spans="1:9" ht="30" hidden="1">
      <c r="A969" s="345">
        <v>1167</v>
      </c>
      <c r="B969" s="346" t="s">
        <v>304</v>
      </c>
      <c r="C969" s="347">
        <v>1000</v>
      </c>
      <c r="D969" s="348">
        <v>46388</v>
      </c>
      <c r="E969" s="348">
        <v>46722</v>
      </c>
      <c r="F969" s="346" t="s">
        <v>604</v>
      </c>
      <c r="G969" s="349" t="s">
        <v>455</v>
      </c>
      <c r="H969" s="350">
        <f t="shared" si="21"/>
        <v>12000</v>
      </c>
      <c r="I969" s="120" t="str">
        <f>IF(OR(D969&lt;Capa!$A$5,D969&gt;Capa!$A$7,E969&lt;Capa!$A$5,E969&gt;Capa!$A$7,D969&gt;E969),"Erro","")</f>
        <v/>
      </c>
    </row>
    <row r="970" spans="1:9" ht="30" hidden="1">
      <c r="A970" s="345">
        <v>1168</v>
      </c>
      <c r="B970" s="346" t="s">
        <v>304</v>
      </c>
      <c r="C970" s="347">
        <v>500</v>
      </c>
      <c r="D970" s="348">
        <v>46753</v>
      </c>
      <c r="E970" s="348">
        <v>47058</v>
      </c>
      <c r="F970" s="346" t="s">
        <v>604</v>
      </c>
      <c r="G970" s="349" t="s">
        <v>455</v>
      </c>
      <c r="H970" s="350">
        <f t="shared" ref="H970:H1023" si="22">IFERROR((DATEDIF(D970,E970,"M")+1)*C970,0)</f>
        <v>5500</v>
      </c>
      <c r="I970" s="120" t="str">
        <f>IF(OR(D970&lt;Capa!$A$5,D970&gt;Capa!$A$7,E970&lt;Capa!$A$5,E970&gt;Capa!$A$7,D970&gt;E970),"Erro","")</f>
        <v/>
      </c>
    </row>
    <row r="971" spans="1:9" ht="30" hidden="1">
      <c r="A971" s="345">
        <v>1169</v>
      </c>
      <c r="B971" s="346" t="s">
        <v>312</v>
      </c>
      <c r="C971" s="347">
        <v>200</v>
      </c>
      <c r="D971" s="348">
        <v>45658</v>
      </c>
      <c r="E971" s="348">
        <v>45992</v>
      </c>
      <c r="F971" s="346" t="s">
        <v>604</v>
      </c>
      <c r="G971" s="349" t="s">
        <v>571</v>
      </c>
      <c r="H971" s="350">
        <f t="shared" si="22"/>
        <v>2400</v>
      </c>
      <c r="I971" s="120" t="str">
        <f>IF(OR(D971&lt;Capa!$A$5,D971&gt;Capa!$A$7,E971&lt;Capa!$A$5,E971&gt;Capa!$A$7,D971&gt;E971),"Erro","")</f>
        <v/>
      </c>
    </row>
    <row r="972" spans="1:9" ht="30" hidden="1">
      <c r="A972" s="345">
        <v>1170</v>
      </c>
      <c r="B972" s="346" t="s">
        <v>312</v>
      </c>
      <c r="C972" s="347">
        <v>200</v>
      </c>
      <c r="D972" s="348">
        <v>46023</v>
      </c>
      <c r="E972" s="348">
        <v>46357</v>
      </c>
      <c r="F972" s="346" t="s">
        <v>604</v>
      </c>
      <c r="G972" s="349" t="s">
        <v>571</v>
      </c>
      <c r="H972" s="350">
        <f t="shared" si="22"/>
        <v>2400</v>
      </c>
      <c r="I972" s="120" t="str">
        <f>IF(OR(D972&lt;Capa!$A$5,D972&gt;Capa!$A$7,E972&lt;Capa!$A$5,E972&gt;Capa!$A$7,D972&gt;E972),"Erro","")</f>
        <v/>
      </c>
    </row>
    <row r="973" spans="1:9" ht="30" hidden="1">
      <c r="A973" s="345">
        <v>1171</v>
      </c>
      <c r="B973" s="346" t="s">
        <v>312</v>
      </c>
      <c r="C973" s="347">
        <v>200</v>
      </c>
      <c r="D973" s="348">
        <v>46388</v>
      </c>
      <c r="E973" s="348">
        <v>46722</v>
      </c>
      <c r="F973" s="346" t="s">
        <v>604</v>
      </c>
      <c r="G973" s="349" t="s">
        <v>571</v>
      </c>
      <c r="H973" s="350">
        <f t="shared" si="22"/>
        <v>2400</v>
      </c>
      <c r="I973" s="120" t="str">
        <f>IF(OR(D973&lt;Capa!$A$5,D973&gt;Capa!$A$7,E973&lt;Capa!$A$5,E973&gt;Capa!$A$7,D973&gt;E973),"Erro","")</f>
        <v/>
      </c>
    </row>
    <row r="974" spans="1:9" ht="30" hidden="1">
      <c r="A974" s="345">
        <v>1172</v>
      </c>
      <c r="B974" s="346" t="s">
        <v>312</v>
      </c>
      <c r="C974" s="347">
        <v>100</v>
      </c>
      <c r="D974" s="348">
        <v>46753</v>
      </c>
      <c r="E974" s="348">
        <v>47058</v>
      </c>
      <c r="F974" s="346" t="s">
        <v>604</v>
      </c>
      <c r="G974" s="349" t="s">
        <v>571</v>
      </c>
      <c r="H974" s="350">
        <f t="shared" si="22"/>
        <v>1100</v>
      </c>
      <c r="I974" s="120" t="str">
        <f>IF(OR(D974&lt;Capa!$A$5,D974&gt;Capa!$A$7,E974&lt;Capa!$A$5,E974&gt;Capa!$A$7,D974&gt;E974),"Erro","")</f>
        <v/>
      </c>
    </row>
    <row r="975" spans="1:9" ht="50" hidden="1">
      <c r="A975" s="345">
        <v>1174</v>
      </c>
      <c r="B975" s="346" t="s">
        <v>316</v>
      </c>
      <c r="C975" s="347">
        <v>800</v>
      </c>
      <c r="D975" s="348">
        <v>45658</v>
      </c>
      <c r="E975" s="348">
        <v>45992</v>
      </c>
      <c r="F975" s="346" t="s">
        <v>604</v>
      </c>
      <c r="G975" s="349" t="s">
        <v>741</v>
      </c>
      <c r="H975" s="350">
        <f t="shared" si="22"/>
        <v>9600</v>
      </c>
      <c r="I975" s="120" t="str">
        <f>IF(OR(D975&lt;Capa!$A$5,D975&gt;Capa!$A$7,E975&lt;Capa!$A$5,E975&gt;Capa!$A$7,D975&gt;E975),"Erro","")</f>
        <v/>
      </c>
    </row>
    <row r="976" spans="1:9" ht="50" hidden="1">
      <c r="A976" s="345">
        <v>1175</v>
      </c>
      <c r="B976" s="346" t="s">
        <v>316</v>
      </c>
      <c r="C976" s="347">
        <v>800</v>
      </c>
      <c r="D976" s="348">
        <v>46023</v>
      </c>
      <c r="E976" s="348">
        <v>46357</v>
      </c>
      <c r="F976" s="346" t="s">
        <v>604</v>
      </c>
      <c r="G976" s="349" t="s">
        <v>741</v>
      </c>
      <c r="H976" s="350">
        <f t="shared" si="22"/>
        <v>9600</v>
      </c>
      <c r="I976" s="120" t="str">
        <f>IF(OR(D976&lt;Capa!$A$5,D976&gt;Capa!$A$7,E976&lt;Capa!$A$5,E976&gt;Capa!$A$7,D976&gt;E976),"Erro","")</f>
        <v/>
      </c>
    </row>
    <row r="977" spans="1:9" ht="50" hidden="1">
      <c r="A977" s="345">
        <v>1176</v>
      </c>
      <c r="B977" s="346" t="s">
        <v>316</v>
      </c>
      <c r="C977" s="347">
        <v>800</v>
      </c>
      <c r="D977" s="348">
        <v>46388</v>
      </c>
      <c r="E977" s="348">
        <v>46722</v>
      </c>
      <c r="F977" s="346" t="s">
        <v>604</v>
      </c>
      <c r="G977" s="349" t="s">
        <v>741</v>
      </c>
      <c r="H977" s="350">
        <f t="shared" si="22"/>
        <v>9600</v>
      </c>
      <c r="I977" s="120" t="str">
        <f>IF(OR(D977&lt;Capa!$A$5,D977&gt;Capa!$A$7,E977&lt;Capa!$A$5,E977&gt;Capa!$A$7,D977&gt;E977),"Erro","")</f>
        <v/>
      </c>
    </row>
    <row r="978" spans="1:9" ht="50" hidden="1">
      <c r="A978" s="345">
        <v>1177</v>
      </c>
      <c r="B978" s="346" t="s">
        <v>316</v>
      </c>
      <c r="C978" s="347">
        <v>400</v>
      </c>
      <c r="D978" s="348">
        <v>46753</v>
      </c>
      <c r="E978" s="348">
        <v>47058</v>
      </c>
      <c r="F978" s="346" t="s">
        <v>604</v>
      </c>
      <c r="G978" s="349" t="s">
        <v>741</v>
      </c>
      <c r="H978" s="350">
        <f t="shared" si="22"/>
        <v>4400</v>
      </c>
      <c r="I978" s="120" t="str">
        <f>IF(OR(D978&lt;Capa!$A$5,D978&gt;Capa!$A$7,E978&lt;Capa!$A$5,E978&gt;Capa!$A$7,D978&gt;E978),"Erro","")</f>
        <v/>
      </c>
    </row>
    <row r="979" spans="1:9" ht="50" hidden="1">
      <c r="A979" s="345">
        <v>1179</v>
      </c>
      <c r="B979" s="346" t="s">
        <v>318</v>
      </c>
      <c r="C979" s="347">
        <v>1000</v>
      </c>
      <c r="D979" s="348">
        <v>45658</v>
      </c>
      <c r="E979" s="348">
        <v>45992</v>
      </c>
      <c r="F979" s="346" t="s">
        <v>604</v>
      </c>
      <c r="G979" s="349" t="s">
        <v>572</v>
      </c>
      <c r="H979" s="350">
        <f t="shared" si="22"/>
        <v>12000</v>
      </c>
      <c r="I979" s="120" t="str">
        <f>IF(OR(D979&lt;Capa!$A$5,D979&gt;Capa!$A$7,E979&lt;Capa!$A$5,E979&gt;Capa!$A$7,D979&gt;E979),"Erro","")</f>
        <v/>
      </c>
    </row>
    <row r="980" spans="1:9" ht="50" hidden="1">
      <c r="A980" s="345">
        <v>1180</v>
      </c>
      <c r="B980" s="346" t="s">
        <v>318</v>
      </c>
      <c r="C980" s="347">
        <v>1000</v>
      </c>
      <c r="D980" s="348">
        <v>46023</v>
      </c>
      <c r="E980" s="348">
        <v>46357</v>
      </c>
      <c r="F980" s="346" t="s">
        <v>604</v>
      </c>
      <c r="G980" s="349" t="s">
        <v>572</v>
      </c>
      <c r="H980" s="350">
        <f t="shared" si="22"/>
        <v>12000</v>
      </c>
      <c r="I980" s="120" t="str">
        <f>IF(OR(D980&lt;Capa!$A$5,D980&gt;Capa!$A$7,E980&lt;Capa!$A$5,E980&gt;Capa!$A$7,D980&gt;E980),"Erro","")</f>
        <v/>
      </c>
    </row>
    <row r="981" spans="1:9" ht="50" hidden="1">
      <c r="A981" s="345">
        <v>1181</v>
      </c>
      <c r="B981" s="346" t="s">
        <v>318</v>
      </c>
      <c r="C981" s="347">
        <v>700</v>
      </c>
      <c r="D981" s="348">
        <v>46388</v>
      </c>
      <c r="E981" s="348">
        <v>46722</v>
      </c>
      <c r="F981" s="346" t="s">
        <v>604</v>
      </c>
      <c r="G981" s="349" t="s">
        <v>572</v>
      </c>
      <c r="H981" s="350">
        <f t="shared" si="22"/>
        <v>8400</v>
      </c>
      <c r="I981" s="120" t="str">
        <f>IF(OR(D981&lt;Capa!$A$5,D981&gt;Capa!$A$7,E981&lt;Capa!$A$5,E981&gt;Capa!$A$7,D981&gt;E981),"Erro","")</f>
        <v/>
      </c>
    </row>
    <row r="982" spans="1:9" ht="50" hidden="1">
      <c r="A982" s="345">
        <v>1182</v>
      </c>
      <c r="B982" s="346" t="s">
        <v>318</v>
      </c>
      <c r="C982" s="347">
        <v>250</v>
      </c>
      <c r="D982" s="348">
        <v>46753</v>
      </c>
      <c r="E982" s="348">
        <v>47058</v>
      </c>
      <c r="F982" s="346" t="s">
        <v>604</v>
      </c>
      <c r="G982" s="349" t="s">
        <v>572</v>
      </c>
      <c r="H982" s="350">
        <f t="shared" si="22"/>
        <v>2750</v>
      </c>
      <c r="I982" s="120" t="str">
        <f>IF(OR(D982&lt;Capa!$A$5,D982&gt;Capa!$A$7,E982&lt;Capa!$A$5,E982&gt;Capa!$A$7,D982&gt;E982),"Erro","")</f>
        <v/>
      </c>
    </row>
    <row r="983" spans="1:9" ht="50" hidden="1">
      <c r="A983" s="345">
        <v>1184</v>
      </c>
      <c r="B983" s="346" t="s">
        <v>318</v>
      </c>
      <c r="C983" s="347">
        <v>700</v>
      </c>
      <c r="D983" s="348">
        <v>45658</v>
      </c>
      <c r="E983" s="348">
        <v>45992</v>
      </c>
      <c r="F983" s="346" t="s">
        <v>604</v>
      </c>
      <c r="G983" s="349" t="s">
        <v>456</v>
      </c>
      <c r="H983" s="350">
        <f t="shared" si="22"/>
        <v>8400</v>
      </c>
      <c r="I983" s="120" t="str">
        <f>IF(OR(D983&lt;Capa!$A$5,D983&gt;Capa!$A$7,E983&lt;Capa!$A$5,E983&gt;Capa!$A$7,D983&gt;E983),"Erro","")</f>
        <v/>
      </c>
    </row>
    <row r="984" spans="1:9" ht="50" hidden="1">
      <c r="A984" s="345">
        <v>1185</v>
      </c>
      <c r="B984" s="346" t="s">
        <v>318</v>
      </c>
      <c r="C984" s="347">
        <v>700</v>
      </c>
      <c r="D984" s="348">
        <v>46023</v>
      </c>
      <c r="E984" s="348">
        <v>46357</v>
      </c>
      <c r="F984" s="346" t="s">
        <v>604</v>
      </c>
      <c r="G984" s="349" t="s">
        <v>456</v>
      </c>
      <c r="H984" s="350">
        <f t="shared" si="22"/>
        <v>8400</v>
      </c>
      <c r="I984" s="120" t="str">
        <f>IF(OR(D984&lt;Capa!$A$5,D984&gt;Capa!$A$7,E984&lt;Capa!$A$5,E984&gt;Capa!$A$7,D984&gt;E984),"Erro","")</f>
        <v/>
      </c>
    </row>
    <row r="985" spans="1:9" ht="50" hidden="1">
      <c r="A985" s="345">
        <v>1186</v>
      </c>
      <c r="B985" s="346" t="s">
        <v>318</v>
      </c>
      <c r="C985" s="347">
        <v>700</v>
      </c>
      <c r="D985" s="348">
        <v>46388</v>
      </c>
      <c r="E985" s="348">
        <v>46722</v>
      </c>
      <c r="F985" s="346" t="s">
        <v>604</v>
      </c>
      <c r="G985" s="349" t="s">
        <v>456</v>
      </c>
      <c r="H985" s="350">
        <f t="shared" si="22"/>
        <v>8400</v>
      </c>
      <c r="I985" s="120" t="str">
        <f>IF(OR(D985&lt;Capa!$A$5,D985&gt;Capa!$A$7,E985&lt;Capa!$A$5,E985&gt;Capa!$A$7,D985&gt;E985),"Erro","")</f>
        <v/>
      </c>
    </row>
    <row r="986" spans="1:9" ht="50" hidden="1">
      <c r="A986" s="345">
        <v>1187</v>
      </c>
      <c r="B986" s="346" t="s">
        <v>318</v>
      </c>
      <c r="C986" s="347">
        <v>250</v>
      </c>
      <c r="D986" s="348">
        <v>46753</v>
      </c>
      <c r="E986" s="348">
        <v>47058</v>
      </c>
      <c r="F986" s="346" t="s">
        <v>604</v>
      </c>
      <c r="G986" s="349" t="s">
        <v>456</v>
      </c>
      <c r="H986" s="350">
        <f t="shared" si="22"/>
        <v>2750</v>
      </c>
      <c r="I986" s="120" t="str">
        <f>IF(OR(D986&lt;Capa!$A$5,D986&gt;Capa!$A$7,E986&lt;Capa!$A$5,E986&gt;Capa!$A$7,D986&gt;E986),"Erro","")</f>
        <v/>
      </c>
    </row>
    <row r="987" spans="1:9" ht="20" hidden="1">
      <c r="A987" s="345">
        <v>1189</v>
      </c>
      <c r="B987" s="346" t="s">
        <v>298</v>
      </c>
      <c r="C987" s="347">
        <v>2450</v>
      </c>
      <c r="D987" s="348">
        <v>45658</v>
      </c>
      <c r="E987" s="348">
        <v>45992</v>
      </c>
      <c r="F987" s="346" t="s">
        <v>604</v>
      </c>
      <c r="G987" s="349" t="s">
        <v>457</v>
      </c>
      <c r="H987" s="350">
        <f t="shared" si="22"/>
        <v>29400</v>
      </c>
      <c r="I987" s="120" t="str">
        <f>IF(OR(D987&lt;Capa!$A$5,D987&gt;Capa!$A$7,E987&lt;Capa!$A$5,E987&gt;Capa!$A$7,D987&gt;E987),"Erro","")</f>
        <v/>
      </c>
    </row>
    <row r="988" spans="1:9" ht="20" hidden="1">
      <c r="A988" s="345">
        <v>1190</v>
      </c>
      <c r="B988" s="346" t="s">
        <v>298</v>
      </c>
      <c r="C988" s="347">
        <v>2450</v>
      </c>
      <c r="D988" s="348">
        <v>46023</v>
      </c>
      <c r="E988" s="348">
        <v>46357</v>
      </c>
      <c r="F988" s="346" t="s">
        <v>604</v>
      </c>
      <c r="G988" s="349" t="s">
        <v>457</v>
      </c>
      <c r="H988" s="350">
        <f t="shared" si="22"/>
        <v>29400</v>
      </c>
      <c r="I988" s="120" t="str">
        <f>IF(OR(D988&lt;Capa!$A$5,D988&gt;Capa!$A$7,E988&lt;Capa!$A$5,E988&gt;Capa!$A$7,D988&gt;E988),"Erro","")</f>
        <v/>
      </c>
    </row>
    <row r="989" spans="1:9" ht="20" hidden="1">
      <c r="A989" s="345">
        <v>1191</v>
      </c>
      <c r="B989" s="346" t="s">
        <v>298</v>
      </c>
      <c r="C989" s="347">
        <v>2450</v>
      </c>
      <c r="D989" s="348">
        <v>46388</v>
      </c>
      <c r="E989" s="348">
        <v>46722</v>
      </c>
      <c r="F989" s="346" t="s">
        <v>604</v>
      </c>
      <c r="G989" s="349" t="s">
        <v>457</v>
      </c>
      <c r="H989" s="350">
        <f t="shared" si="22"/>
        <v>29400</v>
      </c>
      <c r="I989" s="120" t="str">
        <f>IF(OR(D989&lt;Capa!$A$5,D989&gt;Capa!$A$7,E989&lt;Capa!$A$5,E989&gt;Capa!$A$7,D989&gt;E989),"Erro","")</f>
        <v/>
      </c>
    </row>
    <row r="990" spans="1:9" ht="20" hidden="1">
      <c r="A990" s="345">
        <v>1192</v>
      </c>
      <c r="B990" s="346" t="s">
        <v>298</v>
      </c>
      <c r="C990" s="347">
        <v>1250</v>
      </c>
      <c r="D990" s="348">
        <v>46753</v>
      </c>
      <c r="E990" s="348">
        <v>47058</v>
      </c>
      <c r="F990" s="346" t="s">
        <v>604</v>
      </c>
      <c r="G990" s="349" t="s">
        <v>457</v>
      </c>
      <c r="H990" s="350">
        <f t="shared" si="22"/>
        <v>13750</v>
      </c>
      <c r="I990" s="120" t="str">
        <f>IF(OR(D990&lt;Capa!$A$5,D990&gt;Capa!$A$7,E990&lt;Capa!$A$5,E990&gt;Capa!$A$7,D990&gt;E990),"Erro","")</f>
        <v/>
      </c>
    </row>
    <row r="991" spans="1:9" ht="30" hidden="1">
      <c r="A991" s="345">
        <v>1193</v>
      </c>
      <c r="B991" s="346" t="s">
        <v>238</v>
      </c>
      <c r="C991" s="347">
        <v>480</v>
      </c>
      <c r="D991" s="348">
        <v>45658</v>
      </c>
      <c r="E991" s="348">
        <v>45992</v>
      </c>
      <c r="F991" s="346" t="s">
        <v>604</v>
      </c>
      <c r="G991" s="349" t="s">
        <v>458</v>
      </c>
      <c r="H991" s="350">
        <f t="shared" si="22"/>
        <v>5760</v>
      </c>
      <c r="I991" s="120" t="str">
        <f>IF(OR(D991&lt;Capa!$A$5,D991&gt;Capa!$A$7,E991&lt;Capa!$A$5,E991&gt;Capa!$A$7,D991&gt;E991),"Erro","")</f>
        <v/>
      </c>
    </row>
    <row r="992" spans="1:9" ht="30" hidden="1">
      <c r="A992" s="345">
        <v>1194</v>
      </c>
      <c r="B992" s="346" t="s">
        <v>238</v>
      </c>
      <c r="C992" s="347">
        <v>480</v>
      </c>
      <c r="D992" s="348">
        <v>46023</v>
      </c>
      <c r="E992" s="348">
        <v>46357</v>
      </c>
      <c r="F992" s="346" t="s">
        <v>604</v>
      </c>
      <c r="G992" s="349" t="s">
        <v>458</v>
      </c>
      <c r="H992" s="350">
        <f t="shared" si="22"/>
        <v>5760</v>
      </c>
      <c r="I992" s="120" t="str">
        <f>IF(OR(D992&lt;Capa!$A$5,D992&gt;Capa!$A$7,E992&lt;Capa!$A$5,E992&gt;Capa!$A$7,D992&gt;E992),"Erro","")</f>
        <v/>
      </c>
    </row>
    <row r="993" spans="1:9" ht="30" hidden="1">
      <c r="A993" s="345">
        <v>1195</v>
      </c>
      <c r="B993" s="346" t="s">
        <v>238</v>
      </c>
      <c r="C993" s="347">
        <v>480</v>
      </c>
      <c r="D993" s="348">
        <v>46388</v>
      </c>
      <c r="E993" s="348">
        <v>46722</v>
      </c>
      <c r="F993" s="346" t="s">
        <v>604</v>
      </c>
      <c r="G993" s="349" t="s">
        <v>458</v>
      </c>
      <c r="H993" s="350">
        <f t="shared" si="22"/>
        <v>5760</v>
      </c>
      <c r="I993" s="120" t="str">
        <f>IF(OR(D993&lt;Capa!$A$5,D993&gt;Capa!$A$7,E993&lt;Capa!$A$5,E993&gt;Capa!$A$7,D993&gt;E993),"Erro","")</f>
        <v/>
      </c>
    </row>
    <row r="994" spans="1:9" ht="30" hidden="1">
      <c r="A994" s="345">
        <v>1196</v>
      </c>
      <c r="B994" s="346" t="s">
        <v>238</v>
      </c>
      <c r="C994" s="347">
        <v>240</v>
      </c>
      <c r="D994" s="348">
        <v>46753</v>
      </c>
      <c r="E994" s="348">
        <v>47058</v>
      </c>
      <c r="F994" s="346" t="s">
        <v>604</v>
      </c>
      <c r="G994" s="349" t="s">
        <v>458</v>
      </c>
      <c r="H994" s="350">
        <f t="shared" si="22"/>
        <v>2640</v>
      </c>
      <c r="I994" s="120" t="str">
        <f>IF(OR(D994&lt;Capa!$A$5,D994&gt;Capa!$A$7,E994&lt;Capa!$A$5,E994&gt;Capa!$A$7,D994&gt;E994),"Erro","")</f>
        <v/>
      </c>
    </row>
    <row r="995" spans="1:9" ht="40" hidden="1">
      <c r="A995" s="345">
        <v>1198</v>
      </c>
      <c r="B995" s="346" t="s">
        <v>252</v>
      </c>
      <c r="C995" s="347">
        <v>8000</v>
      </c>
      <c r="D995" s="348">
        <v>45658</v>
      </c>
      <c r="E995" s="348">
        <v>45992</v>
      </c>
      <c r="F995" s="346" t="s">
        <v>604</v>
      </c>
      <c r="G995" s="349" t="s">
        <v>459</v>
      </c>
      <c r="H995" s="350">
        <f t="shared" si="22"/>
        <v>96000</v>
      </c>
      <c r="I995" s="120" t="str">
        <f>IF(OR(D995&lt;Capa!$A$5,D995&gt;Capa!$A$7,E995&lt;Capa!$A$5,E995&gt;Capa!$A$7,D995&gt;E995),"Erro","")</f>
        <v/>
      </c>
    </row>
    <row r="996" spans="1:9" ht="40" hidden="1">
      <c r="A996" s="345">
        <v>1199</v>
      </c>
      <c r="B996" s="346" t="s">
        <v>252</v>
      </c>
      <c r="C996" s="347">
        <v>8000</v>
      </c>
      <c r="D996" s="348">
        <v>46023</v>
      </c>
      <c r="E996" s="348">
        <v>46357</v>
      </c>
      <c r="F996" s="346" t="s">
        <v>604</v>
      </c>
      <c r="G996" s="349" t="s">
        <v>459</v>
      </c>
      <c r="H996" s="350">
        <f t="shared" si="22"/>
        <v>96000</v>
      </c>
      <c r="I996" s="120" t="str">
        <f>IF(OR(D996&lt;Capa!$A$5,D996&gt;Capa!$A$7,E996&lt;Capa!$A$5,E996&gt;Capa!$A$7,D996&gt;E996),"Erro","")</f>
        <v/>
      </c>
    </row>
    <row r="997" spans="1:9" ht="40" hidden="1">
      <c r="A997" s="345">
        <v>1200</v>
      </c>
      <c r="B997" s="346" t="s">
        <v>252</v>
      </c>
      <c r="C997" s="347">
        <v>8000</v>
      </c>
      <c r="D997" s="348">
        <v>46388</v>
      </c>
      <c r="E997" s="348">
        <v>46722</v>
      </c>
      <c r="F997" s="346" t="s">
        <v>604</v>
      </c>
      <c r="G997" s="349" t="s">
        <v>459</v>
      </c>
      <c r="H997" s="350">
        <f t="shared" si="22"/>
        <v>96000</v>
      </c>
      <c r="I997" s="120" t="str">
        <f>IF(OR(D997&lt;Capa!$A$5,D997&gt;Capa!$A$7,E997&lt;Capa!$A$5,E997&gt;Capa!$A$7,D997&gt;E997),"Erro","")</f>
        <v/>
      </c>
    </row>
    <row r="998" spans="1:9" ht="40" hidden="1">
      <c r="A998" s="345">
        <v>1201</v>
      </c>
      <c r="B998" s="346" t="s">
        <v>252</v>
      </c>
      <c r="C998" s="347">
        <v>4000</v>
      </c>
      <c r="D998" s="348">
        <v>46753</v>
      </c>
      <c r="E998" s="348">
        <v>47058</v>
      </c>
      <c r="F998" s="346" t="s">
        <v>604</v>
      </c>
      <c r="G998" s="349" t="s">
        <v>459</v>
      </c>
      <c r="H998" s="350">
        <f t="shared" si="22"/>
        <v>44000</v>
      </c>
      <c r="I998" s="120" t="str">
        <f>IF(OR(D998&lt;Capa!$A$5,D998&gt;Capa!$A$7,E998&lt;Capa!$A$5,E998&gt;Capa!$A$7,D998&gt;E998),"Erro","")</f>
        <v/>
      </c>
    </row>
    <row r="999" spans="1:9" ht="20" hidden="1">
      <c r="A999" s="345">
        <v>1202</v>
      </c>
      <c r="B999" s="346" t="s">
        <v>620</v>
      </c>
      <c r="C999" s="347">
        <v>110</v>
      </c>
      <c r="D999" s="348">
        <v>45658</v>
      </c>
      <c r="E999" s="348">
        <v>47058</v>
      </c>
      <c r="F999" s="346" t="s">
        <v>604</v>
      </c>
      <c r="G999" s="349" t="s">
        <v>662</v>
      </c>
      <c r="H999" s="350">
        <f t="shared" si="22"/>
        <v>5170</v>
      </c>
      <c r="I999" s="120" t="str">
        <f>IF(OR(D999&lt;Capa!$A$5,D999&gt;Capa!$A$7,E999&lt;Capa!$A$5,E999&gt;Capa!$A$7,D999&gt;E999),"Erro","")</f>
        <v/>
      </c>
    </row>
    <row r="1000" spans="1:9" ht="20" hidden="1">
      <c r="A1000" s="345">
        <v>1204</v>
      </c>
      <c r="B1000" s="346" t="s">
        <v>622</v>
      </c>
      <c r="C1000" s="347">
        <v>850</v>
      </c>
      <c r="D1000" s="348">
        <v>45658</v>
      </c>
      <c r="E1000" s="348">
        <v>47058</v>
      </c>
      <c r="F1000" s="346" t="s">
        <v>604</v>
      </c>
      <c r="G1000" s="349" t="s">
        <v>664</v>
      </c>
      <c r="H1000" s="350">
        <f t="shared" si="22"/>
        <v>39950</v>
      </c>
      <c r="I1000" s="120" t="str">
        <f>IF(OR(D1000&lt;Capa!$A$5,D1000&gt;Capa!$A$7,E1000&lt;Capa!$A$5,E1000&gt;Capa!$A$7,D1000&gt;E1000),"Erro","")</f>
        <v/>
      </c>
    </row>
    <row r="1001" spans="1:9" ht="30" hidden="1">
      <c r="A1001" s="345">
        <v>1205</v>
      </c>
      <c r="B1001" s="346" t="s">
        <v>621</v>
      </c>
      <c r="C1001" s="347">
        <v>2000</v>
      </c>
      <c r="D1001" s="348">
        <v>45689</v>
      </c>
      <c r="E1001" s="348">
        <v>45689</v>
      </c>
      <c r="F1001" s="346" t="s">
        <v>604</v>
      </c>
      <c r="G1001" s="349" t="s">
        <v>595</v>
      </c>
      <c r="H1001" s="350">
        <f t="shared" si="22"/>
        <v>2000</v>
      </c>
      <c r="I1001" s="120" t="str">
        <f>IF(OR(D1001&lt;Capa!$A$5,D1001&gt;Capa!$A$7,E1001&lt;Capa!$A$5,E1001&gt;Capa!$A$7,D1001&gt;E1001),"Erro","")</f>
        <v/>
      </c>
    </row>
    <row r="1002" spans="1:9" ht="40" hidden="1">
      <c r="A1002" s="345">
        <v>1206</v>
      </c>
      <c r="B1002" s="346" t="s">
        <v>621</v>
      </c>
      <c r="C1002" s="347">
        <v>2000</v>
      </c>
      <c r="D1002" s="348">
        <v>46419</v>
      </c>
      <c r="E1002" s="348">
        <v>46419</v>
      </c>
      <c r="F1002" s="346" t="s">
        <v>604</v>
      </c>
      <c r="G1002" s="349" t="s">
        <v>667</v>
      </c>
      <c r="H1002" s="350">
        <f t="shared" si="22"/>
        <v>2000</v>
      </c>
      <c r="I1002" s="120" t="str">
        <f>IF(OR(D1002&lt;Capa!$A$5,D1002&gt;Capa!$A$7,E1002&lt;Capa!$A$5,E1002&gt;Capa!$A$7,D1002&gt;E1002),"Erro","")</f>
        <v/>
      </c>
    </row>
    <row r="1003" spans="1:9" ht="30" hidden="1">
      <c r="A1003" s="345">
        <v>1207</v>
      </c>
      <c r="B1003" s="346" t="s">
        <v>619</v>
      </c>
      <c r="C1003" s="347">
        <v>70</v>
      </c>
      <c r="D1003" s="348">
        <v>45658</v>
      </c>
      <c r="E1003" s="348">
        <v>47058</v>
      </c>
      <c r="F1003" s="346" t="s">
        <v>604</v>
      </c>
      <c r="G1003" s="349" t="s">
        <v>663</v>
      </c>
      <c r="H1003" s="350">
        <f t="shared" si="22"/>
        <v>3290</v>
      </c>
      <c r="I1003" s="120" t="str">
        <f>IF(OR(D1003&lt;Capa!$A$5,D1003&gt;Capa!$A$7,E1003&lt;Capa!$A$5,E1003&gt;Capa!$A$7,D1003&gt;E1003),"Erro","")</f>
        <v/>
      </c>
    </row>
    <row r="1004" spans="1:9" ht="30" hidden="1">
      <c r="A1004" s="345">
        <v>1208</v>
      </c>
      <c r="B1004" s="346" t="s">
        <v>617</v>
      </c>
      <c r="C1004" s="347">
        <v>200</v>
      </c>
      <c r="D1004" s="348">
        <v>45658</v>
      </c>
      <c r="E1004" s="348">
        <v>47058</v>
      </c>
      <c r="F1004" s="346" t="s">
        <v>604</v>
      </c>
      <c r="G1004" s="349" t="s">
        <v>639</v>
      </c>
      <c r="H1004" s="350">
        <f t="shared" si="22"/>
        <v>9400</v>
      </c>
      <c r="I1004" s="120" t="str">
        <f>IF(OR(D1004&lt;Capa!$A$5,D1004&gt;Capa!$A$7,E1004&lt;Capa!$A$5,E1004&gt;Capa!$A$7,D1004&gt;E1004),"Erro","")</f>
        <v/>
      </c>
    </row>
    <row r="1005" spans="1:9" ht="20" hidden="1">
      <c r="A1005" s="345">
        <v>1209</v>
      </c>
      <c r="B1005" s="346" t="s">
        <v>618</v>
      </c>
      <c r="C1005" s="347">
        <v>2500</v>
      </c>
      <c r="D1005" s="348">
        <v>45658</v>
      </c>
      <c r="E1005" s="348">
        <v>47058</v>
      </c>
      <c r="F1005" s="346" t="s">
        <v>604</v>
      </c>
      <c r="G1005" s="349" t="s">
        <v>657</v>
      </c>
      <c r="H1005" s="350">
        <f t="shared" si="22"/>
        <v>117500</v>
      </c>
      <c r="I1005" s="120" t="str">
        <f>IF(OR(D1005&lt;Capa!$A$5,D1005&gt;Capa!$A$7,E1005&lt;Capa!$A$5,E1005&gt;Capa!$A$7,D1005&gt;E1005),"Erro","")</f>
        <v/>
      </c>
    </row>
    <row r="1006" spans="1:9" ht="30" hidden="1">
      <c r="A1006" s="345">
        <v>1211</v>
      </c>
      <c r="B1006" s="346" t="s">
        <v>623</v>
      </c>
      <c r="C1006" s="347">
        <v>650</v>
      </c>
      <c r="D1006" s="348">
        <v>45658</v>
      </c>
      <c r="E1006" s="348">
        <v>46784</v>
      </c>
      <c r="F1006" s="346" t="s">
        <v>604</v>
      </c>
      <c r="G1006" s="349" t="s">
        <v>658</v>
      </c>
      <c r="H1006" s="350">
        <f t="shared" si="22"/>
        <v>24700</v>
      </c>
      <c r="I1006" s="120" t="str">
        <f>IF(OR(D1006&lt;Capa!$A$5,D1006&gt;Capa!$A$7,E1006&lt;Capa!$A$5,E1006&gt;Capa!$A$7,D1006&gt;E1006),"Erro","")</f>
        <v/>
      </c>
    </row>
    <row r="1007" spans="1:9" ht="20" hidden="1">
      <c r="A1007" s="345">
        <v>1212</v>
      </c>
      <c r="B1007" s="346" t="s">
        <v>625</v>
      </c>
      <c r="C1007" s="347">
        <v>90</v>
      </c>
      <c r="D1007" s="348">
        <v>45658</v>
      </c>
      <c r="E1007" s="348">
        <v>47058</v>
      </c>
      <c r="F1007" s="346" t="s">
        <v>604</v>
      </c>
      <c r="G1007" s="349" t="s">
        <v>659</v>
      </c>
      <c r="H1007" s="350">
        <f t="shared" si="22"/>
        <v>4230</v>
      </c>
      <c r="I1007" s="120" t="str">
        <f>IF(OR(D1007&lt;Capa!$A$5,D1007&gt;Capa!$A$7,E1007&lt;Capa!$A$5,E1007&gt;Capa!$A$7,D1007&gt;E1007),"Erro","")</f>
        <v/>
      </c>
    </row>
    <row r="1008" spans="1:9" ht="20" hidden="1">
      <c r="A1008" s="345">
        <v>1213</v>
      </c>
      <c r="B1008" s="346" t="s">
        <v>627</v>
      </c>
      <c r="C1008" s="347">
        <v>50</v>
      </c>
      <c r="D1008" s="348">
        <v>45658</v>
      </c>
      <c r="E1008" s="348">
        <v>47058</v>
      </c>
      <c r="F1008" s="346" t="s">
        <v>604</v>
      </c>
      <c r="G1008" s="349" t="s">
        <v>661</v>
      </c>
      <c r="H1008" s="350">
        <f t="shared" si="22"/>
        <v>2350</v>
      </c>
      <c r="I1008" s="120" t="str">
        <f>IF(OR(D1008&lt;Capa!$A$5,D1008&gt;Capa!$A$7,E1008&lt;Capa!$A$5,E1008&gt;Capa!$A$7,D1008&gt;E1008),"Erro","")</f>
        <v/>
      </c>
    </row>
    <row r="1009" spans="1:9" ht="30" hidden="1">
      <c r="A1009" s="345">
        <v>1214</v>
      </c>
      <c r="B1009" s="346" t="s">
        <v>626</v>
      </c>
      <c r="C1009" s="347">
        <v>350</v>
      </c>
      <c r="D1009" s="348">
        <v>45658</v>
      </c>
      <c r="E1009" s="348">
        <v>47058</v>
      </c>
      <c r="F1009" s="346" t="s">
        <v>604</v>
      </c>
      <c r="G1009" s="349" t="s">
        <v>660</v>
      </c>
      <c r="H1009" s="350">
        <f t="shared" si="22"/>
        <v>16450</v>
      </c>
      <c r="I1009" s="120" t="str">
        <f>IF(OR(D1009&lt;Capa!$A$5,D1009&gt;Capa!$A$7,E1009&lt;Capa!$A$5,E1009&gt;Capa!$A$7,D1009&gt;E1009),"Erro","")</f>
        <v/>
      </c>
    </row>
    <row r="1010" spans="1:9" ht="20" hidden="1">
      <c r="A1010" s="345">
        <v>1218</v>
      </c>
      <c r="B1010" s="346" t="s">
        <v>198</v>
      </c>
      <c r="C1010" s="347">
        <v>7500</v>
      </c>
      <c r="D1010" s="348">
        <v>45658</v>
      </c>
      <c r="E1010" s="348">
        <v>45992</v>
      </c>
      <c r="F1010" s="346" t="s">
        <v>605</v>
      </c>
      <c r="G1010" s="349" t="s">
        <v>437</v>
      </c>
      <c r="H1010" s="350">
        <f t="shared" si="22"/>
        <v>90000</v>
      </c>
      <c r="I1010" s="120" t="str">
        <f>IF(OR(D1010&lt;Capa!$A$5,D1010&gt;Capa!$A$7,E1010&lt;Capa!$A$5,E1010&gt;Capa!$A$7,D1010&gt;E1010),"Erro","")</f>
        <v/>
      </c>
    </row>
    <row r="1011" spans="1:9" ht="20" hidden="1">
      <c r="A1011" s="345">
        <v>1219</v>
      </c>
      <c r="B1011" s="346" t="s">
        <v>198</v>
      </c>
      <c r="C1011" s="347">
        <v>7500</v>
      </c>
      <c r="D1011" s="348">
        <v>46023</v>
      </c>
      <c r="E1011" s="348">
        <v>46357</v>
      </c>
      <c r="F1011" s="346" t="s">
        <v>605</v>
      </c>
      <c r="G1011" s="349" t="s">
        <v>437</v>
      </c>
      <c r="H1011" s="350">
        <f t="shared" si="22"/>
        <v>90000</v>
      </c>
      <c r="I1011" s="120" t="str">
        <f>IF(OR(D1011&lt;Capa!$A$5,D1011&gt;Capa!$A$7,E1011&lt;Capa!$A$5,E1011&gt;Capa!$A$7,D1011&gt;E1011),"Erro","")</f>
        <v/>
      </c>
    </row>
    <row r="1012" spans="1:9" ht="20" hidden="1">
      <c r="A1012" s="345">
        <v>1220</v>
      </c>
      <c r="B1012" s="346" t="s">
        <v>198</v>
      </c>
      <c r="C1012" s="347">
        <v>7500</v>
      </c>
      <c r="D1012" s="348">
        <v>46388</v>
      </c>
      <c r="E1012" s="348">
        <v>46722</v>
      </c>
      <c r="F1012" s="346" t="s">
        <v>605</v>
      </c>
      <c r="G1012" s="349" t="s">
        <v>437</v>
      </c>
      <c r="H1012" s="350">
        <f t="shared" si="22"/>
        <v>90000</v>
      </c>
      <c r="I1012" s="120" t="str">
        <f>IF(OR(D1012&lt;Capa!$A$5,D1012&gt;Capa!$A$7,E1012&lt;Capa!$A$5,E1012&gt;Capa!$A$7,D1012&gt;E1012),"Erro","")</f>
        <v/>
      </c>
    </row>
    <row r="1013" spans="1:9" ht="20" hidden="1">
      <c r="A1013" s="345">
        <v>1221</v>
      </c>
      <c r="B1013" s="346" t="s">
        <v>198</v>
      </c>
      <c r="C1013" s="347">
        <v>2500</v>
      </c>
      <c r="D1013" s="348">
        <v>46753</v>
      </c>
      <c r="E1013" s="348">
        <v>47058</v>
      </c>
      <c r="F1013" s="346" t="s">
        <v>605</v>
      </c>
      <c r="G1013" s="349" t="s">
        <v>437</v>
      </c>
      <c r="H1013" s="350">
        <f t="shared" si="22"/>
        <v>27500</v>
      </c>
      <c r="I1013" s="120" t="str">
        <f>IF(OR(D1013&lt;Capa!$A$5,D1013&gt;Capa!$A$7,E1013&lt;Capa!$A$5,E1013&gt;Capa!$A$7,D1013&gt;E1013),"Erro","")</f>
        <v/>
      </c>
    </row>
    <row r="1014" spans="1:9" ht="20" hidden="1">
      <c r="A1014" s="345">
        <v>1223</v>
      </c>
      <c r="B1014" s="346" t="s">
        <v>202</v>
      </c>
      <c r="C1014" s="347">
        <v>1500</v>
      </c>
      <c r="D1014" s="348">
        <v>45658</v>
      </c>
      <c r="E1014" s="348">
        <v>45992</v>
      </c>
      <c r="F1014" s="346" t="s">
        <v>605</v>
      </c>
      <c r="G1014" s="349" t="s">
        <v>438</v>
      </c>
      <c r="H1014" s="350">
        <f t="shared" si="22"/>
        <v>18000</v>
      </c>
      <c r="I1014" s="120" t="str">
        <f>IF(OR(D1014&lt;Capa!$A$5,D1014&gt;Capa!$A$7,E1014&lt;Capa!$A$5,E1014&gt;Capa!$A$7,D1014&gt;E1014),"Erro","")</f>
        <v/>
      </c>
    </row>
    <row r="1015" spans="1:9" ht="20" hidden="1">
      <c r="A1015" s="345">
        <v>1224</v>
      </c>
      <c r="B1015" s="346" t="s">
        <v>202</v>
      </c>
      <c r="C1015" s="347">
        <v>1300</v>
      </c>
      <c r="D1015" s="348">
        <v>46023</v>
      </c>
      <c r="E1015" s="348">
        <v>46357</v>
      </c>
      <c r="F1015" s="346" t="s">
        <v>605</v>
      </c>
      <c r="G1015" s="349" t="s">
        <v>438</v>
      </c>
      <c r="H1015" s="350">
        <f t="shared" si="22"/>
        <v>15600</v>
      </c>
      <c r="I1015" s="120" t="str">
        <f>IF(OR(D1015&lt;Capa!$A$5,D1015&gt;Capa!$A$7,E1015&lt;Capa!$A$5,E1015&gt;Capa!$A$7,D1015&gt;E1015),"Erro","")</f>
        <v/>
      </c>
    </row>
    <row r="1016" spans="1:9" ht="20" hidden="1">
      <c r="A1016" s="345">
        <v>1225</v>
      </c>
      <c r="B1016" s="346" t="s">
        <v>202</v>
      </c>
      <c r="C1016" s="347">
        <v>1300</v>
      </c>
      <c r="D1016" s="348">
        <v>46388</v>
      </c>
      <c r="E1016" s="348">
        <v>46722</v>
      </c>
      <c r="F1016" s="346" t="s">
        <v>605</v>
      </c>
      <c r="G1016" s="349" t="s">
        <v>438</v>
      </c>
      <c r="H1016" s="350">
        <f t="shared" si="22"/>
        <v>15600</v>
      </c>
      <c r="I1016" s="120" t="str">
        <f>IF(OR(D1016&lt;Capa!$A$5,D1016&gt;Capa!$A$7,E1016&lt;Capa!$A$5,E1016&gt;Capa!$A$7,D1016&gt;E1016),"Erro","")</f>
        <v/>
      </c>
    </row>
    <row r="1017" spans="1:9" ht="20" hidden="1">
      <c r="A1017" s="345">
        <v>1226</v>
      </c>
      <c r="B1017" s="346" t="s">
        <v>202</v>
      </c>
      <c r="C1017" s="347">
        <v>750</v>
      </c>
      <c r="D1017" s="348">
        <v>46753</v>
      </c>
      <c r="E1017" s="348">
        <v>47058</v>
      </c>
      <c r="F1017" s="346" t="s">
        <v>605</v>
      </c>
      <c r="G1017" s="349" t="s">
        <v>438</v>
      </c>
      <c r="H1017" s="350">
        <f t="shared" si="22"/>
        <v>8250</v>
      </c>
      <c r="I1017" s="120" t="str">
        <f>IF(OR(D1017&lt;Capa!$A$5,D1017&gt;Capa!$A$7,E1017&lt;Capa!$A$5,E1017&gt;Capa!$A$7,D1017&gt;E1017),"Erro","")</f>
        <v/>
      </c>
    </row>
    <row r="1018" spans="1:9" ht="20" hidden="1">
      <c r="A1018" s="345">
        <v>1228</v>
      </c>
      <c r="B1018" s="346" t="s">
        <v>204</v>
      </c>
      <c r="C1018" s="347">
        <v>1250</v>
      </c>
      <c r="D1018" s="348">
        <v>45658</v>
      </c>
      <c r="E1018" s="348">
        <v>45992</v>
      </c>
      <c r="F1018" s="346" t="s">
        <v>605</v>
      </c>
      <c r="G1018" s="349" t="s">
        <v>438</v>
      </c>
      <c r="H1018" s="350">
        <f t="shared" si="22"/>
        <v>15000</v>
      </c>
      <c r="I1018" s="120" t="str">
        <f>IF(OR(D1018&lt;Capa!$A$5,D1018&gt;Capa!$A$7,E1018&lt;Capa!$A$5,E1018&gt;Capa!$A$7,D1018&gt;E1018),"Erro","")</f>
        <v/>
      </c>
    </row>
    <row r="1019" spans="1:9" ht="20" hidden="1">
      <c r="A1019" s="345">
        <v>1229</v>
      </c>
      <c r="B1019" s="346" t="s">
        <v>204</v>
      </c>
      <c r="C1019" s="347">
        <v>1250</v>
      </c>
      <c r="D1019" s="348">
        <v>46023</v>
      </c>
      <c r="E1019" s="348">
        <v>46357</v>
      </c>
      <c r="F1019" s="346" t="s">
        <v>605</v>
      </c>
      <c r="G1019" s="349" t="s">
        <v>438</v>
      </c>
      <c r="H1019" s="350">
        <f t="shared" si="22"/>
        <v>15000</v>
      </c>
      <c r="I1019" s="120" t="str">
        <f>IF(OR(D1019&lt;Capa!$A$5,D1019&gt;Capa!$A$7,E1019&lt;Capa!$A$5,E1019&gt;Capa!$A$7,D1019&gt;E1019),"Erro","")</f>
        <v/>
      </c>
    </row>
    <row r="1020" spans="1:9" ht="20" hidden="1">
      <c r="A1020" s="345">
        <v>1230</v>
      </c>
      <c r="B1020" s="346" t="s">
        <v>204</v>
      </c>
      <c r="C1020" s="347">
        <v>1250</v>
      </c>
      <c r="D1020" s="348">
        <v>46388</v>
      </c>
      <c r="E1020" s="348">
        <v>46722</v>
      </c>
      <c r="F1020" s="346" t="s">
        <v>605</v>
      </c>
      <c r="G1020" s="349" t="s">
        <v>438</v>
      </c>
      <c r="H1020" s="350">
        <f t="shared" si="22"/>
        <v>15000</v>
      </c>
      <c r="I1020" s="120" t="str">
        <f>IF(OR(D1020&lt;Capa!$A$5,D1020&gt;Capa!$A$7,E1020&lt;Capa!$A$5,E1020&gt;Capa!$A$7,D1020&gt;E1020),"Erro","")</f>
        <v/>
      </c>
    </row>
    <row r="1021" spans="1:9" ht="20" hidden="1">
      <c r="A1021" s="345">
        <v>1231</v>
      </c>
      <c r="B1021" s="346" t="s">
        <v>204</v>
      </c>
      <c r="C1021" s="347">
        <v>780</v>
      </c>
      <c r="D1021" s="348">
        <v>46753</v>
      </c>
      <c r="E1021" s="348">
        <v>47058</v>
      </c>
      <c r="F1021" s="346" t="s">
        <v>605</v>
      </c>
      <c r="G1021" s="349" t="s">
        <v>438</v>
      </c>
      <c r="H1021" s="350">
        <f t="shared" si="22"/>
        <v>8580</v>
      </c>
      <c r="I1021" s="120" t="str">
        <f>IF(OR(D1021&lt;Capa!$A$5,D1021&gt;Capa!$A$7,E1021&lt;Capa!$A$5,E1021&gt;Capa!$A$7,D1021&gt;E1021),"Erro","")</f>
        <v/>
      </c>
    </row>
    <row r="1022" spans="1:9" ht="20" hidden="1">
      <c r="A1022" s="345">
        <v>1233</v>
      </c>
      <c r="B1022" s="346" t="s">
        <v>206</v>
      </c>
      <c r="C1022" s="347">
        <v>900</v>
      </c>
      <c r="D1022" s="348">
        <v>45658</v>
      </c>
      <c r="E1022" s="348">
        <v>45992</v>
      </c>
      <c r="F1022" s="346" t="s">
        <v>605</v>
      </c>
      <c r="G1022" s="349" t="s">
        <v>439</v>
      </c>
      <c r="H1022" s="350">
        <f t="shared" si="22"/>
        <v>10800</v>
      </c>
      <c r="I1022" s="120" t="str">
        <f>IF(OR(D1022&lt;Capa!$A$5,D1022&gt;Capa!$A$7,E1022&lt;Capa!$A$5,E1022&gt;Capa!$A$7,D1022&gt;E1022),"Erro","")</f>
        <v/>
      </c>
    </row>
    <row r="1023" spans="1:9" ht="20" hidden="1">
      <c r="A1023" s="345">
        <v>1234</v>
      </c>
      <c r="B1023" s="346" t="s">
        <v>206</v>
      </c>
      <c r="C1023" s="347">
        <v>900</v>
      </c>
      <c r="D1023" s="348">
        <v>46023</v>
      </c>
      <c r="E1023" s="348">
        <v>46357</v>
      </c>
      <c r="F1023" s="346" t="s">
        <v>605</v>
      </c>
      <c r="G1023" s="349" t="s">
        <v>439</v>
      </c>
      <c r="H1023" s="350">
        <f t="shared" si="22"/>
        <v>10800</v>
      </c>
      <c r="I1023" s="120" t="str">
        <f>IF(OR(D1023&lt;Capa!$A$5,D1023&gt;Capa!$A$7,E1023&lt;Capa!$A$5,E1023&gt;Capa!$A$7,D1023&gt;E1023),"Erro","")</f>
        <v/>
      </c>
    </row>
    <row r="1024" spans="1:9" ht="20" hidden="1">
      <c r="A1024" s="345">
        <v>1235</v>
      </c>
      <c r="B1024" s="346" t="s">
        <v>206</v>
      </c>
      <c r="C1024" s="347">
        <v>900</v>
      </c>
      <c r="D1024" s="348">
        <v>46388</v>
      </c>
      <c r="E1024" s="348">
        <v>46722</v>
      </c>
      <c r="F1024" s="346" t="s">
        <v>605</v>
      </c>
      <c r="G1024" s="349" t="s">
        <v>439</v>
      </c>
      <c r="H1024" s="350">
        <f t="shared" ref="H1024:H1074" si="23">IFERROR((DATEDIF(D1024,E1024,"M")+1)*C1024,0)</f>
        <v>10800</v>
      </c>
      <c r="I1024" s="120" t="str">
        <f>IF(OR(D1024&lt;Capa!$A$5,D1024&gt;Capa!$A$7,E1024&lt;Capa!$A$5,E1024&gt;Capa!$A$7,D1024&gt;E1024),"Erro","")</f>
        <v/>
      </c>
    </row>
    <row r="1025" spans="1:9" ht="20" hidden="1">
      <c r="A1025" s="345">
        <v>1236</v>
      </c>
      <c r="B1025" s="346" t="s">
        <v>206</v>
      </c>
      <c r="C1025" s="347">
        <v>450</v>
      </c>
      <c r="D1025" s="348">
        <v>46753</v>
      </c>
      <c r="E1025" s="348">
        <v>47058</v>
      </c>
      <c r="F1025" s="346" t="s">
        <v>605</v>
      </c>
      <c r="G1025" s="349" t="s">
        <v>439</v>
      </c>
      <c r="H1025" s="350">
        <f t="shared" si="23"/>
        <v>4950</v>
      </c>
      <c r="I1025" s="120" t="str">
        <f>IF(OR(D1025&lt;Capa!$A$5,D1025&gt;Capa!$A$7,E1025&lt;Capa!$A$5,E1025&gt;Capa!$A$7,D1025&gt;E1025),"Erro","")</f>
        <v/>
      </c>
    </row>
    <row r="1026" spans="1:9" ht="20" hidden="1">
      <c r="A1026" s="345">
        <v>1238</v>
      </c>
      <c r="B1026" s="346" t="s">
        <v>208</v>
      </c>
      <c r="C1026" s="347">
        <v>500</v>
      </c>
      <c r="D1026" s="348">
        <v>45658</v>
      </c>
      <c r="E1026" s="348">
        <v>45992</v>
      </c>
      <c r="F1026" s="346" t="s">
        <v>605</v>
      </c>
      <c r="G1026" s="349" t="s">
        <v>439</v>
      </c>
      <c r="H1026" s="350">
        <f t="shared" si="23"/>
        <v>6000</v>
      </c>
      <c r="I1026" s="120" t="str">
        <f>IF(OR(D1026&lt;Capa!$A$5,D1026&gt;Capa!$A$7,E1026&lt;Capa!$A$5,E1026&gt;Capa!$A$7,D1026&gt;E1026),"Erro","")</f>
        <v/>
      </c>
    </row>
    <row r="1027" spans="1:9" ht="20" hidden="1">
      <c r="A1027" s="345">
        <v>1239</v>
      </c>
      <c r="B1027" s="346" t="s">
        <v>208</v>
      </c>
      <c r="C1027" s="347">
        <v>500</v>
      </c>
      <c r="D1027" s="348">
        <v>46023</v>
      </c>
      <c r="E1027" s="348">
        <v>46357</v>
      </c>
      <c r="F1027" s="346" t="s">
        <v>605</v>
      </c>
      <c r="G1027" s="349" t="s">
        <v>439</v>
      </c>
      <c r="H1027" s="350">
        <f t="shared" si="23"/>
        <v>6000</v>
      </c>
      <c r="I1027" s="120" t="str">
        <f>IF(OR(D1027&lt;Capa!$A$5,D1027&gt;Capa!$A$7,E1027&lt;Capa!$A$5,E1027&gt;Capa!$A$7,D1027&gt;E1027),"Erro","")</f>
        <v/>
      </c>
    </row>
    <row r="1028" spans="1:9" ht="20" hidden="1">
      <c r="A1028" s="345">
        <v>1240</v>
      </c>
      <c r="B1028" s="346" t="s">
        <v>208</v>
      </c>
      <c r="C1028" s="347">
        <v>500</v>
      </c>
      <c r="D1028" s="348">
        <v>46388</v>
      </c>
      <c r="E1028" s="348">
        <v>46722</v>
      </c>
      <c r="F1028" s="346" t="s">
        <v>605</v>
      </c>
      <c r="G1028" s="349" t="s">
        <v>439</v>
      </c>
      <c r="H1028" s="350">
        <f t="shared" si="23"/>
        <v>6000</v>
      </c>
      <c r="I1028" s="120" t="str">
        <f>IF(OR(D1028&lt;Capa!$A$5,D1028&gt;Capa!$A$7,E1028&lt;Capa!$A$5,E1028&gt;Capa!$A$7,D1028&gt;E1028),"Erro","")</f>
        <v/>
      </c>
    </row>
    <row r="1029" spans="1:9" ht="20" hidden="1">
      <c r="A1029" s="345">
        <v>1241</v>
      </c>
      <c r="B1029" s="346" t="s">
        <v>208</v>
      </c>
      <c r="C1029" s="347">
        <v>250</v>
      </c>
      <c r="D1029" s="348">
        <v>46753</v>
      </c>
      <c r="E1029" s="348">
        <v>47058</v>
      </c>
      <c r="F1029" s="346" t="s">
        <v>605</v>
      </c>
      <c r="G1029" s="349" t="s">
        <v>439</v>
      </c>
      <c r="H1029" s="350">
        <f t="shared" si="23"/>
        <v>2750</v>
      </c>
      <c r="I1029" s="120" t="str">
        <f>IF(OR(D1029&lt;Capa!$A$5,D1029&gt;Capa!$A$7,E1029&lt;Capa!$A$5,E1029&gt;Capa!$A$7,D1029&gt;E1029),"Erro","")</f>
        <v/>
      </c>
    </row>
    <row r="1030" spans="1:9" ht="20" hidden="1">
      <c r="A1030" s="345">
        <v>1243</v>
      </c>
      <c r="B1030" s="346" t="s">
        <v>210</v>
      </c>
      <c r="C1030" s="347">
        <v>60</v>
      </c>
      <c r="D1030" s="348">
        <v>45658</v>
      </c>
      <c r="E1030" s="348">
        <v>45992</v>
      </c>
      <c r="F1030" s="346" t="s">
        <v>605</v>
      </c>
      <c r="G1030" s="349" t="s">
        <v>439</v>
      </c>
      <c r="H1030" s="350">
        <f t="shared" si="23"/>
        <v>720</v>
      </c>
      <c r="I1030" s="120" t="str">
        <f>IF(OR(D1030&lt;Capa!$A$5,D1030&gt;Capa!$A$7,E1030&lt;Capa!$A$5,E1030&gt;Capa!$A$7,D1030&gt;E1030),"Erro","")</f>
        <v/>
      </c>
    </row>
    <row r="1031" spans="1:9" ht="20" hidden="1">
      <c r="A1031" s="345">
        <v>1244</v>
      </c>
      <c r="B1031" s="346" t="s">
        <v>210</v>
      </c>
      <c r="C1031" s="347">
        <v>60</v>
      </c>
      <c r="D1031" s="348">
        <v>46023</v>
      </c>
      <c r="E1031" s="348">
        <v>46357</v>
      </c>
      <c r="F1031" s="346" t="s">
        <v>605</v>
      </c>
      <c r="G1031" s="349" t="s">
        <v>439</v>
      </c>
      <c r="H1031" s="350">
        <f t="shared" si="23"/>
        <v>720</v>
      </c>
      <c r="I1031" s="120" t="str">
        <f>IF(OR(D1031&lt;Capa!$A$5,D1031&gt;Capa!$A$7,E1031&lt;Capa!$A$5,E1031&gt;Capa!$A$7,D1031&gt;E1031),"Erro","")</f>
        <v/>
      </c>
    </row>
    <row r="1032" spans="1:9" ht="20" hidden="1">
      <c r="A1032" s="345">
        <v>1245</v>
      </c>
      <c r="B1032" s="346" t="s">
        <v>210</v>
      </c>
      <c r="C1032" s="347">
        <v>60</v>
      </c>
      <c r="D1032" s="348">
        <v>46388</v>
      </c>
      <c r="E1032" s="348">
        <v>46722</v>
      </c>
      <c r="F1032" s="346" t="s">
        <v>605</v>
      </c>
      <c r="G1032" s="349" t="s">
        <v>439</v>
      </c>
      <c r="H1032" s="350">
        <f t="shared" si="23"/>
        <v>720</v>
      </c>
      <c r="I1032" s="120" t="str">
        <f>IF(OR(D1032&lt;Capa!$A$5,D1032&gt;Capa!$A$7,E1032&lt;Capa!$A$5,E1032&gt;Capa!$A$7,D1032&gt;E1032),"Erro","")</f>
        <v/>
      </c>
    </row>
    <row r="1033" spans="1:9" ht="20" hidden="1">
      <c r="A1033" s="345">
        <v>1246</v>
      </c>
      <c r="B1033" s="346" t="s">
        <v>210</v>
      </c>
      <c r="C1033" s="347">
        <v>49</v>
      </c>
      <c r="D1033" s="348">
        <v>46753</v>
      </c>
      <c r="E1033" s="348">
        <v>47058</v>
      </c>
      <c r="F1033" s="346" t="s">
        <v>605</v>
      </c>
      <c r="G1033" s="349" t="s">
        <v>439</v>
      </c>
      <c r="H1033" s="350">
        <f t="shared" si="23"/>
        <v>539</v>
      </c>
      <c r="I1033" s="120" t="str">
        <f>IF(OR(D1033&lt;Capa!$A$5,D1033&gt;Capa!$A$7,E1033&lt;Capa!$A$5,E1033&gt;Capa!$A$7,D1033&gt;E1033),"Erro","")</f>
        <v/>
      </c>
    </row>
    <row r="1034" spans="1:9" ht="20" hidden="1">
      <c r="A1034" s="345">
        <v>1248</v>
      </c>
      <c r="B1034" s="346" t="s">
        <v>214</v>
      </c>
      <c r="C1034" s="347">
        <v>140</v>
      </c>
      <c r="D1034" s="348">
        <v>45658</v>
      </c>
      <c r="E1034" s="348">
        <v>45992</v>
      </c>
      <c r="F1034" s="346" t="s">
        <v>605</v>
      </c>
      <c r="G1034" s="349" t="s">
        <v>439</v>
      </c>
      <c r="H1034" s="350">
        <f t="shared" si="23"/>
        <v>1680</v>
      </c>
      <c r="I1034" s="120" t="str">
        <f>IF(OR(D1034&lt;Capa!$A$5,D1034&gt;Capa!$A$7,E1034&lt;Capa!$A$5,E1034&gt;Capa!$A$7,D1034&gt;E1034),"Erro","")</f>
        <v/>
      </c>
    </row>
    <row r="1035" spans="1:9" ht="20" hidden="1">
      <c r="A1035" s="345">
        <v>1249</v>
      </c>
      <c r="B1035" s="346" t="s">
        <v>214</v>
      </c>
      <c r="C1035" s="347">
        <v>140</v>
      </c>
      <c r="D1035" s="348">
        <v>46023</v>
      </c>
      <c r="E1035" s="348">
        <v>46357</v>
      </c>
      <c r="F1035" s="346" t="s">
        <v>605</v>
      </c>
      <c r="G1035" s="349" t="s">
        <v>439</v>
      </c>
      <c r="H1035" s="350">
        <f t="shared" si="23"/>
        <v>1680</v>
      </c>
      <c r="I1035" s="120" t="str">
        <f>IF(OR(D1035&lt;Capa!$A$5,D1035&gt;Capa!$A$7,E1035&lt;Capa!$A$5,E1035&gt;Capa!$A$7,D1035&gt;E1035),"Erro","")</f>
        <v/>
      </c>
    </row>
    <row r="1036" spans="1:9" ht="20" hidden="1">
      <c r="A1036" s="345">
        <v>1250</v>
      </c>
      <c r="B1036" s="346" t="s">
        <v>214</v>
      </c>
      <c r="C1036" s="347">
        <v>140</v>
      </c>
      <c r="D1036" s="348">
        <v>46388</v>
      </c>
      <c r="E1036" s="348">
        <v>46722</v>
      </c>
      <c r="F1036" s="346" t="s">
        <v>605</v>
      </c>
      <c r="G1036" s="349" t="s">
        <v>439</v>
      </c>
      <c r="H1036" s="350">
        <f t="shared" si="23"/>
        <v>1680</v>
      </c>
      <c r="I1036" s="120" t="str">
        <f>IF(OR(D1036&lt;Capa!$A$5,D1036&gt;Capa!$A$7,E1036&lt;Capa!$A$5,E1036&gt;Capa!$A$7,D1036&gt;E1036),"Erro","")</f>
        <v/>
      </c>
    </row>
    <row r="1037" spans="1:9" ht="20" hidden="1">
      <c r="A1037" s="345">
        <v>1251</v>
      </c>
      <c r="B1037" s="346" t="s">
        <v>214</v>
      </c>
      <c r="C1037" s="347">
        <v>70</v>
      </c>
      <c r="D1037" s="348">
        <v>46753</v>
      </c>
      <c r="E1037" s="348">
        <v>47058</v>
      </c>
      <c r="F1037" s="346" t="s">
        <v>605</v>
      </c>
      <c r="G1037" s="349" t="s">
        <v>439</v>
      </c>
      <c r="H1037" s="350">
        <f t="shared" si="23"/>
        <v>770</v>
      </c>
      <c r="I1037" s="120" t="str">
        <f>IF(OR(D1037&lt;Capa!$A$5,D1037&gt;Capa!$A$7,E1037&lt;Capa!$A$5,E1037&gt;Capa!$A$7,D1037&gt;E1037),"Erro","")</f>
        <v/>
      </c>
    </row>
    <row r="1038" spans="1:9" ht="50" hidden="1">
      <c r="A1038" s="345">
        <v>1253</v>
      </c>
      <c r="B1038" s="346" t="s">
        <v>212</v>
      </c>
      <c r="C1038" s="347">
        <v>260</v>
      </c>
      <c r="D1038" s="348">
        <v>45658</v>
      </c>
      <c r="E1038" s="348">
        <v>45992</v>
      </c>
      <c r="F1038" s="346" t="s">
        <v>605</v>
      </c>
      <c r="G1038" s="349" t="s">
        <v>494</v>
      </c>
      <c r="H1038" s="350">
        <f t="shared" si="23"/>
        <v>3120</v>
      </c>
      <c r="I1038" s="120" t="str">
        <f>IF(OR(D1038&lt;Capa!$A$5,D1038&gt;Capa!$A$7,E1038&lt;Capa!$A$5,E1038&gt;Capa!$A$7,D1038&gt;E1038),"Erro","")</f>
        <v/>
      </c>
    </row>
    <row r="1039" spans="1:9" ht="50" hidden="1">
      <c r="A1039" s="345">
        <v>1254</v>
      </c>
      <c r="B1039" s="346" t="s">
        <v>212</v>
      </c>
      <c r="C1039" s="347">
        <v>260</v>
      </c>
      <c r="D1039" s="348">
        <v>46023</v>
      </c>
      <c r="E1039" s="348">
        <v>46357</v>
      </c>
      <c r="F1039" s="346" t="s">
        <v>605</v>
      </c>
      <c r="G1039" s="349" t="s">
        <v>494</v>
      </c>
      <c r="H1039" s="350">
        <f t="shared" si="23"/>
        <v>3120</v>
      </c>
      <c r="I1039" s="120" t="str">
        <f>IF(OR(D1039&lt;Capa!$A$5,D1039&gt;Capa!$A$7,E1039&lt;Capa!$A$5,E1039&gt;Capa!$A$7,D1039&gt;E1039),"Erro","")</f>
        <v/>
      </c>
    </row>
    <row r="1040" spans="1:9" ht="50" hidden="1">
      <c r="A1040" s="345">
        <v>1255</v>
      </c>
      <c r="B1040" s="346" t="s">
        <v>212</v>
      </c>
      <c r="C1040" s="347">
        <v>260</v>
      </c>
      <c r="D1040" s="348">
        <v>46388</v>
      </c>
      <c r="E1040" s="348">
        <v>46722</v>
      </c>
      <c r="F1040" s="346" t="s">
        <v>605</v>
      </c>
      <c r="G1040" s="349" t="s">
        <v>494</v>
      </c>
      <c r="H1040" s="350">
        <f t="shared" si="23"/>
        <v>3120</v>
      </c>
      <c r="I1040" s="120" t="str">
        <f>IF(OR(D1040&lt;Capa!$A$5,D1040&gt;Capa!$A$7,E1040&lt;Capa!$A$5,E1040&gt;Capa!$A$7,D1040&gt;E1040),"Erro","")</f>
        <v/>
      </c>
    </row>
    <row r="1041" spans="1:9" ht="50" hidden="1">
      <c r="A1041" s="345">
        <v>1256</v>
      </c>
      <c r="B1041" s="346" t="s">
        <v>212</v>
      </c>
      <c r="C1041" s="347">
        <v>220</v>
      </c>
      <c r="D1041" s="348">
        <v>46753</v>
      </c>
      <c r="E1041" s="348">
        <v>47058</v>
      </c>
      <c r="F1041" s="346" t="s">
        <v>605</v>
      </c>
      <c r="G1041" s="349" t="s">
        <v>494</v>
      </c>
      <c r="H1041" s="350">
        <f t="shared" si="23"/>
        <v>2420</v>
      </c>
      <c r="I1041" s="120" t="str">
        <f>IF(OR(D1041&lt;Capa!$A$5,D1041&gt;Capa!$A$7,E1041&lt;Capa!$A$5,E1041&gt;Capa!$A$7,D1041&gt;E1041),"Erro","")</f>
        <v/>
      </c>
    </row>
    <row r="1042" spans="1:9" ht="40" hidden="1">
      <c r="A1042" s="345">
        <v>1257</v>
      </c>
      <c r="B1042" s="346" t="s">
        <v>248</v>
      </c>
      <c r="C1042" s="347">
        <v>846</v>
      </c>
      <c r="D1042" s="348">
        <v>45658</v>
      </c>
      <c r="E1042" s="348">
        <v>45809</v>
      </c>
      <c r="F1042" s="346" t="s">
        <v>605</v>
      </c>
      <c r="G1042" s="349" t="s">
        <v>440</v>
      </c>
      <c r="H1042" s="350">
        <f t="shared" si="23"/>
        <v>5076</v>
      </c>
      <c r="I1042" s="120" t="str">
        <f>IF(OR(D1042&lt;Capa!$A$5,D1042&gt;Capa!$A$7,E1042&lt;Capa!$A$5,E1042&gt;Capa!$A$7,D1042&gt;E1042),"Erro","")</f>
        <v/>
      </c>
    </row>
    <row r="1043" spans="1:9" ht="40" hidden="1">
      <c r="A1043" s="345">
        <v>1258</v>
      </c>
      <c r="B1043" s="346" t="s">
        <v>248</v>
      </c>
      <c r="C1043" s="347">
        <v>846</v>
      </c>
      <c r="D1043" s="348">
        <v>46023</v>
      </c>
      <c r="E1043" s="348">
        <v>46174</v>
      </c>
      <c r="F1043" s="346" t="s">
        <v>605</v>
      </c>
      <c r="G1043" s="349" t="s">
        <v>440</v>
      </c>
      <c r="H1043" s="350">
        <f t="shared" si="23"/>
        <v>5076</v>
      </c>
      <c r="I1043" s="120" t="str">
        <f>IF(OR(D1043&lt;Capa!$A$5,D1043&gt;Capa!$A$7,E1043&lt;Capa!$A$5,E1043&gt;Capa!$A$7,D1043&gt;E1043),"Erro","")</f>
        <v/>
      </c>
    </row>
    <row r="1044" spans="1:9" ht="40" hidden="1">
      <c r="A1044" s="345">
        <v>1259</v>
      </c>
      <c r="B1044" s="346" t="s">
        <v>248</v>
      </c>
      <c r="C1044" s="347">
        <v>846</v>
      </c>
      <c r="D1044" s="348">
        <v>46388</v>
      </c>
      <c r="E1044" s="348">
        <v>46539</v>
      </c>
      <c r="F1044" s="346" t="s">
        <v>605</v>
      </c>
      <c r="G1044" s="349" t="s">
        <v>440</v>
      </c>
      <c r="H1044" s="350">
        <f t="shared" si="23"/>
        <v>5076</v>
      </c>
      <c r="I1044" s="120" t="str">
        <f>IF(OR(D1044&lt;Capa!$A$5,D1044&gt;Capa!$A$7,E1044&lt;Capa!$A$5,E1044&gt;Capa!$A$7,D1044&gt;E1044),"Erro","")</f>
        <v/>
      </c>
    </row>
    <row r="1045" spans="1:9" ht="40" hidden="1">
      <c r="A1045" s="345">
        <v>1260</v>
      </c>
      <c r="B1045" s="346" t="s">
        <v>248</v>
      </c>
      <c r="C1045" s="347">
        <v>500</v>
      </c>
      <c r="D1045" s="348">
        <v>46753</v>
      </c>
      <c r="E1045" s="348">
        <v>46905</v>
      </c>
      <c r="F1045" s="346" t="s">
        <v>605</v>
      </c>
      <c r="G1045" s="349" t="s">
        <v>440</v>
      </c>
      <c r="H1045" s="350">
        <f t="shared" si="23"/>
        <v>3000</v>
      </c>
      <c r="I1045" s="120" t="str">
        <f>IF(OR(D1045&lt;Capa!$A$5,D1045&gt;Capa!$A$7,E1045&lt;Capa!$A$5,E1045&gt;Capa!$A$7,D1045&gt;E1045),"Erro","")</f>
        <v/>
      </c>
    </row>
    <row r="1046" spans="1:9" ht="30" hidden="1">
      <c r="A1046" s="345">
        <v>1261</v>
      </c>
      <c r="B1046" s="346" t="s">
        <v>266</v>
      </c>
      <c r="C1046" s="347">
        <v>1500</v>
      </c>
      <c r="D1046" s="348">
        <v>45658</v>
      </c>
      <c r="E1046" s="348">
        <v>45658</v>
      </c>
      <c r="F1046" s="346" t="s">
        <v>605</v>
      </c>
      <c r="G1046" s="349" t="s">
        <v>441</v>
      </c>
      <c r="H1046" s="350">
        <f t="shared" si="23"/>
        <v>1500</v>
      </c>
      <c r="I1046" s="120" t="str">
        <f>IF(OR(D1046&lt;Capa!$A$5,D1046&gt;Capa!$A$7,E1046&lt;Capa!$A$5,E1046&gt;Capa!$A$7,D1046&gt;E1046),"Erro","")</f>
        <v/>
      </c>
    </row>
    <row r="1047" spans="1:9" ht="30" hidden="1">
      <c r="A1047" s="345">
        <v>1262</v>
      </c>
      <c r="B1047" s="346" t="s">
        <v>266</v>
      </c>
      <c r="C1047" s="347">
        <v>1500</v>
      </c>
      <c r="D1047" s="348">
        <v>46023</v>
      </c>
      <c r="E1047" s="348">
        <v>46023</v>
      </c>
      <c r="F1047" s="346" t="s">
        <v>605</v>
      </c>
      <c r="G1047" s="349" t="s">
        <v>441</v>
      </c>
      <c r="H1047" s="350">
        <f t="shared" si="23"/>
        <v>1500</v>
      </c>
      <c r="I1047" s="120" t="str">
        <f>IF(OR(D1047&lt;Capa!$A$5,D1047&gt;Capa!$A$7,E1047&lt;Capa!$A$5,E1047&gt;Capa!$A$7,D1047&gt;E1047),"Erro","")</f>
        <v/>
      </c>
    </row>
    <row r="1048" spans="1:9" ht="30" hidden="1">
      <c r="A1048" s="345">
        <v>1263</v>
      </c>
      <c r="B1048" s="346" t="s">
        <v>266</v>
      </c>
      <c r="C1048" s="347">
        <v>1500</v>
      </c>
      <c r="D1048" s="348">
        <v>46388</v>
      </c>
      <c r="E1048" s="348">
        <v>46388</v>
      </c>
      <c r="F1048" s="346" t="s">
        <v>605</v>
      </c>
      <c r="G1048" s="349" t="s">
        <v>441</v>
      </c>
      <c r="H1048" s="350">
        <f t="shared" si="23"/>
        <v>1500</v>
      </c>
      <c r="I1048" s="120" t="str">
        <f>IF(OR(D1048&lt;Capa!$A$5,D1048&gt;Capa!$A$7,E1048&lt;Capa!$A$5,E1048&gt;Capa!$A$7,D1048&gt;E1048),"Erro","")</f>
        <v/>
      </c>
    </row>
    <row r="1049" spans="1:9" ht="30" hidden="1">
      <c r="A1049" s="345">
        <v>1264</v>
      </c>
      <c r="B1049" s="346" t="s">
        <v>266</v>
      </c>
      <c r="C1049" s="347">
        <v>750</v>
      </c>
      <c r="D1049" s="348">
        <v>46753</v>
      </c>
      <c r="E1049" s="348">
        <v>46753</v>
      </c>
      <c r="F1049" s="346" t="s">
        <v>605</v>
      </c>
      <c r="G1049" s="349" t="s">
        <v>441</v>
      </c>
      <c r="H1049" s="350">
        <f t="shared" si="23"/>
        <v>750</v>
      </c>
      <c r="I1049" s="120" t="str">
        <f>IF(OR(D1049&lt;Capa!$A$5,D1049&gt;Capa!$A$7,E1049&lt;Capa!$A$5,E1049&gt;Capa!$A$7,D1049&gt;E1049),"Erro","")</f>
        <v/>
      </c>
    </row>
    <row r="1050" spans="1:9" hidden="1">
      <c r="A1050" s="345">
        <v>1266</v>
      </c>
      <c r="B1050" s="346" t="s">
        <v>274</v>
      </c>
      <c r="C1050" s="347">
        <v>850</v>
      </c>
      <c r="D1050" s="348">
        <v>45658</v>
      </c>
      <c r="E1050" s="348">
        <v>45992</v>
      </c>
      <c r="F1050" s="346" t="s">
        <v>605</v>
      </c>
      <c r="G1050" s="349" t="s">
        <v>442</v>
      </c>
      <c r="H1050" s="350">
        <f t="shared" si="23"/>
        <v>10200</v>
      </c>
      <c r="I1050" s="120" t="str">
        <f>IF(OR(D1050&lt;Capa!$A$5,D1050&gt;Capa!$A$7,E1050&lt;Capa!$A$5,E1050&gt;Capa!$A$7,D1050&gt;E1050),"Erro","")</f>
        <v/>
      </c>
    </row>
    <row r="1051" spans="1:9" hidden="1">
      <c r="A1051" s="345">
        <v>1267</v>
      </c>
      <c r="B1051" s="346" t="s">
        <v>274</v>
      </c>
      <c r="C1051" s="347">
        <v>850</v>
      </c>
      <c r="D1051" s="348">
        <v>46023</v>
      </c>
      <c r="E1051" s="348">
        <v>46357</v>
      </c>
      <c r="F1051" s="346" t="s">
        <v>605</v>
      </c>
      <c r="G1051" s="349" t="s">
        <v>442</v>
      </c>
      <c r="H1051" s="350">
        <f t="shared" si="23"/>
        <v>10200</v>
      </c>
      <c r="I1051" s="120" t="str">
        <f>IF(OR(D1051&lt;Capa!$A$5,D1051&gt;Capa!$A$7,E1051&lt;Capa!$A$5,E1051&gt;Capa!$A$7,D1051&gt;E1051),"Erro","")</f>
        <v/>
      </c>
    </row>
    <row r="1052" spans="1:9" hidden="1">
      <c r="A1052" s="345">
        <v>1268</v>
      </c>
      <c r="B1052" s="346" t="s">
        <v>274</v>
      </c>
      <c r="C1052" s="347">
        <v>850</v>
      </c>
      <c r="D1052" s="348">
        <v>46388</v>
      </c>
      <c r="E1052" s="348">
        <v>46722</v>
      </c>
      <c r="F1052" s="346" t="s">
        <v>605</v>
      </c>
      <c r="G1052" s="349" t="s">
        <v>442</v>
      </c>
      <c r="H1052" s="350">
        <f t="shared" si="23"/>
        <v>10200</v>
      </c>
      <c r="I1052" s="120" t="str">
        <f>IF(OR(D1052&lt;Capa!$A$5,D1052&gt;Capa!$A$7,E1052&lt;Capa!$A$5,E1052&gt;Capa!$A$7,D1052&gt;E1052),"Erro","")</f>
        <v/>
      </c>
    </row>
    <row r="1053" spans="1:9" hidden="1">
      <c r="A1053" s="345">
        <v>1269</v>
      </c>
      <c r="B1053" s="346" t="s">
        <v>274</v>
      </c>
      <c r="C1053" s="347">
        <v>450</v>
      </c>
      <c r="D1053" s="348">
        <v>46753</v>
      </c>
      <c r="E1053" s="348">
        <v>47058</v>
      </c>
      <c r="F1053" s="346" t="s">
        <v>605</v>
      </c>
      <c r="G1053" s="349" t="s">
        <v>442</v>
      </c>
      <c r="H1053" s="350">
        <f t="shared" si="23"/>
        <v>4950</v>
      </c>
      <c r="I1053" s="120" t="str">
        <f>IF(OR(D1053&lt;Capa!$A$5,D1053&gt;Capa!$A$7,E1053&lt;Capa!$A$5,E1053&gt;Capa!$A$7,D1053&gt;E1053),"Erro","")</f>
        <v/>
      </c>
    </row>
    <row r="1054" spans="1:9" ht="40" hidden="1">
      <c r="A1054" s="345">
        <v>1271</v>
      </c>
      <c r="B1054" s="346" t="s">
        <v>236</v>
      </c>
      <c r="C1054" s="347">
        <v>450</v>
      </c>
      <c r="D1054" s="348">
        <v>45658</v>
      </c>
      <c r="E1054" s="348">
        <v>45992</v>
      </c>
      <c r="F1054" s="346" t="s">
        <v>605</v>
      </c>
      <c r="G1054" s="349" t="s">
        <v>443</v>
      </c>
      <c r="H1054" s="350">
        <f t="shared" si="23"/>
        <v>5400</v>
      </c>
      <c r="I1054" s="120" t="str">
        <f>IF(OR(D1054&lt;Capa!$A$5,D1054&gt;Capa!$A$7,E1054&lt;Capa!$A$5,E1054&gt;Capa!$A$7,D1054&gt;E1054),"Erro","")</f>
        <v/>
      </c>
    </row>
    <row r="1055" spans="1:9" ht="40" hidden="1">
      <c r="A1055" s="345">
        <v>1272</v>
      </c>
      <c r="B1055" s="346" t="s">
        <v>236</v>
      </c>
      <c r="C1055" s="347">
        <v>450</v>
      </c>
      <c r="D1055" s="348">
        <v>46023</v>
      </c>
      <c r="E1055" s="348">
        <v>46357</v>
      </c>
      <c r="F1055" s="346" t="s">
        <v>605</v>
      </c>
      <c r="G1055" s="349" t="s">
        <v>443</v>
      </c>
      <c r="H1055" s="350">
        <f t="shared" si="23"/>
        <v>5400</v>
      </c>
      <c r="I1055" s="120" t="str">
        <f>IF(OR(D1055&lt;Capa!$A$5,D1055&gt;Capa!$A$7,E1055&lt;Capa!$A$5,E1055&gt;Capa!$A$7,D1055&gt;E1055),"Erro","")</f>
        <v/>
      </c>
    </row>
    <row r="1056" spans="1:9" ht="40" hidden="1">
      <c r="A1056" s="345">
        <v>1273</v>
      </c>
      <c r="B1056" s="346" t="s">
        <v>236</v>
      </c>
      <c r="C1056" s="347">
        <v>450</v>
      </c>
      <c r="D1056" s="348">
        <v>46388</v>
      </c>
      <c r="E1056" s="348">
        <v>46722</v>
      </c>
      <c r="F1056" s="346" t="s">
        <v>605</v>
      </c>
      <c r="G1056" s="349" t="s">
        <v>443</v>
      </c>
      <c r="H1056" s="350">
        <f t="shared" si="23"/>
        <v>5400</v>
      </c>
      <c r="I1056" s="120" t="str">
        <f>IF(OR(D1056&lt;Capa!$A$5,D1056&gt;Capa!$A$7,E1056&lt;Capa!$A$5,E1056&gt;Capa!$A$7,D1056&gt;E1056),"Erro","")</f>
        <v/>
      </c>
    </row>
    <row r="1057" spans="1:9" ht="40" hidden="1">
      <c r="A1057" s="345">
        <v>1274</v>
      </c>
      <c r="B1057" s="346" t="s">
        <v>236</v>
      </c>
      <c r="C1057" s="347">
        <v>200</v>
      </c>
      <c r="D1057" s="348">
        <v>46753</v>
      </c>
      <c r="E1057" s="348">
        <v>47058</v>
      </c>
      <c r="F1057" s="346" t="s">
        <v>605</v>
      </c>
      <c r="G1057" s="349" t="s">
        <v>443</v>
      </c>
      <c r="H1057" s="350">
        <f t="shared" si="23"/>
        <v>2200</v>
      </c>
      <c r="I1057" s="120" t="str">
        <f>IF(OR(D1057&lt;Capa!$A$5,D1057&gt;Capa!$A$7,E1057&lt;Capa!$A$5,E1057&gt;Capa!$A$7,D1057&gt;E1057),"Erro","")</f>
        <v/>
      </c>
    </row>
    <row r="1058" spans="1:9" ht="30" hidden="1">
      <c r="A1058" s="345">
        <v>1276</v>
      </c>
      <c r="B1058" s="346" t="s">
        <v>240</v>
      </c>
      <c r="C1058" s="347">
        <v>50</v>
      </c>
      <c r="D1058" s="348">
        <v>45658</v>
      </c>
      <c r="E1058" s="348">
        <v>45992</v>
      </c>
      <c r="F1058" s="346" t="s">
        <v>605</v>
      </c>
      <c r="G1058" s="349" t="s">
        <v>444</v>
      </c>
      <c r="H1058" s="350">
        <f t="shared" si="23"/>
        <v>600</v>
      </c>
      <c r="I1058" s="120" t="str">
        <f>IF(OR(D1058&lt;Capa!$A$5,D1058&gt;Capa!$A$7,E1058&lt;Capa!$A$5,E1058&gt;Capa!$A$7,D1058&gt;E1058),"Erro","")</f>
        <v/>
      </c>
    </row>
    <row r="1059" spans="1:9" ht="30" hidden="1">
      <c r="A1059" s="345">
        <v>1277</v>
      </c>
      <c r="B1059" s="346" t="s">
        <v>240</v>
      </c>
      <c r="C1059" s="347">
        <v>50</v>
      </c>
      <c r="D1059" s="348">
        <v>46023</v>
      </c>
      <c r="E1059" s="348">
        <v>46357</v>
      </c>
      <c r="F1059" s="346" t="s">
        <v>605</v>
      </c>
      <c r="G1059" s="349" t="s">
        <v>444</v>
      </c>
      <c r="H1059" s="350">
        <f t="shared" si="23"/>
        <v>600</v>
      </c>
      <c r="I1059" s="120" t="str">
        <f>IF(OR(D1059&lt;Capa!$A$5,D1059&gt;Capa!$A$7,E1059&lt;Capa!$A$5,E1059&gt;Capa!$A$7,D1059&gt;E1059),"Erro","")</f>
        <v/>
      </c>
    </row>
    <row r="1060" spans="1:9" ht="30" hidden="1">
      <c r="A1060" s="345">
        <v>1278</v>
      </c>
      <c r="B1060" s="346" t="s">
        <v>240</v>
      </c>
      <c r="C1060" s="347">
        <v>50</v>
      </c>
      <c r="D1060" s="348">
        <v>46388</v>
      </c>
      <c r="E1060" s="348">
        <v>46722</v>
      </c>
      <c r="F1060" s="346" t="s">
        <v>605</v>
      </c>
      <c r="G1060" s="349" t="s">
        <v>444</v>
      </c>
      <c r="H1060" s="350">
        <f t="shared" si="23"/>
        <v>600</v>
      </c>
      <c r="I1060" s="120" t="str">
        <f>IF(OR(D1060&lt;Capa!$A$5,D1060&gt;Capa!$A$7,E1060&lt;Capa!$A$5,E1060&gt;Capa!$A$7,D1060&gt;E1060),"Erro","")</f>
        <v/>
      </c>
    </row>
    <row r="1061" spans="1:9" ht="30" hidden="1">
      <c r="A1061" s="345">
        <v>1279</v>
      </c>
      <c r="B1061" s="346" t="s">
        <v>240</v>
      </c>
      <c r="C1061" s="347">
        <v>25</v>
      </c>
      <c r="D1061" s="348">
        <v>46753</v>
      </c>
      <c r="E1061" s="348">
        <v>47058</v>
      </c>
      <c r="F1061" s="346" t="s">
        <v>605</v>
      </c>
      <c r="G1061" s="349" t="s">
        <v>444</v>
      </c>
      <c r="H1061" s="350">
        <f t="shared" si="23"/>
        <v>275</v>
      </c>
      <c r="I1061" s="120" t="str">
        <f>IF(OR(D1061&lt;Capa!$A$5,D1061&gt;Capa!$A$7,E1061&lt;Capa!$A$5,E1061&gt;Capa!$A$7,D1061&gt;E1061),"Erro","")</f>
        <v/>
      </c>
    </row>
    <row r="1062" spans="1:9" ht="30" hidden="1">
      <c r="A1062" s="345">
        <v>1281</v>
      </c>
      <c r="B1062" s="346" t="s">
        <v>244</v>
      </c>
      <c r="C1062" s="347">
        <v>250</v>
      </c>
      <c r="D1062" s="348">
        <v>45658</v>
      </c>
      <c r="E1062" s="348">
        <v>45992</v>
      </c>
      <c r="F1062" s="346" t="s">
        <v>605</v>
      </c>
      <c r="G1062" s="349" t="s">
        <v>445</v>
      </c>
      <c r="H1062" s="350">
        <f t="shared" si="23"/>
        <v>3000</v>
      </c>
      <c r="I1062" s="120" t="str">
        <f>IF(OR(D1062&lt;Capa!$A$5,D1062&gt;Capa!$A$7,E1062&lt;Capa!$A$5,E1062&gt;Capa!$A$7,D1062&gt;E1062),"Erro","")</f>
        <v/>
      </c>
    </row>
    <row r="1063" spans="1:9" ht="30" hidden="1">
      <c r="A1063" s="345">
        <v>1282</v>
      </c>
      <c r="B1063" s="346" t="s">
        <v>244</v>
      </c>
      <c r="C1063" s="347">
        <v>250</v>
      </c>
      <c r="D1063" s="348">
        <v>46023</v>
      </c>
      <c r="E1063" s="348">
        <v>46357</v>
      </c>
      <c r="F1063" s="346" t="s">
        <v>605</v>
      </c>
      <c r="G1063" s="349" t="s">
        <v>445</v>
      </c>
      <c r="H1063" s="350">
        <f t="shared" si="23"/>
        <v>3000</v>
      </c>
      <c r="I1063" s="120" t="str">
        <f>IF(OR(D1063&lt;Capa!$A$5,D1063&gt;Capa!$A$7,E1063&lt;Capa!$A$5,E1063&gt;Capa!$A$7,D1063&gt;E1063),"Erro","")</f>
        <v/>
      </c>
    </row>
    <row r="1064" spans="1:9" ht="30" hidden="1">
      <c r="A1064" s="345">
        <v>1283</v>
      </c>
      <c r="B1064" s="346" t="s">
        <v>244</v>
      </c>
      <c r="C1064" s="347">
        <v>250</v>
      </c>
      <c r="D1064" s="348">
        <v>46388</v>
      </c>
      <c r="E1064" s="348">
        <v>46722</v>
      </c>
      <c r="F1064" s="346" t="s">
        <v>605</v>
      </c>
      <c r="G1064" s="349" t="s">
        <v>445</v>
      </c>
      <c r="H1064" s="350">
        <f t="shared" si="23"/>
        <v>3000</v>
      </c>
      <c r="I1064" s="120" t="str">
        <f>IF(OR(D1064&lt;Capa!$A$5,D1064&gt;Capa!$A$7,E1064&lt;Capa!$A$5,E1064&gt;Capa!$A$7,D1064&gt;E1064),"Erro","")</f>
        <v/>
      </c>
    </row>
    <row r="1065" spans="1:9" ht="30" hidden="1">
      <c r="A1065" s="345">
        <v>1284</v>
      </c>
      <c r="B1065" s="346" t="s">
        <v>244</v>
      </c>
      <c r="C1065" s="347">
        <v>125</v>
      </c>
      <c r="D1065" s="348">
        <v>46753</v>
      </c>
      <c r="E1065" s="348">
        <v>47058</v>
      </c>
      <c r="F1065" s="346" t="s">
        <v>605</v>
      </c>
      <c r="G1065" s="349" t="s">
        <v>445</v>
      </c>
      <c r="H1065" s="350">
        <f t="shared" si="23"/>
        <v>1375</v>
      </c>
      <c r="I1065" s="120" t="str">
        <f>IF(OR(D1065&lt;Capa!$A$5,D1065&gt;Capa!$A$7,E1065&lt;Capa!$A$5,E1065&gt;Capa!$A$7,D1065&gt;E1065),"Erro","")</f>
        <v/>
      </c>
    </row>
    <row r="1066" spans="1:9" ht="20" hidden="1">
      <c r="A1066" s="345">
        <v>1285</v>
      </c>
      <c r="B1066" s="346" t="s">
        <v>246</v>
      </c>
      <c r="C1066" s="347">
        <v>390</v>
      </c>
      <c r="D1066" s="348">
        <v>45658</v>
      </c>
      <c r="E1066" s="348">
        <v>45992</v>
      </c>
      <c r="F1066" s="346" t="s">
        <v>605</v>
      </c>
      <c r="G1066" s="349" t="s">
        <v>446</v>
      </c>
      <c r="H1066" s="350">
        <f t="shared" si="23"/>
        <v>4680</v>
      </c>
      <c r="I1066" s="120" t="str">
        <f>IF(OR(D1066&lt;Capa!$A$5,D1066&gt;Capa!$A$7,E1066&lt;Capa!$A$5,E1066&gt;Capa!$A$7,D1066&gt;E1066),"Erro","")</f>
        <v/>
      </c>
    </row>
    <row r="1067" spans="1:9" ht="20" hidden="1">
      <c r="A1067" s="345">
        <v>1286</v>
      </c>
      <c r="B1067" s="346" t="s">
        <v>246</v>
      </c>
      <c r="C1067" s="347">
        <v>390</v>
      </c>
      <c r="D1067" s="348">
        <v>46023</v>
      </c>
      <c r="E1067" s="348">
        <v>46357</v>
      </c>
      <c r="F1067" s="346" t="s">
        <v>605</v>
      </c>
      <c r="G1067" s="349" t="s">
        <v>446</v>
      </c>
      <c r="H1067" s="350">
        <f t="shared" si="23"/>
        <v>4680</v>
      </c>
      <c r="I1067" s="120" t="str">
        <f>IF(OR(D1067&lt;Capa!$A$5,D1067&gt;Capa!$A$7,E1067&lt;Capa!$A$5,E1067&gt;Capa!$A$7,D1067&gt;E1067),"Erro","")</f>
        <v/>
      </c>
    </row>
    <row r="1068" spans="1:9" ht="20" hidden="1">
      <c r="A1068" s="345">
        <v>1287</v>
      </c>
      <c r="B1068" s="346" t="s">
        <v>246</v>
      </c>
      <c r="C1068" s="347">
        <v>390</v>
      </c>
      <c r="D1068" s="348">
        <v>46388</v>
      </c>
      <c r="E1068" s="348">
        <v>46722</v>
      </c>
      <c r="F1068" s="346" t="s">
        <v>605</v>
      </c>
      <c r="G1068" s="349" t="s">
        <v>446</v>
      </c>
      <c r="H1068" s="350">
        <f t="shared" si="23"/>
        <v>4680</v>
      </c>
      <c r="I1068" s="120" t="str">
        <f>IF(OR(D1068&lt;Capa!$A$5,D1068&gt;Capa!$A$7,E1068&lt;Capa!$A$5,E1068&gt;Capa!$A$7,D1068&gt;E1068),"Erro","")</f>
        <v/>
      </c>
    </row>
    <row r="1069" spans="1:9" ht="20" hidden="1">
      <c r="A1069" s="345">
        <v>1288</v>
      </c>
      <c r="B1069" s="346" t="s">
        <v>246</v>
      </c>
      <c r="C1069" s="347">
        <v>190</v>
      </c>
      <c r="D1069" s="348">
        <v>46753</v>
      </c>
      <c r="E1069" s="348">
        <v>47058</v>
      </c>
      <c r="F1069" s="346" t="s">
        <v>605</v>
      </c>
      <c r="G1069" s="349" t="s">
        <v>446</v>
      </c>
      <c r="H1069" s="350">
        <f t="shared" si="23"/>
        <v>2090</v>
      </c>
      <c r="I1069" s="120" t="str">
        <f>IF(OR(D1069&lt;Capa!$A$5,D1069&gt;Capa!$A$7,E1069&lt;Capa!$A$5,E1069&gt;Capa!$A$7,D1069&gt;E1069),"Erro","")</f>
        <v/>
      </c>
    </row>
    <row r="1070" spans="1:9" ht="30" hidden="1">
      <c r="A1070" s="345">
        <v>1290</v>
      </c>
      <c r="B1070" s="346" t="s">
        <v>258</v>
      </c>
      <c r="C1070" s="347">
        <v>50</v>
      </c>
      <c r="D1070" s="348">
        <v>45658</v>
      </c>
      <c r="E1070" s="348">
        <v>45992</v>
      </c>
      <c r="F1070" s="346" t="s">
        <v>605</v>
      </c>
      <c r="G1070" s="349" t="s">
        <v>447</v>
      </c>
      <c r="H1070" s="350">
        <f t="shared" si="23"/>
        <v>600</v>
      </c>
      <c r="I1070" s="120" t="str">
        <f>IF(OR(D1070&lt;Capa!$A$5,D1070&gt;Capa!$A$7,E1070&lt;Capa!$A$5,E1070&gt;Capa!$A$7,D1070&gt;E1070),"Erro","")</f>
        <v/>
      </c>
    </row>
    <row r="1071" spans="1:9" ht="30" hidden="1">
      <c r="A1071" s="345">
        <v>1291</v>
      </c>
      <c r="B1071" s="346" t="s">
        <v>258</v>
      </c>
      <c r="C1071" s="347">
        <v>50</v>
      </c>
      <c r="D1071" s="348">
        <v>46023</v>
      </c>
      <c r="E1071" s="348">
        <v>46357</v>
      </c>
      <c r="F1071" s="346" t="s">
        <v>605</v>
      </c>
      <c r="G1071" s="349" t="s">
        <v>447</v>
      </c>
      <c r="H1071" s="350">
        <f t="shared" si="23"/>
        <v>600</v>
      </c>
      <c r="I1071" s="120" t="str">
        <f>IF(OR(D1071&lt;Capa!$A$5,D1071&gt;Capa!$A$7,E1071&lt;Capa!$A$5,E1071&gt;Capa!$A$7,D1071&gt;E1071),"Erro","")</f>
        <v/>
      </c>
    </row>
    <row r="1072" spans="1:9" ht="30" hidden="1">
      <c r="A1072" s="345">
        <v>1292</v>
      </c>
      <c r="B1072" s="346" t="s">
        <v>258</v>
      </c>
      <c r="C1072" s="347">
        <v>50</v>
      </c>
      <c r="D1072" s="348">
        <v>46388</v>
      </c>
      <c r="E1072" s="348">
        <v>46722</v>
      </c>
      <c r="F1072" s="346" t="s">
        <v>605</v>
      </c>
      <c r="G1072" s="349" t="s">
        <v>447</v>
      </c>
      <c r="H1072" s="350">
        <f t="shared" si="23"/>
        <v>600</v>
      </c>
      <c r="I1072" s="120" t="str">
        <f>IF(OR(D1072&lt;Capa!$A$5,D1072&gt;Capa!$A$7,E1072&lt;Capa!$A$5,E1072&gt;Capa!$A$7,D1072&gt;E1072),"Erro","")</f>
        <v/>
      </c>
    </row>
    <row r="1073" spans="1:9" ht="30" hidden="1">
      <c r="A1073" s="345">
        <v>1293</v>
      </c>
      <c r="B1073" s="346" t="s">
        <v>258</v>
      </c>
      <c r="C1073" s="347">
        <v>20</v>
      </c>
      <c r="D1073" s="348">
        <v>46753</v>
      </c>
      <c r="E1073" s="348">
        <v>47058</v>
      </c>
      <c r="F1073" s="346" t="s">
        <v>605</v>
      </c>
      <c r="G1073" s="349" t="s">
        <v>447</v>
      </c>
      <c r="H1073" s="350">
        <f t="shared" si="23"/>
        <v>220</v>
      </c>
      <c r="I1073" s="120" t="str">
        <f>IF(OR(D1073&lt;Capa!$A$5,D1073&gt;Capa!$A$7,E1073&lt;Capa!$A$5,E1073&gt;Capa!$A$7,D1073&gt;E1073),"Erro","")</f>
        <v/>
      </c>
    </row>
    <row r="1074" spans="1:9" ht="40" hidden="1">
      <c r="A1074" s="345">
        <v>1294</v>
      </c>
      <c r="B1074" s="346" t="s">
        <v>276</v>
      </c>
      <c r="C1074" s="347">
        <v>500</v>
      </c>
      <c r="D1074" s="348">
        <v>45658</v>
      </c>
      <c r="E1074" s="348">
        <v>45778</v>
      </c>
      <c r="F1074" s="346" t="s">
        <v>605</v>
      </c>
      <c r="G1074" s="349" t="s">
        <v>448</v>
      </c>
      <c r="H1074" s="350">
        <f t="shared" si="23"/>
        <v>2500</v>
      </c>
      <c r="I1074" s="120" t="str">
        <f>IF(OR(D1074&lt;Capa!$A$5,D1074&gt;Capa!$A$7,E1074&lt;Capa!$A$5,E1074&gt;Capa!$A$7,D1074&gt;E1074),"Erro","")</f>
        <v/>
      </c>
    </row>
    <row r="1075" spans="1:9" ht="40" hidden="1">
      <c r="A1075" s="345">
        <v>1295</v>
      </c>
      <c r="B1075" s="346" t="s">
        <v>276</v>
      </c>
      <c r="C1075" s="347">
        <v>500</v>
      </c>
      <c r="D1075" s="348">
        <v>46023</v>
      </c>
      <c r="E1075" s="348">
        <v>46082</v>
      </c>
      <c r="F1075" s="346" t="s">
        <v>605</v>
      </c>
      <c r="G1075" s="349" t="s">
        <v>448</v>
      </c>
      <c r="H1075" s="350">
        <f t="shared" ref="H1075:H1117" si="24">IFERROR((DATEDIF(D1075,E1075,"M")+1)*C1075,0)</f>
        <v>1500</v>
      </c>
      <c r="I1075" s="120" t="str">
        <f>IF(OR(D1075&lt;Capa!$A$5,D1075&gt;Capa!$A$7,E1075&lt;Capa!$A$5,E1075&gt;Capa!$A$7,D1075&gt;E1075),"Erro","")</f>
        <v/>
      </c>
    </row>
    <row r="1076" spans="1:9" ht="40" hidden="1">
      <c r="A1076" s="345">
        <v>1296</v>
      </c>
      <c r="B1076" s="346" t="s">
        <v>276</v>
      </c>
      <c r="C1076" s="347">
        <v>500</v>
      </c>
      <c r="D1076" s="348">
        <v>46388</v>
      </c>
      <c r="E1076" s="348">
        <v>46447</v>
      </c>
      <c r="F1076" s="346" t="s">
        <v>605</v>
      </c>
      <c r="G1076" s="349" t="s">
        <v>448</v>
      </c>
      <c r="H1076" s="350">
        <f t="shared" si="24"/>
        <v>1500</v>
      </c>
      <c r="I1076" s="120" t="str">
        <f>IF(OR(D1076&lt;Capa!$A$5,D1076&gt;Capa!$A$7,E1076&lt;Capa!$A$5,E1076&gt;Capa!$A$7,D1076&gt;E1076),"Erro","")</f>
        <v/>
      </c>
    </row>
    <row r="1077" spans="1:9" ht="40" hidden="1">
      <c r="A1077" s="345">
        <v>1297</v>
      </c>
      <c r="B1077" s="346" t="s">
        <v>276</v>
      </c>
      <c r="C1077" s="347">
        <v>250</v>
      </c>
      <c r="D1077" s="348">
        <v>46753</v>
      </c>
      <c r="E1077" s="348">
        <v>46813</v>
      </c>
      <c r="F1077" s="346" t="s">
        <v>605</v>
      </c>
      <c r="G1077" s="349" t="s">
        <v>448</v>
      </c>
      <c r="H1077" s="350">
        <f t="shared" si="24"/>
        <v>750</v>
      </c>
      <c r="I1077" s="120" t="str">
        <f>IF(OR(D1077&lt;Capa!$A$5,D1077&gt;Capa!$A$7,E1077&lt;Capa!$A$5,E1077&gt;Capa!$A$7,D1077&gt;E1077),"Erro","")</f>
        <v/>
      </c>
    </row>
    <row r="1078" spans="1:9" ht="40">
      <c r="A1078" s="345">
        <v>1299</v>
      </c>
      <c r="B1078" s="346" t="s">
        <v>278</v>
      </c>
      <c r="C1078" s="347">
        <v>15000</v>
      </c>
      <c r="D1078" s="348">
        <v>45658</v>
      </c>
      <c r="E1078" s="348">
        <v>45992</v>
      </c>
      <c r="F1078" s="346" t="s">
        <v>605</v>
      </c>
      <c r="G1078" s="349" t="s">
        <v>449</v>
      </c>
      <c r="H1078" s="350">
        <f t="shared" si="24"/>
        <v>180000</v>
      </c>
      <c r="I1078" s="120" t="str">
        <f>IF(OR(D1078&lt;Capa!$A$5,D1078&gt;Capa!$A$7,E1078&lt;Capa!$A$5,E1078&gt;Capa!$A$7,D1078&gt;E1078),"Erro","")</f>
        <v/>
      </c>
    </row>
    <row r="1079" spans="1:9" ht="40">
      <c r="A1079" s="345">
        <v>1300</v>
      </c>
      <c r="B1079" s="346" t="s">
        <v>278</v>
      </c>
      <c r="C1079" s="347">
        <v>15000</v>
      </c>
      <c r="D1079" s="348">
        <v>46023</v>
      </c>
      <c r="E1079" s="348">
        <v>46357</v>
      </c>
      <c r="F1079" s="346" t="s">
        <v>605</v>
      </c>
      <c r="G1079" s="349" t="s">
        <v>449</v>
      </c>
      <c r="H1079" s="350">
        <f t="shared" si="24"/>
        <v>180000</v>
      </c>
      <c r="I1079" s="120" t="str">
        <f>IF(OR(D1079&lt;Capa!$A$5,D1079&gt;Capa!$A$7,E1079&lt;Capa!$A$5,E1079&gt;Capa!$A$7,D1079&gt;E1079),"Erro","")</f>
        <v/>
      </c>
    </row>
    <row r="1080" spans="1:9" ht="40">
      <c r="A1080" s="345">
        <v>1301</v>
      </c>
      <c r="B1080" s="346" t="s">
        <v>278</v>
      </c>
      <c r="C1080" s="347">
        <v>15000</v>
      </c>
      <c r="D1080" s="348">
        <v>46388</v>
      </c>
      <c r="E1080" s="348">
        <v>46722</v>
      </c>
      <c r="F1080" s="346" t="s">
        <v>605</v>
      </c>
      <c r="G1080" s="349" t="s">
        <v>449</v>
      </c>
      <c r="H1080" s="350">
        <f t="shared" si="24"/>
        <v>180000</v>
      </c>
      <c r="I1080" s="120" t="str">
        <f>IF(OR(D1080&lt;Capa!$A$5,D1080&gt;Capa!$A$7,E1080&lt;Capa!$A$5,E1080&gt;Capa!$A$7,D1080&gt;E1080),"Erro","")</f>
        <v/>
      </c>
    </row>
    <row r="1081" spans="1:9" ht="40">
      <c r="A1081" s="345">
        <v>1302</v>
      </c>
      <c r="B1081" s="346" t="s">
        <v>278</v>
      </c>
      <c r="C1081" s="347">
        <v>7500</v>
      </c>
      <c r="D1081" s="348">
        <v>46753</v>
      </c>
      <c r="E1081" s="348">
        <v>47058</v>
      </c>
      <c r="F1081" s="346" t="s">
        <v>605</v>
      </c>
      <c r="G1081" s="349" t="s">
        <v>449</v>
      </c>
      <c r="H1081" s="350">
        <f t="shared" si="24"/>
        <v>82500</v>
      </c>
      <c r="I1081" s="120" t="str">
        <f>IF(OR(D1081&lt;Capa!$A$5,D1081&gt;Capa!$A$7,E1081&lt;Capa!$A$5,E1081&gt;Capa!$A$7,D1081&gt;E1081),"Erro","")</f>
        <v/>
      </c>
    </row>
    <row r="1082" spans="1:9" ht="40" hidden="1">
      <c r="A1082" s="345">
        <v>1304</v>
      </c>
      <c r="B1082" s="346" t="s">
        <v>280</v>
      </c>
      <c r="C1082" s="347">
        <v>100</v>
      </c>
      <c r="D1082" s="348">
        <v>45658</v>
      </c>
      <c r="E1082" s="348">
        <v>45992</v>
      </c>
      <c r="F1082" s="346" t="s">
        <v>605</v>
      </c>
      <c r="G1082" s="349" t="s">
        <v>450</v>
      </c>
      <c r="H1082" s="350">
        <f t="shared" si="24"/>
        <v>1200</v>
      </c>
      <c r="I1082" s="120" t="str">
        <f>IF(OR(D1082&lt;Capa!$A$5,D1082&gt;Capa!$A$7,E1082&lt;Capa!$A$5,E1082&gt;Capa!$A$7,D1082&gt;E1082),"Erro","")</f>
        <v/>
      </c>
    </row>
    <row r="1083" spans="1:9" ht="40" hidden="1">
      <c r="A1083" s="345">
        <v>1305</v>
      </c>
      <c r="B1083" s="346" t="s">
        <v>280</v>
      </c>
      <c r="C1083" s="347">
        <v>100</v>
      </c>
      <c r="D1083" s="348">
        <v>46023</v>
      </c>
      <c r="E1083" s="348">
        <v>46357</v>
      </c>
      <c r="F1083" s="346" t="s">
        <v>605</v>
      </c>
      <c r="G1083" s="349" t="s">
        <v>450</v>
      </c>
      <c r="H1083" s="350">
        <f t="shared" si="24"/>
        <v>1200</v>
      </c>
      <c r="I1083" s="120" t="str">
        <f>IF(OR(D1083&lt;Capa!$A$5,D1083&gt;Capa!$A$7,E1083&lt;Capa!$A$5,E1083&gt;Capa!$A$7,D1083&gt;E1083),"Erro","")</f>
        <v/>
      </c>
    </row>
    <row r="1084" spans="1:9" ht="40" hidden="1">
      <c r="A1084" s="345">
        <v>1306</v>
      </c>
      <c r="B1084" s="346" t="s">
        <v>280</v>
      </c>
      <c r="C1084" s="347">
        <v>100</v>
      </c>
      <c r="D1084" s="348">
        <v>46388</v>
      </c>
      <c r="E1084" s="348">
        <v>46722</v>
      </c>
      <c r="F1084" s="346" t="s">
        <v>605</v>
      </c>
      <c r="G1084" s="349" t="s">
        <v>450</v>
      </c>
      <c r="H1084" s="350">
        <f t="shared" si="24"/>
        <v>1200</v>
      </c>
      <c r="I1084" s="120" t="str">
        <f>IF(OR(D1084&lt;Capa!$A$5,D1084&gt;Capa!$A$7,E1084&lt;Capa!$A$5,E1084&gt;Capa!$A$7,D1084&gt;E1084),"Erro","")</f>
        <v/>
      </c>
    </row>
    <row r="1085" spans="1:9" ht="40" hidden="1">
      <c r="A1085" s="345">
        <v>1307</v>
      </c>
      <c r="B1085" s="346" t="s">
        <v>280</v>
      </c>
      <c r="C1085" s="347">
        <v>50</v>
      </c>
      <c r="D1085" s="348">
        <v>46753</v>
      </c>
      <c r="E1085" s="348">
        <v>47058</v>
      </c>
      <c r="F1085" s="346" t="s">
        <v>605</v>
      </c>
      <c r="G1085" s="349" t="s">
        <v>450</v>
      </c>
      <c r="H1085" s="350">
        <f t="shared" si="24"/>
        <v>550</v>
      </c>
      <c r="I1085" s="120" t="str">
        <f>IF(OR(D1085&lt;Capa!$A$5,D1085&gt;Capa!$A$7,E1085&lt;Capa!$A$5,E1085&gt;Capa!$A$7,D1085&gt;E1085),"Erro","")</f>
        <v/>
      </c>
    </row>
    <row r="1086" spans="1:9" ht="40" hidden="1">
      <c r="A1086" s="345">
        <v>1309</v>
      </c>
      <c r="B1086" s="346" t="s">
        <v>282</v>
      </c>
      <c r="C1086" s="347">
        <v>450</v>
      </c>
      <c r="D1086" s="348">
        <v>45658</v>
      </c>
      <c r="E1086" s="348">
        <v>45992</v>
      </c>
      <c r="F1086" s="346" t="s">
        <v>605</v>
      </c>
      <c r="G1086" s="349" t="s">
        <v>451</v>
      </c>
      <c r="H1086" s="350">
        <f t="shared" si="24"/>
        <v>5400</v>
      </c>
      <c r="I1086" s="120" t="str">
        <f>IF(OR(D1086&lt;Capa!$A$5,D1086&gt;Capa!$A$7,E1086&lt;Capa!$A$5,E1086&gt;Capa!$A$7,D1086&gt;E1086),"Erro","")</f>
        <v/>
      </c>
    </row>
    <row r="1087" spans="1:9" ht="40" hidden="1">
      <c r="A1087" s="345">
        <v>1310</v>
      </c>
      <c r="B1087" s="346" t="s">
        <v>282</v>
      </c>
      <c r="C1087" s="347">
        <v>450</v>
      </c>
      <c r="D1087" s="348">
        <v>46023</v>
      </c>
      <c r="E1087" s="348">
        <v>46357</v>
      </c>
      <c r="F1087" s="346" t="s">
        <v>605</v>
      </c>
      <c r="G1087" s="349" t="s">
        <v>451</v>
      </c>
      <c r="H1087" s="350">
        <f t="shared" si="24"/>
        <v>5400</v>
      </c>
      <c r="I1087" s="120" t="str">
        <f>IF(OR(D1087&lt;Capa!$A$5,D1087&gt;Capa!$A$7,E1087&lt;Capa!$A$5,E1087&gt;Capa!$A$7,D1087&gt;E1087),"Erro","")</f>
        <v/>
      </c>
    </row>
    <row r="1088" spans="1:9" ht="40" hidden="1">
      <c r="A1088" s="345">
        <v>1311</v>
      </c>
      <c r="B1088" s="346" t="s">
        <v>282</v>
      </c>
      <c r="C1088" s="347">
        <v>450</v>
      </c>
      <c r="D1088" s="348">
        <v>46388</v>
      </c>
      <c r="E1088" s="348">
        <v>46722</v>
      </c>
      <c r="F1088" s="346" t="s">
        <v>605</v>
      </c>
      <c r="G1088" s="349" t="s">
        <v>451</v>
      </c>
      <c r="H1088" s="350">
        <f t="shared" si="24"/>
        <v>5400</v>
      </c>
      <c r="I1088" s="120" t="str">
        <f>IF(OR(D1088&lt;Capa!$A$5,D1088&gt;Capa!$A$7,E1088&lt;Capa!$A$5,E1088&gt;Capa!$A$7,D1088&gt;E1088),"Erro","")</f>
        <v/>
      </c>
    </row>
    <row r="1089" spans="1:9" ht="40" hidden="1">
      <c r="A1089" s="345">
        <v>1312</v>
      </c>
      <c r="B1089" s="346" t="s">
        <v>282</v>
      </c>
      <c r="C1089" s="347">
        <v>200</v>
      </c>
      <c r="D1089" s="348">
        <v>46753</v>
      </c>
      <c r="E1089" s="348">
        <v>47058</v>
      </c>
      <c r="F1089" s="346" t="s">
        <v>605</v>
      </c>
      <c r="G1089" s="349" t="s">
        <v>451</v>
      </c>
      <c r="H1089" s="350">
        <f t="shared" si="24"/>
        <v>2200</v>
      </c>
      <c r="I1089" s="120" t="str">
        <f>IF(OR(D1089&lt;Capa!$A$5,D1089&gt;Capa!$A$7,E1089&lt;Capa!$A$5,E1089&gt;Capa!$A$7,D1089&gt;E1089),"Erro","")</f>
        <v/>
      </c>
    </row>
    <row r="1090" spans="1:9" ht="40" hidden="1">
      <c r="A1090" s="345">
        <v>1314</v>
      </c>
      <c r="B1090" s="346" t="s">
        <v>284</v>
      </c>
      <c r="C1090" s="347">
        <v>950</v>
      </c>
      <c r="D1090" s="348">
        <v>45658</v>
      </c>
      <c r="E1090" s="348">
        <v>45992</v>
      </c>
      <c r="F1090" s="346" t="s">
        <v>605</v>
      </c>
      <c r="G1090" s="349" t="s">
        <v>451</v>
      </c>
      <c r="H1090" s="350">
        <f t="shared" si="24"/>
        <v>11400</v>
      </c>
      <c r="I1090" s="120" t="str">
        <f>IF(OR(D1090&lt;Capa!$A$5,D1090&gt;Capa!$A$7,E1090&lt;Capa!$A$5,E1090&gt;Capa!$A$7,D1090&gt;E1090),"Erro","")</f>
        <v/>
      </c>
    </row>
    <row r="1091" spans="1:9" ht="40" hidden="1">
      <c r="A1091" s="345">
        <v>1315</v>
      </c>
      <c r="B1091" s="346" t="s">
        <v>284</v>
      </c>
      <c r="C1091" s="347">
        <v>950</v>
      </c>
      <c r="D1091" s="348">
        <v>46023</v>
      </c>
      <c r="E1091" s="348">
        <v>46357</v>
      </c>
      <c r="F1091" s="346" t="s">
        <v>605</v>
      </c>
      <c r="G1091" s="349" t="s">
        <v>451</v>
      </c>
      <c r="H1091" s="350">
        <f t="shared" si="24"/>
        <v>11400</v>
      </c>
      <c r="I1091" s="120" t="str">
        <f>IF(OR(D1091&lt;Capa!$A$5,D1091&gt;Capa!$A$7,E1091&lt;Capa!$A$5,E1091&gt;Capa!$A$7,D1091&gt;E1091),"Erro","")</f>
        <v/>
      </c>
    </row>
    <row r="1092" spans="1:9" ht="40" hidden="1">
      <c r="A1092" s="345">
        <v>1316</v>
      </c>
      <c r="B1092" s="346" t="s">
        <v>284</v>
      </c>
      <c r="C1092" s="347">
        <v>950</v>
      </c>
      <c r="D1092" s="348">
        <v>46388</v>
      </c>
      <c r="E1092" s="348">
        <v>46722</v>
      </c>
      <c r="F1092" s="346" t="s">
        <v>605</v>
      </c>
      <c r="G1092" s="349" t="s">
        <v>451</v>
      </c>
      <c r="H1092" s="350">
        <f t="shared" si="24"/>
        <v>11400</v>
      </c>
      <c r="I1092" s="120" t="str">
        <f>IF(OR(D1092&lt;Capa!$A$5,D1092&gt;Capa!$A$7,E1092&lt;Capa!$A$5,E1092&gt;Capa!$A$7,D1092&gt;E1092),"Erro","")</f>
        <v/>
      </c>
    </row>
    <row r="1093" spans="1:9" ht="40" hidden="1">
      <c r="A1093" s="345">
        <v>1317</v>
      </c>
      <c r="B1093" s="346" t="s">
        <v>284</v>
      </c>
      <c r="C1093" s="347">
        <v>400</v>
      </c>
      <c r="D1093" s="348">
        <v>46753</v>
      </c>
      <c r="E1093" s="348">
        <v>47058</v>
      </c>
      <c r="F1093" s="346" t="s">
        <v>605</v>
      </c>
      <c r="G1093" s="349" t="s">
        <v>451</v>
      </c>
      <c r="H1093" s="350">
        <f t="shared" si="24"/>
        <v>4400</v>
      </c>
      <c r="I1093" s="120" t="str">
        <f>IF(OR(D1093&lt;Capa!$A$5,D1093&gt;Capa!$A$7,E1093&lt;Capa!$A$5,E1093&gt;Capa!$A$7,D1093&gt;E1093),"Erro","")</f>
        <v/>
      </c>
    </row>
    <row r="1094" spans="1:9" ht="40" hidden="1">
      <c r="A1094" s="345">
        <v>1319</v>
      </c>
      <c r="B1094" s="346" t="s">
        <v>286</v>
      </c>
      <c r="C1094" s="347">
        <v>1000</v>
      </c>
      <c r="D1094" s="348">
        <v>45658</v>
      </c>
      <c r="E1094" s="348">
        <v>45992</v>
      </c>
      <c r="F1094" s="346" t="s">
        <v>605</v>
      </c>
      <c r="G1094" s="349" t="s">
        <v>451</v>
      </c>
      <c r="H1094" s="350">
        <f t="shared" si="24"/>
        <v>12000</v>
      </c>
      <c r="I1094" s="120" t="str">
        <f>IF(OR(D1094&lt;Capa!$A$5,D1094&gt;Capa!$A$7,E1094&lt;Capa!$A$5,E1094&gt;Capa!$A$7,D1094&gt;E1094),"Erro","")</f>
        <v/>
      </c>
    </row>
    <row r="1095" spans="1:9" ht="40" hidden="1">
      <c r="A1095" s="345">
        <v>1320</v>
      </c>
      <c r="B1095" s="346" t="s">
        <v>286</v>
      </c>
      <c r="C1095" s="347">
        <v>1000</v>
      </c>
      <c r="D1095" s="348">
        <v>46023</v>
      </c>
      <c r="E1095" s="348">
        <v>46357</v>
      </c>
      <c r="F1095" s="346" t="s">
        <v>605</v>
      </c>
      <c r="G1095" s="349" t="s">
        <v>451</v>
      </c>
      <c r="H1095" s="350">
        <f t="shared" si="24"/>
        <v>12000</v>
      </c>
      <c r="I1095" s="120" t="str">
        <f>IF(OR(D1095&lt;Capa!$A$5,D1095&gt;Capa!$A$7,E1095&lt;Capa!$A$5,E1095&gt;Capa!$A$7,D1095&gt;E1095),"Erro","")</f>
        <v/>
      </c>
    </row>
    <row r="1096" spans="1:9" ht="40" hidden="1">
      <c r="A1096" s="345">
        <v>1321</v>
      </c>
      <c r="B1096" s="346" t="s">
        <v>286</v>
      </c>
      <c r="C1096" s="347">
        <v>1000</v>
      </c>
      <c r="D1096" s="348">
        <v>46388</v>
      </c>
      <c r="E1096" s="348">
        <v>46722</v>
      </c>
      <c r="F1096" s="346" t="s">
        <v>605</v>
      </c>
      <c r="G1096" s="349" t="s">
        <v>451</v>
      </c>
      <c r="H1096" s="350">
        <f t="shared" si="24"/>
        <v>12000</v>
      </c>
      <c r="I1096" s="120" t="str">
        <f>IF(OR(D1096&lt;Capa!$A$5,D1096&gt;Capa!$A$7,E1096&lt;Capa!$A$5,E1096&gt;Capa!$A$7,D1096&gt;E1096),"Erro","")</f>
        <v/>
      </c>
    </row>
    <row r="1097" spans="1:9" ht="40" hidden="1">
      <c r="A1097" s="345">
        <v>1322</v>
      </c>
      <c r="B1097" s="346" t="s">
        <v>286</v>
      </c>
      <c r="C1097" s="347">
        <v>500</v>
      </c>
      <c r="D1097" s="348">
        <v>46753</v>
      </c>
      <c r="E1097" s="348">
        <v>47058</v>
      </c>
      <c r="F1097" s="346" t="s">
        <v>605</v>
      </c>
      <c r="G1097" s="349" t="s">
        <v>451</v>
      </c>
      <c r="H1097" s="350">
        <f t="shared" si="24"/>
        <v>5500</v>
      </c>
      <c r="I1097" s="120" t="str">
        <f>IF(OR(D1097&lt;Capa!$A$5,D1097&gt;Capa!$A$7,E1097&lt;Capa!$A$5,E1097&gt;Capa!$A$7,D1097&gt;E1097),"Erro","")</f>
        <v/>
      </c>
    </row>
    <row r="1098" spans="1:9" ht="30" hidden="1">
      <c r="A1098" s="345">
        <v>1324</v>
      </c>
      <c r="B1098" s="346" t="s">
        <v>288</v>
      </c>
      <c r="C1098" s="347">
        <v>200</v>
      </c>
      <c r="D1098" s="348">
        <v>45658</v>
      </c>
      <c r="E1098" s="348">
        <v>45992</v>
      </c>
      <c r="F1098" s="346" t="s">
        <v>605</v>
      </c>
      <c r="G1098" s="349" t="s">
        <v>452</v>
      </c>
      <c r="H1098" s="350">
        <f t="shared" si="24"/>
        <v>2400</v>
      </c>
      <c r="I1098" s="120" t="str">
        <f>IF(OR(D1098&lt;Capa!$A$5,D1098&gt;Capa!$A$7,E1098&lt;Capa!$A$5,E1098&gt;Capa!$A$7,D1098&gt;E1098),"Erro","")</f>
        <v/>
      </c>
    </row>
    <row r="1099" spans="1:9" ht="30" hidden="1">
      <c r="A1099" s="345">
        <v>1325</v>
      </c>
      <c r="B1099" s="346" t="s">
        <v>288</v>
      </c>
      <c r="C1099" s="347">
        <v>200</v>
      </c>
      <c r="D1099" s="348">
        <v>46023</v>
      </c>
      <c r="E1099" s="348">
        <v>46357</v>
      </c>
      <c r="F1099" s="346" t="s">
        <v>605</v>
      </c>
      <c r="G1099" s="349" t="s">
        <v>452</v>
      </c>
      <c r="H1099" s="350">
        <f t="shared" si="24"/>
        <v>2400</v>
      </c>
      <c r="I1099" s="120" t="str">
        <f>IF(OR(D1099&lt;Capa!$A$5,D1099&gt;Capa!$A$7,E1099&lt;Capa!$A$5,E1099&gt;Capa!$A$7,D1099&gt;E1099),"Erro","")</f>
        <v/>
      </c>
    </row>
    <row r="1100" spans="1:9" ht="30" hidden="1">
      <c r="A1100" s="345">
        <v>1326</v>
      </c>
      <c r="B1100" s="346" t="s">
        <v>288</v>
      </c>
      <c r="C1100" s="347">
        <v>200</v>
      </c>
      <c r="D1100" s="348">
        <v>46388</v>
      </c>
      <c r="E1100" s="348">
        <v>46722</v>
      </c>
      <c r="F1100" s="346" t="s">
        <v>605</v>
      </c>
      <c r="G1100" s="349" t="s">
        <v>452</v>
      </c>
      <c r="H1100" s="350">
        <f t="shared" si="24"/>
        <v>2400</v>
      </c>
      <c r="I1100" s="120" t="str">
        <f>IF(OR(D1100&lt;Capa!$A$5,D1100&gt;Capa!$A$7,E1100&lt;Capa!$A$5,E1100&gt;Capa!$A$7,D1100&gt;E1100),"Erro","")</f>
        <v/>
      </c>
    </row>
    <row r="1101" spans="1:9" ht="30" hidden="1">
      <c r="A1101" s="345">
        <v>1327</v>
      </c>
      <c r="B1101" s="346" t="s">
        <v>288</v>
      </c>
      <c r="C1101" s="347">
        <v>100</v>
      </c>
      <c r="D1101" s="348">
        <v>46753</v>
      </c>
      <c r="E1101" s="348">
        <v>47058</v>
      </c>
      <c r="F1101" s="346" t="s">
        <v>605</v>
      </c>
      <c r="G1101" s="349" t="s">
        <v>452</v>
      </c>
      <c r="H1101" s="350">
        <f t="shared" si="24"/>
        <v>1100</v>
      </c>
      <c r="I1101" s="120" t="str">
        <f>IF(OR(D1101&lt;Capa!$A$5,D1101&gt;Capa!$A$7,E1101&lt;Capa!$A$5,E1101&gt;Capa!$A$7,D1101&gt;E1101),"Erro","")</f>
        <v/>
      </c>
    </row>
    <row r="1102" spans="1:9" ht="30" hidden="1">
      <c r="A1102" s="345">
        <v>1329</v>
      </c>
      <c r="B1102" s="346" t="s">
        <v>294</v>
      </c>
      <c r="C1102" s="347">
        <v>2000</v>
      </c>
      <c r="D1102" s="348">
        <v>45658</v>
      </c>
      <c r="E1102" s="348">
        <v>45992</v>
      </c>
      <c r="F1102" s="346" t="s">
        <v>605</v>
      </c>
      <c r="G1102" s="349" t="s">
        <v>453</v>
      </c>
      <c r="H1102" s="350">
        <f t="shared" si="24"/>
        <v>24000</v>
      </c>
      <c r="I1102" s="120" t="str">
        <f>IF(OR(D1102&lt;Capa!$A$5,D1102&gt;Capa!$A$7,E1102&lt;Capa!$A$5,E1102&gt;Capa!$A$7,D1102&gt;E1102),"Erro","")</f>
        <v/>
      </c>
    </row>
    <row r="1103" spans="1:9" ht="30" hidden="1">
      <c r="A1103" s="345">
        <v>1330</v>
      </c>
      <c r="B1103" s="346" t="s">
        <v>294</v>
      </c>
      <c r="C1103" s="347">
        <v>2000</v>
      </c>
      <c r="D1103" s="348">
        <v>46023</v>
      </c>
      <c r="E1103" s="348">
        <v>46357</v>
      </c>
      <c r="F1103" s="346" t="s">
        <v>605</v>
      </c>
      <c r="G1103" s="349" t="s">
        <v>453</v>
      </c>
      <c r="H1103" s="350">
        <f t="shared" si="24"/>
        <v>24000</v>
      </c>
      <c r="I1103" s="120" t="str">
        <f>IF(OR(D1103&lt;Capa!$A$5,D1103&gt;Capa!$A$7,E1103&lt;Capa!$A$5,E1103&gt;Capa!$A$7,D1103&gt;E1103),"Erro","")</f>
        <v/>
      </c>
    </row>
    <row r="1104" spans="1:9" ht="30" hidden="1">
      <c r="A1104" s="345">
        <v>1331</v>
      </c>
      <c r="B1104" s="346" t="s">
        <v>294</v>
      </c>
      <c r="C1104" s="347">
        <v>2000</v>
      </c>
      <c r="D1104" s="348">
        <v>46388</v>
      </c>
      <c r="E1104" s="348">
        <v>46722</v>
      </c>
      <c r="F1104" s="346" t="s">
        <v>605</v>
      </c>
      <c r="G1104" s="349" t="s">
        <v>453</v>
      </c>
      <c r="H1104" s="350">
        <f t="shared" si="24"/>
        <v>24000</v>
      </c>
      <c r="I1104" s="120" t="str">
        <f>IF(OR(D1104&lt;Capa!$A$5,D1104&gt;Capa!$A$7,E1104&lt;Capa!$A$5,E1104&gt;Capa!$A$7,D1104&gt;E1104),"Erro","")</f>
        <v/>
      </c>
    </row>
    <row r="1105" spans="1:9" ht="30" hidden="1">
      <c r="A1105" s="345">
        <v>1332</v>
      </c>
      <c r="B1105" s="346" t="s">
        <v>294</v>
      </c>
      <c r="C1105" s="347">
        <v>2000</v>
      </c>
      <c r="D1105" s="348">
        <v>46753</v>
      </c>
      <c r="E1105" s="348">
        <v>47058</v>
      </c>
      <c r="F1105" s="346" t="s">
        <v>605</v>
      </c>
      <c r="G1105" s="349" t="s">
        <v>453</v>
      </c>
      <c r="H1105" s="350">
        <f t="shared" si="24"/>
        <v>22000</v>
      </c>
      <c r="I1105" s="120" t="str">
        <f>IF(OR(D1105&lt;Capa!$A$5,D1105&gt;Capa!$A$7,E1105&lt;Capa!$A$5,E1105&gt;Capa!$A$7,D1105&gt;E1105),"Erro","")</f>
        <v/>
      </c>
    </row>
    <row r="1106" spans="1:9" ht="20" hidden="1">
      <c r="A1106" s="345">
        <v>1334</v>
      </c>
      <c r="B1106" s="346" t="s">
        <v>302</v>
      </c>
      <c r="C1106" s="347">
        <v>100</v>
      </c>
      <c r="D1106" s="348">
        <v>45658</v>
      </c>
      <c r="E1106" s="348">
        <v>45992</v>
      </c>
      <c r="F1106" s="346" t="s">
        <v>605</v>
      </c>
      <c r="G1106" s="349" t="s">
        <v>454</v>
      </c>
      <c r="H1106" s="350">
        <f t="shared" si="24"/>
        <v>1200</v>
      </c>
      <c r="I1106" s="120" t="str">
        <f>IF(OR(D1106&lt;Capa!$A$5,D1106&gt;Capa!$A$7,E1106&lt;Capa!$A$5,E1106&gt;Capa!$A$7,D1106&gt;E1106),"Erro","")</f>
        <v/>
      </c>
    </row>
    <row r="1107" spans="1:9" ht="20" hidden="1">
      <c r="A1107" s="345">
        <v>1335</v>
      </c>
      <c r="B1107" s="346" t="s">
        <v>302</v>
      </c>
      <c r="C1107" s="347">
        <v>100</v>
      </c>
      <c r="D1107" s="348">
        <v>46023</v>
      </c>
      <c r="E1107" s="348">
        <v>46357</v>
      </c>
      <c r="F1107" s="346" t="s">
        <v>605</v>
      </c>
      <c r="G1107" s="349" t="s">
        <v>454</v>
      </c>
      <c r="H1107" s="350">
        <f t="shared" si="24"/>
        <v>1200</v>
      </c>
      <c r="I1107" s="120" t="str">
        <f>IF(OR(D1107&lt;Capa!$A$5,D1107&gt;Capa!$A$7,E1107&lt;Capa!$A$5,E1107&gt;Capa!$A$7,D1107&gt;E1107),"Erro","")</f>
        <v/>
      </c>
    </row>
    <row r="1108" spans="1:9" ht="20" hidden="1">
      <c r="A1108" s="345">
        <v>1336</v>
      </c>
      <c r="B1108" s="346" t="s">
        <v>302</v>
      </c>
      <c r="C1108" s="347">
        <v>100</v>
      </c>
      <c r="D1108" s="348">
        <v>46388</v>
      </c>
      <c r="E1108" s="348">
        <v>46722</v>
      </c>
      <c r="F1108" s="346" t="s">
        <v>605</v>
      </c>
      <c r="G1108" s="349" t="s">
        <v>454</v>
      </c>
      <c r="H1108" s="350">
        <f t="shared" si="24"/>
        <v>1200</v>
      </c>
      <c r="I1108" s="120" t="str">
        <f>IF(OR(D1108&lt;Capa!$A$5,D1108&gt;Capa!$A$7,E1108&lt;Capa!$A$5,E1108&gt;Capa!$A$7,D1108&gt;E1108),"Erro","")</f>
        <v/>
      </c>
    </row>
    <row r="1109" spans="1:9" ht="20" hidden="1">
      <c r="A1109" s="345">
        <v>1337</v>
      </c>
      <c r="B1109" s="346" t="s">
        <v>302</v>
      </c>
      <c r="C1109" s="347">
        <v>50</v>
      </c>
      <c r="D1109" s="348">
        <v>46753</v>
      </c>
      <c r="E1109" s="348">
        <v>47058</v>
      </c>
      <c r="F1109" s="346" t="s">
        <v>605</v>
      </c>
      <c r="G1109" s="349" t="s">
        <v>454</v>
      </c>
      <c r="H1109" s="350">
        <f t="shared" si="24"/>
        <v>550</v>
      </c>
      <c r="I1109" s="120" t="str">
        <f>IF(OR(D1109&lt;Capa!$A$5,D1109&gt;Capa!$A$7,E1109&lt;Capa!$A$5,E1109&gt;Capa!$A$7,D1109&gt;E1109),"Erro","")</f>
        <v/>
      </c>
    </row>
    <row r="1110" spans="1:9" ht="30" hidden="1">
      <c r="A1110" s="345">
        <v>1339</v>
      </c>
      <c r="B1110" s="346" t="s">
        <v>304</v>
      </c>
      <c r="C1110" s="347">
        <v>1000</v>
      </c>
      <c r="D1110" s="348">
        <v>45658</v>
      </c>
      <c r="E1110" s="348">
        <v>45992</v>
      </c>
      <c r="F1110" s="346" t="s">
        <v>605</v>
      </c>
      <c r="G1110" s="349" t="s">
        <v>455</v>
      </c>
      <c r="H1110" s="350">
        <f t="shared" si="24"/>
        <v>12000</v>
      </c>
      <c r="I1110" s="120" t="str">
        <f>IF(OR(D1110&lt;Capa!$A$5,D1110&gt;Capa!$A$7,E1110&lt;Capa!$A$5,E1110&gt;Capa!$A$7,D1110&gt;E1110),"Erro","")</f>
        <v/>
      </c>
    </row>
    <row r="1111" spans="1:9" ht="30" hidden="1">
      <c r="A1111" s="345">
        <v>1340</v>
      </c>
      <c r="B1111" s="346" t="s">
        <v>304</v>
      </c>
      <c r="C1111" s="347">
        <v>1000</v>
      </c>
      <c r="D1111" s="348">
        <v>46023</v>
      </c>
      <c r="E1111" s="348">
        <v>46357</v>
      </c>
      <c r="F1111" s="346" t="s">
        <v>605</v>
      </c>
      <c r="G1111" s="349" t="s">
        <v>455</v>
      </c>
      <c r="H1111" s="350">
        <f t="shared" si="24"/>
        <v>12000</v>
      </c>
      <c r="I1111" s="120" t="str">
        <f>IF(OR(D1111&lt;Capa!$A$5,D1111&gt;Capa!$A$7,E1111&lt;Capa!$A$5,E1111&gt;Capa!$A$7,D1111&gt;E1111),"Erro","")</f>
        <v/>
      </c>
    </row>
    <row r="1112" spans="1:9" ht="30" hidden="1">
      <c r="A1112" s="345">
        <v>1341</v>
      </c>
      <c r="B1112" s="346" t="s">
        <v>304</v>
      </c>
      <c r="C1112" s="347">
        <v>1000</v>
      </c>
      <c r="D1112" s="348">
        <v>46388</v>
      </c>
      <c r="E1112" s="348">
        <v>46722</v>
      </c>
      <c r="F1112" s="346" t="s">
        <v>605</v>
      </c>
      <c r="G1112" s="349" t="s">
        <v>455</v>
      </c>
      <c r="H1112" s="350">
        <f t="shared" si="24"/>
        <v>12000</v>
      </c>
      <c r="I1112" s="120" t="str">
        <f>IF(OR(D1112&lt;Capa!$A$5,D1112&gt;Capa!$A$7,E1112&lt;Capa!$A$5,E1112&gt;Capa!$A$7,D1112&gt;E1112),"Erro","")</f>
        <v/>
      </c>
    </row>
    <row r="1113" spans="1:9" ht="30" hidden="1">
      <c r="A1113" s="345">
        <v>1342</v>
      </c>
      <c r="B1113" s="346" t="s">
        <v>304</v>
      </c>
      <c r="C1113" s="347">
        <v>500</v>
      </c>
      <c r="D1113" s="348">
        <v>46753</v>
      </c>
      <c r="E1113" s="348">
        <v>47058</v>
      </c>
      <c r="F1113" s="346" t="s">
        <v>605</v>
      </c>
      <c r="G1113" s="349" t="s">
        <v>455</v>
      </c>
      <c r="H1113" s="350">
        <f t="shared" si="24"/>
        <v>5500</v>
      </c>
      <c r="I1113" s="120" t="str">
        <f>IF(OR(D1113&lt;Capa!$A$5,D1113&gt;Capa!$A$7,E1113&lt;Capa!$A$5,E1113&gt;Capa!$A$7,D1113&gt;E1113),"Erro","")</f>
        <v/>
      </c>
    </row>
    <row r="1114" spans="1:9" ht="30" hidden="1">
      <c r="A1114" s="345">
        <v>1343</v>
      </c>
      <c r="B1114" s="346" t="s">
        <v>312</v>
      </c>
      <c r="C1114" s="347">
        <v>200</v>
      </c>
      <c r="D1114" s="348">
        <v>45658</v>
      </c>
      <c r="E1114" s="348">
        <v>45992</v>
      </c>
      <c r="F1114" s="346" t="s">
        <v>605</v>
      </c>
      <c r="G1114" s="349" t="s">
        <v>571</v>
      </c>
      <c r="H1114" s="350">
        <f t="shared" si="24"/>
        <v>2400</v>
      </c>
      <c r="I1114" s="120" t="str">
        <f>IF(OR(D1114&lt;Capa!$A$5,D1114&gt;Capa!$A$7,E1114&lt;Capa!$A$5,E1114&gt;Capa!$A$7,D1114&gt;E1114),"Erro","")</f>
        <v/>
      </c>
    </row>
    <row r="1115" spans="1:9" ht="30" hidden="1">
      <c r="A1115" s="345">
        <v>1344</v>
      </c>
      <c r="B1115" s="346" t="s">
        <v>312</v>
      </c>
      <c r="C1115" s="347">
        <v>200</v>
      </c>
      <c r="D1115" s="348">
        <v>46023</v>
      </c>
      <c r="E1115" s="348">
        <v>46357</v>
      </c>
      <c r="F1115" s="346" t="s">
        <v>605</v>
      </c>
      <c r="G1115" s="349" t="s">
        <v>571</v>
      </c>
      <c r="H1115" s="350">
        <f t="shared" si="24"/>
        <v>2400</v>
      </c>
      <c r="I1115" s="120" t="str">
        <f>IF(OR(D1115&lt;Capa!$A$5,D1115&gt;Capa!$A$7,E1115&lt;Capa!$A$5,E1115&gt;Capa!$A$7,D1115&gt;E1115),"Erro","")</f>
        <v/>
      </c>
    </row>
    <row r="1116" spans="1:9" ht="30" hidden="1">
      <c r="A1116" s="345">
        <v>1345</v>
      </c>
      <c r="B1116" s="346" t="s">
        <v>312</v>
      </c>
      <c r="C1116" s="347">
        <v>200</v>
      </c>
      <c r="D1116" s="348">
        <v>46388</v>
      </c>
      <c r="E1116" s="348">
        <v>46722</v>
      </c>
      <c r="F1116" s="346" t="s">
        <v>605</v>
      </c>
      <c r="G1116" s="349" t="s">
        <v>571</v>
      </c>
      <c r="H1116" s="350">
        <f t="shared" si="24"/>
        <v>2400</v>
      </c>
      <c r="I1116" s="120" t="str">
        <f>IF(OR(D1116&lt;Capa!$A$5,D1116&gt;Capa!$A$7,E1116&lt;Capa!$A$5,E1116&gt;Capa!$A$7,D1116&gt;E1116),"Erro","")</f>
        <v/>
      </c>
    </row>
    <row r="1117" spans="1:9" ht="30" hidden="1">
      <c r="A1117" s="345">
        <v>1346</v>
      </c>
      <c r="B1117" s="346" t="s">
        <v>312</v>
      </c>
      <c r="C1117" s="347">
        <v>100</v>
      </c>
      <c r="D1117" s="348">
        <v>46753</v>
      </c>
      <c r="E1117" s="348">
        <v>47058</v>
      </c>
      <c r="F1117" s="346" t="s">
        <v>605</v>
      </c>
      <c r="G1117" s="349" t="s">
        <v>571</v>
      </c>
      <c r="H1117" s="350">
        <f t="shared" si="24"/>
        <v>1100</v>
      </c>
      <c r="I1117" s="120" t="str">
        <f>IF(OR(D1117&lt;Capa!$A$5,D1117&gt;Capa!$A$7,E1117&lt;Capa!$A$5,E1117&gt;Capa!$A$7,D1117&gt;E1117),"Erro","")</f>
        <v/>
      </c>
    </row>
    <row r="1118" spans="1:9" ht="50" hidden="1">
      <c r="A1118" s="345">
        <v>1348</v>
      </c>
      <c r="B1118" s="346" t="s">
        <v>316</v>
      </c>
      <c r="C1118" s="347">
        <v>800</v>
      </c>
      <c r="D1118" s="348">
        <v>45658</v>
      </c>
      <c r="E1118" s="348">
        <v>45992</v>
      </c>
      <c r="F1118" s="346" t="s">
        <v>605</v>
      </c>
      <c r="G1118" s="349" t="s">
        <v>741</v>
      </c>
      <c r="H1118" s="350">
        <f t="shared" ref="H1118:H1179" si="25">IFERROR((DATEDIF(D1118,E1118,"M")+1)*C1118,0)</f>
        <v>9600</v>
      </c>
      <c r="I1118" s="120" t="str">
        <f>IF(OR(D1118&lt;Capa!$A$5,D1118&gt;Capa!$A$7,E1118&lt;Capa!$A$5,E1118&gt;Capa!$A$7,D1118&gt;E1118),"Erro","")</f>
        <v/>
      </c>
    </row>
    <row r="1119" spans="1:9" ht="50" hidden="1">
      <c r="A1119" s="345">
        <v>1349</v>
      </c>
      <c r="B1119" s="346" t="s">
        <v>316</v>
      </c>
      <c r="C1119" s="347">
        <v>800</v>
      </c>
      <c r="D1119" s="348">
        <v>46023</v>
      </c>
      <c r="E1119" s="348">
        <v>46357</v>
      </c>
      <c r="F1119" s="346" t="s">
        <v>605</v>
      </c>
      <c r="G1119" s="349" t="s">
        <v>741</v>
      </c>
      <c r="H1119" s="350">
        <f t="shared" si="25"/>
        <v>9600</v>
      </c>
      <c r="I1119" s="120" t="str">
        <f>IF(OR(D1119&lt;Capa!$A$5,D1119&gt;Capa!$A$7,E1119&lt;Capa!$A$5,E1119&gt;Capa!$A$7,D1119&gt;E1119),"Erro","")</f>
        <v/>
      </c>
    </row>
    <row r="1120" spans="1:9" ht="50" hidden="1">
      <c r="A1120" s="345">
        <v>1350</v>
      </c>
      <c r="B1120" s="346" t="s">
        <v>316</v>
      </c>
      <c r="C1120" s="347">
        <v>800</v>
      </c>
      <c r="D1120" s="348">
        <v>46388</v>
      </c>
      <c r="E1120" s="348">
        <v>46722</v>
      </c>
      <c r="F1120" s="346" t="s">
        <v>605</v>
      </c>
      <c r="G1120" s="349" t="s">
        <v>741</v>
      </c>
      <c r="H1120" s="350">
        <f t="shared" si="25"/>
        <v>9600</v>
      </c>
      <c r="I1120" s="120" t="str">
        <f>IF(OR(D1120&lt;Capa!$A$5,D1120&gt;Capa!$A$7,E1120&lt;Capa!$A$5,E1120&gt;Capa!$A$7,D1120&gt;E1120),"Erro","")</f>
        <v/>
      </c>
    </row>
    <row r="1121" spans="1:9" ht="50" hidden="1">
      <c r="A1121" s="345">
        <v>1351</v>
      </c>
      <c r="B1121" s="346" t="s">
        <v>316</v>
      </c>
      <c r="C1121" s="347">
        <v>400</v>
      </c>
      <c r="D1121" s="348">
        <v>46753</v>
      </c>
      <c r="E1121" s="348">
        <v>47058</v>
      </c>
      <c r="F1121" s="346" t="s">
        <v>605</v>
      </c>
      <c r="G1121" s="349" t="s">
        <v>741</v>
      </c>
      <c r="H1121" s="350">
        <f t="shared" si="25"/>
        <v>4400</v>
      </c>
      <c r="I1121" s="120" t="str">
        <f>IF(OR(D1121&lt;Capa!$A$5,D1121&gt;Capa!$A$7,E1121&lt;Capa!$A$5,E1121&gt;Capa!$A$7,D1121&gt;E1121),"Erro","")</f>
        <v/>
      </c>
    </row>
    <row r="1122" spans="1:9" ht="50" hidden="1">
      <c r="A1122" s="345">
        <v>1353</v>
      </c>
      <c r="B1122" s="346" t="s">
        <v>318</v>
      </c>
      <c r="C1122" s="347">
        <v>700</v>
      </c>
      <c r="D1122" s="348">
        <v>45658</v>
      </c>
      <c r="E1122" s="348">
        <v>45992</v>
      </c>
      <c r="F1122" s="346" t="s">
        <v>605</v>
      </c>
      <c r="G1122" s="349" t="s">
        <v>572</v>
      </c>
      <c r="H1122" s="350">
        <f t="shared" si="25"/>
        <v>8400</v>
      </c>
      <c r="I1122" s="120" t="str">
        <f>IF(OR(D1122&lt;Capa!$A$5,D1122&gt;Capa!$A$7,E1122&lt;Capa!$A$5,E1122&gt;Capa!$A$7,D1122&gt;E1122),"Erro","")</f>
        <v/>
      </c>
    </row>
    <row r="1123" spans="1:9" ht="50" hidden="1">
      <c r="A1123" s="345">
        <v>1354</v>
      </c>
      <c r="B1123" s="346" t="s">
        <v>318</v>
      </c>
      <c r="C1123" s="347">
        <v>700</v>
      </c>
      <c r="D1123" s="348">
        <v>46023</v>
      </c>
      <c r="E1123" s="348">
        <v>46357</v>
      </c>
      <c r="F1123" s="346" t="s">
        <v>605</v>
      </c>
      <c r="G1123" s="349" t="s">
        <v>572</v>
      </c>
      <c r="H1123" s="350">
        <f t="shared" si="25"/>
        <v>8400</v>
      </c>
      <c r="I1123" s="120" t="str">
        <f>IF(OR(D1123&lt;Capa!$A$5,D1123&gt;Capa!$A$7,E1123&lt;Capa!$A$5,E1123&gt;Capa!$A$7,D1123&gt;E1123),"Erro","")</f>
        <v/>
      </c>
    </row>
    <row r="1124" spans="1:9" ht="50" hidden="1">
      <c r="A1124" s="345">
        <v>1355</v>
      </c>
      <c r="B1124" s="346" t="s">
        <v>318</v>
      </c>
      <c r="C1124" s="347">
        <v>700</v>
      </c>
      <c r="D1124" s="348">
        <v>46388</v>
      </c>
      <c r="E1124" s="348">
        <v>46722</v>
      </c>
      <c r="F1124" s="346" t="s">
        <v>605</v>
      </c>
      <c r="G1124" s="349" t="s">
        <v>572</v>
      </c>
      <c r="H1124" s="350">
        <f t="shared" si="25"/>
        <v>8400</v>
      </c>
      <c r="I1124" s="120" t="str">
        <f>IF(OR(D1124&lt;Capa!$A$5,D1124&gt;Capa!$A$7,E1124&lt;Capa!$A$5,E1124&gt;Capa!$A$7,D1124&gt;E1124),"Erro","")</f>
        <v/>
      </c>
    </row>
    <row r="1125" spans="1:9" ht="50" hidden="1">
      <c r="A1125" s="345">
        <v>1356</v>
      </c>
      <c r="B1125" s="346" t="s">
        <v>318</v>
      </c>
      <c r="C1125" s="347">
        <v>250</v>
      </c>
      <c r="D1125" s="348">
        <v>46753</v>
      </c>
      <c r="E1125" s="348">
        <v>47058</v>
      </c>
      <c r="F1125" s="346" t="s">
        <v>605</v>
      </c>
      <c r="G1125" s="349" t="s">
        <v>572</v>
      </c>
      <c r="H1125" s="350">
        <f t="shared" si="25"/>
        <v>2750</v>
      </c>
      <c r="I1125" s="120" t="str">
        <f>IF(OR(D1125&lt;Capa!$A$5,D1125&gt;Capa!$A$7,E1125&lt;Capa!$A$5,E1125&gt;Capa!$A$7,D1125&gt;E1125),"Erro","")</f>
        <v/>
      </c>
    </row>
    <row r="1126" spans="1:9" ht="50" hidden="1">
      <c r="A1126" s="345">
        <v>1358</v>
      </c>
      <c r="B1126" s="346" t="s">
        <v>318</v>
      </c>
      <c r="C1126" s="347">
        <v>700</v>
      </c>
      <c r="D1126" s="348">
        <v>45658</v>
      </c>
      <c r="E1126" s="348">
        <v>45992</v>
      </c>
      <c r="F1126" s="346" t="s">
        <v>605</v>
      </c>
      <c r="G1126" s="349" t="s">
        <v>456</v>
      </c>
      <c r="H1126" s="350">
        <f t="shared" si="25"/>
        <v>8400</v>
      </c>
      <c r="I1126" s="120" t="str">
        <f>IF(OR(D1126&lt;Capa!$A$5,D1126&gt;Capa!$A$7,E1126&lt;Capa!$A$5,E1126&gt;Capa!$A$7,D1126&gt;E1126),"Erro","")</f>
        <v/>
      </c>
    </row>
    <row r="1127" spans="1:9" ht="50" hidden="1">
      <c r="A1127" s="345">
        <v>1359</v>
      </c>
      <c r="B1127" s="346" t="s">
        <v>318</v>
      </c>
      <c r="C1127" s="347">
        <v>700</v>
      </c>
      <c r="D1127" s="348">
        <v>46023</v>
      </c>
      <c r="E1127" s="348">
        <v>46357</v>
      </c>
      <c r="F1127" s="346" t="s">
        <v>605</v>
      </c>
      <c r="G1127" s="349" t="s">
        <v>456</v>
      </c>
      <c r="H1127" s="350">
        <f t="shared" si="25"/>
        <v>8400</v>
      </c>
      <c r="I1127" s="120" t="str">
        <f>IF(OR(D1127&lt;Capa!$A$5,D1127&gt;Capa!$A$7,E1127&lt;Capa!$A$5,E1127&gt;Capa!$A$7,D1127&gt;E1127),"Erro","")</f>
        <v/>
      </c>
    </row>
    <row r="1128" spans="1:9" ht="50" hidden="1">
      <c r="A1128" s="345">
        <v>1360</v>
      </c>
      <c r="B1128" s="346" t="s">
        <v>318</v>
      </c>
      <c r="C1128" s="347">
        <v>700</v>
      </c>
      <c r="D1128" s="348">
        <v>46388</v>
      </c>
      <c r="E1128" s="348">
        <v>46722</v>
      </c>
      <c r="F1128" s="346" t="s">
        <v>605</v>
      </c>
      <c r="G1128" s="349" t="s">
        <v>456</v>
      </c>
      <c r="H1128" s="350">
        <f t="shared" si="25"/>
        <v>8400</v>
      </c>
      <c r="I1128" s="120" t="str">
        <f>IF(OR(D1128&lt;Capa!$A$5,D1128&gt;Capa!$A$7,E1128&lt;Capa!$A$5,E1128&gt;Capa!$A$7,D1128&gt;E1128),"Erro","")</f>
        <v/>
      </c>
    </row>
    <row r="1129" spans="1:9" ht="50" hidden="1">
      <c r="A1129" s="345">
        <v>1361</v>
      </c>
      <c r="B1129" s="346" t="s">
        <v>318</v>
      </c>
      <c r="C1129" s="347">
        <v>250</v>
      </c>
      <c r="D1129" s="348">
        <v>46753</v>
      </c>
      <c r="E1129" s="348">
        <v>47058</v>
      </c>
      <c r="F1129" s="346" t="s">
        <v>605</v>
      </c>
      <c r="G1129" s="349" t="s">
        <v>456</v>
      </c>
      <c r="H1129" s="350">
        <f t="shared" si="25"/>
        <v>2750</v>
      </c>
      <c r="I1129" s="120" t="str">
        <f>IF(OR(D1129&lt;Capa!$A$5,D1129&gt;Capa!$A$7,E1129&lt;Capa!$A$5,E1129&gt;Capa!$A$7,D1129&gt;E1129),"Erro","")</f>
        <v/>
      </c>
    </row>
    <row r="1130" spans="1:9" ht="20" hidden="1">
      <c r="A1130" s="345">
        <v>1363</v>
      </c>
      <c r="B1130" s="346" t="s">
        <v>298</v>
      </c>
      <c r="C1130" s="347">
        <v>2450</v>
      </c>
      <c r="D1130" s="348">
        <v>45658</v>
      </c>
      <c r="E1130" s="348">
        <v>45992</v>
      </c>
      <c r="F1130" s="346" t="s">
        <v>605</v>
      </c>
      <c r="G1130" s="349" t="s">
        <v>457</v>
      </c>
      <c r="H1130" s="350">
        <f t="shared" si="25"/>
        <v>29400</v>
      </c>
      <c r="I1130" s="120" t="str">
        <f>IF(OR(D1130&lt;Capa!$A$5,D1130&gt;Capa!$A$7,E1130&lt;Capa!$A$5,E1130&gt;Capa!$A$7,D1130&gt;E1130),"Erro","")</f>
        <v/>
      </c>
    </row>
    <row r="1131" spans="1:9" ht="20" hidden="1">
      <c r="A1131" s="345">
        <v>1364</v>
      </c>
      <c r="B1131" s="346" t="s">
        <v>298</v>
      </c>
      <c r="C1131" s="347">
        <v>2450</v>
      </c>
      <c r="D1131" s="348">
        <v>46023</v>
      </c>
      <c r="E1131" s="348">
        <v>46357</v>
      </c>
      <c r="F1131" s="346" t="s">
        <v>605</v>
      </c>
      <c r="G1131" s="349" t="s">
        <v>457</v>
      </c>
      <c r="H1131" s="350">
        <f t="shared" si="25"/>
        <v>29400</v>
      </c>
      <c r="I1131" s="120" t="str">
        <f>IF(OR(D1131&lt;Capa!$A$5,D1131&gt;Capa!$A$7,E1131&lt;Capa!$A$5,E1131&gt;Capa!$A$7,D1131&gt;E1131),"Erro","")</f>
        <v/>
      </c>
    </row>
    <row r="1132" spans="1:9" ht="20" hidden="1">
      <c r="A1132" s="345">
        <v>1365</v>
      </c>
      <c r="B1132" s="346" t="s">
        <v>298</v>
      </c>
      <c r="C1132" s="347">
        <v>2450</v>
      </c>
      <c r="D1132" s="348">
        <v>46388</v>
      </c>
      <c r="E1132" s="348">
        <v>46722</v>
      </c>
      <c r="F1132" s="346" t="s">
        <v>605</v>
      </c>
      <c r="G1132" s="349" t="s">
        <v>457</v>
      </c>
      <c r="H1132" s="350">
        <f t="shared" si="25"/>
        <v>29400</v>
      </c>
      <c r="I1132" s="120" t="str">
        <f>IF(OR(D1132&lt;Capa!$A$5,D1132&gt;Capa!$A$7,E1132&lt;Capa!$A$5,E1132&gt;Capa!$A$7,D1132&gt;E1132),"Erro","")</f>
        <v/>
      </c>
    </row>
    <row r="1133" spans="1:9" ht="20" hidden="1">
      <c r="A1133" s="345">
        <v>1366</v>
      </c>
      <c r="B1133" s="346" t="s">
        <v>298</v>
      </c>
      <c r="C1133" s="347">
        <v>1250</v>
      </c>
      <c r="D1133" s="348">
        <v>46753</v>
      </c>
      <c r="E1133" s="348">
        <v>47058</v>
      </c>
      <c r="F1133" s="346" t="s">
        <v>605</v>
      </c>
      <c r="G1133" s="349" t="s">
        <v>457</v>
      </c>
      <c r="H1133" s="350">
        <f t="shared" si="25"/>
        <v>13750</v>
      </c>
      <c r="I1133" s="120" t="str">
        <f>IF(OR(D1133&lt;Capa!$A$5,D1133&gt;Capa!$A$7,E1133&lt;Capa!$A$5,E1133&gt;Capa!$A$7,D1133&gt;E1133),"Erro","")</f>
        <v/>
      </c>
    </row>
    <row r="1134" spans="1:9" ht="30" hidden="1">
      <c r="A1134" s="345">
        <v>1367</v>
      </c>
      <c r="B1134" s="346" t="s">
        <v>238</v>
      </c>
      <c r="C1134" s="347">
        <v>480</v>
      </c>
      <c r="D1134" s="348">
        <v>45658</v>
      </c>
      <c r="E1134" s="348">
        <v>45992</v>
      </c>
      <c r="F1134" s="346" t="s">
        <v>605</v>
      </c>
      <c r="G1134" s="349" t="s">
        <v>458</v>
      </c>
      <c r="H1134" s="350">
        <f t="shared" si="25"/>
        <v>5760</v>
      </c>
      <c r="I1134" s="120" t="str">
        <f>IF(OR(D1134&lt;Capa!$A$5,D1134&gt;Capa!$A$7,E1134&lt;Capa!$A$5,E1134&gt;Capa!$A$7,D1134&gt;E1134),"Erro","")</f>
        <v/>
      </c>
    </row>
    <row r="1135" spans="1:9" ht="30" hidden="1">
      <c r="A1135" s="345">
        <v>1368</v>
      </c>
      <c r="B1135" s="346" t="s">
        <v>238</v>
      </c>
      <c r="C1135" s="347">
        <v>480</v>
      </c>
      <c r="D1135" s="348">
        <v>46023</v>
      </c>
      <c r="E1135" s="348">
        <v>46357</v>
      </c>
      <c r="F1135" s="346" t="s">
        <v>605</v>
      </c>
      <c r="G1135" s="349" t="s">
        <v>458</v>
      </c>
      <c r="H1135" s="350">
        <f t="shared" si="25"/>
        <v>5760</v>
      </c>
      <c r="I1135" s="120" t="str">
        <f>IF(OR(D1135&lt;Capa!$A$5,D1135&gt;Capa!$A$7,E1135&lt;Capa!$A$5,E1135&gt;Capa!$A$7,D1135&gt;E1135),"Erro","")</f>
        <v/>
      </c>
    </row>
    <row r="1136" spans="1:9" ht="30" hidden="1">
      <c r="A1136" s="345">
        <v>1369</v>
      </c>
      <c r="B1136" s="346" t="s">
        <v>238</v>
      </c>
      <c r="C1136" s="347">
        <v>480</v>
      </c>
      <c r="D1136" s="348">
        <v>46388</v>
      </c>
      <c r="E1136" s="348">
        <v>46722</v>
      </c>
      <c r="F1136" s="346" t="s">
        <v>605</v>
      </c>
      <c r="G1136" s="349" t="s">
        <v>458</v>
      </c>
      <c r="H1136" s="350">
        <f t="shared" si="25"/>
        <v>5760</v>
      </c>
      <c r="I1136" s="120" t="str">
        <f>IF(OR(D1136&lt;Capa!$A$5,D1136&gt;Capa!$A$7,E1136&lt;Capa!$A$5,E1136&gt;Capa!$A$7,D1136&gt;E1136),"Erro","")</f>
        <v/>
      </c>
    </row>
    <row r="1137" spans="1:9" ht="30" hidden="1">
      <c r="A1137" s="345">
        <v>1370</v>
      </c>
      <c r="B1137" s="346" t="s">
        <v>238</v>
      </c>
      <c r="C1137" s="347">
        <v>240</v>
      </c>
      <c r="D1137" s="348">
        <v>46753</v>
      </c>
      <c r="E1137" s="348">
        <v>47058</v>
      </c>
      <c r="F1137" s="346" t="s">
        <v>605</v>
      </c>
      <c r="G1137" s="349" t="s">
        <v>458</v>
      </c>
      <c r="H1137" s="350">
        <f t="shared" si="25"/>
        <v>2640</v>
      </c>
      <c r="I1137" s="120" t="str">
        <f>IF(OR(D1137&lt;Capa!$A$5,D1137&gt;Capa!$A$7,E1137&lt;Capa!$A$5,E1137&gt;Capa!$A$7,D1137&gt;E1137),"Erro","")</f>
        <v/>
      </c>
    </row>
    <row r="1138" spans="1:9" ht="40" hidden="1">
      <c r="A1138" s="345">
        <v>1372</v>
      </c>
      <c r="B1138" s="346" t="s">
        <v>252</v>
      </c>
      <c r="C1138" s="347">
        <v>8000</v>
      </c>
      <c r="D1138" s="348">
        <v>45658</v>
      </c>
      <c r="E1138" s="348">
        <v>45992</v>
      </c>
      <c r="F1138" s="346" t="s">
        <v>605</v>
      </c>
      <c r="G1138" s="349" t="s">
        <v>459</v>
      </c>
      <c r="H1138" s="350">
        <f t="shared" si="25"/>
        <v>96000</v>
      </c>
      <c r="I1138" s="120" t="str">
        <f>IF(OR(D1138&lt;Capa!$A$5,D1138&gt;Capa!$A$7,E1138&lt;Capa!$A$5,E1138&gt;Capa!$A$7,D1138&gt;E1138),"Erro","")</f>
        <v/>
      </c>
    </row>
    <row r="1139" spans="1:9" ht="40" hidden="1">
      <c r="A1139" s="345">
        <v>1373</v>
      </c>
      <c r="B1139" s="346" t="s">
        <v>252</v>
      </c>
      <c r="C1139" s="347">
        <v>8000</v>
      </c>
      <c r="D1139" s="348">
        <v>46023</v>
      </c>
      <c r="E1139" s="348">
        <v>46357</v>
      </c>
      <c r="F1139" s="346" t="s">
        <v>605</v>
      </c>
      <c r="G1139" s="349" t="s">
        <v>459</v>
      </c>
      <c r="H1139" s="350">
        <f t="shared" si="25"/>
        <v>96000</v>
      </c>
      <c r="I1139" s="120" t="str">
        <f>IF(OR(D1139&lt;Capa!$A$5,D1139&gt;Capa!$A$7,E1139&lt;Capa!$A$5,E1139&gt;Capa!$A$7,D1139&gt;E1139),"Erro","")</f>
        <v/>
      </c>
    </row>
    <row r="1140" spans="1:9" ht="40" hidden="1">
      <c r="A1140" s="345">
        <v>1374</v>
      </c>
      <c r="B1140" s="346" t="s">
        <v>252</v>
      </c>
      <c r="C1140" s="347">
        <v>8000</v>
      </c>
      <c r="D1140" s="348">
        <v>46388</v>
      </c>
      <c r="E1140" s="348">
        <v>46722</v>
      </c>
      <c r="F1140" s="346" t="s">
        <v>605</v>
      </c>
      <c r="G1140" s="349" t="s">
        <v>459</v>
      </c>
      <c r="H1140" s="350">
        <f t="shared" si="25"/>
        <v>96000</v>
      </c>
      <c r="I1140" s="120" t="str">
        <f>IF(OR(D1140&lt;Capa!$A$5,D1140&gt;Capa!$A$7,E1140&lt;Capa!$A$5,E1140&gt;Capa!$A$7,D1140&gt;E1140),"Erro","")</f>
        <v/>
      </c>
    </row>
    <row r="1141" spans="1:9" ht="40" hidden="1">
      <c r="A1141" s="345">
        <v>1375</v>
      </c>
      <c r="B1141" s="346" t="s">
        <v>252</v>
      </c>
      <c r="C1141" s="347">
        <v>4000</v>
      </c>
      <c r="D1141" s="348">
        <v>46753</v>
      </c>
      <c r="E1141" s="348">
        <v>47058</v>
      </c>
      <c r="F1141" s="346" t="s">
        <v>605</v>
      </c>
      <c r="G1141" s="349" t="s">
        <v>459</v>
      </c>
      <c r="H1141" s="350">
        <f t="shared" si="25"/>
        <v>44000</v>
      </c>
      <c r="I1141" s="120" t="str">
        <f>IF(OR(D1141&lt;Capa!$A$5,D1141&gt;Capa!$A$7,E1141&lt;Capa!$A$5,E1141&gt;Capa!$A$7,D1141&gt;E1141),"Erro","")</f>
        <v/>
      </c>
    </row>
    <row r="1142" spans="1:9" ht="20" hidden="1">
      <c r="A1142" s="345">
        <v>1376</v>
      </c>
      <c r="B1142" s="346" t="s">
        <v>620</v>
      </c>
      <c r="C1142" s="347">
        <v>110</v>
      </c>
      <c r="D1142" s="348">
        <v>45658</v>
      </c>
      <c r="E1142" s="348">
        <v>47058</v>
      </c>
      <c r="F1142" s="346" t="s">
        <v>605</v>
      </c>
      <c r="G1142" s="349" t="s">
        <v>662</v>
      </c>
      <c r="H1142" s="350">
        <f t="shared" si="25"/>
        <v>5170</v>
      </c>
      <c r="I1142" s="120" t="str">
        <f>IF(OR(D1142&lt;Capa!$A$5,D1142&gt;Capa!$A$7,E1142&lt;Capa!$A$5,E1142&gt;Capa!$A$7,D1142&gt;E1142),"Erro","")</f>
        <v/>
      </c>
    </row>
    <row r="1143" spans="1:9" ht="20" hidden="1">
      <c r="A1143" s="345">
        <v>1378</v>
      </c>
      <c r="B1143" s="346" t="s">
        <v>622</v>
      </c>
      <c r="C1143" s="347">
        <v>850</v>
      </c>
      <c r="D1143" s="348">
        <v>45658</v>
      </c>
      <c r="E1143" s="348">
        <v>47058</v>
      </c>
      <c r="F1143" s="346" t="s">
        <v>605</v>
      </c>
      <c r="G1143" s="349" t="s">
        <v>664</v>
      </c>
      <c r="H1143" s="350">
        <f t="shared" si="25"/>
        <v>39950</v>
      </c>
      <c r="I1143" s="120" t="str">
        <f>IF(OR(D1143&lt;Capa!$A$5,D1143&gt;Capa!$A$7,E1143&lt;Capa!$A$5,E1143&gt;Capa!$A$7,D1143&gt;E1143),"Erro","")</f>
        <v/>
      </c>
    </row>
    <row r="1144" spans="1:9" ht="30" hidden="1">
      <c r="A1144" s="345">
        <v>1379</v>
      </c>
      <c r="B1144" s="346" t="s">
        <v>621</v>
      </c>
      <c r="C1144" s="347">
        <v>2000</v>
      </c>
      <c r="D1144" s="348">
        <v>46419</v>
      </c>
      <c r="E1144" s="348">
        <v>46419</v>
      </c>
      <c r="F1144" s="346" t="s">
        <v>605</v>
      </c>
      <c r="G1144" s="349" t="s">
        <v>595</v>
      </c>
      <c r="H1144" s="350">
        <f t="shared" si="25"/>
        <v>2000</v>
      </c>
      <c r="I1144" s="120" t="str">
        <f>IF(OR(D1144&lt;Capa!$A$5,D1144&gt;Capa!$A$7,E1144&lt;Capa!$A$5,E1144&gt;Capa!$A$7,D1144&gt;E1144),"Erro","")</f>
        <v/>
      </c>
    </row>
    <row r="1145" spans="1:9" ht="30" hidden="1">
      <c r="A1145" s="345">
        <v>1380</v>
      </c>
      <c r="B1145" s="346" t="s">
        <v>619</v>
      </c>
      <c r="C1145" s="347">
        <v>70</v>
      </c>
      <c r="D1145" s="348">
        <v>45658</v>
      </c>
      <c r="E1145" s="348">
        <v>47058</v>
      </c>
      <c r="F1145" s="346" t="s">
        <v>605</v>
      </c>
      <c r="G1145" s="349" t="s">
        <v>663</v>
      </c>
      <c r="H1145" s="350">
        <f t="shared" si="25"/>
        <v>3290</v>
      </c>
      <c r="I1145" s="120" t="str">
        <f>IF(OR(D1145&lt;Capa!$A$5,D1145&gt;Capa!$A$7,E1145&lt;Capa!$A$5,E1145&gt;Capa!$A$7,D1145&gt;E1145),"Erro","")</f>
        <v/>
      </c>
    </row>
    <row r="1146" spans="1:9" ht="30" hidden="1">
      <c r="A1146" s="345">
        <v>1383</v>
      </c>
      <c r="B1146" s="346" t="s">
        <v>617</v>
      </c>
      <c r="C1146" s="347">
        <v>200</v>
      </c>
      <c r="D1146" s="348">
        <v>45658</v>
      </c>
      <c r="E1146" s="348">
        <v>47058</v>
      </c>
      <c r="F1146" s="346" t="s">
        <v>605</v>
      </c>
      <c r="G1146" s="349" t="s">
        <v>639</v>
      </c>
      <c r="H1146" s="350">
        <f t="shared" si="25"/>
        <v>9400</v>
      </c>
      <c r="I1146" s="120" t="str">
        <f>IF(OR(D1146&lt;Capa!$A$5,D1146&gt;Capa!$A$7,E1146&lt;Capa!$A$5,E1146&gt;Capa!$A$7,D1146&gt;E1146),"Erro","")</f>
        <v/>
      </c>
    </row>
    <row r="1147" spans="1:9" ht="20" hidden="1">
      <c r="A1147" s="345">
        <v>1384</v>
      </c>
      <c r="B1147" s="346" t="s">
        <v>618</v>
      </c>
      <c r="C1147" s="347">
        <v>2500</v>
      </c>
      <c r="D1147" s="348">
        <v>45658</v>
      </c>
      <c r="E1147" s="348">
        <v>47058</v>
      </c>
      <c r="F1147" s="346" t="s">
        <v>605</v>
      </c>
      <c r="G1147" s="349" t="s">
        <v>657</v>
      </c>
      <c r="H1147" s="350">
        <f t="shared" si="25"/>
        <v>117500</v>
      </c>
      <c r="I1147" s="120" t="str">
        <f>IF(OR(D1147&lt;Capa!$A$5,D1147&gt;Capa!$A$7,E1147&lt;Capa!$A$5,E1147&gt;Capa!$A$7,D1147&gt;E1147),"Erro","")</f>
        <v/>
      </c>
    </row>
    <row r="1148" spans="1:9" ht="30" hidden="1">
      <c r="A1148" s="345">
        <v>1386</v>
      </c>
      <c r="B1148" s="346" t="s">
        <v>623</v>
      </c>
      <c r="C1148" s="347">
        <v>650</v>
      </c>
      <c r="D1148" s="348">
        <v>45658</v>
      </c>
      <c r="E1148" s="348">
        <v>46784</v>
      </c>
      <c r="F1148" s="346" t="s">
        <v>605</v>
      </c>
      <c r="G1148" s="349" t="s">
        <v>658</v>
      </c>
      <c r="H1148" s="350">
        <f t="shared" si="25"/>
        <v>24700</v>
      </c>
      <c r="I1148" s="120" t="str">
        <f>IF(OR(D1148&lt;Capa!$A$5,D1148&gt;Capa!$A$7,E1148&lt;Capa!$A$5,E1148&gt;Capa!$A$7,D1148&gt;E1148),"Erro","")</f>
        <v/>
      </c>
    </row>
    <row r="1149" spans="1:9" ht="20" hidden="1">
      <c r="A1149" s="345">
        <v>1387</v>
      </c>
      <c r="B1149" s="346" t="s">
        <v>625</v>
      </c>
      <c r="C1149" s="347">
        <v>90</v>
      </c>
      <c r="D1149" s="348">
        <v>45658</v>
      </c>
      <c r="E1149" s="348">
        <v>47058</v>
      </c>
      <c r="F1149" s="346" t="s">
        <v>605</v>
      </c>
      <c r="G1149" s="349" t="s">
        <v>659</v>
      </c>
      <c r="H1149" s="350">
        <f t="shared" si="25"/>
        <v>4230</v>
      </c>
      <c r="I1149" s="120" t="str">
        <f>IF(OR(D1149&lt;Capa!$A$5,D1149&gt;Capa!$A$7,E1149&lt;Capa!$A$5,E1149&gt;Capa!$A$7,D1149&gt;E1149),"Erro","")</f>
        <v/>
      </c>
    </row>
    <row r="1150" spans="1:9" ht="20" hidden="1">
      <c r="A1150" s="345">
        <v>1388</v>
      </c>
      <c r="B1150" s="346" t="s">
        <v>627</v>
      </c>
      <c r="C1150" s="347">
        <v>50</v>
      </c>
      <c r="D1150" s="348">
        <v>45658</v>
      </c>
      <c r="E1150" s="348">
        <v>47058</v>
      </c>
      <c r="F1150" s="346" t="s">
        <v>605</v>
      </c>
      <c r="G1150" s="349" t="s">
        <v>661</v>
      </c>
      <c r="H1150" s="350">
        <f t="shared" si="25"/>
        <v>2350</v>
      </c>
      <c r="I1150" s="120" t="str">
        <f>IF(OR(D1150&lt;Capa!$A$5,D1150&gt;Capa!$A$7,E1150&lt;Capa!$A$5,E1150&gt;Capa!$A$7,D1150&gt;E1150),"Erro","")</f>
        <v/>
      </c>
    </row>
    <row r="1151" spans="1:9" ht="30" hidden="1">
      <c r="A1151" s="345">
        <v>1389</v>
      </c>
      <c r="B1151" s="346" t="s">
        <v>626</v>
      </c>
      <c r="C1151" s="347">
        <v>350</v>
      </c>
      <c r="D1151" s="348">
        <v>45658</v>
      </c>
      <c r="E1151" s="348">
        <v>47058</v>
      </c>
      <c r="F1151" s="346" t="s">
        <v>605</v>
      </c>
      <c r="G1151" s="349" t="s">
        <v>660</v>
      </c>
      <c r="H1151" s="350">
        <f t="shared" si="25"/>
        <v>16450</v>
      </c>
      <c r="I1151" s="120" t="str">
        <f>IF(OR(D1151&lt;Capa!$A$5,D1151&gt;Capa!$A$7,E1151&lt;Capa!$A$5,E1151&gt;Capa!$A$7,D1151&gt;E1151),"Erro","")</f>
        <v/>
      </c>
    </row>
    <row r="1152" spans="1:9" ht="20" hidden="1">
      <c r="A1152" s="345">
        <v>1391</v>
      </c>
      <c r="B1152" s="346" t="s">
        <v>198</v>
      </c>
      <c r="C1152" s="347">
        <v>8400</v>
      </c>
      <c r="D1152" s="348">
        <v>45658</v>
      </c>
      <c r="E1152" s="348">
        <v>45992</v>
      </c>
      <c r="F1152" s="346" t="s">
        <v>606</v>
      </c>
      <c r="G1152" s="349" t="s">
        <v>437</v>
      </c>
      <c r="H1152" s="350">
        <f t="shared" si="25"/>
        <v>100800</v>
      </c>
      <c r="I1152" s="120" t="str">
        <f>IF(OR(D1152&lt;Capa!$A$5,D1152&gt;Capa!$A$7,E1152&lt;Capa!$A$5,E1152&gt;Capa!$A$7,D1152&gt;E1152),"Erro","")</f>
        <v/>
      </c>
    </row>
    <row r="1153" spans="1:9" ht="20" hidden="1">
      <c r="A1153" s="345">
        <v>1392</v>
      </c>
      <c r="B1153" s="346" t="s">
        <v>198</v>
      </c>
      <c r="C1153" s="347">
        <v>8820</v>
      </c>
      <c r="D1153" s="348">
        <v>46023</v>
      </c>
      <c r="E1153" s="348">
        <v>46357</v>
      </c>
      <c r="F1153" s="346" t="s">
        <v>606</v>
      </c>
      <c r="G1153" s="349" t="s">
        <v>437</v>
      </c>
      <c r="H1153" s="350">
        <f t="shared" si="25"/>
        <v>105840</v>
      </c>
      <c r="I1153" s="120" t="str">
        <f>IF(OR(D1153&lt;Capa!$A$5,D1153&gt;Capa!$A$7,E1153&lt;Capa!$A$5,E1153&gt;Capa!$A$7,D1153&gt;E1153),"Erro","")</f>
        <v/>
      </c>
    </row>
    <row r="1154" spans="1:9" ht="20" hidden="1">
      <c r="A1154" s="345">
        <v>1393</v>
      </c>
      <c r="B1154" s="346" t="s">
        <v>198</v>
      </c>
      <c r="C1154" s="347">
        <v>9261</v>
      </c>
      <c r="D1154" s="348">
        <v>46388</v>
      </c>
      <c r="E1154" s="348">
        <v>46722</v>
      </c>
      <c r="F1154" s="346" t="s">
        <v>606</v>
      </c>
      <c r="G1154" s="349" t="s">
        <v>437</v>
      </c>
      <c r="H1154" s="350">
        <f t="shared" si="25"/>
        <v>111132</v>
      </c>
      <c r="I1154" s="120" t="str">
        <f>IF(OR(D1154&lt;Capa!$A$5,D1154&gt;Capa!$A$7,E1154&lt;Capa!$A$5,E1154&gt;Capa!$A$7,D1154&gt;E1154),"Erro","")</f>
        <v/>
      </c>
    </row>
    <row r="1155" spans="1:9" ht="20" hidden="1">
      <c r="A1155" s="345">
        <v>1394</v>
      </c>
      <c r="B1155" s="346" t="s">
        <v>198</v>
      </c>
      <c r="C1155" s="347">
        <v>3000</v>
      </c>
      <c r="D1155" s="348">
        <v>46753</v>
      </c>
      <c r="E1155" s="348">
        <v>47058</v>
      </c>
      <c r="F1155" s="346" t="s">
        <v>606</v>
      </c>
      <c r="G1155" s="349" t="s">
        <v>437</v>
      </c>
      <c r="H1155" s="350">
        <f t="shared" si="25"/>
        <v>33000</v>
      </c>
      <c r="I1155" s="120" t="str">
        <f>IF(OR(D1155&lt;Capa!$A$5,D1155&gt;Capa!$A$7,E1155&lt;Capa!$A$5,E1155&gt;Capa!$A$7,D1155&gt;E1155),"Erro","")</f>
        <v/>
      </c>
    </row>
    <row r="1156" spans="1:9" ht="20" hidden="1">
      <c r="A1156" s="345">
        <v>1396</v>
      </c>
      <c r="B1156" s="346" t="s">
        <v>202</v>
      </c>
      <c r="C1156" s="347">
        <v>1500</v>
      </c>
      <c r="D1156" s="348">
        <v>45658</v>
      </c>
      <c r="E1156" s="348">
        <v>45992</v>
      </c>
      <c r="F1156" s="346" t="s">
        <v>606</v>
      </c>
      <c r="G1156" s="349" t="s">
        <v>438</v>
      </c>
      <c r="H1156" s="350">
        <f t="shared" si="25"/>
        <v>18000</v>
      </c>
      <c r="I1156" s="120" t="str">
        <f>IF(OR(D1156&lt;Capa!$A$5,D1156&gt;Capa!$A$7,E1156&lt;Capa!$A$5,E1156&gt;Capa!$A$7,D1156&gt;E1156),"Erro","")</f>
        <v/>
      </c>
    </row>
    <row r="1157" spans="1:9" ht="20" hidden="1">
      <c r="A1157" s="345">
        <v>1397</v>
      </c>
      <c r="B1157" s="346" t="s">
        <v>202</v>
      </c>
      <c r="C1157" s="347">
        <v>1300</v>
      </c>
      <c r="D1157" s="348">
        <v>46023</v>
      </c>
      <c r="E1157" s="348">
        <v>46357</v>
      </c>
      <c r="F1157" s="346" t="s">
        <v>606</v>
      </c>
      <c r="G1157" s="349" t="s">
        <v>438</v>
      </c>
      <c r="H1157" s="350">
        <f t="shared" si="25"/>
        <v>15600</v>
      </c>
      <c r="I1157" s="120" t="str">
        <f>IF(OR(D1157&lt;Capa!$A$5,D1157&gt;Capa!$A$7,E1157&lt;Capa!$A$5,E1157&gt;Capa!$A$7,D1157&gt;E1157),"Erro","")</f>
        <v/>
      </c>
    </row>
    <row r="1158" spans="1:9" ht="20" hidden="1">
      <c r="A1158" s="345">
        <v>1398</v>
      </c>
      <c r="B1158" s="346" t="s">
        <v>202</v>
      </c>
      <c r="C1158" s="347">
        <v>1300</v>
      </c>
      <c r="D1158" s="348">
        <v>46388</v>
      </c>
      <c r="E1158" s="348">
        <v>46722</v>
      </c>
      <c r="F1158" s="346" t="s">
        <v>606</v>
      </c>
      <c r="G1158" s="349" t="s">
        <v>438</v>
      </c>
      <c r="H1158" s="350">
        <f t="shared" si="25"/>
        <v>15600</v>
      </c>
      <c r="I1158" s="120" t="str">
        <f>IF(OR(D1158&lt;Capa!$A$5,D1158&gt;Capa!$A$7,E1158&lt;Capa!$A$5,E1158&gt;Capa!$A$7,D1158&gt;E1158),"Erro","")</f>
        <v/>
      </c>
    </row>
    <row r="1159" spans="1:9" ht="20" hidden="1">
      <c r="A1159" s="345">
        <v>1399</v>
      </c>
      <c r="B1159" s="346" t="s">
        <v>202</v>
      </c>
      <c r="C1159" s="347">
        <v>750</v>
      </c>
      <c r="D1159" s="348">
        <v>46753</v>
      </c>
      <c r="E1159" s="348">
        <v>47058</v>
      </c>
      <c r="F1159" s="346" t="s">
        <v>606</v>
      </c>
      <c r="G1159" s="349" t="s">
        <v>438</v>
      </c>
      <c r="H1159" s="350">
        <f t="shared" si="25"/>
        <v>8250</v>
      </c>
      <c r="I1159" s="120" t="str">
        <f>IF(OR(D1159&lt;Capa!$A$5,D1159&gt;Capa!$A$7,E1159&lt;Capa!$A$5,E1159&gt;Capa!$A$7,D1159&gt;E1159),"Erro","")</f>
        <v/>
      </c>
    </row>
    <row r="1160" spans="1:9" ht="20" hidden="1">
      <c r="A1160" s="345">
        <v>1401</v>
      </c>
      <c r="B1160" s="346" t="s">
        <v>204</v>
      </c>
      <c r="C1160" s="347">
        <v>1250</v>
      </c>
      <c r="D1160" s="348">
        <v>45658</v>
      </c>
      <c r="E1160" s="348">
        <v>45992</v>
      </c>
      <c r="F1160" s="346" t="s">
        <v>606</v>
      </c>
      <c r="G1160" s="349" t="s">
        <v>438</v>
      </c>
      <c r="H1160" s="350">
        <f t="shared" si="25"/>
        <v>15000</v>
      </c>
      <c r="I1160" s="120" t="str">
        <f>IF(OR(D1160&lt;Capa!$A$5,D1160&gt;Capa!$A$7,E1160&lt;Capa!$A$5,E1160&gt;Capa!$A$7,D1160&gt;E1160),"Erro","")</f>
        <v/>
      </c>
    </row>
    <row r="1161" spans="1:9" ht="20" hidden="1">
      <c r="A1161" s="345">
        <v>1402</v>
      </c>
      <c r="B1161" s="346" t="s">
        <v>204</v>
      </c>
      <c r="C1161" s="347">
        <v>1250</v>
      </c>
      <c r="D1161" s="348">
        <v>46023</v>
      </c>
      <c r="E1161" s="348">
        <v>46357</v>
      </c>
      <c r="F1161" s="346" t="s">
        <v>606</v>
      </c>
      <c r="G1161" s="349" t="s">
        <v>438</v>
      </c>
      <c r="H1161" s="350">
        <f t="shared" si="25"/>
        <v>15000</v>
      </c>
      <c r="I1161" s="120" t="str">
        <f>IF(OR(D1161&lt;Capa!$A$5,D1161&gt;Capa!$A$7,E1161&lt;Capa!$A$5,E1161&gt;Capa!$A$7,D1161&gt;E1161),"Erro","")</f>
        <v/>
      </c>
    </row>
    <row r="1162" spans="1:9" ht="20" hidden="1">
      <c r="A1162" s="345">
        <v>1403</v>
      </c>
      <c r="B1162" s="346" t="s">
        <v>204</v>
      </c>
      <c r="C1162" s="347">
        <v>1250</v>
      </c>
      <c r="D1162" s="348">
        <v>46388</v>
      </c>
      <c r="E1162" s="348">
        <v>46722</v>
      </c>
      <c r="F1162" s="346" t="s">
        <v>606</v>
      </c>
      <c r="G1162" s="349" t="s">
        <v>438</v>
      </c>
      <c r="H1162" s="350">
        <f t="shared" si="25"/>
        <v>15000</v>
      </c>
      <c r="I1162" s="120" t="str">
        <f>IF(OR(D1162&lt;Capa!$A$5,D1162&gt;Capa!$A$7,E1162&lt;Capa!$A$5,E1162&gt;Capa!$A$7,D1162&gt;E1162),"Erro","")</f>
        <v/>
      </c>
    </row>
    <row r="1163" spans="1:9" ht="20" hidden="1">
      <c r="A1163" s="345">
        <v>1404</v>
      </c>
      <c r="B1163" s="346" t="s">
        <v>204</v>
      </c>
      <c r="C1163" s="347">
        <v>780</v>
      </c>
      <c r="D1163" s="348">
        <v>46753</v>
      </c>
      <c r="E1163" s="348">
        <v>47027</v>
      </c>
      <c r="F1163" s="346" t="s">
        <v>606</v>
      </c>
      <c r="G1163" s="349" t="s">
        <v>438</v>
      </c>
      <c r="H1163" s="350">
        <f t="shared" si="25"/>
        <v>7800</v>
      </c>
      <c r="I1163" s="120" t="str">
        <f>IF(OR(D1163&lt;Capa!$A$5,D1163&gt;Capa!$A$7,E1163&lt;Capa!$A$5,E1163&gt;Capa!$A$7,D1163&gt;E1163),"Erro","")</f>
        <v/>
      </c>
    </row>
    <row r="1164" spans="1:9" ht="20" hidden="1">
      <c r="A1164" s="345">
        <v>1406</v>
      </c>
      <c r="B1164" s="346" t="s">
        <v>206</v>
      </c>
      <c r="C1164" s="347">
        <v>1100</v>
      </c>
      <c r="D1164" s="348">
        <v>45658</v>
      </c>
      <c r="E1164" s="348">
        <v>45992</v>
      </c>
      <c r="F1164" s="346" t="s">
        <v>606</v>
      </c>
      <c r="G1164" s="349" t="s">
        <v>439</v>
      </c>
      <c r="H1164" s="350">
        <f t="shared" si="25"/>
        <v>13200</v>
      </c>
      <c r="I1164" s="120" t="str">
        <f>IF(OR(D1164&lt;Capa!$A$5,D1164&gt;Capa!$A$7,E1164&lt;Capa!$A$5,E1164&gt;Capa!$A$7,D1164&gt;E1164),"Erro","")</f>
        <v/>
      </c>
    </row>
    <row r="1165" spans="1:9" ht="20" hidden="1">
      <c r="A1165" s="345">
        <v>1407</v>
      </c>
      <c r="B1165" s="346" t="s">
        <v>206</v>
      </c>
      <c r="C1165" s="347">
        <v>1100</v>
      </c>
      <c r="D1165" s="348">
        <v>46023</v>
      </c>
      <c r="E1165" s="348">
        <v>46357</v>
      </c>
      <c r="F1165" s="346" t="s">
        <v>606</v>
      </c>
      <c r="G1165" s="349" t="s">
        <v>439</v>
      </c>
      <c r="H1165" s="350">
        <f t="shared" si="25"/>
        <v>13200</v>
      </c>
      <c r="I1165" s="120" t="str">
        <f>IF(OR(D1165&lt;Capa!$A$5,D1165&gt;Capa!$A$7,E1165&lt;Capa!$A$5,E1165&gt;Capa!$A$7,D1165&gt;E1165),"Erro","")</f>
        <v/>
      </c>
    </row>
    <row r="1166" spans="1:9" ht="20" hidden="1">
      <c r="A1166" s="345">
        <v>1408</v>
      </c>
      <c r="B1166" s="346" t="s">
        <v>206</v>
      </c>
      <c r="C1166" s="347">
        <v>1100</v>
      </c>
      <c r="D1166" s="348">
        <v>46388</v>
      </c>
      <c r="E1166" s="348">
        <v>46722</v>
      </c>
      <c r="F1166" s="346" t="s">
        <v>606</v>
      </c>
      <c r="G1166" s="349" t="s">
        <v>439</v>
      </c>
      <c r="H1166" s="350">
        <f t="shared" si="25"/>
        <v>13200</v>
      </c>
      <c r="I1166" s="120" t="str">
        <f>IF(OR(D1166&lt;Capa!$A$5,D1166&gt;Capa!$A$7,E1166&lt;Capa!$A$5,E1166&gt;Capa!$A$7,D1166&gt;E1166),"Erro","")</f>
        <v/>
      </c>
    </row>
    <row r="1167" spans="1:9" ht="20" hidden="1">
      <c r="A1167" s="345">
        <v>1409</v>
      </c>
      <c r="B1167" s="346" t="s">
        <v>206</v>
      </c>
      <c r="C1167" s="347">
        <v>550</v>
      </c>
      <c r="D1167" s="348">
        <v>46753</v>
      </c>
      <c r="E1167" s="348">
        <v>47058</v>
      </c>
      <c r="F1167" s="346" t="s">
        <v>606</v>
      </c>
      <c r="G1167" s="349" t="s">
        <v>439</v>
      </c>
      <c r="H1167" s="350">
        <f t="shared" si="25"/>
        <v>6050</v>
      </c>
      <c r="I1167" s="120" t="str">
        <f>IF(OR(D1167&lt;Capa!$A$5,D1167&gt;Capa!$A$7,E1167&lt;Capa!$A$5,E1167&gt;Capa!$A$7,D1167&gt;E1167),"Erro","")</f>
        <v/>
      </c>
    </row>
    <row r="1168" spans="1:9" ht="20" hidden="1">
      <c r="A1168" s="345">
        <v>1411</v>
      </c>
      <c r="B1168" s="346" t="s">
        <v>208</v>
      </c>
      <c r="C1168" s="347">
        <v>850</v>
      </c>
      <c r="D1168" s="348">
        <v>45658</v>
      </c>
      <c r="E1168" s="348">
        <v>45992</v>
      </c>
      <c r="F1168" s="346" t="s">
        <v>606</v>
      </c>
      <c r="G1168" s="349" t="s">
        <v>439</v>
      </c>
      <c r="H1168" s="350">
        <f t="shared" si="25"/>
        <v>10200</v>
      </c>
      <c r="I1168" s="120" t="str">
        <f>IF(OR(D1168&lt;Capa!$A$5,D1168&gt;Capa!$A$7,E1168&lt;Capa!$A$5,E1168&gt;Capa!$A$7,D1168&gt;E1168),"Erro","")</f>
        <v/>
      </c>
    </row>
    <row r="1169" spans="1:9" ht="20" hidden="1">
      <c r="A1169" s="345">
        <v>1412</v>
      </c>
      <c r="B1169" s="346" t="s">
        <v>208</v>
      </c>
      <c r="C1169" s="347">
        <v>850</v>
      </c>
      <c r="D1169" s="348">
        <v>46023</v>
      </c>
      <c r="E1169" s="348">
        <v>46357</v>
      </c>
      <c r="F1169" s="346" t="s">
        <v>606</v>
      </c>
      <c r="G1169" s="349" t="s">
        <v>439</v>
      </c>
      <c r="H1169" s="350">
        <f t="shared" si="25"/>
        <v>10200</v>
      </c>
      <c r="I1169" s="120" t="str">
        <f>IF(OR(D1169&lt;Capa!$A$5,D1169&gt;Capa!$A$7,E1169&lt;Capa!$A$5,E1169&gt;Capa!$A$7,D1169&gt;E1169),"Erro","")</f>
        <v/>
      </c>
    </row>
    <row r="1170" spans="1:9" ht="20" hidden="1">
      <c r="A1170" s="345">
        <v>1413</v>
      </c>
      <c r="B1170" s="346" t="s">
        <v>208</v>
      </c>
      <c r="C1170" s="347">
        <v>850</v>
      </c>
      <c r="D1170" s="348">
        <v>46388</v>
      </c>
      <c r="E1170" s="348">
        <v>46722</v>
      </c>
      <c r="F1170" s="346" t="s">
        <v>606</v>
      </c>
      <c r="G1170" s="349" t="s">
        <v>439</v>
      </c>
      <c r="H1170" s="350">
        <f t="shared" si="25"/>
        <v>10200</v>
      </c>
      <c r="I1170" s="120" t="str">
        <f>IF(OR(D1170&lt;Capa!$A$5,D1170&gt;Capa!$A$7,E1170&lt;Capa!$A$5,E1170&gt;Capa!$A$7,D1170&gt;E1170),"Erro","")</f>
        <v/>
      </c>
    </row>
    <row r="1171" spans="1:9" ht="20" hidden="1">
      <c r="A1171" s="345">
        <v>1414</v>
      </c>
      <c r="B1171" s="346" t="s">
        <v>208</v>
      </c>
      <c r="C1171" s="347">
        <v>400</v>
      </c>
      <c r="D1171" s="348">
        <v>46753</v>
      </c>
      <c r="E1171" s="348">
        <v>47058</v>
      </c>
      <c r="F1171" s="346" t="s">
        <v>606</v>
      </c>
      <c r="G1171" s="349" t="s">
        <v>439</v>
      </c>
      <c r="H1171" s="350">
        <f t="shared" si="25"/>
        <v>4400</v>
      </c>
      <c r="I1171" s="120" t="str">
        <f>IF(OR(D1171&lt;Capa!$A$5,D1171&gt;Capa!$A$7,E1171&lt;Capa!$A$5,E1171&gt;Capa!$A$7,D1171&gt;E1171),"Erro","")</f>
        <v/>
      </c>
    </row>
    <row r="1172" spans="1:9" ht="20" hidden="1">
      <c r="A1172" s="345">
        <v>1416</v>
      </c>
      <c r="B1172" s="346" t="s">
        <v>210</v>
      </c>
      <c r="C1172" s="347">
        <v>60</v>
      </c>
      <c r="D1172" s="348">
        <v>45658</v>
      </c>
      <c r="E1172" s="348">
        <v>45992</v>
      </c>
      <c r="F1172" s="346" t="s">
        <v>606</v>
      </c>
      <c r="G1172" s="349" t="s">
        <v>439</v>
      </c>
      <c r="H1172" s="350">
        <f t="shared" si="25"/>
        <v>720</v>
      </c>
      <c r="I1172" s="120" t="str">
        <f>IF(OR(D1172&lt;Capa!$A$5,D1172&gt;Capa!$A$7,E1172&lt;Capa!$A$5,E1172&gt;Capa!$A$7,D1172&gt;E1172),"Erro","")</f>
        <v/>
      </c>
    </row>
    <row r="1173" spans="1:9" ht="20" hidden="1">
      <c r="A1173" s="345">
        <v>1417</v>
      </c>
      <c r="B1173" s="346" t="s">
        <v>210</v>
      </c>
      <c r="C1173" s="347">
        <v>60</v>
      </c>
      <c r="D1173" s="348">
        <v>46023</v>
      </c>
      <c r="E1173" s="348">
        <v>46357</v>
      </c>
      <c r="F1173" s="346" t="s">
        <v>606</v>
      </c>
      <c r="G1173" s="349" t="s">
        <v>439</v>
      </c>
      <c r="H1173" s="350">
        <f t="shared" si="25"/>
        <v>720</v>
      </c>
      <c r="I1173" s="120" t="str">
        <f>IF(OR(D1173&lt;Capa!$A$5,D1173&gt;Capa!$A$7,E1173&lt;Capa!$A$5,E1173&gt;Capa!$A$7,D1173&gt;E1173),"Erro","")</f>
        <v/>
      </c>
    </row>
    <row r="1174" spans="1:9" ht="20" hidden="1">
      <c r="A1174" s="345">
        <v>1418</v>
      </c>
      <c r="B1174" s="346" t="s">
        <v>210</v>
      </c>
      <c r="C1174" s="347">
        <v>60</v>
      </c>
      <c r="D1174" s="348">
        <v>46388</v>
      </c>
      <c r="E1174" s="348">
        <v>46722</v>
      </c>
      <c r="F1174" s="346" t="s">
        <v>606</v>
      </c>
      <c r="G1174" s="349" t="s">
        <v>439</v>
      </c>
      <c r="H1174" s="350">
        <f t="shared" si="25"/>
        <v>720</v>
      </c>
      <c r="I1174" s="120" t="str">
        <f>IF(OR(D1174&lt;Capa!$A$5,D1174&gt;Capa!$A$7,E1174&lt;Capa!$A$5,E1174&gt;Capa!$A$7,D1174&gt;E1174),"Erro","")</f>
        <v/>
      </c>
    </row>
    <row r="1175" spans="1:9" ht="20" hidden="1">
      <c r="A1175" s="345">
        <v>1419</v>
      </c>
      <c r="B1175" s="346" t="s">
        <v>210</v>
      </c>
      <c r="C1175" s="347">
        <v>49</v>
      </c>
      <c r="D1175" s="348">
        <v>46753</v>
      </c>
      <c r="E1175" s="348">
        <v>47058</v>
      </c>
      <c r="F1175" s="346" t="s">
        <v>606</v>
      </c>
      <c r="G1175" s="349" t="s">
        <v>439</v>
      </c>
      <c r="H1175" s="350">
        <f t="shared" si="25"/>
        <v>539</v>
      </c>
      <c r="I1175" s="120" t="str">
        <f>IF(OR(D1175&lt;Capa!$A$5,D1175&gt;Capa!$A$7,E1175&lt;Capa!$A$5,E1175&gt;Capa!$A$7,D1175&gt;E1175),"Erro","")</f>
        <v/>
      </c>
    </row>
    <row r="1176" spans="1:9" ht="20" hidden="1">
      <c r="A1176" s="345">
        <v>1421</v>
      </c>
      <c r="B1176" s="346" t="s">
        <v>214</v>
      </c>
      <c r="C1176" s="347">
        <v>140</v>
      </c>
      <c r="D1176" s="348">
        <v>45658</v>
      </c>
      <c r="E1176" s="348">
        <v>45992</v>
      </c>
      <c r="F1176" s="346" t="s">
        <v>606</v>
      </c>
      <c r="G1176" s="349" t="s">
        <v>439</v>
      </c>
      <c r="H1176" s="350">
        <f t="shared" si="25"/>
        <v>1680</v>
      </c>
      <c r="I1176" s="120" t="str">
        <f>IF(OR(D1176&lt;Capa!$A$5,D1176&gt;Capa!$A$7,E1176&lt;Capa!$A$5,E1176&gt;Capa!$A$7,D1176&gt;E1176),"Erro","")</f>
        <v/>
      </c>
    </row>
    <row r="1177" spans="1:9" ht="20" hidden="1">
      <c r="A1177" s="345">
        <v>1422</v>
      </c>
      <c r="B1177" s="346" t="s">
        <v>214</v>
      </c>
      <c r="C1177" s="347">
        <v>140</v>
      </c>
      <c r="D1177" s="348">
        <v>46023</v>
      </c>
      <c r="E1177" s="348">
        <v>46357</v>
      </c>
      <c r="F1177" s="346" t="s">
        <v>606</v>
      </c>
      <c r="G1177" s="349" t="s">
        <v>439</v>
      </c>
      <c r="H1177" s="350">
        <f t="shared" si="25"/>
        <v>1680</v>
      </c>
      <c r="I1177" s="120" t="str">
        <f>IF(OR(D1177&lt;Capa!$A$5,D1177&gt;Capa!$A$7,E1177&lt;Capa!$A$5,E1177&gt;Capa!$A$7,D1177&gt;E1177),"Erro","")</f>
        <v/>
      </c>
    </row>
    <row r="1178" spans="1:9" ht="20" hidden="1">
      <c r="A1178" s="345">
        <v>1423</v>
      </c>
      <c r="B1178" s="346" t="s">
        <v>214</v>
      </c>
      <c r="C1178" s="347">
        <v>140</v>
      </c>
      <c r="D1178" s="348">
        <v>46388</v>
      </c>
      <c r="E1178" s="348">
        <v>46722</v>
      </c>
      <c r="F1178" s="346" t="s">
        <v>606</v>
      </c>
      <c r="G1178" s="349" t="s">
        <v>439</v>
      </c>
      <c r="H1178" s="350">
        <f t="shared" si="25"/>
        <v>1680</v>
      </c>
      <c r="I1178" s="120" t="str">
        <f>IF(OR(D1178&lt;Capa!$A$5,D1178&gt;Capa!$A$7,E1178&lt;Capa!$A$5,E1178&gt;Capa!$A$7,D1178&gt;E1178),"Erro","")</f>
        <v/>
      </c>
    </row>
    <row r="1179" spans="1:9" ht="20" hidden="1">
      <c r="A1179" s="345">
        <v>1424</v>
      </c>
      <c r="B1179" s="346" t="s">
        <v>214</v>
      </c>
      <c r="C1179" s="347">
        <v>70</v>
      </c>
      <c r="D1179" s="348">
        <v>46753</v>
      </c>
      <c r="E1179" s="348">
        <v>47058</v>
      </c>
      <c r="F1179" s="346" t="s">
        <v>606</v>
      </c>
      <c r="G1179" s="349" t="s">
        <v>439</v>
      </c>
      <c r="H1179" s="350">
        <f t="shared" si="25"/>
        <v>770</v>
      </c>
      <c r="I1179" s="120" t="str">
        <f>IF(OR(D1179&lt;Capa!$A$5,D1179&gt;Capa!$A$7,E1179&lt;Capa!$A$5,E1179&gt;Capa!$A$7,D1179&gt;E1179),"Erro","")</f>
        <v/>
      </c>
    </row>
    <row r="1180" spans="1:9" ht="50" hidden="1">
      <c r="A1180" s="345">
        <v>1426</v>
      </c>
      <c r="B1180" s="346" t="s">
        <v>212</v>
      </c>
      <c r="C1180" s="347">
        <v>260</v>
      </c>
      <c r="D1180" s="348">
        <v>45658</v>
      </c>
      <c r="E1180" s="348">
        <v>45992</v>
      </c>
      <c r="F1180" s="346" t="s">
        <v>606</v>
      </c>
      <c r="G1180" s="349" t="s">
        <v>494</v>
      </c>
      <c r="H1180" s="350">
        <f t="shared" ref="H1180:H1227" si="26">IFERROR((DATEDIF(D1180,E1180,"M")+1)*C1180,0)</f>
        <v>3120</v>
      </c>
      <c r="I1180" s="120" t="str">
        <f>IF(OR(D1180&lt;Capa!$A$5,D1180&gt;Capa!$A$7,E1180&lt;Capa!$A$5,E1180&gt;Capa!$A$7,D1180&gt;E1180),"Erro","")</f>
        <v/>
      </c>
    </row>
    <row r="1181" spans="1:9" ht="50" hidden="1">
      <c r="A1181" s="345">
        <v>1427</v>
      </c>
      <c r="B1181" s="346" t="s">
        <v>212</v>
      </c>
      <c r="C1181" s="347">
        <v>260</v>
      </c>
      <c r="D1181" s="348">
        <v>46023</v>
      </c>
      <c r="E1181" s="348">
        <v>46357</v>
      </c>
      <c r="F1181" s="346" t="s">
        <v>606</v>
      </c>
      <c r="G1181" s="349" t="s">
        <v>494</v>
      </c>
      <c r="H1181" s="350">
        <f t="shared" si="26"/>
        <v>3120</v>
      </c>
      <c r="I1181" s="120" t="str">
        <f>IF(OR(D1181&lt;Capa!$A$5,D1181&gt;Capa!$A$7,E1181&lt;Capa!$A$5,E1181&gt;Capa!$A$7,D1181&gt;E1181),"Erro","")</f>
        <v/>
      </c>
    </row>
    <row r="1182" spans="1:9" ht="50" hidden="1">
      <c r="A1182" s="345">
        <v>1428</v>
      </c>
      <c r="B1182" s="346" t="s">
        <v>212</v>
      </c>
      <c r="C1182" s="347">
        <v>260</v>
      </c>
      <c r="D1182" s="348">
        <v>46388</v>
      </c>
      <c r="E1182" s="348">
        <v>46722</v>
      </c>
      <c r="F1182" s="346" t="s">
        <v>606</v>
      </c>
      <c r="G1182" s="349" t="s">
        <v>494</v>
      </c>
      <c r="H1182" s="350">
        <f t="shared" si="26"/>
        <v>3120</v>
      </c>
      <c r="I1182" s="120" t="str">
        <f>IF(OR(D1182&lt;Capa!$A$5,D1182&gt;Capa!$A$7,E1182&lt;Capa!$A$5,E1182&gt;Capa!$A$7,D1182&gt;E1182),"Erro","")</f>
        <v/>
      </c>
    </row>
    <row r="1183" spans="1:9" ht="50" hidden="1">
      <c r="A1183" s="345">
        <v>1429</v>
      </c>
      <c r="B1183" s="346" t="s">
        <v>212</v>
      </c>
      <c r="C1183" s="347">
        <v>220</v>
      </c>
      <c r="D1183" s="348">
        <v>46753</v>
      </c>
      <c r="E1183" s="348">
        <v>47058</v>
      </c>
      <c r="F1183" s="346" t="s">
        <v>606</v>
      </c>
      <c r="G1183" s="349" t="s">
        <v>494</v>
      </c>
      <c r="H1183" s="350">
        <f t="shared" si="26"/>
        <v>2420</v>
      </c>
      <c r="I1183" s="120" t="str">
        <f>IF(OR(D1183&lt;Capa!$A$5,D1183&gt;Capa!$A$7,E1183&lt;Capa!$A$5,E1183&gt;Capa!$A$7,D1183&gt;E1183),"Erro","")</f>
        <v/>
      </c>
    </row>
    <row r="1184" spans="1:9" ht="40" hidden="1">
      <c r="A1184" s="345">
        <v>1430</v>
      </c>
      <c r="B1184" s="346" t="s">
        <v>248</v>
      </c>
      <c r="C1184" s="347">
        <v>846</v>
      </c>
      <c r="D1184" s="348">
        <v>45689</v>
      </c>
      <c r="E1184" s="348">
        <v>45809</v>
      </c>
      <c r="F1184" s="346" t="s">
        <v>606</v>
      </c>
      <c r="G1184" s="349" t="s">
        <v>440</v>
      </c>
      <c r="H1184" s="350">
        <f t="shared" si="26"/>
        <v>4230</v>
      </c>
      <c r="I1184" s="120" t="str">
        <f>IF(OR(D1184&lt;Capa!$A$5,D1184&gt;Capa!$A$7,E1184&lt;Capa!$A$5,E1184&gt;Capa!$A$7,D1184&gt;E1184),"Erro","")</f>
        <v/>
      </c>
    </row>
    <row r="1185" spans="1:9" ht="40" hidden="1">
      <c r="A1185" s="345">
        <v>1431</v>
      </c>
      <c r="B1185" s="346" t="s">
        <v>248</v>
      </c>
      <c r="C1185" s="347">
        <v>846</v>
      </c>
      <c r="D1185" s="348">
        <v>46054</v>
      </c>
      <c r="E1185" s="348">
        <v>46174</v>
      </c>
      <c r="F1185" s="346" t="s">
        <v>606</v>
      </c>
      <c r="G1185" s="349" t="s">
        <v>440</v>
      </c>
      <c r="H1185" s="350">
        <f t="shared" si="26"/>
        <v>4230</v>
      </c>
      <c r="I1185" s="120" t="str">
        <f>IF(OR(D1185&lt;Capa!$A$5,D1185&gt;Capa!$A$7,E1185&lt;Capa!$A$5,E1185&gt;Capa!$A$7,D1185&gt;E1185),"Erro","")</f>
        <v/>
      </c>
    </row>
    <row r="1186" spans="1:9" ht="40" hidden="1">
      <c r="A1186" s="345">
        <v>1432</v>
      </c>
      <c r="B1186" s="346" t="s">
        <v>248</v>
      </c>
      <c r="C1186" s="347">
        <v>846</v>
      </c>
      <c r="D1186" s="348">
        <v>46419</v>
      </c>
      <c r="E1186" s="348">
        <v>46539</v>
      </c>
      <c r="F1186" s="346" t="s">
        <v>606</v>
      </c>
      <c r="G1186" s="349" t="s">
        <v>440</v>
      </c>
      <c r="H1186" s="350">
        <f t="shared" si="26"/>
        <v>4230</v>
      </c>
      <c r="I1186" s="120" t="str">
        <f>IF(OR(D1186&lt;Capa!$A$5,D1186&gt;Capa!$A$7,E1186&lt;Capa!$A$5,E1186&gt;Capa!$A$7,D1186&gt;E1186),"Erro","")</f>
        <v/>
      </c>
    </row>
    <row r="1187" spans="1:9" ht="40" hidden="1">
      <c r="A1187" s="345">
        <v>1433</v>
      </c>
      <c r="B1187" s="346" t="s">
        <v>248</v>
      </c>
      <c r="C1187" s="347">
        <v>500</v>
      </c>
      <c r="D1187" s="348">
        <v>46784</v>
      </c>
      <c r="E1187" s="348">
        <v>46905</v>
      </c>
      <c r="F1187" s="346" t="s">
        <v>606</v>
      </c>
      <c r="G1187" s="349" t="s">
        <v>440</v>
      </c>
      <c r="H1187" s="350">
        <f t="shared" si="26"/>
        <v>2500</v>
      </c>
      <c r="I1187" s="120" t="str">
        <f>IF(OR(D1187&lt;Capa!$A$5,D1187&gt;Capa!$A$7,E1187&lt;Capa!$A$5,E1187&gt;Capa!$A$7,D1187&gt;E1187),"Erro","")</f>
        <v/>
      </c>
    </row>
    <row r="1188" spans="1:9" ht="30" hidden="1">
      <c r="A1188" s="345">
        <v>1434</v>
      </c>
      <c r="B1188" s="346" t="s">
        <v>266</v>
      </c>
      <c r="C1188" s="347">
        <v>1500</v>
      </c>
      <c r="D1188" s="348">
        <v>45658</v>
      </c>
      <c r="E1188" s="348">
        <v>45658</v>
      </c>
      <c r="F1188" s="346" t="s">
        <v>606</v>
      </c>
      <c r="G1188" s="349" t="s">
        <v>441</v>
      </c>
      <c r="H1188" s="350">
        <f t="shared" si="26"/>
        <v>1500</v>
      </c>
      <c r="I1188" s="120" t="str">
        <f>IF(OR(D1188&lt;Capa!$A$5,D1188&gt;Capa!$A$7,E1188&lt;Capa!$A$5,E1188&gt;Capa!$A$7,D1188&gt;E1188),"Erro","")</f>
        <v/>
      </c>
    </row>
    <row r="1189" spans="1:9" ht="30" hidden="1">
      <c r="A1189" s="345">
        <v>1435</v>
      </c>
      <c r="B1189" s="346" t="s">
        <v>266</v>
      </c>
      <c r="C1189" s="347">
        <v>1500</v>
      </c>
      <c r="D1189" s="348">
        <v>46023</v>
      </c>
      <c r="E1189" s="348">
        <v>46023</v>
      </c>
      <c r="F1189" s="346" t="s">
        <v>606</v>
      </c>
      <c r="G1189" s="349" t="s">
        <v>441</v>
      </c>
      <c r="H1189" s="350">
        <f t="shared" si="26"/>
        <v>1500</v>
      </c>
      <c r="I1189" s="120" t="str">
        <f>IF(OR(D1189&lt;Capa!$A$5,D1189&gt;Capa!$A$7,E1189&lt;Capa!$A$5,E1189&gt;Capa!$A$7,D1189&gt;E1189),"Erro","")</f>
        <v/>
      </c>
    </row>
    <row r="1190" spans="1:9" ht="30" hidden="1">
      <c r="A1190" s="345">
        <v>1436</v>
      </c>
      <c r="B1190" s="346" t="s">
        <v>266</v>
      </c>
      <c r="C1190" s="347">
        <v>1500</v>
      </c>
      <c r="D1190" s="348">
        <v>46388</v>
      </c>
      <c r="E1190" s="348">
        <v>46388</v>
      </c>
      <c r="F1190" s="346" t="s">
        <v>606</v>
      </c>
      <c r="G1190" s="349" t="s">
        <v>441</v>
      </c>
      <c r="H1190" s="350">
        <f t="shared" si="26"/>
        <v>1500</v>
      </c>
      <c r="I1190" s="120" t="str">
        <f>IF(OR(D1190&lt;Capa!$A$5,D1190&gt;Capa!$A$7,E1190&lt;Capa!$A$5,E1190&gt;Capa!$A$7,D1190&gt;E1190),"Erro","")</f>
        <v/>
      </c>
    </row>
    <row r="1191" spans="1:9" ht="30" hidden="1">
      <c r="A1191" s="345">
        <v>1437</v>
      </c>
      <c r="B1191" s="346" t="s">
        <v>266</v>
      </c>
      <c r="C1191" s="347">
        <v>750</v>
      </c>
      <c r="D1191" s="348">
        <v>46753</v>
      </c>
      <c r="E1191" s="348">
        <v>46753</v>
      </c>
      <c r="F1191" s="346" t="s">
        <v>606</v>
      </c>
      <c r="G1191" s="349" t="s">
        <v>441</v>
      </c>
      <c r="H1191" s="350">
        <f t="shared" si="26"/>
        <v>750</v>
      </c>
      <c r="I1191" s="120" t="str">
        <f>IF(OR(D1191&lt;Capa!$A$5,D1191&gt;Capa!$A$7,E1191&lt;Capa!$A$5,E1191&gt;Capa!$A$7,D1191&gt;E1191),"Erro","")</f>
        <v/>
      </c>
    </row>
    <row r="1192" spans="1:9" hidden="1">
      <c r="A1192" s="345">
        <v>1439</v>
      </c>
      <c r="B1192" s="346" t="s">
        <v>274</v>
      </c>
      <c r="C1192" s="347">
        <v>850</v>
      </c>
      <c r="D1192" s="348">
        <v>45658</v>
      </c>
      <c r="E1192" s="348">
        <v>45992</v>
      </c>
      <c r="F1192" s="346" t="s">
        <v>606</v>
      </c>
      <c r="G1192" s="349" t="s">
        <v>442</v>
      </c>
      <c r="H1192" s="350">
        <f t="shared" si="26"/>
        <v>10200</v>
      </c>
      <c r="I1192" s="120" t="str">
        <f>IF(OR(D1192&lt;Capa!$A$5,D1192&gt;Capa!$A$7,E1192&lt;Capa!$A$5,E1192&gt;Capa!$A$7,D1192&gt;E1192),"Erro","")</f>
        <v/>
      </c>
    </row>
    <row r="1193" spans="1:9" hidden="1">
      <c r="A1193" s="345">
        <v>1440</v>
      </c>
      <c r="B1193" s="346" t="s">
        <v>274</v>
      </c>
      <c r="C1193" s="347">
        <v>850</v>
      </c>
      <c r="D1193" s="348">
        <v>46023</v>
      </c>
      <c r="E1193" s="348">
        <v>46357</v>
      </c>
      <c r="F1193" s="346" t="s">
        <v>606</v>
      </c>
      <c r="G1193" s="349" t="s">
        <v>442</v>
      </c>
      <c r="H1193" s="350">
        <f t="shared" si="26"/>
        <v>10200</v>
      </c>
      <c r="I1193" s="120" t="str">
        <f>IF(OR(D1193&lt;Capa!$A$5,D1193&gt;Capa!$A$7,E1193&lt;Capa!$A$5,E1193&gt;Capa!$A$7,D1193&gt;E1193),"Erro","")</f>
        <v/>
      </c>
    </row>
    <row r="1194" spans="1:9" hidden="1">
      <c r="A1194" s="345">
        <v>1441</v>
      </c>
      <c r="B1194" s="346" t="s">
        <v>274</v>
      </c>
      <c r="C1194" s="347">
        <v>850</v>
      </c>
      <c r="D1194" s="348">
        <v>46388</v>
      </c>
      <c r="E1194" s="348">
        <v>46722</v>
      </c>
      <c r="F1194" s="346" t="s">
        <v>606</v>
      </c>
      <c r="G1194" s="349" t="s">
        <v>442</v>
      </c>
      <c r="H1194" s="350">
        <f t="shared" si="26"/>
        <v>10200</v>
      </c>
      <c r="I1194" s="120" t="str">
        <f>IF(OR(D1194&lt;Capa!$A$5,D1194&gt;Capa!$A$7,E1194&lt;Capa!$A$5,E1194&gt;Capa!$A$7,D1194&gt;E1194),"Erro","")</f>
        <v/>
      </c>
    </row>
    <row r="1195" spans="1:9" hidden="1">
      <c r="A1195" s="345">
        <v>1442</v>
      </c>
      <c r="B1195" s="346" t="s">
        <v>274</v>
      </c>
      <c r="C1195" s="347">
        <v>450</v>
      </c>
      <c r="D1195" s="348">
        <v>46753</v>
      </c>
      <c r="E1195" s="348">
        <v>47058</v>
      </c>
      <c r="F1195" s="346" t="s">
        <v>606</v>
      </c>
      <c r="G1195" s="349" t="s">
        <v>442</v>
      </c>
      <c r="H1195" s="350">
        <f t="shared" si="26"/>
        <v>4950</v>
      </c>
      <c r="I1195" s="120" t="str">
        <f>IF(OR(D1195&lt;Capa!$A$5,D1195&gt;Capa!$A$7,E1195&lt;Capa!$A$5,E1195&gt;Capa!$A$7,D1195&gt;E1195),"Erro","")</f>
        <v/>
      </c>
    </row>
    <row r="1196" spans="1:9" ht="40" hidden="1">
      <c r="A1196" s="345">
        <v>1444</v>
      </c>
      <c r="B1196" s="346" t="s">
        <v>236</v>
      </c>
      <c r="C1196" s="347">
        <v>450</v>
      </c>
      <c r="D1196" s="348">
        <v>45658</v>
      </c>
      <c r="E1196" s="348">
        <v>45992</v>
      </c>
      <c r="F1196" s="346" t="s">
        <v>606</v>
      </c>
      <c r="G1196" s="349" t="s">
        <v>443</v>
      </c>
      <c r="H1196" s="350">
        <f t="shared" si="26"/>
        <v>5400</v>
      </c>
      <c r="I1196" s="120" t="str">
        <f>IF(OR(D1196&lt;Capa!$A$5,D1196&gt;Capa!$A$7,E1196&lt;Capa!$A$5,E1196&gt;Capa!$A$7,D1196&gt;E1196),"Erro","")</f>
        <v/>
      </c>
    </row>
    <row r="1197" spans="1:9" ht="40" hidden="1">
      <c r="A1197" s="345">
        <v>1445</v>
      </c>
      <c r="B1197" s="346" t="s">
        <v>236</v>
      </c>
      <c r="C1197" s="347">
        <v>450</v>
      </c>
      <c r="D1197" s="348">
        <v>46023</v>
      </c>
      <c r="E1197" s="348">
        <v>46357</v>
      </c>
      <c r="F1197" s="346" t="s">
        <v>606</v>
      </c>
      <c r="G1197" s="349" t="s">
        <v>443</v>
      </c>
      <c r="H1197" s="350">
        <f t="shared" si="26"/>
        <v>5400</v>
      </c>
      <c r="I1197" s="120" t="str">
        <f>IF(OR(D1197&lt;Capa!$A$5,D1197&gt;Capa!$A$7,E1197&lt;Capa!$A$5,E1197&gt;Capa!$A$7,D1197&gt;E1197),"Erro","")</f>
        <v/>
      </c>
    </row>
    <row r="1198" spans="1:9" ht="40" hidden="1">
      <c r="A1198" s="345">
        <v>1446</v>
      </c>
      <c r="B1198" s="346" t="s">
        <v>236</v>
      </c>
      <c r="C1198" s="347">
        <v>450</v>
      </c>
      <c r="D1198" s="348">
        <v>46388</v>
      </c>
      <c r="E1198" s="348">
        <v>46722</v>
      </c>
      <c r="F1198" s="346" t="s">
        <v>606</v>
      </c>
      <c r="G1198" s="349" t="s">
        <v>443</v>
      </c>
      <c r="H1198" s="350">
        <f t="shared" si="26"/>
        <v>5400</v>
      </c>
      <c r="I1198" s="120" t="str">
        <f>IF(OR(D1198&lt;Capa!$A$5,D1198&gt;Capa!$A$7,E1198&lt;Capa!$A$5,E1198&gt;Capa!$A$7,D1198&gt;E1198),"Erro","")</f>
        <v/>
      </c>
    </row>
    <row r="1199" spans="1:9" ht="40" hidden="1">
      <c r="A1199" s="345">
        <v>1447</v>
      </c>
      <c r="B1199" s="346" t="s">
        <v>236</v>
      </c>
      <c r="C1199" s="347">
        <v>200</v>
      </c>
      <c r="D1199" s="348">
        <v>46753</v>
      </c>
      <c r="E1199" s="348">
        <v>47058</v>
      </c>
      <c r="F1199" s="346" t="s">
        <v>606</v>
      </c>
      <c r="G1199" s="349" t="s">
        <v>443</v>
      </c>
      <c r="H1199" s="350">
        <f t="shared" si="26"/>
        <v>2200</v>
      </c>
      <c r="I1199" s="120" t="str">
        <f>IF(OR(D1199&lt;Capa!$A$5,D1199&gt;Capa!$A$7,E1199&lt;Capa!$A$5,E1199&gt;Capa!$A$7,D1199&gt;E1199),"Erro","")</f>
        <v/>
      </c>
    </row>
    <row r="1200" spans="1:9" ht="30" hidden="1">
      <c r="A1200" s="345">
        <v>1449</v>
      </c>
      <c r="B1200" s="346" t="s">
        <v>240</v>
      </c>
      <c r="C1200" s="347">
        <v>50</v>
      </c>
      <c r="D1200" s="348">
        <v>45658</v>
      </c>
      <c r="E1200" s="348">
        <v>45992</v>
      </c>
      <c r="F1200" s="346" t="s">
        <v>606</v>
      </c>
      <c r="G1200" s="349" t="s">
        <v>444</v>
      </c>
      <c r="H1200" s="350">
        <f t="shared" si="26"/>
        <v>600</v>
      </c>
      <c r="I1200" s="120" t="str">
        <f>IF(OR(D1200&lt;Capa!$A$5,D1200&gt;Capa!$A$7,E1200&lt;Capa!$A$5,E1200&gt;Capa!$A$7,D1200&gt;E1200),"Erro","")</f>
        <v/>
      </c>
    </row>
    <row r="1201" spans="1:9" ht="30" hidden="1">
      <c r="A1201" s="345">
        <v>1450</v>
      </c>
      <c r="B1201" s="346" t="s">
        <v>240</v>
      </c>
      <c r="C1201" s="347">
        <v>50</v>
      </c>
      <c r="D1201" s="348">
        <v>46023</v>
      </c>
      <c r="E1201" s="348">
        <v>46357</v>
      </c>
      <c r="F1201" s="346" t="s">
        <v>606</v>
      </c>
      <c r="G1201" s="349" t="s">
        <v>444</v>
      </c>
      <c r="H1201" s="350">
        <f t="shared" si="26"/>
        <v>600</v>
      </c>
      <c r="I1201" s="120" t="str">
        <f>IF(OR(D1201&lt;Capa!$A$5,D1201&gt;Capa!$A$7,E1201&lt;Capa!$A$5,E1201&gt;Capa!$A$7,D1201&gt;E1201),"Erro","")</f>
        <v/>
      </c>
    </row>
    <row r="1202" spans="1:9" ht="30" hidden="1">
      <c r="A1202" s="345">
        <v>1451</v>
      </c>
      <c r="B1202" s="346" t="s">
        <v>240</v>
      </c>
      <c r="C1202" s="347">
        <v>50</v>
      </c>
      <c r="D1202" s="348">
        <v>46388</v>
      </c>
      <c r="E1202" s="348">
        <v>46722</v>
      </c>
      <c r="F1202" s="346" t="s">
        <v>606</v>
      </c>
      <c r="G1202" s="349" t="s">
        <v>444</v>
      </c>
      <c r="H1202" s="350">
        <f t="shared" si="26"/>
        <v>600</v>
      </c>
      <c r="I1202" s="120" t="str">
        <f>IF(OR(D1202&lt;Capa!$A$5,D1202&gt;Capa!$A$7,E1202&lt;Capa!$A$5,E1202&gt;Capa!$A$7,D1202&gt;E1202),"Erro","")</f>
        <v/>
      </c>
    </row>
    <row r="1203" spans="1:9" ht="30" hidden="1">
      <c r="A1203" s="345">
        <v>1452</v>
      </c>
      <c r="B1203" s="346" t="s">
        <v>240</v>
      </c>
      <c r="C1203" s="347">
        <v>25</v>
      </c>
      <c r="D1203" s="348">
        <v>46753</v>
      </c>
      <c r="E1203" s="348">
        <v>47058</v>
      </c>
      <c r="F1203" s="346" t="s">
        <v>606</v>
      </c>
      <c r="G1203" s="349" t="s">
        <v>444</v>
      </c>
      <c r="H1203" s="350">
        <f t="shared" si="26"/>
        <v>275</v>
      </c>
      <c r="I1203" s="120" t="str">
        <f>IF(OR(D1203&lt;Capa!$A$5,D1203&gt;Capa!$A$7,E1203&lt;Capa!$A$5,E1203&gt;Capa!$A$7,D1203&gt;E1203),"Erro","")</f>
        <v/>
      </c>
    </row>
    <row r="1204" spans="1:9" ht="30" hidden="1">
      <c r="A1204" s="345">
        <v>1454</v>
      </c>
      <c r="B1204" s="346" t="s">
        <v>244</v>
      </c>
      <c r="C1204" s="347">
        <v>250</v>
      </c>
      <c r="D1204" s="348">
        <v>45658</v>
      </c>
      <c r="E1204" s="348">
        <v>45992</v>
      </c>
      <c r="F1204" s="346" t="s">
        <v>606</v>
      </c>
      <c r="G1204" s="349" t="s">
        <v>445</v>
      </c>
      <c r="H1204" s="350">
        <f t="shared" si="26"/>
        <v>3000</v>
      </c>
      <c r="I1204" s="120" t="str">
        <f>IF(OR(D1204&lt;Capa!$A$5,D1204&gt;Capa!$A$7,E1204&lt;Capa!$A$5,E1204&gt;Capa!$A$7,D1204&gt;E1204),"Erro","")</f>
        <v/>
      </c>
    </row>
    <row r="1205" spans="1:9" ht="30" hidden="1">
      <c r="A1205" s="345">
        <v>1455</v>
      </c>
      <c r="B1205" s="346" t="s">
        <v>244</v>
      </c>
      <c r="C1205" s="347">
        <v>250</v>
      </c>
      <c r="D1205" s="348">
        <v>46023</v>
      </c>
      <c r="E1205" s="348">
        <v>46357</v>
      </c>
      <c r="F1205" s="346" t="s">
        <v>606</v>
      </c>
      <c r="G1205" s="349" t="s">
        <v>445</v>
      </c>
      <c r="H1205" s="350">
        <f t="shared" si="26"/>
        <v>3000</v>
      </c>
      <c r="I1205" s="120" t="str">
        <f>IF(OR(D1205&lt;Capa!$A$5,D1205&gt;Capa!$A$7,E1205&lt;Capa!$A$5,E1205&gt;Capa!$A$7,D1205&gt;E1205),"Erro","")</f>
        <v/>
      </c>
    </row>
    <row r="1206" spans="1:9" ht="30" hidden="1">
      <c r="A1206" s="345">
        <v>1456</v>
      </c>
      <c r="B1206" s="346" t="s">
        <v>244</v>
      </c>
      <c r="C1206" s="347">
        <v>250</v>
      </c>
      <c r="D1206" s="348">
        <v>46388</v>
      </c>
      <c r="E1206" s="348">
        <v>46722</v>
      </c>
      <c r="F1206" s="346" t="s">
        <v>606</v>
      </c>
      <c r="G1206" s="349" t="s">
        <v>445</v>
      </c>
      <c r="H1206" s="350">
        <f t="shared" si="26"/>
        <v>3000</v>
      </c>
      <c r="I1206" s="120" t="str">
        <f>IF(OR(D1206&lt;Capa!$A$5,D1206&gt;Capa!$A$7,E1206&lt;Capa!$A$5,E1206&gt;Capa!$A$7,D1206&gt;E1206),"Erro","")</f>
        <v/>
      </c>
    </row>
    <row r="1207" spans="1:9" ht="30" hidden="1">
      <c r="A1207" s="345">
        <v>1457</v>
      </c>
      <c r="B1207" s="346" t="s">
        <v>244</v>
      </c>
      <c r="C1207" s="347">
        <v>125</v>
      </c>
      <c r="D1207" s="348">
        <v>46753</v>
      </c>
      <c r="E1207" s="348">
        <v>47058</v>
      </c>
      <c r="F1207" s="346" t="s">
        <v>606</v>
      </c>
      <c r="G1207" s="349" t="s">
        <v>445</v>
      </c>
      <c r="H1207" s="350">
        <f t="shared" si="26"/>
        <v>1375</v>
      </c>
      <c r="I1207" s="120" t="str">
        <f>IF(OR(D1207&lt;Capa!$A$5,D1207&gt;Capa!$A$7,E1207&lt;Capa!$A$5,E1207&gt;Capa!$A$7,D1207&gt;E1207),"Erro","")</f>
        <v/>
      </c>
    </row>
    <row r="1208" spans="1:9" ht="20" hidden="1">
      <c r="A1208" s="345">
        <v>1458</v>
      </c>
      <c r="B1208" s="346" t="s">
        <v>246</v>
      </c>
      <c r="C1208" s="347">
        <v>390</v>
      </c>
      <c r="D1208" s="348">
        <v>45658</v>
      </c>
      <c r="E1208" s="348">
        <v>45992</v>
      </c>
      <c r="F1208" s="346" t="s">
        <v>606</v>
      </c>
      <c r="G1208" s="349" t="s">
        <v>446</v>
      </c>
      <c r="H1208" s="350">
        <f t="shared" si="26"/>
        <v>4680</v>
      </c>
      <c r="I1208" s="120" t="str">
        <f>IF(OR(D1208&lt;Capa!$A$5,D1208&gt;Capa!$A$7,E1208&lt;Capa!$A$5,E1208&gt;Capa!$A$7,D1208&gt;E1208),"Erro","")</f>
        <v/>
      </c>
    </row>
    <row r="1209" spans="1:9" ht="20" hidden="1">
      <c r="A1209" s="345">
        <v>1459</v>
      </c>
      <c r="B1209" s="346" t="s">
        <v>246</v>
      </c>
      <c r="C1209" s="347">
        <v>390</v>
      </c>
      <c r="D1209" s="348">
        <v>46023</v>
      </c>
      <c r="E1209" s="348">
        <v>46357</v>
      </c>
      <c r="F1209" s="346" t="s">
        <v>606</v>
      </c>
      <c r="G1209" s="349" t="s">
        <v>446</v>
      </c>
      <c r="H1209" s="350">
        <f t="shared" si="26"/>
        <v>4680</v>
      </c>
      <c r="I1209" s="120" t="str">
        <f>IF(OR(D1209&lt;Capa!$A$5,D1209&gt;Capa!$A$7,E1209&lt;Capa!$A$5,E1209&gt;Capa!$A$7,D1209&gt;E1209),"Erro","")</f>
        <v/>
      </c>
    </row>
    <row r="1210" spans="1:9" ht="20" hidden="1">
      <c r="A1210" s="345">
        <v>1460</v>
      </c>
      <c r="B1210" s="346" t="s">
        <v>246</v>
      </c>
      <c r="C1210" s="347">
        <v>390</v>
      </c>
      <c r="D1210" s="348">
        <v>46388</v>
      </c>
      <c r="E1210" s="348">
        <v>46722</v>
      </c>
      <c r="F1210" s="346" t="s">
        <v>606</v>
      </c>
      <c r="G1210" s="349" t="s">
        <v>446</v>
      </c>
      <c r="H1210" s="350">
        <f t="shared" si="26"/>
        <v>4680</v>
      </c>
      <c r="I1210" s="120" t="str">
        <f>IF(OR(D1210&lt;Capa!$A$5,D1210&gt;Capa!$A$7,E1210&lt;Capa!$A$5,E1210&gt;Capa!$A$7,D1210&gt;E1210),"Erro","")</f>
        <v/>
      </c>
    </row>
    <row r="1211" spans="1:9" ht="20" hidden="1">
      <c r="A1211" s="345">
        <v>1461</v>
      </c>
      <c r="B1211" s="346" t="s">
        <v>246</v>
      </c>
      <c r="C1211" s="347">
        <v>190</v>
      </c>
      <c r="D1211" s="348">
        <v>46753</v>
      </c>
      <c r="E1211" s="348">
        <v>47058</v>
      </c>
      <c r="F1211" s="346" t="s">
        <v>606</v>
      </c>
      <c r="G1211" s="349" t="s">
        <v>446</v>
      </c>
      <c r="H1211" s="350">
        <f t="shared" si="26"/>
        <v>2090</v>
      </c>
      <c r="I1211" s="120" t="str">
        <f>IF(OR(D1211&lt;Capa!$A$5,D1211&gt;Capa!$A$7,E1211&lt;Capa!$A$5,E1211&gt;Capa!$A$7,D1211&gt;E1211),"Erro","")</f>
        <v/>
      </c>
    </row>
    <row r="1212" spans="1:9" ht="30" hidden="1">
      <c r="A1212" s="345">
        <v>1463</v>
      </c>
      <c r="B1212" s="346" t="s">
        <v>258</v>
      </c>
      <c r="C1212" s="347">
        <v>50</v>
      </c>
      <c r="D1212" s="348">
        <v>45658</v>
      </c>
      <c r="E1212" s="348">
        <v>45992</v>
      </c>
      <c r="F1212" s="346" t="s">
        <v>606</v>
      </c>
      <c r="G1212" s="349" t="s">
        <v>447</v>
      </c>
      <c r="H1212" s="350">
        <f t="shared" si="26"/>
        <v>600</v>
      </c>
      <c r="I1212" s="120" t="str">
        <f>IF(OR(D1212&lt;Capa!$A$5,D1212&gt;Capa!$A$7,E1212&lt;Capa!$A$5,E1212&gt;Capa!$A$7,D1212&gt;E1212),"Erro","")</f>
        <v/>
      </c>
    </row>
    <row r="1213" spans="1:9" ht="30" hidden="1">
      <c r="A1213" s="345">
        <v>1464</v>
      </c>
      <c r="B1213" s="346" t="s">
        <v>258</v>
      </c>
      <c r="C1213" s="347">
        <v>50</v>
      </c>
      <c r="D1213" s="348">
        <v>46023</v>
      </c>
      <c r="E1213" s="348">
        <v>46357</v>
      </c>
      <c r="F1213" s="346" t="s">
        <v>606</v>
      </c>
      <c r="G1213" s="349" t="s">
        <v>447</v>
      </c>
      <c r="H1213" s="350">
        <f t="shared" si="26"/>
        <v>600</v>
      </c>
      <c r="I1213" s="120" t="str">
        <f>IF(OR(D1213&lt;Capa!$A$5,D1213&gt;Capa!$A$7,E1213&lt;Capa!$A$5,E1213&gt;Capa!$A$7,D1213&gt;E1213),"Erro","")</f>
        <v/>
      </c>
    </row>
    <row r="1214" spans="1:9" ht="30" hidden="1">
      <c r="A1214" s="345">
        <v>1465</v>
      </c>
      <c r="B1214" s="346" t="s">
        <v>258</v>
      </c>
      <c r="C1214" s="347">
        <v>50</v>
      </c>
      <c r="D1214" s="348">
        <v>46388</v>
      </c>
      <c r="E1214" s="348">
        <v>46722</v>
      </c>
      <c r="F1214" s="346" t="s">
        <v>606</v>
      </c>
      <c r="G1214" s="349" t="s">
        <v>447</v>
      </c>
      <c r="H1214" s="350">
        <f t="shared" si="26"/>
        <v>600</v>
      </c>
      <c r="I1214" s="120" t="str">
        <f>IF(OR(D1214&lt;Capa!$A$5,D1214&gt;Capa!$A$7,E1214&lt;Capa!$A$5,E1214&gt;Capa!$A$7,D1214&gt;E1214),"Erro","")</f>
        <v/>
      </c>
    </row>
    <row r="1215" spans="1:9" ht="30" hidden="1">
      <c r="A1215" s="345">
        <v>1466</v>
      </c>
      <c r="B1215" s="346" t="s">
        <v>258</v>
      </c>
      <c r="C1215" s="347">
        <v>20</v>
      </c>
      <c r="D1215" s="348">
        <v>46753</v>
      </c>
      <c r="E1215" s="348">
        <v>47058</v>
      </c>
      <c r="F1215" s="346" t="s">
        <v>606</v>
      </c>
      <c r="G1215" s="349" t="s">
        <v>447</v>
      </c>
      <c r="H1215" s="350">
        <f t="shared" si="26"/>
        <v>220</v>
      </c>
      <c r="I1215" s="120" t="str">
        <f>IF(OR(D1215&lt;Capa!$A$5,D1215&gt;Capa!$A$7,E1215&lt;Capa!$A$5,E1215&gt;Capa!$A$7,D1215&gt;E1215),"Erro","")</f>
        <v/>
      </c>
    </row>
    <row r="1216" spans="1:9" ht="40" hidden="1">
      <c r="A1216" s="345">
        <v>1467</v>
      </c>
      <c r="B1216" s="346" t="s">
        <v>276</v>
      </c>
      <c r="C1216" s="347">
        <v>500</v>
      </c>
      <c r="D1216" s="348">
        <v>45658</v>
      </c>
      <c r="E1216" s="348">
        <v>45992</v>
      </c>
      <c r="F1216" s="346" t="s">
        <v>606</v>
      </c>
      <c r="G1216" s="349" t="s">
        <v>448</v>
      </c>
      <c r="H1216" s="350">
        <f t="shared" si="26"/>
        <v>6000</v>
      </c>
      <c r="I1216" s="120" t="str">
        <f>IF(OR(D1216&lt;Capa!$A$5,D1216&gt;Capa!$A$7,E1216&lt;Capa!$A$5,E1216&gt;Capa!$A$7,D1216&gt;E1216),"Erro","")</f>
        <v/>
      </c>
    </row>
    <row r="1217" spans="1:9" ht="40" hidden="1">
      <c r="A1217" s="345">
        <v>1468</v>
      </c>
      <c r="B1217" s="346" t="s">
        <v>276</v>
      </c>
      <c r="C1217" s="347">
        <v>500</v>
      </c>
      <c r="D1217" s="348">
        <v>46023</v>
      </c>
      <c r="E1217" s="348">
        <v>46357</v>
      </c>
      <c r="F1217" s="346" t="s">
        <v>606</v>
      </c>
      <c r="G1217" s="349" t="s">
        <v>448</v>
      </c>
      <c r="H1217" s="350">
        <f t="shared" si="26"/>
        <v>6000</v>
      </c>
      <c r="I1217" s="120" t="str">
        <f>IF(OR(D1217&lt;Capa!$A$5,D1217&gt;Capa!$A$7,E1217&lt;Capa!$A$5,E1217&gt;Capa!$A$7,D1217&gt;E1217),"Erro","")</f>
        <v/>
      </c>
    </row>
    <row r="1218" spans="1:9" ht="40" hidden="1">
      <c r="A1218" s="345">
        <v>1469</v>
      </c>
      <c r="B1218" s="346" t="s">
        <v>276</v>
      </c>
      <c r="C1218" s="347">
        <v>500</v>
      </c>
      <c r="D1218" s="348">
        <v>46388</v>
      </c>
      <c r="E1218" s="348">
        <v>46722</v>
      </c>
      <c r="F1218" s="346" t="s">
        <v>606</v>
      </c>
      <c r="G1218" s="349" t="s">
        <v>448</v>
      </c>
      <c r="H1218" s="350">
        <f t="shared" si="26"/>
        <v>6000</v>
      </c>
      <c r="I1218" s="120" t="str">
        <f>IF(OR(D1218&lt;Capa!$A$5,D1218&gt;Capa!$A$7,E1218&lt;Capa!$A$5,E1218&gt;Capa!$A$7,D1218&gt;E1218),"Erro","")</f>
        <v/>
      </c>
    </row>
    <row r="1219" spans="1:9" ht="40" hidden="1">
      <c r="A1219" s="345">
        <v>1470</v>
      </c>
      <c r="B1219" s="346" t="s">
        <v>276</v>
      </c>
      <c r="C1219" s="347">
        <v>250</v>
      </c>
      <c r="D1219" s="348">
        <v>46753</v>
      </c>
      <c r="E1219" s="348">
        <v>47058</v>
      </c>
      <c r="F1219" s="346" t="s">
        <v>606</v>
      </c>
      <c r="G1219" s="349" t="s">
        <v>448</v>
      </c>
      <c r="H1219" s="350">
        <f t="shared" si="26"/>
        <v>2750</v>
      </c>
      <c r="I1219" s="120" t="str">
        <f>IF(OR(D1219&lt;Capa!$A$5,D1219&gt;Capa!$A$7,E1219&lt;Capa!$A$5,E1219&gt;Capa!$A$7,D1219&gt;E1219),"Erro","")</f>
        <v/>
      </c>
    </row>
    <row r="1220" spans="1:9" ht="40">
      <c r="A1220" s="345">
        <v>1472</v>
      </c>
      <c r="B1220" s="346" t="s">
        <v>278</v>
      </c>
      <c r="C1220" s="347">
        <v>36500</v>
      </c>
      <c r="D1220" s="348">
        <v>45658</v>
      </c>
      <c r="E1220" s="348">
        <v>45992</v>
      </c>
      <c r="F1220" s="346" t="s">
        <v>606</v>
      </c>
      <c r="G1220" s="349" t="s">
        <v>449</v>
      </c>
      <c r="H1220" s="350">
        <f t="shared" si="26"/>
        <v>438000</v>
      </c>
      <c r="I1220" s="120" t="str">
        <f>IF(OR(D1220&lt;Capa!$A$5,D1220&gt;Capa!$A$7,E1220&lt;Capa!$A$5,E1220&gt;Capa!$A$7,D1220&gt;E1220),"Erro","")</f>
        <v/>
      </c>
    </row>
    <row r="1221" spans="1:9" ht="40">
      <c r="A1221" s="345">
        <v>1473</v>
      </c>
      <c r="B1221" s="346" t="s">
        <v>278</v>
      </c>
      <c r="C1221" s="347">
        <v>36500</v>
      </c>
      <c r="D1221" s="348">
        <v>46023</v>
      </c>
      <c r="E1221" s="348">
        <v>46357</v>
      </c>
      <c r="F1221" s="346" t="s">
        <v>606</v>
      </c>
      <c r="G1221" s="349" t="s">
        <v>449</v>
      </c>
      <c r="H1221" s="350">
        <f t="shared" si="26"/>
        <v>438000</v>
      </c>
      <c r="I1221" s="120" t="str">
        <f>IF(OR(D1221&lt;Capa!$A$5,D1221&gt;Capa!$A$7,E1221&lt;Capa!$A$5,E1221&gt;Capa!$A$7,D1221&gt;E1221),"Erro","")</f>
        <v/>
      </c>
    </row>
    <row r="1222" spans="1:9" ht="40">
      <c r="A1222" s="345">
        <v>1474</v>
      </c>
      <c r="B1222" s="346" t="s">
        <v>278</v>
      </c>
      <c r="C1222" s="347">
        <v>36500</v>
      </c>
      <c r="D1222" s="348">
        <v>46388</v>
      </c>
      <c r="E1222" s="348">
        <v>46722</v>
      </c>
      <c r="F1222" s="346" t="s">
        <v>606</v>
      </c>
      <c r="G1222" s="349" t="s">
        <v>449</v>
      </c>
      <c r="H1222" s="350">
        <f t="shared" si="26"/>
        <v>438000</v>
      </c>
      <c r="I1222" s="120" t="str">
        <f>IF(OR(D1222&lt;Capa!$A$5,D1222&gt;Capa!$A$7,E1222&lt;Capa!$A$5,E1222&gt;Capa!$A$7,D1222&gt;E1222),"Erro","")</f>
        <v/>
      </c>
    </row>
    <row r="1223" spans="1:9" ht="40">
      <c r="A1223" s="345">
        <v>1475</v>
      </c>
      <c r="B1223" s="346" t="s">
        <v>278</v>
      </c>
      <c r="C1223" s="347">
        <v>18500</v>
      </c>
      <c r="D1223" s="348">
        <v>46753</v>
      </c>
      <c r="E1223" s="348">
        <v>47058</v>
      </c>
      <c r="F1223" s="346" t="s">
        <v>606</v>
      </c>
      <c r="G1223" s="349" t="s">
        <v>449</v>
      </c>
      <c r="H1223" s="350">
        <f t="shared" si="26"/>
        <v>203500</v>
      </c>
      <c r="I1223" s="120" t="str">
        <f>IF(OR(D1223&lt;Capa!$A$5,D1223&gt;Capa!$A$7,E1223&lt;Capa!$A$5,E1223&gt;Capa!$A$7,D1223&gt;E1223),"Erro","")</f>
        <v/>
      </c>
    </row>
    <row r="1224" spans="1:9" ht="40" hidden="1">
      <c r="A1224" s="345">
        <v>1476</v>
      </c>
      <c r="B1224" s="346" t="s">
        <v>280</v>
      </c>
      <c r="C1224" s="347">
        <v>100</v>
      </c>
      <c r="D1224" s="348">
        <v>45658</v>
      </c>
      <c r="E1224" s="348">
        <v>47058</v>
      </c>
      <c r="F1224" s="346" t="s">
        <v>606</v>
      </c>
      <c r="G1224" s="349" t="s">
        <v>450</v>
      </c>
      <c r="H1224" s="350">
        <f t="shared" si="26"/>
        <v>4700</v>
      </c>
      <c r="I1224" s="120" t="str">
        <f>IF(OR(D1224&lt;Capa!$A$5,D1224&gt;Capa!$A$7,E1224&lt;Capa!$A$5,E1224&gt;Capa!$A$7,D1224&gt;E1224),"Erro","")</f>
        <v/>
      </c>
    </row>
    <row r="1225" spans="1:9" ht="40" hidden="1">
      <c r="A1225" s="345">
        <v>1478</v>
      </c>
      <c r="B1225" s="346" t="s">
        <v>282</v>
      </c>
      <c r="C1225" s="347">
        <v>100</v>
      </c>
      <c r="D1225" s="348">
        <v>45658</v>
      </c>
      <c r="E1225" s="348">
        <v>45992</v>
      </c>
      <c r="F1225" s="346" t="s">
        <v>606</v>
      </c>
      <c r="G1225" s="349" t="s">
        <v>451</v>
      </c>
      <c r="H1225" s="350">
        <f t="shared" si="26"/>
        <v>1200</v>
      </c>
      <c r="I1225" s="120" t="str">
        <f>IF(OR(D1225&lt;Capa!$A$5,D1225&gt;Capa!$A$7,E1225&lt;Capa!$A$5,E1225&gt;Capa!$A$7,D1225&gt;E1225),"Erro","")</f>
        <v/>
      </c>
    </row>
    <row r="1226" spans="1:9" ht="40" hidden="1">
      <c r="A1226" s="345">
        <v>1479</v>
      </c>
      <c r="B1226" s="346" t="s">
        <v>282</v>
      </c>
      <c r="C1226" s="347">
        <v>100</v>
      </c>
      <c r="D1226" s="348">
        <v>46023</v>
      </c>
      <c r="E1226" s="348">
        <v>46357</v>
      </c>
      <c r="F1226" s="346" t="s">
        <v>606</v>
      </c>
      <c r="G1226" s="349" t="s">
        <v>451</v>
      </c>
      <c r="H1226" s="350">
        <f t="shared" si="26"/>
        <v>1200</v>
      </c>
      <c r="I1226" s="120" t="str">
        <f>IF(OR(D1226&lt;Capa!$A$5,D1226&gt;Capa!$A$7,E1226&lt;Capa!$A$5,E1226&gt;Capa!$A$7,D1226&gt;E1226),"Erro","")</f>
        <v/>
      </c>
    </row>
    <row r="1227" spans="1:9" ht="40" hidden="1">
      <c r="A1227" s="345">
        <v>1480</v>
      </c>
      <c r="B1227" s="346" t="s">
        <v>282</v>
      </c>
      <c r="C1227" s="347">
        <v>50</v>
      </c>
      <c r="D1227" s="348">
        <v>46388</v>
      </c>
      <c r="E1227" s="348">
        <v>46722</v>
      </c>
      <c r="F1227" s="346" t="s">
        <v>606</v>
      </c>
      <c r="G1227" s="349" t="s">
        <v>451</v>
      </c>
      <c r="H1227" s="350">
        <f t="shared" si="26"/>
        <v>600</v>
      </c>
      <c r="I1227" s="120" t="str">
        <f>IF(OR(D1227&lt;Capa!$A$5,D1227&gt;Capa!$A$7,E1227&lt;Capa!$A$5,E1227&gt;Capa!$A$7,D1227&gt;E1227),"Erro","")</f>
        <v/>
      </c>
    </row>
    <row r="1228" spans="1:9" ht="40" hidden="1">
      <c r="A1228" s="345">
        <v>1481</v>
      </c>
      <c r="B1228" s="346" t="s">
        <v>282</v>
      </c>
      <c r="C1228" s="347">
        <v>200</v>
      </c>
      <c r="D1228" s="348">
        <v>46753</v>
      </c>
      <c r="E1228" s="348">
        <v>47058</v>
      </c>
      <c r="F1228" s="346" t="s">
        <v>606</v>
      </c>
      <c r="G1228" s="349" t="s">
        <v>451</v>
      </c>
      <c r="H1228" s="350">
        <f t="shared" ref="H1228:H1274" si="27">IFERROR((DATEDIF(D1228,E1228,"M")+1)*C1228,0)</f>
        <v>2200</v>
      </c>
      <c r="I1228" s="120" t="str">
        <f>IF(OR(D1228&lt;Capa!$A$5,D1228&gt;Capa!$A$7,E1228&lt;Capa!$A$5,E1228&gt;Capa!$A$7,D1228&gt;E1228),"Erro","")</f>
        <v/>
      </c>
    </row>
    <row r="1229" spans="1:9" ht="40" hidden="1">
      <c r="A1229" s="345">
        <v>1483</v>
      </c>
      <c r="B1229" s="346" t="s">
        <v>284</v>
      </c>
      <c r="C1229" s="347">
        <v>950</v>
      </c>
      <c r="D1229" s="348">
        <v>45658</v>
      </c>
      <c r="E1229" s="348">
        <v>45992</v>
      </c>
      <c r="F1229" s="346" t="s">
        <v>606</v>
      </c>
      <c r="G1229" s="349" t="s">
        <v>451</v>
      </c>
      <c r="H1229" s="350">
        <f t="shared" si="27"/>
        <v>11400</v>
      </c>
      <c r="I1229" s="120" t="str">
        <f>IF(OR(D1229&lt;Capa!$A$5,D1229&gt;Capa!$A$7,E1229&lt;Capa!$A$5,E1229&gt;Capa!$A$7,D1229&gt;E1229),"Erro","")</f>
        <v/>
      </c>
    </row>
    <row r="1230" spans="1:9" ht="40" hidden="1">
      <c r="A1230" s="345">
        <v>1484</v>
      </c>
      <c r="B1230" s="346" t="s">
        <v>284</v>
      </c>
      <c r="C1230" s="347">
        <v>950</v>
      </c>
      <c r="D1230" s="348">
        <v>46023</v>
      </c>
      <c r="E1230" s="348">
        <v>46357</v>
      </c>
      <c r="F1230" s="346" t="s">
        <v>606</v>
      </c>
      <c r="G1230" s="349" t="s">
        <v>451</v>
      </c>
      <c r="H1230" s="350">
        <f t="shared" si="27"/>
        <v>11400</v>
      </c>
      <c r="I1230" s="120" t="str">
        <f>IF(OR(D1230&lt;Capa!$A$5,D1230&gt;Capa!$A$7,E1230&lt;Capa!$A$5,E1230&gt;Capa!$A$7,D1230&gt;E1230),"Erro","")</f>
        <v/>
      </c>
    </row>
    <row r="1231" spans="1:9" ht="40" hidden="1">
      <c r="A1231" s="345">
        <v>1485</v>
      </c>
      <c r="B1231" s="346" t="s">
        <v>284</v>
      </c>
      <c r="C1231" s="347">
        <v>950</v>
      </c>
      <c r="D1231" s="348">
        <v>46388</v>
      </c>
      <c r="E1231" s="348">
        <v>46722</v>
      </c>
      <c r="F1231" s="346" t="s">
        <v>606</v>
      </c>
      <c r="G1231" s="349" t="s">
        <v>451</v>
      </c>
      <c r="H1231" s="350">
        <f t="shared" si="27"/>
        <v>11400</v>
      </c>
      <c r="I1231" s="120" t="str">
        <f>IF(OR(D1231&lt;Capa!$A$5,D1231&gt;Capa!$A$7,E1231&lt;Capa!$A$5,E1231&gt;Capa!$A$7,D1231&gt;E1231),"Erro","")</f>
        <v/>
      </c>
    </row>
    <row r="1232" spans="1:9" ht="40" hidden="1">
      <c r="A1232" s="345">
        <v>1486</v>
      </c>
      <c r="B1232" s="346" t="s">
        <v>284</v>
      </c>
      <c r="C1232" s="347">
        <v>400</v>
      </c>
      <c r="D1232" s="348">
        <v>46753</v>
      </c>
      <c r="E1232" s="348">
        <v>47058</v>
      </c>
      <c r="F1232" s="346" t="s">
        <v>606</v>
      </c>
      <c r="G1232" s="349" t="s">
        <v>451</v>
      </c>
      <c r="H1232" s="350">
        <f t="shared" si="27"/>
        <v>4400</v>
      </c>
      <c r="I1232" s="120" t="str">
        <f>IF(OR(D1232&lt;Capa!$A$5,D1232&gt;Capa!$A$7,E1232&lt;Capa!$A$5,E1232&gt;Capa!$A$7,D1232&gt;E1232),"Erro","")</f>
        <v/>
      </c>
    </row>
    <row r="1233" spans="1:9" ht="40" hidden="1">
      <c r="A1233" s="345">
        <v>1488</v>
      </c>
      <c r="B1233" s="346" t="s">
        <v>286</v>
      </c>
      <c r="C1233" s="347">
        <v>1000</v>
      </c>
      <c r="D1233" s="348">
        <v>45658</v>
      </c>
      <c r="E1233" s="348">
        <v>45992</v>
      </c>
      <c r="F1233" s="346" t="s">
        <v>606</v>
      </c>
      <c r="G1233" s="349" t="s">
        <v>451</v>
      </c>
      <c r="H1233" s="350">
        <f t="shared" si="27"/>
        <v>12000</v>
      </c>
      <c r="I1233" s="120" t="str">
        <f>IF(OR(D1233&lt;Capa!$A$5,D1233&gt;Capa!$A$7,E1233&lt;Capa!$A$5,E1233&gt;Capa!$A$7,D1233&gt;E1233),"Erro","")</f>
        <v/>
      </c>
    </row>
    <row r="1234" spans="1:9" ht="40" hidden="1">
      <c r="A1234" s="345">
        <v>1489</v>
      </c>
      <c r="B1234" s="346" t="s">
        <v>286</v>
      </c>
      <c r="C1234" s="347">
        <v>1000</v>
      </c>
      <c r="D1234" s="348">
        <v>46023</v>
      </c>
      <c r="E1234" s="348">
        <v>46357</v>
      </c>
      <c r="F1234" s="346" t="s">
        <v>606</v>
      </c>
      <c r="G1234" s="349" t="s">
        <v>451</v>
      </c>
      <c r="H1234" s="350">
        <f t="shared" si="27"/>
        <v>12000</v>
      </c>
      <c r="I1234" s="120" t="str">
        <f>IF(OR(D1234&lt;Capa!$A$5,D1234&gt;Capa!$A$7,E1234&lt;Capa!$A$5,E1234&gt;Capa!$A$7,D1234&gt;E1234),"Erro","")</f>
        <v/>
      </c>
    </row>
    <row r="1235" spans="1:9" ht="40" hidden="1">
      <c r="A1235" s="345">
        <v>1490</v>
      </c>
      <c r="B1235" s="346" t="s">
        <v>286</v>
      </c>
      <c r="C1235" s="347">
        <v>1000</v>
      </c>
      <c r="D1235" s="348">
        <v>46388</v>
      </c>
      <c r="E1235" s="348">
        <v>46722</v>
      </c>
      <c r="F1235" s="346" t="s">
        <v>606</v>
      </c>
      <c r="G1235" s="349" t="s">
        <v>451</v>
      </c>
      <c r="H1235" s="350">
        <f t="shared" si="27"/>
        <v>12000</v>
      </c>
      <c r="I1235" s="120" t="str">
        <f>IF(OR(D1235&lt;Capa!$A$5,D1235&gt;Capa!$A$7,E1235&lt;Capa!$A$5,E1235&gt;Capa!$A$7,D1235&gt;E1235),"Erro","")</f>
        <v/>
      </c>
    </row>
    <row r="1236" spans="1:9" ht="40" hidden="1">
      <c r="A1236" s="345">
        <v>1491</v>
      </c>
      <c r="B1236" s="346" t="s">
        <v>286</v>
      </c>
      <c r="C1236" s="347">
        <v>500</v>
      </c>
      <c r="D1236" s="348">
        <v>46753</v>
      </c>
      <c r="E1236" s="348">
        <v>47058</v>
      </c>
      <c r="F1236" s="346" t="s">
        <v>606</v>
      </c>
      <c r="G1236" s="349" t="s">
        <v>451</v>
      </c>
      <c r="H1236" s="350">
        <f t="shared" si="27"/>
        <v>5500</v>
      </c>
      <c r="I1236" s="120" t="str">
        <f>IF(OR(D1236&lt;Capa!$A$5,D1236&gt;Capa!$A$7,E1236&lt;Capa!$A$5,E1236&gt;Capa!$A$7,D1236&gt;E1236),"Erro","")</f>
        <v/>
      </c>
    </row>
    <row r="1237" spans="1:9" ht="30" hidden="1">
      <c r="A1237" s="345">
        <v>1493</v>
      </c>
      <c r="B1237" s="346" t="s">
        <v>288</v>
      </c>
      <c r="C1237" s="347">
        <v>200</v>
      </c>
      <c r="D1237" s="348">
        <v>45658</v>
      </c>
      <c r="E1237" s="348">
        <v>45992</v>
      </c>
      <c r="F1237" s="346" t="s">
        <v>606</v>
      </c>
      <c r="G1237" s="349" t="s">
        <v>452</v>
      </c>
      <c r="H1237" s="350">
        <f t="shared" si="27"/>
        <v>2400</v>
      </c>
      <c r="I1237" s="120" t="str">
        <f>IF(OR(D1237&lt;Capa!$A$5,D1237&gt;Capa!$A$7,E1237&lt;Capa!$A$5,E1237&gt;Capa!$A$7,D1237&gt;E1237),"Erro","")</f>
        <v/>
      </c>
    </row>
    <row r="1238" spans="1:9" ht="30" hidden="1">
      <c r="A1238" s="345">
        <v>1494</v>
      </c>
      <c r="B1238" s="346" t="s">
        <v>288</v>
      </c>
      <c r="C1238" s="347">
        <v>200</v>
      </c>
      <c r="D1238" s="348">
        <v>46023</v>
      </c>
      <c r="E1238" s="348">
        <v>46357</v>
      </c>
      <c r="F1238" s="346" t="s">
        <v>606</v>
      </c>
      <c r="G1238" s="349" t="s">
        <v>452</v>
      </c>
      <c r="H1238" s="350">
        <f t="shared" si="27"/>
        <v>2400</v>
      </c>
      <c r="I1238" s="120" t="str">
        <f>IF(OR(D1238&lt;Capa!$A$5,D1238&gt;Capa!$A$7,E1238&lt;Capa!$A$5,E1238&gt;Capa!$A$7,D1238&gt;E1238),"Erro","")</f>
        <v/>
      </c>
    </row>
    <row r="1239" spans="1:9" ht="30" hidden="1">
      <c r="A1239" s="345">
        <v>1495</v>
      </c>
      <c r="B1239" s="346" t="s">
        <v>288</v>
      </c>
      <c r="C1239" s="347">
        <v>200</v>
      </c>
      <c r="D1239" s="348">
        <v>46388</v>
      </c>
      <c r="E1239" s="348">
        <v>46722</v>
      </c>
      <c r="F1239" s="346" t="s">
        <v>606</v>
      </c>
      <c r="G1239" s="349" t="s">
        <v>452</v>
      </c>
      <c r="H1239" s="350">
        <f t="shared" si="27"/>
        <v>2400</v>
      </c>
      <c r="I1239" s="120" t="str">
        <f>IF(OR(D1239&lt;Capa!$A$5,D1239&gt;Capa!$A$7,E1239&lt;Capa!$A$5,E1239&gt;Capa!$A$7,D1239&gt;E1239),"Erro","")</f>
        <v/>
      </c>
    </row>
    <row r="1240" spans="1:9" ht="30" hidden="1">
      <c r="A1240" s="345">
        <v>1496</v>
      </c>
      <c r="B1240" s="346" t="s">
        <v>288</v>
      </c>
      <c r="C1240" s="347">
        <v>100</v>
      </c>
      <c r="D1240" s="348">
        <v>46753</v>
      </c>
      <c r="E1240" s="348">
        <v>47058</v>
      </c>
      <c r="F1240" s="346" t="s">
        <v>606</v>
      </c>
      <c r="G1240" s="349" t="s">
        <v>452</v>
      </c>
      <c r="H1240" s="350">
        <f t="shared" si="27"/>
        <v>1100</v>
      </c>
      <c r="I1240" s="120" t="str">
        <f>IF(OR(D1240&lt;Capa!$A$5,D1240&gt;Capa!$A$7,E1240&lt;Capa!$A$5,E1240&gt;Capa!$A$7,D1240&gt;E1240),"Erro","")</f>
        <v/>
      </c>
    </row>
    <row r="1241" spans="1:9" ht="30" hidden="1">
      <c r="A1241" s="345">
        <v>1498</v>
      </c>
      <c r="B1241" s="346" t="s">
        <v>294</v>
      </c>
      <c r="C1241" s="347">
        <v>2000</v>
      </c>
      <c r="D1241" s="348">
        <v>45658</v>
      </c>
      <c r="E1241" s="348">
        <v>45992</v>
      </c>
      <c r="F1241" s="346" t="s">
        <v>606</v>
      </c>
      <c r="G1241" s="349" t="s">
        <v>453</v>
      </c>
      <c r="H1241" s="350">
        <f t="shared" si="27"/>
        <v>24000</v>
      </c>
      <c r="I1241" s="120" t="str">
        <f>IF(OR(D1241&lt;Capa!$A$5,D1241&gt;Capa!$A$7,E1241&lt;Capa!$A$5,E1241&gt;Capa!$A$7,D1241&gt;E1241),"Erro","")</f>
        <v/>
      </c>
    </row>
    <row r="1242" spans="1:9" ht="30" hidden="1">
      <c r="A1242" s="345">
        <v>1499</v>
      </c>
      <c r="B1242" s="346" t="s">
        <v>294</v>
      </c>
      <c r="C1242" s="347">
        <v>2000</v>
      </c>
      <c r="D1242" s="348">
        <v>46023</v>
      </c>
      <c r="E1242" s="348">
        <v>46357</v>
      </c>
      <c r="F1242" s="346" t="s">
        <v>606</v>
      </c>
      <c r="G1242" s="349" t="s">
        <v>453</v>
      </c>
      <c r="H1242" s="350">
        <f t="shared" si="27"/>
        <v>24000</v>
      </c>
      <c r="I1242" s="120" t="str">
        <f>IF(OR(D1242&lt;Capa!$A$5,D1242&gt;Capa!$A$7,E1242&lt;Capa!$A$5,E1242&gt;Capa!$A$7,D1242&gt;E1242),"Erro","")</f>
        <v/>
      </c>
    </row>
    <row r="1243" spans="1:9" ht="30" hidden="1">
      <c r="A1243" s="345">
        <v>1500</v>
      </c>
      <c r="B1243" s="346" t="s">
        <v>294</v>
      </c>
      <c r="C1243" s="347">
        <v>2000</v>
      </c>
      <c r="D1243" s="348">
        <v>46388</v>
      </c>
      <c r="E1243" s="348">
        <v>46722</v>
      </c>
      <c r="F1243" s="346" t="s">
        <v>606</v>
      </c>
      <c r="G1243" s="349" t="s">
        <v>453</v>
      </c>
      <c r="H1243" s="350">
        <f t="shared" si="27"/>
        <v>24000</v>
      </c>
      <c r="I1243" s="120" t="str">
        <f>IF(OR(D1243&lt;Capa!$A$5,D1243&gt;Capa!$A$7,E1243&lt;Capa!$A$5,E1243&gt;Capa!$A$7,D1243&gt;E1243),"Erro","")</f>
        <v/>
      </c>
    </row>
    <row r="1244" spans="1:9" ht="30" hidden="1">
      <c r="A1244" s="345">
        <v>1501</v>
      </c>
      <c r="B1244" s="346" t="s">
        <v>294</v>
      </c>
      <c r="C1244" s="347">
        <v>2000</v>
      </c>
      <c r="D1244" s="348">
        <v>46753</v>
      </c>
      <c r="E1244" s="348">
        <v>47058</v>
      </c>
      <c r="F1244" s="346" t="s">
        <v>606</v>
      </c>
      <c r="G1244" s="349" t="s">
        <v>453</v>
      </c>
      <c r="H1244" s="350">
        <f t="shared" si="27"/>
        <v>22000</v>
      </c>
      <c r="I1244" s="120" t="str">
        <f>IF(OR(D1244&lt;Capa!$A$5,D1244&gt;Capa!$A$7,E1244&lt;Capa!$A$5,E1244&gt;Capa!$A$7,D1244&gt;E1244),"Erro","")</f>
        <v/>
      </c>
    </row>
    <row r="1245" spans="1:9" ht="20" hidden="1">
      <c r="A1245" s="345">
        <v>1503</v>
      </c>
      <c r="B1245" s="346" t="s">
        <v>302</v>
      </c>
      <c r="C1245" s="347">
        <v>100</v>
      </c>
      <c r="D1245" s="348">
        <v>45658</v>
      </c>
      <c r="E1245" s="348">
        <v>45992</v>
      </c>
      <c r="F1245" s="346" t="s">
        <v>606</v>
      </c>
      <c r="G1245" s="349" t="s">
        <v>454</v>
      </c>
      <c r="H1245" s="350">
        <f t="shared" si="27"/>
        <v>1200</v>
      </c>
      <c r="I1245" s="120" t="str">
        <f>IF(OR(D1245&lt;Capa!$A$5,D1245&gt;Capa!$A$7,E1245&lt;Capa!$A$5,E1245&gt;Capa!$A$7,D1245&gt;E1245),"Erro","")</f>
        <v/>
      </c>
    </row>
    <row r="1246" spans="1:9" ht="20" hidden="1">
      <c r="A1246" s="345">
        <v>1504</v>
      </c>
      <c r="B1246" s="346" t="s">
        <v>302</v>
      </c>
      <c r="C1246" s="347">
        <v>100</v>
      </c>
      <c r="D1246" s="348">
        <v>46023</v>
      </c>
      <c r="E1246" s="348">
        <v>46357</v>
      </c>
      <c r="F1246" s="346" t="s">
        <v>606</v>
      </c>
      <c r="G1246" s="349" t="s">
        <v>454</v>
      </c>
      <c r="H1246" s="350">
        <f t="shared" si="27"/>
        <v>1200</v>
      </c>
      <c r="I1246" s="120" t="str">
        <f>IF(OR(D1246&lt;Capa!$A$5,D1246&gt;Capa!$A$7,E1246&lt;Capa!$A$5,E1246&gt;Capa!$A$7,D1246&gt;E1246),"Erro","")</f>
        <v/>
      </c>
    </row>
    <row r="1247" spans="1:9" ht="20" hidden="1">
      <c r="A1247" s="345">
        <v>1505</v>
      </c>
      <c r="B1247" s="346" t="s">
        <v>302</v>
      </c>
      <c r="C1247" s="347">
        <v>100</v>
      </c>
      <c r="D1247" s="348">
        <v>46388</v>
      </c>
      <c r="E1247" s="348">
        <v>46722</v>
      </c>
      <c r="F1247" s="346" t="s">
        <v>606</v>
      </c>
      <c r="G1247" s="349" t="s">
        <v>454</v>
      </c>
      <c r="H1247" s="350">
        <f t="shared" si="27"/>
        <v>1200</v>
      </c>
      <c r="I1247" s="120" t="str">
        <f>IF(OR(D1247&lt;Capa!$A$5,D1247&gt;Capa!$A$7,E1247&lt;Capa!$A$5,E1247&gt;Capa!$A$7,D1247&gt;E1247),"Erro","")</f>
        <v/>
      </c>
    </row>
    <row r="1248" spans="1:9" ht="20" hidden="1">
      <c r="A1248" s="345">
        <v>1506</v>
      </c>
      <c r="B1248" s="346" t="s">
        <v>302</v>
      </c>
      <c r="C1248" s="347">
        <v>50</v>
      </c>
      <c r="D1248" s="348">
        <v>46753</v>
      </c>
      <c r="E1248" s="348">
        <v>47058</v>
      </c>
      <c r="F1248" s="346" t="s">
        <v>606</v>
      </c>
      <c r="G1248" s="349" t="s">
        <v>454</v>
      </c>
      <c r="H1248" s="350">
        <f t="shared" si="27"/>
        <v>550</v>
      </c>
      <c r="I1248" s="120" t="str">
        <f>IF(OR(D1248&lt;Capa!$A$5,D1248&gt;Capa!$A$7,E1248&lt;Capa!$A$5,E1248&gt;Capa!$A$7,D1248&gt;E1248),"Erro","")</f>
        <v/>
      </c>
    </row>
    <row r="1249" spans="1:9" ht="30" hidden="1">
      <c r="A1249" s="345">
        <v>1508</v>
      </c>
      <c r="B1249" s="346" t="s">
        <v>304</v>
      </c>
      <c r="C1249" s="347">
        <v>1000</v>
      </c>
      <c r="D1249" s="348">
        <v>45658</v>
      </c>
      <c r="E1249" s="348">
        <v>45992</v>
      </c>
      <c r="F1249" s="346" t="s">
        <v>606</v>
      </c>
      <c r="G1249" s="349" t="s">
        <v>455</v>
      </c>
      <c r="H1249" s="350">
        <f t="shared" si="27"/>
        <v>12000</v>
      </c>
      <c r="I1249" s="120" t="str">
        <f>IF(OR(D1249&lt;Capa!$A$5,D1249&gt;Capa!$A$7,E1249&lt;Capa!$A$5,E1249&gt;Capa!$A$7,D1249&gt;E1249),"Erro","")</f>
        <v/>
      </c>
    </row>
    <row r="1250" spans="1:9" ht="30" hidden="1">
      <c r="A1250" s="345">
        <v>1509</v>
      </c>
      <c r="B1250" s="346" t="s">
        <v>304</v>
      </c>
      <c r="C1250" s="347">
        <v>1000</v>
      </c>
      <c r="D1250" s="348">
        <v>46023</v>
      </c>
      <c r="E1250" s="348">
        <v>46357</v>
      </c>
      <c r="F1250" s="346" t="s">
        <v>606</v>
      </c>
      <c r="G1250" s="349" t="s">
        <v>455</v>
      </c>
      <c r="H1250" s="350">
        <f t="shared" si="27"/>
        <v>12000</v>
      </c>
      <c r="I1250" s="120" t="str">
        <f>IF(OR(D1250&lt;Capa!$A$5,D1250&gt;Capa!$A$7,E1250&lt;Capa!$A$5,E1250&gt;Capa!$A$7,D1250&gt;E1250),"Erro","")</f>
        <v/>
      </c>
    </row>
    <row r="1251" spans="1:9" ht="30" hidden="1">
      <c r="A1251" s="345">
        <v>1510</v>
      </c>
      <c r="B1251" s="346" t="s">
        <v>304</v>
      </c>
      <c r="C1251" s="347">
        <v>1000</v>
      </c>
      <c r="D1251" s="348">
        <v>46388</v>
      </c>
      <c r="E1251" s="348">
        <v>46722</v>
      </c>
      <c r="F1251" s="346" t="s">
        <v>606</v>
      </c>
      <c r="G1251" s="349" t="s">
        <v>455</v>
      </c>
      <c r="H1251" s="350">
        <f t="shared" si="27"/>
        <v>12000</v>
      </c>
      <c r="I1251" s="120" t="str">
        <f>IF(OR(D1251&lt;Capa!$A$5,D1251&gt;Capa!$A$7,E1251&lt;Capa!$A$5,E1251&gt;Capa!$A$7,D1251&gt;E1251),"Erro","")</f>
        <v/>
      </c>
    </row>
    <row r="1252" spans="1:9" ht="30" hidden="1">
      <c r="A1252" s="345">
        <v>1511</v>
      </c>
      <c r="B1252" s="346" t="s">
        <v>304</v>
      </c>
      <c r="C1252" s="347">
        <v>500</v>
      </c>
      <c r="D1252" s="348">
        <v>46753</v>
      </c>
      <c r="E1252" s="348">
        <v>47058</v>
      </c>
      <c r="F1252" s="346" t="s">
        <v>606</v>
      </c>
      <c r="G1252" s="349" t="s">
        <v>455</v>
      </c>
      <c r="H1252" s="350">
        <f t="shared" si="27"/>
        <v>5500</v>
      </c>
      <c r="I1252" s="120" t="str">
        <f>IF(OR(D1252&lt;Capa!$A$5,D1252&gt;Capa!$A$7,E1252&lt;Capa!$A$5,E1252&gt;Capa!$A$7,D1252&gt;E1252),"Erro","")</f>
        <v/>
      </c>
    </row>
    <row r="1253" spans="1:9" ht="30" hidden="1">
      <c r="A1253" s="345">
        <v>1512</v>
      </c>
      <c r="B1253" s="346" t="s">
        <v>312</v>
      </c>
      <c r="C1253" s="347">
        <v>200</v>
      </c>
      <c r="D1253" s="348">
        <v>45658</v>
      </c>
      <c r="E1253" s="348">
        <v>45992</v>
      </c>
      <c r="F1253" s="346" t="s">
        <v>606</v>
      </c>
      <c r="G1253" s="349" t="s">
        <v>571</v>
      </c>
      <c r="H1253" s="350">
        <f t="shared" si="27"/>
        <v>2400</v>
      </c>
      <c r="I1253" s="120" t="str">
        <f>IF(OR(D1253&lt;Capa!$A$5,D1253&gt;Capa!$A$7,E1253&lt;Capa!$A$5,E1253&gt;Capa!$A$7,D1253&gt;E1253),"Erro","")</f>
        <v/>
      </c>
    </row>
    <row r="1254" spans="1:9" ht="30" hidden="1">
      <c r="A1254" s="345">
        <v>1513</v>
      </c>
      <c r="B1254" s="346" t="s">
        <v>312</v>
      </c>
      <c r="C1254" s="347">
        <v>200</v>
      </c>
      <c r="D1254" s="348">
        <v>46023</v>
      </c>
      <c r="E1254" s="348">
        <v>46357</v>
      </c>
      <c r="F1254" s="346" t="s">
        <v>606</v>
      </c>
      <c r="G1254" s="349" t="s">
        <v>571</v>
      </c>
      <c r="H1254" s="350">
        <f t="shared" si="27"/>
        <v>2400</v>
      </c>
      <c r="I1254" s="120" t="str">
        <f>IF(OR(D1254&lt;Capa!$A$5,D1254&gt;Capa!$A$7,E1254&lt;Capa!$A$5,E1254&gt;Capa!$A$7,D1254&gt;E1254),"Erro","")</f>
        <v/>
      </c>
    </row>
    <row r="1255" spans="1:9" ht="30" hidden="1">
      <c r="A1255" s="345">
        <v>1514</v>
      </c>
      <c r="B1255" s="346" t="s">
        <v>312</v>
      </c>
      <c r="C1255" s="347">
        <v>200</v>
      </c>
      <c r="D1255" s="348">
        <v>46388</v>
      </c>
      <c r="E1255" s="348">
        <v>46722</v>
      </c>
      <c r="F1255" s="346" t="s">
        <v>606</v>
      </c>
      <c r="G1255" s="349" t="s">
        <v>571</v>
      </c>
      <c r="H1255" s="350">
        <f t="shared" si="27"/>
        <v>2400</v>
      </c>
      <c r="I1255" s="120" t="str">
        <f>IF(OR(D1255&lt;Capa!$A$5,D1255&gt;Capa!$A$7,E1255&lt;Capa!$A$5,E1255&gt;Capa!$A$7,D1255&gt;E1255),"Erro","")</f>
        <v/>
      </c>
    </row>
    <row r="1256" spans="1:9" ht="30" hidden="1">
      <c r="A1256" s="345">
        <v>1515</v>
      </c>
      <c r="B1256" s="346" t="s">
        <v>312</v>
      </c>
      <c r="C1256" s="347">
        <v>100</v>
      </c>
      <c r="D1256" s="348">
        <v>46753</v>
      </c>
      <c r="E1256" s="348">
        <v>47058</v>
      </c>
      <c r="F1256" s="346" t="s">
        <v>606</v>
      </c>
      <c r="G1256" s="349" t="s">
        <v>571</v>
      </c>
      <c r="H1256" s="350">
        <f t="shared" si="27"/>
        <v>1100</v>
      </c>
      <c r="I1256" s="120" t="str">
        <f>IF(OR(D1256&lt;Capa!$A$5,D1256&gt;Capa!$A$7,E1256&lt;Capa!$A$5,E1256&gt;Capa!$A$7,D1256&gt;E1256),"Erro","")</f>
        <v/>
      </c>
    </row>
    <row r="1257" spans="1:9" ht="50" hidden="1">
      <c r="A1257" s="345">
        <v>1517</v>
      </c>
      <c r="B1257" s="346" t="s">
        <v>316</v>
      </c>
      <c r="C1257" s="347">
        <v>800</v>
      </c>
      <c r="D1257" s="348">
        <v>45658</v>
      </c>
      <c r="E1257" s="348">
        <v>45992</v>
      </c>
      <c r="F1257" s="346" t="s">
        <v>606</v>
      </c>
      <c r="G1257" s="349" t="s">
        <v>741</v>
      </c>
      <c r="H1257" s="350">
        <f t="shared" si="27"/>
        <v>9600</v>
      </c>
      <c r="I1257" s="120" t="str">
        <f>IF(OR(D1257&lt;Capa!$A$5,D1257&gt;Capa!$A$7,E1257&lt;Capa!$A$5,E1257&gt;Capa!$A$7,D1257&gt;E1257),"Erro","")</f>
        <v/>
      </c>
    </row>
    <row r="1258" spans="1:9" ht="50" hidden="1">
      <c r="A1258" s="345">
        <v>1518</v>
      </c>
      <c r="B1258" s="346" t="s">
        <v>316</v>
      </c>
      <c r="C1258" s="347">
        <v>800</v>
      </c>
      <c r="D1258" s="348">
        <v>46023</v>
      </c>
      <c r="E1258" s="348">
        <v>46357</v>
      </c>
      <c r="F1258" s="346" t="s">
        <v>606</v>
      </c>
      <c r="G1258" s="349" t="s">
        <v>741</v>
      </c>
      <c r="H1258" s="350">
        <f t="shared" si="27"/>
        <v>9600</v>
      </c>
      <c r="I1258" s="120" t="str">
        <f>IF(OR(D1258&lt;Capa!$A$5,D1258&gt;Capa!$A$7,E1258&lt;Capa!$A$5,E1258&gt;Capa!$A$7,D1258&gt;E1258),"Erro","")</f>
        <v/>
      </c>
    </row>
    <row r="1259" spans="1:9" ht="50" hidden="1">
      <c r="A1259" s="345">
        <v>1519</v>
      </c>
      <c r="B1259" s="346" t="s">
        <v>316</v>
      </c>
      <c r="C1259" s="347">
        <v>800</v>
      </c>
      <c r="D1259" s="348">
        <v>46388</v>
      </c>
      <c r="E1259" s="348">
        <v>46722</v>
      </c>
      <c r="F1259" s="346" t="s">
        <v>606</v>
      </c>
      <c r="G1259" s="349" t="s">
        <v>741</v>
      </c>
      <c r="H1259" s="350">
        <f t="shared" si="27"/>
        <v>9600</v>
      </c>
      <c r="I1259" s="120" t="str">
        <f>IF(OR(D1259&lt;Capa!$A$5,D1259&gt;Capa!$A$7,E1259&lt;Capa!$A$5,E1259&gt;Capa!$A$7,D1259&gt;E1259),"Erro","")</f>
        <v/>
      </c>
    </row>
    <row r="1260" spans="1:9" ht="50" hidden="1">
      <c r="A1260" s="345">
        <v>1520</v>
      </c>
      <c r="B1260" s="346" t="s">
        <v>316</v>
      </c>
      <c r="C1260" s="347">
        <v>400</v>
      </c>
      <c r="D1260" s="348">
        <v>46753</v>
      </c>
      <c r="E1260" s="348">
        <v>47058</v>
      </c>
      <c r="F1260" s="346" t="s">
        <v>606</v>
      </c>
      <c r="G1260" s="349" t="s">
        <v>741</v>
      </c>
      <c r="H1260" s="350">
        <f t="shared" si="27"/>
        <v>4400</v>
      </c>
      <c r="I1260" s="120" t="str">
        <f>IF(OR(D1260&lt;Capa!$A$5,D1260&gt;Capa!$A$7,E1260&lt;Capa!$A$5,E1260&gt;Capa!$A$7,D1260&gt;E1260),"Erro","")</f>
        <v/>
      </c>
    </row>
    <row r="1261" spans="1:9" ht="50" hidden="1">
      <c r="A1261" s="345">
        <v>1522</v>
      </c>
      <c r="B1261" s="346" t="s">
        <v>318</v>
      </c>
      <c r="C1261" s="347">
        <v>800</v>
      </c>
      <c r="D1261" s="348">
        <v>45658</v>
      </c>
      <c r="E1261" s="348">
        <v>45992</v>
      </c>
      <c r="F1261" s="346" t="s">
        <v>606</v>
      </c>
      <c r="G1261" s="349" t="s">
        <v>572</v>
      </c>
      <c r="H1261" s="350">
        <f t="shared" si="27"/>
        <v>9600</v>
      </c>
      <c r="I1261" s="120" t="str">
        <f>IF(OR(D1261&lt;Capa!$A$5,D1261&gt;Capa!$A$7,E1261&lt;Capa!$A$5,E1261&gt;Capa!$A$7,D1261&gt;E1261),"Erro","")</f>
        <v/>
      </c>
    </row>
    <row r="1262" spans="1:9" ht="50" hidden="1">
      <c r="A1262" s="345">
        <v>1523</v>
      </c>
      <c r="B1262" s="346" t="s">
        <v>318</v>
      </c>
      <c r="C1262" s="347">
        <v>800</v>
      </c>
      <c r="D1262" s="348">
        <v>46023</v>
      </c>
      <c r="E1262" s="348">
        <v>46357</v>
      </c>
      <c r="F1262" s="346" t="s">
        <v>606</v>
      </c>
      <c r="G1262" s="349" t="s">
        <v>572</v>
      </c>
      <c r="H1262" s="350">
        <f t="shared" si="27"/>
        <v>9600</v>
      </c>
      <c r="I1262" s="120" t="str">
        <f>IF(OR(D1262&lt;Capa!$A$5,D1262&gt;Capa!$A$7,E1262&lt;Capa!$A$5,E1262&gt;Capa!$A$7,D1262&gt;E1262),"Erro","")</f>
        <v/>
      </c>
    </row>
    <row r="1263" spans="1:9" ht="50" hidden="1">
      <c r="A1263" s="345">
        <v>1524</v>
      </c>
      <c r="B1263" s="346" t="s">
        <v>318</v>
      </c>
      <c r="C1263" s="347">
        <v>800</v>
      </c>
      <c r="D1263" s="348">
        <v>46388</v>
      </c>
      <c r="E1263" s="348">
        <v>46722</v>
      </c>
      <c r="F1263" s="346" t="s">
        <v>606</v>
      </c>
      <c r="G1263" s="349" t="s">
        <v>572</v>
      </c>
      <c r="H1263" s="350">
        <f t="shared" si="27"/>
        <v>9600</v>
      </c>
      <c r="I1263" s="120" t="str">
        <f>IF(OR(D1263&lt;Capa!$A$5,D1263&gt;Capa!$A$7,E1263&lt;Capa!$A$5,E1263&gt;Capa!$A$7,D1263&gt;E1263),"Erro","")</f>
        <v/>
      </c>
    </row>
    <row r="1264" spans="1:9" ht="50" hidden="1">
      <c r="A1264" s="345">
        <v>1525</v>
      </c>
      <c r="B1264" s="346" t="s">
        <v>318</v>
      </c>
      <c r="C1264" s="347">
        <v>300</v>
      </c>
      <c r="D1264" s="348">
        <v>46753</v>
      </c>
      <c r="E1264" s="348">
        <v>47058</v>
      </c>
      <c r="F1264" s="346" t="s">
        <v>606</v>
      </c>
      <c r="G1264" s="349" t="s">
        <v>572</v>
      </c>
      <c r="H1264" s="350">
        <f t="shared" si="27"/>
        <v>3300</v>
      </c>
      <c r="I1264" s="120" t="str">
        <f>IF(OR(D1264&lt;Capa!$A$5,D1264&gt;Capa!$A$7,E1264&lt;Capa!$A$5,E1264&gt;Capa!$A$7,D1264&gt;E1264),"Erro","")</f>
        <v/>
      </c>
    </row>
    <row r="1265" spans="1:9" ht="50" hidden="1">
      <c r="A1265" s="345">
        <v>1527</v>
      </c>
      <c r="B1265" s="346" t="s">
        <v>318</v>
      </c>
      <c r="C1265" s="347">
        <v>700</v>
      </c>
      <c r="D1265" s="348">
        <v>45658</v>
      </c>
      <c r="E1265" s="348">
        <v>45992</v>
      </c>
      <c r="F1265" s="346" t="s">
        <v>606</v>
      </c>
      <c r="G1265" s="349" t="s">
        <v>456</v>
      </c>
      <c r="H1265" s="350">
        <f t="shared" si="27"/>
        <v>8400</v>
      </c>
      <c r="I1265" s="120" t="str">
        <f>IF(OR(D1265&lt;Capa!$A$5,D1265&gt;Capa!$A$7,E1265&lt;Capa!$A$5,E1265&gt;Capa!$A$7,D1265&gt;E1265),"Erro","")</f>
        <v/>
      </c>
    </row>
    <row r="1266" spans="1:9" ht="50" hidden="1">
      <c r="A1266" s="345">
        <v>1528</v>
      </c>
      <c r="B1266" s="346" t="s">
        <v>318</v>
      </c>
      <c r="C1266" s="347">
        <v>700</v>
      </c>
      <c r="D1266" s="348">
        <v>46023</v>
      </c>
      <c r="E1266" s="348">
        <v>46357</v>
      </c>
      <c r="F1266" s="346" t="s">
        <v>606</v>
      </c>
      <c r="G1266" s="349" t="s">
        <v>456</v>
      </c>
      <c r="H1266" s="350">
        <f t="shared" si="27"/>
        <v>8400</v>
      </c>
      <c r="I1266" s="120" t="str">
        <f>IF(OR(D1266&lt;Capa!$A$5,D1266&gt;Capa!$A$7,E1266&lt;Capa!$A$5,E1266&gt;Capa!$A$7,D1266&gt;E1266),"Erro","")</f>
        <v/>
      </c>
    </row>
    <row r="1267" spans="1:9" ht="50" hidden="1">
      <c r="A1267" s="345">
        <v>1529</v>
      </c>
      <c r="B1267" s="346" t="s">
        <v>318</v>
      </c>
      <c r="C1267" s="347">
        <v>700</v>
      </c>
      <c r="D1267" s="348">
        <v>46388</v>
      </c>
      <c r="E1267" s="348">
        <v>46722</v>
      </c>
      <c r="F1267" s="346" t="s">
        <v>606</v>
      </c>
      <c r="G1267" s="349" t="s">
        <v>456</v>
      </c>
      <c r="H1267" s="350">
        <f t="shared" si="27"/>
        <v>8400</v>
      </c>
      <c r="I1267" s="120" t="str">
        <f>IF(OR(D1267&lt;Capa!$A$5,D1267&gt;Capa!$A$7,E1267&lt;Capa!$A$5,E1267&gt;Capa!$A$7,D1267&gt;E1267),"Erro","")</f>
        <v/>
      </c>
    </row>
    <row r="1268" spans="1:9" ht="50" hidden="1">
      <c r="A1268" s="345">
        <v>1530</v>
      </c>
      <c r="B1268" s="346" t="s">
        <v>318</v>
      </c>
      <c r="C1268" s="347">
        <v>300</v>
      </c>
      <c r="D1268" s="348">
        <v>46753</v>
      </c>
      <c r="E1268" s="348">
        <v>47058</v>
      </c>
      <c r="F1268" s="346" t="s">
        <v>606</v>
      </c>
      <c r="G1268" s="349" t="s">
        <v>456</v>
      </c>
      <c r="H1268" s="350">
        <f t="shared" si="27"/>
        <v>3300</v>
      </c>
      <c r="I1268" s="120" t="str">
        <f>IF(OR(D1268&lt;Capa!$A$5,D1268&gt;Capa!$A$7,E1268&lt;Capa!$A$5,E1268&gt;Capa!$A$7,D1268&gt;E1268),"Erro","")</f>
        <v/>
      </c>
    </row>
    <row r="1269" spans="1:9" ht="20" hidden="1">
      <c r="A1269" s="345">
        <v>1532</v>
      </c>
      <c r="B1269" s="346" t="s">
        <v>298</v>
      </c>
      <c r="C1269" s="347">
        <v>2450</v>
      </c>
      <c r="D1269" s="348">
        <v>45658</v>
      </c>
      <c r="E1269" s="348">
        <v>45992</v>
      </c>
      <c r="F1269" s="346" t="s">
        <v>606</v>
      </c>
      <c r="G1269" s="349" t="s">
        <v>457</v>
      </c>
      <c r="H1269" s="350">
        <f t="shared" si="27"/>
        <v>29400</v>
      </c>
      <c r="I1269" s="120" t="str">
        <f>IF(OR(D1269&lt;Capa!$A$5,D1269&gt;Capa!$A$7,E1269&lt;Capa!$A$5,E1269&gt;Capa!$A$7,D1269&gt;E1269),"Erro","")</f>
        <v/>
      </c>
    </row>
    <row r="1270" spans="1:9" ht="20" hidden="1">
      <c r="A1270" s="345">
        <v>1533</v>
      </c>
      <c r="B1270" s="346" t="s">
        <v>298</v>
      </c>
      <c r="C1270" s="347">
        <v>2450</v>
      </c>
      <c r="D1270" s="348">
        <v>46023</v>
      </c>
      <c r="E1270" s="348">
        <v>46357</v>
      </c>
      <c r="F1270" s="346" t="s">
        <v>606</v>
      </c>
      <c r="G1270" s="349" t="s">
        <v>457</v>
      </c>
      <c r="H1270" s="350">
        <f t="shared" si="27"/>
        <v>29400</v>
      </c>
      <c r="I1270" s="120" t="str">
        <f>IF(OR(D1270&lt;Capa!$A$5,D1270&gt;Capa!$A$7,E1270&lt;Capa!$A$5,E1270&gt;Capa!$A$7,D1270&gt;E1270),"Erro","")</f>
        <v/>
      </c>
    </row>
    <row r="1271" spans="1:9" ht="20" hidden="1">
      <c r="A1271" s="345">
        <v>1534</v>
      </c>
      <c r="B1271" s="346" t="s">
        <v>298</v>
      </c>
      <c r="C1271" s="347">
        <v>2450</v>
      </c>
      <c r="D1271" s="348">
        <v>46388</v>
      </c>
      <c r="E1271" s="348">
        <v>46722</v>
      </c>
      <c r="F1271" s="346" t="s">
        <v>606</v>
      </c>
      <c r="G1271" s="349" t="s">
        <v>457</v>
      </c>
      <c r="H1271" s="350">
        <f t="shared" si="27"/>
        <v>29400</v>
      </c>
      <c r="I1271" s="120" t="str">
        <f>IF(OR(D1271&lt;Capa!$A$5,D1271&gt;Capa!$A$7,E1271&lt;Capa!$A$5,E1271&gt;Capa!$A$7,D1271&gt;E1271),"Erro","")</f>
        <v/>
      </c>
    </row>
    <row r="1272" spans="1:9" ht="20" hidden="1">
      <c r="A1272" s="345">
        <v>1535</v>
      </c>
      <c r="B1272" s="346" t="s">
        <v>298</v>
      </c>
      <c r="C1272" s="347">
        <v>1250</v>
      </c>
      <c r="D1272" s="348">
        <v>46753</v>
      </c>
      <c r="E1272" s="348">
        <v>47058</v>
      </c>
      <c r="F1272" s="346" t="s">
        <v>606</v>
      </c>
      <c r="G1272" s="349" t="s">
        <v>457</v>
      </c>
      <c r="H1272" s="350">
        <f t="shared" si="27"/>
        <v>13750</v>
      </c>
      <c r="I1272" s="120" t="str">
        <f>IF(OR(D1272&lt;Capa!$A$5,D1272&gt;Capa!$A$7,E1272&lt;Capa!$A$5,E1272&gt;Capa!$A$7,D1272&gt;E1272),"Erro","")</f>
        <v/>
      </c>
    </row>
    <row r="1273" spans="1:9" ht="30" hidden="1">
      <c r="A1273" s="345">
        <v>1536</v>
      </c>
      <c r="B1273" s="346" t="s">
        <v>238</v>
      </c>
      <c r="C1273" s="347">
        <v>480</v>
      </c>
      <c r="D1273" s="348">
        <v>45658</v>
      </c>
      <c r="E1273" s="348">
        <v>45992</v>
      </c>
      <c r="F1273" s="346" t="s">
        <v>606</v>
      </c>
      <c r="G1273" s="349" t="s">
        <v>458</v>
      </c>
      <c r="H1273" s="350">
        <f t="shared" si="27"/>
        <v>5760</v>
      </c>
      <c r="I1273" s="120" t="str">
        <f>IF(OR(D1273&lt;Capa!$A$5,D1273&gt;Capa!$A$7,E1273&lt;Capa!$A$5,E1273&gt;Capa!$A$7,D1273&gt;E1273),"Erro","")</f>
        <v/>
      </c>
    </row>
    <row r="1274" spans="1:9" ht="30" hidden="1">
      <c r="A1274" s="345">
        <v>1537</v>
      </c>
      <c r="B1274" s="346" t="s">
        <v>238</v>
      </c>
      <c r="C1274" s="347">
        <v>480</v>
      </c>
      <c r="D1274" s="348">
        <v>46023</v>
      </c>
      <c r="E1274" s="348">
        <v>46357</v>
      </c>
      <c r="F1274" s="346" t="s">
        <v>606</v>
      </c>
      <c r="G1274" s="349" t="s">
        <v>458</v>
      </c>
      <c r="H1274" s="350">
        <f t="shared" si="27"/>
        <v>5760</v>
      </c>
      <c r="I1274" s="120" t="str">
        <f>IF(OR(D1274&lt;Capa!$A$5,D1274&gt;Capa!$A$7,E1274&lt;Capa!$A$5,E1274&gt;Capa!$A$7,D1274&gt;E1274),"Erro","")</f>
        <v/>
      </c>
    </row>
    <row r="1275" spans="1:9" ht="30" hidden="1">
      <c r="A1275" s="345">
        <v>1538</v>
      </c>
      <c r="B1275" s="346" t="s">
        <v>238</v>
      </c>
      <c r="C1275" s="347">
        <v>480</v>
      </c>
      <c r="D1275" s="348">
        <v>46388</v>
      </c>
      <c r="E1275" s="348">
        <v>46722</v>
      </c>
      <c r="F1275" s="346" t="s">
        <v>606</v>
      </c>
      <c r="G1275" s="349" t="s">
        <v>458</v>
      </c>
      <c r="H1275" s="350">
        <f t="shared" ref="H1275:H1332" si="28">IFERROR((DATEDIF(D1275,E1275,"M")+1)*C1275,0)</f>
        <v>5760</v>
      </c>
      <c r="I1275" s="120" t="str">
        <f>IF(OR(D1275&lt;Capa!$A$5,D1275&gt;Capa!$A$7,E1275&lt;Capa!$A$5,E1275&gt;Capa!$A$7,D1275&gt;E1275),"Erro","")</f>
        <v/>
      </c>
    </row>
    <row r="1276" spans="1:9" ht="30" hidden="1">
      <c r="A1276" s="345">
        <v>1539</v>
      </c>
      <c r="B1276" s="346" t="s">
        <v>238</v>
      </c>
      <c r="C1276" s="347">
        <v>240</v>
      </c>
      <c r="D1276" s="348">
        <v>46753</v>
      </c>
      <c r="E1276" s="348">
        <v>47058</v>
      </c>
      <c r="F1276" s="346" t="s">
        <v>606</v>
      </c>
      <c r="G1276" s="349" t="s">
        <v>458</v>
      </c>
      <c r="H1276" s="350">
        <f t="shared" si="28"/>
        <v>2640</v>
      </c>
      <c r="I1276" s="120" t="str">
        <f>IF(OR(D1276&lt;Capa!$A$5,D1276&gt;Capa!$A$7,E1276&lt;Capa!$A$5,E1276&gt;Capa!$A$7,D1276&gt;E1276),"Erro","")</f>
        <v/>
      </c>
    </row>
    <row r="1277" spans="1:9" ht="40" hidden="1">
      <c r="A1277" s="345">
        <v>1541</v>
      </c>
      <c r="B1277" s="346" t="s">
        <v>252</v>
      </c>
      <c r="C1277" s="347">
        <v>8000</v>
      </c>
      <c r="D1277" s="348">
        <v>45658</v>
      </c>
      <c r="E1277" s="348">
        <v>45992</v>
      </c>
      <c r="F1277" s="346" t="s">
        <v>606</v>
      </c>
      <c r="G1277" s="349" t="s">
        <v>459</v>
      </c>
      <c r="H1277" s="350">
        <f t="shared" si="28"/>
        <v>96000</v>
      </c>
      <c r="I1277" s="120" t="str">
        <f>IF(OR(D1277&lt;Capa!$A$5,D1277&gt;Capa!$A$7,E1277&lt;Capa!$A$5,E1277&gt;Capa!$A$7,D1277&gt;E1277),"Erro","")</f>
        <v/>
      </c>
    </row>
    <row r="1278" spans="1:9" ht="40" hidden="1">
      <c r="A1278" s="345">
        <v>1542</v>
      </c>
      <c r="B1278" s="346" t="s">
        <v>252</v>
      </c>
      <c r="C1278" s="347">
        <v>8000</v>
      </c>
      <c r="D1278" s="348">
        <v>46023</v>
      </c>
      <c r="E1278" s="348">
        <v>46357</v>
      </c>
      <c r="F1278" s="346" t="s">
        <v>606</v>
      </c>
      <c r="G1278" s="349" t="s">
        <v>459</v>
      </c>
      <c r="H1278" s="350">
        <f t="shared" si="28"/>
        <v>96000</v>
      </c>
      <c r="I1278" s="120" t="str">
        <f>IF(OR(D1278&lt;Capa!$A$5,D1278&gt;Capa!$A$7,E1278&lt;Capa!$A$5,E1278&gt;Capa!$A$7,D1278&gt;E1278),"Erro","")</f>
        <v/>
      </c>
    </row>
    <row r="1279" spans="1:9" ht="40" hidden="1">
      <c r="A1279" s="345">
        <v>1543</v>
      </c>
      <c r="B1279" s="346" t="s">
        <v>252</v>
      </c>
      <c r="C1279" s="347">
        <v>8000</v>
      </c>
      <c r="D1279" s="348">
        <v>46388</v>
      </c>
      <c r="E1279" s="348">
        <v>46722</v>
      </c>
      <c r="F1279" s="346" t="s">
        <v>606</v>
      </c>
      <c r="G1279" s="349" t="s">
        <v>459</v>
      </c>
      <c r="H1279" s="350">
        <f t="shared" si="28"/>
        <v>96000</v>
      </c>
      <c r="I1279" s="120" t="str">
        <f>IF(OR(D1279&lt;Capa!$A$5,D1279&gt;Capa!$A$7,E1279&lt;Capa!$A$5,E1279&gt;Capa!$A$7,D1279&gt;E1279),"Erro","")</f>
        <v/>
      </c>
    </row>
    <row r="1280" spans="1:9" ht="40" hidden="1">
      <c r="A1280" s="345">
        <v>1544</v>
      </c>
      <c r="B1280" s="346" t="s">
        <v>252</v>
      </c>
      <c r="C1280" s="347">
        <v>4000</v>
      </c>
      <c r="D1280" s="348">
        <v>46753</v>
      </c>
      <c r="E1280" s="348">
        <v>47058</v>
      </c>
      <c r="F1280" s="346" t="s">
        <v>606</v>
      </c>
      <c r="G1280" s="349" t="s">
        <v>459</v>
      </c>
      <c r="H1280" s="350">
        <f t="shared" si="28"/>
        <v>44000</v>
      </c>
      <c r="I1280" s="120" t="str">
        <f>IF(OR(D1280&lt;Capa!$A$5,D1280&gt;Capa!$A$7,E1280&lt;Capa!$A$5,E1280&gt;Capa!$A$7,D1280&gt;E1280),"Erro","")</f>
        <v/>
      </c>
    </row>
    <row r="1281" spans="1:9" ht="20" hidden="1">
      <c r="A1281" s="345">
        <v>1545</v>
      </c>
      <c r="B1281" s="346" t="s">
        <v>620</v>
      </c>
      <c r="C1281" s="347">
        <v>110</v>
      </c>
      <c r="D1281" s="348">
        <v>45658</v>
      </c>
      <c r="E1281" s="348">
        <v>47058</v>
      </c>
      <c r="F1281" s="346" t="s">
        <v>606</v>
      </c>
      <c r="G1281" s="349" t="s">
        <v>662</v>
      </c>
      <c r="H1281" s="350">
        <f t="shared" si="28"/>
        <v>5170</v>
      </c>
      <c r="I1281" s="120" t="str">
        <f>IF(OR(D1281&lt;Capa!$A$5,D1281&gt;Capa!$A$7,E1281&lt;Capa!$A$5,E1281&gt;Capa!$A$7,D1281&gt;E1281),"Erro","")</f>
        <v/>
      </c>
    </row>
    <row r="1282" spans="1:9" ht="20" hidden="1">
      <c r="A1282" s="345">
        <v>1547</v>
      </c>
      <c r="B1282" s="346" t="s">
        <v>622</v>
      </c>
      <c r="C1282" s="347">
        <v>850</v>
      </c>
      <c r="D1282" s="348">
        <v>45658</v>
      </c>
      <c r="E1282" s="348">
        <v>47058</v>
      </c>
      <c r="F1282" s="346" t="s">
        <v>606</v>
      </c>
      <c r="G1282" s="349" t="s">
        <v>664</v>
      </c>
      <c r="H1282" s="350">
        <f t="shared" si="28"/>
        <v>39950</v>
      </c>
      <c r="I1282" s="120" t="str">
        <f>IF(OR(D1282&lt;Capa!$A$5,D1282&gt;Capa!$A$7,E1282&lt;Capa!$A$5,E1282&gt;Capa!$A$7,D1282&gt;E1282),"Erro","")</f>
        <v/>
      </c>
    </row>
    <row r="1283" spans="1:9" ht="30" hidden="1">
      <c r="A1283" s="345">
        <v>1548</v>
      </c>
      <c r="B1283" s="346" t="s">
        <v>621</v>
      </c>
      <c r="C1283" s="347">
        <v>2000</v>
      </c>
      <c r="D1283" s="348">
        <v>45689</v>
      </c>
      <c r="E1283" s="348">
        <v>45689</v>
      </c>
      <c r="F1283" s="346" t="s">
        <v>606</v>
      </c>
      <c r="G1283" s="349" t="s">
        <v>595</v>
      </c>
      <c r="H1283" s="350">
        <f t="shared" si="28"/>
        <v>2000</v>
      </c>
      <c r="I1283" s="120" t="str">
        <f>IF(OR(D1283&lt;Capa!$A$5,D1283&gt;Capa!$A$7,E1283&lt;Capa!$A$5,E1283&gt;Capa!$A$7,D1283&gt;E1283),"Erro","")</f>
        <v/>
      </c>
    </row>
    <row r="1284" spans="1:9" ht="30" hidden="1">
      <c r="A1284" s="345">
        <v>1549</v>
      </c>
      <c r="B1284" s="346" t="s">
        <v>621</v>
      </c>
      <c r="C1284" s="347">
        <v>2000</v>
      </c>
      <c r="D1284" s="348">
        <v>46419</v>
      </c>
      <c r="E1284" s="348">
        <v>46419</v>
      </c>
      <c r="F1284" s="346" t="s">
        <v>606</v>
      </c>
      <c r="G1284" s="349" t="s">
        <v>595</v>
      </c>
      <c r="H1284" s="350">
        <f t="shared" si="28"/>
        <v>2000</v>
      </c>
      <c r="I1284" s="120" t="str">
        <f>IF(OR(D1284&lt;Capa!$A$5,D1284&gt;Capa!$A$7,E1284&lt;Capa!$A$5,E1284&gt;Capa!$A$7,D1284&gt;E1284),"Erro","")</f>
        <v/>
      </c>
    </row>
    <row r="1285" spans="1:9" ht="30" hidden="1">
      <c r="A1285" s="345">
        <v>1550</v>
      </c>
      <c r="B1285" s="346" t="s">
        <v>619</v>
      </c>
      <c r="C1285" s="347">
        <v>70</v>
      </c>
      <c r="D1285" s="348">
        <v>45658</v>
      </c>
      <c r="E1285" s="348">
        <v>47058</v>
      </c>
      <c r="F1285" s="346" t="s">
        <v>606</v>
      </c>
      <c r="G1285" s="349" t="s">
        <v>663</v>
      </c>
      <c r="H1285" s="350">
        <f t="shared" si="28"/>
        <v>3290</v>
      </c>
      <c r="I1285" s="120" t="str">
        <f>IF(OR(D1285&lt;Capa!$A$5,D1285&gt;Capa!$A$7,E1285&lt;Capa!$A$5,E1285&gt;Capa!$A$7,D1285&gt;E1285),"Erro","")</f>
        <v/>
      </c>
    </row>
    <row r="1286" spans="1:9" ht="30" hidden="1">
      <c r="A1286" s="345">
        <v>1551</v>
      </c>
      <c r="B1286" s="346" t="s">
        <v>617</v>
      </c>
      <c r="C1286" s="347">
        <v>200</v>
      </c>
      <c r="D1286" s="348">
        <v>45658</v>
      </c>
      <c r="E1286" s="348">
        <v>47058</v>
      </c>
      <c r="F1286" s="346" t="s">
        <v>606</v>
      </c>
      <c r="G1286" s="349" t="s">
        <v>639</v>
      </c>
      <c r="H1286" s="350">
        <f t="shared" si="28"/>
        <v>9400</v>
      </c>
      <c r="I1286" s="120" t="str">
        <f>IF(OR(D1286&lt;Capa!$A$5,D1286&gt;Capa!$A$7,E1286&lt;Capa!$A$5,E1286&gt;Capa!$A$7,D1286&gt;E1286),"Erro","")</f>
        <v/>
      </c>
    </row>
    <row r="1287" spans="1:9" ht="20" hidden="1">
      <c r="A1287" s="345">
        <v>1552</v>
      </c>
      <c r="B1287" s="346" t="s">
        <v>618</v>
      </c>
      <c r="C1287" s="347">
        <v>2500</v>
      </c>
      <c r="D1287" s="348">
        <v>45658</v>
      </c>
      <c r="E1287" s="348">
        <v>47058</v>
      </c>
      <c r="F1287" s="346" t="s">
        <v>606</v>
      </c>
      <c r="G1287" s="349" t="s">
        <v>657</v>
      </c>
      <c r="H1287" s="350">
        <f t="shared" si="28"/>
        <v>117500</v>
      </c>
      <c r="I1287" s="120" t="str">
        <f>IF(OR(D1287&lt;Capa!$A$5,D1287&gt;Capa!$A$7,E1287&lt;Capa!$A$5,E1287&gt;Capa!$A$7,D1287&gt;E1287),"Erro","")</f>
        <v/>
      </c>
    </row>
    <row r="1288" spans="1:9" ht="30" hidden="1">
      <c r="A1288" s="345">
        <v>1554</v>
      </c>
      <c r="B1288" s="346" t="s">
        <v>623</v>
      </c>
      <c r="C1288" s="347">
        <v>650</v>
      </c>
      <c r="D1288" s="348">
        <v>45658</v>
      </c>
      <c r="E1288" s="348">
        <v>46784</v>
      </c>
      <c r="F1288" s="346" t="s">
        <v>606</v>
      </c>
      <c r="G1288" s="349" t="s">
        <v>658</v>
      </c>
      <c r="H1288" s="350">
        <f t="shared" si="28"/>
        <v>24700</v>
      </c>
      <c r="I1288" s="120" t="str">
        <f>IF(OR(D1288&lt;Capa!$A$5,D1288&gt;Capa!$A$7,E1288&lt;Capa!$A$5,E1288&gt;Capa!$A$7,D1288&gt;E1288),"Erro","")</f>
        <v/>
      </c>
    </row>
    <row r="1289" spans="1:9" ht="20" hidden="1">
      <c r="A1289" s="345">
        <v>1555</v>
      </c>
      <c r="B1289" s="346" t="s">
        <v>625</v>
      </c>
      <c r="C1289" s="347">
        <v>90</v>
      </c>
      <c r="D1289" s="348">
        <v>45658</v>
      </c>
      <c r="E1289" s="348">
        <v>47058</v>
      </c>
      <c r="F1289" s="346" t="s">
        <v>606</v>
      </c>
      <c r="G1289" s="349" t="s">
        <v>659</v>
      </c>
      <c r="H1289" s="350">
        <f t="shared" si="28"/>
        <v>4230</v>
      </c>
      <c r="I1289" s="120" t="str">
        <f>IF(OR(D1289&lt;Capa!$A$5,D1289&gt;Capa!$A$7,E1289&lt;Capa!$A$5,E1289&gt;Capa!$A$7,D1289&gt;E1289),"Erro","")</f>
        <v/>
      </c>
    </row>
    <row r="1290" spans="1:9" ht="20" hidden="1">
      <c r="A1290" s="345">
        <v>1556</v>
      </c>
      <c r="B1290" s="346" t="s">
        <v>627</v>
      </c>
      <c r="C1290" s="347">
        <v>50</v>
      </c>
      <c r="D1290" s="348">
        <v>45658</v>
      </c>
      <c r="E1290" s="348">
        <v>47058</v>
      </c>
      <c r="F1290" s="346" t="s">
        <v>606</v>
      </c>
      <c r="G1290" s="349" t="s">
        <v>661</v>
      </c>
      <c r="H1290" s="350">
        <f t="shared" si="28"/>
        <v>2350</v>
      </c>
      <c r="I1290" s="120" t="str">
        <f>IF(OR(D1290&lt;Capa!$A$5,D1290&gt;Capa!$A$7,E1290&lt;Capa!$A$5,E1290&gt;Capa!$A$7,D1290&gt;E1290),"Erro","")</f>
        <v/>
      </c>
    </row>
    <row r="1291" spans="1:9" ht="30" hidden="1">
      <c r="A1291" s="345">
        <v>1557</v>
      </c>
      <c r="B1291" s="346" t="s">
        <v>626</v>
      </c>
      <c r="C1291" s="347">
        <v>350</v>
      </c>
      <c r="D1291" s="348">
        <v>45658</v>
      </c>
      <c r="E1291" s="348">
        <v>47058</v>
      </c>
      <c r="F1291" s="346" t="s">
        <v>606</v>
      </c>
      <c r="G1291" s="349" t="s">
        <v>660</v>
      </c>
      <c r="H1291" s="350">
        <f t="shared" si="28"/>
        <v>16450</v>
      </c>
      <c r="I1291" s="120" t="str">
        <f>IF(OR(D1291&lt;Capa!$A$5,D1291&gt;Capa!$A$7,E1291&lt;Capa!$A$5,E1291&gt;Capa!$A$7,D1291&gt;E1291),"Erro","")</f>
        <v/>
      </c>
    </row>
    <row r="1292" spans="1:9" ht="20" hidden="1">
      <c r="A1292" s="345">
        <v>1561</v>
      </c>
      <c r="B1292" s="346" t="s">
        <v>198</v>
      </c>
      <c r="C1292" s="347">
        <v>11000</v>
      </c>
      <c r="D1292" s="348">
        <v>45658</v>
      </c>
      <c r="E1292" s="348">
        <v>45992</v>
      </c>
      <c r="F1292" s="346" t="s">
        <v>607</v>
      </c>
      <c r="G1292" s="349" t="s">
        <v>437</v>
      </c>
      <c r="H1292" s="350">
        <f t="shared" si="28"/>
        <v>132000</v>
      </c>
      <c r="I1292" s="120" t="str">
        <f>IF(OR(D1292&lt;Capa!$A$5,D1292&gt;Capa!$A$7,E1292&lt;Capa!$A$5,E1292&gt;Capa!$A$7,D1292&gt;E1292),"Erro","")</f>
        <v/>
      </c>
    </row>
    <row r="1293" spans="1:9" ht="20" hidden="1">
      <c r="A1293" s="345">
        <v>1562</v>
      </c>
      <c r="B1293" s="346" t="s">
        <v>198</v>
      </c>
      <c r="C1293" s="347">
        <v>11550</v>
      </c>
      <c r="D1293" s="348">
        <v>46023</v>
      </c>
      <c r="E1293" s="348">
        <v>46357</v>
      </c>
      <c r="F1293" s="346" t="s">
        <v>607</v>
      </c>
      <c r="G1293" s="349" t="s">
        <v>437</v>
      </c>
      <c r="H1293" s="350">
        <f t="shared" si="28"/>
        <v>138600</v>
      </c>
      <c r="I1293" s="120" t="str">
        <f>IF(OR(D1293&lt;Capa!$A$5,D1293&gt;Capa!$A$7,E1293&lt;Capa!$A$5,E1293&gt;Capa!$A$7,D1293&gt;E1293),"Erro","")</f>
        <v/>
      </c>
    </row>
    <row r="1294" spans="1:9" ht="20" hidden="1">
      <c r="A1294" s="345">
        <v>1563</v>
      </c>
      <c r="B1294" s="346" t="s">
        <v>198</v>
      </c>
      <c r="C1294" s="347">
        <v>12127.5</v>
      </c>
      <c r="D1294" s="348">
        <v>46388</v>
      </c>
      <c r="E1294" s="348">
        <v>46722</v>
      </c>
      <c r="F1294" s="346" t="s">
        <v>607</v>
      </c>
      <c r="G1294" s="349" t="s">
        <v>437</v>
      </c>
      <c r="H1294" s="350">
        <f t="shared" si="28"/>
        <v>145530</v>
      </c>
      <c r="I1294" s="120" t="str">
        <f>IF(OR(D1294&lt;Capa!$A$5,D1294&gt;Capa!$A$7,E1294&lt;Capa!$A$5,E1294&gt;Capa!$A$7,D1294&gt;E1294),"Erro","")</f>
        <v/>
      </c>
    </row>
    <row r="1295" spans="1:9" ht="20" hidden="1">
      <c r="A1295" s="345">
        <v>1564</v>
      </c>
      <c r="B1295" s="346" t="s">
        <v>198</v>
      </c>
      <c r="C1295" s="347">
        <v>4000</v>
      </c>
      <c r="D1295" s="348">
        <v>46753</v>
      </c>
      <c r="E1295" s="348">
        <v>47058</v>
      </c>
      <c r="F1295" s="346" t="s">
        <v>607</v>
      </c>
      <c r="G1295" s="349" t="s">
        <v>437</v>
      </c>
      <c r="H1295" s="350">
        <f t="shared" si="28"/>
        <v>44000</v>
      </c>
      <c r="I1295" s="120" t="str">
        <f>IF(OR(D1295&lt;Capa!$A$5,D1295&gt;Capa!$A$7,E1295&lt;Capa!$A$5,E1295&gt;Capa!$A$7,D1295&gt;E1295),"Erro","")</f>
        <v/>
      </c>
    </row>
    <row r="1296" spans="1:9" ht="20" hidden="1">
      <c r="A1296" s="345">
        <v>1566</v>
      </c>
      <c r="B1296" s="346" t="s">
        <v>202</v>
      </c>
      <c r="C1296" s="347">
        <v>1500</v>
      </c>
      <c r="D1296" s="348">
        <v>45658</v>
      </c>
      <c r="E1296" s="348">
        <v>45992</v>
      </c>
      <c r="F1296" s="346" t="s">
        <v>607</v>
      </c>
      <c r="G1296" s="349" t="s">
        <v>438</v>
      </c>
      <c r="H1296" s="350">
        <f t="shared" si="28"/>
        <v>18000</v>
      </c>
      <c r="I1296" s="120" t="str">
        <f>IF(OR(D1296&lt;Capa!$A$5,D1296&gt;Capa!$A$7,E1296&lt;Capa!$A$5,E1296&gt;Capa!$A$7,D1296&gt;E1296),"Erro","")</f>
        <v/>
      </c>
    </row>
    <row r="1297" spans="1:9" ht="20" hidden="1">
      <c r="A1297" s="345">
        <v>1567</v>
      </c>
      <c r="B1297" s="346" t="s">
        <v>202</v>
      </c>
      <c r="C1297" s="347">
        <v>1300</v>
      </c>
      <c r="D1297" s="348">
        <v>46023</v>
      </c>
      <c r="E1297" s="348">
        <v>46357</v>
      </c>
      <c r="F1297" s="346" t="s">
        <v>607</v>
      </c>
      <c r="G1297" s="349" t="s">
        <v>438</v>
      </c>
      <c r="H1297" s="350">
        <f t="shared" si="28"/>
        <v>15600</v>
      </c>
      <c r="I1297" s="120" t="str">
        <f>IF(OR(D1297&lt;Capa!$A$5,D1297&gt;Capa!$A$7,E1297&lt;Capa!$A$5,E1297&gt;Capa!$A$7,D1297&gt;E1297),"Erro","")</f>
        <v/>
      </c>
    </row>
    <row r="1298" spans="1:9" ht="20" hidden="1">
      <c r="A1298" s="345">
        <v>1568</v>
      </c>
      <c r="B1298" s="346" t="s">
        <v>202</v>
      </c>
      <c r="C1298" s="347">
        <v>1300</v>
      </c>
      <c r="D1298" s="348">
        <v>46388</v>
      </c>
      <c r="E1298" s="348">
        <v>46722</v>
      </c>
      <c r="F1298" s="346" t="s">
        <v>607</v>
      </c>
      <c r="G1298" s="349" t="s">
        <v>438</v>
      </c>
      <c r="H1298" s="350">
        <f t="shared" si="28"/>
        <v>15600</v>
      </c>
      <c r="I1298" s="120" t="str">
        <f>IF(OR(D1298&lt;Capa!$A$5,D1298&gt;Capa!$A$7,E1298&lt;Capa!$A$5,E1298&gt;Capa!$A$7,D1298&gt;E1298),"Erro","")</f>
        <v/>
      </c>
    </row>
    <row r="1299" spans="1:9" ht="20" hidden="1">
      <c r="A1299" s="345">
        <v>1569</v>
      </c>
      <c r="B1299" s="346" t="s">
        <v>202</v>
      </c>
      <c r="C1299" s="347">
        <v>750</v>
      </c>
      <c r="D1299" s="348">
        <v>46753</v>
      </c>
      <c r="E1299" s="348">
        <v>47058</v>
      </c>
      <c r="F1299" s="346" t="s">
        <v>607</v>
      </c>
      <c r="G1299" s="349" t="s">
        <v>438</v>
      </c>
      <c r="H1299" s="350">
        <f t="shared" si="28"/>
        <v>8250</v>
      </c>
      <c r="I1299" s="120" t="str">
        <f>IF(OR(D1299&lt;Capa!$A$5,D1299&gt;Capa!$A$7,E1299&lt;Capa!$A$5,E1299&gt;Capa!$A$7,D1299&gt;E1299),"Erro","")</f>
        <v/>
      </c>
    </row>
    <row r="1300" spans="1:9" ht="20" hidden="1">
      <c r="A1300" s="345">
        <v>1570</v>
      </c>
      <c r="B1300" s="346" t="s">
        <v>204</v>
      </c>
      <c r="C1300" s="347">
        <v>1250</v>
      </c>
      <c r="D1300" s="348">
        <v>45658</v>
      </c>
      <c r="E1300" s="348">
        <v>45839</v>
      </c>
      <c r="F1300" s="346" t="s">
        <v>607</v>
      </c>
      <c r="G1300" s="349" t="s">
        <v>438</v>
      </c>
      <c r="H1300" s="350">
        <f t="shared" si="28"/>
        <v>8750</v>
      </c>
      <c r="I1300" s="120" t="str">
        <f>IF(OR(D1300&lt;Capa!$A$5,D1300&gt;Capa!$A$7,E1300&lt;Capa!$A$5,E1300&gt;Capa!$A$7,D1300&gt;E1300),"Erro","")</f>
        <v/>
      </c>
    </row>
    <row r="1301" spans="1:9" ht="20" hidden="1">
      <c r="A1301" s="345">
        <v>1571</v>
      </c>
      <c r="B1301" s="346" t="s">
        <v>204</v>
      </c>
      <c r="C1301" s="347">
        <v>1250</v>
      </c>
      <c r="D1301" s="348">
        <v>46023</v>
      </c>
      <c r="E1301" s="348">
        <v>46204</v>
      </c>
      <c r="F1301" s="346" t="s">
        <v>607</v>
      </c>
      <c r="G1301" s="349" t="s">
        <v>438</v>
      </c>
      <c r="H1301" s="350">
        <f t="shared" si="28"/>
        <v>8750</v>
      </c>
      <c r="I1301" s="120" t="str">
        <f>IF(OR(D1301&lt;Capa!$A$5,D1301&gt;Capa!$A$7,E1301&lt;Capa!$A$5,E1301&gt;Capa!$A$7,D1301&gt;E1301),"Erro","")</f>
        <v/>
      </c>
    </row>
    <row r="1302" spans="1:9" ht="20" hidden="1">
      <c r="A1302" s="345">
        <v>1572</v>
      </c>
      <c r="B1302" s="346" t="s">
        <v>204</v>
      </c>
      <c r="C1302" s="347">
        <v>1250</v>
      </c>
      <c r="D1302" s="348">
        <v>46388</v>
      </c>
      <c r="E1302" s="348">
        <v>46569</v>
      </c>
      <c r="F1302" s="346" t="s">
        <v>607</v>
      </c>
      <c r="G1302" s="349" t="s">
        <v>438</v>
      </c>
      <c r="H1302" s="350">
        <f t="shared" si="28"/>
        <v>8750</v>
      </c>
      <c r="I1302" s="120" t="str">
        <f>IF(OR(D1302&lt;Capa!$A$5,D1302&gt;Capa!$A$7,E1302&lt;Capa!$A$5,E1302&gt;Capa!$A$7,D1302&gt;E1302),"Erro","")</f>
        <v/>
      </c>
    </row>
    <row r="1303" spans="1:9" ht="20" hidden="1">
      <c r="A1303" s="345">
        <v>1573</v>
      </c>
      <c r="B1303" s="346" t="s">
        <v>204</v>
      </c>
      <c r="C1303" s="347">
        <v>780</v>
      </c>
      <c r="D1303" s="348">
        <v>46753</v>
      </c>
      <c r="E1303" s="348">
        <v>46935</v>
      </c>
      <c r="F1303" s="346" t="s">
        <v>607</v>
      </c>
      <c r="G1303" s="349" t="s">
        <v>438</v>
      </c>
      <c r="H1303" s="350">
        <f t="shared" si="28"/>
        <v>5460</v>
      </c>
      <c r="I1303" s="120" t="str">
        <f>IF(OR(D1303&lt;Capa!$A$5,D1303&gt;Capa!$A$7,E1303&lt;Capa!$A$5,E1303&gt;Capa!$A$7,D1303&gt;E1303),"Erro","")</f>
        <v/>
      </c>
    </row>
    <row r="1304" spans="1:9" ht="20" hidden="1">
      <c r="A1304" s="345">
        <v>1575</v>
      </c>
      <c r="B1304" s="346" t="s">
        <v>206</v>
      </c>
      <c r="C1304" s="347">
        <v>1200</v>
      </c>
      <c r="D1304" s="348">
        <v>45658</v>
      </c>
      <c r="E1304" s="348">
        <v>45992</v>
      </c>
      <c r="F1304" s="346" t="s">
        <v>607</v>
      </c>
      <c r="G1304" s="349" t="s">
        <v>439</v>
      </c>
      <c r="H1304" s="350">
        <f t="shared" si="28"/>
        <v>14400</v>
      </c>
      <c r="I1304" s="120" t="str">
        <f>IF(OR(D1304&lt;Capa!$A$5,D1304&gt;Capa!$A$7,E1304&lt;Capa!$A$5,E1304&gt;Capa!$A$7,D1304&gt;E1304),"Erro","")</f>
        <v/>
      </c>
    </row>
    <row r="1305" spans="1:9" ht="20" hidden="1">
      <c r="A1305" s="345">
        <v>1576</v>
      </c>
      <c r="B1305" s="346" t="s">
        <v>206</v>
      </c>
      <c r="C1305" s="347">
        <v>1200</v>
      </c>
      <c r="D1305" s="348">
        <v>46023</v>
      </c>
      <c r="E1305" s="348">
        <v>46357</v>
      </c>
      <c r="F1305" s="346" t="s">
        <v>607</v>
      </c>
      <c r="G1305" s="349" t="s">
        <v>439</v>
      </c>
      <c r="H1305" s="350">
        <f t="shared" si="28"/>
        <v>14400</v>
      </c>
      <c r="I1305" s="120" t="str">
        <f>IF(OR(D1305&lt;Capa!$A$5,D1305&gt;Capa!$A$7,E1305&lt;Capa!$A$5,E1305&gt;Capa!$A$7,D1305&gt;E1305),"Erro","")</f>
        <v/>
      </c>
    </row>
    <row r="1306" spans="1:9" ht="20" hidden="1">
      <c r="A1306" s="345">
        <v>1577</v>
      </c>
      <c r="B1306" s="346" t="s">
        <v>206</v>
      </c>
      <c r="C1306" s="347">
        <v>1200</v>
      </c>
      <c r="D1306" s="348">
        <v>46388</v>
      </c>
      <c r="E1306" s="348">
        <v>46722</v>
      </c>
      <c r="F1306" s="346" t="s">
        <v>607</v>
      </c>
      <c r="G1306" s="349" t="s">
        <v>439</v>
      </c>
      <c r="H1306" s="350">
        <f t="shared" si="28"/>
        <v>14400</v>
      </c>
      <c r="I1306" s="120" t="str">
        <f>IF(OR(D1306&lt;Capa!$A$5,D1306&gt;Capa!$A$7,E1306&lt;Capa!$A$5,E1306&gt;Capa!$A$7,D1306&gt;E1306),"Erro","")</f>
        <v/>
      </c>
    </row>
    <row r="1307" spans="1:9" ht="20" hidden="1">
      <c r="A1307" s="345">
        <v>1578</v>
      </c>
      <c r="B1307" s="346" t="s">
        <v>206</v>
      </c>
      <c r="C1307" s="347">
        <v>600</v>
      </c>
      <c r="D1307" s="348">
        <v>46753</v>
      </c>
      <c r="E1307" s="348">
        <v>47058</v>
      </c>
      <c r="F1307" s="346" t="s">
        <v>607</v>
      </c>
      <c r="G1307" s="349" t="s">
        <v>439</v>
      </c>
      <c r="H1307" s="350">
        <f t="shared" si="28"/>
        <v>6600</v>
      </c>
      <c r="I1307" s="120" t="str">
        <f>IF(OR(D1307&lt;Capa!$A$5,D1307&gt;Capa!$A$7,E1307&lt;Capa!$A$5,E1307&gt;Capa!$A$7,D1307&gt;E1307),"Erro","")</f>
        <v/>
      </c>
    </row>
    <row r="1308" spans="1:9" ht="20" hidden="1">
      <c r="A1308" s="345">
        <v>1580</v>
      </c>
      <c r="B1308" s="346" t="s">
        <v>208</v>
      </c>
      <c r="C1308" s="347">
        <v>850</v>
      </c>
      <c r="D1308" s="348">
        <v>45658</v>
      </c>
      <c r="E1308" s="348">
        <v>45992</v>
      </c>
      <c r="F1308" s="346" t="s">
        <v>607</v>
      </c>
      <c r="G1308" s="349" t="s">
        <v>439</v>
      </c>
      <c r="H1308" s="350">
        <f t="shared" si="28"/>
        <v>10200</v>
      </c>
      <c r="I1308" s="120" t="str">
        <f>IF(OR(D1308&lt;Capa!$A$5,D1308&gt;Capa!$A$7,E1308&lt;Capa!$A$5,E1308&gt;Capa!$A$7,D1308&gt;E1308),"Erro","")</f>
        <v/>
      </c>
    </row>
    <row r="1309" spans="1:9" ht="20" hidden="1">
      <c r="A1309" s="345">
        <v>1581</v>
      </c>
      <c r="B1309" s="346" t="s">
        <v>208</v>
      </c>
      <c r="C1309" s="347">
        <v>850</v>
      </c>
      <c r="D1309" s="348">
        <v>46023</v>
      </c>
      <c r="E1309" s="348">
        <v>46357</v>
      </c>
      <c r="F1309" s="346" t="s">
        <v>607</v>
      </c>
      <c r="G1309" s="349" t="s">
        <v>439</v>
      </c>
      <c r="H1309" s="350">
        <f t="shared" si="28"/>
        <v>10200</v>
      </c>
      <c r="I1309" s="120" t="str">
        <f>IF(OR(D1309&lt;Capa!$A$5,D1309&gt;Capa!$A$7,E1309&lt;Capa!$A$5,E1309&gt;Capa!$A$7,D1309&gt;E1309),"Erro","")</f>
        <v/>
      </c>
    </row>
    <row r="1310" spans="1:9" ht="20" hidden="1">
      <c r="A1310" s="345">
        <v>1582</v>
      </c>
      <c r="B1310" s="346" t="s">
        <v>208</v>
      </c>
      <c r="C1310" s="347">
        <v>850</v>
      </c>
      <c r="D1310" s="348">
        <v>46388</v>
      </c>
      <c r="E1310" s="348">
        <v>46722</v>
      </c>
      <c r="F1310" s="346" t="s">
        <v>607</v>
      </c>
      <c r="G1310" s="349" t="s">
        <v>439</v>
      </c>
      <c r="H1310" s="350">
        <f t="shared" si="28"/>
        <v>10200</v>
      </c>
      <c r="I1310" s="120" t="str">
        <f>IF(OR(D1310&lt;Capa!$A$5,D1310&gt;Capa!$A$7,E1310&lt;Capa!$A$5,E1310&gt;Capa!$A$7,D1310&gt;E1310),"Erro","")</f>
        <v/>
      </c>
    </row>
    <row r="1311" spans="1:9" ht="20" hidden="1">
      <c r="A1311" s="345">
        <v>1583</v>
      </c>
      <c r="B1311" s="346" t="s">
        <v>208</v>
      </c>
      <c r="C1311" s="347">
        <v>450</v>
      </c>
      <c r="D1311" s="348">
        <v>46753</v>
      </c>
      <c r="E1311" s="348">
        <v>47058</v>
      </c>
      <c r="F1311" s="346" t="s">
        <v>607</v>
      </c>
      <c r="G1311" s="349" t="s">
        <v>439</v>
      </c>
      <c r="H1311" s="350">
        <f t="shared" si="28"/>
        <v>4950</v>
      </c>
      <c r="I1311" s="120" t="str">
        <f>IF(OR(D1311&lt;Capa!$A$5,D1311&gt;Capa!$A$7,E1311&lt;Capa!$A$5,E1311&gt;Capa!$A$7,D1311&gt;E1311),"Erro","")</f>
        <v/>
      </c>
    </row>
    <row r="1312" spans="1:9" ht="20" hidden="1">
      <c r="A1312" s="345">
        <v>1585</v>
      </c>
      <c r="B1312" s="346" t="s">
        <v>210</v>
      </c>
      <c r="C1312" s="347">
        <v>60</v>
      </c>
      <c r="D1312" s="348">
        <v>45658</v>
      </c>
      <c r="E1312" s="348">
        <v>45992</v>
      </c>
      <c r="F1312" s="346" t="s">
        <v>607</v>
      </c>
      <c r="G1312" s="349" t="s">
        <v>439</v>
      </c>
      <c r="H1312" s="350">
        <f t="shared" si="28"/>
        <v>720</v>
      </c>
      <c r="I1312" s="120" t="str">
        <f>IF(OR(D1312&lt;Capa!$A$5,D1312&gt;Capa!$A$7,E1312&lt;Capa!$A$5,E1312&gt;Capa!$A$7,D1312&gt;E1312),"Erro","")</f>
        <v/>
      </c>
    </row>
    <row r="1313" spans="1:9" ht="20" hidden="1">
      <c r="A1313" s="345">
        <v>1586</v>
      </c>
      <c r="B1313" s="346" t="s">
        <v>210</v>
      </c>
      <c r="C1313" s="347">
        <v>60</v>
      </c>
      <c r="D1313" s="348">
        <v>46023</v>
      </c>
      <c r="E1313" s="348">
        <v>46357</v>
      </c>
      <c r="F1313" s="346" t="s">
        <v>607</v>
      </c>
      <c r="G1313" s="349" t="s">
        <v>439</v>
      </c>
      <c r="H1313" s="350">
        <f t="shared" si="28"/>
        <v>720</v>
      </c>
      <c r="I1313" s="120" t="str">
        <f>IF(OR(D1313&lt;Capa!$A$5,D1313&gt;Capa!$A$7,E1313&lt;Capa!$A$5,E1313&gt;Capa!$A$7,D1313&gt;E1313),"Erro","")</f>
        <v/>
      </c>
    </row>
    <row r="1314" spans="1:9" ht="20" hidden="1">
      <c r="A1314" s="345">
        <v>1587</v>
      </c>
      <c r="B1314" s="346" t="s">
        <v>210</v>
      </c>
      <c r="C1314" s="347">
        <v>60</v>
      </c>
      <c r="D1314" s="348">
        <v>46388</v>
      </c>
      <c r="E1314" s="348">
        <v>46722</v>
      </c>
      <c r="F1314" s="346" t="s">
        <v>607</v>
      </c>
      <c r="G1314" s="349" t="s">
        <v>439</v>
      </c>
      <c r="H1314" s="350">
        <f t="shared" si="28"/>
        <v>720</v>
      </c>
      <c r="I1314" s="120" t="str">
        <f>IF(OR(D1314&lt;Capa!$A$5,D1314&gt;Capa!$A$7,E1314&lt;Capa!$A$5,E1314&gt;Capa!$A$7,D1314&gt;E1314),"Erro","")</f>
        <v/>
      </c>
    </row>
    <row r="1315" spans="1:9" ht="20" hidden="1">
      <c r="A1315" s="345">
        <v>1588</v>
      </c>
      <c r="B1315" s="346" t="s">
        <v>210</v>
      </c>
      <c r="C1315" s="347">
        <v>49</v>
      </c>
      <c r="D1315" s="348">
        <v>46753</v>
      </c>
      <c r="E1315" s="348">
        <v>47058</v>
      </c>
      <c r="F1315" s="346" t="s">
        <v>607</v>
      </c>
      <c r="G1315" s="349" t="s">
        <v>439</v>
      </c>
      <c r="H1315" s="350">
        <f t="shared" si="28"/>
        <v>539</v>
      </c>
      <c r="I1315" s="120" t="str">
        <f>IF(OR(D1315&lt;Capa!$A$5,D1315&gt;Capa!$A$7,E1315&lt;Capa!$A$5,E1315&gt;Capa!$A$7,D1315&gt;E1315),"Erro","")</f>
        <v/>
      </c>
    </row>
    <row r="1316" spans="1:9" ht="20" hidden="1">
      <c r="A1316" s="345">
        <v>1590</v>
      </c>
      <c r="B1316" s="346" t="s">
        <v>214</v>
      </c>
      <c r="C1316" s="347">
        <v>140</v>
      </c>
      <c r="D1316" s="348">
        <v>45658</v>
      </c>
      <c r="E1316" s="348">
        <v>45992</v>
      </c>
      <c r="F1316" s="346" t="s">
        <v>607</v>
      </c>
      <c r="G1316" s="349" t="s">
        <v>439</v>
      </c>
      <c r="H1316" s="350">
        <f t="shared" si="28"/>
        <v>1680</v>
      </c>
      <c r="I1316" s="120" t="str">
        <f>IF(OR(D1316&lt;Capa!$A$5,D1316&gt;Capa!$A$7,E1316&lt;Capa!$A$5,E1316&gt;Capa!$A$7,D1316&gt;E1316),"Erro","")</f>
        <v/>
      </c>
    </row>
    <row r="1317" spans="1:9" ht="20" hidden="1">
      <c r="A1317" s="345">
        <v>1591</v>
      </c>
      <c r="B1317" s="346" t="s">
        <v>214</v>
      </c>
      <c r="C1317" s="347">
        <v>140</v>
      </c>
      <c r="D1317" s="348">
        <v>46023</v>
      </c>
      <c r="E1317" s="348">
        <v>46357</v>
      </c>
      <c r="F1317" s="346" t="s">
        <v>607</v>
      </c>
      <c r="G1317" s="349" t="s">
        <v>439</v>
      </c>
      <c r="H1317" s="350">
        <f t="shared" si="28"/>
        <v>1680</v>
      </c>
      <c r="I1317" s="120" t="str">
        <f>IF(OR(D1317&lt;Capa!$A$5,D1317&gt;Capa!$A$7,E1317&lt;Capa!$A$5,E1317&gt;Capa!$A$7,D1317&gt;E1317),"Erro","")</f>
        <v/>
      </c>
    </row>
    <row r="1318" spans="1:9" ht="20" hidden="1">
      <c r="A1318" s="345">
        <v>1592</v>
      </c>
      <c r="B1318" s="346" t="s">
        <v>214</v>
      </c>
      <c r="C1318" s="347">
        <v>140</v>
      </c>
      <c r="D1318" s="348">
        <v>46388</v>
      </c>
      <c r="E1318" s="348">
        <v>46722</v>
      </c>
      <c r="F1318" s="346" t="s">
        <v>607</v>
      </c>
      <c r="G1318" s="349" t="s">
        <v>439</v>
      </c>
      <c r="H1318" s="350">
        <f t="shared" si="28"/>
        <v>1680</v>
      </c>
      <c r="I1318" s="120" t="str">
        <f>IF(OR(D1318&lt;Capa!$A$5,D1318&gt;Capa!$A$7,E1318&lt;Capa!$A$5,E1318&gt;Capa!$A$7,D1318&gt;E1318),"Erro","")</f>
        <v/>
      </c>
    </row>
    <row r="1319" spans="1:9" ht="20" hidden="1">
      <c r="A1319" s="345">
        <v>1593</v>
      </c>
      <c r="B1319" s="346" t="s">
        <v>214</v>
      </c>
      <c r="C1319" s="347">
        <v>70</v>
      </c>
      <c r="D1319" s="348">
        <v>46753</v>
      </c>
      <c r="E1319" s="348">
        <v>47058</v>
      </c>
      <c r="F1319" s="346" t="s">
        <v>607</v>
      </c>
      <c r="G1319" s="349" t="s">
        <v>439</v>
      </c>
      <c r="H1319" s="350">
        <f t="shared" si="28"/>
        <v>770</v>
      </c>
      <c r="I1319" s="120" t="str">
        <f>IF(OR(D1319&lt;Capa!$A$5,D1319&gt;Capa!$A$7,E1319&lt;Capa!$A$5,E1319&gt;Capa!$A$7,D1319&gt;E1319),"Erro","")</f>
        <v/>
      </c>
    </row>
    <row r="1320" spans="1:9" ht="50" hidden="1">
      <c r="A1320" s="345">
        <v>1595</v>
      </c>
      <c r="B1320" s="346" t="s">
        <v>212</v>
      </c>
      <c r="C1320" s="347">
        <v>260</v>
      </c>
      <c r="D1320" s="348">
        <v>45658</v>
      </c>
      <c r="E1320" s="348">
        <v>45992</v>
      </c>
      <c r="F1320" s="346" t="s">
        <v>607</v>
      </c>
      <c r="G1320" s="349" t="s">
        <v>494</v>
      </c>
      <c r="H1320" s="350">
        <f t="shared" si="28"/>
        <v>3120</v>
      </c>
      <c r="I1320" s="120" t="str">
        <f>IF(OR(D1320&lt;Capa!$A$5,D1320&gt;Capa!$A$7,E1320&lt;Capa!$A$5,E1320&gt;Capa!$A$7,D1320&gt;E1320),"Erro","")</f>
        <v/>
      </c>
    </row>
    <row r="1321" spans="1:9" ht="50" hidden="1">
      <c r="A1321" s="345">
        <v>1596</v>
      </c>
      <c r="B1321" s="346" t="s">
        <v>212</v>
      </c>
      <c r="C1321" s="347">
        <v>260</v>
      </c>
      <c r="D1321" s="348">
        <v>46023</v>
      </c>
      <c r="E1321" s="348">
        <v>46357</v>
      </c>
      <c r="F1321" s="346" t="s">
        <v>607</v>
      </c>
      <c r="G1321" s="349" t="s">
        <v>494</v>
      </c>
      <c r="H1321" s="350">
        <f t="shared" si="28"/>
        <v>3120</v>
      </c>
      <c r="I1321" s="120" t="str">
        <f>IF(OR(D1321&lt;Capa!$A$5,D1321&gt;Capa!$A$7,E1321&lt;Capa!$A$5,E1321&gt;Capa!$A$7,D1321&gt;E1321),"Erro","")</f>
        <v/>
      </c>
    </row>
    <row r="1322" spans="1:9" ht="50" hidden="1">
      <c r="A1322" s="345">
        <v>1597</v>
      </c>
      <c r="B1322" s="346" t="s">
        <v>212</v>
      </c>
      <c r="C1322" s="347">
        <v>260</v>
      </c>
      <c r="D1322" s="348">
        <v>46388</v>
      </c>
      <c r="E1322" s="348">
        <v>46722</v>
      </c>
      <c r="F1322" s="346" t="s">
        <v>607</v>
      </c>
      <c r="G1322" s="349" t="s">
        <v>494</v>
      </c>
      <c r="H1322" s="350">
        <f t="shared" si="28"/>
        <v>3120</v>
      </c>
      <c r="I1322" s="120" t="str">
        <f>IF(OR(D1322&lt;Capa!$A$5,D1322&gt;Capa!$A$7,E1322&lt;Capa!$A$5,E1322&gt;Capa!$A$7,D1322&gt;E1322),"Erro","")</f>
        <v/>
      </c>
    </row>
    <row r="1323" spans="1:9" ht="50" hidden="1">
      <c r="A1323" s="345">
        <v>1598</v>
      </c>
      <c r="B1323" s="346" t="s">
        <v>212</v>
      </c>
      <c r="C1323" s="347">
        <v>220</v>
      </c>
      <c r="D1323" s="348">
        <v>46753</v>
      </c>
      <c r="E1323" s="348">
        <v>47058</v>
      </c>
      <c r="F1323" s="346" t="s">
        <v>607</v>
      </c>
      <c r="G1323" s="349" t="s">
        <v>494</v>
      </c>
      <c r="H1323" s="350">
        <f t="shared" si="28"/>
        <v>2420</v>
      </c>
      <c r="I1323" s="120" t="str">
        <f>IF(OR(D1323&lt;Capa!$A$5,D1323&gt;Capa!$A$7,E1323&lt;Capa!$A$5,E1323&gt;Capa!$A$7,D1323&gt;E1323),"Erro","")</f>
        <v/>
      </c>
    </row>
    <row r="1324" spans="1:9" ht="40" hidden="1">
      <c r="A1324" s="345">
        <v>1599</v>
      </c>
      <c r="B1324" s="346" t="s">
        <v>248</v>
      </c>
      <c r="C1324" s="347">
        <v>846</v>
      </c>
      <c r="D1324" s="348">
        <v>45658</v>
      </c>
      <c r="E1324" s="348">
        <v>45809</v>
      </c>
      <c r="F1324" s="346" t="s">
        <v>607</v>
      </c>
      <c r="G1324" s="349" t="s">
        <v>440</v>
      </c>
      <c r="H1324" s="350">
        <f t="shared" si="28"/>
        <v>5076</v>
      </c>
      <c r="I1324" s="120" t="str">
        <f>IF(OR(D1324&lt;Capa!$A$5,D1324&gt;Capa!$A$7,E1324&lt;Capa!$A$5,E1324&gt;Capa!$A$7,D1324&gt;E1324),"Erro","")</f>
        <v/>
      </c>
    </row>
    <row r="1325" spans="1:9" ht="40" hidden="1">
      <c r="A1325" s="345">
        <v>1600</v>
      </c>
      <c r="B1325" s="346" t="s">
        <v>248</v>
      </c>
      <c r="C1325" s="347">
        <v>846</v>
      </c>
      <c r="D1325" s="348">
        <v>46023</v>
      </c>
      <c r="E1325" s="348">
        <v>46174</v>
      </c>
      <c r="F1325" s="346" t="s">
        <v>607</v>
      </c>
      <c r="G1325" s="349" t="s">
        <v>440</v>
      </c>
      <c r="H1325" s="350">
        <f t="shared" si="28"/>
        <v>5076</v>
      </c>
      <c r="I1325" s="120" t="str">
        <f>IF(OR(D1325&lt;Capa!$A$5,D1325&gt;Capa!$A$7,E1325&lt;Capa!$A$5,E1325&gt;Capa!$A$7,D1325&gt;E1325),"Erro","")</f>
        <v/>
      </c>
    </row>
    <row r="1326" spans="1:9" ht="40" hidden="1">
      <c r="A1326" s="345">
        <v>1601</v>
      </c>
      <c r="B1326" s="346" t="s">
        <v>248</v>
      </c>
      <c r="C1326" s="347">
        <v>846</v>
      </c>
      <c r="D1326" s="348">
        <v>46388</v>
      </c>
      <c r="E1326" s="348">
        <v>46539</v>
      </c>
      <c r="F1326" s="346" t="s">
        <v>607</v>
      </c>
      <c r="G1326" s="349" t="s">
        <v>440</v>
      </c>
      <c r="H1326" s="350">
        <f t="shared" si="28"/>
        <v>5076</v>
      </c>
      <c r="I1326" s="120" t="str">
        <f>IF(OR(D1326&lt;Capa!$A$5,D1326&gt;Capa!$A$7,E1326&lt;Capa!$A$5,E1326&gt;Capa!$A$7,D1326&gt;E1326),"Erro","")</f>
        <v/>
      </c>
    </row>
    <row r="1327" spans="1:9" ht="40" hidden="1">
      <c r="A1327" s="345">
        <v>1602</v>
      </c>
      <c r="B1327" s="346" t="s">
        <v>248</v>
      </c>
      <c r="C1327" s="347">
        <v>500</v>
      </c>
      <c r="D1327" s="348">
        <v>46753</v>
      </c>
      <c r="E1327" s="348">
        <v>46905</v>
      </c>
      <c r="F1327" s="346" t="s">
        <v>607</v>
      </c>
      <c r="G1327" s="349" t="s">
        <v>440</v>
      </c>
      <c r="H1327" s="350">
        <f t="shared" si="28"/>
        <v>3000</v>
      </c>
      <c r="I1327" s="120" t="str">
        <f>IF(OR(D1327&lt;Capa!$A$5,D1327&gt;Capa!$A$7,E1327&lt;Capa!$A$5,E1327&gt;Capa!$A$7,D1327&gt;E1327),"Erro","")</f>
        <v/>
      </c>
    </row>
    <row r="1328" spans="1:9" ht="30" hidden="1">
      <c r="A1328" s="345">
        <v>1603</v>
      </c>
      <c r="B1328" s="346" t="s">
        <v>266</v>
      </c>
      <c r="C1328" s="347">
        <v>1500</v>
      </c>
      <c r="D1328" s="348">
        <v>45658</v>
      </c>
      <c r="E1328" s="348">
        <v>45658</v>
      </c>
      <c r="F1328" s="346" t="s">
        <v>607</v>
      </c>
      <c r="G1328" s="349" t="s">
        <v>441</v>
      </c>
      <c r="H1328" s="350">
        <f t="shared" si="28"/>
        <v>1500</v>
      </c>
      <c r="I1328" s="120" t="str">
        <f>IF(OR(D1328&lt;Capa!$A$5,D1328&gt;Capa!$A$7,E1328&lt;Capa!$A$5,E1328&gt;Capa!$A$7,D1328&gt;E1328),"Erro","")</f>
        <v/>
      </c>
    </row>
    <row r="1329" spans="1:9" ht="30" hidden="1">
      <c r="A1329" s="345">
        <v>1604</v>
      </c>
      <c r="B1329" s="346" t="s">
        <v>266</v>
      </c>
      <c r="C1329" s="347">
        <v>1500</v>
      </c>
      <c r="D1329" s="348">
        <v>46023</v>
      </c>
      <c r="E1329" s="348">
        <v>46023</v>
      </c>
      <c r="F1329" s="346" t="s">
        <v>607</v>
      </c>
      <c r="G1329" s="349" t="s">
        <v>441</v>
      </c>
      <c r="H1329" s="350">
        <f t="shared" si="28"/>
        <v>1500</v>
      </c>
      <c r="I1329" s="120" t="str">
        <f>IF(OR(D1329&lt;Capa!$A$5,D1329&gt;Capa!$A$7,E1329&lt;Capa!$A$5,E1329&gt;Capa!$A$7,D1329&gt;E1329),"Erro","")</f>
        <v/>
      </c>
    </row>
    <row r="1330" spans="1:9" ht="30" hidden="1">
      <c r="A1330" s="345">
        <v>1605</v>
      </c>
      <c r="B1330" s="346" t="s">
        <v>266</v>
      </c>
      <c r="C1330" s="347">
        <v>1500</v>
      </c>
      <c r="D1330" s="348">
        <v>46388</v>
      </c>
      <c r="E1330" s="348">
        <v>46388</v>
      </c>
      <c r="F1330" s="346" t="s">
        <v>607</v>
      </c>
      <c r="G1330" s="349" t="s">
        <v>441</v>
      </c>
      <c r="H1330" s="350">
        <f t="shared" si="28"/>
        <v>1500</v>
      </c>
      <c r="I1330" s="120" t="str">
        <f>IF(OR(D1330&lt;Capa!$A$5,D1330&gt;Capa!$A$7,E1330&lt;Capa!$A$5,E1330&gt;Capa!$A$7,D1330&gt;E1330),"Erro","")</f>
        <v/>
      </c>
    </row>
    <row r="1331" spans="1:9" ht="30" hidden="1">
      <c r="A1331" s="345">
        <v>1606</v>
      </c>
      <c r="B1331" s="346" t="s">
        <v>266</v>
      </c>
      <c r="C1331" s="347">
        <v>750</v>
      </c>
      <c r="D1331" s="348">
        <v>46753</v>
      </c>
      <c r="E1331" s="348">
        <v>46753</v>
      </c>
      <c r="F1331" s="346" t="s">
        <v>607</v>
      </c>
      <c r="G1331" s="349" t="s">
        <v>441</v>
      </c>
      <c r="H1331" s="350">
        <f t="shared" si="28"/>
        <v>750</v>
      </c>
      <c r="I1331" s="120" t="str">
        <f>IF(OR(D1331&lt;Capa!$A$5,D1331&gt;Capa!$A$7,E1331&lt;Capa!$A$5,E1331&gt;Capa!$A$7,D1331&gt;E1331),"Erro","")</f>
        <v/>
      </c>
    </row>
    <row r="1332" spans="1:9" hidden="1">
      <c r="A1332" s="345">
        <v>1608</v>
      </c>
      <c r="B1332" s="346" t="s">
        <v>274</v>
      </c>
      <c r="C1332" s="347">
        <v>850</v>
      </c>
      <c r="D1332" s="348">
        <v>45658</v>
      </c>
      <c r="E1332" s="348">
        <v>45992</v>
      </c>
      <c r="F1332" s="346" t="s">
        <v>607</v>
      </c>
      <c r="G1332" s="349" t="s">
        <v>442</v>
      </c>
      <c r="H1332" s="350">
        <f t="shared" si="28"/>
        <v>10200</v>
      </c>
      <c r="I1332" s="120" t="str">
        <f>IF(OR(D1332&lt;Capa!$A$5,D1332&gt;Capa!$A$7,E1332&lt;Capa!$A$5,E1332&gt;Capa!$A$7,D1332&gt;E1332),"Erro","")</f>
        <v/>
      </c>
    </row>
    <row r="1333" spans="1:9" hidden="1">
      <c r="A1333" s="345">
        <v>1609</v>
      </c>
      <c r="B1333" s="346" t="s">
        <v>274</v>
      </c>
      <c r="C1333" s="347">
        <v>850</v>
      </c>
      <c r="D1333" s="348">
        <v>46023</v>
      </c>
      <c r="E1333" s="348">
        <v>46357</v>
      </c>
      <c r="F1333" s="346" t="s">
        <v>607</v>
      </c>
      <c r="G1333" s="349" t="s">
        <v>442</v>
      </c>
      <c r="H1333" s="350">
        <f t="shared" ref="H1333:H1383" si="29">IFERROR((DATEDIF(D1333,E1333,"M")+1)*C1333,0)</f>
        <v>10200</v>
      </c>
      <c r="I1333" s="120" t="str">
        <f>IF(OR(D1333&lt;Capa!$A$5,D1333&gt;Capa!$A$7,E1333&lt;Capa!$A$5,E1333&gt;Capa!$A$7,D1333&gt;E1333),"Erro","")</f>
        <v/>
      </c>
    </row>
    <row r="1334" spans="1:9" hidden="1">
      <c r="A1334" s="345">
        <v>1610</v>
      </c>
      <c r="B1334" s="346" t="s">
        <v>274</v>
      </c>
      <c r="C1334" s="347">
        <v>850</v>
      </c>
      <c r="D1334" s="348">
        <v>46388</v>
      </c>
      <c r="E1334" s="348">
        <v>46722</v>
      </c>
      <c r="F1334" s="346" t="s">
        <v>607</v>
      </c>
      <c r="G1334" s="349" t="s">
        <v>442</v>
      </c>
      <c r="H1334" s="350">
        <f t="shared" si="29"/>
        <v>10200</v>
      </c>
      <c r="I1334" s="120" t="str">
        <f>IF(OR(D1334&lt;Capa!$A$5,D1334&gt;Capa!$A$7,E1334&lt;Capa!$A$5,E1334&gt;Capa!$A$7,D1334&gt;E1334),"Erro","")</f>
        <v/>
      </c>
    </row>
    <row r="1335" spans="1:9" hidden="1">
      <c r="A1335" s="345">
        <v>1611</v>
      </c>
      <c r="B1335" s="346" t="s">
        <v>274</v>
      </c>
      <c r="C1335" s="347">
        <v>450</v>
      </c>
      <c r="D1335" s="348">
        <v>46753</v>
      </c>
      <c r="E1335" s="348">
        <v>47058</v>
      </c>
      <c r="F1335" s="346" t="s">
        <v>607</v>
      </c>
      <c r="G1335" s="349" t="s">
        <v>442</v>
      </c>
      <c r="H1335" s="350">
        <f t="shared" si="29"/>
        <v>4950</v>
      </c>
      <c r="I1335" s="120" t="str">
        <f>IF(OR(D1335&lt;Capa!$A$5,D1335&gt;Capa!$A$7,E1335&lt;Capa!$A$5,E1335&gt;Capa!$A$7,D1335&gt;E1335),"Erro","")</f>
        <v/>
      </c>
    </row>
    <row r="1336" spans="1:9" ht="40" hidden="1">
      <c r="A1336" s="345">
        <v>1613</v>
      </c>
      <c r="B1336" s="346" t="s">
        <v>236</v>
      </c>
      <c r="C1336" s="347">
        <v>450</v>
      </c>
      <c r="D1336" s="348">
        <v>45658</v>
      </c>
      <c r="E1336" s="348">
        <v>45992</v>
      </c>
      <c r="F1336" s="346" t="s">
        <v>607</v>
      </c>
      <c r="G1336" s="349" t="s">
        <v>443</v>
      </c>
      <c r="H1336" s="350">
        <f t="shared" si="29"/>
        <v>5400</v>
      </c>
      <c r="I1336" s="120" t="str">
        <f>IF(OR(D1336&lt;Capa!$A$5,D1336&gt;Capa!$A$7,E1336&lt;Capa!$A$5,E1336&gt;Capa!$A$7,D1336&gt;E1336),"Erro","")</f>
        <v/>
      </c>
    </row>
    <row r="1337" spans="1:9" ht="40" hidden="1">
      <c r="A1337" s="345">
        <v>1614</v>
      </c>
      <c r="B1337" s="346" t="s">
        <v>236</v>
      </c>
      <c r="C1337" s="347">
        <v>450</v>
      </c>
      <c r="D1337" s="348">
        <v>46023</v>
      </c>
      <c r="E1337" s="348">
        <v>46357</v>
      </c>
      <c r="F1337" s="346" t="s">
        <v>607</v>
      </c>
      <c r="G1337" s="349" t="s">
        <v>443</v>
      </c>
      <c r="H1337" s="350">
        <f t="shared" si="29"/>
        <v>5400</v>
      </c>
      <c r="I1337" s="120" t="str">
        <f>IF(OR(D1337&lt;Capa!$A$5,D1337&gt;Capa!$A$7,E1337&lt;Capa!$A$5,E1337&gt;Capa!$A$7,D1337&gt;E1337),"Erro","")</f>
        <v/>
      </c>
    </row>
    <row r="1338" spans="1:9" ht="40" hidden="1">
      <c r="A1338" s="345">
        <v>1615</v>
      </c>
      <c r="B1338" s="346" t="s">
        <v>236</v>
      </c>
      <c r="C1338" s="347">
        <v>450</v>
      </c>
      <c r="D1338" s="348">
        <v>46388</v>
      </c>
      <c r="E1338" s="348">
        <v>46722</v>
      </c>
      <c r="F1338" s="346" t="s">
        <v>607</v>
      </c>
      <c r="G1338" s="349" t="s">
        <v>443</v>
      </c>
      <c r="H1338" s="350">
        <f t="shared" si="29"/>
        <v>5400</v>
      </c>
      <c r="I1338" s="120" t="str">
        <f>IF(OR(D1338&lt;Capa!$A$5,D1338&gt;Capa!$A$7,E1338&lt;Capa!$A$5,E1338&gt;Capa!$A$7,D1338&gt;E1338),"Erro","")</f>
        <v/>
      </c>
    </row>
    <row r="1339" spans="1:9" ht="40" hidden="1">
      <c r="A1339" s="345">
        <v>1616</v>
      </c>
      <c r="B1339" s="346" t="s">
        <v>236</v>
      </c>
      <c r="C1339" s="347">
        <v>200</v>
      </c>
      <c r="D1339" s="348">
        <v>46753</v>
      </c>
      <c r="E1339" s="348">
        <v>47058</v>
      </c>
      <c r="F1339" s="346" t="s">
        <v>607</v>
      </c>
      <c r="G1339" s="349" t="s">
        <v>443</v>
      </c>
      <c r="H1339" s="350">
        <f t="shared" si="29"/>
        <v>2200</v>
      </c>
      <c r="I1339" s="120" t="str">
        <f>IF(OR(D1339&lt;Capa!$A$5,D1339&gt;Capa!$A$7,E1339&lt;Capa!$A$5,E1339&gt;Capa!$A$7,D1339&gt;E1339),"Erro","")</f>
        <v/>
      </c>
    </row>
    <row r="1340" spans="1:9" ht="30" hidden="1">
      <c r="A1340" s="345">
        <v>1618</v>
      </c>
      <c r="B1340" s="346" t="s">
        <v>240</v>
      </c>
      <c r="C1340" s="347">
        <v>50</v>
      </c>
      <c r="D1340" s="348">
        <v>45658</v>
      </c>
      <c r="E1340" s="348">
        <v>45992</v>
      </c>
      <c r="F1340" s="346" t="s">
        <v>607</v>
      </c>
      <c r="G1340" s="349" t="s">
        <v>444</v>
      </c>
      <c r="H1340" s="350">
        <f t="shared" si="29"/>
        <v>600</v>
      </c>
      <c r="I1340" s="120" t="str">
        <f>IF(OR(D1340&lt;Capa!$A$5,D1340&gt;Capa!$A$7,E1340&lt;Capa!$A$5,E1340&gt;Capa!$A$7,D1340&gt;E1340),"Erro","")</f>
        <v/>
      </c>
    </row>
    <row r="1341" spans="1:9" ht="30" hidden="1">
      <c r="A1341" s="345">
        <v>1619</v>
      </c>
      <c r="B1341" s="346" t="s">
        <v>240</v>
      </c>
      <c r="C1341" s="347">
        <v>50</v>
      </c>
      <c r="D1341" s="348">
        <v>46023</v>
      </c>
      <c r="E1341" s="348">
        <v>46357</v>
      </c>
      <c r="F1341" s="346" t="s">
        <v>607</v>
      </c>
      <c r="G1341" s="349" t="s">
        <v>444</v>
      </c>
      <c r="H1341" s="350">
        <f t="shared" si="29"/>
        <v>600</v>
      </c>
      <c r="I1341" s="120" t="str">
        <f>IF(OR(D1341&lt;Capa!$A$5,D1341&gt;Capa!$A$7,E1341&lt;Capa!$A$5,E1341&gt;Capa!$A$7,D1341&gt;E1341),"Erro","")</f>
        <v/>
      </c>
    </row>
    <row r="1342" spans="1:9" ht="30" hidden="1">
      <c r="A1342" s="345">
        <v>1620</v>
      </c>
      <c r="B1342" s="346" t="s">
        <v>240</v>
      </c>
      <c r="C1342" s="347">
        <v>50</v>
      </c>
      <c r="D1342" s="348">
        <v>46388</v>
      </c>
      <c r="E1342" s="348">
        <v>46722</v>
      </c>
      <c r="F1342" s="346" t="s">
        <v>607</v>
      </c>
      <c r="G1342" s="349" t="s">
        <v>444</v>
      </c>
      <c r="H1342" s="350">
        <f t="shared" si="29"/>
        <v>600</v>
      </c>
      <c r="I1342" s="120" t="str">
        <f>IF(OR(D1342&lt;Capa!$A$5,D1342&gt;Capa!$A$7,E1342&lt;Capa!$A$5,E1342&gt;Capa!$A$7,D1342&gt;E1342),"Erro","")</f>
        <v/>
      </c>
    </row>
    <row r="1343" spans="1:9" ht="30" hidden="1">
      <c r="A1343" s="345">
        <v>1621</v>
      </c>
      <c r="B1343" s="346" t="s">
        <v>240</v>
      </c>
      <c r="C1343" s="347">
        <v>25</v>
      </c>
      <c r="D1343" s="348">
        <v>46753</v>
      </c>
      <c r="E1343" s="348">
        <v>47058</v>
      </c>
      <c r="F1343" s="346" t="s">
        <v>607</v>
      </c>
      <c r="G1343" s="349" t="s">
        <v>444</v>
      </c>
      <c r="H1343" s="350">
        <f t="shared" si="29"/>
        <v>275</v>
      </c>
      <c r="I1343" s="120" t="str">
        <f>IF(OR(D1343&lt;Capa!$A$5,D1343&gt;Capa!$A$7,E1343&lt;Capa!$A$5,E1343&gt;Capa!$A$7,D1343&gt;E1343),"Erro","")</f>
        <v/>
      </c>
    </row>
    <row r="1344" spans="1:9" ht="30" hidden="1">
      <c r="A1344" s="345">
        <v>1623</v>
      </c>
      <c r="B1344" s="346" t="s">
        <v>244</v>
      </c>
      <c r="C1344" s="347">
        <v>250</v>
      </c>
      <c r="D1344" s="348">
        <v>45658</v>
      </c>
      <c r="E1344" s="348">
        <v>45992</v>
      </c>
      <c r="F1344" s="346" t="s">
        <v>607</v>
      </c>
      <c r="G1344" s="349" t="s">
        <v>445</v>
      </c>
      <c r="H1344" s="350">
        <f t="shared" si="29"/>
        <v>3000</v>
      </c>
      <c r="I1344" s="120" t="str">
        <f>IF(OR(D1344&lt;Capa!$A$5,D1344&gt;Capa!$A$7,E1344&lt;Capa!$A$5,E1344&gt;Capa!$A$7,D1344&gt;E1344),"Erro","")</f>
        <v/>
      </c>
    </row>
    <row r="1345" spans="1:9" ht="30" hidden="1">
      <c r="A1345" s="345">
        <v>1624</v>
      </c>
      <c r="B1345" s="346" t="s">
        <v>244</v>
      </c>
      <c r="C1345" s="347">
        <v>250</v>
      </c>
      <c r="D1345" s="348">
        <v>46023</v>
      </c>
      <c r="E1345" s="348">
        <v>46357</v>
      </c>
      <c r="F1345" s="346" t="s">
        <v>607</v>
      </c>
      <c r="G1345" s="349" t="s">
        <v>445</v>
      </c>
      <c r="H1345" s="350">
        <f t="shared" si="29"/>
        <v>3000</v>
      </c>
      <c r="I1345" s="120" t="str">
        <f>IF(OR(D1345&lt;Capa!$A$5,D1345&gt;Capa!$A$7,E1345&lt;Capa!$A$5,E1345&gt;Capa!$A$7,D1345&gt;E1345),"Erro","")</f>
        <v/>
      </c>
    </row>
    <row r="1346" spans="1:9" ht="30" hidden="1">
      <c r="A1346" s="345">
        <v>1625</v>
      </c>
      <c r="B1346" s="346" t="s">
        <v>244</v>
      </c>
      <c r="C1346" s="347">
        <v>250</v>
      </c>
      <c r="D1346" s="348">
        <v>46388</v>
      </c>
      <c r="E1346" s="348">
        <v>46722</v>
      </c>
      <c r="F1346" s="346" t="s">
        <v>607</v>
      </c>
      <c r="G1346" s="349" t="s">
        <v>445</v>
      </c>
      <c r="H1346" s="350">
        <f t="shared" si="29"/>
        <v>3000</v>
      </c>
      <c r="I1346" s="120" t="str">
        <f>IF(OR(D1346&lt;Capa!$A$5,D1346&gt;Capa!$A$7,E1346&lt;Capa!$A$5,E1346&gt;Capa!$A$7,D1346&gt;E1346),"Erro","")</f>
        <v/>
      </c>
    </row>
    <row r="1347" spans="1:9" ht="30" hidden="1">
      <c r="A1347" s="345">
        <v>1626</v>
      </c>
      <c r="B1347" s="346" t="s">
        <v>244</v>
      </c>
      <c r="C1347" s="347">
        <v>125</v>
      </c>
      <c r="D1347" s="348">
        <v>46753</v>
      </c>
      <c r="E1347" s="348">
        <v>47058</v>
      </c>
      <c r="F1347" s="346" t="s">
        <v>607</v>
      </c>
      <c r="G1347" s="349" t="s">
        <v>445</v>
      </c>
      <c r="H1347" s="350">
        <f t="shared" si="29"/>
        <v>1375</v>
      </c>
      <c r="I1347" s="120" t="str">
        <f>IF(OR(D1347&lt;Capa!$A$5,D1347&gt;Capa!$A$7,E1347&lt;Capa!$A$5,E1347&gt;Capa!$A$7,D1347&gt;E1347),"Erro","")</f>
        <v/>
      </c>
    </row>
    <row r="1348" spans="1:9" ht="20" hidden="1">
      <c r="A1348" s="345">
        <v>1627</v>
      </c>
      <c r="B1348" s="346" t="s">
        <v>246</v>
      </c>
      <c r="C1348" s="347">
        <v>390</v>
      </c>
      <c r="D1348" s="348">
        <v>45658</v>
      </c>
      <c r="E1348" s="348">
        <v>45992</v>
      </c>
      <c r="F1348" s="346" t="s">
        <v>607</v>
      </c>
      <c r="G1348" s="349" t="s">
        <v>446</v>
      </c>
      <c r="H1348" s="350">
        <f t="shared" si="29"/>
        <v>4680</v>
      </c>
      <c r="I1348" s="120" t="str">
        <f>IF(OR(D1348&lt;Capa!$A$5,D1348&gt;Capa!$A$7,E1348&lt;Capa!$A$5,E1348&gt;Capa!$A$7,D1348&gt;E1348),"Erro","")</f>
        <v/>
      </c>
    </row>
    <row r="1349" spans="1:9" ht="20" hidden="1">
      <c r="A1349" s="345">
        <v>1628</v>
      </c>
      <c r="B1349" s="346" t="s">
        <v>246</v>
      </c>
      <c r="C1349" s="347">
        <v>390</v>
      </c>
      <c r="D1349" s="348">
        <v>46023</v>
      </c>
      <c r="E1349" s="348">
        <v>46357</v>
      </c>
      <c r="F1349" s="346" t="s">
        <v>607</v>
      </c>
      <c r="G1349" s="349" t="s">
        <v>446</v>
      </c>
      <c r="H1349" s="350">
        <f t="shared" si="29"/>
        <v>4680</v>
      </c>
      <c r="I1349" s="120" t="str">
        <f>IF(OR(D1349&lt;Capa!$A$5,D1349&gt;Capa!$A$7,E1349&lt;Capa!$A$5,E1349&gt;Capa!$A$7,D1349&gt;E1349),"Erro","")</f>
        <v/>
      </c>
    </row>
    <row r="1350" spans="1:9" ht="20" hidden="1">
      <c r="A1350" s="345">
        <v>1629</v>
      </c>
      <c r="B1350" s="346" t="s">
        <v>246</v>
      </c>
      <c r="C1350" s="347">
        <v>390</v>
      </c>
      <c r="D1350" s="348">
        <v>46388</v>
      </c>
      <c r="E1350" s="348">
        <v>46722</v>
      </c>
      <c r="F1350" s="346" t="s">
        <v>607</v>
      </c>
      <c r="G1350" s="349" t="s">
        <v>446</v>
      </c>
      <c r="H1350" s="350">
        <f t="shared" si="29"/>
        <v>4680</v>
      </c>
      <c r="I1350" s="120" t="str">
        <f>IF(OR(D1350&lt;Capa!$A$5,D1350&gt;Capa!$A$7,E1350&lt;Capa!$A$5,E1350&gt;Capa!$A$7,D1350&gt;E1350),"Erro","")</f>
        <v/>
      </c>
    </row>
    <row r="1351" spans="1:9" ht="20" hidden="1">
      <c r="A1351" s="345">
        <v>1630</v>
      </c>
      <c r="B1351" s="346" t="s">
        <v>246</v>
      </c>
      <c r="C1351" s="347">
        <v>190</v>
      </c>
      <c r="D1351" s="348">
        <v>46753</v>
      </c>
      <c r="E1351" s="348">
        <v>47058</v>
      </c>
      <c r="F1351" s="346" t="s">
        <v>607</v>
      </c>
      <c r="G1351" s="349" t="s">
        <v>446</v>
      </c>
      <c r="H1351" s="350">
        <f t="shared" si="29"/>
        <v>2090</v>
      </c>
      <c r="I1351" s="120" t="str">
        <f>IF(OR(D1351&lt;Capa!$A$5,D1351&gt;Capa!$A$7,E1351&lt;Capa!$A$5,E1351&gt;Capa!$A$7,D1351&gt;E1351),"Erro","")</f>
        <v/>
      </c>
    </row>
    <row r="1352" spans="1:9" ht="30" hidden="1">
      <c r="A1352" s="345">
        <v>1632</v>
      </c>
      <c r="B1352" s="346" t="s">
        <v>258</v>
      </c>
      <c r="C1352" s="347">
        <v>50</v>
      </c>
      <c r="D1352" s="348">
        <v>45658</v>
      </c>
      <c r="E1352" s="348">
        <v>45992</v>
      </c>
      <c r="F1352" s="346" t="s">
        <v>607</v>
      </c>
      <c r="G1352" s="349" t="s">
        <v>447</v>
      </c>
      <c r="H1352" s="350">
        <f t="shared" si="29"/>
        <v>600</v>
      </c>
      <c r="I1352" s="120" t="str">
        <f>IF(OR(D1352&lt;Capa!$A$5,D1352&gt;Capa!$A$7,E1352&lt;Capa!$A$5,E1352&gt;Capa!$A$7,D1352&gt;E1352),"Erro","")</f>
        <v/>
      </c>
    </row>
    <row r="1353" spans="1:9" ht="30" hidden="1">
      <c r="A1353" s="345">
        <v>1633</v>
      </c>
      <c r="B1353" s="346" t="s">
        <v>258</v>
      </c>
      <c r="C1353" s="347">
        <v>50</v>
      </c>
      <c r="D1353" s="348">
        <v>46023</v>
      </c>
      <c r="E1353" s="348">
        <v>46357</v>
      </c>
      <c r="F1353" s="346" t="s">
        <v>607</v>
      </c>
      <c r="G1353" s="349" t="s">
        <v>447</v>
      </c>
      <c r="H1353" s="350">
        <f t="shared" si="29"/>
        <v>600</v>
      </c>
      <c r="I1353" s="120" t="str">
        <f>IF(OR(D1353&lt;Capa!$A$5,D1353&gt;Capa!$A$7,E1353&lt;Capa!$A$5,E1353&gt;Capa!$A$7,D1353&gt;E1353),"Erro","")</f>
        <v/>
      </c>
    </row>
    <row r="1354" spans="1:9" ht="30" hidden="1">
      <c r="A1354" s="345">
        <v>1634</v>
      </c>
      <c r="B1354" s="346" t="s">
        <v>258</v>
      </c>
      <c r="C1354" s="347">
        <v>50</v>
      </c>
      <c r="D1354" s="348">
        <v>46388</v>
      </c>
      <c r="E1354" s="348">
        <v>46722</v>
      </c>
      <c r="F1354" s="346" t="s">
        <v>607</v>
      </c>
      <c r="G1354" s="349" t="s">
        <v>447</v>
      </c>
      <c r="H1354" s="350">
        <f t="shared" si="29"/>
        <v>600</v>
      </c>
      <c r="I1354" s="120" t="str">
        <f>IF(OR(D1354&lt;Capa!$A$5,D1354&gt;Capa!$A$7,E1354&lt;Capa!$A$5,E1354&gt;Capa!$A$7,D1354&gt;E1354),"Erro","")</f>
        <v/>
      </c>
    </row>
    <row r="1355" spans="1:9" ht="30" hidden="1">
      <c r="A1355" s="345">
        <v>1635</v>
      </c>
      <c r="B1355" s="346" t="s">
        <v>258</v>
      </c>
      <c r="C1355" s="347">
        <v>20</v>
      </c>
      <c r="D1355" s="348">
        <v>46753</v>
      </c>
      <c r="E1355" s="348">
        <v>47058</v>
      </c>
      <c r="F1355" s="346" t="s">
        <v>607</v>
      </c>
      <c r="G1355" s="349" t="s">
        <v>447</v>
      </c>
      <c r="H1355" s="350">
        <f t="shared" si="29"/>
        <v>220</v>
      </c>
      <c r="I1355" s="120" t="str">
        <f>IF(OR(D1355&lt;Capa!$A$5,D1355&gt;Capa!$A$7,E1355&lt;Capa!$A$5,E1355&gt;Capa!$A$7,D1355&gt;E1355),"Erro","")</f>
        <v/>
      </c>
    </row>
    <row r="1356" spans="1:9" ht="40" hidden="1">
      <c r="A1356" s="345">
        <v>1636</v>
      </c>
      <c r="B1356" s="346" t="s">
        <v>276</v>
      </c>
      <c r="C1356" s="347">
        <v>500</v>
      </c>
      <c r="D1356" s="348">
        <v>45658</v>
      </c>
      <c r="E1356" s="348">
        <v>45992</v>
      </c>
      <c r="F1356" s="346" t="s">
        <v>607</v>
      </c>
      <c r="G1356" s="349" t="s">
        <v>448</v>
      </c>
      <c r="H1356" s="350">
        <f t="shared" si="29"/>
        <v>6000</v>
      </c>
      <c r="I1356" s="120" t="str">
        <f>IF(OR(D1356&lt;Capa!$A$5,D1356&gt;Capa!$A$7,E1356&lt;Capa!$A$5,E1356&gt;Capa!$A$7,D1356&gt;E1356),"Erro","")</f>
        <v/>
      </c>
    </row>
    <row r="1357" spans="1:9" ht="40" hidden="1">
      <c r="A1357" s="345">
        <v>1637</v>
      </c>
      <c r="B1357" s="346" t="s">
        <v>276</v>
      </c>
      <c r="C1357" s="347">
        <v>500</v>
      </c>
      <c r="D1357" s="348">
        <v>46023</v>
      </c>
      <c r="E1357" s="348">
        <v>46357</v>
      </c>
      <c r="F1357" s="346" t="s">
        <v>607</v>
      </c>
      <c r="G1357" s="349" t="s">
        <v>448</v>
      </c>
      <c r="H1357" s="350">
        <f t="shared" si="29"/>
        <v>6000</v>
      </c>
      <c r="I1357" s="120" t="str">
        <f>IF(OR(D1357&lt;Capa!$A$5,D1357&gt;Capa!$A$7,E1357&lt;Capa!$A$5,E1357&gt;Capa!$A$7,D1357&gt;E1357),"Erro","")</f>
        <v/>
      </c>
    </row>
    <row r="1358" spans="1:9" ht="40" hidden="1">
      <c r="A1358" s="345">
        <v>1638</v>
      </c>
      <c r="B1358" s="346" t="s">
        <v>276</v>
      </c>
      <c r="C1358" s="347">
        <v>500</v>
      </c>
      <c r="D1358" s="348">
        <v>46388</v>
      </c>
      <c r="E1358" s="348">
        <v>46722</v>
      </c>
      <c r="F1358" s="346" t="s">
        <v>607</v>
      </c>
      <c r="G1358" s="349" t="s">
        <v>448</v>
      </c>
      <c r="H1358" s="350">
        <f t="shared" si="29"/>
        <v>6000</v>
      </c>
      <c r="I1358" s="120" t="str">
        <f>IF(OR(D1358&lt;Capa!$A$5,D1358&gt;Capa!$A$7,E1358&lt;Capa!$A$5,E1358&gt;Capa!$A$7,D1358&gt;E1358),"Erro","")</f>
        <v/>
      </c>
    </row>
    <row r="1359" spans="1:9" ht="40" hidden="1">
      <c r="A1359" s="345">
        <v>1639</v>
      </c>
      <c r="B1359" s="346" t="s">
        <v>276</v>
      </c>
      <c r="C1359" s="347">
        <v>250</v>
      </c>
      <c r="D1359" s="348">
        <v>46753</v>
      </c>
      <c r="E1359" s="348">
        <v>47058</v>
      </c>
      <c r="F1359" s="346" t="s">
        <v>607</v>
      </c>
      <c r="G1359" s="349" t="s">
        <v>448</v>
      </c>
      <c r="H1359" s="350">
        <f t="shared" si="29"/>
        <v>2750</v>
      </c>
      <c r="I1359" s="120" t="str">
        <f>IF(OR(D1359&lt;Capa!$A$5,D1359&gt;Capa!$A$7,E1359&lt;Capa!$A$5,E1359&gt;Capa!$A$7,D1359&gt;E1359),"Erro","")</f>
        <v/>
      </c>
    </row>
    <row r="1360" spans="1:9" ht="40">
      <c r="A1360" s="345">
        <v>1641</v>
      </c>
      <c r="B1360" s="346" t="s">
        <v>278</v>
      </c>
      <c r="C1360" s="347">
        <v>36500</v>
      </c>
      <c r="D1360" s="348">
        <v>45658</v>
      </c>
      <c r="E1360" s="348">
        <v>45992</v>
      </c>
      <c r="F1360" s="346" t="s">
        <v>607</v>
      </c>
      <c r="G1360" s="349" t="s">
        <v>449</v>
      </c>
      <c r="H1360" s="350">
        <f t="shared" si="29"/>
        <v>438000</v>
      </c>
      <c r="I1360" s="120" t="str">
        <f>IF(OR(D1360&lt;Capa!$A$5,D1360&gt;Capa!$A$7,E1360&lt;Capa!$A$5,E1360&gt;Capa!$A$7,D1360&gt;E1360),"Erro","")</f>
        <v/>
      </c>
    </row>
    <row r="1361" spans="1:9" ht="40">
      <c r="A1361" s="345">
        <v>1642</v>
      </c>
      <c r="B1361" s="346" t="s">
        <v>278</v>
      </c>
      <c r="C1361" s="347">
        <v>36500</v>
      </c>
      <c r="D1361" s="348">
        <v>46023</v>
      </c>
      <c r="E1361" s="348">
        <v>46357</v>
      </c>
      <c r="F1361" s="346" t="s">
        <v>607</v>
      </c>
      <c r="G1361" s="349" t="s">
        <v>449</v>
      </c>
      <c r="H1361" s="350">
        <f t="shared" si="29"/>
        <v>438000</v>
      </c>
      <c r="I1361" s="120" t="str">
        <f>IF(OR(D1361&lt;Capa!$A$5,D1361&gt;Capa!$A$7,E1361&lt;Capa!$A$5,E1361&gt;Capa!$A$7,D1361&gt;E1361),"Erro","")</f>
        <v/>
      </c>
    </row>
    <row r="1362" spans="1:9" ht="40">
      <c r="A1362" s="345">
        <v>1643</v>
      </c>
      <c r="B1362" s="346" t="s">
        <v>278</v>
      </c>
      <c r="C1362" s="347">
        <v>36500</v>
      </c>
      <c r="D1362" s="348">
        <v>46388</v>
      </c>
      <c r="E1362" s="348">
        <v>46722</v>
      </c>
      <c r="F1362" s="346" t="s">
        <v>607</v>
      </c>
      <c r="G1362" s="349" t="s">
        <v>449</v>
      </c>
      <c r="H1362" s="350">
        <f t="shared" si="29"/>
        <v>438000</v>
      </c>
      <c r="I1362" s="120" t="str">
        <f>IF(OR(D1362&lt;Capa!$A$5,D1362&gt;Capa!$A$7,E1362&lt;Capa!$A$5,E1362&gt;Capa!$A$7,D1362&gt;E1362),"Erro","")</f>
        <v/>
      </c>
    </row>
    <row r="1363" spans="1:9" ht="40">
      <c r="A1363" s="345">
        <v>1644</v>
      </c>
      <c r="B1363" s="346" t="s">
        <v>278</v>
      </c>
      <c r="C1363" s="347">
        <v>18500</v>
      </c>
      <c r="D1363" s="348">
        <v>46753</v>
      </c>
      <c r="E1363" s="348">
        <v>47058</v>
      </c>
      <c r="F1363" s="346" t="s">
        <v>607</v>
      </c>
      <c r="G1363" s="349" t="s">
        <v>449</v>
      </c>
      <c r="H1363" s="350">
        <f t="shared" si="29"/>
        <v>203500</v>
      </c>
      <c r="I1363" s="120" t="str">
        <f>IF(OR(D1363&lt;Capa!$A$5,D1363&gt;Capa!$A$7,E1363&lt;Capa!$A$5,E1363&gt;Capa!$A$7,D1363&gt;E1363),"Erro","")</f>
        <v/>
      </c>
    </row>
    <row r="1364" spans="1:9" ht="40" hidden="1">
      <c r="A1364" s="345">
        <v>1646</v>
      </c>
      <c r="B1364" s="346" t="s">
        <v>280</v>
      </c>
      <c r="C1364" s="347">
        <v>100</v>
      </c>
      <c r="D1364" s="348">
        <v>45658</v>
      </c>
      <c r="E1364" s="348">
        <v>45992</v>
      </c>
      <c r="F1364" s="346" t="s">
        <v>607</v>
      </c>
      <c r="G1364" s="349" t="s">
        <v>450</v>
      </c>
      <c r="H1364" s="350">
        <f t="shared" si="29"/>
        <v>1200</v>
      </c>
      <c r="I1364" s="120" t="str">
        <f>IF(OR(D1364&lt;Capa!$A$5,D1364&gt;Capa!$A$7,E1364&lt;Capa!$A$5,E1364&gt;Capa!$A$7,D1364&gt;E1364),"Erro","")</f>
        <v/>
      </c>
    </row>
    <row r="1365" spans="1:9" ht="40" hidden="1">
      <c r="A1365" s="345">
        <v>1647</v>
      </c>
      <c r="B1365" s="346" t="s">
        <v>280</v>
      </c>
      <c r="C1365" s="347">
        <v>100</v>
      </c>
      <c r="D1365" s="348">
        <v>46023</v>
      </c>
      <c r="E1365" s="348">
        <v>46357</v>
      </c>
      <c r="F1365" s="346" t="s">
        <v>607</v>
      </c>
      <c r="G1365" s="349" t="s">
        <v>450</v>
      </c>
      <c r="H1365" s="350">
        <f t="shared" si="29"/>
        <v>1200</v>
      </c>
      <c r="I1365" s="120" t="str">
        <f>IF(OR(D1365&lt;Capa!$A$5,D1365&gt;Capa!$A$7,E1365&lt;Capa!$A$5,E1365&gt;Capa!$A$7,D1365&gt;E1365),"Erro","")</f>
        <v/>
      </c>
    </row>
    <row r="1366" spans="1:9" ht="40" hidden="1">
      <c r="A1366" s="345">
        <v>1648</v>
      </c>
      <c r="B1366" s="346" t="s">
        <v>280</v>
      </c>
      <c r="C1366" s="347">
        <v>100</v>
      </c>
      <c r="D1366" s="348">
        <v>46388</v>
      </c>
      <c r="E1366" s="348">
        <v>46722</v>
      </c>
      <c r="F1366" s="346" t="s">
        <v>607</v>
      </c>
      <c r="G1366" s="349" t="s">
        <v>450</v>
      </c>
      <c r="H1366" s="350">
        <f t="shared" si="29"/>
        <v>1200</v>
      </c>
      <c r="I1366" s="120" t="str">
        <f>IF(OR(D1366&lt;Capa!$A$5,D1366&gt;Capa!$A$7,E1366&lt;Capa!$A$5,E1366&gt;Capa!$A$7,D1366&gt;E1366),"Erro","")</f>
        <v/>
      </c>
    </row>
    <row r="1367" spans="1:9" ht="40" hidden="1">
      <c r="A1367" s="345">
        <v>1649</v>
      </c>
      <c r="B1367" s="346" t="s">
        <v>280</v>
      </c>
      <c r="C1367" s="347">
        <v>50</v>
      </c>
      <c r="D1367" s="348">
        <v>46753</v>
      </c>
      <c r="E1367" s="348">
        <v>47058</v>
      </c>
      <c r="F1367" s="346" t="s">
        <v>607</v>
      </c>
      <c r="G1367" s="349" t="s">
        <v>450</v>
      </c>
      <c r="H1367" s="350">
        <f t="shared" si="29"/>
        <v>550</v>
      </c>
      <c r="I1367" s="120" t="str">
        <f>IF(OR(D1367&lt;Capa!$A$5,D1367&gt;Capa!$A$7,E1367&lt;Capa!$A$5,E1367&gt;Capa!$A$7,D1367&gt;E1367),"Erro","")</f>
        <v/>
      </c>
    </row>
    <row r="1368" spans="1:9" ht="40" hidden="1">
      <c r="A1368" s="345">
        <v>1651</v>
      </c>
      <c r="B1368" s="346" t="s">
        <v>282</v>
      </c>
      <c r="C1368" s="347">
        <v>450</v>
      </c>
      <c r="D1368" s="348">
        <v>45658</v>
      </c>
      <c r="E1368" s="348">
        <v>45992</v>
      </c>
      <c r="F1368" s="346" t="s">
        <v>607</v>
      </c>
      <c r="G1368" s="349" t="s">
        <v>451</v>
      </c>
      <c r="H1368" s="350">
        <f t="shared" si="29"/>
        <v>5400</v>
      </c>
      <c r="I1368" s="120" t="str">
        <f>IF(OR(D1368&lt;Capa!$A$5,D1368&gt;Capa!$A$7,E1368&lt;Capa!$A$5,E1368&gt;Capa!$A$7,D1368&gt;E1368),"Erro","")</f>
        <v/>
      </c>
    </row>
    <row r="1369" spans="1:9" ht="40" hidden="1">
      <c r="A1369" s="345">
        <v>1652</v>
      </c>
      <c r="B1369" s="346" t="s">
        <v>282</v>
      </c>
      <c r="C1369" s="347">
        <v>450</v>
      </c>
      <c r="D1369" s="348">
        <v>46023</v>
      </c>
      <c r="E1369" s="348">
        <v>46357</v>
      </c>
      <c r="F1369" s="346" t="s">
        <v>607</v>
      </c>
      <c r="G1369" s="349" t="s">
        <v>451</v>
      </c>
      <c r="H1369" s="350">
        <f t="shared" si="29"/>
        <v>5400</v>
      </c>
      <c r="I1369" s="120" t="str">
        <f>IF(OR(D1369&lt;Capa!$A$5,D1369&gt;Capa!$A$7,E1369&lt;Capa!$A$5,E1369&gt;Capa!$A$7,D1369&gt;E1369),"Erro","")</f>
        <v/>
      </c>
    </row>
    <row r="1370" spans="1:9" ht="40" hidden="1">
      <c r="A1370" s="345">
        <v>1653</v>
      </c>
      <c r="B1370" s="346" t="s">
        <v>282</v>
      </c>
      <c r="C1370" s="347">
        <v>450</v>
      </c>
      <c r="D1370" s="348">
        <v>46388</v>
      </c>
      <c r="E1370" s="348">
        <v>46722</v>
      </c>
      <c r="F1370" s="346" t="s">
        <v>607</v>
      </c>
      <c r="G1370" s="349" t="s">
        <v>451</v>
      </c>
      <c r="H1370" s="350">
        <f t="shared" si="29"/>
        <v>5400</v>
      </c>
      <c r="I1370" s="120" t="str">
        <f>IF(OR(D1370&lt;Capa!$A$5,D1370&gt;Capa!$A$7,E1370&lt;Capa!$A$5,E1370&gt;Capa!$A$7,D1370&gt;E1370),"Erro","")</f>
        <v/>
      </c>
    </row>
    <row r="1371" spans="1:9" ht="40" hidden="1">
      <c r="A1371" s="345">
        <v>1654</v>
      </c>
      <c r="B1371" s="346" t="s">
        <v>282</v>
      </c>
      <c r="C1371" s="347">
        <v>200</v>
      </c>
      <c r="D1371" s="348">
        <v>46753</v>
      </c>
      <c r="E1371" s="348">
        <v>47058</v>
      </c>
      <c r="F1371" s="346" t="s">
        <v>607</v>
      </c>
      <c r="G1371" s="349" t="s">
        <v>451</v>
      </c>
      <c r="H1371" s="350">
        <f t="shared" si="29"/>
        <v>2200</v>
      </c>
      <c r="I1371" s="120" t="str">
        <f>IF(OR(D1371&lt;Capa!$A$5,D1371&gt;Capa!$A$7,E1371&lt;Capa!$A$5,E1371&gt;Capa!$A$7,D1371&gt;E1371),"Erro","")</f>
        <v/>
      </c>
    </row>
    <row r="1372" spans="1:9" ht="40" hidden="1">
      <c r="A1372" s="345">
        <v>1656</v>
      </c>
      <c r="B1372" s="346" t="s">
        <v>284</v>
      </c>
      <c r="C1372" s="347">
        <v>950</v>
      </c>
      <c r="D1372" s="348">
        <v>45658</v>
      </c>
      <c r="E1372" s="348">
        <v>45992</v>
      </c>
      <c r="F1372" s="346" t="s">
        <v>607</v>
      </c>
      <c r="G1372" s="349" t="s">
        <v>451</v>
      </c>
      <c r="H1372" s="350">
        <f t="shared" si="29"/>
        <v>11400</v>
      </c>
      <c r="I1372" s="120" t="str">
        <f>IF(OR(D1372&lt;Capa!$A$5,D1372&gt;Capa!$A$7,E1372&lt;Capa!$A$5,E1372&gt;Capa!$A$7,D1372&gt;E1372),"Erro","")</f>
        <v/>
      </c>
    </row>
    <row r="1373" spans="1:9" ht="40" hidden="1">
      <c r="A1373" s="345">
        <v>1657</v>
      </c>
      <c r="B1373" s="346" t="s">
        <v>284</v>
      </c>
      <c r="C1373" s="347">
        <v>950</v>
      </c>
      <c r="D1373" s="348">
        <v>46023</v>
      </c>
      <c r="E1373" s="348">
        <v>46357</v>
      </c>
      <c r="F1373" s="346" t="s">
        <v>607</v>
      </c>
      <c r="G1373" s="349" t="s">
        <v>451</v>
      </c>
      <c r="H1373" s="350">
        <f t="shared" si="29"/>
        <v>11400</v>
      </c>
      <c r="I1373" s="120" t="str">
        <f>IF(OR(D1373&lt;Capa!$A$5,D1373&gt;Capa!$A$7,E1373&lt;Capa!$A$5,E1373&gt;Capa!$A$7,D1373&gt;E1373),"Erro","")</f>
        <v/>
      </c>
    </row>
    <row r="1374" spans="1:9" ht="40" hidden="1">
      <c r="A1374" s="345">
        <v>1658</v>
      </c>
      <c r="B1374" s="346" t="s">
        <v>284</v>
      </c>
      <c r="C1374" s="347">
        <v>950</v>
      </c>
      <c r="D1374" s="348">
        <v>46388</v>
      </c>
      <c r="E1374" s="348">
        <v>46722</v>
      </c>
      <c r="F1374" s="346" t="s">
        <v>607</v>
      </c>
      <c r="G1374" s="349" t="s">
        <v>451</v>
      </c>
      <c r="H1374" s="350">
        <f t="shared" si="29"/>
        <v>11400</v>
      </c>
      <c r="I1374" s="120" t="str">
        <f>IF(OR(D1374&lt;Capa!$A$5,D1374&gt;Capa!$A$7,E1374&lt;Capa!$A$5,E1374&gt;Capa!$A$7,D1374&gt;E1374),"Erro","")</f>
        <v/>
      </c>
    </row>
    <row r="1375" spans="1:9" ht="40" hidden="1">
      <c r="A1375" s="345">
        <v>1659</v>
      </c>
      <c r="B1375" s="346" t="s">
        <v>284</v>
      </c>
      <c r="C1375" s="347">
        <v>400</v>
      </c>
      <c r="D1375" s="348">
        <v>46753</v>
      </c>
      <c r="E1375" s="348">
        <v>47058</v>
      </c>
      <c r="F1375" s="346" t="s">
        <v>607</v>
      </c>
      <c r="G1375" s="349" t="s">
        <v>451</v>
      </c>
      <c r="H1375" s="350">
        <f t="shared" si="29"/>
        <v>4400</v>
      </c>
      <c r="I1375" s="120" t="str">
        <f>IF(OR(D1375&lt;Capa!$A$5,D1375&gt;Capa!$A$7,E1375&lt;Capa!$A$5,E1375&gt;Capa!$A$7,D1375&gt;E1375),"Erro","")</f>
        <v/>
      </c>
    </row>
    <row r="1376" spans="1:9" ht="40" hidden="1">
      <c r="A1376" s="345">
        <v>1661</v>
      </c>
      <c r="B1376" s="346" t="s">
        <v>286</v>
      </c>
      <c r="C1376" s="347">
        <v>1000</v>
      </c>
      <c r="D1376" s="348">
        <v>45658</v>
      </c>
      <c r="E1376" s="348">
        <v>45992</v>
      </c>
      <c r="F1376" s="346" t="s">
        <v>607</v>
      </c>
      <c r="G1376" s="349" t="s">
        <v>451</v>
      </c>
      <c r="H1376" s="350">
        <f t="shared" si="29"/>
        <v>12000</v>
      </c>
      <c r="I1376" s="120" t="str">
        <f>IF(OR(D1376&lt;Capa!$A$5,D1376&gt;Capa!$A$7,E1376&lt;Capa!$A$5,E1376&gt;Capa!$A$7,D1376&gt;E1376),"Erro","")</f>
        <v/>
      </c>
    </row>
    <row r="1377" spans="1:9" ht="40" hidden="1">
      <c r="A1377" s="345">
        <v>1662</v>
      </c>
      <c r="B1377" s="346" t="s">
        <v>286</v>
      </c>
      <c r="C1377" s="347">
        <v>1000</v>
      </c>
      <c r="D1377" s="348">
        <v>46023</v>
      </c>
      <c r="E1377" s="348">
        <v>46357</v>
      </c>
      <c r="F1377" s="346" t="s">
        <v>607</v>
      </c>
      <c r="G1377" s="349" t="s">
        <v>451</v>
      </c>
      <c r="H1377" s="350">
        <f t="shared" si="29"/>
        <v>12000</v>
      </c>
      <c r="I1377" s="120" t="str">
        <f>IF(OR(D1377&lt;Capa!$A$5,D1377&gt;Capa!$A$7,E1377&lt;Capa!$A$5,E1377&gt;Capa!$A$7,D1377&gt;E1377),"Erro","")</f>
        <v/>
      </c>
    </row>
    <row r="1378" spans="1:9" ht="40" hidden="1">
      <c r="A1378" s="345">
        <v>1663</v>
      </c>
      <c r="B1378" s="346" t="s">
        <v>286</v>
      </c>
      <c r="C1378" s="347">
        <v>1000</v>
      </c>
      <c r="D1378" s="348">
        <v>46388</v>
      </c>
      <c r="E1378" s="348">
        <v>46722</v>
      </c>
      <c r="F1378" s="346" t="s">
        <v>607</v>
      </c>
      <c r="G1378" s="349" t="s">
        <v>451</v>
      </c>
      <c r="H1378" s="350">
        <f t="shared" si="29"/>
        <v>12000</v>
      </c>
      <c r="I1378" s="120" t="str">
        <f>IF(OR(D1378&lt;Capa!$A$5,D1378&gt;Capa!$A$7,E1378&lt;Capa!$A$5,E1378&gt;Capa!$A$7,D1378&gt;E1378),"Erro","")</f>
        <v/>
      </c>
    </row>
    <row r="1379" spans="1:9" ht="40" hidden="1">
      <c r="A1379" s="345">
        <v>1664</v>
      </c>
      <c r="B1379" s="346" t="s">
        <v>286</v>
      </c>
      <c r="C1379" s="347">
        <v>500</v>
      </c>
      <c r="D1379" s="348">
        <v>46753</v>
      </c>
      <c r="E1379" s="348">
        <v>47058</v>
      </c>
      <c r="F1379" s="346" t="s">
        <v>607</v>
      </c>
      <c r="G1379" s="349" t="s">
        <v>451</v>
      </c>
      <c r="H1379" s="350">
        <f t="shared" si="29"/>
        <v>5500</v>
      </c>
      <c r="I1379" s="120" t="str">
        <f>IF(OR(D1379&lt;Capa!$A$5,D1379&gt;Capa!$A$7,E1379&lt;Capa!$A$5,E1379&gt;Capa!$A$7,D1379&gt;E1379),"Erro","")</f>
        <v/>
      </c>
    </row>
    <row r="1380" spans="1:9" ht="30" hidden="1">
      <c r="A1380" s="345">
        <v>1666</v>
      </c>
      <c r="B1380" s="346" t="s">
        <v>288</v>
      </c>
      <c r="C1380" s="347">
        <v>200</v>
      </c>
      <c r="D1380" s="348">
        <v>45658</v>
      </c>
      <c r="E1380" s="348">
        <v>45992</v>
      </c>
      <c r="F1380" s="346" t="s">
        <v>607</v>
      </c>
      <c r="G1380" s="349" t="s">
        <v>452</v>
      </c>
      <c r="H1380" s="350">
        <f t="shared" si="29"/>
        <v>2400</v>
      </c>
      <c r="I1380" s="120" t="str">
        <f>IF(OR(D1380&lt;Capa!$A$5,D1380&gt;Capa!$A$7,E1380&lt;Capa!$A$5,E1380&gt;Capa!$A$7,D1380&gt;E1380),"Erro","")</f>
        <v/>
      </c>
    </row>
    <row r="1381" spans="1:9" ht="30" hidden="1">
      <c r="A1381" s="345">
        <v>1667</v>
      </c>
      <c r="B1381" s="346" t="s">
        <v>288</v>
      </c>
      <c r="C1381" s="347">
        <v>200</v>
      </c>
      <c r="D1381" s="348">
        <v>46023</v>
      </c>
      <c r="E1381" s="348">
        <v>46357</v>
      </c>
      <c r="F1381" s="346" t="s">
        <v>607</v>
      </c>
      <c r="G1381" s="349" t="s">
        <v>452</v>
      </c>
      <c r="H1381" s="350">
        <f t="shared" si="29"/>
        <v>2400</v>
      </c>
      <c r="I1381" s="120" t="str">
        <f>IF(OR(D1381&lt;Capa!$A$5,D1381&gt;Capa!$A$7,E1381&lt;Capa!$A$5,E1381&gt;Capa!$A$7,D1381&gt;E1381),"Erro","")</f>
        <v/>
      </c>
    </row>
    <row r="1382" spans="1:9" ht="30" hidden="1">
      <c r="A1382" s="345">
        <v>1668</v>
      </c>
      <c r="B1382" s="346" t="s">
        <v>288</v>
      </c>
      <c r="C1382" s="347">
        <v>200</v>
      </c>
      <c r="D1382" s="348">
        <v>46388</v>
      </c>
      <c r="E1382" s="348">
        <v>46722</v>
      </c>
      <c r="F1382" s="346" t="s">
        <v>607</v>
      </c>
      <c r="G1382" s="349" t="s">
        <v>452</v>
      </c>
      <c r="H1382" s="350">
        <f t="shared" si="29"/>
        <v>2400</v>
      </c>
      <c r="I1382" s="120" t="str">
        <f>IF(OR(D1382&lt;Capa!$A$5,D1382&gt;Capa!$A$7,E1382&lt;Capa!$A$5,E1382&gt;Capa!$A$7,D1382&gt;E1382),"Erro","")</f>
        <v/>
      </c>
    </row>
    <row r="1383" spans="1:9" ht="30" hidden="1">
      <c r="A1383" s="345">
        <v>1669</v>
      </c>
      <c r="B1383" s="346" t="s">
        <v>288</v>
      </c>
      <c r="C1383" s="347">
        <v>100</v>
      </c>
      <c r="D1383" s="348">
        <v>46753</v>
      </c>
      <c r="E1383" s="348">
        <v>47058</v>
      </c>
      <c r="F1383" s="346" t="s">
        <v>607</v>
      </c>
      <c r="G1383" s="349" t="s">
        <v>452</v>
      </c>
      <c r="H1383" s="350">
        <f t="shared" si="29"/>
        <v>1100</v>
      </c>
      <c r="I1383" s="120" t="str">
        <f>IF(OR(D1383&lt;Capa!$A$5,D1383&gt;Capa!$A$7,E1383&lt;Capa!$A$5,E1383&gt;Capa!$A$7,D1383&gt;E1383),"Erro","")</f>
        <v/>
      </c>
    </row>
    <row r="1384" spans="1:9" ht="30" hidden="1">
      <c r="A1384" s="345">
        <v>1671</v>
      </c>
      <c r="B1384" s="346" t="s">
        <v>294</v>
      </c>
      <c r="C1384" s="347">
        <v>3000</v>
      </c>
      <c r="D1384" s="348">
        <v>45658</v>
      </c>
      <c r="E1384" s="348">
        <v>45992</v>
      </c>
      <c r="F1384" s="346" t="s">
        <v>607</v>
      </c>
      <c r="G1384" s="349" t="s">
        <v>453</v>
      </c>
      <c r="H1384" s="350">
        <f t="shared" ref="H1384:H1438" si="30">IFERROR((DATEDIF(D1384,E1384,"M")+1)*C1384,0)</f>
        <v>36000</v>
      </c>
      <c r="I1384" s="120" t="str">
        <f>IF(OR(D1384&lt;Capa!$A$5,D1384&gt;Capa!$A$7,E1384&lt;Capa!$A$5,E1384&gt;Capa!$A$7,D1384&gt;E1384),"Erro","")</f>
        <v/>
      </c>
    </row>
    <row r="1385" spans="1:9" ht="30" hidden="1">
      <c r="A1385" s="345">
        <v>1672</v>
      </c>
      <c r="B1385" s="346" t="s">
        <v>294</v>
      </c>
      <c r="C1385" s="347">
        <v>3000</v>
      </c>
      <c r="D1385" s="348">
        <v>46023</v>
      </c>
      <c r="E1385" s="348">
        <v>46357</v>
      </c>
      <c r="F1385" s="346" t="s">
        <v>607</v>
      </c>
      <c r="G1385" s="349" t="s">
        <v>453</v>
      </c>
      <c r="H1385" s="350">
        <f t="shared" si="30"/>
        <v>36000</v>
      </c>
      <c r="I1385" s="120" t="str">
        <f>IF(OR(D1385&lt;Capa!$A$5,D1385&gt;Capa!$A$7,E1385&lt;Capa!$A$5,E1385&gt;Capa!$A$7,D1385&gt;E1385),"Erro","")</f>
        <v/>
      </c>
    </row>
    <row r="1386" spans="1:9" ht="30" hidden="1">
      <c r="A1386" s="345">
        <v>1673</v>
      </c>
      <c r="B1386" s="346" t="s">
        <v>294</v>
      </c>
      <c r="C1386" s="347">
        <v>3000</v>
      </c>
      <c r="D1386" s="348">
        <v>46388</v>
      </c>
      <c r="E1386" s="348">
        <v>46722</v>
      </c>
      <c r="F1386" s="346" t="s">
        <v>607</v>
      </c>
      <c r="G1386" s="349" t="s">
        <v>453</v>
      </c>
      <c r="H1386" s="350">
        <f t="shared" si="30"/>
        <v>36000</v>
      </c>
      <c r="I1386" s="120" t="str">
        <f>IF(OR(D1386&lt;Capa!$A$5,D1386&gt;Capa!$A$7,E1386&lt;Capa!$A$5,E1386&gt;Capa!$A$7,D1386&gt;E1386),"Erro","")</f>
        <v/>
      </c>
    </row>
    <row r="1387" spans="1:9" ht="30" hidden="1">
      <c r="A1387" s="345">
        <v>1674</v>
      </c>
      <c r="B1387" s="346" t="s">
        <v>294</v>
      </c>
      <c r="C1387" s="347">
        <v>3000</v>
      </c>
      <c r="D1387" s="348">
        <v>46753</v>
      </c>
      <c r="E1387" s="348">
        <v>47058</v>
      </c>
      <c r="F1387" s="346" t="s">
        <v>607</v>
      </c>
      <c r="G1387" s="349" t="s">
        <v>453</v>
      </c>
      <c r="H1387" s="350">
        <f t="shared" si="30"/>
        <v>33000</v>
      </c>
      <c r="I1387" s="120" t="str">
        <f>IF(OR(D1387&lt;Capa!$A$5,D1387&gt;Capa!$A$7,E1387&lt;Capa!$A$5,E1387&gt;Capa!$A$7,D1387&gt;E1387),"Erro","")</f>
        <v/>
      </c>
    </row>
    <row r="1388" spans="1:9" ht="20" hidden="1">
      <c r="A1388" s="345">
        <v>1676</v>
      </c>
      <c r="B1388" s="346" t="s">
        <v>302</v>
      </c>
      <c r="C1388" s="347">
        <v>100</v>
      </c>
      <c r="D1388" s="348">
        <v>45658</v>
      </c>
      <c r="E1388" s="348">
        <v>45992</v>
      </c>
      <c r="F1388" s="346" t="s">
        <v>607</v>
      </c>
      <c r="G1388" s="349" t="s">
        <v>454</v>
      </c>
      <c r="H1388" s="350">
        <f t="shared" si="30"/>
        <v>1200</v>
      </c>
      <c r="I1388" s="120" t="str">
        <f>IF(OR(D1388&lt;Capa!$A$5,D1388&gt;Capa!$A$7,E1388&lt;Capa!$A$5,E1388&gt;Capa!$A$7,D1388&gt;E1388),"Erro","")</f>
        <v/>
      </c>
    </row>
    <row r="1389" spans="1:9" ht="20" hidden="1">
      <c r="A1389" s="345">
        <v>1677</v>
      </c>
      <c r="B1389" s="346" t="s">
        <v>302</v>
      </c>
      <c r="C1389" s="347">
        <v>100</v>
      </c>
      <c r="D1389" s="348">
        <v>46023</v>
      </c>
      <c r="E1389" s="348">
        <v>46357</v>
      </c>
      <c r="F1389" s="346" t="s">
        <v>607</v>
      </c>
      <c r="G1389" s="349" t="s">
        <v>454</v>
      </c>
      <c r="H1389" s="350">
        <f t="shared" si="30"/>
        <v>1200</v>
      </c>
      <c r="I1389" s="120" t="str">
        <f>IF(OR(D1389&lt;Capa!$A$5,D1389&gt;Capa!$A$7,E1389&lt;Capa!$A$5,E1389&gt;Capa!$A$7,D1389&gt;E1389),"Erro","")</f>
        <v/>
      </c>
    </row>
    <row r="1390" spans="1:9" ht="20" hidden="1">
      <c r="A1390" s="345">
        <v>1678</v>
      </c>
      <c r="B1390" s="346" t="s">
        <v>302</v>
      </c>
      <c r="C1390" s="347">
        <v>100</v>
      </c>
      <c r="D1390" s="348">
        <v>46388</v>
      </c>
      <c r="E1390" s="348">
        <v>46722</v>
      </c>
      <c r="F1390" s="346" t="s">
        <v>607</v>
      </c>
      <c r="G1390" s="349" t="s">
        <v>454</v>
      </c>
      <c r="H1390" s="350">
        <f t="shared" si="30"/>
        <v>1200</v>
      </c>
      <c r="I1390" s="120" t="str">
        <f>IF(OR(D1390&lt;Capa!$A$5,D1390&gt;Capa!$A$7,E1390&lt;Capa!$A$5,E1390&gt;Capa!$A$7,D1390&gt;E1390),"Erro","")</f>
        <v/>
      </c>
    </row>
    <row r="1391" spans="1:9" ht="20" hidden="1">
      <c r="A1391" s="345">
        <v>1679</v>
      </c>
      <c r="B1391" s="346" t="s">
        <v>302</v>
      </c>
      <c r="C1391" s="347">
        <v>50</v>
      </c>
      <c r="D1391" s="348">
        <v>46753</v>
      </c>
      <c r="E1391" s="348">
        <v>47058</v>
      </c>
      <c r="F1391" s="346" t="s">
        <v>607</v>
      </c>
      <c r="G1391" s="349" t="s">
        <v>454</v>
      </c>
      <c r="H1391" s="350">
        <f t="shared" si="30"/>
        <v>550</v>
      </c>
      <c r="I1391" s="120" t="str">
        <f>IF(OR(D1391&lt;Capa!$A$5,D1391&gt;Capa!$A$7,E1391&lt;Capa!$A$5,E1391&gt;Capa!$A$7,D1391&gt;E1391),"Erro","")</f>
        <v/>
      </c>
    </row>
    <row r="1392" spans="1:9" ht="30" hidden="1">
      <c r="A1392" s="345">
        <v>1681</v>
      </c>
      <c r="B1392" s="346" t="s">
        <v>304</v>
      </c>
      <c r="C1392" s="347">
        <v>1000</v>
      </c>
      <c r="D1392" s="348">
        <v>45658</v>
      </c>
      <c r="E1392" s="348">
        <v>45992</v>
      </c>
      <c r="F1392" s="346" t="s">
        <v>607</v>
      </c>
      <c r="G1392" s="349" t="s">
        <v>455</v>
      </c>
      <c r="H1392" s="350">
        <f t="shared" si="30"/>
        <v>12000</v>
      </c>
      <c r="I1392" s="120" t="str">
        <f>IF(OR(D1392&lt;Capa!$A$5,D1392&gt;Capa!$A$7,E1392&lt;Capa!$A$5,E1392&gt;Capa!$A$7,D1392&gt;E1392),"Erro","")</f>
        <v/>
      </c>
    </row>
    <row r="1393" spans="1:9" ht="30" hidden="1">
      <c r="A1393" s="345">
        <v>1682</v>
      </c>
      <c r="B1393" s="346" t="s">
        <v>304</v>
      </c>
      <c r="C1393" s="347">
        <v>1000</v>
      </c>
      <c r="D1393" s="348">
        <v>46023</v>
      </c>
      <c r="E1393" s="348">
        <v>46357</v>
      </c>
      <c r="F1393" s="346" t="s">
        <v>607</v>
      </c>
      <c r="G1393" s="349" t="s">
        <v>455</v>
      </c>
      <c r="H1393" s="350">
        <f t="shared" si="30"/>
        <v>12000</v>
      </c>
      <c r="I1393" s="120" t="str">
        <f>IF(OR(D1393&lt;Capa!$A$5,D1393&gt;Capa!$A$7,E1393&lt;Capa!$A$5,E1393&gt;Capa!$A$7,D1393&gt;E1393),"Erro","")</f>
        <v/>
      </c>
    </row>
    <row r="1394" spans="1:9" ht="30" hidden="1">
      <c r="A1394" s="345">
        <v>1683</v>
      </c>
      <c r="B1394" s="346" t="s">
        <v>304</v>
      </c>
      <c r="C1394" s="347">
        <v>1000</v>
      </c>
      <c r="D1394" s="348">
        <v>46388</v>
      </c>
      <c r="E1394" s="348">
        <v>46722</v>
      </c>
      <c r="F1394" s="346" t="s">
        <v>607</v>
      </c>
      <c r="G1394" s="349" t="s">
        <v>455</v>
      </c>
      <c r="H1394" s="350">
        <f t="shared" si="30"/>
        <v>12000</v>
      </c>
      <c r="I1394" s="120" t="str">
        <f>IF(OR(D1394&lt;Capa!$A$5,D1394&gt;Capa!$A$7,E1394&lt;Capa!$A$5,E1394&gt;Capa!$A$7,D1394&gt;E1394),"Erro","")</f>
        <v/>
      </c>
    </row>
    <row r="1395" spans="1:9" ht="30" hidden="1">
      <c r="A1395" s="345">
        <v>1684</v>
      </c>
      <c r="B1395" s="346" t="s">
        <v>304</v>
      </c>
      <c r="C1395" s="347">
        <v>500</v>
      </c>
      <c r="D1395" s="348">
        <v>46753</v>
      </c>
      <c r="E1395" s="348">
        <v>47058</v>
      </c>
      <c r="F1395" s="346" t="s">
        <v>607</v>
      </c>
      <c r="G1395" s="349" t="s">
        <v>455</v>
      </c>
      <c r="H1395" s="350">
        <f t="shared" si="30"/>
        <v>5500</v>
      </c>
      <c r="I1395" s="120" t="str">
        <f>IF(OR(D1395&lt;Capa!$A$5,D1395&gt;Capa!$A$7,E1395&lt;Capa!$A$5,E1395&gt;Capa!$A$7,D1395&gt;E1395),"Erro","")</f>
        <v/>
      </c>
    </row>
    <row r="1396" spans="1:9" ht="30" hidden="1">
      <c r="A1396" s="345">
        <v>1685</v>
      </c>
      <c r="B1396" s="346" t="s">
        <v>312</v>
      </c>
      <c r="C1396" s="347">
        <v>200</v>
      </c>
      <c r="D1396" s="348">
        <v>45658</v>
      </c>
      <c r="E1396" s="348">
        <v>45992</v>
      </c>
      <c r="F1396" s="346" t="s">
        <v>607</v>
      </c>
      <c r="G1396" s="349" t="s">
        <v>571</v>
      </c>
      <c r="H1396" s="350">
        <f t="shared" si="30"/>
        <v>2400</v>
      </c>
      <c r="I1396" s="120" t="str">
        <f>IF(OR(D1396&lt;Capa!$A$5,D1396&gt;Capa!$A$7,E1396&lt;Capa!$A$5,E1396&gt;Capa!$A$7,D1396&gt;E1396),"Erro","")</f>
        <v/>
      </c>
    </row>
    <row r="1397" spans="1:9" ht="30" hidden="1">
      <c r="A1397" s="345">
        <v>1686</v>
      </c>
      <c r="B1397" s="346" t="s">
        <v>312</v>
      </c>
      <c r="C1397" s="347">
        <v>200</v>
      </c>
      <c r="D1397" s="348">
        <v>46023</v>
      </c>
      <c r="E1397" s="348">
        <v>46357</v>
      </c>
      <c r="F1397" s="346" t="s">
        <v>607</v>
      </c>
      <c r="G1397" s="349" t="s">
        <v>571</v>
      </c>
      <c r="H1397" s="350">
        <f t="shared" si="30"/>
        <v>2400</v>
      </c>
      <c r="I1397" s="120" t="str">
        <f>IF(OR(D1397&lt;Capa!$A$5,D1397&gt;Capa!$A$7,E1397&lt;Capa!$A$5,E1397&gt;Capa!$A$7,D1397&gt;E1397),"Erro","")</f>
        <v/>
      </c>
    </row>
    <row r="1398" spans="1:9" ht="30" hidden="1">
      <c r="A1398" s="345">
        <v>1687</v>
      </c>
      <c r="B1398" s="346" t="s">
        <v>312</v>
      </c>
      <c r="C1398" s="347">
        <v>200</v>
      </c>
      <c r="D1398" s="348">
        <v>46388</v>
      </c>
      <c r="E1398" s="348">
        <v>46722</v>
      </c>
      <c r="F1398" s="346" t="s">
        <v>607</v>
      </c>
      <c r="G1398" s="349" t="s">
        <v>571</v>
      </c>
      <c r="H1398" s="350">
        <f t="shared" si="30"/>
        <v>2400</v>
      </c>
      <c r="I1398" s="120" t="str">
        <f>IF(OR(D1398&lt;Capa!$A$5,D1398&gt;Capa!$A$7,E1398&lt;Capa!$A$5,E1398&gt;Capa!$A$7,D1398&gt;E1398),"Erro","")</f>
        <v/>
      </c>
    </row>
    <row r="1399" spans="1:9" ht="30" hidden="1">
      <c r="A1399" s="345">
        <v>1688</v>
      </c>
      <c r="B1399" s="346" t="s">
        <v>312</v>
      </c>
      <c r="C1399" s="347">
        <v>100</v>
      </c>
      <c r="D1399" s="348">
        <v>46753</v>
      </c>
      <c r="E1399" s="348">
        <v>47058</v>
      </c>
      <c r="F1399" s="346" t="s">
        <v>607</v>
      </c>
      <c r="G1399" s="349" t="s">
        <v>571</v>
      </c>
      <c r="H1399" s="350">
        <f t="shared" si="30"/>
        <v>1100</v>
      </c>
      <c r="I1399" s="120" t="str">
        <f>IF(OR(D1399&lt;Capa!$A$5,D1399&gt;Capa!$A$7,E1399&lt;Capa!$A$5,E1399&gt;Capa!$A$7,D1399&gt;E1399),"Erro","")</f>
        <v/>
      </c>
    </row>
    <row r="1400" spans="1:9" ht="50" hidden="1">
      <c r="A1400" s="345">
        <v>1690</v>
      </c>
      <c r="B1400" s="346" t="s">
        <v>316</v>
      </c>
      <c r="C1400" s="347">
        <v>800</v>
      </c>
      <c r="D1400" s="348">
        <v>45658</v>
      </c>
      <c r="E1400" s="348">
        <v>45992</v>
      </c>
      <c r="F1400" s="346" t="s">
        <v>607</v>
      </c>
      <c r="G1400" s="349" t="s">
        <v>741</v>
      </c>
      <c r="H1400" s="350">
        <f t="shared" si="30"/>
        <v>9600</v>
      </c>
      <c r="I1400" s="120" t="str">
        <f>IF(OR(D1400&lt;Capa!$A$5,D1400&gt;Capa!$A$7,E1400&lt;Capa!$A$5,E1400&gt;Capa!$A$7,D1400&gt;E1400),"Erro","")</f>
        <v/>
      </c>
    </row>
    <row r="1401" spans="1:9" ht="50" hidden="1">
      <c r="A1401" s="345">
        <v>1691</v>
      </c>
      <c r="B1401" s="346" t="s">
        <v>316</v>
      </c>
      <c r="C1401" s="347">
        <v>800</v>
      </c>
      <c r="D1401" s="348">
        <v>46023</v>
      </c>
      <c r="E1401" s="348">
        <v>46357</v>
      </c>
      <c r="F1401" s="346" t="s">
        <v>607</v>
      </c>
      <c r="G1401" s="349" t="s">
        <v>741</v>
      </c>
      <c r="H1401" s="350">
        <f t="shared" si="30"/>
        <v>9600</v>
      </c>
      <c r="I1401" s="120" t="str">
        <f>IF(OR(D1401&lt;Capa!$A$5,D1401&gt;Capa!$A$7,E1401&lt;Capa!$A$5,E1401&gt;Capa!$A$7,D1401&gt;E1401),"Erro","")</f>
        <v/>
      </c>
    </row>
    <row r="1402" spans="1:9" ht="50" hidden="1">
      <c r="A1402" s="345">
        <v>1692</v>
      </c>
      <c r="B1402" s="346" t="s">
        <v>316</v>
      </c>
      <c r="C1402" s="347">
        <v>800</v>
      </c>
      <c r="D1402" s="348">
        <v>46388</v>
      </c>
      <c r="E1402" s="348">
        <v>46722</v>
      </c>
      <c r="F1402" s="346" t="s">
        <v>607</v>
      </c>
      <c r="G1402" s="349" t="s">
        <v>741</v>
      </c>
      <c r="H1402" s="350">
        <f t="shared" si="30"/>
        <v>9600</v>
      </c>
      <c r="I1402" s="120" t="str">
        <f>IF(OR(D1402&lt;Capa!$A$5,D1402&gt;Capa!$A$7,E1402&lt;Capa!$A$5,E1402&gt;Capa!$A$7,D1402&gt;E1402),"Erro","")</f>
        <v/>
      </c>
    </row>
    <row r="1403" spans="1:9" ht="50" hidden="1">
      <c r="A1403" s="345">
        <v>1693</v>
      </c>
      <c r="B1403" s="346" t="s">
        <v>316</v>
      </c>
      <c r="C1403" s="347">
        <v>400</v>
      </c>
      <c r="D1403" s="348">
        <v>46753</v>
      </c>
      <c r="E1403" s="348">
        <v>47058</v>
      </c>
      <c r="F1403" s="346" t="s">
        <v>607</v>
      </c>
      <c r="G1403" s="349" t="s">
        <v>741</v>
      </c>
      <c r="H1403" s="350">
        <f t="shared" si="30"/>
        <v>4400</v>
      </c>
      <c r="I1403" s="120" t="str">
        <f>IF(OR(D1403&lt;Capa!$A$5,D1403&gt;Capa!$A$7,E1403&lt;Capa!$A$5,E1403&gt;Capa!$A$7,D1403&gt;E1403),"Erro","")</f>
        <v/>
      </c>
    </row>
    <row r="1404" spans="1:9" ht="50" hidden="1">
      <c r="A1404" s="345">
        <v>1695</v>
      </c>
      <c r="B1404" s="346" t="s">
        <v>318</v>
      </c>
      <c r="C1404" s="347">
        <v>800</v>
      </c>
      <c r="D1404" s="348">
        <v>45658</v>
      </c>
      <c r="E1404" s="348">
        <v>45992</v>
      </c>
      <c r="F1404" s="346" t="s">
        <v>607</v>
      </c>
      <c r="G1404" s="349" t="s">
        <v>572</v>
      </c>
      <c r="H1404" s="350">
        <f t="shared" si="30"/>
        <v>9600</v>
      </c>
      <c r="I1404" s="120" t="str">
        <f>IF(OR(D1404&lt;Capa!$A$5,D1404&gt;Capa!$A$7,E1404&lt;Capa!$A$5,E1404&gt;Capa!$A$7,D1404&gt;E1404),"Erro","")</f>
        <v/>
      </c>
    </row>
    <row r="1405" spans="1:9" ht="50" hidden="1">
      <c r="A1405" s="345">
        <v>1696</v>
      </c>
      <c r="B1405" s="346" t="s">
        <v>318</v>
      </c>
      <c r="C1405" s="347">
        <v>800</v>
      </c>
      <c r="D1405" s="348">
        <v>46023</v>
      </c>
      <c r="E1405" s="348">
        <v>46357</v>
      </c>
      <c r="F1405" s="346" t="s">
        <v>607</v>
      </c>
      <c r="G1405" s="349" t="s">
        <v>572</v>
      </c>
      <c r="H1405" s="350">
        <f t="shared" si="30"/>
        <v>9600</v>
      </c>
      <c r="I1405" s="120" t="str">
        <f>IF(OR(D1405&lt;Capa!$A$5,D1405&gt;Capa!$A$7,E1405&lt;Capa!$A$5,E1405&gt;Capa!$A$7,D1405&gt;E1405),"Erro","")</f>
        <v/>
      </c>
    </row>
    <row r="1406" spans="1:9" ht="50" hidden="1">
      <c r="A1406" s="345">
        <v>1697</v>
      </c>
      <c r="B1406" s="346" t="s">
        <v>318</v>
      </c>
      <c r="C1406" s="347">
        <v>800</v>
      </c>
      <c r="D1406" s="348">
        <v>46388</v>
      </c>
      <c r="E1406" s="348">
        <v>46722</v>
      </c>
      <c r="F1406" s="346" t="s">
        <v>607</v>
      </c>
      <c r="G1406" s="349" t="s">
        <v>572</v>
      </c>
      <c r="H1406" s="350">
        <f t="shared" si="30"/>
        <v>9600</v>
      </c>
      <c r="I1406" s="120" t="str">
        <f>IF(OR(D1406&lt;Capa!$A$5,D1406&gt;Capa!$A$7,E1406&lt;Capa!$A$5,E1406&gt;Capa!$A$7,D1406&gt;E1406),"Erro","")</f>
        <v/>
      </c>
    </row>
    <row r="1407" spans="1:9" ht="50" hidden="1">
      <c r="A1407" s="345">
        <v>1698</v>
      </c>
      <c r="B1407" s="346" t="s">
        <v>318</v>
      </c>
      <c r="C1407" s="347">
        <v>300</v>
      </c>
      <c r="D1407" s="348">
        <v>46753</v>
      </c>
      <c r="E1407" s="348">
        <v>47058</v>
      </c>
      <c r="F1407" s="346" t="s">
        <v>607</v>
      </c>
      <c r="G1407" s="349" t="s">
        <v>572</v>
      </c>
      <c r="H1407" s="350">
        <f t="shared" si="30"/>
        <v>3300</v>
      </c>
      <c r="I1407" s="120" t="str">
        <f>IF(OR(D1407&lt;Capa!$A$5,D1407&gt;Capa!$A$7,E1407&lt;Capa!$A$5,E1407&gt;Capa!$A$7,D1407&gt;E1407),"Erro","")</f>
        <v/>
      </c>
    </row>
    <row r="1408" spans="1:9" ht="50" hidden="1">
      <c r="A1408" s="345">
        <v>1700</v>
      </c>
      <c r="B1408" s="346" t="s">
        <v>318</v>
      </c>
      <c r="C1408" s="347">
        <v>700</v>
      </c>
      <c r="D1408" s="348">
        <v>45658</v>
      </c>
      <c r="E1408" s="348">
        <v>45992</v>
      </c>
      <c r="F1408" s="346" t="s">
        <v>607</v>
      </c>
      <c r="G1408" s="349" t="s">
        <v>456</v>
      </c>
      <c r="H1408" s="350">
        <f t="shared" si="30"/>
        <v>8400</v>
      </c>
      <c r="I1408" s="120" t="str">
        <f>IF(OR(D1408&lt;Capa!$A$5,D1408&gt;Capa!$A$7,E1408&lt;Capa!$A$5,E1408&gt;Capa!$A$7,D1408&gt;E1408),"Erro","")</f>
        <v/>
      </c>
    </row>
    <row r="1409" spans="1:9" ht="50" hidden="1">
      <c r="A1409" s="345">
        <v>1701</v>
      </c>
      <c r="B1409" s="346" t="s">
        <v>318</v>
      </c>
      <c r="C1409" s="347">
        <v>700</v>
      </c>
      <c r="D1409" s="348">
        <v>46023</v>
      </c>
      <c r="E1409" s="348">
        <v>46357</v>
      </c>
      <c r="F1409" s="346" t="s">
        <v>607</v>
      </c>
      <c r="G1409" s="349" t="s">
        <v>456</v>
      </c>
      <c r="H1409" s="350">
        <f t="shared" si="30"/>
        <v>8400</v>
      </c>
      <c r="I1409" s="120" t="str">
        <f>IF(OR(D1409&lt;Capa!$A$5,D1409&gt;Capa!$A$7,E1409&lt;Capa!$A$5,E1409&gt;Capa!$A$7,D1409&gt;E1409),"Erro","")</f>
        <v/>
      </c>
    </row>
    <row r="1410" spans="1:9" ht="50" hidden="1">
      <c r="A1410" s="345">
        <v>1702</v>
      </c>
      <c r="B1410" s="346" t="s">
        <v>318</v>
      </c>
      <c r="C1410" s="347">
        <v>700</v>
      </c>
      <c r="D1410" s="348">
        <v>46388</v>
      </c>
      <c r="E1410" s="348">
        <v>46722</v>
      </c>
      <c r="F1410" s="346" t="s">
        <v>607</v>
      </c>
      <c r="G1410" s="349" t="s">
        <v>456</v>
      </c>
      <c r="H1410" s="350">
        <f t="shared" si="30"/>
        <v>8400</v>
      </c>
      <c r="I1410" s="120" t="str">
        <f>IF(OR(D1410&lt;Capa!$A$5,D1410&gt;Capa!$A$7,E1410&lt;Capa!$A$5,E1410&gt;Capa!$A$7,D1410&gt;E1410),"Erro","")</f>
        <v/>
      </c>
    </row>
    <row r="1411" spans="1:9" ht="50" hidden="1">
      <c r="A1411" s="345">
        <v>1703</v>
      </c>
      <c r="B1411" s="346" t="s">
        <v>318</v>
      </c>
      <c r="C1411" s="347">
        <v>300</v>
      </c>
      <c r="D1411" s="348">
        <v>46753</v>
      </c>
      <c r="E1411" s="348">
        <v>47058</v>
      </c>
      <c r="F1411" s="346" t="s">
        <v>607</v>
      </c>
      <c r="G1411" s="349" t="s">
        <v>456</v>
      </c>
      <c r="H1411" s="350">
        <f t="shared" si="30"/>
        <v>3300</v>
      </c>
      <c r="I1411" s="120" t="str">
        <f>IF(OR(D1411&lt;Capa!$A$5,D1411&gt;Capa!$A$7,E1411&lt;Capa!$A$5,E1411&gt;Capa!$A$7,D1411&gt;E1411),"Erro","")</f>
        <v/>
      </c>
    </row>
    <row r="1412" spans="1:9" ht="20" hidden="1">
      <c r="A1412" s="345">
        <v>1705</v>
      </c>
      <c r="B1412" s="346" t="s">
        <v>298</v>
      </c>
      <c r="C1412" s="347">
        <v>2450</v>
      </c>
      <c r="D1412" s="348">
        <v>45658</v>
      </c>
      <c r="E1412" s="348">
        <v>45992</v>
      </c>
      <c r="F1412" s="346" t="s">
        <v>607</v>
      </c>
      <c r="G1412" s="349" t="s">
        <v>457</v>
      </c>
      <c r="H1412" s="350">
        <f t="shared" si="30"/>
        <v>29400</v>
      </c>
      <c r="I1412" s="120" t="str">
        <f>IF(OR(D1412&lt;Capa!$A$5,D1412&gt;Capa!$A$7,E1412&lt;Capa!$A$5,E1412&gt;Capa!$A$7,D1412&gt;E1412),"Erro","")</f>
        <v/>
      </c>
    </row>
    <row r="1413" spans="1:9" ht="20" hidden="1">
      <c r="A1413" s="345">
        <v>1706</v>
      </c>
      <c r="B1413" s="346" t="s">
        <v>298</v>
      </c>
      <c r="C1413" s="347">
        <v>2450</v>
      </c>
      <c r="D1413" s="348">
        <v>46023</v>
      </c>
      <c r="E1413" s="348">
        <v>46357</v>
      </c>
      <c r="F1413" s="346" t="s">
        <v>607</v>
      </c>
      <c r="G1413" s="349" t="s">
        <v>457</v>
      </c>
      <c r="H1413" s="350">
        <f t="shared" si="30"/>
        <v>29400</v>
      </c>
      <c r="I1413" s="120" t="str">
        <f>IF(OR(D1413&lt;Capa!$A$5,D1413&gt;Capa!$A$7,E1413&lt;Capa!$A$5,E1413&gt;Capa!$A$7,D1413&gt;E1413),"Erro","")</f>
        <v/>
      </c>
    </row>
    <row r="1414" spans="1:9" ht="20" hidden="1">
      <c r="A1414" s="345">
        <v>1707</v>
      </c>
      <c r="B1414" s="346" t="s">
        <v>298</v>
      </c>
      <c r="C1414" s="347">
        <v>2450</v>
      </c>
      <c r="D1414" s="348">
        <v>46388</v>
      </c>
      <c r="E1414" s="348">
        <v>46722</v>
      </c>
      <c r="F1414" s="346" t="s">
        <v>607</v>
      </c>
      <c r="G1414" s="349" t="s">
        <v>457</v>
      </c>
      <c r="H1414" s="350">
        <f t="shared" si="30"/>
        <v>29400</v>
      </c>
      <c r="I1414" s="120" t="str">
        <f>IF(OR(D1414&lt;Capa!$A$5,D1414&gt;Capa!$A$7,E1414&lt;Capa!$A$5,E1414&gt;Capa!$A$7,D1414&gt;E1414),"Erro","")</f>
        <v/>
      </c>
    </row>
    <row r="1415" spans="1:9" ht="20" hidden="1">
      <c r="A1415" s="345">
        <v>1708</v>
      </c>
      <c r="B1415" s="346" t="s">
        <v>298</v>
      </c>
      <c r="C1415" s="347">
        <v>1250</v>
      </c>
      <c r="D1415" s="348">
        <v>46753</v>
      </c>
      <c r="E1415" s="348">
        <v>47058</v>
      </c>
      <c r="F1415" s="346" t="s">
        <v>607</v>
      </c>
      <c r="G1415" s="349" t="s">
        <v>457</v>
      </c>
      <c r="H1415" s="350">
        <f t="shared" si="30"/>
        <v>13750</v>
      </c>
      <c r="I1415" s="120" t="str">
        <f>IF(OR(D1415&lt;Capa!$A$5,D1415&gt;Capa!$A$7,E1415&lt;Capa!$A$5,E1415&gt;Capa!$A$7,D1415&gt;E1415),"Erro","")</f>
        <v/>
      </c>
    </row>
    <row r="1416" spans="1:9" ht="30" hidden="1">
      <c r="A1416" s="345">
        <v>1709</v>
      </c>
      <c r="B1416" s="346" t="s">
        <v>238</v>
      </c>
      <c r="C1416" s="347">
        <v>480</v>
      </c>
      <c r="D1416" s="348">
        <v>45658</v>
      </c>
      <c r="E1416" s="348">
        <v>45992</v>
      </c>
      <c r="F1416" s="346" t="s">
        <v>607</v>
      </c>
      <c r="G1416" s="349" t="s">
        <v>458</v>
      </c>
      <c r="H1416" s="350">
        <f t="shared" si="30"/>
        <v>5760</v>
      </c>
      <c r="I1416" s="120" t="str">
        <f>IF(OR(D1416&lt;Capa!$A$5,D1416&gt;Capa!$A$7,E1416&lt;Capa!$A$5,E1416&gt;Capa!$A$7,D1416&gt;E1416),"Erro","")</f>
        <v/>
      </c>
    </row>
    <row r="1417" spans="1:9" ht="30" hidden="1">
      <c r="A1417" s="345">
        <v>1710</v>
      </c>
      <c r="B1417" s="346" t="s">
        <v>238</v>
      </c>
      <c r="C1417" s="347">
        <v>480</v>
      </c>
      <c r="D1417" s="348">
        <v>46023</v>
      </c>
      <c r="E1417" s="348">
        <v>46357</v>
      </c>
      <c r="F1417" s="346" t="s">
        <v>607</v>
      </c>
      <c r="G1417" s="349" t="s">
        <v>458</v>
      </c>
      <c r="H1417" s="350">
        <f t="shared" si="30"/>
        <v>5760</v>
      </c>
      <c r="I1417" s="120" t="str">
        <f>IF(OR(D1417&lt;Capa!$A$5,D1417&gt;Capa!$A$7,E1417&lt;Capa!$A$5,E1417&gt;Capa!$A$7,D1417&gt;E1417),"Erro","")</f>
        <v/>
      </c>
    </row>
    <row r="1418" spans="1:9" ht="30" hidden="1">
      <c r="A1418" s="345">
        <v>1711</v>
      </c>
      <c r="B1418" s="346" t="s">
        <v>238</v>
      </c>
      <c r="C1418" s="347">
        <v>480</v>
      </c>
      <c r="D1418" s="348">
        <v>46388</v>
      </c>
      <c r="E1418" s="348">
        <v>46722</v>
      </c>
      <c r="F1418" s="346" t="s">
        <v>607</v>
      </c>
      <c r="G1418" s="349" t="s">
        <v>458</v>
      </c>
      <c r="H1418" s="350">
        <f t="shared" si="30"/>
        <v>5760</v>
      </c>
      <c r="I1418" s="120" t="str">
        <f>IF(OR(D1418&lt;Capa!$A$5,D1418&gt;Capa!$A$7,E1418&lt;Capa!$A$5,E1418&gt;Capa!$A$7,D1418&gt;E1418),"Erro","")</f>
        <v/>
      </c>
    </row>
    <row r="1419" spans="1:9" ht="30" hidden="1">
      <c r="A1419" s="345">
        <v>1712</v>
      </c>
      <c r="B1419" s="346" t="s">
        <v>238</v>
      </c>
      <c r="C1419" s="347">
        <v>240</v>
      </c>
      <c r="D1419" s="348">
        <v>46753</v>
      </c>
      <c r="E1419" s="348">
        <v>47058</v>
      </c>
      <c r="F1419" s="346" t="s">
        <v>607</v>
      </c>
      <c r="G1419" s="349" t="s">
        <v>458</v>
      </c>
      <c r="H1419" s="350">
        <f t="shared" si="30"/>
        <v>2640</v>
      </c>
      <c r="I1419" s="120" t="str">
        <f>IF(OR(D1419&lt;Capa!$A$5,D1419&gt;Capa!$A$7,E1419&lt;Capa!$A$5,E1419&gt;Capa!$A$7,D1419&gt;E1419),"Erro","")</f>
        <v/>
      </c>
    </row>
    <row r="1420" spans="1:9" ht="40" hidden="1">
      <c r="A1420" s="345">
        <v>1714</v>
      </c>
      <c r="B1420" s="346" t="s">
        <v>252</v>
      </c>
      <c r="C1420" s="347">
        <v>8000</v>
      </c>
      <c r="D1420" s="348">
        <v>45658</v>
      </c>
      <c r="E1420" s="348">
        <v>45992</v>
      </c>
      <c r="F1420" s="346" t="s">
        <v>607</v>
      </c>
      <c r="G1420" s="349" t="s">
        <v>459</v>
      </c>
      <c r="H1420" s="350">
        <f t="shared" si="30"/>
        <v>96000</v>
      </c>
      <c r="I1420" s="120" t="str">
        <f>IF(OR(D1420&lt;Capa!$A$5,D1420&gt;Capa!$A$7,E1420&lt;Capa!$A$5,E1420&gt;Capa!$A$7,D1420&gt;E1420),"Erro","")</f>
        <v/>
      </c>
    </row>
    <row r="1421" spans="1:9" ht="40" hidden="1">
      <c r="A1421" s="345">
        <v>1715</v>
      </c>
      <c r="B1421" s="346" t="s">
        <v>252</v>
      </c>
      <c r="C1421" s="347">
        <v>8000</v>
      </c>
      <c r="D1421" s="348">
        <v>46023</v>
      </c>
      <c r="E1421" s="348">
        <v>46357</v>
      </c>
      <c r="F1421" s="346" t="s">
        <v>607</v>
      </c>
      <c r="G1421" s="349" t="s">
        <v>459</v>
      </c>
      <c r="H1421" s="350">
        <f t="shared" si="30"/>
        <v>96000</v>
      </c>
      <c r="I1421" s="120" t="str">
        <f>IF(OR(D1421&lt;Capa!$A$5,D1421&gt;Capa!$A$7,E1421&lt;Capa!$A$5,E1421&gt;Capa!$A$7,D1421&gt;E1421),"Erro","")</f>
        <v/>
      </c>
    </row>
    <row r="1422" spans="1:9" ht="40" hidden="1">
      <c r="A1422" s="345">
        <v>1716</v>
      </c>
      <c r="B1422" s="346" t="s">
        <v>252</v>
      </c>
      <c r="C1422" s="347">
        <v>8000</v>
      </c>
      <c r="D1422" s="348">
        <v>46388</v>
      </c>
      <c r="E1422" s="348">
        <v>46722</v>
      </c>
      <c r="F1422" s="346" t="s">
        <v>607</v>
      </c>
      <c r="G1422" s="349" t="s">
        <v>459</v>
      </c>
      <c r="H1422" s="350">
        <f t="shared" si="30"/>
        <v>96000</v>
      </c>
      <c r="I1422" s="120" t="str">
        <f>IF(OR(D1422&lt;Capa!$A$5,D1422&gt;Capa!$A$7,E1422&lt;Capa!$A$5,E1422&gt;Capa!$A$7,D1422&gt;E1422),"Erro","")</f>
        <v/>
      </c>
    </row>
    <row r="1423" spans="1:9" ht="40" hidden="1">
      <c r="A1423" s="345">
        <v>1717</v>
      </c>
      <c r="B1423" s="346" t="s">
        <v>252</v>
      </c>
      <c r="C1423" s="347">
        <v>4000</v>
      </c>
      <c r="D1423" s="348">
        <v>46753</v>
      </c>
      <c r="E1423" s="348">
        <v>47058</v>
      </c>
      <c r="F1423" s="346" t="s">
        <v>607</v>
      </c>
      <c r="G1423" s="349" t="s">
        <v>459</v>
      </c>
      <c r="H1423" s="350">
        <f t="shared" si="30"/>
        <v>44000</v>
      </c>
      <c r="I1423" s="120" t="str">
        <f>IF(OR(D1423&lt;Capa!$A$5,D1423&gt;Capa!$A$7,E1423&lt;Capa!$A$5,E1423&gt;Capa!$A$7,D1423&gt;E1423),"Erro","")</f>
        <v/>
      </c>
    </row>
    <row r="1424" spans="1:9" ht="20" hidden="1">
      <c r="A1424" s="345">
        <v>1718</v>
      </c>
      <c r="B1424" s="346" t="s">
        <v>620</v>
      </c>
      <c r="C1424" s="347">
        <v>110</v>
      </c>
      <c r="D1424" s="348">
        <v>45658</v>
      </c>
      <c r="E1424" s="348">
        <v>47058</v>
      </c>
      <c r="F1424" s="346" t="s">
        <v>607</v>
      </c>
      <c r="G1424" s="349" t="s">
        <v>662</v>
      </c>
      <c r="H1424" s="350">
        <f t="shared" si="30"/>
        <v>5170</v>
      </c>
      <c r="I1424" s="120" t="str">
        <f>IF(OR(D1424&lt;Capa!$A$5,D1424&gt;Capa!$A$7,E1424&lt;Capa!$A$5,E1424&gt;Capa!$A$7,D1424&gt;E1424),"Erro","")</f>
        <v/>
      </c>
    </row>
    <row r="1425" spans="1:9" ht="20" hidden="1">
      <c r="A1425" s="345">
        <v>1720</v>
      </c>
      <c r="B1425" s="346" t="s">
        <v>622</v>
      </c>
      <c r="C1425" s="347">
        <v>850</v>
      </c>
      <c r="D1425" s="348">
        <v>45658</v>
      </c>
      <c r="E1425" s="348">
        <v>47058</v>
      </c>
      <c r="F1425" s="346" t="s">
        <v>607</v>
      </c>
      <c r="G1425" s="349" t="s">
        <v>664</v>
      </c>
      <c r="H1425" s="350">
        <f t="shared" si="30"/>
        <v>39950</v>
      </c>
      <c r="I1425" s="120" t="str">
        <f>IF(OR(D1425&lt;Capa!$A$5,D1425&gt;Capa!$A$7,E1425&lt;Capa!$A$5,E1425&gt;Capa!$A$7,D1425&gt;E1425),"Erro","")</f>
        <v/>
      </c>
    </row>
    <row r="1426" spans="1:9" ht="30" hidden="1">
      <c r="A1426" s="345">
        <v>1721</v>
      </c>
      <c r="B1426" s="346" t="s">
        <v>621</v>
      </c>
      <c r="C1426" s="347">
        <v>2000</v>
      </c>
      <c r="D1426" s="348">
        <v>45689</v>
      </c>
      <c r="E1426" s="348">
        <v>45689</v>
      </c>
      <c r="F1426" s="346" t="s">
        <v>607</v>
      </c>
      <c r="G1426" s="349" t="s">
        <v>595</v>
      </c>
      <c r="H1426" s="350">
        <f t="shared" si="30"/>
        <v>2000</v>
      </c>
      <c r="I1426" s="120" t="str">
        <f>IF(OR(D1426&lt;Capa!$A$5,D1426&gt;Capa!$A$7,E1426&lt;Capa!$A$5,E1426&gt;Capa!$A$7,D1426&gt;E1426),"Erro","")</f>
        <v/>
      </c>
    </row>
    <row r="1427" spans="1:9" ht="30" hidden="1">
      <c r="A1427" s="345">
        <v>1722</v>
      </c>
      <c r="B1427" s="346" t="s">
        <v>621</v>
      </c>
      <c r="C1427" s="347">
        <v>2000</v>
      </c>
      <c r="D1427" s="348">
        <v>46419</v>
      </c>
      <c r="E1427" s="348">
        <v>46419</v>
      </c>
      <c r="F1427" s="346" t="s">
        <v>607</v>
      </c>
      <c r="G1427" s="349" t="s">
        <v>595</v>
      </c>
      <c r="H1427" s="350">
        <f t="shared" si="30"/>
        <v>2000</v>
      </c>
      <c r="I1427" s="120" t="str">
        <f>IF(OR(D1427&lt;Capa!$A$5,D1427&gt;Capa!$A$7,E1427&lt;Capa!$A$5,E1427&gt;Capa!$A$7,D1427&gt;E1427),"Erro","")</f>
        <v/>
      </c>
    </row>
    <row r="1428" spans="1:9" ht="30" hidden="1">
      <c r="A1428" s="345">
        <v>1723</v>
      </c>
      <c r="B1428" s="346" t="s">
        <v>619</v>
      </c>
      <c r="C1428" s="347">
        <v>70</v>
      </c>
      <c r="D1428" s="348">
        <v>45658</v>
      </c>
      <c r="E1428" s="348">
        <v>47058</v>
      </c>
      <c r="F1428" s="346" t="s">
        <v>607</v>
      </c>
      <c r="G1428" s="349" t="s">
        <v>663</v>
      </c>
      <c r="H1428" s="350">
        <f t="shared" si="30"/>
        <v>3290</v>
      </c>
      <c r="I1428" s="120" t="str">
        <f>IF(OR(D1428&lt;Capa!$A$5,D1428&gt;Capa!$A$7,E1428&lt;Capa!$A$5,E1428&gt;Capa!$A$7,D1428&gt;E1428),"Erro","")</f>
        <v/>
      </c>
    </row>
    <row r="1429" spans="1:9" ht="30" hidden="1">
      <c r="A1429" s="345">
        <v>1724</v>
      </c>
      <c r="B1429" s="346" t="s">
        <v>617</v>
      </c>
      <c r="C1429" s="347">
        <v>200</v>
      </c>
      <c r="D1429" s="348">
        <v>45658</v>
      </c>
      <c r="E1429" s="348">
        <v>47058</v>
      </c>
      <c r="F1429" s="346" t="s">
        <v>607</v>
      </c>
      <c r="G1429" s="349" t="s">
        <v>639</v>
      </c>
      <c r="H1429" s="350">
        <f t="shared" si="30"/>
        <v>9400</v>
      </c>
      <c r="I1429" s="120" t="str">
        <f>IF(OR(D1429&lt;Capa!$A$5,D1429&gt;Capa!$A$7,E1429&lt;Capa!$A$5,E1429&gt;Capa!$A$7,D1429&gt;E1429),"Erro","")</f>
        <v/>
      </c>
    </row>
    <row r="1430" spans="1:9" ht="20" hidden="1">
      <c r="A1430" s="345">
        <v>1725</v>
      </c>
      <c r="B1430" s="346" t="s">
        <v>618</v>
      </c>
      <c r="C1430" s="347">
        <v>2500</v>
      </c>
      <c r="D1430" s="348">
        <v>45658</v>
      </c>
      <c r="E1430" s="348">
        <v>47058</v>
      </c>
      <c r="F1430" s="346" t="s">
        <v>607</v>
      </c>
      <c r="G1430" s="349" t="s">
        <v>657</v>
      </c>
      <c r="H1430" s="350">
        <f t="shared" si="30"/>
        <v>117500</v>
      </c>
      <c r="I1430" s="120" t="str">
        <f>IF(OR(D1430&lt;Capa!$A$5,D1430&gt;Capa!$A$7,E1430&lt;Capa!$A$5,E1430&gt;Capa!$A$7,D1430&gt;E1430),"Erro","")</f>
        <v/>
      </c>
    </row>
    <row r="1431" spans="1:9" ht="30" hidden="1">
      <c r="A1431" s="345">
        <v>1727</v>
      </c>
      <c r="B1431" s="346" t="s">
        <v>623</v>
      </c>
      <c r="C1431" s="347">
        <v>650</v>
      </c>
      <c r="D1431" s="348">
        <v>45658</v>
      </c>
      <c r="E1431" s="348">
        <v>46784</v>
      </c>
      <c r="F1431" s="346" t="s">
        <v>607</v>
      </c>
      <c r="G1431" s="349" t="s">
        <v>658</v>
      </c>
      <c r="H1431" s="350">
        <f t="shared" si="30"/>
        <v>24700</v>
      </c>
      <c r="I1431" s="120" t="str">
        <f>IF(OR(D1431&lt;Capa!$A$5,D1431&gt;Capa!$A$7,E1431&lt;Capa!$A$5,E1431&gt;Capa!$A$7,D1431&gt;E1431),"Erro","")</f>
        <v/>
      </c>
    </row>
    <row r="1432" spans="1:9" ht="20" hidden="1">
      <c r="A1432" s="345">
        <v>1728</v>
      </c>
      <c r="B1432" s="346" t="s">
        <v>625</v>
      </c>
      <c r="C1432" s="347">
        <v>90</v>
      </c>
      <c r="D1432" s="348">
        <v>45658</v>
      </c>
      <c r="E1432" s="348">
        <v>47058</v>
      </c>
      <c r="F1432" s="346" t="s">
        <v>607</v>
      </c>
      <c r="G1432" s="349" t="s">
        <v>659</v>
      </c>
      <c r="H1432" s="350">
        <f t="shared" si="30"/>
        <v>4230</v>
      </c>
      <c r="I1432" s="120" t="str">
        <f>IF(OR(D1432&lt;Capa!$A$5,D1432&gt;Capa!$A$7,E1432&lt;Capa!$A$5,E1432&gt;Capa!$A$7,D1432&gt;E1432),"Erro","")</f>
        <v/>
      </c>
    </row>
    <row r="1433" spans="1:9" ht="20" hidden="1">
      <c r="A1433" s="345">
        <v>1729</v>
      </c>
      <c r="B1433" s="346" t="s">
        <v>627</v>
      </c>
      <c r="C1433" s="347">
        <v>50</v>
      </c>
      <c r="D1433" s="348">
        <v>45658</v>
      </c>
      <c r="E1433" s="348">
        <v>47058</v>
      </c>
      <c r="F1433" s="346" t="s">
        <v>607</v>
      </c>
      <c r="G1433" s="349" t="s">
        <v>661</v>
      </c>
      <c r="H1433" s="350">
        <f t="shared" si="30"/>
        <v>2350</v>
      </c>
      <c r="I1433" s="120" t="str">
        <f>IF(OR(D1433&lt;Capa!$A$5,D1433&gt;Capa!$A$7,E1433&lt;Capa!$A$5,E1433&gt;Capa!$A$7,D1433&gt;E1433),"Erro","")</f>
        <v/>
      </c>
    </row>
    <row r="1434" spans="1:9" ht="30" hidden="1">
      <c r="A1434" s="345">
        <v>1730</v>
      </c>
      <c r="B1434" s="346" t="s">
        <v>626</v>
      </c>
      <c r="C1434" s="347">
        <v>350</v>
      </c>
      <c r="D1434" s="348">
        <v>45658</v>
      </c>
      <c r="E1434" s="348">
        <v>47058</v>
      </c>
      <c r="F1434" s="346" t="s">
        <v>607</v>
      </c>
      <c r="G1434" s="349" t="s">
        <v>660</v>
      </c>
      <c r="H1434" s="350">
        <f t="shared" si="30"/>
        <v>16450</v>
      </c>
      <c r="I1434" s="120" t="str">
        <f>IF(OR(D1434&lt;Capa!$A$5,D1434&gt;Capa!$A$7,E1434&lt;Capa!$A$5,E1434&gt;Capa!$A$7,D1434&gt;E1434),"Erro","")</f>
        <v/>
      </c>
    </row>
    <row r="1435" spans="1:9" ht="20" hidden="1">
      <c r="A1435" s="345">
        <v>1734</v>
      </c>
      <c r="B1435" s="346" t="s">
        <v>198</v>
      </c>
      <c r="C1435" s="347">
        <v>5880</v>
      </c>
      <c r="D1435" s="348">
        <v>45658</v>
      </c>
      <c r="E1435" s="348">
        <v>45992</v>
      </c>
      <c r="F1435" s="346" t="s">
        <v>608</v>
      </c>
      <c r="G1435" s="349" t="s">
        <v>437</v>
      </c>
      <c r="H1435" s="350">
        <f t="shared" si="30"/>
        <v>70560</v>
      </c>
      <c r="I1435" s="120" t="str">
        <f>IF(OR(D1435&lt;Capa!$A$5,D1435&gt;Capa!$A$7,E1435&lt;Capa!$A$5,E1435&gt;Capa!$A$7,D1435&gt;E1435),"Erro","")</f>
        <v/>
      </c>
    </row>
    <row r="1436" spans="1:9" ht="20" hidden="1">
      <c r="A1436" s="345">
        <v>1735</v>
      </c>
      <c r="B1436" s="346" t="s">
        <v>198</v>
      </c>
      <c r="C1436" s="347">
        <v>6174</v>
      </c>
      <c r="D1436" s="348">
        <v>46023</v>
      </c>
      <c r="E1436" s="348">
        <v>46357</v>
      </c>
      <c r="F1436" s="346" t="s">
        <v>608</v>
      </c>
      <c r="G1436" s="349" t="s">
        <v>437</v>
      </c>
      <c r="H1436" s="350">
        <f t="shared" si="30"/>
        <v>74088</v>
      </c>
      <c r="I1436" s="120" t="str">
        <f>IF(OR(D1436&lt;Capa!$A$5,D1436&gt;Capa!$A$7,E1436&lt;Capa!$A$5,E1436&gt;Capa!$A$7,D1436&gt;E1436),"Erro","")</f>
        <v/>
      </c>
    </row>
    <row r="1437" spans="1:9" ht="20" hidden="1">
      <c r="A1437" s="345">
        <v>1736</v>
      </c>
      <c r="B1437" s="346" t="s">
        <v>198</v>
      </c>
      <c r="C1437" s="347">
        <v>6482.7</v>
      </c>
      <c r="D1437" s="348">
        <v>46388</v>
      </c>
      <c r="E1437" s="348">
        <v>46722</v>
      </c>
      <c r="F1437" s="346" t="s">
        <v>608</v>
      </c>
      <c r="G1437" s="349" t="s">
        <v>437</v>
      </c>
      <c r="H1437" s="350">
        <f t="shared" si="30"/>
        <v>77792.399999999994</v>
      </c>
      <c r="I1437" s="120" t="str">
        <f>IF(OR(D1437&lt;Capa!$A$5,D1437&gt;Capa!$A$7,E1437&lt;Capa!$A$5,E1437&gt;Capa!$A$7,D1437&gt;E1437),"Erro","")</f>
        <v/>
      </c>
    </row>
    <row r="1438" spans="1:9" ht="20" hidden="1">
      <c r="A1438" s="345">
        <v>1737</v>
      </c>
      <c r="B1438" s="346" t="s">
        <v>198</v>
      </c>
      <c r="C1438" s="347">
        <v>2000</v>
      </c>
      <c r="D1438" s="348">
        <v>46753</v>
      </c>
      <c r="E1438" s="348">
        <v>47058</v>
      </c>
      <c r="F1438" s="346" t="s">
        <v>608</v>
      </c>
      <c r="G1438" s="349" t="s">
        <v>437</v>
      </c>
      <c r="H1438" s="350">
        <f t="shared" si="30"/>
        <v>22000</v>
      </c>
      <c r="I1438" s="120" t="str">
        <f>IF(OR(D1438&lt;Capa!$A$5,D1438&gt;Capa!$A$7,E1438&lt;Capa!$A$5,E1438&gt;Capa!$A$7,D1438&gt;E1438),"Erro","")</f>
        <v/>
      </c>
    </row>
    <row r="1439" spans="1:9" ht="20" hidden="1">
      <c r="A1439" s="345">
        <v>1738</v>
      </c>
      <c r="B1439" s="346" t="s">
        <v>202</v>
      </c>
      <c r="C1439" s="347">
        <v>1500</v>
      </c>
      <c r="D1439" s="348">
        <v>45658</v>
      </c>
      <c r="E1439" s="348">
        <v>45748</v>
      </c>
      <c r="F1439" s="346" t="s">
        <v>608</v>
      </c>
      <c r="G1439" s="349" t="s">
        <v>438</v>
      </c>
      <c r="H1439" s="350">
        <f t="shared" ref="H1439:H1489" si="31">IFERROR((DATEDIF(D1439,E1439,"M")+1)*C1439,0)</f>
        <v>6000</v>
      </c>
      <c r="I1439" s="120" t="str">
        <f>IF(OR(D1439&lt;Capa!$A$5,D1439&gt;Capa!$A$7,E1439&lt;Capa!$A$5,E1439&gt;Capa!$A$7,D1439&gt;E1439),"Erro","")</f>
        <v/>
      </c>
    </row>
    <row r="1440" spans="1:9" ht="20" hidden="1">
      <c r="A1440" s="345">
        <v>1739</v>
      </c>
      <c r="B1440" s="346" t="s">
        <v>202</v>
      </c>
      <c r="C1440" s="347">
        <v>1300</v>
      </c>
      <c r="D1440" s="348">
        <v>46023</v>
      </c>
      <c r="E1440" s="348">
        <v>46113</v>
      </c>
      <c r="F1440" s="346" t="s">
        <v>608</v>
      </c>
      <c r="G1440" s="349" t="s">
        <v>438</v>
      </c>
      <c r="H1440" s="350">
        <f t="shared" si="31"/>
        <v>5200</v>
      </c>
      <c r="I1440" s="120" t="str">
        <f>IF(OR(D1440&lt;Capa!$A$5,D1440&gt;Capa!$A$7,E1440&lt;Capa!$A$5,E1440&gt;Capa!$A$7,D1440&gt;E1440),"Erro","")</f>
        <v/>
      </c>
    </row>
    <row r="1441" spans="1:9" ht="20" hidden="1">
      <c r="A1441" s="345">
        <v>1740</v>
      </c>
      <c r="B1441" s="346" t="s">
        <v>202</v>
      </c>
      <c r="C1441" s="347">
        <v>1300</v>
      </c>
      <c r="D1441" s="348">
        <v>46388</v>
      </c>
      <c r="E1441" s="348">
        <v>46478</v>
      </c>
      <c r="F1441" s="346" t="s">
        <v>608</v>
      </c>
      <c r="G1441" s="349" t="s">
        <v>438</v>
      </c>
      <c r="H1441" s="350">
        <f t="shared" si="31"/>
        <v>5200</v>
      </c>
      <c r="I1441" s="120" t="str">
        <f>IF(OR(D1441&lt;Capa!$A$5,D1441&gt;Capa!$A$7,E1441&lt;Capa!$A$5,E1441&gt;Capa!$A$7,D1441&gt;E1441),"Erro","")</f>
        <v/>
      </c>
    </row>
    <row r="1442" spans="1:9" ht="20" hidden="1">
      <c r="A1442" s="345">
        <v>1741</v>
      </c>
      <c r="B1442" s="346" t="s">
        <v>202</v>
      </c>
      <c r="C1442" s="347">
        <v>750</v>
      </c>
      <c r="D1442" s="348">
        <v>46753</v>
      </c>
      <c r="E1442" s="348">
        <v>46844</v>
      </c>
      <c r="F1442" s="346" t="s">
        <v>608</v>
      </c>
      <c r="G1442" s="349" t="s">
        <v>438</v>
      </c>
      <c r="H1442" s="350">
        <f t="shared" si="31"/>
        <v>3000</v>
      </c>
      <c r="I1442" s="120" t="str">
        <f>IF(OR(D1442&lt;Capa!$A$5,D1442&gt;Capa!$A$7,E1442&lt;Capa!$A$5,E1442&gt;Capa!$A$7,D1442&gt;E1442),"Erro","")</f>
        <v/>
      </c>
    </row>
    <row r="1443" spans="1:9" ht="20" hidden="1">
      <c r="A1443" s="345">
        <v>1743</v>
      </c>
      <c r="B1443" s="346" t="s">
        <v>204</v>
      </c>
      <c r="C1443" s="347">
        <v>1250</v>
      </c>
      <c r="D1443" s="348">
        <v>45658</v>
      </c>
      <c r="E1443" s="348">
        <v>45992</v>
      </c>
      <c r="F1443" s="346" t="s">
        <v>608</v>
      </c>
      <c r="G1443" s="349" t="s">
        <v>438</v>
      </c>
      <c r="H1443" s="350">
        <f t="shared" si="31"/>
        <v>15000</v>
      </c>
      <c r="I1443" s="120" t="str">
        <f>IF(OR(D1443&lt;Capa!$A$5,D1443&gt;Capa!$A$7,E1443&lt;Capa!$A$5,E1443&gt;Capa!$A$7,D1443&gt;E1443),"Erro","")</f>
        <v/>
      </c>
    </row>
    <row r="1444" spans="1:9" ht="20" hidden="1">
      <c r="A1444" s="345">
        <v>1744</v>
      </c>
      <c r="B1444" s="346" t="s">
        <v>204</v>
      </c>
      <c r="C1444" s="347">
        <v>1250</v>
      </c>
      <c r="D1444" s="348">
        <v>46023</v>
      </c>
      <c r="E1444" s="348">
        <v>46357</v>
      </c>
      <c r="F1444" s="346" t="s">
        <v>608</v>
      </c>
      <c r="G1444" s="349" t="s">
        <v>438</v>
      </c>
      <c r="H1444" s="350">
        <f t="shared" si="31"/>
        <v>15000</v>
      </c>
      <c r="I1444" s="120" t="str">
        <f>IF(OR(D1444&lt;Capa!$A$5,D1444&gt;Capa!$A$7,E1444&lt;Capa!$A$5,E1444&gt;Capa!$A$7,D1444&gt;E1444),"Erro","")</f>
        <v/>
      </c>
    </row>
    <row r="1445" spans="1:9" ht="20" hidden="1">
      <c r="A1445" s="345">
        <v>1745</v>
      </c>
      <c r="B1445" s="346" t="s">
        <v>204</v>
      </c>
      <c r="C1445" s="347">
        <v>1250</v>
      </c>
      <c r="D1445" s="348">
        <v>46388</v>
      </c>
      <c r="E1445" s="348">
        <v>46722</v>
      </c>
      <c r="F1445" s="346" t="s">
        <v>608</v>
      </c>
      <c r="G1445" s="349" t="s">
        <v>438</v>
      </c>
      <c r="H1445" s="350">
        <f t="shared" si="31"/>
        <v>15000</v>
      </c>
      <c r="I1445" s="120" t="str">
        <f>IF(OR(D1445&lt;Capa!$A$5,D1445&gt;Capa!$A$7,E1445&lt;Capa!$A$5,E1445&gt;Capa!$A$7,D1445&gt;E1445),"Erro","")</f>
        <v/>
      </c>
    </row>
    <row r="1446" spans="1:9" ht="20" hidden="1">
      <c r="A1446" s="345">
        <v>1746</v>
      </c>
      <c r="B1446" s="346" t="s">
        <v>204</v>
      </c>
      <c r="C1446" s="347">
        <v>780</v>
      </c>
      <c r="D1446" s="348">
        <v>46753</v>
      </c>
      <c r="E1446" s="348">
        <v>47058</v>
      </c>
      <c r="F1446" s="346" t="s">
        <v>608</v>
      </c>
      <c r="G1446" s="349" t="s">
        <v>438</v>
      </c>
      <c r="H1446" s="350">
        <f t="shared" si="31"/>
        <v>8580</v>
      </c>
      <c r="I1446" s="120" t="str">
        <f>IF(OR(D1446&lt;Capa!$A$5,D1446&gt;Capa!$A$7,E1446&lt;Capa!$A$5,E1446&gt;Capa!$A$7,D1446&gt;E1446),"Erro","")</f>
        <v/>
      </c>
    </row>
    <row r="1447" spans="1:9" ht="20" hidden="1">
      <c r="A1447" s="345">
        <v>1748</v>
      </c>
      <c r="B1447" s="346" t="s">
        <v>206</v>
      </c>
      <c r="C1447" s="347">
        <v>1000</v>
      </c>
      <c r="D1447" s="348">
        <v>45658</v>
      </c>
      <c r="E1447" s="348">
        <v>45992</v>
      </c>
      <c r="F1447" s="346" t="s">
        <v>608</v>
      </c>
      <c r="G1447" s="349" t="s">
        <v>439</v>
      </c>
      <c r="H1447" s="350">
        <f t="shared" si="31"/>
        <v>12000</v>
      </c>
      <c r="I1447" s="120" t="str">
        <f>IF(OR(D1447&lt;Capa!$A$5,D1447&gt;Capa!$A$7,E1447&lt;Capa!$A$5,E1447&gt;Capa!$A$7,D1447&gt;E1447),"Erro","")</f>
        <v/>
      </c>
    </row>
    <row r="1448" spans="1:9" ht="20" hidden="1">
      <c r="A1448" s="345">
        <v>1749</v>
      </c>
      <c r="B1448" s="346" t="s">
        <v>206</v>
      </c>
      <c r="C1448" s="347">
        <v>1000</v>
      </c>
      <c r="D1448" s="348">
        <v>46023</v>
      </c>
      <c r="E1448" s="348">
        <v>46357</v>
      </c>
      <c r="F1448" s="346" t="s">
        <v>608</v>
      </c>
      <c r="G1448" s="349" t="s">
        <v>439</v>
      </c>
      <c r="H1448" s="350">
        <f t="shared" si="31"/>
        <v>12000</v>
      </c>
      <c r="I1448" s="120" t="str">
        <f>IF(OR(D1448&lt;Capa!$A$5,D1448&gt;Capa!$A$7,E1448&lt;Capa!$A$5,E1448&gt;Capa!$A$7,D1448&gt;E1448),"Erro","")</f>
        <v/>
      </c>
    </row>
    <row r="1449" spans="1:9" ht="20" hidden="1">
      <c r="A1449" s="345">
        <v>1750</v>
      </c>
      <c r="B1449" s="346" t="s">
        <v>206</v>
      </c>
      <c r="C1449" s="347">
        <v>1000</v>
      </c>
      <c r="D1449" s="348">
        <v>46388</v>
      </c>
      <c r="E1449" s="348">
        <v>46722</v>
      </c>
      <c r="F1449" s="346" t="s">
        <v>608</v>
      </c>
      <c r="G1449" s="349" t="s">
        <v>439</v>
      </c>
      <c r="H1449" s="350">
        <f t="shared" si="31"/>
        <v>12000</v>
      </c>
      <c r="I1449" s="120" t="str">
        <f>IF(OR(D1449&lt;Capa!$A$5,D1449&gt;Capa!$A$7,E1449&lt;Capa!$A$5,E1449&gt;Capa!$A$7,D1449&gt;E1449),"Erro","")</f>
        <v/>
      </c>
    </row>
    <row r="1450" spans="1:9" ht="20" hidden="1">
      <c r="A1450" s="345">
        <v>1751</v>
      </c>
      <c r="B1450" s="346" t="s">
        <v>206</v>
      </c>
      <c r="C1450" s="347">
        <v>500</v>
      </c>
      <c r="D1450" s="348">
        <v>46753</v>
      </c>
      <c r="E1450" s="348">
        <v>47058</v>
      </c>
      <c r="F1450" s="346" t="s">
        <v>608</v>
      </c>
      <c r="G1450" s="349" t="s">
        <v>439</v>
      </c>
      <c r="H1450" s="350">
        <f t="shared" si="31"/>
        <v>5500</v>
      </c>
      <c r="I1450" s="120" t="str">
        <f>IF(OR(D1450&lt;Capa!$A$5,D1450&gt;Capa!$A$7,E1450&lt;Capa!$A$5,E1450&gt;Capa!$A$7,D1450&gt;E1450),"Erro","")</f>
        <v/>
      </c>
    </row>
    <row r="1451" spans="1:9" ht="20" hidden="1">
      <c r="A1451" s="345">
        <v>1753</v>
      </c>
      <c r="B1451" s="346" t="s">
        <v>208</v>
      </c>
      <c r="C1451" s="347">
        <v>1890</v>
      </c>
      <c r="D1451" s="348">
        <v>45658</v>
      </c>
      <c r="E1451" s="348">
        <v>45992</v>
      </c>
      <c r="F1451" s="346" t="s">
        <v>608</v>
      </c>
      <c r="G1451" s="349" t="s">
        <v>439</v>
      </c>
      <c r="H1451" s="350">
        <f t="shared" si="31"/>
        <v>22680</v>
      </c>
      <c r="I1451" s="120" t="str">
        <f>IF(OR(D1451&lt;Capa!$A$5,D1451&gt;Capa!$A$7,E1451&lt;Capa!$A$5,E1451&gt;Capa!$A$7,D1451&gt;E1451),"Erro","")</f>
        <v/>
      </c>
    </row>
    <row r="1452" spans="1:9" ht="20" hidden="1">
      <c r="A1452" s="345">
        <v>1754</v>
      </c>
      <c r="B1452" s="346" t="s">
        <v>208</v>
      </c>
      <c r="C1452" s="347">
        <v>1890</v>
      </c>
      <c r="D1452" s="348">
        <v>46023</v>
      </c>
      <c r="E1452" s="348">
        <v>46357</v>
      </c>
      <c r="F1452" s="346" t="s">
        <v>608</v>
      </c>
      <c r="G1452" s="349" t="s">
        <v>439</v>
      </c>
      <c r="H1452" s="350">
        <f t="shared" si="31"/>
        <v>22680</v>
      </c>
      <c r="I1452" s="120" t="str">
        <f>IF(OR(D1452&lt;Capa!$A$5,D1452&gt;Capa!$A$7,E1452&lt;Capa!$A$5,E1452&gt;Capa!$A$7,D1452&gt;E1452),"Erro","")</f>
        <v/>
      </c>
    </row>
    <row r="1453" spans="1:9" ht="20" hidden="1">
      <c r="A1453" s="345">
        <v>1755</v>
      </c>
      <c r="B1453" s="346" t="s">
        <v>208</v>
      </c>
      <c r="C1453" s="347">
        <v>1890</v>
      </c>
      <c r="D1453" s="348">
        <v>46388</v>
      </c>
      <c r="E1453" s="348">
        <v>46722</v>
      </c>
      <c r="F1453" s="346" t="s">
        <v>608</v>
      </c>
      <c r="G1453" s="349" t="s">
        <v>439</v>
      </c>
      <c r="H1453" s="350">
        <f t="shared" si="31"/>
        <v>22680</v>
      </c>
      <c r="I1453" s="120" t="str">
        <f>IF(OR(D1453&lt;Capa!$A$5,D1453&gt;Capa!$A$7,E1453&lt;Capa!$A$5,E1453&gt;Capa!$A$7,D1453&gt;E1453),"Erro","")</f>
        <v/>
      </c>
    </row>
    <row r="1454" spans="1:9" ht="20" hidden="1">
      <c r="A1454" s="345">
        <v>1756</v>
      </c>
      <c r="B1454" s="346" t="s">
        <v>208</v>
      </c>
      <c r="C1454" s="347">
        <v>900</v>
      </c>
      <c r="D1454" s="348">
        <v>46753</v>
      </c>
      <c r="E1454" s="348">
        <v>47058</v>
      </c>
      <c r="F1454" s="346" t="s">
        <v>608</v>
      </c>
      <c r="G1454" s="349" t="s">
        <v>439</v>
      </c>
      <c r="H1454" s="350">
        <f t="shared" si="31"/>
        <v>9900</v>
      </c>
      <c r="I1454" s="120" t="str">
        <f>IF(OR(D1454&lt;Capa!$A$5,D1454&gt;Capa!$A$7,E1454&lt;Capa!$A$5,E1454&gt;Capa!$A$7,D1454&gt;E1454),"Erro","")</f>
        <v/>
      </c>
    </row>
    <row r="1455" spans="1:9" ht="20" hidden="1">
      <c r="A1455" s="345">
        <v>1758</v>
      </c>
      <c r="B1455" s="346" t="s">
        <v>210</v>
      </c>
      <c r="C1455" s="347">
        <v>60</v>
      </c>
      <c r="D1455" s="348">
        <v>45658</v>
      </c>
      <c r="E1455" s="348">
        <v>45992</v>
      </c>
      <c r="F1455" s="346" t="s">
        <v>608</v>
      </c>
      <c r="G1455" s="349" t="s">
        <v>439</v>
      </c>
      <c r="H1455" s="350">
        <f t="shared" si="31"/>
        <v>720</v>
      </c>
      <c r="I1455" s="120" t="str">
        <f>IF(OR(D1455&lt;Capa!$A$5,D1455&gt;Capa!$A$7,E1455&lt;Capa!$A$5,E1455&gt;Capa!$A$7,D1455&gt;E1455),"Erro","")</f>
        <v/>
      </c>
    </row>
    <row r="1456" spans="1:9" ht="20" hidden="1">
      <c r="A1456" s="345">
        <v>1759</v>
      </c>
      <c r="B1456" s="346" t="s">
        <v>210</v>
      </c>
      <c r="C1456" s="347">
        <v>60</v>
      </c>
      <c r="D1456" s="348">
        <v>46023</v>
      </c>
      <c r="E1456" s="348">
        <v>46357</v>
      </c>
      <c r="F1456" s="346" t="s">
        <v>608</v>
      </c>
      <c r="G1456" s="349" t="s">
        <v>439</v>
      </c>
      <c r="H1456" s="350">
        <f t="shared" si="31"/>
        <v>720</v>
      </c>
      <c r="I1456" s="120" t="str">
        <f>IF(OR(D1456&lt;Capa!$A$5,D1456&gt;Capa!$A$7,E1456&lt;Capa!$A$5,E1456&gt;Capa!$A$7,D1456&gt;E1456),"Erro","")</f>
        <v/>
      </c>
    </row>
    <row r="1457" spans="1:9" ht="20" hidden="1">
      <c r="A1457" s="345">
        <v>1760</v>
      </c>
      <c r="B1457" s="346" t="s">
        <v>210</v>
      </c>
      <c r="C1457" s="347">
        <v>60</v>
      </c>
      <c r="D1457" s="348">
        <v>46388</v>
      </c>
      <c r="E1457" s="348">
        <v>46722</v>
      </c>
      <c r="F1457" s="346" t="s">
        <v>608</v>
      </c>
      <c r="G1457" s="349" t="s">
        <v>439</v>
      </c>
      <c r="H1457" s="350">
        <f t="shared" si="31"/>
        <v>720</v>
      </c>
      <c r="I1457" s="120" t="str">
        <f>IF(OR(D1457&lt;Capa!$A$5,D1457&gt;Capa!$A$7,E1457&lt;Capa!$A$5,E1457&gt;Capa!$A$7,D1457&gt;E1457),"Erro","")</f>
        <v/>
      </c>
    </row>
    <row r="1458" spans="1:9" ht="20" hidden="1">
      <c r="A1458" s="345">
        <v>1761</v>
      </c>
      <c r="B1458" s="346" t="s">
        <v>210</v>
      </c>
      <c r="C1458" s="347">
        <v>49</v>
      </c>
      <c r="D1458" s="348">
        <v>46753</v>
      </c>
      <c r="E1458" s="348">
        <v>47058</v>
      </c>
      <c r="F1458" s="346" t="s">
        <v>608</v>
      </c>
      <c r="G1458" s="349" t="s">
        <v>439</v>
      </c>
      <c r="H1458" s="350">
        <f t="shared" si="31"/>
        <v>539</v>
      </c>
      <c r="I1458" s="120" t="str">
        <f>IF(OR(D1458&lt;Capa!$A$5,D1458&gt;Capa!$A$7,E1458&lt;Capa!$A$5,E1458&gt;Capa!$A$7,D1458&gt;E1458),"Erro","")</f>
        <v/>
      </c>
    </row>
    <row r="1459" spans="1:9" ht="20" hidden="1">
      <c r="A1459" s="345">
        <v>1763</v>
      </c>
      <c r="B1459" s="346" t="s">
        <v>214</v>
      </c>
      <c r="C1459" s="347">
        <v>140</v>
      </c>
      <c r="D1459" s="348">
        <v>45658</v>
      </c>
      <c r="E1459" s="348">
        <v>45992</v>
      </c>
      <c r="F1459" s="346" t="s">
        <v>608</v>
      </c>
      <c r="G1459" s="349" t="s">
        <v>439</v>
      </c>
      <c r="H1459" s="350">
        <f t="shared" si="31"/>
        <v>1680</v>
      </c>
      <c r="I1459" s="120" t="str">
        <f>IF(OR(D1459&lt;Capa!$A$5,D1459&gt;Capa!$A$7,E1459&lt;Capa!$A$5,E1459&gt;Capa!$A$7,D1459&gt;E1459),"Erro","")</f>
        <v/>
      </c>
    </row>
    <row r="1460" spans="1:9" ht="20" hidden="1">
      <c r="A1460" s="345">
        <v>1764</v>
      </c>
      <c r="B1460" s="346" t="s">
        <v>214</v>
      </c>
      <c r="C1460" s="347">
        <v>140</v>
      </c>
      <c r="D1460" s="348">
        <v>46023</v>
      </c>
      <c r="E1460" s="348">
        <v>46357</v>
      </c>
      <c r="F1460" s="346" t="s">
        <v>608</v>
      </c>
      <c r="G1460" s="349" t="s">
        <v>439</v>
      </c>
      <c r="H1460" s="350">
        <f t="shared" si="31"/>
        <v>1680</v>
      </c>
      <c r="I1460" s="120" t="str">
        <f>IF(OR(D1460&lt;Capa!$A$5,D1460&gt;Capa!$A$7,E1460&lt;Capa!$A$5,E1460&gt;Capa!$A$7,D1460&gt;E1460),"Erro","")</f>
        <v/>
      </c>
    </row>
    <row r="1461" spans="1:9" ht="20" hidden="1">
      <c r="A1461" s="345">
        <v>1765</v>
      </c>
      <c r="B1461" s="346" t="s">
        <v>214</v>
      </c>
      <c r="C1461" s="347">
        <v>140</v>
      </c>
      <c r="D1461" s="348">
        <v>46388</v>
      </c>
      <c r="E1461" s="348">
        <v>46722</v>
      </c>
      <c r="F1461" s="346" t="s">
        <v>608</v>
      </c>
      <c r="G1461" s="349" t="s">
        <v>439</v>
      </c>
      <c r="H1461" s="350">
        <f t="shared" si="31"/>
        <v>1680</v>
      </c>
      <c r="I1461" s="120" t="str">
        <f>IF(OR(D1461&lt;Capa!$A$5,D1461&gt;Capa!$A$7,E1461&lt;Capa!$A$5,E1461&gt;Capa!$A$7,D1461&gt;E1461),"Erro","")</f>
        <v/>
      </c>
    </row>
    <row r="1462" spans="1:9" ht="20" hidden="1">
      <c r="A1462" s="345">
        <v>1766</v>
      </c>
      <c r="B1462" s="346" t="s">
        <v>214</v>
      </c>
      <c r="C1462" s="347">
        <v>140</v>
      </c>
      <c r="D1462" s="348">
        <v>46753</v>
      </c>
      <c r="E1462" s="348">
        <v>47058</v>
      </c>
      <c r="F1462" s="346" t="s">
        <v>608</v>
      </c>
      <c r="G1462" s="349" t="s">
        <v>439</v>
      </c>
      <c r="H1462" s="350">
        <f t="shared" si="31"/>
        <v>1540</v>
      </c>
      <c r="I1462" s="120" t="str">
        <f>IF(OR(D1462&lt;Capa!$A$5,D1462&gt;Capa!$A$7,E1462&lt;Capa!$A$5,E1462&gt;Capa!$A$7,D1462&gt;E1462),"Erro","")</f>
        <v/>
      </c>
    </row>
    <row r="1463" spans="1:9" ht="50" hidden="1">
      <c r="A1463" s="345">
        <v>1768</v>
      </c>
      <c r="B1463" s="346" t="s">
        <v>212</v>
      </c>
      <c r="C1463" s="347">
        <v>260</v>
      </c>
      <c r="D1463" s="348">
        <v>45658</v>
      </c>
      <c r="E1463" s="348">
        <v>45992</v>
      </c>
      <c r="F1463" s="346" t="s">
        <v>608</v>
      </c>
      <c r="G1463" s="349" t="s">
        <v>494</v>
      </c>
      <c r="H1463" s="350">
        <f t="shared" si="31"/>
        <v>3120</v>
      </c>
      <c r="I1463" s="120" t="str">
        <f>IF(OR(D1463&lt;Capa!$A$5,D1463&gt;Capa!$A$7,E1463&lt;Capa!$A$5,E1463&gt;Capa!$A$7,D1463&gt;E1463),"Erro","")</f>
        <v/>
      </c>
    </row>
    <row r="1464" spans="1:9" ht="50" hidden="1">
      <c r="A1464" s="345">
        <v>1769</v>
      </c>
      <c r="B1464" s="346" t="s">
        <v>212</v>
      </c>
      <c r="C1464" s="347">
        <v>260</v>
      </c>
      <c r="D1464" s="348">
        <v>46023</v>
      </c>
      <c r="E1464" s="348">
        <v>46357</v>
      </c>
      <c r="F1464" s="346" t="s">
        <v>608</v>
      </c>
      <c r="G1464" s="349" t="s">
        <v>494</v>
      </c>
      <c r="H1464" s="350">
        <f t="shared" si="31"/>
        <v>3120</v>
      </c>
      <c r="I1464" s="120" t="str">
        <f>IF(OR(D1464&lt;Capa!$A$5,D1464&gt;Capa!$A$7,E1464&lt;Capa!$A$5,E1464&gt;Capa!$A$7,D1464&gt;E1464),"Erro","")</f>
        <v/>
      </c>
    </row>
    <row r="1465" spans="1:9" ht="50" hidden="1">
      <c r="A1465" s="345">
        <v>1770</v>
      </c>
      <c r="B1465" s="346" t="s">
        <v>212</v>
      </c>
      <c r="C1465" s="347">
        <v>260</v>
      </c>
      <c r="D1465" s="348">
        <v>46388</v>
      </c>
      <c r="E1465" s="348">
        <v>46722</v>
      </c>
      <c r="F1465" s="346" t="s">
        <v>608</v>
      </c>
      <c r="G1465" s="349" t="s">
        <v>494</v>
      </c>
      <c r="H1465" s="350">
        <f t="shared" si="31"/>
        <v>3120</v>
      </c>
      <c r="I1465" s="120" t="str">
        <f>IF(OR(D1465&lt;Capa!$A$5,D1465&gt;Capa!$A$7,E1465&lt;Capa!$A$5,E1465&gt;Capa!$A$7,D1465&gt;E1465),"Erro","")</f>
        <v/>
      </c>
    </row>
    <row r="1466" spans="1:9" ht="50" hidden="1">
      <c r="A1466" s="345">
        <v>1771</v>
      </c>
      <c r="B1466" s="346" t="s">
        <v>212</v>
      </c>
      <c r="C1466" s="347">
        <v>220</v>
      </c>
      <c r="D1466" s="348">
        <v>46753</v>
      </c>
      <c r="E1466" s="348">
        <v>47058</v>
      </c>
      <c r="F1466" s="346" t="s">
        <v>608</v>
      </c>
      <c r="G1466" s="349" t="s">
        <v>494</v>
      </c>
      <c r="H1466" s="350">
        <f t="shared" si="31"/>
        <v>2420</v>
      </c>
      <c r="I1466" s="120" t="str">
        <f>IF(OR(D1466&lt;Capa!$A$5,D1466&gt;Capa!$A$7,E1466&lt;Capa!$A$5,E1466&gt;Capa!$A$7,D1466&gt;E1466),"Erro","")</f>
        <v/>
      </c>
    </row>
    <row r="1467" spans="1:9" ht="40" hidden="1">
      <c r="A1467" s="345">
        <v>1772</v>
      </c>
      <c r="B1467" s="346" t="s">
        <v>248</v>
      </c>
      <c r="C1467" s="347">
        <v>846</v>
      </c>
      <c r="D1467" s="348">
        <v>45658</v>
      </c>
      <c r="E1467" s="348">
        <v>45809</v>
      </c>
      <c r="F1467" s="346" t="s">
        <v>608</v>
      </c>
      <c r="G1467" s="349" t="s">
        <v>440</v>
      </c>
      <c r="H1467" s="350">
        <f t="shared" si="31"/>
        <v>5076</v>
      </c>
      <c r="I1467" s="120" t="str">
        <f>IF(OR(D1467&lt;Capa!$A$5,D1467&gt;Capa!$A$7,E1467&lt;Capa!$A$5,E1467&gt;Capa!$A$7,D1467&gt;E1467),"Erro","")</f>
        <v/>
      </c>
    </row>
    <row r="1468" spans="1:9" ht="40" hidden="1">
      <c r="A1468" s="345">
        <v>1773</v>
      </c>
      <c r="B1468" s="346" t="s">
        <v>248</v>
      </c>
      <c r="C1468" s="347">
        <v>846</v>
      </c>
      <c r="D1468" s="348">
        <v>46023</v>
      </c>
      <c r="E1468" s="348">
        <v>46174</v>
      </c>
      <c r="F1468" s="346" t="s">
        <v>608</v>
      </c>
      <c r="G1468" s="349" t="s">
        <v>440</v>
      </c>
      <c r="H1468" s="350">
        <f t="shared" si="31"/>
        <v>5076</v>
      </c>
      <c r="I1468" s="120" t="str">
        <f>IF(OR(D1468&lt;Capa!$A$5,D1468&gt;Capa!$A$7,E1468&lt;Capa!$A$5,E1468&gt;Capa!$A$7,D1468&gt;E1468),"Erro","")</f>
        <v/>
      </c>
    </row>
    <row r="1469" spans="1:9" ht="40" hidden="1">
      <c r="A1469" s="345">
        <v>1774</v>
      </c>
      <c r="B1469" s="346" t="s">
        <v>248</v>
      </c>
      <c r="C1469" s="347">
        <v>846</v>
      </c>
      <c r="D1469" s="348">
        <v>46388</v>
      </c>
      <c r="E1469" s="348">
        <v>46539</v>
      </c>
      <c r="F1469" s="346" t="s">
        <v>608</v>
      </c>
      <c r="G1469" s="349" t="s">
        <v>440</v>
      </c>
      <c r="H1469" s="350">
        <f t="shared" si="31"/>
        <v>5076</v>
      </c>
      <c r="I1469" s="120" t="str">
        <f>IF(OR(D1469&lt;Capa!$A$5,D1469&gt;Capa!$A$7,E1469&lt;Capa!$A$5,E1469&gt;Capa!$A$7,D1469&gt;E1469),"Erro","")</f>
        <v/>
      </c>
    </row>
    <row r="1470" spans="1:9" ht="40" hidden="1">
      <c r="A1470" s="345">
        <v>1775</v>
      </c>
      <c r="B1470" s="346" t="s">
        <v>248</v>
      </c>
      <c r="C1470" s="347">
        <v>500</v>
      </c>
      <c r="D1470" s="348">
        <v>46753</v>
      </c>
      <c r="E1470" s="348">
        <v>46905</v>
      </c>
      <c r="F1470" s="346" t="s">
        <v>608</v>
      </c>
      <c r="G1470" s="349" t="s">
        <v>440</v>
      </c>
      <c r="H1470" s="350">
        <f t="shared" si="31"/>
        <v>3000</v>
      </c>
      <c r="I1470" s="120" t="str">
        <f>IF(OR(D1470&lt;Capa!$A$5,D1470&gt;Capa!$A$7,E1470&lt;Capa!$A$5,E1470&gt;Capa!$A$7,D1470&gt;E1470),"Erro","")</f>
        <v/>
      </c>
    </row>
    <row r="1471" spans="1:9" ht="30" hidden="1">
      <c r="A1471" s="345">
        <v>1776</v>
      </c>
      <c r="B1471" s="346" t="s">
        <v>266</v>
      </c>
      <c r="C1471" s="347">
        <v>1500</v>
      </c>
      <c r="D1471" s="348">
        <v>45658</v>
      </c>
      <c r="E1471" s="348">
        <v>45658</v>
      </c>
      <c r="F1471" s="346" t="s">
        <v>608</v>
      </c>
      <c r="G1471" s="349" t="s">
        <v>441</v>
      </c>
      <c r="H1471" s="350">
        <f t="shared" si="31"/>
        <v>1500</v>
      </c>
      <c r="I1471" s="120" t="str">
        <f>IF(OR(D1471&lt;Capa!$A$5,D1471&gt;Capa!$A$7,E1471&lt;Capa!$A$5,E1471&gt;Capa!$A$7,D1471&gt;E1471),"Erro","")</f>
        <v/>
      </c>
    </row>
    <row r="1472" spans="1:9" ht="30" hidden="1">
      <c r="A1472" s="345">
        <v>1777</v>
      </c>
      <c r="B1472" s="346" t="s">
        <v>266</v>
      </c>
      <c r="C1472" s="347">
        <v>1500</v>
      </c>
      <c r="D1472" s="348">
        <v>46023</v>
      </c>
      <c r="E1472" s="348">
        <v>46023</v>
      </c>
      <c r="F1472" s="346" t="s">
        <v>608</v>
      </c>
      <c r="G1472" s="349" t="s">
        <v>441</v>
      </c>
      <c r="H1472" s="350">
        <f t="shared" si="31"/>
        <v>1500</v>
      </c>
      <c r="I1472" s="120" t="str">
        <f>IF(OR(D1472&lt;Capa!$A$5,D1472&gt;Capa!$A$7,E1472&lt;Capa!$A$5,E1472&gt;Capa!$A$7,D1472&gt;E1472),"Erro","")</f>
        <v/>
      </c>
    </row>
    <row r="1473" spans="1:9" ht="30" hidden="1">
      <c r="A1473" s="345">
        <v>1778</v>
      </c>
      <c r="B1473" s="346" t="s">
        <v>266</v>
      </c>
      <c r="C1473" s="347">
        <v>1500</v>
      </c>
      <c r="D1473" s="348">
        <v>46388</v>
      </c>
      <c r="E1473" s="348">
        <v>46388</v>
      </c>
      <c r="F1473" s="346" t="s">
        <v>608</v>
      </c>
      <c r="G1473" s="349" t="s">
        <v>441</v>
      </c>
      <c r="H1473" s="350">
        <f t="shared" si="31"/>
        <v>1500</v>
      </c>
      <c r="I1473" s="120" t="str">
        <f>IF(OR(D1473&lt;Capa!$A$5,D1473&gt;Capa!$A$7,E1473&lt;Capa!$A$5,E1473&gt;Capa!$A$7,D1473&gt;E1473),"Erro","")</f>
        <v/>
      </c>
    </row>
    <row r="1474" spans="1:9" ht="30" hidden="1">
      <c r="A1474" s="345">
        <v>1779</v>
      </c>
      <c r="B1474" s="346" t="s">
        <v>266</v>
      </c>
      <c r="C1474" s="347">
        <v>750</v>
      </c>
      <c r="D1474" s="348">
        <v>46753</v>
      </c>
      <c r="E1474" s="348">
        <v>46753</v>
      </c>
      <c r="F1474" s="346" t="s">
        <v>608</v>
      </c>
      <c r="G1474" s="349" t="s">
        <v>441</v>
      </c>
      <c r="H1474" s="350">
        <f t="shared" si="31"/>
        <v>750</v>
      </c>
      <c r="I1474" s="120" t="str">
        <f>IF(OR(D1474&lt;Capa!$A$5,D1474&gt;Capa!$A$7,E1474&lt;Capa!$A$5,E1474&gt;Capa!$A$7,D1474&gt;E1474),"Erro","")</f>
        <v/>
      </c>
    </row>
    <row r="1475" spans="1:9" hidden="1">
      <c r="A1475" s="345">
        <v>1781</v>
      </c>
      <c r="B1475" s="346" t="s">
        <v>274</v>
      </c>
      <c r="C1475" s="347">
        <v>850</v>
      </c>
      <c r="D1475" s="348">
        <v>45658</v>
      </c>
      <c r="E1475" s="348">
        <v>45992</v>
      </c>
      <c r="F1475" s="346" t="s">
        <v>608</v>
      </c>
      <c r="G1475" s="349" t="s">
        <v>442</v>
      </c>
      <c r="H1475" s="350">
        <f t="shared" si="31"/>
        <v>10200</v>
      </c>
      <c r="I1475" s="120" t="str">
        <f>IF(OR(D1475&lt;Capa!$A$5,D1475&gt;Capa!$A$7,E1475&lt;Capa!$A$5,E1475&gt;Capa!$A$7,D1475&gt;E1475),"Erro","")</f>
        <v/>
      </c>
    </row>
    <row r="1476" spans="1:9" hidden="1">
      <c r="A1476" s="345">
        <v>1782</v>
      </c>
      <c r="B1476" s="346" t="s">
        <v>274</v>
      </c>
      <c r="C1476" s="347">
        <v>850</v>
      </c>
      <c r="D1476" s="348">
        <v>46023</v>
      </c>
      <c r="E1476" s="348">
        <v>46357</v>
      </c>
      <c r="F1476" s="346" t="s">
        <v>608</v>
      </c>
      <c r="G1476" s="349" t="s">
        <v>442</v>
      </c>
      <c r="H1476" s="350">
        <f t="shared" si="31"/>
        <v>10200</v>
      </c>
      <c r="I1476" s="120" t="str">
        <f>IF(OR(D1476&lt;Capa!$A$5,D1476&gt;Capa!$A$7,E1476&lt;Capa!$A$5,E1476&gt;Capa!$A$7,D1476&gt;E1476),"Erro","")</f>
        <v/>
      </c>
    </row>
    <row r="1477" spans="1:9" hidden="1">
      <c r="A1477" s="345">
        <v>1783</v>
      </c>
      <c r="B1477" s="346" t="s">
        <v>274</v>
      </c>
      <c r="C1477" s="347">
        <v>850</v>
      </c>
      <c r="D1477" s="348">
        <v>46388</v>
      </c>
      <c r="E1477" s="348">
        <v>46722</v>
      </c>
      <c r="F1477" s="346" t="s">
        <v>608</v>
      </c>
      <c r="G1477" s="349" t="s">
        <v>442</v>
      </c>
      <c r="H1477" s="350">
        <f t="shared" si="31"/>
        <v>10200</v>
      </c>
      <c r="I1477" s="120" t="str">
        <f>IF(OR(D1477&lt;Capa!$A$5,D1477&gt;Capa!$A$7,E1477&lt;Capa!$A$5,E1477&gt;Capa!$A$7,D1477&gt;E1477),"Erro","")</f>
        <v/>
      </c>
    </row>
    <row r="1478" spans="1:9" hidden="1">
      <c r="A1478" s="345">
        <v>1784</v>
      </c>
      <c r="B1478" s="346" t="s">
        <v>274</v>
      </c>
      <c r="C1478" s="347">
        <v>450</v>
      </c>
      <c r="D1478" s="348">
        <v>46753</v>
      </c>
      <c r="E1478" s="348">
        <v>47058</v>
      </c>
      <c r="F1478" s="346" t="s">
        <v>608</v>
      </c>
      <c r="G1478" s="349" t="s">
        <v>442</v>
      </c>
      <c r="H1478" s="350">
        <f t="shared" si="31"/>
        <v>4950</v>
      </c>
      <c r="I1478" s="120" t="str">
        <f>IF(OR(D1478&lt;Capa!$A$5,D1478&gt;Capa!$A$7,E1478&lt;Capa!$A$5,E1478&gt;Capa!$A$7,D1478&gt;E1478),"Erro","")</f>
        <v/>
      </c>
    </row>
    <row r="1479" spans="1:9" ht="40" hidden="1">
      <c r="A1479" s="345">
        <v>1786</v>
      </c>
      <c r="B1479" s="346" t="s">
        <v>236</v>
      </c>
      <c r="C1479" s="347">
        <v>450</v>
      </c>
      <c r="D1479" s="348">
        <v>45658</v>
      </c>
      <c r="E1479" s="348">
        <v>45992</v>
      </c>
      <c r="F1479" s="346" t="s">
        <v>608</v>
      </c>
      <c r="G1479" s="349" t="s">
        <v>443</v>
      </c>
      <c r="H1479" s="350">
        <f t="shared" si="31"/>
        <v>5400</v>
      </c>
      <c r="I1479" s="120" t="str">
        <f>IF(OR(D1479&lt;Capa!$A$5,D1479&gt;Capa!$A$7,E1479&lt;Capa!$A$5,E1479&gt;Capa!$A$7,D1479&gt;E1479),"Erro","")</f>
        <v/>
      </c>
    </row>
    <row r="1480" spans="1:9" ht="40" hidden="1">
      <c r="A1480" s="345">
        <v>1787</v>
      </c>
      <c r="B1480" s="346" t="s">
        <v>236</v>
      </c>
      <c r="C1480" s="347">
        <v>450</v>
      </c>
      <c r="D1480" s="348">
        <v>46023</v>
      </c>
      <c r="E1480" s="348">
        <v>46357</v>
      </c>
      <c r="F1480" s="346" t="s">
        <v>608</v>
      </c>
      <c r="G1480" s="349" t="s">
        <v>443</v>
      </c>
      <c r="H1480" s="350">
        <f t="shared" si="31"/>
        <v>5400</v>
      </c>
      <c r="I1480" s="120" t="str">
        <f>IF(OR(D1480&lt;Capa!$A$5,D1480&gt;Capa!$A$7,E1480&lt;Capa!$A$5,E1480&gt;Capa!$A$7,D1480&gt;E1480),"Erro","")</f>
        <v/>
      </c>
    </row>
    <row r="1481" spans="1:9" ht="40" hidden="1">
      <c r="A1481" s="345">
        <v>1788</v>
      </c>
      <c r="B1481" s="346" t="s">
        <v>236</v>
      </c>
      <c r="C1481" s="347">
        <v>450</v>
      </c>
      <c r="D1481" s="348">
        <v>46388</v>
      </c>
      <c r="E1481" s="348">
        <v>46722</v>
      </c>
      <c r="F1481" s="346" t="s">
        <v>608</v>
      </c>
      <c r="G1481" s="349" t="s">
        <v>443</v>
      </c>
      <c r="H1481" s="350">
        <f t="shared" si="31"/>
        <v>5400</v>
      </c>
      <c r="I1481" s="120" t="str">
        <f>IF(OR(D1481&lt;Capa!$A$5,D1481&gt;Capa!$A$7,E1481&lt;Capa!$A$5,E1481&gt;Capa!$A$7,D1481&gt;E1481),"Erro","")</f>
        <v/>
      </c>
    </row>
    <row r="1482" spans="1:9" ht="40" hidden="1">
      <c r="A1482" s="345">
        <v>1789</v>
      </c>
      <c r="B1482" s="346" t="s">
        <v>236</v>
      </c>
      <c r="C1482" s="347">
        <v>200</v>
      </c>
      <c r="D1482" s="348">
        <v>46753</v>
      </c>
      <c r="E1482" s="348">
        <v>47058</v>
      </c>
      <c r="F1482" s="346" t="s">
        <v>608</v>
      </c>
      <c r="G1482" s="349" t="s">
        <v>443</v>
      </c>
      <c r="H1482" s="350">
        <f t="shared" si="31"/>
        <v>2200</v>
      </c>
      <c r="I1482" s="120" t="str">
        <f>IF(OR(D1482&lt;Capa!$A$5,D1482&gt;Capa!$A$7,E1482&lt;Capa!$A$5,E1482&gt;Capa!$A$7,D1482&gt;E1482),"Erro","")</f>
        <v/>
      </c>
    </row>
    <row r="1483" spans="1:9" ht="30" hidden="1">
      <c r="A1483" s="345">
        <v>1791</v>
      </c>
      <c r="B1483" s="346" t="s">
        <v>240</v>
      </c>
      <c r="C1483" s="347">
        <v>50</v>
      </c>
      <c r="D1483" s="348">
        <v>45658</v>
      </c>
      <c r="E1483" s="348">
        <v>45992</v>
      </c>
      <c r="F1483" s="346" t="s">
        <v>608</v>
      </c>
      <c r="G1483" s="349" t="s">
        <v>444</v>
      </c>
      <c r="H1483" s="350">
        <f t="shared" si="31"/>
        <v>600</v>
      </c>
      <c r="I1483" s="120" t="str">
        <f>IF(OR(D1483&lt;Capa!$A$5,D1483&gt;Capa!$A$7,E1483&lt;Capa!$A$5,E1483&gt;Capa!$A$7,D1483&gt;E1483),"Erro","")</f>
        <v/>
      </c>
    </row>
    <row r="1484" spans="1:9" ht="30" hidden="1">
      <c r="A1484" s="345">
        <v>1792</v>
      </c>
      <c r="B1484" s="346" t="s">
        <v>240</v>
      </c>
      <c r="C1484" s="347">
        <v>50</v>
      </c>
      <c r="D1484" s="348">
        <v>46023</v>
      </c>
      <c r="E1484" s="348">
        <v>46357</v>
      </c>
      <c r="F1484" s="346" t="s">
        <v>608</v>
      </c>
      <c r="G1484" s="349" t="s">
        <v>444</v>
      </c>
      <c r="H1484" s="350">
        <f t="shared" si="31"/>
        <v>600</v>
      </c>
      <c r="I1484" s="120" t="str">
        <f>IF(OR(D1484&lt;Capa!$A$5,D1484&gt;Capa!$A$7,E1484&lt;Capa!$A$5,E1484&gt;Capa!$A$7,D1484&gt;E1484),"Erro","")</f>
        <v/>
      </c>
    </row>
    <row r="1485" spans="1:9" ht="30" hidden="1">
      <c r="A1485" s="345">
        <v>1793</v>
      </c>
      <c r="B1485" s="346" t="s">
        <v>240</v>
      </c>
      <c r="C1485" s="347">
        <v>50</v>
      </c>
      <c r="D1485" s="348">
        <v>46388</v>
      </c>
      <c r="E1485" s="348">
        <v>46722</v>
      </c>
      <c r="F1485" s="346" t="s">
        <v>608</v>
      </c>
      <c r="G1485" s="349" t="s">
        <v>444</v>
      </c>
      <c r="H1485" s="350">
        <f t="shared" si="31"/>
        <v>600</v>
      </c>
      <c r="I1485" s="120" t="str">
        <f>IF(OR(D1485&lt;Capa!$A$5,D1485&gt;Capa!$A$7,E1485&lt;Capa!$A$5,E1485&gt;Capa!$A$7,D1485&gt;E1485),"Erro","")</f>
        <v/>
      </c>
    </row>
    <row r="1486" spans="1:9" ht="30" hidden="1">
      <c r="A1486" s="345">
        <v>1794</v>
      </c>
      <c r="B1486" s="346" t="s">
        <v>240</v>
      </c>
      <c r="C1486" s="347">
        <v>25</v>
      </c>
      <c r="D1486" s="348">
        <v>46753</v>
      </c>
      <c r="E1486" s="348">
        <v>47058</v>
      </c>
      <c r="F1486" s="346" t="s">
        <v>608</v>
      </c>
      <c r="G1486" s="349" t="s">
        <v>444</v>
      </c>
      <c r="H1486" s="350">
        <f t="shared" si="31"/>
        <v>275</v>
      </c>
      <c r="I1486" s="120" t="str">
        <f>IF(OR(D1486&lt;Capa!$A$5,D1486&gt;Capa!$A$7,E1486&lt;Capa!$A$5,E1486&gt;Capa!$A$7,D1486&gt;E1486),"Erro","")</f>
        <v/>
      </c>
    </row>
    <row r="1487" spans="1:9" ht="30" hidden="1">
      <c r="A1487" s="345">
        <v>1796</v>
      </c>
      <c r="B1487" s="346" t="s">
        <v>244</v>
      </c>
      <c r="C1487" s="347">
        <v>250</v>
      </c>
      <c r="D1487" s="348">
        <v>45658</v>
      </c>
      <c r="E1487" s="348">
        <v>45992</v>
      </c>
      <c r="F1487" s="346" t="s">
        <v>608</v>
      </c>
      <c r="G1487" s="349" t="s">
        <v>445</v>
      </c>
      <c r="H1487" s="350">
        <f t="shared" si="31"/>
        <v>3000</v>
      </c>
      <c r="I1487" s="120" t="str">
        <f>IF(OR(D1487&lt;Capa!$A$5,D1487&gt;Capa!$A$7,E1487&lt;Capa!$A$5,E1487&gt;Capa!$A$7,D1487&gt;E1487),"Erro","")</f>
        <v/>
      </c>
    </row>
    <row r="1488" spans="1:9" ht="30" hidden="1">
      <c r="A1488" s="345">
        <v>1797</v>
      </c>
      <c r="B1488" s="346" t="s">
        <v>244</v>
      </c>
      <c r="C1488" s="347">
        <v>250</v>
      </c>
      <c r="D1488" s="348">
        <v>46023</v>
      </c>
      <c r="E1488" s="348">
        <v>46357</v>
      </c>
      <c r="F1488" s="346" t="s">
        <v>608</v>
      </c>
      <c r="G1488" s="349" t="s">
        <v>445</v>
      </c>
      <c r="H1488" s="350">
        <f t="shared" si="31"/>
        <v>3000</v>
      </c>
      <c r="I1488" s="120" t="str">
        <f>IF(OR(D1488&lt;Capa!$A$5,D1488&gt;Capa!$A$7,E1488&lt;Capa!$A$5,E1488&gt;Capa!$A$7,D1488&gt;E1488),"Erro","")</f>
        <v/>
      </c>
    </row>
    <row r="1489" spans="1:9" ht="30" hidden="1">
      <c r="A1489" s="345">
        <v>1798</v>
      </c>
      <c r="B1489" s="346" t="s">
        <v>244</v>
      </c>
      <c r="C1489" s="347">
        <v>250</v>
      </c>
      <c r="D1489" s="348">
        <v>46388</v>
      </c>
      <c r="E1489" s="348">
        <v>46722</v>
      </c>
      <c r="F1489" s="346" t="s">
        <v>608</v>
      </c>
      <c r="G1489" s="349" t="s">
        <v>445</v>
      </c>
      <c r="H1489" s="350">
        <f t="shared" si="31"/>
        <v>3000</v>
      </c>
      <c r="I1489" s="120" t="str">
        <f>IF(OR(D1489&lt;Capa!$A$5,D1489&gt;Capa!$A$7,E1489&lt;Capa!$A$5,E1489&gt;Capa!$A$7,D1489&gt;E1489),"Erro","")</f>
        <v/>
      </c>
    </row>
    <row r="1490" spans="1:9" ht="30" hidden="1">
      <c r="A1490" s="345">
        <v>1799</v>
      </c>
      <c r="B1490" s="346" t="s">
        <v>244</v>
      </c>
      <c r="C1490" s="347">
        <v>125</v>
      </c>
      <c r="D1490" s="348">
        <v>46753</v>
      </c>
      <c r="E1490" s="348">
        <v>47058</v>
      </c>
      <c r="F1490" s="346" t="s">
        <v>608</v>
      </c>
      <c r="G1490" s="349" t="s">
        <v>445</v>
      </c>
      <c r="H1490" s="350">
        <f t="shared" ref="H1490:H1538" si="32">IFERROR((DATEDIF(D1490,E1490,"M")+1)*C1490,0)</f>
        <v>1375</v>
      </c>
      <c r="I1490" s="120" t="str">
        <f>IF(OR(D1490&lt;Capa!$A$5,D1490&gt;Capa!$A$7,E1490&lt;Capa!$A$5,E1490&gt;Capa!$A$7,D1490&gt;E1490),"Erro","")</f>
        <v/>
      </c>
    </row>
    <row r="1491" spans="1:9" ht="20" hidden="1">
      <c r="A1491" s="345">
        <v>1800</v>
      </c>
      <c r="B1491" s="346" t="s">
        <v>246</v>
      </c>
      <c r="C1491" s="347">
        <v>390</v>
      </c>
      <c r="D1491" s="348">
        <v>45658</v>
      </c>
      <c r="E1491" s="348">
        <v>45992</v>
      </c>
      <c r="F1491" s="346" t="s">
        <v>608</v>
      </c>
      <c r="G1491" s="349" t="s">
        <v>446</v>
      </c>
      <c r="H1491" s="350">
        <f t="shared" si="32"/>
        <v>4680</v>
      </c>
      <c r="I1491" s="120" t="str">
        <f>IF(OR(D1491&lt;Capa!$A$5,D1491&gt;Capa!$A$7,E1491&lt;Capa!$A$5,E1491&gt;Capa!$A$7,D1491&gt;E1491),"Erro","")</f>
        <v/>
      </c>
    </row>
    <row r="1492" spans="1:9" ht="20" hidden="1">
      <c r="A1492" s="345">
        <v>1801</v>
      </c>
      <c r="B1492" s="346" t="s">
        <v>246</v>
      </c>
      <c r="C1492" s="347">
        <v>390</v>
      </c>
      <c r="D1492" s="348">
        <v>46023</v>
      </c>
      <c r="E1492" s="348">
        <v>46357</v>
      </c>
      <c r="F1492" s="346" t="s">
        <v>608</v>
      </c>
      <c r="G1492" s="349" t="s">
        <v>446</v>
      </c>
      <c r="H1492" s="350">
        <f t="shared" si="32"/>
        <v>4680</v>
      </c>
      <c r="I1492" s="120" t="str">
        <f>IF(OR(D1492&lt;Capa!$A$5,D1492&gt;Capa!$A$7,E1492&lt;Capa!$A$5,E1492&gt;Capa!$A$7,D1492&gt;E1492),"Erro","")</f>
        <v/>
      </c>
    </row>
    <row r="1493" spans="1:9" ht="20" hidden="1">
      <c r="A1493" s="345">
        <v>1802</v>
      </c>
      <c r="B1493" s="346" t="s">
        <v>246</v>
      </c>
      <c r="C1493" s="347">
        <v>390</v>
      </c>
      <c r="D1493" s="348">
        <v>46388</v>
      </c>
      <c r="E1493" s="348">
        <v>46722</v>
      </c>
      <c r="F1493" s="346" t="s">
        <v>608</v>
      </c>
      <c r="G1493" s="349" t="s">
        <v>446</v>
      </c>
      <c r="H1493" s="350">
        <f t="shared" si="32"/>
        <v>4680</v>
      </c>
      <c r="I1493" s="120" t="str">
        <f>IF(OR(D1493&lt;Capa!$A$5,D1493&gt;Capa!$A$7,E1493&lt;Capa!$A$5,E1493&gt;Capa!$A$7,D1493&gt;E1493),"Erro","")</f>
        <v/>
      </c>
    </row>
    <row r="1494" spans="1:9" ht="20" hidden="1">
      <c r="A1494" s="345">
        <v>1803</v>
      </c>
      <c r="B1494" s="346" t="s">
        <v>246</v>
      </c>
      <c r="C1494" s="347">
        <v>190</v>
      </c>
      <c r="D1494" s="348">
        <v>46753</v>
      </c>
      <c r="E1494" s="348">
        <v>47058</v>
      </c>
      <c r="F1494" s="346" t="s">
        <v>608</v>
      </c>
      <c r="G1494" s="349" t="s">
        <v>446</v>
      </c>
      <c r="H1494" s="350">
        <f t="shared" si="32"/>
        <v>2090</v>
      </c>
      <c r="I1494" s="120" t="str">
        <f>IF(OR(D1494&lt;Capa!$A$5,D1494&gt;Capa!$A$7,E1494&lt;Capa!$A$5,E1494&gt;Capa!$A$7,D1494&gt;E1494),"Erro","")</f>
        <v/>
      </c>
    </row>
    <row r="1495" spans="1:9" ht="30" hidden="1">
      <c r="A1495" s="345">
        <v>1805</v>
      </c>
      <c r="B1495" s="346" t="s">
        <v>258</v>
      </c>
      <c r="C1495" s="347">
        <v>50</v>
      </c>
      <c r="D1495" s="348">
        <v>45658</v>
      </c>
      <c r="E1495" s="348">
        <v>45992</v>
      </c>
      <c r="F1495" s="346" t="s">
        <v>608</v>
      </c>
      <c r="G1495" s="349" t="s">
        <v>447</v>
      </c>
      <c r="H1495" s="350">
        <f t="shared" si="32"/>
        <v>600</v>
      </c>
      <c r="I1495" s="120" t="str">
        <f>IF(OR(D1495&lt;Capa!$A$5,D1495&gt;Capa!$A$7,E1495&lt;Capa!$A$5,E1495&gt;Capa!$A$7,D1495&gt;E1495),"Erro","")</f>
        <v/>
      </c>
    </row>
    <row r="1496" spans="1:9" ht="30" hidden="1">
      <c r="A1496" s="345">
        <v>1806</v>
      </c>
      <c r="B1496" s="346" t="s">
        <v>258</v>
      </c>
      <c r="C1496" s="347">
        <v>50</v>
      </c>
      <c r="D1496" s="348">
        <v>46023</v>
      </c>
      <c r="E1496" s="348">
        <v>46357</v>
      </c>
      <c r="F1496" s="346" t="s">
        <v>608</v>
      </c>
      <c r="G1496" s="349" t="s">
        <v>447</v>
      </c>
      <c r="H1496" s="350">
        <f t="shared" si="32"/>
        <v>600</v>
      </c>
      <c r="I1496" s="120" t="str">
        <f>IF(OR(D1496&lt;Capa!$A$5,D1496&gt;Capa!$A$7,E1496&lt;Capa!$A$5,E1496&gt;Capa!$A$7,D1496&gt;E1496),"Erro","")</f>
        <v/>
      </c>
    </row>
    <row r="1497" spans="1:9" ht="30" hidden="1">
      <c r="A1497" s="345">
        <v>1807</v>
      </c>
      <c r="B1497" s="346" t="s">
        <v>258</v>
      </c>
      <c r="C1497" s="347">
        <v>50</v>
      </c>
      <c r="D1497" s="348">
        <v>46388</v>
      </c>
      <c r="E1497" s="348">
        <v>46722</v>
      </c>
      <c r="F1497" s="346" t="s">
        <v>608</v>
      </c>
      <c r="G1497" s="349" t="s">
        <v>447</v>
      </c>
      <c r="H1497" s="350">
        <f t="shared" si="32"/>
        <v>600</v>
      </c>
      <c r="I1497" s="120" t="str">
        <f>IF(OR(D1497&lt;Capa!$A$5,D1497&gt;Capa!$A$7,E1497&lt;Capa!$A$5,E1497&gt;Capa!$A$7,D1497&gt;E1497),"Erro","")</f>
        <v/>
      </c>
    </row>
    <row r="1498" spans="1:9" ht="30" hidden="1">
      <c r="A1498" s="345">
        <v>1808</v>
      </c>
      <c r="B1498" s="346" t="s">
        <v>258</v>
      </c>
      <c r="C1498" s="347">
        <v>20</v>
      </c>
      <c r="D1498" s="348">
        <v>46753</v>
      </c>
      <c r="E1498" s="348">
        <v>47058</v>
      </c>
      <c r="F1498" s="346" t="s">
        <v>608</v>
      </c>
      <c r="G1498" s="349" t="s">
        <v>447</v>
      </c>
      <c r="H1498" s="350">
        <f t="shared" si="32"/>
        <v>220</v>
      </c>
      <c r="I1498" s="120" t="str">
        <f>IF(OR(D1498&lt;Capa!$A$5,D1498&gt;Capa!$A$7,E1498&lt;Capa!$A$5,E1498&gt;Capa!$A$7,D1498&gt;E1498),"Erro","")</f>
        <v/>
      </c>
    </row>
    <row r="1499" spans="1:9" ht="40" hidden="1">
      <c r="A1499" s="345">
        <v>1809</v>
      </c>
      <c r="B1499" s="346" t="s">
        <v>276</v>
      </c>
      <c r="C1499" s="347">
        <v>500</v>
      </c>
      <c r="D1499" s="348">
        <v>45658</v>
      </c>
      <c r="E1499" s="348">
        <v>45992</v>
      </c>
      <c r="F1499" s="346" t="s">
        <v>608</v>
      </c>
      <c r="G1499" s="349" t="s">
        <v>448</v>
      </c>
      <c r="H1499" s="350">
        <f t="shared" si="32"/>
        <v>6000</v>
      </c>
      <c r="I1499" s="120" t="str">
        <f>IF(OR(D1499&lt;Capa!$A$5,D1499&gt;Capa!$A$7,E1499&lt;Capa!$A$5,E1499&gt;Capa!$A$7,D1499&gt;E1499),"Erro","")</f>
        <v/>
      </c>
    </row>
    <row r="1500" spans="1:9" ht="40" hidden="1">
      <c r="A1500" s="345">
        <v>1810</v>
      </c>
      <c r="B1500" s="346" t="s">
        <v>276</v>
      </c>
      <c r="C1500" s="347">
        <v>500</v>
      </c>
      <c r="D1500" s="348">
        <v>46023</v>
      </c>
      <c r="E1500" s="348">
        <v>46357</v>
      </c>
      <c r="F1500" s="346" t="s">
        <v>608</v>
      </c>
      <c r="G1500" s="349" t="s">
        <v>448</v>
      </c>
      <c r="H1500" s="350">
        <f t="shared" si="32"/>
        <v>6000</v>
      </c>
      <c r="I1500" s="120" t="str">
        <f>IF(OR(D1500&lt;Capa!$A$5,D1500&gt;Capa!$A$7,E1500&lt;Capa!$A$5,E1500&gt;Capa!$A$7,D1500&gt;E1500),"Erro","")</f>
        <v/>
      </c>
    </row>
    <row r="1501" spans="1:9" ht="40" hidden="1">
      <c r="A1501" s="345">
        <v>1811</v>
      </c>
      <c r="B1501" s="346" t="s">
        <v>276</v>
      </c>
      <c r="C1501" s="347">
        <v>500</v>
      </c>
      <c r="D1501" s="348">
        <v>46388</v>
      </c>
      <c r="E1501" s="348">
        <v>46722</v>
      </c>
      <c r="F1501" s="346" t="s">
        <v>608</v>
      </c>
      <c r="G1501" s="349" t="s">
        <v>448</v>
      </c>
      <c r="H1501" s="350">
        <f t="shared" si="32"/>
        <v>6000</v>
      </c>
      <c r="I1501" s="120" t="str">
        <f>IF(OR(D1501&lt;Capa!$A$5,D1501&gt;Capa!$A$7,E1501&lt;Capa!$A$5,E1501&gt;Capa!$A$7,D1501&gt;E1501),"Erro","")</f>
        <v/>
      </c>
    </row>
    <row r="1502" spans="1:9" ht="40" hidden="1">
      <c r="A1502" s="345">
        <v>1812</v>
      </c>
      <c r="B1502" s="346" t="s">
        <v>276</v>
      </c>
      <c r="C1502" s="347">
        <v>250</v>
      </c>
      <c r="D1502" s="348">
        <v>46753</v>
      </c>
      <c r="E1502" s="348">
        <v>47058</v>
      </c>
      <c r="F1502" s="346" t="s">
        <v>608</v>
      </c>
      <c r="G1502" s="349" t="s">
        <v>448</v>
      </c>
      <c r="H1502" s="350">
        <f t="shared" si="32"/>
        <v>2750</v>
      </c>
      <c r="I1502" s="120" t="str">
        <f>IF(OR(D1502&lt;Capa!$A$5,D1502&gt;Capa!$A$7,E1502&lt;Capa!$A$5,E1502&gt;Capa!$A$7,D1502&gt;E1502),"Erro","")</f>
        <v/>
      </c>
    </row>
    <row r="1503" spans="1:9" ht="40">
      <c r="A1503" s="345">
        <v>1814</v>
      </c>
      <c r="B1503" s="346" t="s">
        <v>278</v>
      </c>
      <c r="C1503" s="347">
        <v>36500</v>
      </c>
      <c r="D1503" s="348">
        <v>45658</v>
      </c>
      <c r="E1503" s="348">
        <v>45992</v>
      </c>
      <c r="F1503" s="346" t="s">
        <v>608</v>
      </c>
      <c r="G1503" s="349" t="s">
        <v>449</v>
      </c>
      <c r="H1503" s="350">
        <f t="shared" si="32"/>
        <v>438000</v>
      </c>
      <c r="I1503" s="120" t="str">
        <f>IF(OR(D1503&lt;Capa!$A$5,D1503&gt;Capa!$A$7,E1503&lt;Capa!$A$5,E1503&gt;Capa!$A$7,D1503&gt;E1503),"Erro","")</f>
        <v/>
      </c>
    </row>
    <row r="1504" spans="1:9" ht="40">
      <c r="A1504" s="345">
        <v>1815</v>
      </c>
      <c r="B1504" s="346" t="s">
        <v>278</v>
      </c>
      <c r="C1504" s="347">
        <v>36500</v>
      </c>
      <c r="D1504" s="348">
        <v>46023</v>
      </c>
      <c r="E1504" s="348">
        <v>46357</v>
      </c>
      <c r="F1504" s="346" t="s">
        <v>608</v>
      </c>
      <c r="G1504" s="349" t="s">
        <v>449</v>
      </c>
      <c r="H1504" s="350">
        <f t="shared" si="32"/>
        <v>438000</v>
      </c>
      <c r="I1504" s="120" t="str">
        <f>IF(OR(D1504&lt;Capa!$A$5,D1504&gt;Capa!$A$7,E1504&lt;Capa!$A$5,E1504&gt;Capa!$A$7,D1504&gt;E1504),"Erro","")</f>
        <v/>
      </c>
    </row>
    <row r="1505" spans="1:9" ht="40">
      <c r="A1505" s="345">
        <v>1816</v>
      </c>
      <c r="B1505" s="346" t="s">
        <v>278</v>
      </c>
      <c r="C1505" s="347">
        <v>36500</v>
      </c>
      <c r="D1505" s="348">
        <v>46388</v>
      </c>
      <c r="E1505" s="348">
        <v>46722</v>
      </c>
      <c r="F1505" s="346" t="s">
        <v>608</v>
      </c>
      <c r="G1505" s="349" t="s">
        <v>449</v>
      </c>
      <c r="H1505" s="350">
        <f t="shared" si="32"/>
        <v>438000</v>
      </c>
      <c r="I1505" s="120" t="str">
        <f>IF(OR(D1505&lt;Capa!$A$5,D1505&gt;Capa!$A$7,E1505&lt;Capa!$A$5,E1505&gt;Capa!$A$7,D1505&gt;E1505),"Erro","")</f>
        <v/>
      </c>
    </row>
    <row r="1506" spans="1:9" ht="40">
      <c r="A1506" s="345">
        <v>1817</v>
      </c>
      <c r="B1506" s="346" t="s">
        <v>278</v>
      </c>
      <c r="C1506" s="347">
        <v>18500</v>
      </c>
      <c r="D1506" s="348">
        <v>46753</v>
      </c>
      <c r="E1506" s="348">
        <v>47058</v>
      </c>
      <c r="F1506" s="346" t="s">
        <v>608</v>
      </c>
      <c r="G1506" s="349" t="s">
        <v>449</v>
      </c>
      <c r="H1506" s="350">
        <f t="shared" si="32"/>
        <v>203500</v>
      </c>
      <c r="I1506" s="120" t="str">
        <f>IF(OR(D1506&lt;Capa!$A$5,D1506&gt;Capa!$A$7,E1506&lt;Capa!$A$5,E1506&gt;Capa!$A$7,D1506&gt;E1506),"Erro","")</f>
        <v/>
      </c>
    </row>
    <row r="1507" spans="1:9" ht="40" hidden="1">
      <c r="A1507" s="345">
        <v>1819</v>
      </c>
      <c r="B1507" s="346" t="s">
        <v>280</v>
      </c>
      <c r="C1507" s="347">
        <v>100</v>
      </c>
      <c r="D1507" s="348">
        <v>45658</v>
      </c>
      <c r="E1507" s="348">
        <v>45992</v>
      </c>
      <c r="F1507" s="346" t="s">
        <v>608</v>
      </c>
      <c r="G1507" s="349" t="s">
        <v>450</v>
      </c>
      <c r="H1507" s="350">
        <f t="shared" si="32"/>
        <v>1200</v>
      </c>
      <c r="I1507" s="120" t="str">
        <f>IF(OR(D1507&lt;Capa!$A$5,D1507&gt;Capa!$A$7,E1507&lt;Capa!$A$5,E1507&gt;Capa!$A$7,D1507&gt;E1507),"Erro","")</f>
        <v/>
      </c>
    </row>
    <row r="1508" spans="1:9" ht="40" hidden="1">
      <c r="A1508" s="345">
        <v>1820</v>
      </c>
      <c r="B1508" s="346" t="s">
        <v>280</v>
      </c>
      <c r="C1508" s="347">
        <v>100</v>
      </c>
      <c r="D1508" s="348">
        <v>46023</v>
      </c>
      <c r="E1508" s="348">
        <v>46357</v>
      </c>
      <c r="F1508" s="346" t="s">
        <v>608</v>
      </c>
      <c r="G1508" s="349" t="s">
        <v>450</v>
      </c>
      <c r="H1508" s="350">
        <f t="shared" si="32"/>
        <v>1200</v>
      </c>
      <c r="I1508" s="120" t="str">
        <f>IF(OR(D1508&lt;Capa!$A$5,D1508&gt;Capa!$A$7,E1508&lt;Capa!$A$5,E1508&gt;Capa!$A$7,D1508&gt;E1508),"Erro","")</f>
        <v/>
      </c>
    </row>
    <row r="1509" spans="1:9" ht="40" hidden="1">
      <c r="A1509" s="345">
        <v>1821</v>
      </c>
      <c r="B1509" s="346" t="s">
        <v>280</v>
      </c>
      <c r="C1509" s="347">
        <v>100</v>
      </c>
      <c r="D1509" s="348">
        <v>46388</v>
      </c>
      <c r="E1509" s="348">
        <v>46722</v>
      </c>
      <c r="F1509" s="346" t="s">
        <v>608</v>
      </c>
      <c r="G1509" s="349" t="s">
        <v>450</v>
      </c>
      <c r="H1509" s="350">
        <f t="shared" si="32"/>
        <v>1200</v>
      </c>
      <c r="I1509" s="120" t="str">
        <f>IF(OR(D1509&lt;Capa!$A$5,D1509&gt;Capa!$A$7,E1509&lt;Capa!$A$5,E1509&gt;Capa!$A$7,D1509&gt;E1509),"Erro","")</f>
        <v/>
      </c>
    </row>
    <row r="1510" spans="1:9" ht="40" hidden="1">
      <c r="A1510" s="345">
        <v>1822</v>
      </c>
      <c r="B1510" s="346" t="s">
        <v>280</v>
      </c>
      <c r="C1510" s="347">
        <v>50</v>
      </c>
      <c r="D1510" s="348">
        <v>46753</v>
      </c>
      <c r="E1510" s="348">
        <v>47058</v>
      </c>
      <c r="F1510" s="346" t="s">
        <v>608</v>
      </c>
      <c r="G1510" s="349" t="s">
        <v>450</v>
      </c>
      <c r="H1510" s="350">
        <f t="shared" si="32"/>
        <v>550</v>
      </c>
      <c r="I1510" s="120" t="str">
        <f>IF(OR(D1510&lt;Capa!$A$5,D1510&gt;Capa!$A$7,E1510&lt;Capa!$A$5,E1510&gt;Capa!$A$7,D1510&gt;E1510),"Erro","")</f>
        <v/>
      </c>
    </row>
    <row r="1511" spans="1:9" ht="40" hidden="1">
      <c r="A1511" s="345">
        <v>1824</v>
      </c>
      <c r="B1511" s="346" t="s">
        <v>282</v>
      </c>
      <c r="C1511" s="347">
        <v>450</v>
      </c>
      <c r="D1511" s="348">
        <v>45658</v>
      </c>
      <c r="E1511" s="348">
        <v>45992</v>
      </c>
      <c r="F1511" s="346" t="s">
        <v>608</v>
      </c>
      <c r="G1511" s="349" t="s">
        <v>451</v>
      </c>
      <c r="H1511" s="350">
        <f t="shared" si="32"/>
        <v>5400</v>
      </c>
      <c r="I1511" s="120" t="str">
        <f>IF(OR(D1511&lt;Capa!$A$5,D1511&gt;Capa!$A$7,E1511&lt;Capa!$A$5,E1511&gt;Capa!$A$7,D1511&gt;E1511),"Erro","")</f>
        <v/>
      </c>
    </row>
    <row r="1512" spans="1:9" ht="40" hidden="1">
      <c r="A1512" s="345">
        <v>1825</v>
      </c>
      <c r="B1512" s="346" t="s">
        <v>282</v>
      </c>
      <c r="C1512" s="347">
        <v>450</v>
      </c>
      <c r="D1512" s="348">
        <v>46023</v>
      </c>
      <c r="E1512" s="348">
        <v>46357</v>
      </c>
      <c r="F1512" s="346" t="s">
        <v>608</v>
      </c>
      <c r="G1512" s="349" t="s">
        <v>451</v>
      </c>
      <c r="H1512" s="350">
        <f t="shared" si="32"/>
        <v>5400</v>
      </c>
      <c r="I1512" s="120" t="str">
        <f>IF(OR(D1512&lt;Capa!$A$5,D1512&gt;Capa!$A$7,E1512&lt;Capa!$A$5,E1512&gt;Capa!$A$7,D1512&gt;E1512),"Erro","")</f>
        <v/>
      </c>
    </row>
    <row r="1513" spans="1:9" ht="40" hidden="1">
      <c r="A1513" s="345">
        <v>1826</v>
      </c>
      <c r="B1513" s="346" t="s">
        <v>282</v>
      </c>
      <c r="C1513" s="347">
        <v>450</v>
      </c>
      <c r="D1513" s="348">
        <v>46388</v>
      </c>
      <c r="E1513" s="348">
        <v>46722</v>
      </c>
      <c r="F1513" s="346" t="s">
        <v>608</v>
      </c>
      <c r="G1513" s="349" t="s">
        <v>451</v>
      </c>
      <c r="H1513" s="350">
        <f t="shared" si="32"/>
        <v>5400</v>
      </c>
      <c r="I1513" s="120" t="str">
        <f>IF(OR(D1513&lt;Capa!$A$5,D1513&gt;Capa!$A$7,E1513&lt;Capa!$A$5,E1513&gt;Capa!$A$7,D1513&gt;E1513),"Erro","")</f>
        <v/>
      </c>
    </row>
    <row r="1514" spans="1:9" ht="40" hidden="1">
      <c r="A1514" s="345">
        <v>1827</v>
      </c>
      <c r="B1514" s="346" t="s">
        <v>282</v>
      </c>
      <c r="C1514" s="347">
        <v>200</v>
      </c>
      <c r="D1514" s="348">
        <v>46753</v>
      </c>
      <c r="E1514" s="348">
        <v>47058</v>
      </c>
      <c r="F1514" s="346" t="s">
        <v>608</v>
      </c>
      <c r="G1514" s="349" t="s">
        <v>451</v>
      </c>
      <c r="H1514" s="350">
        <f t="shared" si="32"/>
        <v>2200</v>
      </c>
      <c r="I1514" s="120" t="str">
        <f>IF(OR(D1514&lt;Capa!$A$5,D1514&gt;Capa!$A$7,E1514&lt;Capa!$A$5,E1514&gt;Capa!$A$7,D1514&gt;E1514),"Erro","")</f>
        <v/>
      </c>
    </row>
    <row r="1515" spans="1:9" ht="40" hidden="1">
      <c r="A1515" s="345">
        <v>1829</v>
      </c>
      <c r="B1515" s="346" t="s">
        <v>284</v>
      </c>
      <c r="C1515" s="347">
        <v>950</v>
      </c>
      <c r="D1515" s="348">
        <v>45658</v>
      </c>
      <c r="E1515" s="348">
        <v>45992</v>
      </c>
      <c r="F1515" s="346" t="s">
        <v>608</v>
      </c>
      <c r="G1515" s="349" t="s">
        <v>451</v>
      </c>
      <c r="H1515" s="350">
        <f t="shared" si="32"/>
        <v>11400</v>
      </c>
      <c r="I1515" s="120" t="str">
        <f>IF(OR(D1515&lt;Capa!$A$5,D1515&gt;Capa!$A$7,E1515&lt;Capa!$A$5,E1515&gt;Capa!$A$7,D1515&gt;E1515),"Erro","")</f>
        <v/>
      </c>
    </row>
    <row r="1516" spans="1:9" ht="40" hidden="1">
      <c r="A1516" s="345">
        <v>1830</v>
      </c>
      <c r="B1516" s="346" t="s">
        <v>284</v>
      </c>
      <c r="C1516" s="347">
        <v>950</v>
      </c>
      <c r="D1516" s="348">
        <v>46023</v>
      </c>
      <c r="E1516" s="348">
        <v>46357</v>
      </c>
      <c r="F1516" s="346" t="s">
        <v>608</v>
      </c>
      <c r="G1516" s="349" t="s">
        <v>451</v>
      </c>
      <c r="H1516" s="350">
        <f t="shared" si="32"/>
        <v>11400</v>
      </c>
      <c r="I1516" s="120" t="str">
        <f>IF(OR(D1516&lt;Capa!$A$5,D1516&gt;Capa!$A$7,E1516&lt;Capa!$A$5,E1516&gt;Capa!$A$7,D1516&gt;E1516),"Erro","")</f>
        <v/>
      </c>
    </row>
    <row r="1517" spans="1:9" ht="40" hidden="1">
      <c r="A1517" s="345">
        <v>1831</v>
      </c>
      <c r="B1517" s="346" t="s">
        <v>284</v>
      </c>
      <c r="C1517" s="347">
        <v>950</v>
      </c>
      <c r="D1517" s="348">
        <v>46388</v>
      </c>
      <c r="E1517" s="348">
        <v>46722</v>
      </c>
      <c r="F1517" s="346" t="s">
        <v>608</v>
      </c>
      <c r="G1517" s="349" t="s">
        <v>451</v>
      </c>
      <c r="H1517" s="350">
        <f t="shared" si="32"/>
        <v>11400</v>
      </c>
      <c r="I1517" s="120" t="str">
        <f>IF(OR(D1517&lt;Capa!$A$5,D1517&gt;Capa!$A$7,E1517&lt;Capa!$A$5,E1517&gt;Capa!$A$7,D1517&gt;E1517),"Erro","")</f>
        <v/>
      </c>
    </row>
    <row r="1518" spans="1:9" ht="40" hidden="1">
      <c r="A1518" s="345">
        <v>1832</v>
      </c>
      <c r="B1518" s="346" t="s">
        <v>284</v>
      </c>
      <c r="C1518" s="347">
        <v>400</v>
      </c>
      <c r="D1518" s="348">
        <v>46753</v>
      </c>
      <c r="E1518" s="348">
        <v>47058</v>
      </c>
      <c r="F1518" s="346" t="s">
        <v>608</v>
      </c>
      <c r="G1518" s="349" t="s">
        <v>451</v>
      </c>
      <c r="H1518" s="350">
        <f t="shared" si="32"/>
        <v>4400</v>
      </c>
      <c r="I1518" s="120" t="str">
        <f>IF(OR(D1518&lt;Capa!$A$5,D1518&gt;Capa!$A$7,E1518&lt;Capa!$A$5,E1518&gt;Capa!$A$7,D1518&gt;E1518),"Erro","")</f>
        <v/>
      </c>
    </row>
    <row r="1519" spans="1:9" ht="40" hidden="1">
      <c r="A1519" s="345">
        <v>1834</v>
      </c>
      <c r="B1519" s="346" t="s">
        <v>286</v>
      </c>
      <c r="C1519" s="347">
        <v>1000</v>
      </c>
      <c r="D1519" s="348">
        <v>45658</v>
      </c>
      <c r="E1519" s="348">
        <v>45992</v>
      </c>
      <c r="F1519" s="346" t="s">
        <v>608</v>
      </c>
      <c r="G1519" s="349" t="s">
        <v>451</v>
      </c>
      <c r="H1519" s="350">
        <f t="shared" si="32"/>
        <v>12000</v>
      </c>
      <c r="I1519" s="120" t="str">
        <f>IF(OR(D1519&lt;Capa!$A$5,D1519&gt;Capa!$A$7,E1519&lt;Capa!$A$5,E1519&gt;Capa!$A$7,D1519&gt;E1519),"Erro","")</f>
        <v/>
      </c>
    </row>
    <row r="1520" spans="1:9" ht="40" hidden="1">
      <c r="A1520" s="345">
        <v>1835</v>
      </c>
      <c r="B1520" s="346" t="s">
        <v>286</v>
      </c>
      <c r="C1520" s="347">
        <v>1000</v>
      </c>
      <c r="D1520" s="348">
        <v>46023</v>
      </c>
      <c r="E1520" s="348">
        <v>46357</v>
      </c>
      <c r="F1520" s="346" t="s">
        <v>608</v>
      </c>
      <c r="G1520" s="349" t="s">
        <v>451</v>
      </c>
      <c r="H1520" s="350">
        <f t="shared" si="32"/>
        <v>12000</v>
      </c>
      <c r="I1520" s="120" t="str">
        <f>IF(OR(D1520&lt;Capa!$A$5,D1520&gt;Capa!$A$7,E1520&lt;Capa!$A$5,E1520&gt;Capa!$A$7,D1520&gt;E1520),"Erro","")</f>
        <v/>
      </c>
    </row>
    <row r="1521" spans="1:9" ht="40" hidden="1">
      <c r="A1521" s="345">
        <v>1836</v>
      </c>
      <c r="B1521" s="346" t="s">
        <v>286</v>
      </c>
      <c r="C1521" s="347">
        <v>1000</v>
      </c>
      <c r="D1521" s="348">
        <v>46388</v>
      </c>
      <c r="E1521" s="348">
        <v>46722</v>
      </c>
      <c r="F1521" s="346" t="s">
        <v>608</v>
      </c>
      <c r="G1521" s="349" t="s">
        <v>451</v>
      </c>
      <c r="H1521" s="350">
        <f t="shared" si="32"/>
        <v>12000</v>
      </c>
      <c r="I1521" s="120" t="str">
        <f>IF(OR(D1521&lt;Capa!$A$5,D1521&gt;Capa!$A$7,E1521&lt;Capa!$A$5,E1521&gt;Capa!$A$7,D1521&gt;E1521),"Erro","")</f>
        <v/>
      </c>
    </row>
    <row r="1522" spans="1:9" ht="40" hidden="1">
      <c r="A1522" s="345">
        <v>1837</v>
      </c>
      <c r="B1522" s="346" t="s">
        <v>286</v>
      </c>
      <c r="C1522" s="347">
        <v>500</v>
      </c>
      <c r="D1522" s="348">
        <v>46753</v>
      </c>
      <c r="E1522" s="348">
        <v>47058</v>
      </c>
      <c r="F1522" s="346" t="s">
        <v>608</v>
      </c>
      <c r="G1522" s="349" t="s">
        <v>451</v>
      </c>
      <c r="H1522" s="350">
        <f t="shared" si="32"/>
        <v>5500</v>
      </c>
      <c r="I1522" s="120" t="str">
        <f>IF(OR(D1522&lt;Capa!$A$5,D1522&gt;Capa!$A$7,E1522&lt;Capa!$A$5,E1522&gt;Capa!$A$7,D1522&gt;E1522),"Erro","")</f>
        <v/>
      </c>
    </row>
    <row r="1523" spans="1:9" ht="30" hidden="1">
      <c r="A1523" s="345">
        <v>1839</v>
      </c>
      <c r="B1523" s="346" t="s">
        <v>288</v>
      </c>
      <c r="C1523" s="347">
        <v>200</v>
      </c>
      <c r="D1523" s="348">
        <v>45658</v>
      </c>
      <c r="E1523" s="348">
        <v>45992</v>
      </c>
      <c r="F1523" s="346" t="s">
        <v>608</v>
      </c>
      <c r="G1523" s="349" t="s">
        <v>452</v>
      </c>
      <c r="H1523" s="350">
        <f t="shared" si="32"/>
        <v>2400</v>
      </c>
      <c r="I1523" s="120" t="str">
        <f>IF(OR(D1523&lt;Capa!$A$5,D1523&gt;Capa!$A$7,E1523&lt;Capa!$A$5,E1523&gt;Capa!$A$7,D1523&gt;E1523),"Erro","")</f>
        <v/>
      </c>
    </row>
    <row r="1524" spans="1:9" ht="30" hidden="1">
      <c r="A1524" s="345">
        <v>1840</v>
      </c>
      <c r="B1524" s="346" t="s">
        <v>288</v>
      </c>
      <c r="C1524" s="347">
        <v>200</v>
      </c>
      <c r="D1524" s="348">
        <v>46023</v>
      </c>
      <c r="E1524" s="348">
        <v>46357</v>
      </c>
      <c r="F1524" s="346" t="s">
        <v>608</v>
      </c>
      <c r="G1524" s="349" t="s">
        <v>452</v>
      </c>
      <c r="H1524" s="350">
        <f t="shared" si="32"/>
        <v>2400</v>
      </c>
      <c r="I1524" s="120" t="str">
        <f>IF(OR(D1524&lt;Capa!$A$5,D1524&gt;Capa!$A$7,E1524&lt;Capa!$A$5,E1524&gt;Capa!$A$7,D1524&gt;E1524),"Erro","")</f>
        <v/>
      </c>
    </row>
    <row r="1525" spans="1:9" ht="30" hidden="1">
      <c r="A1525" s="345">
        <v>1841</v>
      </c>
      <c r="B1525" s="346" t="s">
        <v>288</v>
      </c>
      <c r="C1525" s="347">
        <v>200</v>
      </c>
      <c r="D1525" s="348">
        <v>46388</v>
      </c>
      <c r="E1525" s="348">
        <v>46722</v>
      </c>
      <c r="F1525" s="346" t="s">
        <v>608</v>
      </c>
      <c r="G1525" s="349" t="s">
        <v>452</v>
      </c>
      <c r="H1525" s="350">
        <f t="shared" si="32"/>
        <v>2400</v>
      </c>
      <c r="I1525" s="120" t="str">
        <f>IF(OR(D1525&lt;Capa!$A$5,D1525&gt;Capa!$A$7,E1525&lt;Capa!$A$5,E1525&gt;Capa!$A$7,D1525&gt;E1525),"Erro","")</f>
        <v/>
      </c>
    </row>
    <row r="1526" spans="1:9" ht="30" hidden="1">
      <c r="A1526" s="345">
        <v>1842</v>
      </c>
      <c r="B1526" s="346" t="s">
        <v>288</v>
      </c>
      <c r="C1526" s="347">
        <v>100</v>
      </c>
      <c r="D1526" s="348">
        <v>46753</v>
      </c>
      <c r="E1526" s="348">
        <v>47058</v>
      </c>
      <c r="F1526" s="346" t="s">
        <v>608</v>
      </c>
      <c r="G1526" s="349" t="s">
        <v>452</v>
      </c>
      <c r="H1526" s="350">
        <f t="shared" si="32"/>
        <v>1100</v>
      </c>
      <c r="I1526" s="120" t="str">
        <f>IF(OR(D1526&lt;Capa!$A$5,D1526&gt;Capa!$A$7,E1526&lt;Capa!$A$5,E1526&gt;Capa!$A$7,D1526&gt;E1526),"Erro","")</f>
        <v/>
      </c>
    </row>
    <row r="1527" spans="1:9" ht="30" hidden="1">
      <c r="A1527" s="345">
        <v>1844</v>
      </c>
      <c r="B1527" s="346" t="s">
        <v>294</v>
      </c>
      <c r="C1527" s="347">
        <v>3000</v>
      </c>
      <c r="D1527" s="348">
        <v>45658</v>
      </c>
      <c r="E1527" s="348">
        <v>45992</v>
      </c>
      <c r="F1527" s="346" t="s">
        <v>608</v>
      </c>
      <c r="G1527" s="349" t="s">
        <v>453</v>
      </c>
      <c r="H1527" s="350">
        <f t="shared" si="32"/>
        <v>36000</v>
      </c>
      <c r="I1527" s="120" t="str">
        <f>IF(OR(D1527&lt;Capa!$A$5,D1527&gt;Capa!$A$7,E1527&lt;Capa!$A$5,E1527&gt;Capa!$A$7,D1527&gt;E1527),"Erro","")</f>
        <v/>
      </c>
    </row>
    <row r="1528" spans="1:9" ht="30" hidden="1">
      <c r="A1528" s="345">
        <v>1845</v>
      </c>
      <c r="B1528" s="346" t="s">
        <v>294</v>
      </c>
      <c r="C1528" s="347">
        <v>3000</v>
      </c>
      <c r="D1528" s="348">
        <v>46023</v>
      </c>
      <c r="E1528" s="348">
        <v>46357</v>
      </c>
      <c r="F1528" s="346" t="s">
        <v>608</v>
      </c>
      <c r="G1528" s="349" t="s">
        <v>453</v>
      </c>
      <c r="H1528" s="350">
        <f t="shared" si="32"/>
        <v>36000</v>
      </c>
      <c r="I1528" s="120" t="str">
        <f>IF(OR(D1528&lt;Capa!$A$5,D1528&gt;Capa!$A$7,E1528&lt;Capa!$A$5,E1528&gt;Capa!$A$7,D1528&gt;E1528),"Erro","")</f>
        <v/>
      </c>
    </row>
    <row r="1529" spans="1:9" ht="30" hidden="1">
      <c r="A1529" s="345">
        <v>1846</v>
      </c>
      <c r="B1529" s="346" t="s">
        <v>294</v>
      </c>
      <c r="C1529" s="347">
        <v>3000</v>
      </c>
      <c r="D1529" s="348">
        <v>46388</v>
      </c>
      <c r="E1529" s="348">
        <v>46722</v>
      </c>
      <c r="F1529" s="346" t="s">
        <v>608</v>
      </c>
      <c r="G1529" s="349" t="s">
        <v>453</v>
      </c>
      <c r="H1529" s="350">
        <f t="shared" si="32"/>
        <v>36000</v>
      </c>
      <c r="I1529" s="120" t="str">
        <f>IF(OR(D1529&lt;Capa!$A$5,D1529&gt;Capa!$A$7,E1529&lt;Capa!$A$5,E1529&gt;Capa!$A$7,D1529&gt;E1529),"Erro","")</f>
        <v/>
      </c>
    </row>
    <row r="1530" spans="1:9" ht="30" hidden="1">
      <c r="A1530" s="345">
        <v>1847</v>
      </c>
      <c r="B1530" s="346" t="s">
        <v>294</v>
      </c>
      <c r="C1530" s="347">
        <v>3000</v>
      </c>
      <c r="D1530" s="348">
        <v>46753</v>
      </c>
      <c r="E1530" s="348">
        <v>47058</v>
      </c>
      <c r="F1530" s="346" t="s">
        <v>608</v>
      </c>
      <c r="G1530" s="349" t="s">
        <v>453</v>
      </c>
      <c r="H1530" s="350">
        <f t="shared" si="32"/>
        <v>33000</v>
      </c>
      <c r="I1530" s="120" t="str">
        <f>IF(OR(D1530&lt;Capa!$A$5,D1530&gt;Capa!$A$7,E1530&lt;Capa!$A$5,E1530&gt;Capa!$A$7,D1530&gt;E1530),"Erro","")</f>
        <v/>
      </c>
    </row>
    <row r="1531" spans="1:9" ht="20" hidden="1">
      <c r="A1531" s="345">
        <v>1849</v>
      </c>
      <c r="B1531" s="346" t="s">
        <v>302</v>
      </c>
      <c r="C1531" s="347">
        <v>100</v>
      </c>
      <c r="D1531" s="348">
        <v>45658</v>
      </c>
      <c r="E1531" s="348">
        <v>45992</v>
      </c>
      <c r="F1531" s="346" t="s">
        <v>608</v>
      </c>
      <c r="G1531" s="349" t="s">
        <v>454</v>
      </c>
      <c r="H1531" s="350">
        <f t="shared" si="32"/>
        <v>1200</v>
      </c>
      <c r="I1531" s="120" t="str">
        <f>IF(OR(D1531&lt;Capa!$A$5,D1531&gt;Capa!$A$7,E1531&lt;Capa!$A$5,E1531&gt;Capa!$A$7,D1531&gt;E1531),"Erro","")</f>
        <v/>
      </c>
    </row>
    <row r="1532" spans="1:9" ht="20" hidden="1">
      <c r="A1532" s="345">
        <v>1850</v>
      </c>
      <c r="B1532" s="346" t="s">
        <v>302</v>
      </c>
      <c r="C1532" s="347">
        <v>100</v>
      </c>
      <c r="D1532" s="348">
        <v>46023</v>
      </c>
      <c r="E1532" s="348">
        <v>46357</v>
      </c>
      <c r="F1532" s="346" t="s">
        <v>608</v>
      </c>
      <c r="G1532" s="349" t="s">
        <v>454</v>
      </c>
      <c r="H1532" s="350">
        <f t="shared" si="32"/>
        <v>1200</v>
      </c>
      <c r="I1532" s="120" t="str">
        <f>IF(OR(D1532&lt;Capa!$A$5,D1532&gt;Capa!$A$7,E1532&lt;Capa!$A$5,E1532&gt;Capa!$A$7,D1532&gt;E1532),"Erro","")</f>
        <v/>
      </c>
    </row>
    <row r="1533" spans="1:9" ht="20" hidden="1">
      <c r="A1533" s="345">
        <v>1851</v>
      </c>
      <c r="B1533" s="346" t="s">
        <v>302</v>
      </c>
      <c r="C1533" s="347">
        <v>100</v>
      </c>
      <c r="D1533" s="348">
        <v>46388</v>
      </c>
      <c r="E1533" s="348">
        <v>46722</v>
      </c>
      <c r="F1533" s="346" t="s">
        <v>608</v>
      </c>
      <c r="G1533" s="349" t="s">
        <v>454</v>
      </c>
      <c r="H1533" s="350">
        <f t="shared" si="32"/>
        <v>1200</v>
      </c>
      <c r="I1533" s="120" t="str">
        <f>IF(OR(D1533&lt;Capa!$A$5,D1533&gt;Capa!$A$7,E1533&lt;Capa!$A$5,E1533&gt;Capa!$A$7,D1533&gt;E1533),"Erro","")</f>
        <v/>
      </c>
    </row>
    <row r="1534" spans="1:9" ht="20" hidden="1">
      <c r="A1534" s="345">
        <v>1852</v>
      </c>
      <c r="B1534" s="346" t="s">
        <v>302</v>
      </c>
      <c r="C1534" s="347">
        <v>50</v>
      </c>
      <c r="D1534" s="348">
        <v>46753</v>
      </c>
      <c r="E1534" s="348">
        <v>47058</v>
      </c>
      <c r="F1534" s="346" t="s">
        <v>608</v>
      </c>
      <c r="G1534" s="349" t="s">
        <v>454</v>
      </c>
      <c r="H1534" s="350">
        <f t="shared" si="32"/>
        <v>550</v>
      </c>
      <c r="I1534" s="120" t="str">
        <f>IF(OR(D1534&lt;Capa!$A$5,D1534&gt;Capa!$A$7,E1534&lt;Capa!$A$5,E1534&gt;Capa!$A$7,D1534&gt;E1534),"Erro","")</f>
        <v/>
      </c>
    </row>
    <row r="1535" spans="1:9" ht="30" hidden="1">
      <c r="A1535" s="345">
        <v>1854</v>
      </c>
      <c r="B1535" s="346" t="s">
        <v>304</v>
      </c>
      <c r="C1535" s="347">
        <v>1000</v>
      </c>
      <c r="D1535" s="348">
        <v>45658</v>
      </c>
      <c r="E1535" s="348">
        <v>45992</v>
      </c>
      <c r="F1535" s="346" t="s">
        <v>608</v>
      </c>
      <c r="G1535" s="349" t="s">
        <v>455</v>
      </c>
      <c r="H1535" s="350">
        <f t="shared" si="32"/>
        <v>12000</v>
      </c>
      <c r="I1535" s="120" t="str">
        <f>IF(OR(D1535&lt;Capa!$A$5,D1535&gt;Capa!$A$7,E1535&lt;Capa!$A$5,E1535&gt;Capa!$A$7,D1535&gt;E1535),"Erro","")</f>
        <v/>
      </c>
    </row>
    <row r="1536" spans="1:9" ht="30" hidden="1">
      <c r="A1536" s="345">
        <v>1855</v>
      </c>
      <c r="B1536" s="346" t="s">
        <v>304</v>
      </c>
      <c r="C1536" s="347">
        <v>1000</v>
      </c>
      <c r="D1536" s="348">
        <v>46023</v>
      </c>
      <c r="E1536" s="348">
        <v>46357</v>
      </c>
      <c r="F1536" s="346" t="s">
        <v>608</v>
      </c>
      <c r="G1536" s="349" t="s">
        <v>455</v>
      </c>
      <c r="H1536" s="350">
        <f t="shared" si="32"/>
        <v>12000</v>
      </c>
      <c r="I1536" s="120" t="str">
        <f>IF(OR(D1536&lt;Capa!$A$5,D1536&gt;Capa!$A$7,E1536&lt;Capa!$A$5,E1536&gt;Capa!$A$7,D1536&gt;E1536),"Erro","")</f>
        <v/>
      </c>
    </row>
    <row r="1537" spans="1:9" ht="30" hidden="1">
      <c r="A1537" s="345">
        <v>1856</v>
      </c>
      <c r="B1537" s="346" t="s">
        <v>304</v>
      </c>
      <c r="C1537" s="347">
        <v>1000</v>
      </c>
      <c r="D1537" s="348">
        <v>46388</v>
      </c>
      <c r="E1537" s="348">
        <v>46722</v>
      </c>
      <c r="F1537" s="346" t="s">
        <v>608</v>
      </c>
      <c r="G1537" s="349" t="s">
        <v>455</v>
      </c>
      <c r="H1537" s="350">
        <f t="shared" si="32"/>
        <v>12000</v>
      </c>
      <c r="I1537" s="120" t="str">
        <f>IF(OR(D1537&lt;Capa!$A$5,D1537&gt;Capa!$A$7,E1537&lt;Capa!$A$5,E1537&gt;Capa!$A$7,D1537&gt;E1537),"Erro","")</f>
        <v/>
      </c>
    </row>
    <row r="1538" spans="1:9" ht="30" hidden="1">
      <c r="A1538" s="345">
        <v>1857</v>
      </c>
      <c r="B1538" s="346" t="s">
        <v>304</v>
      </c>
      <c r="C1538" s="347">
        <v>500</v>
      </c>
      <c r="D1538" s="348">
        <v>46753</v>
      </c>
      <c r="E1538" s="348">
        <v>47058</v>
      </c>
      <c r="F1538" s="346" t="s">
        <v>608</v>
      </c>
      <c r="G1538" s="349" t="s">
        <v>455</v>
      </c>
      <c r="H1538" s="350">
        <f t="shared" si="32"/>
        <v>5500</v>
      </c>
      <c r="I1538" s="120" t="str">
        <f>IF(OR(D1538&lt;Capa!$A$5,D1538&gt;Capa!$A$7,E1538&lt;Capa!$A$5,E1538&gt;Capa!$A$7,D1538&gt;E1538),"Erro","")</f>
        <v/>
      </c>
    </row>
    <row r="1539" spans="1:9" ht="30" hidden="1">
      <c r="A1539" s="345">
        <v>1858</v>
      </c>
      <c r="B1539" s="346" t="s">
        <v>312</v>
      </c>
      <c r="C1539" s="347">
        <v>200</v>
      </c>
      <c r="D1539" s="348">
        <v>45658</v>
      </c>
      <c r="E1539" s="348">
        <v>45992</v>
      </c>
      <c r="F1539" s="346" t="s">
        <v>608</v>
      </c>
      <c r="G1539" s="349" t="s">
        <v>571</v>
      </c>
      <c r="H1539" s="350">
        <f t="shared" ref="H1539:H1594" si="33">IFERROR((DATEDIF(D1539,E1539,"M")+1)*C1539,0)</f>
        <v>2400</v>
      </c>
      <c r="I1539" s="120" t="str">
        <f>IF(OR(D1539&lt;Capa!$A$5,D1539&gt;Capa!$A$7,E1539&lt;Capa!$A$5,E1539&gt;Capa!$A$7,D1539&gt;E1539),"Erro","")</f>
        <v/>
      </c>
    </row>
    <row r="1540" spans="1:9" ht="30" hidden="1">
      <c r="A1540" s="345">
        <v>1859</v>
      </c>
      <c r="B1540" s="346" t="s">
        <v>312</v>
      </c>
      <c r="C1540" s="347">
        <v>200</v>
      </c>
      <c r="D1540" s="348">
        <v>46023</v>
      </c>
      <c r="E1540" s="348">
        <v>46357</v>
      </c>
      <c r="F1540" s="346" t="s">
        <v>608</v>
      </c>
      <c r="G1540" s="349" t="s">
        <v>571</v>
      </c>
      <c r="H1540" s="350">
        <f t="shared" si="33"/>
        <v>2400</v>
      </c>
      <c r="I1540" s="120" t="str">
        <f>IF(OR(D1540&lt;Capa!$A$5,D1540&gt;Capa!$A$7,E1540&lt;Capa!$A$5,E1540&gt;Capa!$A$7,D1540&gt;E1540),"Erro","")</f>
        <v/>
      </c>
    </row>
    <row r="1541" spans="1:9" ht="30" hidden="1">
      <c r="A1541" s="345">
        <v>1860</v>
      </c>
      <c r="B1541" s="346" t="s">
        <v>312</v>
      </c>
      <c r="C1541" s="347">
        <v>200</v>
      </c>
      <c r="D1541" s="348">
        <v>46388</v>
      </c>
      <c r="E1541" s="348">
        <v>46722</v>
      </c>
      <c r="F1541" s="346" t="s">
        <v>608</v>
      </c>
      <c r="G1541" s="349" t="s">
        <v>571</v>
      </c>
      <c r="H1541" s="350">
        <f t="shared" si="33"/>
        <v>2400</v>
      </c>
      <c r="I1541" s="120" t="str">
        <f>IF(OR(D1541&lt;Capa!$A$5,D1541&gt;Capa!$A$7,E1541&lt;Capa!$A$5,E1541&gt;Capa!$A$7,D1541&gt;E1541),"Erro","")</f>
        <v/>
      </c>
    </row>
    <row r="1542" spans="1:9" ht="30" hidden="1">
      <c r="A1542" s="345">
        <v>1861</v>
      </c>
      <c r="B1542" s="346" t="s">
        <v>312</v>
      </c>
      <c r="C1542" s="347">
        <v>100</v>
      </c>
      <c r="D1542" s="348">
        <v>46753</v>
      </c>
      <c r="E1542" s="348">
        <v>47058</v>
      </c>
      <c r="F1542" s="346" t="s">
        <v>608</v>
      </c>
      <c r="G1542" s="349" t="s">
        <v>571</v>
      </c>
      <c r="H1542" s="350">
        <f t="shared" si="33"/>
        <v>1100</v>
      </c>
      <c r="I1542" s="120" t="str">
        <f>IF(OR(D1542&lt;Capa!$A$5,D1542&gt;Capa!$A$7,E1542&lt;Capa!$A$5,E1542&gt;Capa!$A$7,D1542&gt;E1542),"Erro","")</f>
        <v/>
      </c>
    </row>
    <row r="1543" spans="1:9" ht="50" hidden="1">
      <c r="A1543" s="345">
        <v>1863</v>
      </c>
      <c r="B1543" s="346" t="s">
        <v>316</v>
      </c>
      <c r="C1543" s="347">
        <v>800</v>
      </c>
      <c r="D1543" s="348">
        <v>45658</v>
      </c>
      <c r="E1543" s="348">
        <v>45992</v>
      </c>
      <c r="F1543" s="346" t="s">
        <v>608</v>
      </c>
      <c r="G1543" s="349" t="s">
        <v>741</v>
      </c>
      <c r="H1543" s="350">
        <f t="shared" si="33"/>
        <v>9600</v>
      </c>
      <c r="I1543" s="120" t="str">
        <f>IF(OR(D1543&lt;Capa!$A$5,D1543&gt;Capa!$A$7,E1543&lt;Capa!$A$5,E1543&gt;Capa!$A$7,D1543&gt;E1543),"Erro","")</f>
        <v/>
      </c>
    </row>
    <row r="1544" spans="1:9" ht="50" hidden="1">
      <c r="A1544" s="345">
        <v>1864</v>
      </c>
      <c r="B1544" s="346" t="s">
        <v>316</v>
      </c>
      <c r="C1544" s="347">
        <v>800</v>
      </c>
      <c r="D1544" s="348">
        <v>46023</v>
      </c>
      <c r="E1544" s="348">
        <v>46357</v>
      </c>
      <c r="F1544" s="346" t="s">
        <v>608</v>
      </c>
      <c r="G1544" s="349" t="s">
        <v>741</v>
      </c>
      <c r="H1544" s="350">
        <f t="shared" si="33"/>
        <v>9600</v>
      </c>
      <c r="I1544" s="120" t="str">
        <f>IF(OR(D1544&lt;Capa!$A$5,D1544&gt;Capa!$A$7,E1544&lt;Capa!$A$5,E1544&gt;Capa!$A$7,D1544&gt;E1544),"Erro","")</f>
        <v/>
      </c>
    </row>
    <row r="1545" spans="1:9" ht="50" hidden="1">
      <c r="A1545" s="345">
        <v>1865</v>
      </c>
      <c r="B1545" s="346" t="s">
        <v>316</v>
      </c>
      <c r="C1545" s="347">
        <v>800</v>
      </c>
      <c r="D1545" s="348">
        <v>46388</v>
      </c>
      <c r="E1545" s="348">
        <v>46722</v>
      </c>
      <c r="F1545" s="346" t="s">
        <v>608</v>
      </c>
      <c r="G1545" s="349" t="s">
        <v>741</v>
      </c>
      <c r="H1545" s="350">
        <f t="shared" si="33"/>
        <v>9600</v>
      </c>
      <c r="I1545" s="120" t="str">
        <f>IF(OR(D1545&lt;Capa!$A$5,D1545&gt;Capa!$A$7,E1545&lt;Capa!$A$5,E1545&gt;Capa!$A$7,D1545&gt;E1545),"Erro","")</f>
        <v/>
      </c>
    </row>
    <row r="1546" spans="1:9" ht="50" hidden="1">
      <c r="A1546" s="345">
        <v>1866</v>
      </c>
      <c r="B1546" s="346" t="s">
        <v>316</v>
      </c>
      <c r="C1546" s="347">
        <v>400</v>
      </c>
      <c r="D1546" s="348">
        <v>46753</v>
      </c>
      <c r="E1546" s="348">
        <v>47058</v>
      </c>
      <c r="F1546" s="346" t="s">
        <v>608</v>
      </c>
      <c r="G1546" s="349" t="s">
        <v>741</v>
      </c>
      <c r="H1546" s="350">
        <f t="shared" si="33"/>
        <v>4400</v>
      </c>
      <c r="I1546" s="120" t="str">
        <f>IF(OR(D1546&lt;Capa!$A$5,D1546&gt;Capa!$A$7,E1546&lt;Capa!$A$5,E1546&gt;Capa!$A$7,D1546&gt;E1546),"Erro","")</f>
        <v/>
      </c>
    </row>
    <row r="1547" spans="1:9" ht="50" hidden="1">
      <c r="A1547" s="345">
        <v>1868</v>
      </c>
      <c r="B1547" s="346" t="s">
        <v>318</v>
      </c>
      <c r="C1547" s="347">
        <v>800</v>
      </c>
      <c r="D1547" s="348">
        <v>45658</v>
      </c>
      <c r="E1547" s="348">
        <v>45992</v>
      </c>
      <c r="F1547" s="346" t="s">
        <v>608</v>
      </c>
      <c r="G1547" s="349" t="s">
        <v>572</v>
      </c>
      <c r="H1547" s="350">
        <f t="shared" si="33"/>
        <v>9600</v>
      </c>
      <c r="I1547" s="120" t="str">
        <f>IF(OR(D1547&lt;Capa!$A$5,D1547&gt;Capa!$A$7,E1547&lt;Capa!$A$5,E1547&gt;Capa!$A$7,D1547&gt;E1547),"Erro","")</f>
        <v/>
      </c>
    </row>
    <row r="1548" spans="1:9" ht="50" hidden="1">
      <c r="A1548" s="345">
        <v>1869</v>
      </c>
      <c r="B1548" s="346" t="s">
        <v>318</v>
      </c>
      <c r="C1548" s="347">
        <v>800</v>
      </c>
      <c r="D1548" s="348">
        <v>46023</v>
      </c>
      <c r="E1548" s="348">
        <v>46357</v>
      </c>
      <c r="F1548" s="346" t="s">
        <v>608</v>
      </c>
      <c r="G1548" s="349" t="s">
        <v>572</v>
      </c>
      <c r="H1548" s="350">
        <f t="shared" si="33"/>
        <v>9600</v>
      </c>
      <c r="I1548" s="120" t="str">
        <f>IF(OR(D1548&lt;Capa!$A$5,D1548&gt;Capa!$A$7,E1548&lt;Capa!$A$5,E1548&gt;Capa!$A$7,D1548&gt;E1548),"Erro","")</f>
        <v/>
      </c>
    </row>
    <row r="1549" spans="1:9" ht="50" hidden="1">
      <c r="A1549" s="345">
        <v>1870</v>
      </c>
      <c r="B1549" s="346" t="s">
        <v>318</v>
      </c>
      <c r="C1549" s="347">
        <v>800</v>
      </c>
      <c r="D1549" s="348">
        <v>46388</v>
      </c>
      <c r="E1549" s="348">
        <v>46722</v>
      </c>
      <c r="F1549" s="346" t="s">
        <v>608</v>
      </c>
      <c r="G1549" s="349" t="s">
        <v>572</v>
      </c>
      <c r="H1549" s="350">
        <f t="shared" si="33"/>
        <v>9600</v>
      </c>
      <c r="I1549" s="120" t="str">
        <f>IF(OR(D1549&lt;Capa!$A$5,D1549&gt;Capa!$A$7,E1549&lt;Capa!$A$5,E1549&gt;Capa!$A$7,D1549&gt;E1549),"Erro","")</f>
        <v/>
      </c>
    </row>
    <row r="1550" spans="1:9" ht="50" hidden="1">
      <c r="A1550" s="345">
        <v>1871</v>
      </c>
      <c r="B1550" s="346" t="s">
        <v>318</v>
      </c>
      <c r="C1550" s="347">
        <v>200</v>
      </c>
      <c r="D1550" s="348">
        <v>46753</v>
      </c>
      <c r="E1550" s="348">
        <v>47058</v>
      </c>
      <c r="F1550" s="346" t="s">
        <v>608</v>
      </c>
      <c r="G1550" s="349" t="s">
        <v>572</v>
      </c>
      <c r="H1550" s="350">
        <f t="shared" si="33"/>
        <v>2200</v>
      </c>
      <c r="I1550" s="120" t="str">
        <f>IF(OR(D1550&lt;Capa!$A$5,D1550&gt;Capa!$A$7,E1550&lt;Capa!$A$5,E1550&gt;Capa!$A$7,D1550&gt;E1550),"Erro","")</f>
        <v/>
      </c>
    </row>
    <row r="1551" spans="1:9" ht="50" hidden="1">
      <c r="A1551" s="345">
        <v>1873</v>
      </c>
      <c r="B1551" s="346" t="s">
        <v>318</v>
      </c>
      <c r="C1551" s="347">
        <v>700</v>
      </c>
      <c r="D1551" s="348">
        <v>45658</v>
      </c>
      <c r="E1551" s="348">
        <v>45992</v>
      </c>
      <c r="F1551" s="346" t="s">
        <v>608</v>
      </c>
      <c r="G1551" s="349" t="s">
        <v>456</v>
      </c>
      <c r="H1551" s="350">
        <f t="shared" si="33"/>
        <v>8400</v>
      </c>
      <c r="I1551" s="120" t="str">
        <f>IF(OR(D1551&lt;Capa!$A$5,D1551&gt;Capa!$A$7,E1551&lt;Capa!$A$5,E1551&gt;Capa!$A$7,D1551&gt;E1551),"Erro","")</f>
        <v/>
      </c>
    </row>
    <row r="1552" spans="1:9" ht="50" hidden="1">
      <c r="A1552" s="345">
        <v>1874</v>
      </c>
      <c r="B1552" s="346" t="s">
        <v>318</v>
      </c>
      <c r="C1552" s="347">
        <v>700</v>
      </c>
      <c r="D1552" s="348">
        <v>46023</v>
      </c>
      <c r="E1552" s="348">
        <v>46357</v>
      </c>
      <c r="F1552" s="346" t="s">
        <v>608</v>
      </c>
      <c r="G1552" s="349" t="s">
        <v>456</v>
      </c>
      <c r="H1552" s="350">
        <f t="shared" si="33"/>
        <v>8400</v>
      </c>
      <c r="I1552" s="120" t="str">
        <f>IF(OR(D1552&lt;Capa!$A$5,D1552&gt;Capa!$A$7,E1552&lt;Capa!$A$5,E1552&gt;Capa!$A$7,D1552&gt;E1552),"Erro","")</f>
        <v/>
      </c>
    </row>
    <row r="1553" spans="1:9" ht="50" hidden="1">
      <c r="A1553" s="345">
        <v>1875</v>
      </c>
      <c r="B1553" s="346" t="s">
        <v>318</v>
      </c>
      <c r="C1553" s="347">
        <v>700</v>
      </c>
      <c r="D1553" s="348">
        <v>46388</v>
      </c>
      <c r="E1553" s="348">
        <v>46722</v>
      </c>
      <c r="F1553" s="346" t="s">
        <v>608</v>
      </c>
      <c r="G1553" s="349" t="s">
        <v>456</v>
      </c>
      <c r="H1553" s="350">
        <f t="shared" si="33"/>
        <v>8400</v>
      </c>
      <c r="I1553" s="120" t="str">
        <f>IF(OR(D1553&lt;Capa!$A$5,D1553&gt;Capa!$A$7,E1553&lt;Capa!$A$5,E1553&gt;Capa!$A$7,D1553&gt;E1553),"Erro","")</f>
        <v/>
      </c>
    </row>
    <row r="1554" spans="1:9" ht="50" hidden="1">
      <c r="A1554" s="345">
        <v>1876</v>
      </c>
      <c r="B1554" s="346" t="s">
        <v>318</v>
      </c>
      <c r="C1554" s="347">
        <v>300</v>
      </c>
      <c r="D1554" s="348">
        <v>46753</v>
      </c>
      <c r="E1554" s="348">
        <v>47058</v>
      </c>
      <c r="F1554" s="346" t="s">
        <v>608</v>
      </c>
      <c r="G1554" s="349" t="s">
        <v>456</v>
      </c>
      <c r="H1554" s="350">
        <f t="shared" si="33"/>
        <v>3300</v>
      </c>
      <c r="I1554" s="120" t="str">
        <f>IF(OR(D1554&lt;Capa!$A$5,D1554&gt;Capa!$A$7,E1554&lt;Capa!$A$5,E1554&gt;Capa!$A$7,D1554&gt;E1554),"Erro","")</f>
        <v/>
      </c>
    </row>
    <row r="1555" spans="1:9" ht="20" hidden="1">
      <c r="A1555" s="345">
        <v>1878</v>
      </c>
      <c r="B1555" s="346" t="s">
        <v>298</v>
      </c>
      <c r="C1555" s="347">
        <v>2450</v>
      </c>
      <c r="D1555" s="348">
        <v>45658</v>
      </c>
      <c r="E1555" s="348">
        <v>45992</v>
      </c>
      <c r="F1555" s="346" t="s">
        <v>608</v>
      </c>
      <c r="G1555" s="349" t="s">
        <v>457</v>
      </c>
      <c r="H1555" s="350">
        <f t="shared" si="33"/>
        <v>29400</v>
      </c>
      <c r="I1555" s="120" t="str">
        <f>IF(OR(D1555&lt;Capa!$A$5,D1555&gt;Capa!$A$7,E1555&lt;Capa!$A$5,E1555&gt;Capa!$A$7,D1555&gt;E1555),"Erro","")</f>
        <v/>
      </c>
    </row>
    <row r="1556" spans="1:9" ht="20" hidden="1">
      <c r="A1556" s="345">
        <v>1879</v>
      </c>
      <c r="B1556" s="346" t="s">
        <v>298</v>
      </c>
      <c r="C1556" s="347">
        <v>2450</v>
      </c>
      <c r="D1556" s="348">
        <v>46023</v>
      </c>
      <c r="E1556" s="348">
        <v>46357</v>
      </c>
      <c r="F1556" s="346" t="s">
        <v>608</v>
      </c>
      <c r="G1556" s="349" t="s">
        <v>457</v>
      </c>
      <c r="H1556" s="350">
        <f t="shared" si="33"/>
        <v>29400</v>
      </c>
      <c r="I1556" s="120" t="str">
        <f>IF(OR(D1556&lt;Capa!$A$5,D1556&gt;Capa!$A$7,E1556&lt;Capa!$A$5,E1556&gt;Capa!$A$7,D1556&gt;E1556),"Erro","")</f>
        <v/>
      </c>
    </row>
    <row r="1557" spans="1:9" ht="20" hidden="1">
      <c r="A1557" s="345">
        <v>1880</v>
      </c>
      <c r="B1557" s="346" t="s">
        <v>298</v>
      </c>
      <c r="C1557" s="347">
        <v>2450</v>
      </c>
      <c r="D1557" s="348">
        <v>46388</v>
      </c>
      <c r="E1557" s="348">
        <v>46722</v>
      </c>
      <c r="F1557" s="346" t="s">
        <v>608</v>
      </c>
      <c r="G1557" s="349" t="s">
        <v>457</v>
      </c>
      <c r="H1557" s="350">
        <f t="shared" si="33"/>
        <v>29400</v>
      </c>
      <c r="I1557" s="120" t="str">
        <f>IF(OR(D1557&lt;Capa!$A$5,D1557&gt;Capa!$A$7,E1557&lt;Capa!$A$5,E1557&gt;Capa!$A$7,D1557&gt;E1557),"Erro","")</f>
        <v/>
      </c>
    </row>
    <row r="1558" spans="1:9" ht="20" hidden="1">
      <c r="A1558" s="345">
        <v>1881</v>
      </c>
      <c r="B1558" s="346" t="s">
        <v>298</v>
      </c>
      <c r="C1558" s="347">
        <v>1250</v>
      </c>
      <c r="D1558" s="348">
        <v>46753</v>
      </c>
      <c r="E1558" s="348">
        <v>47058</v>
      </c>
      <c r="F1558" s="346" t="s">
        <v>608</v>
      </c>
      <c r="G1558" s="349" t="s">
        <v>457</v>
      </c>
      <c r="H1558" s="350">
        <f t="shared" si="33"/>
        <v>13750</v>
      </c>
      <c r="I1558" s="120" t="str">
        <f>IF(OR(D1558&lt;Capa!$A$5,D1558&gt;Capa!$A$7,E1558&lt;Capa!$A$5,E1558&gt;Capa!$A$7,D1558&gt;E1558),"Erro","")</f>
        <v/>
      </c>
    </row>
    <row r="1559" spans="1:9" ht="30" hidden="1">
      <c r="A1559" s="345">
        <v>1882</v>
      </c>
      <c r="B1559" s="346" t="s">
        <v>238</v>
      </c>
      <c r="C1559" s="347">
        <v>480</v>
      </c>
      <c r="D1559" s="348">
        <v>45658</v>
      </c>
      <c r="E1559" s="348">
        <v>45992</v>
      </c>
      <c r="F1559" s="346" t="s">
        <v>608</v>
      </c>
      <c r="G1559" s="349" t="s">
        <v>458</v>
      </c>
      <c r="H1559" s="350">
        <f t="shared" si="33"/>
        <v>5760</v>
      </c>
      <c r="I1559" s="120" t="str">
        <f>IF(OR(D1559&lt;Capa!$A$5,D1559&gt;Capa!$A$7,E1559&lt;Capa!$A$5,E1559&gt;Capa!$A$7,D1559&gt;E1559),"Erro","")</f>
        <v/>
      </c>
    </row>
    <row r="1560" spans="1:9" ht="30" hidden="1">
      <c r="A1560" s="345">
        <v>1883</v>
      </c>
      <c r="B1560" s="346" t="s">
        <v>238</v>
      </c>
      <c r="C1560" s="347">
        <v>480</v>
      </c>
      <c r="D1560" s="348">
        <v>46023</v>
      </c>
      <c r="E1560" s="348">
        <v>46357</v>
      </c>
      <c r="F1560" s="346" t="s">
        <v>608</v>
      </c>
      <c r="G1560" s="349" t="s">
        <v>458</v>
      </c>
      <c r="H1560" s="350">
        <f t="shared" si="33"/>
        <v>5760</v>
      </c>
      <c r="I1560" s="120" t="str">
        <f>IF(OR(D1560&lt;Capa!$A$5,D1560&gt;Capa!$A$7,E1560&lt;Capa!$A$5,E1560&gt;Capa!$A$7,D1560&gt;E1560),"Erro","")</f>
        <v/>
      </c>
    </row>
    <row r="1561" spans="1:9" ht="30" hidden="1">
      <c r="A1561" s="345">
        <v>1884</v>
      </c>
      <c r="B1561" s="346" t="s">
        <v>238</v>
      </c>
      <c r="C1561" s="347">
        <v>480</v>
      </c>
      <c r="D1561" s="348">
        <v>46388</v>
      </c>
      <c r="E1561" s="348">
        <v>46722</v>
      </c>
      <c r="F1561" s="346" t="s">
        <v>608</v>
      </c>
      <c r="G1561" s="349" t="s">
        <v>458</v>
      </c>
      <c r="H1561" s="350">
        <f t="shared" si="33"/>
        <v>5760</v>
      </c>
      <c r="I1561" s="120" t="str">
        <f>IF(OR(D1561&lt;Capa!$A$5,D1561&gt;Capa!$A$7,E1561&lt;Capa!$A$5,E1561&gt;Capa!$A$7,D1561&gt;E1561),"Erro","")</f>
        <v/>
      </c>
    </row>
    <row r="1562" spans="1:9" ht="30" hidden="1">
      <c r="A1562" s="345">
        <v>1885</v>
      </c>
      <c r="B1562" s="346" t="s">
        <v>238</v>
      </c>
      <c r="C1562" s="347">
        <v>240</v>
      </c>
      <c r="D1562" s="348">
        <v>46753</v>
      </c>
      <c r="E1562" s="348">
        <v>47058</v>
      </c>
      <c r="F1562" s="346" t="s">
        <v>608</v>
      </c>
      <c r="G1562" s="349" t="s">
        <v>458</v>
      </c>
      <c r="H1562" s="350">
        <f t="shared" si="33"/>
        <v>2640</v>
      </c>
      <c r="I1562" s="120" t="str">
        <f>IF(OR(D1562&lt;Capa!$A$5,D1562&gt;Capa!$A$7,E1562&lt;Capa!$A$5,E1562&gt;Capa!$A$7,D1562&gt;E1562),"Erro","")</f>
        <v/>
      </c>
    </row>
    <row r="1563" spans="1:9" ht="40" hidden="1">
      <c r="A1563" s="345">
        <v>1887</v>
      </c>
      <c r="B1563" s="346" t="s">
        <v>252</v>
      </c>
      <c r="C1563" s="347">
        <v>8000</v>
      </c>
      <c r="D1563" s="348">
        <v>45658</v>
      </c>
      <c r="E1563" s="348">
        <v>45992</v>
      </c>
      <c r="F1563" s="346" t="s">
        <v>608</v>
      </c>
      <c r="G1563" s="349" t="s">
        <v>459</v>
      </c>
      <c r="H1563" s="350">
        <f t="shared" si="33"/>
        <v>96000</v>
      </c>
      <c r="I1563" s="120" t="str">
        <f>IF(OR(D1563&lt;Capa!$A$5,D1563&gt;Capa!$A$7,E1563&lt;Capa!$A$5,E1563&gt;Capa!$A$7,D1563&gt;E1563),"Erro","")</f>
        <v/>
      </c>
    </row>
    <row r="1564" spans="1:9" ht="40" hidden="1">
      <c r="A1564" s="345">
        <v>1888</v>
      </c>
      <c r="B1564" s="346" t="s">
        <v>252</v>
      </c>
      <c r="C1564" s="347">
        <v>8000</v>
      </c>
      <c r="D1564" s="348">
        <v>46023</v>
      </c>
      <c r="E1564" s="348">
        <v>46357</v>
      </c>
      <c r="F1564" s="346" t="s">
        <v>608</v>
      </c>
      <c r="G1564" s="349" t="s">
        <v>459</v>
      </c>
      <c r="H1564" s="350">
        <f t="shared" si="33"/>
        <v>96000</v>
      </c>
      <c r="I1564" s="120" t="str">
        <f>IF(OR(D1564&lt;Capa!$A$5,D1564&gt;Capa!$A$7,E1564&lt;Capa!$A$5,E1564&gt;Capa!$A$7,D1564&gt;E1564),"Erro","")</f>
        <v/>
      </c>
    </row>
    <row r="1565" spans="1:9" ht="40" hidden="1">
      <c r="A1565" s="345">
        <v>1889</v>
      </c>
      <c r="B1565" s="346" t="s">
        <v>252</v>
      </c>
      <c r="C1565" s="347">
        <v>8000</v>
      </c>
      <c r="D1565" s="348">
        <v>46388</v>
      </c>
      <c r="E1565" s="348">
        <v>46722</v>
      </c>
      <c r="F1565" s="346" t="s">
        <v>608</v>
      </c>
      <c r="G1565" s="349" t="s">
        <v>459</v>
      </c>
      <c r="H1565" s="350">
        <f t="shared" si="33"/>
        <v>96000</v>
      </c>
      <c r="I1565" s="120" t="str">
        <f>IF(OR(D1565&lt;Capa!$A$5,D1565&gt;Capa!$A$7,E1565&lt;Capa!$A$5,E1565&gt;Capa!$A$7,D1565&gt;E1565),"Erro","")</f>
        <v/>
      </c>
    </row>
    <row r="1566" spans="1:9" ht="40" hidden="1">
      <c r="A1566" s="345">
        <v>1890</v>
      </c>
      <c r="B1566" s="346" t="s">
        <v>252</v>
      </c>
      <c r="C1566" s="347">
        <v>4000</v>
      </c>
      <c r="D1566" s="348">
        <v>46753</v>
      </c>
      <c r="E1566" s="348">
        <v>47058</v>
      </c>
      <c r="F1566" s="346" t="s">
        <v>608</v>
      </c>
      <c r="G1566" s="349" t="s">
        <v>459</v>
      </c>
      <c r="H1566" s="350">
        <f t="shared" si="33"/>
        <v>44000</v>
      </c>
      <c r="I1566" s="120" t="str">
        <f>IF(OR(D1566&lt;Capa!$A$5,D1566&gt;Capa!$A$7,E1566&lt;Capa!$A$5,E1566&gt;Capa!$A$7,D1566&gt;E1566),"Erro","")</f>
        <v/>
      </c>
    </row>
    <row r="1567" spans="1:9" ht="20" hidden="1">
      <c r="A1567" s="345">
        <v>1893</v>
      </c>
      <c r="B1567" s="346" t="s">
        <v>620</v>
      </c>
      <c r="C1567" s="347">
        <v>110</v>
      </c>
      <c r="D1567" s="348">
        <v>45658</v>
      </c>
      <c r="E1567" s="348">
        <v>47058</v>
      </c>
      <c r="F1567" s="346" t="s">
        <v>608</v>
      </c>
      <c r="G1567" s="349" t="s">
        <v>662</v>
      </c>
      <c r="H1567" s="350">
        <f t="shared" si="33"/>
        <v>5170</v>
      </c>
      <c r="I1567" s="120" t="str">
        <f>IF(OR(D1567&lt;Capa!$A$5,D1567&gt;Capa!$A$7,E1567&lt;Capa!$A$5,E1567&gt;Capa!$A$7,D1567&gt;E1567),"Erro","")</f>
        <v/>
      </c>
    </row>
    <row r="1568" spans="1:9" ht="20" hidden="1">
      <c r="A1568" s="345">
        <v>1895</v>
      </c>
      <c r="B1568" s="346" t="s">
        <v>622</v>
      </c>
      <c r="C1568" s="347">
        <v>850</v>
      </c>
      <c r="D1568" s="348">
        <v>45658</v>
      </c>
      <c r="E1568" s="348">
        <v>47058</v>
      </c>
      <c r="F1568" s="346" t="s">
        <v>608</v>
      </c>
      <c r="G1568" s="349" t="s">
        <v>664</v>
      </c>
      <c r="H1568" s="350">
        <f t="shared" si="33"/>
        <v>39950</v>
      </c>
      <c r="I1568" s="120" t="str">
        <f>IF(OR(D1568&lt;Capa!$A$5,D1568&gt;Capa!$A$7,E1568&lt;Capa!$A$5,E1568&gt;Capa!$A$7,D1568&gt;E1568),"Erro","")</f>
        <v/>
      </c>
    </row>
    <row r="1569" spans="1:9" ht="30" hidden="1">
      <c r="A1569" s="345">
        <v>1896</v>
      </c>
      <c r="B1569" s="346" t="s">
        <v>621</v>
      </c>
      <c r="C1569" s="347">
        <v>2000</v>
      </c>
      <c r="D1569" s="348">
        <v>45689</v>
      </c>
      <c r="E1569" s="348">
        <v>45689</v>
      </c>
      <c r="F1569" s="346" t="s">
        <v>608</v>
      </c>
      <c r="G1569" s="349" t="s">
        <v>595</v>
      </c>
      <c r="H1569" s="350">
        <f t="shared" si="33"/>
        <v>2000</v>
      </c>
      <c r="I1569" s="120" t="str">
        <f>IF(OR(D1569&lt;Capa!$A$5,D1569&gt;Capa!$A$7,E1569&lt;Capa!$A$5,E1569&gt;Capa!$A$7,D1569&gt;E1569),"Erro","")</f>
        <v/>
      </c>
    </row>
    <row r="1570" spans="1:9" ht="30" hidden="1">
      <c r="A1570" s="345">
        <v>1897</v>
      </c>
      <c r="B1570" s="346" t="s">
        <v>621</v>
      </c>
      <c r="C1570" s="347">
        <v>2000</v>
      </c>
      <c r="D1570" s="348">
        <v>46419</v>
      </c>
      <c r="E1570" s="348">
        <v>46419</v>
      </c>
      <c r="F1570" s="346" t="s">
        <v>608</v>
      </c>
      <c r="G1570" s="349" t="s">
        <v>595</v>
      </c>
      <c r="H1570" s="350">
        <f t="shared" si="33"/>
        <v>2000</v>
      </c>
      <c r="I1570" s="120" t="str">
        <f>IF(OR(D1570&lt;Capa!$A$5,D1570&gt;Capa!$A$7,E1570&lt;Capa!$A$5,E1570&gt;Capa!$A$7,D1570&gt;E1570),"Erro","")</f>
        <v/>
      </c>
    </row>
    <row r="1571" spans="1:9" ht="30" hidden="1">
      <c r="A1571" s="345">
        <v>1898</v>
      </c>
      <c r="B1571" s="346" t="s">
        <v>619</v>
      </c>
      <c r="C1571" s="347">
        <v>70</v>
      </c>
      <c r="D1571" s="348">
        <v>45658</v>
      </c>
      <c r="E1571" s="348">
        <v>47058</v>
      </c>
      <c r="F1571" s="346" t="s">
        <v>608</v>
      </c>
      <c r="G1571" s="349" t="s">
        <v>639</v>
      </c>
      <c r="H1571" s="350">
        <f t="shared" si="33"/>
        <v>3290</v>
      </c>
      <c r="I1571" s="120" t="str">
        <f>IF(OR(D1571&lt;Capa!$A$5,D1571&gt;Capa!$A$7,E1571&lt;Capa!$A$5,E1571&gt;Capa!$A$7,D1571&gt;E1571),"Erro","")</f>
        <v/>
      </c>
    </row>
    <row r="1572" spans="1:9" ht="30" hidden="1">
      <c r="A1572" s="345">
        <v>1899</v>
      </c>
      <c r="B1572" s="346" t="s">
        <v>617</v>
      </c>
      <c r="C1572" s="347">
        <v>200</v>
      </c>
      <c r="D1572" s="348">
        <v>45658</v>
      </c>
      <c r="E1572" s="348">
        <v>47058</v>
      </c>
      <c r="F1572" s="346" t="s">
        <v>608</v>
      </c>
      <c r="G1572" s="349" t="s">
        <v>639</v>
      </c>
      <c r="H1572" s="350">
        <f t="shared" si="33"/>
        <v>9400</v>
      </c>
      <c r="I1572" s="120" t="str">
        <f>IF(OR(D1572&lt;Capa!$A$5,D1572&gt;Capa!$A$7,E1572&lt;Capa!$A$5,E1572&gt;Capa!$A$7,D1572&gt;E1572),"Erro","")</f>
        <v/>
      </c>
    </row>
    <row r="1573" spans="1:9" ht="20" hidden="1">
      <c r="A1573" s="345">
        <v>1900</v>
      </c>
      <c r="B1573" s="346" t="s">
        <v>618</v>
      </c>
      <c r="C1573" s="347">
        <v>2500</v>
      </c>
      <c r="D1573" s="348">
        <v>45658</v>
      </c>
      <c r="E1573" s="348">
        <v>47058</v>
      </c>
      <c r="F1573" s="346" t="s">
        <v>608</v>
      </c>
      <c r="G1573" s="349" t="s">
        <v>657</v>
      </c>
      <c r="H1573" s="350">
        <f t="shared" si="33"/>
        <v>117500</v>
      </c>
      <c r="I1573" s="120" t="str">
        <f>IF(OR(D1573&lt;Capa!$A$5,D1573&gt;Capa!$A$7,E1573&lt;Capa!$A$5,E1573&gt;Capa!$A$7,D1573&gt;E1573),"Erro","")</f>
        <v/>
      </c>
    </row>
    <row r="1574" spans="1:9" ht="30" hidden="1">
      <c r="A1574" s="345">
        <v>1902</v>
      </c>
      <c r="B1574" s="346" t="s">
        <v>623</v>
      </c>
      <c r="C1574" s="347">
        <v>650</v>
      </c>
      <c r="D1574" s="348">
        <v>45658</v>
      </c>
      <c r="E1574" s="348">
        <v>46784</v>
      </c>
      <c r="F1574" s="346" t="s">
        <v>608</v>
      </c>
      <c r="G1574" s="349" t="s">
        <v>658</v>
      </c>
      <c r="H1574" s="350">
        <f t="shared" si="33"/>
        <v>24700</v>
      </c>
      <c r="I1574" s="120" t="str">
        <f>IF(OR(D1574&lt;Capa!$A$5,D1574&gt;Capa!$A$7,E1574&lt;Capa!$A$5,E1574&gt;Capa!$A$7,D1574&gt;E1574),"Erro","")</f>
        <v/>
      </c>
    </row>
    <row r="1575" spans="1:9" ht="20" hidden="1">
      <c r="A1575" s="345">
        <v>1903</v>
      </c>
      <c r="B1575" s="346" t="s">
        <v>625</v>
      </c>
      <c r="C1575" s="347">
        <v>90</v>
      </c>
      <c r="D1575" s="348">
        <v>45658</v>
      </c>
      <c r="E1575" s="348">
        <v>47058</v>
      </c>
      <c r="F1575" s="346" t="s">
        <v>608</v>
      </c>
      <c r="G1575" s="349" t="s">
        <v>659</v>
      </c>
      <c r="H1575" s="350">
        <f t="shared" si="33"/>
        <v>4230</v>
      </c>
      <c r="I1575" s="120" t="str">
        <f>IF(OR(D1575&lt;Capa!$A$5,D1575&gt;Capa!$A$7,E1575&lt;Capa!$A$5,E1575&gt;Capa!$A$7,D1575&gt;E1575),"Erro","")</f>
        <v/>
      </c>
    </row>
    <row r="1576" spans="1:9" ht="20" hidden="1">
      <c r="A1576" s="345">
        <v>1904</v>
      </c>
      <c r="B1576" s="346" t="s">
        <v>627</v>
      </c>
      <c r="C1576" s="347">
        <v>50</v>
      </c>
      <c r="D1576" s="348">
        <v>45658</v>
      </c>
      <c r="E1576" s="348">
        <v>47058</v>
      </c>
      <c r="F1576" s="346" t="s">
        <v>608</v>
      </c>
      <c r="G1576" s="349" t="s">
        <v>661</v>
      </c>
      <c r="H1576" s="350">
        <f t="shared" si="33"/>
        <v>2350</v>
      </c>
      <c r="I1576" s="120" t="str">
        <f>IF(OR(D1576&lt;Capa!$A$5,D1576&gt;Capa!$A$7,E1576&lt;Capa!$A$5,E1576&gt;Capa!$A$7,D1576&gt;E1576),"Erro","")</f>
        <v/>
      </c>
    </row>
    <row r="1577" spans="1:9" ht="30" hidden="1">
      <c r="A1577" s="345">
        <v>1905</v>
      </c>
      <c r="B1577" s="346" t="s">
        <v>626</v>
      </c>
      <c r="C1577" s="347">
        <v>350</v>
      </c>
      <c r="D1577" s="348">
        <v>45658</v>
      </c>
      <c r="E1577" s="348">
        <v>47058</v>
      </c>
      <c r="F1577" s="346" t="s">
        <v>608</v>
      </c>
      <c r="G1577" s="349" t="s">
        <v>660</v>
      </c>
      <c r="H1577" s="350">
        <f t="shared" si="33"/>
        <v>16450</v>
      </c>
      <c r="I1577" s="120" t="str">
        <f>IF(OR(D1577&lt;Capa!$A$5,D1577&gt;Capa!$A$7,E1577&lt;Capa!$A$5,E1577&gt;Capa!$A$7,D1577&gt;E1577),"Erro","")</f>
        <v/>
      </c>
    </row>
    <row r="1578" spans="1:9" ht="20" hidden="1">
      <c r="A1578" s="345">
        <v>1907</v>
      </c>
      <c r="B1578" s="346" t="s">
        <v>198</v>
      </c>
      <c r="C1578" s="347">
        <v>14710.5</v>
      </c>
      <c r="D1578" s="348">
        <v>45658</v>
      </c>
      <c r="E1578" s="348">
        <v>45992</v>
      </c>
      <c r="F1578" s="346" t="s">
        <v>609</v>
      </c>
      <c r="G1578" s="349" t="s">
        <v>437</v>
      </c>
      <c r="H1578" s="350">
        <f t="shared" si="33"/>
        <v>176526</v>
      </c>
      <c r="I1578" s="120" t="str">
        <f>IF(OR(D1578&lt;Capa!$A$5,D1578&gt;Capa!$A$7,E1578&lt;Capa!$A$5,E1578&gt;Capa!$A$7,D1578&gt;E1578),"Erro","")</f>
        <v/>
      </c>
    </row>
    <row r="1579" spans="1:9" ht="20" hidden="1">
      <c r="A1579" s="345">
        <v>1908</v>
      </c>
      <c r="B1579" s="346" t="s">
        <v>198</v>
      </c>
      <c r="C1579" s="347">
        <v>15446.025</v>
      </c>
      <c r="D1579" s="348">
        <v>46023</v>
      </c>
      <c r="E1579" s="348">
        <v>46357</v>
      </c>
      <c r="F1579" s="346" t="s">
        <v>609</v>
      </c>
      <c r="G1579" s="349" t="s">
        <v>437</v>
      </c>
      <c r="H1579" s="350">
        <f t="shared" si="33"/>
        <v>185352.3</v>
      </c>
      <c r="I1579" s="120" t="str">
        <f>IF(OR(D1579&lt;Capa!$A$5,D1579&gt;Capa!$A$7,E1579&lt;Capa!$A$5,E1579&gt;Capa!$A$7,D1579&gt;E1579),"Erro","")</f>
        <v/>
      </c>
    </row>
    <row r="1580" spans="1:9" ht="20" hidden="1">
      <c r="A1580" s="345">
        <v>1909</v>
      </c>
      <c r="B1580" s="346" t="s">
        <v>198</v>
      </c>
      <c r="C1580" s="347">
        <v>16218.32625</v>
      </c>
      <c r="D1580" s="348">
        <v>46388</v>
      </c>
      <c r="E1580" s="348">
        <v>46722</v>
      </c>
      <c r="F1580" s="346" t="s">
        <v>609</v>
      </c>
      <c r="G1580" s="349" t="s">
        <v>437</v>
      </c>
      <c r="H1580" s="350">
        <f t="shared" si="33"/>
        <v>194619.91500000001</v>
      </c>
      <c r="I1580" s="120" t="str">
        <f>IF(OR(D1580&lt;Capa!$A$5,D1580&gt;Capa!$A$7,E1580&lt;Capa!$A$5,E1580&gt;Capa!$A$7,D1580&gt;E1580),"Erro","")</f>
        <v/>
      </c>
    </row>
    <row r="1581" spans="1:9" ht="20" hidden="1">
      <c r="A1581" s="345">
        <v>1910</v>
      </c>
      <c r="B1581" s="346" t="s">
        <v>198</v>
      </c>
      <c r="C1581" s="347">
        <v>5500</v>
      </c>
      <c r="D1581" s="348">
        <v>46753</v>
      </c>
      <c r="E1581" s="348">
        <v>47058</v>
      </c>
      <c r="F1581" s="346" t="s">
        <v>609</v>
      </c>
      <c r="G1581" s="349" t="s">
        <v>437</v>
      </c>
      <c r="H1581" s="350">
        <f t="shared" si="33"/>
        <v>60500</v>
      </c>
      <c r="I1581" s="120" t="str">
        <f>IF(OR(D1581&lt;Capa!$A$5,D1581&gt;Capa!$A$7,E1581&lt;Capa!$A$5,E1581&gt;Capa!$A$7,D1581&gt;E1581),"Erro","")</f>
        <v/>
      </c>
    </row>
    <row r="1582" spans="1:9" ht="20" hidden="1">
      <c r="A1582" s="345">
        <v>1912</v>
      </c>
      <c r="B1582" s="346" t="s">
        <v>202</v>
      </c>
      <c r="C1582" s="347">
        <v>1500</v>
      </c>
      <c r="D1582" s="348">
        <v>45658</v>
      </c>
      <c r="E1582" s="348">
        <v>45992</v>
      </c>
      <c r="F1582" s="346" t="s">
        <v>609</v>
      </c>
      <c r="G1582" s="349" t="s">
        <v>438</v>
      </c>
      <c r="H1582" s="350">
        <f t="shared" si="33"/>
        <v>18000</v>
      </c>
      <c r="I1582" s="120" t="str">
        <f>IF(OR(D1582&lt;Capa!$A$5,D1582&gt;Capa!$A$7,E1582&lt;Capa!$A$5,E1582&gt;Capa!$A$7,D1582&gt;E1582),"Erro","")</f>
        <v/>
      </c>
    </row>
    <row r="1583" spans="1:9" ht="20" hidden="1">
      <c r="A1583" s="345">
        <v>1913</v>
      </c>
      <c r="B1583" s="346" t="s">
        <v>202</v>
      </c>
      <c r="C1583" s="347">
        <v>1300</v>
      </c>
      <c r="D1583" s="348">
        <v>46023</v>
      </c>
      <c r="E1583" s="348">
        <v>46357</v>
      </c>
      <c r="F1583" s="346" t="s">
        <v>609</v>
      </c>
      <c r="G1583" s="349" t="s">
        <v>438</v>
      </c>
      <c r="H1583" s="350">
        <f t="shared" si="33"/>
        <v>15600</v>
      </c>
      <c r="I1583" s="120" t="str">
        <f>IF(OR(D1583&lt;Capa!$A$5,D1583&gt;Capa!$A$7,E1583&lt;Capa!$A$5,E1583&gt;Capa!$A$7,D1583&gt;E1583),"Erro","")</f>
        <v/>
      </c>
    </row>
    <row r="1584" spans="1:9" ht="20" hidden="1">
      <c r="A1584" s="345">
        <v>1914</v>
      </c>
      <c r="B1584" s="346" t="s">
        <v>202</v>
      </c>
      <c r="C1584" s="347">
        <v>1300</v>
      </c>
      <c r="D1584" s="348">
        <v>46388</v>
      </c>
      <c r="E1584" s="348">
        <v>46722</v>
      </c>
      <c r="F1584" s="346" t="s">
        <v>609</v>
      </c>
      <c r="G1584" s="349" t="s">
        <v>438</v>
      </c>
      <c r="H1584" s="350">
        <f t="shared" si="33"/>
        <v>15600</v>
      </c>
      <c r="I1584" s="120" t="str">
        <f>IF(OR(D1584&lt;Capa!$A$5,D1584&gt;Capa!$A$7,E1584&lt;Capa!$A$5,E1584&gt;Capa!$A$7,D1584&gt;E1584),"Erro","")</f>
        <v/>
      </c>
    </row>
    <row r="1585" spans="1:9" ht="20" hidden="1">
      <c r="A1585" s="345">
        <v>1915</v>
      </c>
      <c r="B1585" s="346" t="s">
        <v>202</v>
      </c>
      <c r="C1585" s="347">
        <v>750</v>
      </c>
      <c r="D1585" s="348">
        <v>46753</v>
      </c>
      <c r="E1585" s="348">
        <v>47058</v>
      </c>
      <c r="F1585" s="346" t="s">
        <v>609</v>
      </c>
      <c r="G1585" s="349" t="s">
        <v>438</v>
      </c>
      <c r="H1585" s="350">
        <f t="shared" si="33"/>
        <v>8250</v>
      </c>
      <c r="I1585" s="120" t="str">
        <f>IF(OR(D1585&lt;Capa!$A$5,D1585&gt;Capa!$A$7,E1585&lt;Capa!$A$5,E1585&gt;Capa!$A$7,D1585&gt;E1585),"Erro","")</f>
        <v/>
      </c>
    </row>
    <row r="1586" spans="1:9" ht="20" hidden="1">
      <c r="A1586" s="345">
        <v>1916</v>
      </c>
      <c r="B1586" s="346" t="s">
        <v>204</v>
      </c>
      <c r="C1586" s="347">
        <v>1250</v>
      </c>
      <c r="D1586" s="348">
        <v>45658</v>
      </c>
      <c r="E1586" s="348">
        <v>45717</v>
      </c>
      <c r="F1586" s="346" t="s">
        <v>609</v>
      </c>
      <c r="G1586" s="349" t="s">
        <v>438</v>
      </c>
      <c r="H1586" s="350">
        <f t="shared" si="33"/>
        <v>3750</v>
      </c>
      <c r="I1586" s="120" t="str">
        <f>IF(OR(D1586&lt;Capa!$A$5,D1586&gt;Capa!$A$7,E1586&lt;Capa!$A$5,E1586&gt;Capa!$A$7,D1586&gt;E1586),"Erro","")</f>
        <v/>
      </c>
    </row>
    <row r="1587" spans="1:9" ht="20" hidden="1">
      <c r="A1587" s="345">
        <v>1917</v>
      </c>
      <c r="B1587" s="346" t="s">
        <v>204</v>
      </c>
      <c r="C1587" s="347">
        <v>1250</v>
      </c>
      <c r="D1587" s="348">
        <v>46023</v>
      </c>
      <c r="E1587" s="348">
        <v>46082</v>
      </c>
      <c r="F1587" s="346" t="s">
        <v>609</v>
      </c>
      <c r="G1587" s="349" t="s">
        <v>438</v>
      </c>
      <c r="H1587" s="350">
        <f t="shared" si="33"/>
        <v>3750</v>
      </c>
      <c r="I1587" s="120" t="str">
        <f>IF(OR(D1587&lt;Capa!$A$5,D1587&gt;Capa!$A$7,E1587&lt;Capa!$A$5,E1587&gt;Capa!$A$7,D1587&gt;E1587),"Erro","")</f>
        <v/>
      </c>
    </row>
    <row r="1588" spans="1:9" ht="20" hidden="1">
      <c r="A1588" s="345">
        <v>1918</v>
      </c>
      <c r="B1588" s="346" t="s">
        <v>204</v>
      </c>
      <c r="C1588" s="347">
        <v>1250</v>
      </c>
      <c r="D1588" s="348">
        <v>46388</v>
      </c>
      <c r="E1588" s="348">
        <v>46447</v>
      </c>
      <c r="F1588" s="346" t="s">
        <v>609</v>
      </c>
      <c r="G1588" s="349" t="s">
        <v>438</v>
      </c>
      <c r="H1588" s="350">
        <f t="shared" si="33"/>
        <v>3750</v>
      </c>
      <c r="I1588" s="120" t="str">
        <f>IF(OR(D1588&lt;Capa!$A$5,D1588&gt;Capa!$A$7,E1588&lt;Capa!$A$5,E1588&gt;Capa!$A$7,D1588&gt;E1588),"Erro","")</f>
        <v/>
      </c>
    </row>
    <row r="1589" spans="1:9" ht="20" hidden="1">
      <c r="A1589" s="345">
        <v>1919</v>
      </c>
      <c r="B1589" s="346" t="s">
        <v>204</v>
      </c>
      <c r="C1589" s="347">
        <v>780</v>
      </c>
      <c r="D1589" s="348">
        <v>46753</v>
      </c>
      <c r="E1589" s="348">
        <v>46813</v>
      </c>
      <c r="F1589" s="346" t="s">
        <v>609</v>
      </c>
      <c r="G1589" s="349" t="s">
        <v>438</v>
      </c>
      <c r="H1589" s="350">
        <f t="shared" si="33"/>
        <v>2340</v>
      </c>
      <c r="I1589" s="120" t="str">
        <f>IF(OR(D1589&lt;Capa!$A$5,D1589&gt;Capa!$A$7,E1589&lt;Capa!$A$5,E1589&gt;Capa!$A$7,D1589&gt;E1589),"Erro","")</f>
        <v/>
      </c>
    </row>
    <row r="1590" spans="1:9" ht="20" hidden="1">
      <c r="A1590" s="345">
        <v>1921</v>
      </c>
      <c r="B1590" s="346" t="s">
        <v>206</v>
      </c>
      <c r="C1590" s="347">
        <v>1200</v>
      </c>
      <c r="D1590" s="348">
        <v>45658</v>
      </c>
      <c r="E1590" s="348">
        <v>45992</v>
      </c>
      <c r="F1590" s="346" t="s">
        <v>609</v>
      </c>
      <c r="G1590" s="349" t="s">
        <v>439</v>
      </c>
      <c r="H1590" s="350">
        <f t="shared" si="33"/>
        <v>14400</v>
      </c>
      <c r="I1590" s="120" t="str">
        <f>IF(OR(D1590&lt;Capa!$A$5,D1590&gt;Capa!$A$7,E1590&lt;Capa!$A$5,E1590&gt;Capa!$A$7,D1590&gt;E1590),"Erro","")</f>
        <v/>
      </c>
    </row>
    <row r="1591" spans="1:9" ht="20" hidden="1">
      <c r="A1591" s="345">
        <v>1922</v>
      </c>
      <c r="B1591" s="346" t="s">
        <v>206</v>
      </c>
      <c r="C1591" s="347">
        <v>1200</v>
      </c>
      <c r="D1591" s="348">
        <v>46023</v>
      </c>
      <c r="E1591" s="348">
        <v>46357</v>
      </c>
      <c r="F1591" s="346" t="s">
        <v>609</v>
      </c>
      <c r="G1591" s="349" t="s">
        <v>439</v>
      </c>
      <c r="H1591" s="350">
        <f t="shared" si="33"/>
        <v>14400</v>
      </c>
      <c r="I1591" s="120" t="str">
        <f>IF(OR(D1591&lt;Capa!$A$5,D1591&gt;Capa!$A$7,E1591&lt;Capa!$A$5,E1591&gt;Capa!$A$7,D1591&gt;E1591),"Erro","")</f>
        <v/>
      </c>
    </row>
    <row r="1592" spans="1:9" ht="20" hidden="1">
      <c r="A1592" s="345">
        <v>1923</v>
      </c>
      <c r="B1592" s="346" t="s">
        <v>206</v>
      </c>
      <c r="C1592" s="347">
        <v>1200</v>
      </c>
      <c r="D1592" s="348">
        <v>46388</v>
      </c>
      <c r="E1592" s="348">
        <v>46722</v>
      </c>
      <c r="F1592" s="346" t="s">
        <v>609</v>
      </c>
      <c r="G1592" s="349" t="s">
        <v>439</v>
      </c>
      <c r="H1592" s="350">
        <f t="shared" si="33"/>
        <v>14400</v>
      </c>
      <c r="I1592" s="120" t="str">
        <f>IF(OR(D1592&lt;Capa!$A$5,D1592&gt;Capa!$A$7,E1592&lt;Capa!$A$5,E1592&gt;Capa!$A$7,D1592&gt;E1592),"Erro","")</f>
        <v/>
      </c>
    </row>
    <row r="1593" spans="1:9" ht="20" hidden="1">
      <c r="A1593" s="345">
        <v>1924</v>
      </c>
      <c r="B1593" s="346" t="s">
        <v>206</v>
      </c>
      <c r="C1593" s="347">
        <v>600</v>
      </c>
      <c r="D1593" s="348">
        <v>46753</v>
      </c>
      <c r="E1593" s="348">
        <v>47058</v>
      </c>
      <c r="F1593" s="346" t="s">
        <v>609</v>
      </c>
      <c r="G1593" s="349" t="s">
        <v>439</v>
      </c>
      <c r="H1593" s="350">
        <f t="shared" si="33"/>
        <v>6600</v>
      </c>
      <c r="I1593" s="120" t="str">
        <f>IF(OR(D1593&lt;Capa!$A$5,D1593&gt;Capa!$A$7,E1593&lt;Capa!$A$5,E1593&gt;Capa!$A$7,D1593&gt;E1593),"Erro","")</f>
        <v/>
      </c>
    </row>
    <row r="1594" spans="1:9" ht="20" hidden="1">
      <c r="A1594" s="345">
        <v>1926</v>
      </c>
      <c r="B1594" s="346" t="s">
        <v>208</v>
      </c>
      <c r="C1594" s="347">
        <v>850</v>
      </c>
      <c r="D1594" s="348">
        <v>45658</v>
      </c>
      <c r="E1594" s="348">
        <v>45992</v>
      </c>
      <c r="F1594" s="346" t="s">
        <v>609</v>
      </c>
      <c r="G1594" s="349" t="s">
        <v>439</v>
      </c>
      <c r="H1594" s="350">
        <f t="shared" si="33"/>
        <v>10200</v>
      </c>
      <c r="I1594" s="120" t="str">
        <f>IF(OR(D1594&lt;Capa!$A$5,D1594&gt;Capa!$A$7,E1594&lt;Capa!$A$5,E1594&gt;Capa!$A$7,D1594&gt;E1594),"Erro","")</f>
        <v/>
      </c>
    </row>
    <row r="1595" spans="1:9" ht="20" hidden="1">
      <c r="A1595" s="345">
        <v>1927</v>
      </c>
      <c r="B1595" s="346" t="s">
        <v>208</v>
      </c>
      <c r="C1595" s="347">
        <v>850</v>
      </c>
      <c r="D1595" s="348">
        <v>46023</v>
      </c>
      <c r="E1595" s="348">
        <v>46357</v>
      </c>
      <c r="F1595" s="346" t="s">
        <v>609</v>
      </c>
      <c r="G1595" s="349" t="s">
        <v>439</v>
      </c>
      <c r="H1595" s="350">
        <f t="shared" ref="H1595:H1645" si="34">IFERROR((DATEDIF(D1595,E1595,"M")+1)*C1595,0)</f>
        <v>10200</v>
      </c>
      <c r="I1595" s="120" t="str">
        <f>IF(OR(D1595&lt;Capa!$A$5,D1595&gt;Capa!$A$7,E1595&lt;Capa!$A$5,E1595&gt;Capa!$A$7,D1595&gt;E1595),"Erro","")</f>
        <v/>
      </c>
    </row>
    <row r="1596" spans="1:9" ht="20" hidden="1">
      <c r="A1596" s="345">
        <v>1928</v>
      </c>
      <c r="B1596" s="346" t="s">
        <v>208</v>
      </c>
      <c r="C1596" s="347">
        <v>850</v>
      </c>
      <c r="D1596" s="348">
        <v>46388</v>
      </c>
      <c r="E1596" s="348">
        <v>46722</v>
      </c>
      <c r="F1596" s="346" t="s">
        <v>609</v>
      </c>
      <c r="G1596" s="349" t="s">
        <v>439</v>
      </c>
      <c r="H1596" s="350">
        <f t="shared" si="34"/>
        <v>10200</v>
      </c>
      <c r="I1596" s="120" t="str">
        <f>IF(OR(D1596&lt;Capa!$A$5,D1596&gt;Capa!$A$7,E1596&lt;Capa!$A$5,E1596&gt;Capa!$A$7,D1596&gt;E1596),"Erro","")</f>
        <v/>
      </c>
    </row>
    <row r="1597" spans="1:9" ht="20" hidden="1">
      <c r="A1597" s="345">
        <v>1929</v>
      </c>
      <c r="B1597" s="346" t="s">
        <v>208</v>
      </c>
      <c r="C1597" s="347">
        <v>400</v>
      </c>
      <c r="D1597" s="348">
        <v>46753</v>
      </c>
      <c r="E1597" s="348">
        <v>47058</v>
      </c>
      <c r="F1597" s="346" t="s">
        <v>609</v>
      </c>
      <c r="G1597" s="349" t="s">
        <v>439</v>
      </c>
      <c r="H1597" s="350">
        <f t="shared" si="34"/>
        <v>4400</v>
      </c>
      <c r="I1597" s="120" t="str">
        <f>IF(OR(D1597&lt;Capa!$A$5,D1597&gt;Capa!$A$7,E1597&lt;Capa!$A$5,E1597&gt;Capa!$A$7,D1597&gt;E1597),"Erro","")</f>
        <v/>
      </c>
    </row>
    <row r="1598" spans="1:9" ht="20" hidden="1">
      <c r="A1598" s="345">
        <v>1931</v>
      </c>
      <c r="B1598" s="346" t="s">
        <v>210</v>
      </c>
      <c r="C1598" s="347">
        <v>60</v>
      </c>
      <c r="D1598" s="348">
        <v>45658</v>
      </c>
      <c r="E1598" s="348">
        <v>45992</v>
      </c>
      <c r="F1598" s="346" t="s">
        <v>609</v>
      </c>
      <c r="G1598" s="349" t="s">
        <v>439</v>
      </c>
      <c r="H1598" s="350">
        <f t="shared" si="34"/>
        <v>720</v>
      </c>
      <c r="I1598" s="120" t="str">
        <f>IF(OR(D1598&lt;Capa!$A$5,D1598&gt;Capa!$A$7,E1598&lt;Capa!$A$5,E1598&gt;Capa!$A$7,D1598&gt;E1598),"Erro","")</f>
        <v/>
      </c>
    </row>
    <row r="1599" spans="1:9" ht="20" hidden="1">
      <c r="A1599" s="345">
        <v>1932</v>
      </c>
      <c r="B1599" s="346" t="s">
        <v>210</v>
      </c>
      <c r="C1599" s="347">
        <v>60</v>
      </c>
      <c r="D1599" s="348">
        <v>46023</v>
      </c>
      <c r="E1599" s="348">
        <v>46357</v>
      </c>
      <c r="F1599" s="346" t="s">
        <v>609</v>
      </c>
      <c r="G1599" s="349" t="s">
        <v>439</v>
      </c>
      <c r="H1599" s="350">
        <f t="shared" si="34"/>
        <v>720</v>
      </c>
      <c r="I1599" s="120" t="str">
        <f>IF(OR(D1599&lt;Capa!$A$5,D1599&gt;Capa!$A$7,E1599&lt;Capa!$A$5,E1599&gt;Capa!$A$7,D1599&gt;E1599),"Erro","")</f>
        <v/>
      </c>
    </row>
    <row r="1600" spans="1:9" ht="20" hidden="1">
      <c r="A1600" s="345">
        <v>1933</v>
      </c>
      <c r="B1600" s="346" t="s">
        <v>210</v>
      </c>
      <c r="C1600" s="347">
        <v>60</v>
      </c>
      <c r="D1600" s="348">
        <v>46388</v>
      </c>
      <c r="E1600" s="348">
        <v>46722</v>
      </c>
      <c r="F1600" s="346" t="s">
        <v>609</v>
      </c>
      <c r="G1600" s="349" t="s">
        <v>439</v>
      </c>
      <c r="H1600" s="350">
        <f t="shared" si="34"/>
        <v>720</v>
      </c>
      <c r="I1600" s="120" t="str">
        <f>IF(OR(D1600&lt;Capa!$A$5,D1600&gt;Capa!$A$7,E1600&lt;Capa!$A$5,E1600&gt;Capa!$A$7,D1600&gt;E1600),"Erro","")</f>
        <v/>
      </c>
    </row>
    <row r="1601" spans="1:9" ht="20" hidden="1">
      <c r="A1601" s="345">
        <v>1934</v>
      </c>
      <c r="B1601" s="346" t="s">
        <v>210</v>
      </c>
      <c r="C1601" s="347">
        <v>49</v>
      </c>
      <c r="D1601" s="348">
        <v>46753</v>
      </c>
      <c r="E1601" s="348">
        <v>47058</v>
      </c>
      <c r="F1601" s="346" t="s">
        <v>609</v>
      </c>
      <c r="G1601" s="349" t="s">
        <v>439</v>
      </c>
      <c r="H1601" s="350">
        <f t="shared" si="34"/>
        <v>539</v>
      </c>
      <c r="I1601" s="120" t="str">
        <f>IF(OR(D1601&lt;Capa!$A$5,D1601&gt;Capa!$A$7,E1601&lt;Capa!$A$5,E1601&gt;Capa!$A$7,D1601&gt;E1601),"Erro","")</f>
        <v/>
      </c>
    </row>
    <row r="1602" spans="1:9" ht="20" hidden="1">
      <c r="A1602" s="345">
        <v>1936</v>
      </c>
      <c r="B1602" s="346" t="s">
        <v>214</v>
      </c>
      <c r="C1602" s="347">
        <v>140</v>
      </c>
      <c r="D1602" s="348">
        <v>45658</v>
      </c>
      <c r="E1602" s="348">
        <v>45992</v>
      </c>
      <c r="F1602" s="346" t="s">
        <v>609</v>
      </c>
      <c r="G1602" s="349" t="s">
        <v>439</v>
      </c>
      <c r="H1602" s="350">
        <f t="shared" si="34"/>
        <v>1680</v>
      </c>
      <c r="I1602" s="120" t="str">
        <f>IF(OR(D1602&lt;Capa!$A$5,D1602&gt;Capa!$A$7,E1602&lt;Capa!$A$5,E1602&gt;Capa!$A$7,D1602&gt;E1602),"Erro","")</f>
        <v/>
      </c>
    </row>
    <row r="1603" spans="1:9" ht="20" hidden="1">
      <c r="A1603" s="345">
        <v>1937</v>
      </c>
      <c r="B1603" s="346" t="s">
        <v>214</v>
      </c>
      <c r="C1603" s="347">
        <v>140</v>
      </c>
      <c r="D1603" s="348">
        <v>46023</v>
      </c>
      <c r="E1603" s="348">
        <v>46357</v>
      </c>
      <c r="F1603" s="346" t="s">
        <v>609</v>
      </c>
      <c r="G1603" s="349" t="s">
        <v>439</v>
      </c>
      <c r="H1603" s="350">
        <f t="shared" si="34"/>
        <v>1680</v>
      </c>
      <c r="I1603" s="120" t="str">
        <f>IF(OR(D1603&lt;Capa!$A$5,D1603&gt;Capa!$A$7,E1603&lt;Capa!$A$5,E1603&gt;Capa!$A$7,D1603&gt;E1603),"Erro","")</f>
        <v/>
      </c>
    </row>
    <row r="1604" spans="1:9" ht="20" hidden="1">
      <c r="A1604" s="345">
        <v>1938</v>
      </c>
      <c r="B1604" s="346" t="s">
        <v>214</v>
      </c>
      <c r="C1604" s="347">
        <v>140</v>
      </c>
      <c r="D1604" s="348">
        <v>46388</v>
      </c>
      <c r="E1604" s="348">
        <v>46722</v>
      </c>
      <c r="F1604" s="346" t="s">
        <v>609</v>
      </c>
      <c r="G1604" s="349" t="s">
        <v>439</v>
      </c>
      <c r="H1604" s="350">
        <f t="shared" si="34"/>
        <v>1680</v>
      </c>
      <c r="I1604" s="120" t="str">
        <f>IF(OR(D1604&lt;Capa!$A$5,D1604&gt;Capa!$A$7,E1604&lt;Capa!$A$5,E1604&gt;Capa!$A$7,D1604&gt;E1604),"Erro","")</f>
        <v/>
      </c>
    </row>
    <row r="1605" spans="1:9" ht="20" hidden="1">
      <c r="A1605" s="345">
        <v>1939</v>
      </c>
      <c r="B1605" s="346" t="s">
        <v>214</v>
      </c>
      <c r="C1605" s="347">
        <v>70</v>
      </c>
      <c r="D1605" s="348">
        <v>46753</v>
      </c>
      <c r="E1605" s="348">
        <v>47058</v>
      </c>
      <c r="F1605" s="346" t="s">
        <v>609</v>
      </c>
      <c r="G1605" s="349" t="s">
        <v>439</v>
      </c>
      <c r="H1605" s="350">
        <f t="shared" si="34"/>
        <v>770</v>
      </c>
      <c r="I1605" s="120" t="str">
        <f>IF(OR(D1605&lt;Capa!$A$5,D1605&gt;Capa!$A$7,E1605&lt;Capa!$A$5,E1605&gt;Capa!$A$7,D1605&gt;E1605),"Erro","")</f>
        <v/>
      </c>
    </row>
    <row r="1606" spans="1:9" ht="20" hidden="1">
      <c r="A1606" s="345">
        <v>1941</v>
      </c>
      <c r="B1606" s="346" t="s">
        <v>212</v>
      </c>
      <c r="C1606" s="347">
        <v>260</v>
      </c>
      <c r="D1606" s="348">
        <v>45658</v>
      </c>
      <c r="E1606" s="348">
        <v>45992</v>
      </c>
      <c r="F1606" s="346" t="s">
        <v>609</v>
      </c>
      <c r="G1606" s="349" t="s">
        <v>439</v>
      </c>
      <c r="H1606" s="350">
        <f t="shared" si="34"/>
        <v>3120</v>
      </c>
      <c r="I1606" s="120" t="str">
        <f>IF(OR(D1606&lt;Capa!$A$5,D1606&gt;Capa!$A$7,E1606&lt;Capa!$A$5,E1606&gt;Capa!$A$7,D1606&gt;E1606),"Erro","")</f>
        <v/>
      </c>
    </row>
    <row r="1607" spans="1:9" ht="20" hidden="1">
      <c r="A1607" s="345">
        <v>1942</v>
      </c>
      <c r="B1607" s="346" t="s">
        <v>212</v>
      </c>
      <c r="C1607" s="347">
        <v>260</v>
      </c>
      <c r="D1607" s="348">
        <v>46023</v>
      </c>
      <c r="E1607" s="348">
        <v>46357</v>
      </c>
      <c r="F1607" s="346" t="s">
        <v>609</v>
      </c>
      <c r="G1607" s="349" t="s">
        <v>439</v>
      </c>
      <c r="H1607" s="350">
        <f t="shared" si="34"/>
        <v>3120</v>
      </c>
      <c r="I1607" s="120" t="str">
        <f>IF(OR(D1607&lt;Capa!$A$5,D1607&gt;Capa!$A$7,E1607&lt;Capa!$A$5,E1607&gt;Capa!$A$7,D1607&gt;E1607),"Erro","")</f>
        <v/>
      </c>
    </row>
    <row r="1608" spans="1:9" ht="20" hidden="1">
      <c r="A1608" s="345">
        <v>1943</v>
      </c>
      <c r="B1608" s="346" t="s">
        <v>212</v>
      </c>
      <c r="C1608" s="347">
        <v>260</v>
      </c>
      <c r="D1608" s="348">
        <v>46388</v>
      </c>
      <c r="E1608" s="348">
        <v>46722</v>
      </c>
      <c r="F1608" s="346" t="s">
        <v>609</v>
      </c>
      <c r="G1608" s="349" t="s">
        <v>439</v>
      </c>
      <c r="H1608" s="350">
        <f t="shared" si="34"/>
        <v>3120</v>
      </c>
      <c r="I1608" s="120" t="str">
        <f>IF(OR(D1608&lt;Capa!$A$5,D1608&gt;Capa!$A$7,E1608&lt;Capa!$A$5,E1608&gt;Capa!$A$7,D1608&gt;E1608),"Erro","")</f>
        <v/>
      </c>
    </row>
    <row r="1609" spans="1:9" ht="20" hidden="1">
      <c r="A1609" s="345">
        <v>1944</v>
      </c>
      <c r="B1609" s="346" t="s">
        <v>212</v>
      </c>
      <c r="C1609" s="347">
        <v>220</v>
      </c>
      <c r="D1609" s="348">
        <v>46753</v>
      </c>
      <c r="E1609" s="348">
        <v>47058</v>
      </c>
      <c r="F1609" s="346" t="s">
        <v>609</v>
      </c>
      <c r="G1609" s="349" t="s">
        <v>439</v>
      </c>
      <c r="H1609" s="350">
        <f t="shared" si="34"/>
        <v>2420</v>
      </c>
      <c r="I1609" s="120" t="str">
        <f>IF(OR(D1609&lt;Capa!$A$5,D1609&gt;Capa!$A$7,E1609&lt;Capa!$A$5,E1609&gt;Capa!$A$7,D1609&gt;E1609),"Erro","")</f>
        <v/>
      </c>
    </row>
    <row r="1610" spans="1:9" ht="40" hidden="1">
      <c r="A1610" s="345">
        <v>1945</v>
      </c>
      <c r="B1610" s="346" t="s">
        <v>248</v>
      </c>
      <c r="C1610" s="347">
        <v>846</v>
      </c>
      <c r="D1610" s="348">
        <v>45658</v>
      </c>
      <c r="E1610" s="348">
        <v>45809</v>
      </c>
      <c r="F1610" s="346" t="s">
        <v>609</v>
      </c>
      <c r="G1610" s="349" t="s">
        <v>440</v>
      </c>
      <c r="H1610" s="350">
        <f t="shared" si="34"/>
        <v>5076</v>
      </c>
      <c r="I1610" s="120" t="str">
        <f>IF(OR(D1610&lt;Capa!$A$5,D1610&gt;Capa!$A$7,E1610&lt;Capa!$A$5,E1610&gt;Capa!$A$7,D1610&gt;E1610),"Erro","")</f>
        <v/>
      </c>
    </row>
    <row r="1611" spans="1:9" ht="40" hidden="1">
      <c r="A1611" s="345">
        <v>1946</v>
      </c>
      <c r="B1611" s="346" t="s">
        <v>248</v>
      </c>
      <c r="C1611" s="347">
        <v>846</v>
      </c>
      <c r="D1611" s="348">
        <v>46023</v>
      </c>
      <c r="E1611" s="348">
        <v>46174</v>
      </c>
      <c r="F1611" s="346" t="s">
        <v>609</v>
      </c>
      <c r="G1611" s="349" t="s">
        <v>440</v>
      </c>
      <c r="H1611" s="350">
        <f t="shared" si="34"/>
        <v>5076</v>
      </c>
      <c r="I1611" s="120" t="str">
        <f>IF(OR(D1611&lt;Capa!$A$5,D1611&gt;Capa!$A$7,E1611&lt;Capa!$A$5,E1611&gt;Capa!$A$7,D1611&gt;E1611),"Erro","")</f>
        <v/>
      </c>
    </row>
    <row r="1612" spans="1:9" ht="40" hidden="1">
      <c r="A1612" s="345">
        <v>1947</v>
      </c>
      <c r="B1612" s="346" t="s">
        <v>248</v>
      </c>
      <c r="C1612" s="347">
        <v>846</v>
      </c>
      <c r="D1612" s="348">
        <v>46388</v>
      </c>
      <c r="E1612" s="348">
        <v>46539</v>
      </c>
      <c r="F1612" s="346" t="s">
        <v>609</v>
      </c>
      <c r="G1612" s="349" t="s">
        <v>440</v>
      </c>
      <c r="H1612" s="350">
        <f t="shared" si="34"/>
        <v>5076</v>
      </c>
      <c r="I1612" s="120" t="str">
        <f>IF(OR(D1612&lt;Capa!$A$5,D1612&gt;Capa!$A$7,E1612&lt;Capa!$A$5,E1612&gt;Capa!$A$7,D1612&gt;E1612),"Erro","")</f>
        <v/>
      </c>
    </row>
    <row r="1613" spans="1:9" ht="40" hidden="1">
      <c r="A1613" s="345">
        <v>1948</v>
      </c>
      <c r="B1613" s="346" t="s">
        <v>248</v>
      </c>
      <c r="C1613" s="347">
        <v>500</v>
      </c>
      <c r="D1613" s="348">
        <v>46753</v>
      </c>
      <c r="E1613" s="348">
        <v>46905</v>
      </c>
      <c r="F1613" s="346" t="s">
        <v>609</v>
      </c>
      <c r="G1613" s="349" t="s">
        <v>440</v>
      </c>
      <c r="H1613" s="350">
        <f t="shared" si="34"/>
        <v>3000</v>
      </c>
      <c r="I1613" s="120" t="str">
        <f>IF(OR(D1613&lt;Capa!$A$5,D1613&gt;Capa!$A$7,E1613&lt;Capa!$A$5,E1613&gt;Capa!$A$7,D1613&gt;E1613),"Erro","")</f>
        <v/>
      </c>
    </row>
    <row r="1614" spans="1:9" ht="30" hidden="1">
      <c r="A1614" s="345">
        <v>1949</v>
      </c>
      <c r="B1614" s="346" t="s">
        <v>266</v>
      </c>
      <c r="C1614" s="347">
        <v>1500</v>
      </c>
      <c r="D1614" s="348">
        <v>45658</v>
      </c>
      <c r="E1614" s="348">
        <v>45658</v>
      </c>
      <c r="F1614" s="346" t="s">
        <v>609</v>
      </c>
      <c r="G1614" s="349" t="s">
        <v>441</v>
      </c>
      <c r="H1614" s="350">
        <f t="shared" si="34"/>
        <v>1500</v>
      </c>
      <c r="I1614" s="120" t="str">
        <f>IF(OR(D1614&lt;Capa!$A$5,D1614&gt;Capa!$A$7,E1614&lt;Capa!$A$5,E1614&gt;Capa!$A$7,D1614&gt;E1614),"Erro","")</f>
        <v/>
      </c>
    </row>
    <row r="1615" spans="1:9" ht="30" hidden="1">
      <c r="A1615" s="345">
        <v>1950</v>
      </c>
      <c r="B1615" s="346" t="s">
        <v>266</v>
      </c>
      <c r="C1615" s="347">
        <v>1500</v>
      </c>
      <c r="D1615" s="348">
        <v>46023</v>
      </c>
      <c r="E1615" s="348">
        <v>46023</v>
      </c>
      <c r="F1615" s="346" t="s">
        <v>609</v>
      </c>
      <c r="G1615" s="349" t="s">
        <v>441</v>
      </c>
      <c r="H1615" s="350">
        <f t="shared" si="34"/>
        <v>1500</v>
      </c>
      <c r="I1615" s="120" t="str">
        <f>IF(OR(D1615&lt;Capa!$A$5,D1615&gt;Capa!$A$7,E1615&lt;Capa!$A$5,E1615&gt;Capa!$A$7,D1615&gt;E1615),"Erro","")</f>
        <v/>
      </c>
    </row>
    <row r="1616" spans="1:9" ht="30" hidden="1">
      <c r="A1616" s="345">
        <v>1951</v>
      </c>
      <c r="B1616" s="346" t="s">
        <v>266</v>
      </c>
      <c r="C1616" s="347">
        <v>1500</v>
      </c>
      <c r="D1616" s="348">
        <v>46388</v>
      </c>
      <c r="E1616" s="348">
        <v>46388</v>
      </c>
      <c r="F1616" s="346" t="s">
        <v>609</v>
      </c>
      <c r="G1616" s="349" t="s">
        <v>441</v>
      </c>
      <c r="H1616" s="350">
        <f t="shared" si="34"/>
        <v>1500</v>
      </c>
      <c r="I1616" s="120" t="str">
        <f>IF(OR(D1616&lt;Capa!$A$5,D1616&gt;Capa!$A$7,E1616&lt;Capa!$A$5,E1616&gt;Capa!$A$7,D1616&gt;E1616),"Erro","")</f>
        <v/>
      </c>
    </row>
    <row r="1617" spans="1:9" ht="30" hidden="1">
      <c r="A1617" s="345">
        <v>1952</v>
      </c>
      <c r="B1617" s="346" t="s">
        <v>266</v>
      </c>
      <c r="C1617" s="347">
        <v>750</v>
      </c>
      <c r="D1617" s="348">
        <v>46753</v>
      </c>
      <c r="E1617" s="348">
        <v>46753</v>
      </c>
      <c r="F1617" s="346" t="s">
        <v>609</v>
      </c>
      <c r="G1617" s="349" t="s">
        <v>441</v>
      </c>
      <c r="H1617" s="350">
        <f t="shared" si="34"/>
        <v>750</v>
      </c>
      <c r="I1617" s="120" t="str">
        <f>IF(OR(D1617&lt;Capa!$A$5,D1617&gt;Capa!$A$7,E1617&lt;Capa!$A$5,E1617&gt;Capa!$A$7,D1617&gt;E1617),"Erro","")</f>
        <v/>
      </c>
    </row>
    <row r="1618" spans="1:9" hidden="1">
      <c r="A1618" s="345">
        <v>1954</v>
      </c>
      <c r="B1618" s="346" t="s">
        <v>274</v>
      </c>
      <c r="C1618" s="347">
        <v>850</v>
      </c>
      <c r="D1618" s="348">
        <v>45658</v>
      </c>
      <c r="E1618" s="348">
        <v>45992</v>
      </c>
      <c r="F1618" s="346" t="s">
        <v>609</v>
      </c>
      <c r="G1618" s="349" t="s">
        <v>442</v>
      </c>
      <c r="H1618" s="350">
        <f t="shared" si="34"/>
        <v>10200</v>
      </c>
      <c r="I1618" s="120" t="str">
        <f>IF(OR(D1618&lt;Capa!$A$5,D1618&gt;Capa!$A$7,E1618&lt;Capa!$A$5,E1618&gt;Capa!$A$7,D1618&gt;E1618),"Erro","")</f>
        <v/>
      </c>
    </row>
    <row r="1619" spans="1:9" hidden="1">
      <c r="A1619" s="345">
        <v>1955</v>
      </c>
      <c r="B1619" s="346" t="s">
        <v>274</v>
      </c>
      <c r="C1619" s="347">
        <v>850</v>
      </c>
      <c r="D1619" s="348">
        <v>46023</v>
      </c>
      <c r="E1619" s="348">
        <v>46357</v>
      </c>
      <c r="F1619" s="346" t="s">
        <v>609</v>
      </c>
      <c r="G1619" s="349" t="s">
        <v>442</v>
      </c>
      <c r="H1619" s="350">
        <f t="shared" si="34"/>
        <v>10200</v>
      </c>
      <c r="I1619" s="120" t="str">
        <f>IF(OR(D1619&lt;Capa!$A$5,D1619&gt;Capa!$A$7,E1619&lt;Capa!$A$5,E1619&gt;Capa!$A$7,D1619&gt;E1619),"Erro","")</f>
        <v/>
      </c>
    </row>
    <row r="1620" spans="1:9" hidden="1">
      <c r="A1620" s="345">
        <v>1956</v>
      </c>
      <c r="B1620" s="346" t="s">
        <v>274</v>
      </c>
      <c r="C1620" s="347">
        <v>850</v>
      </c>
      <c r="D1620" s="348">
        <v>46388</v>
      </c>
      <c r="E1620" s="348">
        <v>46722</v>
      </c>
      <c r="F1620" s="346" t="s">
        <v>609</v>
      </c>
      <c r="G1620" s="349" t="s">
        <v>442</v>
      </c>
      <c r="H1620" s="350">
        <f t="shared" si="34"/>
        <v>10200</v>
      </c>
      <c r="I1620" s="120" t="str">
        <f>IF(OR(D1620&lt;Capa!$A$5,D1620&gt;Capa!$A$7,E1620&lt;Capa!$A$5,E1620&gt;Capa!$A$7,D1620&gt;E1620),"Erro","")</f>
        <v/>
      </c>
    </row>
    <row r="1621" spans="1:9" hidden="1">
      <c r="A1621" s="345">
        <v>1957</v>
      </c>
      <c r="B1621" s="346" t="s">
        <v>274</v>
      </c>
      <c r="C1621" s="347">
        <v>450</v>
      </c>
      <c r="D1621" s="348">
        <v>46753</v>
      </c>
      <c r="E1621" s="348">
        <v>47058</v>
      </c>
      <c r="F1621" s="346" t="s">
        <v>609</v>
      </c>
      <c r="G1621" s="349" t="s">
        <v>442</v>
      </c>
      <c r="H1621" s="350">
        <f t="shared" si="34"/>
        <v>4950</v>
      </c>
      <c r="I1621" s="120" t="str">
        <f>IF(OR(D1621&lt;Capa!$A$5,D1621&gt;Capa!$A$7,E1621&lt;Capa!$A$5,E1621&gt;Capa!$A$7,D1621&gt;E1621),"Erro","")</f>
        <v/>
      </c>
    </row>
    <row r="1622" spans="1:9" ht="40" hidden="1">
      <c r="A1622" s="345">
        <v>1959</v>
      </c>
      <c r="B1622" s="346" t="s">
        <v>236</v>
      </c>
      <c r="C1622" s="347">
        <v>450</v>
      </c>
      <c r="D1622" s="348">
        <v>45658</v>
      </c>
      <c r="E1622" s="348">
        <v>45992</v>
      </c>
      <c r="F1622" s="346" t="s">
        <v>609</v>
      </c>
      <c r="G1622" s="349" t="s">
        <v>443</v>
      </c>
      <c r="H1622" s="350">
        <f t="shared" si="34"/>
        <v>5400</v>
      </c>
      <c r="I1622" s="120" t="str">
        <f>IF(OR(D1622&lt;Capa!$A$5,D1622&gt;Capa!$A$7,E1622&lt;Capa!$A$5,E1622&gt;Capa!$A$7,D1622&gt;E1622),"Erro","")</f>
        <v/>
      </c>
    </row>
    <row r="1623" spans="1:9" ht="40" hidden="1">
      <c r="A1623" s="345">
        <v>1960</v>
      </c>
      <c r="B1623" s="346" t="s">
        <v>236</v>
      </c>
      <c r="C1623" s="347">
        <v>450</v>
      </c>
      <c r="D1623" s="348">
        <v>46023</v>
      </c>
      <c r="E1623" s="348">
        <v>46357</v>
      </c>
      <c r="F1623" s="346" t="s">
        <v>609</v>
      </c>
      <c r="G1623" s="349" t="s">
        <v>443</v>
      </c>
      <c r="H1623" s="350">
        <f t="shared" si="34"/>
        <v>5400</v>
      </c>
      <c r="I1623" s="120" t="str">
        <f>IF(OR(D1623&lt;Capa!$A$5,D1623&gt;Capa!$A$7,E1623&lt;Capa!$A$5,E1623&gt;Capa!$A$7,D1623&gt;E1623),"Erro","")</f>
        <v/>
      </c>
    </row>
    <row r="1624" spans="1:9" ht="40" hidden="1">
      <c r="A1624" s="345">
        <v>1961</v>
      </c>
      <c r="B1624" s="346" t="s">
        <v>236</v>
      </c>
      <c r="C1624" s="347">
        <v>450</v>
      </c>
      <c r="D1624" s="348">
        <v>46388</v>
      </c>
      <c r="E1624" s="348">
        <v>46722</v>
      </c>
      <c r="F1624" s="346" t="s">
        <v>609</v>
      </c>
      <c r="G1624" s="349" t="s">
        <v>443</v>
      </c>
      <c r="H1624" s="350">
        <f t="shared" si="34"/>
        <v>5400</v>
      </c>
      <c r="I1624" s="120" t="str">
        <f>IF(OR(D1624&lt;Capa!$A$5,D1624&gt;Capa!$A$7,E1624&lt;Capa!$A$5,E1624&gt;Capa!$A$7,D1624&gt;E1624),"Erro","")</f>
        <v/>
      </c>
    </row>
    <row r="1625" spans="1:9" ht="40" hidden="1">
      <c r="A1625" s="345">
        <v>1962</v>
      </c>
      <c r="B1625" s="346" t="s">
        <v>236</v>
      </c>
      <c r="C1625" s="347">
        <v>200</v>
      </c>
      <c r="D1625" s="348">
        <v>46753</v>
      </c>
      <c r="E1625" s="348">
        <v>47058</v>
      </c>
      <c r="F1625" s="346" t="s">
        <v>609</v>
      </c>
      <c r="G1625" s="349" t="s">
        <v>443</v>
      </c>
      <c r="H1625" s="350">
        <f t="shared" si="34"/>
        <v>2200</v>
      </c>
      <c r="I1625" s="120" t="str">
        <f>IF(OR(D1625&lt;Capa!$A$5,D1625&gt;Capa!$A$7,E1625&lt;Capa!$A$5,E1625&gt;Capa!$A$7,D1625&gt;E1625),"Erro","")</f>
        <v/>
      </c>
    </row>
    <row r="1626" spans="1:9" ht="30" hidden="1">
      <c r="A1626" s="345">
        <v>1964</v>
      </c>
      <c r="B1626" s="346" t="s">
        <v>240</v>
      </c>
      <c r="C1626" s="347">
        <v>50</v>
      </c>
      <c r="D1626" s="348">
        <v>45658</v>
      </c>
      <c r="E1626" s="348">
        <v>45992</v>
      </c>
      <c r="F1626" s="346" t="s">
        <v>609</v>
      </c>
      <c r="G1626" s="349" t="s">
        <v>444</v>
      </c>
      <c r="H1626" s="350">
        <f t="shared" si="34"/>
        <v>600</v>
      </c>
      <c r="I1626" s="120" t="str">
        <f>IF(OR(D1626&lt;Capa!$A$5,D1626&gt;Capa!$A$7,E1626&lt;Capa!$A$5,E1626&gt;Capa!$A$7,D1626&gt;E1626),"Erro","")</f>
        <v/>
      </c>
    </row>
    <row r="1627" spans="1:9" ht="30" hidden="1">
      <c r="A1627" s="345">
        <v>1965</v>
      </c>
      <c r="B1627" s="346" t="s">
        <v>240</v>
      </c>
      <c r="C1627" s="347">
        <v>50</v>
      </c>
      <c r="D1627" s="348">
        <v>46023</v>
      </c>
      <c r="E1627" s="348">
        <v>46357</v>
      </c>
      <c r="F1627" s="346" t="s">
        <v>609</v>
      </c>
      <c r="G1627" s="349" t="s">
        <v>444</v>
      </c>
      <c r="H1627" s="350">
        <f t="shared" si="34"/>
        <v>600</v>
      </c>
      <c r="I1627" s="120" t="str">
        <f>IF(OR(D1627&lt;Capa!$A$5,D1627&gt;Capa!$A$7,E1627&lt;Capa!$A$5,E1627&gt;Capa!$A$7,D1627&gt;E1627),"Erro","")</f>
        <v/>
      </c>
    </row>
    <row r="1628" spans="1:9" ht="30" hidden="1">
      <c r="A1628" s="345">
        <v>1966</v>
      </c>
      <c r="B1628" s="346" t="s">
        <v>240</v>
      </c>
      <c r="C1628" s="347">
        <v>50</v>
      </c>
      <c r="D1628" s="348">
        <v>46388</v>
      </c>
      <c r="E1628" s="348">
        <v>46722</v>
      </c>
      <c r="F1628" s="346" t="s">
        <v>609</v>
      </c>
      <c r="G1628" s="349" t="s">
        <v>444</v>
      </c>
      <c r="H1628" s="350">
        <f t="shared" si="34"/>
        <v>600</v>
      </c>
      <c r="I1628" s="120" t="str">
        <f>IF(OR(D1628&lt;Capa!$A$5,D1628&gt;Capa!$A$7,E1628&lt;Capa!$A$5,E1628&gt;Capa!$A$7,D1628&gt;E1628),"Erro","")</f>
        <v/>
      </c>
    </row>
    <row r="1629" spans="1:9" ht="30" hidden="1">
      <c r="A1629" s="345">
        <v>1967</v>
      </c>
      <c r="B1629" s="346" t="s">
        <v>240</v>
      </c>
      <c r="C1629" s="347">
        <v>25</v>
      </c>
      <c r="D1629" s="348">
        <v>46753</v>
      </c>
      <c r="E1629" s="348">
        <v>47058</v>
      </c>
      <c r="F1629" s="346" t="s">
        <v>609</v>
      </c>
      <c r="G1629" s="349" t="s">
        <v>444</v>
      </c>
      <c r="H1629" s="350">
        <f t="shared" si="34"/>
        <v>275</v>
      </c>
      <c r="I1629" s="120" t="str">
        <f>IF(OR(D1629&lt;Capa!$A$5,D1629&gt;Capa!$A$7,E1629&lt;Capa!$A$5,E1629&gt;Capa!$A$7,D1629&gt;E1629),"Erro","")</f>
        <v/>
      </c>
    </row>
    <row r="1630" spans="1:9" ht="30" hidden="1">
      <c r="A1630" s="345">
        <v>1969</v>
      </c>
      <c r="B1630" s="346" t="s">
        <v>244</v>
      </c>
      <c r="C1630" s="347">
        <v>250</v>
      </c>
      <c r="D1630" s="348">
        <v>45658</v>
      </c>
      <c r="E1630" s="348">
        <v>45992</v>
      </c>
      <c r="F1630" s="346" t="s">
        <v>609</v>
      </c>
      <c r="G1630" s="349" t="s">
        <v>445</v>
      </c>
      <c r="H1630" s="350">
        <f t="shared" si="34"/>
        <v>3000</v>
      </c>
      <c r="I1630" s="120" t="str">
        <f>IF(OR(D1630&lt;Capa!$A$5,D1630&gt;Capa!$A$7,E1630&lt;Capa!$A$5,E1630&gt;Capa!$A$7,D1630&gt;E1630),"Erro","")</f>
        <v/>
      </c>
    </row>
    <row r="1631" spans="1:9" ht="30" hidden="1">
      <c r="A1631" s="345">
        <v>1970</v>
      </c>
      <c r="B1631" s="346" t="s">
        <v>244</v>
      </c>
      <c r="C1631" s="347">
        <v>250</v>
      </c>
      <c r="D1631" s="348">
        <v>46023</v>
      </c>
      <c r="E1631" s="348">
        <v>46357</v>
      </c>
      <c r="F1631" s="346" t="s">
        <v>609</v>
      </c>
      <c r="G1631" s="349" t="s">
        <v>445</v>
      </c>
      <c r="H1631" s="350">
        <f t="shared" si="34"/>
        <v>3000</v>
      </c>
      <c r="I1631" s="120" t="str">
        <f>IF(OR(D1631&lt;Capa!$A$5,D1631&gt;Capa!$A$7,E1631&lt;Capa!$A$5,E1631&gt;Capa!$A$7,D1631&gt;E1631),"Erro","")</f>
        <v/>
      </c>
    </row>
    <row r="1632" spans="1:9" ht="30" hidden="1">
      <c r="A1632" s="345">
        <v>1971</v>
      </c>
      <c r="B1632" s="346" t="s">
        <v>244</v>
      </c>
      <c r="C1632" s="347">
        <v>250</v>
      </c>
      <c r="D1632" s="348">
        <v>46388</v>
      </c>
      <c r="E1632" s="348">
        <v>46722</v>
      </c>
      <c r="F1632" s="346" t="s">
        <v>609</v>
      </c>
      <c r="G1632" s="349" t="s">
        <v>445</v>
      </c>
      <c r="H1632" s="350">
        <f t="shared" si="34"/>
        <v>3000</v>
      </c>
      <c r="I1632" s="120" t="str">
        <f>IF(OR(D1632&lt;Capa!$A$5,D1632&gt;Capa!$A$7,E1632&lt;Capa!$A$5,E1632&gt;Capa!$A$7,D1632&gt;E1632),"Erro","")</f>
        <v/>
      </c>
    </row>
    <row r="1633" spans="1:9" ht="30" hidden="1">
      <c r="A1633" s="345">
        <v>1972</v>
      </c>
      <c r="B1633" s="346" t="s">
        <v>244</v>
      </c>
      <c r="C1633" s="347">
        <v>125</v>
      </c>
      <c r="D1633" s="348">
        <v>46753</v>
      </c>
      <c r="E1633" s="348">
        <v>47027</v>
      </c>
      <c r="F1633" s="346" t="s">
        <v>609</v>
      </c>
      <c r="G1633" s="349" t="s">
        <v>445</v>
      </c>
      <c r="H1633" s="350">
        <f t="shared" si="34"/>
        <v>1250</v>
      </c>
      <c r="I1633" s="120" t="str">
        <f>IF(OR(D1633&lt;Capa!$A$5,D1633&gt;Capa!$A$7,E1633&lt;Capa!$A$5,E1633&gt;Capa!$A$7,D1633&gt;E1633),"Erro","")</f>
        <v/>
      </c>
    </row>
    <row r="1634" spans="1:9" ht="20" hidden="1">
      <c r="A1634" s="345">
        <v>1973</v>
      </c>
      <c r="B1634" s="346" t="s">
        <v>246</v>
      </c>
      <c r="C1634" s="347">
        <v>390</v>
      </c>
      <c r="D1634" s="348">
        <v>45658</v>
      </c>
      <c r="E1634" s="348">
        <v>45992</v>
      </c>
      <c r="F1634" s="346" t="s">
        <v>609</v>
      </c>
      <c r="G1634" s="349" t="s">
        <v>446</v>
      </c>
      <c r="H1634" s="350">
        <f t="shared" si="34"/>
        <v>4680</v>
      </c>
      <c r="I1634" s="120" t="str">
        <f>IF(OR(D1634&lt;Capa!$A$5,D1634&gt;Capa!$A$7,E1634&lt;Capa!$A$5,E1634&gt;Capa!$A$7,D1634&gt;E1634),"Erro","")</f>
        <v/>
      </c>
    </row>
    <row r="1635" spans="1:9" ht="20" hidden="1">
      <c r="A1635" s="345">
        <v>1974</v>
      </c>
      <c r="B1635" s="346" t="s">
        <v>246</v>
      </c>
      <c r="C1635" s="347">
        <v>390</v>
      </c>
      <c r="D1635" s="348">
        <v>46023</v>
      </c>
      <c r="E1635" s="348">
        <v>46357</v>
      </c>
      <c r="F1635" s="346" t="s">
        <v>609</v>
      </c>
      <c r="G1635" s="349" t="s">
        <v>446</v>
      </c>
      <c r="H1635" s="350">
        <f t="shared" si="34"/>
        <v>4680</v>
      </c>
      <c r="I1635" s="120" t="str">
        <f>IF(OR(D1635&lt;Capa!$A$5,D1635&gt;Capa!$A$7,E1635&lt;Capa!$A$5,E1635&gt;Capa!$A$7,D1635&gt;E1635),"Erro","")</f>
        <v/>
      </c>
    </row>
    <row r="1636" spans="1:9" ht="20" hidden="1">
      <c r="A1636" s="345">
        <v>1975</v>
      </c>
      <c r="B1636" s="346" t="s">
        <v>246</v>
      </c>
      <c r="C1636" s="347">
        <v>390</v>
      </c>
      <c r="D1636" s="348">
        <v>46388</v>
      </c>
      <c r="E1636" s="348">
        <v>46722</v>
      </c>
      <c r="F1636" s="346" t="s">
        <v>609</v>
      </c>
      <c r="G1636" s="349" t="s">
        <v>446</v>
      </c>
      <c r="H1636" s="350">
        <f t="shared" si="34"/>
        <v>4680</v>
      </c>
      <c r="I1636" s="120" t="str">
        <f>IF(OR(D1636&lt;Capa!$A$5,D1636&gt;Capa!$A$7,E1636&lt;Capa!$A$5,E1636&gt;Capa!$A$7,D1636&gt;E1636),"Erro","")</f>
        <v/>
      </c>
    </row>
    <row r="1637" spans="1:9" ht="20" hidden="1">
      <c r="A1637" s="345">
        <v>1976</v>
      </c>
      <c r="B1637" s="346" t="s">
        <v>246</v>
      </c>
      <c r="C1637" s="347">
        <v>190</v>
      </c>
      <c r="D1637" s="348">
        <v>46753</v>
      </c>
      <c r="E1637" s="348">
        <v>47027</v>
      </c>
      <c r="F1637" s="346" t="s">
        <v>609</v>
      </c>
      <c r="G1637" s="349" t="s">
        <v>446</v>
      </c>
      <c r="H1637" s="350">
        <f t="shared" si="34"/>
        <v>1900</v>
      </c>
      <c r="I1637" s="120" t="str">
        <f>IF(OR(D1637&lt;Capa!$A$5,D1637&gt;Capa!$A$7,E1637&lt;Capa!$A$5,E1637&gt;Capa!$A$7,D1637&gt;E1637),"Erro","")</f>
        <v/>
      </c>
    </row>
    <row r="1638" spans="1:9" ht="30" hidden="1">
      <c r="A1638" s="345">
        <v>1978</v>
      </c>
      <c r="B1638" s="346" t="s">
        <v>258</v>
      </c>
      <c r="C1638" s="347">
        <v>50</v>
      </c>
      <c r="D1638" s="348">
        <v>45658</v>
      </c>
      <c r="E1638" s="348">
        <v>45992</v>
      </c>
      <c r="F1638" s="346" t="s">
        <v>609</v>
      </c>
      <c r="G1638" s="349" t="s">
        <v>447</v>
      </c>
      <c r="H1638" s="350">
        <f t="shared" si="34"/>
        <v>600</v>
      </c>
      <c r="I1638" s="120" t="str">
        <f>IF(OR(D1638&lt;Capa!$A$5,D1638&gt;Capa!$A$7,E1638&lt;Capa!$A$5,E1638&gt;Capa!$A$7,D1638&gt;E1638),"Erro","")</f>
        <v/>
      </c>
    </row>
    <row r="1639" spans="1:9" ht="30" hidden="1">
      <c r="A1639" s="345">
        <v>1979</v>
      </c>
      <c r="B1639" s="346" t="s">
        <v>258</v>
      </c>
      <c r="C1639" s="347">
        <v>50</v>
      </c>
      <c r="D1639" s="348">
        <v>46023</v>
      </c>
      <c r="E1639" s="348">
        <v>46357</v>
      </c>
      <c r="F1639" s="346" t="s">
        <v>609</v>
      </c>
      <c r="G1639" s="349" t="s">
        <v>447</v>
      </c>
      <c r="H1639" s="350">
        <f t="shared" si="34"/>
        <v>600</v>
      </c>
      <c r="I1639" s="120" t="str">
        <f>IF(OR(D1639&lt;Capa!$A$5,D1639&gt;Capa!$A$7,E1639&lt;Capa!$A$5,E1639&gt;Capa!$A$7,D1639&gt;E1639),"Erro","")</f>
        <v/>
      </c>
    </row>
    <row r="1640" spans="1:9" ht="30" hidden="1">
      <c r="A1640" s="345">
        <v>1980</v>
      </c>
      <c r="B1640" s="346" t="s">
        <v>258</v>
      </c>
      <c r="C1640" s="347">
        <v>50</v>
      </c>
      <c r="D1640" s="348">
        <v>46388</v>
      </c>
      <c r="E1640" s="348">
        <v>46722</v>
      </c>
      <c r="F1640" s="346" t="s">
        <v>609</v>
      </c>
      <c r="G1640" s="349" t="s">
        <v>447</v>
      </c>
      <c r="H1640" s="350">
        <f t="shared" si="34"/>
        <v>600</v>
      </c>
      <c r="I1640" s="120" t="str">
        <f>IF(OR(D1640&lt;Capa!$A$5,D1640&gt;Capa!$A$7,E1640&lt;Capa!$A$5,E1640&gt;Capa!$A$7,D1640&gt;E1640),"Erro","")</f>
        <v/>
      </c>
    </row>
    <row r="1641" spans="1:9" ht="30" hidden="1">
      <c r="A1641" s="345">
        <v>1981</v>
      </c>
      <c r="B1641" s="346" t="s">
        <v>258</v>
      </c>
      <c r="C1641" s="347">
        <v>20</v>
      </c>
      <c r="D1641" s="348">
        <v>46753</v>
      </c>
      <c r="E1641" s="348">
        <v>47027</v>
      </c>
      <c r="F1641" s="346" t="s">
        <v>609</v>
      </c>
      <c r="G1641" s="349" t="s">
        <v>447</v>
      </c>
      <c r="H1641" s="350">
        <f t="shared" si="34"/>
        <v>200</v>
      </c>
      <c r="I1641" s="120" t="str">
        <f>IF(OR(D1641&lt;Capa!$A$5,D1641&gt;Capa!$A$7,E1641&lt;Capa!$A$5,E1641&gt;Capa!$A$7,D1641&gt;E1641),"Erro","")</f>
        <v/>
      </c>
    </row>
    <row r="1642" spans="1:9" ht="40" hidden="1">
      <c r="A1642" s="345">
        <v>1983</v>
      </c>
      <c r="B1642" s="346" t="s">
        <v>276</v>
      </c>
      <c r="C1642" s="347">
        <v>500</v>
      </c>
      <c r="D1642" s="348">
        <v>45658</v>
      </c>
      <c r="E1642" s="348">
        <v>45992</v>
      </c>
      <c r="F1642" s="346" t="s">
        <v>609</v>
      </c>
      <c r="G1642" s="349" t="s">
        <v>448</v>
      </c>
      <c r="H1642" s="350">
        <f t="shared" si="34"/>
        <v>6000</v>
      </c>
      <c r="I1642" s="120" t="str">
        <f>IF(OR(D1642&lt;Capa!$A$5,D1642&gt;Capa!$A$7,E1642&lt;Capa!$A$5,E1642&gt;Capa!$A$7,D1642&gt;E1642),"Erro","")</f>
        <v/>
      </c>
    </row>
    <row r="1643" spans="1:9" ht="40" hidden="1">
      <c r="A1643" s="345">
        <v>1984</v>
      </c>
      <c r="B1643" s="346" t="s">
        <v>276</v>
      </c>
      <c r="C1643" s="347">
        <v>500</v>
      </c>
      <c r="D1643" s="348">
        <v>46023</v>
      </c>
      <c r="E1643" s="348">
        <v>46357</v>
      </c>
      <c r="F1643" s="346" t="s">
        <v>609</v>
      </c>
      <c r="G1643" s="349" t="s">
        <v>448</v>
      </c>
      <c r="H1643" s="350">
        <f t="shared" si="34"/>
        <v>6000</v>
      </c>
      <c r="I1643" s="120" t="str">
        <f>IF(OR(D1643&lt;Capa!$A$5,D1643&gt;Capa!$A$7,E1643&lt;Capa!$A$5,E1643&gt;Capa!$A$7,D1643&gt;E1643),"Erro","")</f>
        <v/>
      </c>
    </row>
    <row r="1644" spans="1:9" ht="40" hidden="1">
      <c r="A1644" s="345">
        <v>1985</v>
      </c>
      <c r="B1644" s="346" t="s">
        <v>276</v>
      </c>
      <c r="C1644" s="347">
        <v>500</v>
      </c>
      <c r="D1644" s="348">
        <v>46388</v>
      </c>
      <c r="E1644" s="348">
        <v>46722</v>
      </c>
      <c r="F1644" s="346" t="s">
        <v>609</v>
      </c>
      <c r="G1644" s="349" t="s">
        <v>448</v>
      </c>
      <c r="H1644" s="350">
        <f t="shared" si="34"/>
        <v>6000</v>
      </c>
      <c r="I1644" s="120" t="str">
        <f>IF(OR(D1644&lt;Capa!$A$5,D1644&gt;Capa!$A$7,E1644&lt;Capa!$A$5,E1644&gt;Capa!$A$7,D1644&gt;E1644),"Erro","")</f>
        <v/>
      </c>
    </row>
    <row r="1645" spans="1:9" ht="40" hidden="1">
      <c r="A1645" s="345">
        <v>1986</v>
      </c>
      <c r="B1645" s="346" t="s">
        <v>276</v>
      </c>
      <c r="C1645" s="347">
        <v>250</v>
      </c>
      <c r="D1645" s="348">
        <v>46753</v>
      </c>
      <c r="E1645" s="348">
        <v>47058</v>
      </c>
      <c r="F1645" s="346" t="s">
        <v>609</v>
      </c>
      <c r="G1645" s="349" t="s">
        <v>448</v>
      </c>
      <c r="H1645" s="350">
        <f t="shared" si="34"/>
        <v>2750</v>
      </c>
      <c r="I1645" s="120" t="str">
        <f>IF(OR(D1645&lt;Capa!$A$5,D1645&gt;Capa!$A$7,E1645&lt;Capa!$A$5,E1645&gt;Capa!$A$7,D1645&gt;E1645),"Erro","")</f>
        <v/>
      </c>
    </row>
    <row r="1646" spans="1:9" ht="40">
      <c r="A1646" s="345">
        <v>1988</v>
      </c>
      <c r="B1646" s="346" t="s">
        <v>278</v>
      </c>
      <c r="C1646" s="347">
        <v>36500</v>
      </c>
      <c r="D1646" s="348">
        <v>45658</v>
      </c>
      <c r="E1646" s="348">
        <v>45992</v>
      </c>
      <c r="F1646" s="346" t="s">
        <v>609</v>
      </c>
      <c r="G1646" s="349" t="s">
        <v>449</v>
      </c>
      <c r="H1646" s="350">
        <f t="shared" ref="H1646:H1693" si="35">IFERROR((DATEDIF(D1646,E1646,"M")+1)*C1646,0)</f>
        <v>438000</v>
      </c>
      <c r="I1646" s="120" t="str">
        <f>IF(OR(D1646&lt;Capa!$A$5,D1646&gt;Capa!$A$7,E1646&lt;Capa!$A$5,E1646&gt;Capa!$A$7,D1646&gt;E1646),"Erro","")</f>
        <v/>
      </c>
    </row>
    <row r="1647" spans="1:9" ht="40">
      <c r="A1647" s="345">
        <v>1989</v>
      </c>
      <c r="B1647" s="346" t="s">
        <v>278</v>
      </c>
      <c r="C1647" s="347">
        <v>36500</v>
      </c>
      <c r="D1647" s="348">
        <v>46023</v>
      </c>
      <c r="E1647" s="348">
        <v>46357</v>
      </c>
      <c r="F1647" s="346" t="s">
        <v>609</v>
      </c>
      <c r="G1647" s="349" t="s">
        <v>449</v>
      </c>
      <c r="H1647" s="350">
        <f t="shared" si="35"/>
        <v>438000</v>
      </c>
      <c r="I1647" s="120" t="str">
        <f>IF(OR(D1647&lt;Capa!$A$5,D1647&gt;Capa!$A$7,E1647&lt;Capa!$A$5,E1647&gt;Capa!$A$7,D1647&gt;E1647),"Erro","")</f>
        <v/>
      </c>
    </row>
    <row r="1648" spans="1:9" ht="40">
      <c r="A1648" s="345">
        <v>1990</v>
      </c>
      <c r="B1648" s="346" t="s">
        <v>278</v>
      </c>
      <c r="C1648" s="347">
        <v>36500</v>
      </c>
      <c r="D1648" s="348">
        <v>46388</v>
      </c>
      <c r="E1648" s="348">
        <v>46722</v>
      </c>
      <c r="F1648" s="346" t="s">
        <v>609</v>
      </c>
      <c r="G1648" s="349" t="s">
        <v>449</v>
      </c>
      <c r="H1648" s="350">
        <f t="shared" si="35"/>
        <v>438000</v>
      </c>
      <c r="I1648" s="120" t="str">
        <f>IF(OR(D1648&lt;Capa!$A$5,D1648&gt;Capa!$A$7,E1648&lt;Capa!$A$5,E1648&gt;Capa!$A$7,D1648&gt;E1648),"Erro","")</f>
        <v/>
      </c>
    </row>
    <row r="1649" spans="1:9" ht="40">
      <c r="A1649" s="345">
        <v>1991</v>
      </c>
      <c r="B1649" s="346" t="s">
        <v>278</v>
      </c>
      <c r="C1649" s="347">
        <v>18500</v>
      </c>
      <c r="D1649" s="348">
        <v>46753</v>
      </c>
      <c r="E1649" s="348">
        <v>47058</v>
      </c>
      <c r="F1649" s="346" t="s">
        <v>609</v>
      </c>
      <c r="G1649" s="349" t="s">
        <v>449</v>
      </c>
      <c r="H1649" s="350">
        <f t="shared" si="35"/>
        <v>203500</v>
      </c>
      <c r="I1649" s="120" t="str">
        <f>IF(OR(D1649&lt;Capa!$A$5,D1649&gt;Capa!$A$7,E1649&lt;Capa!$A$5,E1649&gt;Capa!$A$7,D1649&gt;E1649),"Erro","")</f>
        <v/>
      </c>
    </row>
    <row r="1650" spans="1:9" ht="40" hidden="1">
      <c r="A1650" s="345">
        <v>1993</v>
      </c>
      <c r="B1650" s="346" t="s">
        <v>280</v>
      </c>
      <c r="C1650" s="347">
        <v>100</v>
      </c>
      <c r="D1650" s="348">
        <v>45658</v>
      </c>
      <c r="E1650" s="348">
        <v>45992</v>
      </c>
      <c r="F1650" s="346" t="s">
        <v>609</v>
      </c>
      <c r="G1650" s="349" t="s">
        <v>450</v>
      </c>
      <c r="H1650" s="350">
        <f t="shared" si="35"/>
        <v>1200</v>
      </c>
      <c r="I1650" s="120" t="str">
        <f>IF(OR(D1650&lt;Capa!$A$5,D1650&gt;Capa!$A$7,E1650&lt;Capa!$A$5,E1650&gt;Capa!$A$7,D1650&gt;E1650),"Erro","")</f>
        <v/>
      </c>
    </row>
    <row r="1651" spans="1:9" ht="40" hidden="1">
      <c r="A1651" s="345">
        <v>1994</v>
      </c>
      <c r="B1651" s="346" t="s">
        <v>280</v>
      </c>
      <c r="C1651" s="347">
        <v>100</v>
      </c>
      <c r="D1651" s="348">
        <v>46023</v>
      </c>
      <c r="E1651" s="348">
        <v>46357</v>
      </c>
      <c r="F1651" s="346" t="s">
        <v>609</v>
      </c>
      <c r="G1651" s="349" t="s">
        <v>450</v>
      </c>
      <c r="H1651" s="350">
        <f t="shared" si="35"/>
        <v>1200</v>
      </c>
      <c r="I1651" s="120" t="str">
        <f>IF(OR(D1651&lt;Capa!$A$5,D1651&gt;Capa!$A$7,E1651&lt;Capa!$A$5,E1651&gt;Capa!$A$7,D1651&gt;E1651),"Erro","")</f>
        <v/>
      </c>
    </row>
    <row r="1652" spans="1:9" ht="40" hidden="1">
      <c r="A1652" s="345">
        <v>1995</v>
      </c>
      <c r="B1652" s="346" t="s">
        <v>280</v>
      </c>
      <c r="C1652" s="347">
        <v>100</v>
      </c>
      <c r="D1652" s="348">
        <v>46388</v>
      </c>
      <c r="E1652" s="348">
        <v>46722</v>
      </c>
      <c r="F1652" s="346" t="s">
        <v>609</v>
      </c>
      <c r="G1652" s="349" t="s">
        <v>450</v>
      </c>
      <c r="H1652" s="350">
        <f t="shared" si="35"/>
        <v>1200</v>
      </c>
      <c r="I1652" s="120" t="str">
        <f>IF(OR(D1652&lt;Capa!$A$5,D1652&gt;Capa!$A$7,E1652&lt;Capa!$A$5,E1652&gt;Capa!$A$7,D1652&gt;E1652),"Erro","")</f>
        <v/>
      </c>
    </row>
    <row r="1653" spans="1:9" ht="40" hidden="1">
      <c r="A1653" s="345">
        <v>1996</v>
      </c>
      <c r="B1653" s="346" t="s">
        <v>280</v>
      </c>
      <c r="C1653" s="347">
        <v>50</v>
      </c>
      <c r="D1653" s="348">
        <v>46753</v>
      </c>
      <c r="E1653" s="348">
        <v>47058</v>
      </c>
      <c r="F1653" s="346" t="s">
        <v>609</v>
      </c>
      <c r="G1653" s="349" t="s">
        <v>450</v>
      </c>
      <c r="H1653" s="350">
        <f t="shared" si="35"/>
        <v>550</v>
      </c>
      <c r="I1653" s="120" t="str">
        <f>IF(OR(D1653&lt;Capa!$A$5,D1653&gt;Capa!$A$7,E1653&lt;Capa!$A$5,E1653&gt;Capa!$A$7,D1653&gt;E1653),"Erro","")</f>
        <v/>
      </c>
    </row>
    <row r="1654" spans="1:9" ht="40" hidden="1">
      <c r="A1654" s="345">
        <v>1998</v>
      </c>
      <c r="B1654" s="346" t="s">
        <v>282</v>
      </c>
      <c r="C1654" s="347">
        <v>450</v>
      </c>
      <c r="D1654" s="348">
        <v>45658</v>
      </c>
      <c r="E1654" s="348">
        <v>45992</v>
      </c>
      <c r="F1654" s="346" t="s">
        <v>609</v>
      </c>
      <c r="G1654" s="349" t="s">
        <v>451</v>
      </c>
      <c r="H1654" s="350">
        <f t="shared" si="35"/>
        <v>5400</v>
      </c>
      <c r="I1654" s="120" t="str">
        <f>IF(OR(D1654&lt;Capa!$A$5,D1654&gt;Capa!$A$7,E1654&lt;Capa!$A$5,E1654&gt;Capa!$A$7,D1654&gt;E1654),"Erro","")</f>
        <v/>
      </c>
    </row>
    <row r="1655" spans="1:9" ht="40" hidden="1">
      <c r="A1655" s="345">
        <v>1999</v>
      </c>
      <c r="B1655" s="346" t="s">
        <v>282</v>
      </c>
      <c r="C1655" s="347">
        <v>450</v>
      </c>
      <c r="D1655" s="348">
        <v>46023</v>
      </c>
      <c r="E1655" s="348">
        <v>46357</v>
      </c>
      <c r="F1655" s="346" t="s">
        <v>609</v>
      </c>
      <c r="G1655" s="349" t="s">
        <v>451</v>
      </c>
      <c r="H1655" s="350">
        <f t="shared" si="35"/>
        <v>5400</v>
      </c>
      <c r="I1655" s="120" t="str">
        <f>IF(OR(D1655&lt;Capa!$A$5,D1655&gt;Capa!$A$7,E1655&lt;Capa!$A$5,E1655&gt;Capa!$A$7,D1655&gt;E1655),"Erro","")</f>
        <v/>
      </c>
    </row>
    <row r="1656" spans="1:9" ht="40" hidden="1">
      <c r="A1656" s="345">
        <v>2000</v>
      </c>
      <c r="B1656" s="346" t="s">
        <v>282</v>
      </c>
      <c r="C1656" s="347">
        <v>450</v>
      </c>
      <c r="D1656" s="348">
        <v>46388</v>
      </c>
      <c r="E1656" s="348">
        <v>46722</v>
      </c>
      <c r="F1656" s="346" t="s">
        <v>609</v>
      </c>
      <c r="G1656" s="349" t="s">
        <v>451</v>
      </c>
      <c r="H1656" s="350">
        <f t="shared" si="35"/>
        <v>5400</v>
      </c>
      <c r="I1656" s="120" t="str">
        <f>IF(OR(D1656&lt;Capa!$A$5,D1656&gt;Capa!$A$7,E1656&lt;Capa!$A$5,E1656&gt;Capa!$A$7,D1656&gt;E1656),"Erro","")</f>
        <v/>
      </c>
    </row>
    <row r="1657" spans="1:9" ht="40" hidden="1">
      <c r="A1657" s="345">
        <v>2001</v>
      </c>
      <c r="B1657" s="346" t="s">
        <v>282</v>
      </c>
      <c r="C1657" s="347">
        <v>200</v>
      </c>
      <c r="D1657" s="348">
        <v>46753</v>
      </c>
      <c r="E1657" s="348">
        <v>47058</v>
      </c>
      <c r="F1657" s="346" t="s">
        <v>609</v>
      </c>
      <c r="G1657" s="349" t="s">
        <v>451</v>
      </c>
      <c r="H1657" s="350">
        <f t="shared" si="35"/>
        <v>2200</v>
      </c>
      <c r="I1657" s="120" t="str">
        <f>IF(OR(D1657&lt;Capa!$A$5,D1657&gt;Capa!$A$7,E1657&lt;Capa!$A$5,E1657&gt;Capa!$A$7,D1657&gt;E1657),"Erro","")</f>
        <v/>
      </c>
    </row>
    <row r="1658" spans="1:9" ht="40" hidden="1">
      <c r="A1658" s="345">
        <v>2003</v>
      </c>
      <c r="B1658" s="346" t="s">
        <v>284</v>
      </c>
      <c r="C1658" s="347">
        <v>950</v>
      </c>
      <c r="D1658" s="348">
        <v>45658</v>
      </c>
      <c r="E1658" s="348">
        <v>45992</v>
      </c>
      <c r="F1658" s="346" t="s">
        <v>609</v>
      </c>
      <c r="G1658" s="349" t="s">
        <v>451</v>
      </c>
      <c r="H1658" s="350">
        <f t="shared" si="35"/>
        <v>11400</v>
      </c>
      <c r="I1658" s="120" t="str">
        <f>IF(OR(D1658&lt;Capa!$A$5,D1658&gt;Capa!$A$7,E1658&lt;Capa!$A$5,E1658&gt;Capa!$A$7,D1658&gt;E1658),"Erro","")</f>
        <v/>
      </c>
    </row>
    <row r="1659" spans="1:9" ht="40" hidden="1">
      <c r="A1659" s="345">
        <v>2004</v>
      </c>
      <c r="B1659" s="346" t="s">
        <v>284</v>
      </c>
      <c r="C1659" s="347">
        <v>950</v>
      </c>
      <c r="D1659" s="348">
        <v>46023</v>
      </c>
      <c r="E1659" s="348">
        <v>46357</v>
      </c>
      <c r="F1659" s="346" t="s">
        <v>609</v>
      </c>
      <c r="G1659" s="349" t="s">
        <v>451</v>
      </c>
      <c r="H1659" s="350">
        <f t="shared" si="35"/>
        <v>11400</v>
      </c>
      <c r="I1659" s="120" t="str">
        <f>IF(OR(D1659&lt;Capa!$A$5,D1659&gt;Capa!$A$7,E1659&lt;Capa!$A$5,E1659&gt;Capa!$A$7,D1659&gt;E1659),"Erro","")</f>
        <v/>
      </c>
    </row>
    <row r="1660" spans="1:9" ht="40" hidden="1">
      <c r="A1660" s="345">
        <v>2005</v>
      </c>
      <c r="B1660" s="346" t="s">
        <v>284</v>
      </c>
      <c r="C1660" s="347">
        <v>950</v>
      </c>
      <c r="D1660" s="348">
        <v>46388</v>
      </c>
      <c r="E1660" s="348">
        <v>46722</v>
      </c>
      <c r="F1660" s="346" t="s">
        <v>609</v>
      </c>
      <c r="G1660" s="349" t="s">
        <v>451</v>
      </c>
      <c r="H1660" s="350">
        <f t="shared" si="35"/>
        <v>11400</v>
      </c>
      <c r="I1660" s="120" t="str">
        <f>IF(OR(D1660&lt;Capa!$A$5,D1660&gt;Capa!$A$7,E1660&lt;Capa!$A$5,E1660&gt;Capa!$A$7,D1660&gt;E1660),"Erro","")</f>
        <v/>
      </c>
    </row>
    <row r="1661" spans="1:9" ht="40" hidden="1">
      <c r="A1661" s="345">
        <v>2006</v>
      </c>
      <c r="B1661" s="346" t="s">
        <v>284</v>
      </c>
      <c r="C1661" s="347">
        <v>400</v>
      </c>
      <c r="D1661" s="348">
        <v>46753</v>
      </c>
      <c r="E1661" s="348">
        <v>47058</v>
      </c>
      <c r="F1661" s="346" t="s">
        <v>609</v>
      </c>
      <c r="G1661" s="349" t="s">
        <v>451</v>
      </c>
      <c r="H1661" s="350">
        <f t="shared" si="35"/>
        <v>4400</v>
      </c>
      <c r="I1661" s="120" t="str">
        <f>IF(OR(D1661&lt;Capa!$A$5,D1661&gt;Capa!$A$7,E1661&lt;Capa!$A$5,E1661&gt;Capa!$A$7,D1661&gt;E1661),"Erro","")</f>
        <v/>
      </c>
    </row>
    <row r="1662" spans="1:9" ht="40" hidden="1">
      <c r="A1662" s="345">
        <v>2008</v>
      </c>
      <c r="B1662" s="346" t="s">
        <v>286</v>
      </c>
      <c r="C1662" s="347">
        <v>1000</v>
      </c>
      <c r="D1662" s="348">
        <v>45658</v>
      </c>
      <c r="E1662" s="348">
        <v>45992</v>
      </c>
      <c r="F1662" s="346" t="s">
        <v>609</v>
      </c>
      <c r="G1662" s="349" t="s">
        <v>451</v>
      </c>
      <c r="H1662" s="350">
        <f t="shared" si="35"/>
        <v>12000</v>
      </c>
      <c r="I1662" s="120" t="str">
        <f>IF(OR(D1662&lt;Capa!$A$5,D1662&gt;Capa!$A$7,E1662&lt;Capa!$A$5,E1662&gt;Capa!$A$7,D1662&gt;E1662),"Erro","")</f>
        <v/>
      </c>
    </row>
    <row r="1663" spans="1:9" ht="40" hidden="1">
      <c r="A1663" s="345">
        <v>2009</v>
      </c>
      <c r="B1663" s="346" t="s">
        <v>286</v>
      </c>
      <c r="C1663" s="347">
        <v>1000</v>
      </c>
      <c r="D1663" s="348">
        <v>46023</v>
      </c>
      <c r="E1663" s="348">
        <v>46357</v>
      </c>
      <c r="F1663" s="346" t="s">
        <v>609</v>
      </c>
      <c r="G1663" s="349" t="s">
        <v>451</v>
      </c>
      <c r="H1663" s="350">
        <f t="shared" si="35"/>
        <v>12000</v>
      </c>
      <c r="I1663" s="120" t="str">
        <f>IF(OR(D1663&lt;Capa!$A$5,D1663&gt;Capa!$A$7,E1663&lt;Capa!$A$5,E1663&gt;Capa!$A$7,D1663&gt;E1663),"Erro","")</f>
        <v/>
      </c>
    </row>
    <row r="1664" spans="1:9" ht="40" hidden="1">
      <c r="A1664" s="345">
        <v>2010</v>
      </c>
      <c r="B1664" s="346" t="s">
        <v>286</v>
      </c>
      <c r="C1664" s="347">
        <v>1000</v>
      </c>
      <c r="D1664" s="348">
        <v>46388</v>
      </c>
      <c r="E1664" s="348">
        <v>46722</v>
      </c>
      <c r="F1664" s="346" t="s">
        <v>609</v>
      </c>
      <c r="G1664" s="349" t="s">
        <v>451</v>
      </c>
      <c r="H1664" s="350">
        <f t="shared" si="35"/>
        <v>12000</v>
      </c>
      <c r="I1664" s="120" t="str">
        <f>IF(OR(D1664&lt;Capa!$A$5,D1664&gt;Capa!$A$7,E1664&lt;Capa!$A$5,E1664&gt;Capa!$A$7,D1664&gt;E1664),"Erro","")</f>
        <v/>
      </c>
    </row>
    <row r="1665" spans="1:9" ht="40" hidden="1">
      <c r="A1665" s="345">
        <v>2011</v>
      </c>
      <c r="B1665" s="346" t="s">
        <v>286</v>
      </c>
      <c r="C1665" s="347">
        <v>500</v>
      </c>
      <c r="D1665" s="348">
        <v>46753</v>
      </c>
      <c r="E1665" s="348">
        <v>47058</v>
      </c>
      <c r="F1665" s="346" t="s">
        <v>609</v>
      </c>
      <c r="G1665" s="349" t="s">
        <v>451</v>
      </c>
      <c r="H1665" s="350">
        <f t="shared" si="35"/>
        <v>5500</v>
      </c>
      <c r="I1665" s="120" t="str">
        <f>IF(OR(D1665&lt;Capa!$A$5,D1665&gt;Capa!$A$7,E1665&lt;Capa!$A$5,E1665&gt;Capa!$A$7,D1665&gt;E1665),"Erro","")</f>
        <v/>
      </c>
    </row>
    <row r="1666" spans="1:9" ht="30" hidden="1">
      <c r="A1666" s="345">
        <v>2013</v>
      </c>
      <c r="B1666" s="346" t="s">
        <v>288</v>
      </c>
      <c r="C1666" s="347">
        <v>200</v>
      </c>
      <c r="D1666" s="348">
        <v>45658</v>
      </c>
      <c r="E1666" s="348">
        <v>45992</v>
      </c>
      <c r="F1666" s="346" t="s">
        <v>609</v>
      </c>
      <c r="G1666" s="349" t="s">
        <v>452</v>
      </c>
      <c r="H1666" s="350">
        <f t="shared" si="35"/>
        <v>2400</v>
      </c>
      <c r="I1666" s="120" t="str">
        <f>IF(OR(D1666&lt;Capa!$A$5,D1666&gt;Capa!$A$7,E1666&lt;Capa!$A$5,E1666&gt;Capa!$A$7,D1666&gt;E1666),"Erro","")</f>
        <v/>
      </c>
    </row>
    <row r="1667" spans="1:9" ht="30" hidden="1">
      <c r="A1667" s="345">
        <v>2014</v>
      </c>
      <c r="B1667" s="346" t="s">
        <v>288</v>
      </c>
      <c r="C1667" s="347">
        <v>200</v>
      </c>
      <c r="D1667" s="348">
        <v>46023</v>
      </c>
      <c r="E1667" s="348">
        <v>46357</v>
      </c>
      <c r="F1667" s="346" t="s">
        <v>609</v>
      </c>
      <c r="G1667" s="349" t="s">
        <v>452</v>
      </c>
      <c r="H1667" s="350">
        <f t="shared" si="35"/>
        <v>2400</v>
      </c>
      <c r="I1667" s="120" t="str">
        <f>IF(OR(D1667&lt;Capa!$A$5,D1667&gt;Capa!$A$7,E1667&lt;Capa!$A$5,E1667&gt;Capa!$A$7,D1667&gt;E1667),"Erro","")</f>
        <v/>
      </c>
    </row>
    <row r="1668" spans="1:9" ht="30" hidden="1">
      <c r="A1668" s="345">
        <v>2015</v>
      </c>
      <c r="B1668" s="346" t="s">
        <v>288</v>
      </c>
      <c r="C1668" s="347">
        <v>200</v>
      </c>
      <c r="D1668" s="348">
        <v>46388</v>
      </c>
      <c r="E1668" s="348">
        <v>46722</v>
      </c>
      <c r="F1668" s="346" t="s">
        <v>609</v>
      </c>
      <c r="G1668" s="349" t="s">
        <v>452</v>
      </c>
      <c r="H1668" s="350">
        <f t="shared" si="35"/>
        <v>2400</v>
      </c>
      <c r="I1668" s="120" t="str">
        <f>IF(OR(D1668&lt;Capa!$A$5,D1668&gt;Capa!$A$7,E1668&lt;Capa!$A$5,E1668&gt;Capa!$A$7,D1668&gt;E1668),"Erro","")</f>
        <v/>
      </c>
    </row>
    <row r="1669" spans="1:9" ht="30" hidden="1">
      <c r="A1669" s="345">
        <v>2016</v>
      </c>
      <c r="B1669" s="346" t="s">
        <v>288</v>
      </c>
      <c r="C1669" s="347">
        <v>100</v>
      </c>
      <c r="D1669" s="348">
        <v>46753</v>
      </c>
      <c r="E1669" s="348">
        <v>47058</v>
      </c>
      <c r="F1669" s="346" t="s">
        <v>609</v>
      </c>
      <c r="G1669" s="349" t="s">
        <v>452</v>
      </c>
      <c r="H1669" s="350">
        <f t="shared" si="35"/>
        <v>1100</v>
      </c>
      <c r="I1669" s="120" t="str">
        <f>IF(OR(D1669&lt;Capa!$A$5,D1669&gt;Capa!$A$7,E1669&lt;Capa!$A$5,E1669&gt;Capa!$A$7,D1669&gt;E1669),"Erro","")</f>
        <v/>
      </c>
    </row>
    <row r="1670" spans="1:9" ht="30" hidden="1">
      <c r="A1670" s="345">
        <v>2018</v>
      </c>
      <c r="B1670" s="346" t="s">
        <v>294</v>
      </c>
      <c r="C1670" s="347">
        <v>3000</v>
      </c>
      <c r="D1670" s="348">
        <v>45658</v>
      </c>
      <c r="E1670" s="348">
        <v>45992</v>
      </c>
      <c r="F1670" s="346" t="s">
        <v>609</v>
      </c>
      <c r="G1670" s="349" t="s">
        <v>453</v>
      </c>
      <c r="H1670" s="350">
        <f t="shared" si="35"/>
        <v>36000</v>
      </c>
      <c r="I1670" s="120" t="str">
        <f>IF(OR(D1670&lt;Capa!$A$5,D1670&gt;Capa!$A$7,E1670&lt;Capa!$A$5,E1670&gt;Capa!$A$7,D1670&gt;E1670),"Erro","")</f>
        <v/>
      </c>
    </row>
    <row r="1671" spans="1:9" ht="30" hidden="1">
      <c r="A1671" s="345">
        <v>2019</v>
      </c>
      <c r="B1671" s="346" t="s">
        <v>294</v>
      </c>
      <c r="C1671" s="347">
        <v>3000</v>
      </c>
      <c r="D1671" s="348">
        <v>46023</v>
      </c>
      <c r="E1671" s="348">
        <v>46357</v>
      </c>
      <c r="F1671" s="346" t="s">
        <v>609</v>
      </c>
      <c r="G1671" s="349" t="s">
        <v>453</v>
      </c>
      <c r="H1671" s="350">
        <f t="shared" si="35"/>
        <v>36000</v>
      </c>
      <c r="I1671" s="120" t="str">
        <f>IF(OR(D1671&lt;Capa!$A$5,D1671&gt;Capa!$A$7,E1671&lt;Capa!$A$5,E1671&gt;Capa!$A$7,D1671&gt;E1671),"Erro","")</f>
        <v/>
      </c>
    </row>
    <row r="1672" spans="1:9" ht="30" hidden="1">
      <c r="A1672" s="345">
        <v>2020</v>
      </c>
      <c r="B1672" s="346" t="s">
        <v>294</v>
      </c>
      <c r="C1672" s="347">
        <v>3000</v>
      </c>
      <c r="D1672" s="348">
        <v>46388</v>
      </c>
      <c r="E1672" s="348">
        <v>46722</v>
      </c>
      <c r="F1672" s="346" t="s">
        <v>609</v>
      </c>
      <c r="G1672" s="349" t="s">
        <v>453</v>
      </c>
      <c r="H1672" s="350">
        <f t="shared" si="35"/>
        <v>36000</v>
      </c>
      <c r="I1672" s="120" t="str">
        <f>IF(OR(D1672&lt;Capa!$A$5,D1672&gt;Capa!$A$7,E1672&lt;Capa!$A$5,E1672&gt;Capa!$A$7,D1672&gt;E1672),"Erro","")</f>
        <v/>
      </c>
    </row>
    <row r="1673" spans="1:9" ht="30" hidden="1">
      <c r="A1673" s="345">
        <v>2021</v>
      </c>
      <c r="B1673" s="346" t="s">
        <v>294</v>
      </c>
      <c r="C1673" s="347">
        <v>3000</v>
      </c>
      <c r="D1673" s="348">
        <v>46753</v>
      </c>
      <c r="E1673" s="348">
        <v>47058</v>
      </c>
      <c r="F1673" s="346" t="s">
        <v>609</v>
      </c>
      <c r="G1673" s="349" t="s">
        <v>453</v>
      </c>
      <c r="H1673" s="350">
        <f t="shared" si="35"/>
        <v>33000</v>
      </c>
      <c r="I1673" s="120" t="str">
        <f>IF(OR(D1673&lt;Capa!$A$5,D1673&gt;Capa!$A$7,E1673&lt;Capa!$A$5,E1673&gt;Capa!$A$7,D1673&gt;E1673),"Erro","")</f>
        <v/>
      </c>
    </row>
    <row r="1674" spans="1:9" ht="20" hidden="1">
      <c r="A1674" s="345">
        <v>2023</v>
      </c>
      <c r="B1674" s="346" t="s">
        <v>302</v>
      </c>
      <c r="C1674" s="347">
        <v>100</v>
      </c>
      <c r="D1674" s="348">
        <v>45658</v>
      </c>
      <c r="E1674" s="348">
        <v>45992</v>
      </c>
      <c r="F1674" s="346" t="s">
        <v>609</v>
      </c>
      <c r="G1674" s="349" t="s">
        <v>454</v>
      </c>
      <c r="H1674" s="350">
        <f t="shared" si="35"/>
        <v>1200</v>
      </c>
      <c r="I1674" s="120" t="str">
        <f>IF(OR(D1674&lt;Capa!$A$5,D1674&gt;Capa!$A$7,E1674&lt;Capa!$A$5,E1674&gt;Capa!$A$7,D1674&gt;E1674),"Erro","")</f>
        <v/>
      </c>
    </row>
    <row r="1675" spans="1:9" ht="20" hidden="1">
      <c r="A1675" s="345">
        <v>2024</v>
      </c>
      <c r="B1675" s="346" t="s">
        <v>302</v>
      </c>
      <c r="C1675" s="347">
        <v>100</v>
      </c>
      <c r="D1675" s="348">
        <v>46023</v>
      </c>
      <c r="E1675" s="348">
        <v>46357</v>
      </c>
      <c r="F1675" s="346" t="s">
        <v>609</v>
      </c>
      <c r="G1675" s="349" t="s">
        <v>454</v>
      </c>
      <c r="H1675" s="350">
        <f t="shared" si="35"/>
        <v>1200</v>
      </c>
      <c r="I1675" s="120" t="str">
        <f>IF(OR(D1675&lt;Capa!$A$5,D1675&gt;Capa!$A$7,E1675&lt;Capa!$A$5,E1675&gt;Capa!$A$7,D1675&gt;E1675),"Erro","")</f>
        <v/>
      </c>
    </row>
    <row r="1676" spans="1:9" ht="20" hidden="1">
      <c r="A1676" s="345">
        <v>2025</v>
      </c>
      <c r="B1676" s="346" t="s">
        <v>302</v>
      </c>
      <c r="C1676" s="347">
        <v>100</v>
      </c>
      <c r="D1676" s="348">
        <v>46388</v>
      </c>
      <c r="E1676" s="348">
        <v>46722</v>
      </c>
      <c r="F1676" s="346" t="s">
        <v>609</v>
      </c>
      <c r="G1676" s="349" t="s">
        <v>454</v>
      </c>
      <c r="H1676" s="350">
        <f t="shared" si="35"/>
        <v>1200</v>
      </c>
      <c r="I1676" s="120" t="str">
        <f>IF(OR(D1676&lt;Capa!$A$5,D1676&gt;Capa!$A$7,E1676&lt;Capa!$A$5,E1676&gt;Capa!$A$7,D1676&gt;E1676),"Erro","")</f>
        <v/>
      </c>
    </row>
    <row r="1677" spans="1:9" ht="20" hidden="1">
      <c r="A1677" s="345">
        <v>2026</v>
      </c>
      <c r="B1677" s="346" t="s">
        <v>302</v>
      </c>
      <c r="C1677" s="347">
        <v>50</v>
      </c>
      <c r="D1677" s="348">
        <v>46753</v>
      </c>
      <c r="E1677" s="348">
        <v>47058</v>
      </c>
      <c r="F1677" s="346" t="s">
        <v>609</v>
      </c>
      <c r="G1677" s="349" t="s">
        <v>454</v>
      </c>
      <c r="H1677" s="350">
        <f t="shared" si="35"/>
        <v>550</v>
      </c>
      <c r="I1677" s="120" t="str">
        <f>IF(OR(D1677&lt;Capa!$A$5,D1677&gt;Capa!$A$7,E1677&lt;Capa!$A$5,E1677&gt;Capa!$A$7,D1677&gt;E1677),"Erro","")</f>
        <v/>
      </c>
    </row>
    <row r="1678" spans="1:9" ht="30" hidden="1">
      <c r="A1678" s="345">
        <v>2028</v>
      </c>
      <c r="B1678" s="346" t="s">
        <v>304</v>
      </c>
      <c r="C1678" s="347">
        <v>1000</v>
      </c>
      <c r="D1678" s="348">
        <v>45658</v>
      </c>
      <c r="E1678" s="348">
        <v>45992</v>
      </c>
      <c r="F1678" s="346" t="s">
        <v>609</v>
      </c>
      <c r="G1678" s="349" t="s">
        <v>455</v>
      </c>
      <c r="H1678" s="350">
        <f t="shared" si="35"/>
        <v>12000</v>
      </c>
      <c r="I1678" s="120" t="str">
        <f>IF(OR(D1678&lt;Capa!$A$5,D1678&gt;Capa!$A$7,E1678&lt;Capa!$A$5,E1678&gt;Capa!$A$7,D1678&gt;E1678),"Erro","")</f>
        <v/>
      </c>
    </row>
    <row r="1679" spans="1:9" ht="30" hidden="1">
      <c r="A1679" s="345">
        <v>2029</v>
      </c>
      <c r="B1679" s="346" t="s">
        <v>304</v>
      </c>
      <c r="C1679" s="347">
        <v>1000</v>
      </c>
      <c r="D1679" s="348">
        <v>46023</v>
      </c>
      <c r="E1679" s="348">
        <v>46357</v>
      </c>
      <c r="F1679" s="346" t="s">
        <v>609</v>
      </c>
      <c r="G1679" s="349" t="s">
        <v>455</v>
      </c>
      <c r="H1679" s="350">
        <f t="shared" si="35"/>
        <v>12000</v>
      </c>
      <c r="I1679" s="120" t="str">
        <f>IF(OR(D1679&lt;Capa!$A$5,D1679&gt;Capa!$A$7,E1679&lt;Capa!$A$5,E1679&gt;Capa!$A$7,D1679&gt;E1679),"Erro","")</f>
        <v/>
      </c>
    </row>
    <row r="1680" spans="1:9" ht="30" hidden="1">
      <c r="A1680" s="345">
        <v>2030</v>
      </c>
      <c r="B1680" s="346" t="s">
        <v>304</v>
      </c>
      <c r="C1680" s="347">
        <v>1000</v>
      </c>
      <c r="D1680" s="348">
        <v>46388</v>
      </c>
      <c r="E1680" s="348">
        <v>46722</v>
      </c>
      <c r="F1680" s="346" t="s">
        <v>609</v>
      </c>
      <c r="G1680" s="349" t="s">
        <v>455</v>
      </c>
      <c r="H1680" s="350">
        <f t="shared" si="35"/>
        <v>12000</v>
      </c>
      <c r="I1680" s="120" t="str">
        <f>IF(OR(D1680&lt;Capa!$A$5,D1680&gt;Capa!$A$7,E1680&lt;Capa!$A$5,E1680&gt;Capa!$A$7,D1680&gt;E1680),"Erro","")</f>
        <v/>
      </c>
    </row>
    <row r="1681" spans="1:9" ht="30" hidden="1">
      <c r="A1681" s="345">
        <v>2031</v>
      </c>
      <c r="B1681" s="346" t="s">
        <v>304</v>
      </c>
      <c r="C1681" s="347">
        <v>500</v>
      </c>
      <c r="D1681" s="348">
        <v>46753</v>
      </c>
      <c r="E1681" s="348">
        <v>47058</v>
      </c>
      <c r="F1681" s="346" t="s">
        <v>609</v>
      </c>
      <c r="G1681" s="349" t="s">
        <v>455</v>
      </c>
      <c r="H1681" s="350">
        <f t="shared" si="35"/>
        <v>5500</v>
      </c>
      <c r="I1681" s="120" t="str">
        <f>IF(OR(D1681&lt;Capa!$A$5,D1681&gt;Capa!$A$7,E1681&lt;Capa!$A$5,E1681&gt;Capa!$A$7,D1681&gt;E1681),"Erro","")</f>
        <v/>
      </c>
    </row>
    <row r="1682" spans="1:9" ht="30" hidden="1">
      <c r="A1682" s="345">
        <v>2032</v>
      </c>
      <c r="B1682" s="346" t="s">
        <v>312</v>
      </c>
      <c r="C1682" s="347">
        <v>200</v>
      </c>
      <c r="D1682" s="348">
        <v>45658</v>
      </c>
      <c r="E1682" s="348">
        <v>45992</v>
      </c>
      <c r="F1682" s="346" t="s">
        <v>609</v>
      </c>
      <c r="G1682" s="349" t="s">
        <v>571</v>
      </c>
      <c r="H1682" s="350">
        <f t="shared" si="35"/>
        <v>2400</v>
      </c>
      <c r="I1682" s="120" t="str">
        <f>IF(OR(D1682&lt;Capa!$A$5,D1682&gt;Capa!$A$7,E1682&lt;Capa!$A$5,E1682&gt;Capa!$A$7,D1682&gt;E1682),"Erro","")</f>
        <v/>
      </c>
    </row>
    <row r="1683" spans="1:9" ht="30" hidden="1">
      <c r="A1683" s="345">
        <v>2033</v>
      </c>
      <c r="B1683" s="346" t="s">
        <v>312</v>
      </c>
      <c r="C1683" s="347">
        <v>200</v>
      </c>
      <c r="D1683" s="348">
        <v>46023</v>
      </c>
      <c r="E1683" s="348">
        <v>46357</v>
      </c>
      <c r="F1683" s="346" t="s">
        <v>609</v>
      </c>
      <c r="G1683" s="349" t="s">
        <v>571</v>
      </c>
      <c r="H1683" s="350">
        <f t="shared" si="35"/>
        <v>2400</v>
      </c>
      <c r="I1683" s="120" t="str">
        <f>IF(OR(D1683&lt;Capa!$A$5,D1683&gt;Capa!$A$7,E1683&lt;Capa!$A$5,E1683&gt;Capa!$A$7,D1683&gt;E1683),"Erro","")</f>
        <v/>
      </c>
    </row>
    <row r="1684" spans="1:9" ht="30" hidden="1">
      <c r="A1684" s="345">
        <v>2034</v>
      </c>
      <c r="B1684" s="346" t="s">
        <v>312</v>
      </c>
      <c r="C1684" s="347">
        <v>200</v>
      </c>
      <c r="D1684" s="348">
        <v>46388</v>
      </c>
      <c r="E1684" s="348">
        <v>46722</v>
      </c>
      <c r="F1684" s="346" t="s">
        <v>609</v>
      </c>
      <c r="G1684" s="349" t="s">
        <v>571</v>
      </c>
      <c r="H1684" s="350">
        <f t="shared" si="35"/>
        <v>2400</v>
      </c>
      <c r="I1684" s="120" t="str">
        <f>IF(OR(D1684&lt;Capa!$A$5,D1684&gt;Capa!$A$7,E1684&lt;Capa!$A$5,E1684&gt;Capa!$A$7,D1684&gt;E1684),"Erro","")</f>
        <v/>
      </c>
    </row>
    <row r="1685" spans="1:9" ht="30" hidden="1">
      <c r="A1685" s="345">
        <v>2035</v>
      </c>
      <c r="B1685" s="346" t="s">
        <v>312</v>
      </c>
      <c r="C1685" s="347">
        <v>100</v>
      </c>
      <c r="D1685" s="348">
        <v>46753</v>
      </c>
      <c r="E1685" s="348">
        <v>47058</v>
      </c>
      <c r="F1685" s="346" t="s">
        <v>609</v>
      </c>
      <c r="G1685" s="349" t="s">
        <v>571</v>
      </c>
      <c r="H1685" s="350">
        <f t="shared" si="35"/>
        <v>1100</v>
      </c>
      <c r="I1685" s="120" t="str">
        <f>IF(OR(D1685&lt;Capa!$A$5,D1685&gt;Capa!$A$7,E1685&lt;Capa!$A$5,E1685&gt;Capa!$A$7,D1685&gt;E1685),"Erro","")</f>
        <v/>
      </c>
    </row>
    <row r="1686" spans="1:9" ht="50" hidden="1">
      <c r="A1686" s="345">
        <v>2037</v>
      </c>
      <c r="B1686" s="346" t="s">
        <v>316</v>
      </c>
      <c r="C1686" s="347">
        <v>800</v>
      </c>
      <c r="D1686" s="348">
        <v>45658</v>
      </c>
      <c r="E1686" s="348">
        <v>45992</v>
      </c>
      <c r="F1686" s="346" t="s">
        <v>609</v>
      </c>
      <c r="G1686" s="349" t="s">
        <v>741</v>
      </c>
      <c r="H1686" s="350">
        <f t="shared" si="35"/>
        <v>9600</v>
      </c>
      <c r="I1686" s="120" t="str">
        <f>IF(OR(D1686&lt;Capa!$A$5,D1686&gt;Capa!$A$7,E1686&lt;Capa!$A$5,E1686&gt;Capa!$A$7,D1686&gt;E1686),"Erro","")</f>
        <v/>
      </c>
    </row>
    <row r="1687" spans="1:9" ht="50" hidden="1">
      <c r="A1687" s="345">
        <v>2038</v>
      </c>
      <c r="B1687" s="346" t="s">
        <v>316</v>
      </c>
      <c r="C1687" s="347">
        <v>800</v>
      </c>
      <c r="D1687" s="348">
        <v>46023</v>
      </c>
      <c r="E1687" s="348">
        <v>46357</v>
      </c>
      <c r="F1687" s="346" t="s">
        <v>609</v>
      </c>
      <c r="G1687" s="349" t="s">
        <v>741</v>
      </c>
      <c r="H1687" s="350">
        <f t="shared" si="35"/>
        <v>9600</v>
      </c>
      <c r="I1687" s="120" t="str">
        <f>IF(OR(D1687&lt;Capa!$A$5,D1687&gt;Capa!$A$7,E1687&lt;Capa!$A$5,E1687&gt;Capa!$A$7,D1687&gt;E1687),"Erro","")</f>
        <v/>
      </c>
    </row>
    <row r="1688" spans="1:9" ht="50" hidden="1">
      <c r="A1688" s="345">
        <v>2039</v>
      </c>
      <c r="B1688" s="346" t="s">
        <v>316</v>
      </c>
      <c r="C1688" s="347">
        <v>800</v>
      </c>
      <c r="D1688" s="348">
        <v>46388</v>
      </c>
      <c r="E1688" s="348">
        <v>46722</v>
      </c>
      <c r="F1688" s="346" t="s">
        <v>609</v>
      </c>
      <c r="G1688" s="349" t="s">
        <v>741</v>
      </c>
      <c r="H1688" s="350">
        <f t="shared" si="35"/>
        <v>9600</v>
      </c>
      <c r="I1688" s="120" t="str">
        <f>IF(OR(D1688&lt;Capa!$A$5,D1688&gt;Capa!$A$7,E1688&lt;Capa!$A$5,E1688&gt;Capa!$A$7,D1688&gt;E1688),"Erro","")</f>
        <v/>
      </c>
    </row>
    <row r="1689" spans="1:9" ht="50" hidden="1">
      <c r="A1689" s="345">
        <v>2040</v>
      </c>
      <c r="B1689" s="346" t="s">
        <v>316</v>
      </c>
      <c r="C1689" s="347">
        <v>400</v>
      </c>
      <c r="D1689" s="348">
        <v>46753</v>
      </c>
      <c r="E1689" s="348">
        <v>47058</v>
      </c>
      <c r="F1689" s="346" t="s">
        <v>609</v>
      </c>
      <c r="G1689" s="349" t="s">
        <v>741</v>
      </c>
      <c r="H1689" s="350">
        <f t="shared" si="35"/>
        <v>4400</v>
      </c>
      <c r="I1689" s="120" t="str">
        <f>IF(OR(D1689&lt;Capa!$A$5,D1689&gt;Capa!$A$7,E1689&lt;Capa!$A$5,E1689&gt;Capa!$A$7,D1689&gt;E1689),"Erro","")</f>
        <v/>
      </c>
    </row>
    <row r="1690" spans="1:9" ht="50" hidden="1">
      <c r="A1690" s="345">
        <v>2042</v>
      </c>
      <c r="B1690" s="346" t="s">
        <v>318</v>
      </c>
      <c r="C1690" s="347">
        <v>800</v>
      </c>
      <c r="D1690" s="348">
        <v>45658</v>
      </c>
      <c r="E1690" s="348">
        <v>45992</v>
      </c>
      <c r="F1690" s="346" t="s">
        <v>609</v>
      </c>
      <c r="G1690" s="349" t="s">
        <v>572</v>
      </c>
      <c r="H1690" s="350">
        <f t="shared" si="35"/>
        <v>9600</v>
      </c>
      <c r="I1690" s="120" t="str">
        <f>IF(OR(D1690&lt;Capa!$A$5,D1690&gt;Capa!$A$7,E1690&lt;Capa!$A$5,E1690&gt;Capa!$A$7,D1690&gt;E1690),"Erro","")</f>
        <v/>
      </c>
    </row>
    <row r="1691" spans="1:9" ht="50" hidden="1">
      <c r="A1691" s="345">
        <v>2043</v>
      </c>
      <c r="B1691" s="346" t="s">
        <v>318</v>
      </c>
      <c r="C1691" s="347">
        <v>800</v>
      </c>
      <c r="D1691" s="348">
        <v>46023</v>
      </c>
      <c r="E1691" s="348">
        <v>46357</v>
      </c>
      <c r="F1691" s="346" t="s">
        <v>609</v>
      </c>
      <c r="G1691" s="349" t="s">
        <v>572</v>
      </c>
      <c r="H1691" s="350">
        <f t="shared" si="35"/>
        <v>9600</v>
      </c>
      <c r="I1691" s="120" t="str">
        <f>IF(OR(D1691&lt;Capa!$A$5,D1691&gt;Capa!$A$7,E1691&lt;Capa!$A$5,E1691&gt;Capa!$A$7,D1691&gt;E1691),"Erro","")</f>
        <v/>
      </c>
    </row>
    <row r="1692" spans="1:9" ht="50" hidden="1">
      <c r="A1692" s="345">
        <v>2044</v>
      </c>
      <c r="B1692" s="346" t="s">
        <v>318</v>
      </c>
      <c r="C1692" s="347">
        <v>800</v>
      </c>
      <c r="D1692" s="348">
        <v>46388</v>
      </c>
      <c r="E1692" s="348">
        <v>46722</v>
      </c>
      <c r="F1692" s="346" t="s">
        <v>609</v>
      </c>
      <c r="G1692" s="349" t="s">
        <v>572</v>
      </c>
      <c r="H1692" s="350">
        <f t="shared" si="35"/>
        <v>9600</v>
      </c>
      <c r="I1692" s="120" t="str">
        <f>IF(OR(D1692&lt;Capa!$A$5,D1692&gt;Capa!$A$7,E1692&lt;Capa!$A$5,E1692&gt;Capa!$A$7,D1692&gt;E1692),"Erro","")</f>
        <v/>
      </c>
    </row>
    <row r="1693" spans="1:9" ht="50" hidden="1">
      <c r="A1693" s="345">
        <v>2045</v>
      </c>
      <c r="B1693" s="346" t="s">
        <v>318</v>
      </c>
      <c r="C1693" s="347">
        <v>200</v>
      </c>
      <c r="D1693" s="348">
        <v>46753</v>
      </c>
      <c r="E1693" s="348">
        <v>47058</v>
      </c>
      <c r="F1693" s="346" t="s">
        <v>609</v>
      </c>
      <c r="G1693" s="349" t="s">
        <v>572</v>
      </c>
      <c r="H1693" s="350">
        <f t="shared" si="35"/>
        <v>2200</v>
      </c>
      <c r="I1693" s="120" t="str">
        <f>IF(OR(D1693&lt;Capa!$A$5,D1693&gt;Capa!$A$7,E1693&lt;Capa!$A$5,E1693&gt;Capa!$A$7,D1693&gt;E1693),"Erro","")</f>
        <v/>
      </c>
    </row>
    <row r="1694" spans="1:9" ht="50" hidden="1">
      <c r="A1694" s="345">
        <v>2047</v>
      </c>
      <c r="B1694" s="346" t="s">
        <v>318</v>
      </c>
      <c r="C1694" s="347">
        <v>700</v>
      </c>
      <c r="D1694" s="348">
        <v>45658</v>
      </c>
      <c r="E1694" s="348">
        <v>45992</v>
      </c>
      <c r="F1694" s="346" t="s">
        <v>609</v>
      </c>
      <c r="G1694" s="349" t="s">
        <v>456</v>
      </c>
      <c r="H1694" s="350">
        <f t="shared" ref="H1694:H1750" si="36">IFERROR((DATEDIF(D1694,E1694,"M")+1)*C1694,0)</f>
        <v>8400</v>
      </c>
      <c r="I1694" s="120" t="str">
        <f>IF(OR(D1694&lt;Capa!$A$5,D1694&gt;Capa!$A$7,E1694&lt;Capa!$A$5,E1694&gt;Capa!$A$7,D1694&gt;E1694),"Erro","")</f>
        <v/>
      </c>
    </row>
    <row r="1695" spans="1:9" ht="50" hidden="1">
      <c r="A1695" s="345">
        <v>2048</v>
      </c>
      <c r="B1695" s="346" t="s">
        <v>318</v>
      </c>
      <c r="C1695" s="347">
        <v>700</v>
      </c>
      <c r="D1695" s="348">
        <v>46023</v>
      </c>
      <c r="E1695" s="348">
        <v>46357</v>
      </c>
      <c r="F1695" s="346" t="s">
        <v>609</v>
      </c>
      <c r="G1695" s="349" t="s">
        <v>456</v>
      </c>
      <c r="H1695" s="350">
        <f t="shared" si="36"/>
        <v>8400</v>
      </c>
      <c r="I1695" s="120" t="str">
        <f>IF(OR(D1695&lt;Capa!$A$5,D1695&gt;Capa!$A$7,E1695&lt;Capa!$A$5,E1695&gt;Capa!$A$7,D1695&gt;E1695),"Erro","")</f>
        <v/>
      </c>
    </row>
    <row r="1696" spans="1:9" ht="50" hidden="1">
      <c r="A1696" s="345">
        <v>2049</v>
      </c>
      <c r="B1696" s="346" t="s">
        <v>318</v>
      </c>
      <c r="C1696" s="347">
        <v>700</v>
      </c>
      <c r="D1696" s="348">
        <v>46388</v>
      </c>
      <c r="E1696" s="348">
        <v>46722</v>
      </c>
      <c r="F1696" s="346" t="s">
        <v>609</v>
      </c>
      <c r="G1696" s="349" t="s">
        <v>456</v>
      </c>
      <c r="H1696" s="350">
        <f t="shared" si="36"/>
        <v>8400</v>
      </c>
      <c r="I1696" s="120" t="str">
        <f>IF(OR(D1696&lt;Capa!$A$5,D1696&gt;Capa!$A$7,E1696&lt;Capa!$A$5,E1696&gt;Capa!$A$7,D1696&gt;E1696),"Erro","")</f>
        <v/>
      </c>
    </row>
    <row r="1697" spans="1:9" ht="50" hidden="1">
      <c r="A1697" s="345">
        <v>2050</v>
      </c>
      <c r="B1697" s="346" t="s">
        <v>318</v>
      </c>
      <c r="C1697" s="347">
        <v>200</v>
      </c>
      <c r="D1697" s="348">
        <v>46753</v>
      </c>
      <c r="E1697" s="348">
        <v>47058</v>
      </c>
      <c r="F1697" s="346" t="s">
        <v>609</v>
      </c>
      <c r="G1697" s="349" t="s">
        <v>456</v>
      </c>
      <c r="H1697" s="350">
        <f t="shared" si="36"/>
        <v>2200</v>
      </c>
      <c r="I1697" s="120" t="str">
        <f>IF(OR(D1697&lt;Capa!$A$5,D1697&gt;Capa!$A$7,E1697&lt;Capa!$A$5,E1697&gt;Capa!$A$7,D1697&gt;E1697),"Erro","")</f>
        <v/>
      </c>
    </row>
    <row r="1698" spans="1:9" ht="20" hidden="1">
      <c r="A1698" s="345">
        <v>2052</v>
      </c>
      <c r="B1698" s="346" t="s">
        <v>298</v>
      </c>
      <c r="C1698" s="347">
        <v>2450</v>
      </c>
      <c r="D1698" s="348">
        <v>45658</v>
      </c>
      <c r="E1698" s="348">
        <v>45992</v>
      </c>
      <c r="F1698" s="346" t="s">
        <v>609</v>
      </c>
      <c r="G1698" s="349" t="s">
        <v>457</v>
      </c>
      <c r="H1698" s="350">
        <f t="shared" si="36"/>
        <v>29400</v>
      </c>
      <c r="I1698" s="120" t="str">
        <f>IF(OR(D1698&lt;Capa!$A$5,D1698&gt;Capa!$A$7,E1698&lt;Capa!$A$5,E1698&gt;Capa!$A$7,D1698&gt;E1698),"Erro","")</f>
        <v/>
      </c>
    </row>
    <row r="1699" spans="1:9" ht="20" hidden="1">
      <c r="A1699" s="345">
        <v>2053</v>
      </c>
      <c r="B1699" s="346" t="s">
        <v>298</v>
      </c>
      <c r="C1699" s="347">
        <v>2450</v>
      </c>
      <c r="D1699" s="348">
        <v>46023</v>
      </c>
      <c r="E1699" s="348">
        <v>46357</v>
      </c>
      <c r="F1699" s="346" t="s">
        <v>609</v>
      </c>
      <c r="G1699" s="349" t="s">
        <v>457</v>
      </c>
      <c r="H1699" s="350">
        <f t="shared" si="36"/>
        <v>29400</v>
      </c>
      <c r="I1699" s="120" t="str">
        <f>IF(OR(D1699&lt;Capa!$A$5,D1699&gt;Capa!$A$7,E1699&lt;Capa!$A$5,E1699&gt;Capa!$A$7,D1699&gt;E1699),"Erro","")</f>
        <v/>
      </c>
    </row>
    <row r="1700" spans="1:9" ht="20" hidden="1">
      <c r="A1700" s="345">
        <v>2054</v>
      </c>
      <c r="B1700" s="346" t="s">
        <v>298</v>
      </c>
      <c r="C1700" s="347">
        <v>2450</v>
      </c>
      <c r="D1700" s="348">
        <v>46388</v>
      </c>
      <c r="E1700" s="348">
        <v>46722</v>
      </c>
      <c r="F1700" s="346" t="s">
        <v>609</v>
      </c>
      <c r="G1700" s="349" t="s">
        <v>457</v>
      </c>
      <c r="H1700" s="350">
        <f t="shared" si="36"/>
        <v>29400</v>
      </c>
      <c r="I1700" s="120" t="str">
        <f>IF(OR(D1700&lt;Capa!$A$5,D1700&gt;Capa!$A$7,E1700&lt;Capa!$A$5,E1700&gt;Capa!$A$7,D1700&gt;E1700),"Erro","")</f>
        <v/>
      </c>
    </row>
    <row r="1701" spans="1:9" ht="20" hidden="1">
      <c r="A1701" s="345">
        <v>2055</v>
      </c>
      <c r="B1701" s="346" t="s">
        <v>298</v>
      </c>
      <c r="C1701" s="347">
        <v>1250</v>
      </c>
      <c r="D1701" s="348">
        <v>46753</v>
      </c>
      <c r="E1701" s="348">
        <v>47058</v>
      </c>
      <c r="F1701" s="346" t="s">
        <v>609</v>
      </c>
      <c r="G1701" s="349" t="s">
        <v>457</v>
      </c>
      <c r="H1701" s="350">
        <f t="shared" si="36"/>
        <v>13750</v>
      </c>
      <c r="I1701" s="120" t="str">
        <f>IF(OR(D1701&lt;Capa!$A$5,D1701&gt;Capa!$A$7,E1701&lt;Capa!$A$5,E1701&gt;Capa!$A$7,D1701&gt;E1701),"Erro","")</f>
        <v/>
      </c>
    </row>
    <row r="1702" spans="1:9" ht="30" hidden="1">
      <c r="A1702" s="345">
        <v>2056</v>
      </c>
      <c r="B1702" s="346" t="s">
        <v>238</v>
      </c>
      <c r="C1702" s="347">
        <v>480</v>
      </c>
      <c r="D1702" s="348">
        <v>45658</v>
      </c>
      <c r="E1702" s="348">
        <v>45992</v>
      </c>
      <c r="F1702" s="346" t="s">
        <v>609</v>
      </c>
      <c r="G1702" s="349" t="s">
        <v>458</v>
      </c>
      <c r="H1702" s="350">
        <f t="shared" si="36"/>
        <v>5760</v>
      </c>
      <c r="I1702" s="120" t="str">
        <f>IF(OR(D1702&lt;Capa!$A$5,D1702&gt;Capa!$A$7,E1702&lt;Capa!$A$5,E1702&gt;Capa!$A$7,D1702&gt;E1702),"Erro","")</f>
        <v/>
      </c>
    </row>
    <row r="1703" spans="1:9" ht="30" hidden="1">
      <c r="A1703" s="345">
        <v>2057</v>
      </c>
      <c r="B1703" s="346" t="s">
        <v>238</v>
      </c>
      <c r="C1703" s="347">
        <v>480</v>
      </c>
      <c r="D1703" s="348">
        <v>46023</v>
      </c>
      <c r="E1703" s="348">
        <v>46357</v>
      </c>
      <c r="F1703" s="346" t="s">
        <v>609</v>
      </c>
      <c r="G1703" s="349" t="s">
        <v>458</v>
      </c>
      <c r="H1703" s="350">
        <f t="shared" si="36"/>
        <v>5760</v>
      </c>
      <c r="I1703" s="120" t="str">
        <f>IF(OR(D1703&lt;Capa!$A$5,D1703&gt;Capa!$A$7,E1703&lt;Capa!$A$5,E1703&gt;Capa!$A$7,D1703&gt;E1703),"Erro","")</f>
        <v/>
      </c>
    </row>
    <row r="1704" spans="1:9" ht="30" hidden="1">
      <c r="A1704" s="345">
        <v>2058</v>
      </c>
      <c r="B1704" s="346" t="s">
        <v>238</v>
      </c>
      <c r="C1704" s="347">
        <v>480</v>
      </c>
      <c r="D1704" s="348">
        <v>46388</v>
      </c>
      <c r="E1704" s="348">
        <v>46722</v>
      </c>
      <c r="F1704" s="346" t="s">
        <v>609</v>
      </c>
      <c r="G1704" s="349" t="s">
        <v>458</v>
      </c>
      <c r="H1704" s="350">
        <f t="shared" si="36"/>
        <v>5760</v>
      </c>
      <c r="I1704" s="120" t="str">
        <f>IF(OR(D1704&lt;Capa!$A$5,D1704&gt;Capa!$A$7,E1704&lt;Capa!$A$5,E1704&gt;Capa!$A$7,D1704&gt;E1704),"Erro","")</f>
        <v/>
      </c>
    </row>
    <row r="1705" spans="1:9" ht="30" hidden="1">
      <c r="A1705" s="345">
        <v>2059</v>
      </c>
      <c r="B1705" s="346" t="s">
        <v>238</v>
      </c>
      <c r="C1705" s="347">
        <v>240</v>
      </c>
      <c r="D1705" s="348">
        <v>46753</v>
      </c>
      <c r="E1705" s="348">
        <v>47058</v>
      </c>
      <c r="F1705" s="346" t="s">
        <v>609</v>
      </c>
      <c r="G1705" s="349" t="s">
        <v>458</v>
      </c>
      <c r="H1705" s="350">
        <f t="shared" si="36"/>
        <v>2640</v>
      </c>
      <c r="I1705" s="120" t="str">
        <f>IF(OR(D1705&lt;Capa!$A$5,D1705&gt;Capa!$A$7,E1705&lt;Capa!$A$5,E1705&gt;Capa!$A$7,D1705&gt;E1705),"Erro","")</f>
        <v/>
      </c>
    </row>
    <row r="1706" spans="1:9" ht="40" hidden="1">
      <c r="A1706" s="345">
        <v>2061</v>
      </c>
      <c r="B1706" s="346" t="s">
        <v>252</v>
      </c>
      <c r="C1706" s="347">
        <v>8000</v>
      </c>
      <c r="D1706" s="348">
        <v>45658</v>
      </c>
      <c r="E1706" s="348">
        <v>45992</v>
      </c>
      <c r="F1706" s="346" t="s">
        <v>609</v>
      </c>
      <c r="G1706" s="349" t="s">
        <v>459</v>
      </c>
      <c r="H1706" s="350">
        <f t="shared" si="36"/>
        <v>96000</v>
      </c>
      <c r="I1706" s="120" t="str">
        <f>IF(OR(D1706&lt;Capa!$A$5,D1706&gt;Capa!$A$7,E1706&lt;Capa!$A$5,E1706&gt;Capa!$A$7,D1706&gt;E1706),"Erro","")</f>
        <v/>
      </c>
    </row>
    <row r="1707" spans="1:9" ht="40" hidden="1">
      <c r="A1707" s="345">
        <v>2062</v>
      </c>
      <c r="B1707" s="346" t="s">
        <v>252</v>
      </c>
      <c r="C1707" s="347">
        <v>8000</v>
      </c>
      <c r="D1707" s="348">
        <v>46023</v>
      </c>
      <c r="E1707" s="348">
        <v>46357</v>
      </c>
      <c r="F1707" s="346" t="s">
        <v>609</v>
      </c>
      <c r="G1707" s="349" t="s">
        <v>459</v>
      </c>
      <c r="H1707" s="350">
        <f t="shared" si="36"/>
        <v>96000</v>
      </c>
      <c r="I1707" s="120" t="str">
        <f>IF(OR(D1707&lt;Capa!$A$5,D1707&gt;Capa!$A$7,E1707&lt;Capa!$A$5,E1707&gt;Capa!$A$7,D1707&gt;E1707),"Erro","")</f>
        <v/>
      </c>
    </row>
    <row r="1708" spans="1:9" ht="40" hidden="1">
      <c r="A1708" s="345">
        <v>2063</v>
      </c>
      <c r="B1708" s="346" t="s">
        <v>252</v>
      </c>
      <c r="C1708" s="347">
        <v>8000</v>
      </c>
      <c r="D1708" s="348">
        <v>46388</v>
      </c>
      <c r="E1708" s="348">
        <v>46722</v>
      </c>
      <c r="F1708" s="346" t="s">
        <v>609</v>
      </c>
      <c r="G1708" s="349" t="s">
        <v>459</v>
      </c>
      <c r="H1708" s="350">
        <f t="shared" si="36"/>
        <v>96000</v>
      </c>
      <c r="I1708" s="120" t="str">
        <f>IF(OR(D1708&lt;Capa!$A$5,D1708&gt;Capa!$A$7,E1708&lt;Capa!$A$5,E1708&gt;Capa!$A$7,D1708&gt;E1708),"Erro","")</f>
        <v/>
      </c>
    </row>
    <row r="1709" spans="1:9" ht="40" hidden="1">
      <c r="A1709" s="345">
        <v>2064</v>
      </c>
      <c r="B1709" s="346" t="s">
        <v>252</v>
      </c>
      <c r="C1709" s="347">
        <v>4000</v>
      </c>
      <c r="D1709" s="348">
        <v>46753</v>
      </c>
      <c r="E1709" s="348">
        <v>47058</v>
      </c>
      <c r="F1709" s="346" t="s">
        <v>609</v>
      </c>
      <c r="G1709" s="349" t="s">
        <v>459</v>
      </c>
      <c r="H1709" s="350">
        <f t="shared" si="36"/>
        <v>44000</v>
      </c>
      <c r="I1709" s="120" t="str">
        <f>IF(OR(D1709&lt;Capa!$A$5,D1709&gt;Capa!$A$7,E1709&lt;Capa!$A$5,E1709&gt;Capa!$A$7,D1709&gt;E1709),"Erro","")</f>
        <v/>
      </c>
    </row>
    <row r="1710" spans="1:9" ht="20" hidden="1">
      <c r="A1710" s="345">
        <v>2065</v>
      </c>
      <c r="B1710" s="346" t="s">
        <v>620</v>
      </c>
      <c r="C1710" s="347">
        <v>110</v>
      </c>
      <c r="D1710" s="348">
        <v>45658</v>
      </c>
      <c r="E1710" s="348">
        <v>47058</v>
      </c>
      <c r="F1710" s="346" t="s">
        <v>609</v>
      </c>
      <c r="G1710" s="349" t="s">
        <v>662</v>
      </c>
      <c r="H1710" s="350">
        <f t="shared" si="36"/>
        <v>5170</v>
      </c>
      <c r="I1710" s="120" t="str">
        <f>IF(OR(D1710&lt;Capa!$A$5,D1710&gt;Capa!$A$7,E1710&lt;Capa!$A$5,E1710&gt;Capa!$A$7,D1710&gt;E1710),"Erro","")</f>
        <v/>
      </c>
    </row>
    <row r="1711" spans="1:9" ht="20" hidden="1">
      <c r="A1711" s="345">
        <v>2067</v>
      </c>
      <c r="B1711" s="346" t="s">
        <v>622</v>
      </c>
      <c r="C1711" s="347">
        <v>850</v>
      </c>
      <c r="D1711" s="348">
        <v>45658</v>
      </c>
      <c r="E1711" s="348">
        <v>47058</v>
      </c>
      <c r="F1711" s="346" t="s">
        <v>609</v>
      </c>
      <c r="G1711" s="349" t="s">
        <v>664</v>
      </c>
      <c r="H1711" s="350">
        <f t="shared" si="36"/>
        <v>39950</v>
      </c>
      <c r="I1711" s="120" t="str">
        <f>IF(OR(D1711&lt;Capa!$A$5,D1711&gt;Capa!$A$7,E1711&lt;Capa!$A$5,E1711&gt;Capa!$A$7,D1711&gt;E1711),"Erro","")</f>
        <v/>
      </c>
    </row>
    <row r="1712" spans="1:9" ht="30" hidden="1">
      <c r="A1712" s="345">
        <v>2068</v>
      </c>
      <c r="B1712" s="346" t="s">
        <v>621</v>
      </c>
      <c r="C1712" s="347">
        <v>2000</v>
      </c>
      <c r="D1712" s="348">
        <v>46419</v>
      </c>
      <c r="E1712" s="348">
        <v>46419</v>
      </c>
      <c r="F1712" s="346" t="s">
        <v>609</v>
      </c>
      <c r="G1712" s="349" t="s">
        <v>595</v>
      </c>
      <c r="H1712" s="350">
        <f t="shared" si="36"/>
        <v>2000</v>
      </c>
      <c r="I1712" s="120" t="str">
        <f>IF(OR(D1712&lt;Capa!$A$5,D1712&gt;Capa!$A$7,E1712&lt;Capa!$A$5,E1712&gt;Capa!$A$7,D1712&gt;E1712),"Erro","")</f>
        <v/>
      </c>
    </row>
    <row r="1713" spans="1:9" ht="30" hidden="1">
      <c r="A1713" s="345">
        <v>2069</v>
      </c>
      <c r="B1713" s="346" t="s">
        <v>619</v>
      </c>
      <c r="C1713" s="347">
        <v>70</v>
      </c>
      <c r="D1713" s="348">
        <v>45658</v>
      </c>
      <c r="E1713" s="348">
        <v>47058</v>
      </c>
      <c r="F1713" s="346" t="s">
        <v>609</v>
      </c>
      <c r="G1713" s="349" t="s">
        <v>663</v>
      </c>
      <c r="H1713" s="350">
        <f t="shared" si="36"/>
        <v>3290</v>
      </c>
      <c r="I1713" s="120" t="str">
        <f>IF(OR(D1713&lt;Capa!$A$5,D1713&gt;Capa!$A$7,E1713&lt;Capa!$A$5,E1713&gt;Capa!$A$7,D1713&gt;E1713),"Erro","")</f>
        <v/>
      </c>
    </row>
    <row r="1714" spans="1:9" ht="30" hidden="1">
      <c r="A1714" s="345">
        <v>2072</v>
      </c>
      <c r="B1714" s="346" t="s">
        <v>626</v>
      </c>
      <c r="C1714" s="347">
        <v>350</v>
      </c>
      <c r="D1714" s="348">
        <v>45658</v>
      </c>
      <c r="E1714" s="348">
        <v>47058</v>
      </c>
      <c r="F1714" s="346" t="s">
        <v>609</v>
      </c>
      <c r="G1714" s="349" t="s">
        <v>660</v>
      </c>
      <c r="H1714" s="350">
        <f t="shared" ref="H1714:H1718" si="37">IFERROR((DATEDIF(D1714,E1714,"M")+1)*C1714,0)</f>
        <v>16450</v>
      </c>
      <c r="I1714" s="120" t="str">
        <f>IF(OR(D1714&lt;Capa!$A$5,D1714&gt;Capa!$A$7,E1714&lt;Capa!$A$5,E1714&gt;Capa!$A$7,D1714&gt;E1714),"Erro","")</f>
        <v/>
      </c>
    </row>
    <row r="1715" spans="1:9" ht="20" hidden="1">
      <c r="A1715" s="345">
        <v>2073</v>
      </c>
      <c r="B1715" s="346" t="s">
        <v>618</v>
      </c>
      <c r="C1715" s="347">
        <v>2500</v>
      </c>
      <c r="D1715" s="348">
        <v>45658</v>
      </c>
      <c r="E1715" s="348">
        <v>47058</v>
      </c>
      <c r="F1715" s="346" t="s">
        <v>609</v>
      </c>
      <c r="G1715" s="349" t="s">
        <v>657</v>
      </c>
      <c r="H1715" s="350">
        <f t="shared" si="37"/>
        <v>117500</v>
      </c>
      <c r="I1715" s="120" t="str">
        <f>IF(OR(D1715&lt;Capa!$A$5,D1715&gt;Capa!$A$7,E1715&lt;Capa!$A$5,E1715&gt;Capa!$A$7,D1715&gt;E1715),"Erro","")</f>
        <v/>
      </c>
    </row>
    <row r="1716" spans="1:9" ht="30" hidden="1">
      <c r="A1716" s="345">
        <v>2075</v>
      </c>
      <c r="B1716" s="346" t="s">
        <v>623</v>
      </c>
      <c r="C1716" s="347">
        <v>650</v>
      </c>
      <c r="D1716" s="348">
        <v>45992</v>
      </c>
      <c r="E1716" s="348">
        <v>46784</v>
      </c>
      <c r="F1716" s="346" t="s">
        <v>609</v>
      </c>
      <c r="G1716" s="349" t="s">
        <v>658</v>
      </c>
      <c r="H1716" s="350">
        <f t="shared" si="37"/>
        <v>17550</v>
      </c>
      <c r="I1716" s="120" t="str">
        <f>IF(OR(D1716&lt;Capa!$A$5,D1716&gt;Capa!$A$7,E1716&lt;Capa!$A$5,E1716&gt;Capa!$A$7,D1716&gt;E1716),"Erro","")</f>
        <v/>
      </c>
    </row>
    <row r="1717" spans="1:9" ht="20" hidden="1">
      <c r="A1717" s="345">
        <v>2076</v>
      </c>
      <c r="B1717" s="346" t="s">
        <v>625</v>
      </c>
      <c r="C1717" s="347">
        <v>90</v>
      </c>
      <c r="D1717" s="348">
        <v>45658</v>
      </c>
      <c r="E1717" s="348">
        <v>47058</v>
      </c>
      <c r="F1717" s="346" t="s">
        <v>609</v>
      </c>
      <c r="G1717" s="349" t="s">
        <v>659</v>
      </c>
      <c r="H1717" s="350">
        <f t="shared" si="37"/>
        <v>4230</v>
      </c>
      <c r="I1717" s="120" t="str">
        <f>IF(OR(D1717&lt;Capa!$A$5,D1717&gt;Capa!$A$7,E1717&lt;Capa!$A$5,E1717&gt;Capa!$A$7,D1717&gt;E1717),"Erro","")</f>
        <v/>
      </c>
    </row>
    <row r="1718" spans="1:9" ht="20" hidden="1">
      <c r="A1718" s="345">
        <v>2077</v>
      </c>
      <c r="B1718" s="346" t="s">
        <v>627</v>
      </c>
      <c r="C1718" s="347">
        <v>50</v>
      </c>
      <c r="D1718" s="348">
        <v>45658</v>
      </c>
      <c r="E1718" s="348">
        <v>47058</v>
      </c>
      <c r="F1718" s="346" t="s">
        <v>609</v>
      </c>
      <c r="G1718" s="349" t="s">
        <v>661</v>
      </c>
      <c r="H1718" s="350">
        <f t="shared" si="37"/>
        <v>2350</v>
      </c>
      <c r="I1718" s="120" t="str">
        <f>IF(OR(D1718&lt;Capa!$A$5,D1718&gt;Capa!$A$7,E1718&lt;Capa!$A$5,E1718&gt;Capa!$A$7,D1718&gt;E1718),"Erro","")</f>
        <v/>
      </c>
    </row>
    <row r="1719" spans="1:9" ht="30" hidden="1">
      <c r="A1719" s="345">
        <v>2078</v>
      </c>
      <c r="B1719" s="346" t="s">
        <v>617</v>
      </c>
      <c r="C1719" s="347">
        <v>200</v>
      </c>
      <c r="D1719" s="348">
        <v>45658</v>
      </c>
      <c r="E1719" s="348">
        <v>47058</v>
      </c>
      <c r="F1719" s="346" t="s">
        <v>609</v>
      </c>
      <c r="G1719" s="349" t="s">
        <v>639</v>
      </c>
      <c r="H1719" s="350">
        <f t="shared" ref="H1719" si="38">IFERROR((DATEDIF(D1719,E1719,"M")+1)*C1719,0)</f>
        <v>9400</v>
      </c>
      <c r="I1719" s="120" t="str">
        <f>IF(OR(D1719&lt;Capa!$A$5,D1719&gt;Capa!$A$7,E1719&lt;Capa!$A$5,E1719&gt;Capa!$A$7,D1719&gt;E1719),"Erro","")</f>
        <v/>
      </c>
    </row>
    <row r="1720" spans="1:9" ht="20" hidden="1">
      <c r="A1720" s="345">
        <v>2080</v>
      </c>
      <c r="B1720" s="346" t="s">
        <v>198</v>
      </c>
      <c r="C1720" s="347">
        <v>9450</v>
      </c>
      <c r="D1720" s="348">
        <v>45658</v>
      </c>
      <c r="E1720" s="348">
        <v>45992</v>
      </c>
      <c r="F1720" s="346" t="s">
        <v>688</v>
      </c>
      <c r="G1720" s="349" t="s">
        <v>437</v>
      </c>
      <c r="H1720" s="350">
        <f t="shared" si="36"/>
        <v>113400</v>
      </c>
      <c r="I1720" s="120" t="str">
        <f>IF(OR(D1720&lt;Capa!$A$5,D1720&gt;Capa!$A$7,E1720&lt;Capa!$A$5,E1720&gt;Capa!$A$7,D1720&gt;E1720),"Erro","")</f>
        <v/>
      </c>
    </row>
    <row r="1721" spans="1:9" ht="20" hidden="1">
      <c r="A1721" s="345">
        <v>2081</v>
      </c>
      <c r="B1721" s="346" t="s">
        <v>198</v>
      </c>
      <c r="C1721" s="347">
        <v>9922.5</v>
      </c>
      <c r="D1721" s="348">
        <v>46023</v>
      </c>
      <c r="E1721" s="348">
        <v>46357</v>
      </c>
      <c r="F1721" s="346" t="s">
        <v>688</v>
      </c>
      <c r="G1721" s="349" t="s">
        <v>437</v>
      </c>
      <c r="H1721" s="350">
        <f t="shared" si="36"/>
        <v>119070</v>
      </c>
      <c r="I1721" s="120" t="str">
        <f>IF(OR(D1721&lt;Capa!$A$5,D1721&gt;Capa!$A$7,E1721&lt;Capa!$A$5,E1721&gt;Capa!$A$7,D1721&gt;E1721),"Erro","")</f>
        <v/>
      </c>
    </row>
    <row r="1722" spans="1:9" ht="20" hidden="1">
      <c r="A1722" s="345">
        <v>2082</v>
      </c>
      <c r="B1722" s="346" t="s">
        <v>198</v>
      </c>
      <c r="C1722" s="347">
        <v>10418.625</v>
      </c>
      <c r="D1722" s="348">
        <v>46388</v>
      </c>
      <c r="E1722" s="348">
        <v>46722</v>
      </c>
      <c r="F1722" s="346" t="s">
        <v>688</v>
      </c>
      <c r="G1722" s="349" t="s">
        <v>437</v>
      </c>
      <c r="H1722" s="350">
        <f t="shared" si="36"/>
        <v>125023.5</v>
      </c>
      <c r="I1722" s="120" t="str">
        <f>IF(OR(D1722&lt;Capa!$A$5,D1722&gt;Capa!$A$7,E1722&lt;Capa!$A$5,E1722&gt;Capa!$A$7,D1722&gt;E1722),"Erro","")</f>
        <v/>
      </c>
    </row>
    <row r="1723" spans="1:9" ht="20" hidden="1">
      <c r="A1723" s="345">
        <v>2083</v>
      </c>
      <c r="B1723" s="346" t="s">
        <v>198</v>
      </c>
      <c r="C1723" s="347">
        <v>4000</v>
      </c>
      <c r="D1723" s="348">
        <v>46753</v>
      </c>
      <c r="E1723" s="348">
        <v>47058</v>
      </c>
      <c r="F1723" s="346" t="s">
        <v>688</v>
      </c>
      <c r="G1723" s="349" t="s">
        <v>437</v>
      </c>
      <c r="H1723" s="350">
        <f t="shared" si="36"/>
        <v>44000</v>
      </c>
      <c r="I1723" s="120" t="str">
        <f>IF(OR(D1723&lt;Capa!$A$5,D1723&gt;Capa!$A$7,E1723&lt;Capa!$A$5,E1723&gt;Capa!$A$7,D1723&gt;E1723),"Erro","")</f>
        <v/>
      </c>
    </row>
    <row r="1724" spans="1:9" ht="20" hidden="1">
      <c r="A1724" s="345">
        <v>2084</v>
      </c>
      <c r="B1724" s="346" t="s">
        <v>202</v>
      </c>
      <c r="C1724" s="347">
        <v>1500</v>
      </c>
      <c r="D1724" s="348">
        <v>45658</v>
      </c>
      <c r="E1724" s="348">
        <v>45717</v>
      </c>
      <c r="F1724" s="346" t="s">
        <v>688</v>
      </c>
      <c r="G1724" s="349" t="s">
        <v>438</v>
      </c>
      <c r="H1724" s="350">
        <f t="shared" si="36"/>
        <v>4500</v>
      </c>
      <c r="I1724" s="120" t="str">
        <f>IF(OR(D1724&lt;Capa!$A$5,D1724&gt;Capa!$A$7,E1724&lt;Capa!$A$5,E1724&gt;Capa!$A$7,D1724&gt;E1724),"Erro","")</f>
        <v/>
      </c>
    </row>
    <row r="1725" spans="1:9" ht="20" hidden="1">
      <c r="A1725" s="345">
        <v>2085</v>
      </c>
      <c r="B1725" s="346" t="s">
        <v>202</v>
      </c>
      <c r="C1725" s="347">
        <v>1300</v>
      </c>
      <c r="D1725" s="348">
        <v>46023</v>
      </c>
      <c r="E1725" s="348">
        <v>46082</v>
      </c>
      <c r="F1725" s="346" t="s">
        <v>688</v>
      </c>
      <c r="G1725" s="349" t="s">
        <v>438</v>
      </c>
      <c r="H1725" s="350">
        <f t="shared" si="36"/>
        <v>3900</v>
      </c>
      <c r="I1725" s="120" t="str">
        <f>IF(OR(D1725&lt;Capa!$A$5,D1725&gt;Capa!$A$7,E1725&lt;Capa!$A$5,E1725&gt;Capa!$A$7,D1725&gt;E1725),"Erro","")</f>
        <v/>
      </c>
    </row>
    <row r="1726" spans="1:9" ht="20" hidden="1">
      <c r="A1726" s="345">
        <v>2086</v>
      </c>
      <c r="B1726" s="346" t="s">
        <v>202</v>
      </c>
      <c r="C1726" s="347">
        <v>1300</v>
      </c>
      <c r="D1726" s="348">
        <v>46388</v>
      </c>
      <c r="E1726" s="348">
        <v>46447</v>
      </c>
      <c r="F1726" s="346" t="s">
        <v>688</v>
      </c>
      <c r="G1726" s="349" t="s">
        <v>438</v>
      </c>
      <c r="H1726" s="350">
        <f t="shared" si="36"/>
        <v>3900</v>
      </c>
      <c r="I1726" s="120" t="str">
        <f>IF(OR(D1726&lt;Capa!$A$5,D1726&gt;Capa!$A$7,E1726&lt;Capa!$A$5,E1726&gt;Capa!$A$7,D1726&gt;E1726),"Erro","")</f>
        <v/>
      </c>
    </row>
    <row r="1727" spans="1:9" ht="20" hidden="1">
      <c r="A1727" s="345">
        <v>2087</v>
      </c>
      <c r="B1727" s="346" t="s">
        <v>202</v>
      </c>
      <c r="C1727" s="347">
        <v>750</v>
      </c>
      <c r="D1727" s="348">
        <v>46753</v>
      </c>
      <c r="E1727" s="348">
        <v>46813</v>
      </c>
      <c r="F1727" s="346" t="s">
        <v>688</v>
      </c>
      <c r="G1727" s="349" t="s">
        <v>438</v>
      </c>
      <c r="H1727" s="350">
        <f t="shared" si="36"/>
        <v>2250</v>
      </c>
      <c r="I1727" s="120" t="str">
        <f>IF(OR(D1727&lt;Capa!$A$5,D1727&gt;Capa!$A$7,E1727&lt;Capa!$A$5,E1727&gt;Capa!$A$7,D1727&gt;E1727),"Erro","")</f>
        <v/>
      </c>
    </row>
    <row r="1728" spans="1:9" ht="20" hidden="1">
      <c r="A1728" s="345">
        <v>2089</v>
      </c>
      <c r="B1728" s="346" t="s">
        <v>204</v>
      </c>
      <c r="C1728" s="347">
        <v>1250</v>
      </c>
      <c r="D1728" s="348">
        <v>45658</v>
      </c>
      <c r="E1728" s="348">
        <v>45839</v>
      </c>
      <c r="F1728" s="346" t="s">
        <v>688</v>
      </c>
      <c r="G1728" s="349" t="s">
        <v>438</v>
      </c>
      <c r="H1728" s="350">
        <f t="shared" si="36"/>
        <v>8750</v>
      </c>
      <c r="I1728" s="120" t="str">
        <f>IF(OR(D1728&lt;Capa!$A$5,D1728&gt;Capa!$A$7,E1728&lt;Capa!$A$5,E1728&gt;Capa!$A$7,D1728&gt;E1728),"Erro","")</f>
        <v/>
      </c>
    </row>
    <row r="1729" spans="1:9" ht="20" hidden="1">
      <c r="A1729" s="345">
        <v>2090</v>
      </c>
      <c r="B1729" s="346" t="s">
        <v>204</v>
      </c>
      <c r="C1729" s="347">
        <v>1250</v>
      </c>
      <c r="D1729" s="348">
        <v>46023</v>
      </c>
      <c r="E1729" s="348">
        <v>46204</v>
      </c>
      <c r="F1729" s="346" t="s">
        <v>688</v>
      </c>
      <c r="G1729" s="349" t="s">
        <v>438</v>
      </c>
      <c r="H1729" s="350">
        <f t="shared" si="36"/>
        <v>8750</v>
      </c>
      <c r="I1729" s="120" t="str">
        <f>IF(OR(D1729&lt;Capa!$A$5,D1729&gt;Capa!$A$7,E1729&lt;Capa!$A$5,E1729&gt;Capa!$A$7,D1729&gt;E1729),"Erro","")</f>
        <v/>
      </c>
    </row>
    <row r="1730" spans="1:9" ht="20" hidden="1">
      <c r="A1730" s="345">
        <v>2091</v>
      </c>
      <c r="B1730" s="346" t="s">
        <v>204</v>
      </c>
      <c r="C1730" s="347">
        <v>1250</v>
      </c>
      <c r="D1730" s="348">
        <v>46388</v>
      </c>
      <c r="E1730" s="348">
        <v>46569</v>
      </c>
      <c r="F1730" s="346" t="s">
        <v>688</v>
      </c>
      <c r="G1730" s="349" t="s">
        <v>438</v>
      </c>
      <c r="H1730" s="350">
        <f t="shared" si="36"/>
        <v>8750</v>
      </c>
      <c r="I1730" s="120" t="str">
        <f>IF(OR(D1730&lt;Capa!$A$5,D1730&gt;Capa!$A$7,E1730&lt;Capa!$A$5,E1730&gt;Capa!$A$7,D1730&gt;E1730),"Erro","")</f>
        <v/>
      </c>
    </row>
    <row r="1731" spans="1:9" ht="20" hidden="1">
      <c r="A1731" s="345">
        <v>2092</v>
      </c>
      <c r="B1731" s="346" t="s">
        <v>204</v>
      </c>
      <c r="C1731" s="347">
        <v>780</v>
      </c>
      <c r="D1731" s="348">
        <v>46753</v>
      </c>
      <c r="E1731" s="348">
        <v>46935</v>
      </c>
      <c r="F1731" s="346" t="s">
        <v>688</v>
      </c>
      <c r="G1731" s="349" t="s">
        <v>438</v>
      </c>
      <c r="H1731" s="350">
        <f t="shared" si="36"/>
        <v>5460</v>
      </c>
      <c r="I1731" s="120" t="str">
        <f>IF(OR(D1731&lt;Capa!$A$5,D1731&gt;Capa!$A$7,E1731&lt;Capa!$A$5,E1731&gt;Capa!$A$7,D1731&gt;E1731),"Erro","")</f>
        <v/>
      </c>
    </row>
    <row r="1732" spans="1:9" ht="20" hidden="1">
      <c r="A1732" s="345">
        <v>2094</v>
      </c>
      <c r="B1732" s="346" t="s">
        <v>206</v>
      </c>
      <c r="C1732" s="347">
        <v>1000</v>
      </c>
      <c r="D1732" s="348">
        <v>45689</v>
      </c>
      <c r="E1732" s="348">
        <v>45992</v>
      </c>
      <c r="F1732" s="346" t="s">
        <v>688</v>
      </c>
      <c r="G1732" s="349" t="s">
        <v>439</v>
      </c>
      <c r="H1732" s="350">
        <f t="shared" si="36"/>
        <v>11000</v>
      </c>
      <c r="I1732" s="120" t="str">
        <f>IF(OR(D1732&lt;Capa!$A$5,D1732&gt;Capa!$A$7,E1732&lt;Capa!$A$5,E1732&gt;Capa!$A$7,D1732&gt;E1732),"Erro","")</f>
        <v/>
      </c>
    </row>
    <row r="1733" spans="1:9" ht="20" hidden="1">
      <c r="A1733" s="345">
        <v>2095</v>
      </c>
      <c r="B1733" s="346" t="s">
        <v>206</v>
      </c>
      <c r="C1733" s="347">
        <v>1000</v>
      </c>
      <c r="D1733" s="348">
        <v>46023</v>
      </c>
      <c r="E1733" s="348">
        <v>46357</v>
      </c>
      <c r="F1733" s="346" t="s">
        <v>688</v>
      </c>
      <c r="G1733" s="349" t="s">
        <v>439</v>
      </c>
      <c r="H1733" s="350">
        <f t="shared" si="36"/>
        <v>12000</v>
      </c>
      <c r="I1733" s="120" t="str">
        <f>IF(OR(D1733&lt;Capa!$A$5,D1733&gt;Capa!$A$7,E1733&lt;Capa!$A$5,E1733&gt;Capa!$A$7,D1733&gt;E1733),"Erro","")</f>
        <v/>
      </c>
    </row>
    <row r="1734" spans="1:9" ht="20" hidden="1">
      <c r="A1734" s="345">
        <v>2096</v>
      </c>
      <c r="B1734" s="346" t="s">
        <v>206</v>
      </c>
      <c r="C1734" s="347">
        <v>1000</v>
      </c>
      <c r="D1734" s="348">
        <v>46388</v>
      </c>
      <c r="E1734" s="348">
        <v>46722</v>
      </c>
      <c r="F1734" s="346" t="s">
        <v>688</v>
      </c>
      <c r="G1734" s="349" t="s">
        <v>439</v>
      </c>
      <c r="H1734" s="350">
        <f t="shared" si="36"/>
        <v>12000</v>
      </c>
      <c r="I1734" s="120" t="str">
        <f>IF(OR(D1734&lt;Capa!$A$5,D1734&gt;Capa!$A$7,E1734&lt;Capa!$A$5,E1734&gt;Capa!$A$7,D1734&gt;E1734),"Erro","")</f>
        <v/>
      </c>
    </row>
    <row r="1735" spans="1:9" ht="20" hidden="1">
      <c r="A1735" s="345">
        <v>2097</v>
      </c>
      <c r="B1735" s="346" t="s">
        <v>206</v>
      </c>
      <c r="C1735" s="347">
        <v>500</v>
      </c>
      <c r="D1735" s="348">
        <v>46753</v>
      </c>
      <c r="E1735" s="348">
        <v>47058</v>
      </c>
      <c r="F1735" s="346" t="s">
        <v>688</v>
      </c>
      <c r="G1735" s="349" t="s">
        <v>439</v>
      </c>
      <c r="H1735" s="350">
        <f t="shared" si="36"/>
        <v>5500</v>
      </c>
      <c r="I1735" s="120" t="str">
        <f>IF(OR(D1735&lt;Capa!$A$5,D1735&gt;Capa!$A$7,E1735&lt;Capa!$A$5,E1735&gt;Capa!$A$7,D1735&gt;E1735),"Erro","")</f>
        <v/>
      </c>
    </row>
    <row r="1736" spans="1:9" ht="20" hidden="1">
      <c r="A1736" s="345">
        <v>2099</v>
      </c>
      <c r="B1736" s="346" t="s">
        <v>208</v>
      </c>
      <c r="C1736" s="347">
        <v>850</v>
      </c>
      <c r="D1736" s="348">
        <v>45689</v>
      </c>
      <c r="E1736" s="348">
        <v>45992</v>
      </c>
      <c r="F1736" s="346" t="s">
        <v>688</v>
      </c>
      <c r="G1736" s="349" t="s">
        <v>439</v>
      </c>
      <c r="H1736" s="350">
        <f t="shared" si="36"/>
        <v>9350</v>
      </c>
      <c r="I1736" s="120" t="str">
        <f>IF(OR(D1736&lt;Capa!$A$5,D1736&gt;Capa!$A$7,E1736&lt;Capa!$A$5,E1736&gt;Capa!$A$7,D1736&gt;E1736),"Erro","")</f>
        <v/>
      </c>
    </row>
    <row r="1737" spans="1:9" ht="20" hidden="1">
      <c r="A1737" s="345">
        <v>2100</v>
      </c>
      <c r="B1737" s="346" t="s">
        <v>208</v>
      </c>
      <c r="C1737" s="347">
        <v>850</v>
      </c>
      <c r="D1737" s="348">
        <v>46023</v>
      </c>
      <c r="E1737" s="348">
        <v>46357</v>
      </c>
      <c r="F1737" s="346" t="s">
        <v>688</v>
      </c>
      <c r="G1737" s="349" t="s">
        <v>439</v>
      </c>
      <c r="H1737" s="350">
        <f t="shared" si="36"/>
        <v>10200</v>
      </c>
      <c r="I1737" s="120" t="str">
        <f>IF(OR(D1737&lt;Capa!$A$5,D1737&gt;Capa!$A$7,E1737&lt;Capa!$A$5,E1737&gt;Capa!$A$7,D1737&gt;E1737),"Erro","")</f>
        <v/>
      </c>
    </row>
    <row r="1738" spans="1:9" ht="20" hidden="1">
      <c r="A1738" s="345">
        <v>2101</v>
      </c>
      <c r="B1738" s="346" t="s">
        <v>208</v>
      </c>
      <c r="C1738" s="347">
        <v>850</v>
      </c>
      <c r="D1738" s="348">
        <v>46388</v>
      </c>
      <c r="E1738" s="348">
        <v>46722</v>
      </c>
      <c r="F1738" s="346" t="s">
        <v>688</v>
      </c>
      <c r="G1738" s="349" t="s">
        <v>439</v>
      </c>
      <c r="H1738" s="350">
        <f t="shared" si="36"/>
        <v>10200</v>
      </c>
      <c r="I1738" s="120" t="str">
        <f>IF(OR(D1738&lt;Capa!$A$5,D1738&gt;Capa!$A$7,E1738&lt;Capa!$A$5,E1738&gt;Capa!$A$7,D1738&gt;E1738),"Erro","")</f>
        <v/>
      </c>
    </row>
    <row r="1739" spans="1:9" ht="20" hidden="1">
      <c r="A1739" s="345">
        <v>2102</v>
      </c>
      <c r="B1739" s="346" t="s">
        <v>208</v>
      </c>
      <c r="C1739" s="347">
        <v>400</v>
      </c>
      <c r="D1739" s="348">
        <v>46753</v>
      </c>
      <c r="E1739" s="348">
        <v>47058</v>
      </c>
      <c r="F1739" s="346" t="s">
        <v>688</v>
      </c>
      <c r="G1739" s="349" t="s">
        <v>439</v>
      </c>
      <c r="H1739" s="350">
        <f t="shared" si="36"/>
        <v>4400</v>
      </c>
      <c r="I1739" s="120" t="str">
        <f>IF(OR(D1739&lt;Capa!$A$5,D1739&gt;Capa!$A$7,E1739&lt;Capa!$A$5,E1739&gt;Capa!$A$7,D1739&gt;E1739),"Erro","")</f>
        <v/>
      </c>
    </row>
    <row r="1740" spans="1:9" ht="20" hidden="1">
      <c r="A1740" s="345">
        <v>2104</v>
      </c>
      <c r="B1740" s="346" t="s">
        <v>210</v>
      </c>
      <c r="C1740" s="347">
        <v>60</v>
      </c>
      <c r="D1740" s="348">
        <v>45689</v>
      </c>
      <c r="E1740" s="348">
        <v>45992</v>
      </c>
      <c r="F1740" s="346" t="s">
        <v>688</v>
      </c>
      <c r="G1740" s="349" t="s">
        <v>439</v>
      </c>
      <c r="H1740" s="350">
        <f t="shared" si="36"/>
        <v>660</v>
      </c>
      <c r="I1740" s="120" t="str">
        <f>IF(OR(D1740&lt;Capa!$A$5,D1740&gt;Capa!$A$7,E1740&lt;Capa!$A$5,E1740&gt;Capa!$A$7,D1740&gt;E1740),"Erro","")</f>
        <v/>
      </c>
    </row>
    <row r="1741" spans="1:9" ht="20" hidden="1">
      <c r="A1741" s="345">
        <v>2105</v>
      </c>
      <c r="B1741" s="346" t="s">
        <v>210</v>
      </c>
      <c r="C1741" s="347">
        <v>60</v>
      </c>
      <c r="D1741" s="348">
        <v>46023</v>
      </c>
      <c r="E1741" s="348">
        <v>46357</v>
      </c>
      <c r="F1741" s="346" t="s">
        <v>688</v>
      </c>
      <c r="G1741" s="349" t="s">
        <v>439</v>
      </c>
      <c r="H1741" s="350">
        <f t="shared" si="36"/>
        <v>720</v>
      </c>
      <c r="I1741" s="120" t="str">
        <f>IF(OR(D1741&lt;Capa!$A$5,D1741&gt;Capa!$A$7,E1741&lt;Capa!$A$5,E1741&gt;Capa!$A$7,D1741&gt;E1741),"Erro","")</f>
        <v/>
      </c>
    </row>
    <row r="1742" spans="1:9" ht="20" hidden="1">
      <c r="A1742" s="345">
        <v>2106</v>
      </c>
      <c r="B1742" s="346" t="s">
        <v>210</v>
      </c>
      <c r="C1742" s="347">
        <v>60</v>
      </c>
      <c r="D1742" s="348">
        <v>46388</v>
      </c>
      <c r="E1742" s="348">
        <v>46722</v>
      </c>
      <c r="F1742" s="346" t="s">
        <v>688</v>
      </c>
      <c r="G1742" s="349" t="s">
        <v>439</v>
      </c>
      <c r="H1742" s="350">
        <f t="shared" si="36"/>
        <v>720</v>
      </c>
      <c r="I1742" s="120" t="str">
        <f>IF(OR(D1742&lt;Capa!$A$5,D1742&gt;Capa!$A$7,E1742&lt;Capa!$A$5,E1742&gt;Capa!$A$7,D1742&gt;E1742),"Erro","")</f>
        <v/>
      </c>
    </row>
    <row r="1743" spans="1:9" ht="20" hidden="1">
      <c r="A1743" s="345">
        <v>2107</v>
      </c>
      <c r="B1743" s="346" t="s">
        <v>210</v>
      </c>
      <c r="C1743" s="347">
        <v>49</v>
      </c>
      <c r="D1743" s="348">
        <v>46753</v>
      </c>
      <c r="E1743" s="348">
        <v>47058</v>
      </c>
      <c r="F1743" s="346" t="s">
        <v>688</v>
      </c>
      <c r="G1743" s="349" t="s">
        <v>439</v>
      </c>
      <c r="H1743" s="350">
        <f t="shared" si="36"/>
        <v>539</v>
      </c>
      <c r="I1743" s="120" t="str">
        <f>IF(OR(D1743&lt;Capa!$A$5,D1743&gt;Capa!$A$7,E1743&lt;Capa!$A$5,E1743&gt;Capa!$A$7,D1743&gt;E1743),"Erro","")</f>
        <v/>
      </c>
    </row>
    <row r="1744" spans="1:9" ht="20" hidden="1">
      <c r="A1744" s="345">
        <v>2109</v>
      </c>
      <c r="B1744" s="346" t="s">
        <v>214</v>
      </c>
      <c r="C1744" s="347">
        <v>140</v>
      </c>
      <c r="D1744" s="348">
        <v>45689</v>
      </c>
      <c r="E1744" s="348">
        <v>45992</v>
      </c>
      <c r="F1744" s="346" t="s">
        <v>688</v>
      </c>
      <c r="G1744" s="349" t="s">
        <v>439</v>
      </c>
      <c r="H1744" s="350">
        <f t="shared" si="36"/>
        <v>1540</v>
      </c>
      <c r="I1744" s="120" t="str">
        <f>IF(OR(D1744&lt;Capa!$A$5,D1744&gt;Capa!$A$7,E1744&lt;Capa!$A$5,E1744&gt;Capa!$A$7,D1744&gt;E1744),"Erro","")</f>
        <v/>
      </c>
    </row>
    <row r="1745" spans="1:9" ht="20" hidden="1">
      <c r="A1745" s="345">
        <v>2110</v>
      </c>
      <c r="B1745" s="346" t="s">
        <v>214</v>
      </c>
      <c r="C1745" s="347">
        <v>140</v>
      </c>
      <c r="D1745" s="348">
        <v>46023</v>
      </c>
      <c r="E1745" s="348">
        <v>46357</v>
      </c>
      <c r="F1745" s="346" t="s">
        <v>688</v>
      </c>
      <c r="G1745" s="349" t="s">
        <v>439</v>
      </c>
      <c r="H1745" s="350">
        <f t="shared" si="36"/>
        <v>1680</v>
      </c>
      <c r="I1745" s="120" t="str">
        <f>IF(OR(D1745&lt;Capa!$A$5,D1745&gt;Capa!$A$7,E1745&lt;Capa!$A$5,E1745&gt;Capa!$A$7,D1745&gt;E1745),"Erro","")</f>
        <v/>
      </c>
    </row>
    <row r="1746" spans="1:9" ht="20" hidden="1">
      <c r="A1746" s="345">
        <v>2111</v>
      </c>
      <c r="B1746" s="346" t="s">
        <v>214</v>
      </c>
      <c r="C1746" s="347">
        <v>140</v>
      </c>
      <c r="D1746" s="348">
        <v>46388</v>
      </c>
      <c r="E1746" s="348">
        <v>46722</v>
      </c>
      <c r="F1746" s="346" t="s">
        <v>688</v>
      </c>
      <c r="G1746" s="349" t="s">
        <v>439</v>
      </c>
      <c r="H1746" s="350">
        <f t="shared" si="36"/>
        <v>1680</v>
      </c>
      <c r="I1746" s="120" t="str">
        <f>IF(OR(D1746&lt;Capa!$A$5,D1746&gt;Capa!$A$7,E1746&lt;Capa!$A$5,E1746&gt;Capa!$A$7,D1746&gt;E1746),"Erro","")</f>
        <v/>
      </c>
    </row>
    <row r="1747" spans="1:9" ht="20" hidden="1">
      <c r="A1747" s="345">
        <v>2112</v>
      </c>
      <c r="B1747" s="346" t="s">
        <v>214</v>
      </c>
      <c r="C1747" s="347">
        <v>70</v>
      </c>
      <c r="D1747" s="348">
        <v>46753</v>
      </c>
      <c r="E1747" s="348">
        <v>47058</v>
      </c>
      <c r="F1747" s="346" t="s">
        <v>688</v>
      </c>
      <c r="G1747" s="349" t="s">
        <v>439</v>
      </c>
      <c r="H1747" s="350">
        <f t="shared" si="36"/>
        <v>770</v>
      </c>
      <c r="I1747" s="120" t="str">
        <f>IF(OR(D1747&lt;Capa!$A$5,D1747&gt;Capa!$A$7,E1747&lt;Capa!$A$5,E1747&gt;Capa!$A$7,D1747&gt;E1747),"Erro","")</f>
        <v/>
      </c>
    </row>
    <row r="1748" spans="1:9" ht="20" hidden="1">
      <c r="A1748" s="345">
        <v>2114</v>
      </c>
      <c r="B1748" s="346" t="s">
        <v>212</v>
      </c>
      <c r="C1748" s="347">
        <v>260</v>
      </c>
      <c r="D1748" s="348">
        <v>45689</v>
      </c>
      <c r="E1748" s="348">
        <v>45992</v>
      </c>
      <c r="F1748" s="346" t="s">
        <v>688</v>
      </c>
      <c r="G1748" s="349" t="s">
        <v>439</v>
      </c>
      <c r="H1748" s="350">
        <f t="shared" si="36"/>
        <v>2860</v>
      </c>
      <c r="I1748" s="120" t="str">
        <f>IF(OR(D1748&lt;Capa!$A$5,D1748&gt;Capa!$A$7,E1748&lt;Capa!$A$5,E1748&gt;Capa!$A$7,D1748&gt;E1748),"Erro","")</f>
        <v/>
      </c>
    </row>
    <row r="1749" spans="1:9" ht="20" hidden="1">
      <c r="A1749" s="345">
        <v>2115</v>
      </c>
      <c r="B1749" s="346" t="s">
        <v>212</v>
      </c>
      <c r="C1749" s="347">
        <v>260</v>
      </c>
      <c r="D1749" s="348">
        <v>46023</v>
      </c>
      <c r="E1749" s="348">
        <v>46357</v>
      </c>
      <c r="F1749" s="346" t="s">
        <v>688</v>
      </c>
      <c r="G1749" s="349" t="s">
        <v>439</v>
      </c>
      <c r="H1749" s="350">
        <f t="shared" si="36"/>
        <v>3120</v>
      </c>
      <c r="I1749" s="120" t="str">
        <f>IF(OR(D1749&lt;Capa!$A$5,D1749&gt;Capa!$A$7,E1749&lt;Capa!$A$5,E1749&gt;Capa!$A$7,D1749&gt;E1749),"Erro","")</f>
        <v/>
      </c>
    </row>
    <row r="1750" spans="1:9" ht="20" hidden="1">
      <c r="A1750" s="345">
        <v>2116</v>
      </c>
      <c r="B1750" s="346" t="s">
        <v>212</v>
      </c>
      <c r="C1750" s="347">
        <v>260</v>
      </c>
      <c r="D1750" s="348">
        <v>46388</v>
      </c>
      <c r="E1750" s="348">
        <v>46722</v>
      </c>
      <c r="F1750" s="346" t="s">
        <v>688</v>
      </c>
      <c r="G1750" s="349" t="s">
        <v>439</v>
      </c>
      <c r="H1750" s="350">
        <f t="shared" si="36"/>
        <v>3120</v>
      </c>
      <c r="I1750" s="120" t="str">
        <f>IF(OR(D1750&lt;Capa!$A$5,D1750&gt;Capa!$A$7,E1750&lt;Capa!$A$5,E1750&gt;Capa!$A$7,D1750&gt;E1750),"Erro","")</f>
        <v/>
      </c>
    </row>
    <row r="1751" spans="1:9" ht="20" hidden="1">
      <c r="A1751" s="345">
        <v>2117</v>
      </c>
      <c r="B1751" s="346" t="s">
        <v>212</v>
      </c>
      <c r="C1751" s="347">
        <v>220</v>
      </c>
      <c r="D1751" s="348">
        <v>46753</v>
      </c>
      <c r="E1751" s="348">
        <v>47058</v>
      </c>
      <c r="F1751" s="346" t="s">
        <v>688</v>
      </c>
      <c r="G1751" s="349" t="s">
        <v>439</v>
      </c>
      <c r="H1751" s="350">
        <f t="shared" ref="H1751:H1798" si="39">IFERROR((DATEDIF(D1751,E1751,"M")+1)*C1751,0)</f>
        <v>2420</v>
      </c>
      <c r="I1751" s="120" t="str">
        <f>IF(OR(D1751&lt;Capa!$A$5,D1751&gt;Capa!$A$7,E1751&lt;Capa!$A$5,E1751&gt;Capa!$A$7,D1751&gt;E1751),"Erro","")</f>
        <v/>
      </c>
    </row>
    <row r="1752" spans="1:9" ht="40" hidden="1">
      <c r="A1752" s="345">
        <v>2118</v>
      </c>
      <c r="B1752" s="346" t="s">
        <v>248</v>
      </c>
      <c r="C1752" s="347">
        <v>846</v>
      </c>
      <c r="D1752" s="348">
        <v>45717</v>
      </c>
      <c r="E1752" s="348">
        <v>45901</v>
      </c>
      <c r="F1752" s="346" t="s">
        <v>688</v>
      </c>
      <c r="G1752" s="349" t="s">
        <v>440</v>
      </c>
      <c r="H1752" s="350">
        <f t="shared" si="39"/>
        <v>5922</v>
      </c>
      <c r="I1752" s="120" t="str">
        <f>IF(OR(D1752&lt;Capa!$A$5,D1752&gt;Capa!$A$7,E1752&lt;Capa!$A$5,E1752&gt;Capa!$A$7,D1752&gt;E1752),"Erro","")</f>
        <v/>
      </c>
    </row>
    <row r="1753" spans="1:9" ht="40" hidden="1">
      <c r="A1753" s="345">
        <v>2119</v>
      </c>
      <c r="B1753" s="346" t="s">
        <v>248</v>
      </c>
      <c r="C1753" s="347">
        <v>846</v>
      </c>
      <c r="D1753" s="348">
        <v>46023</v>
      </c>
      <c r="E1753" s="348">
        <v>46113</v>
      </c>
      <c r="F1753" s="346" t="s">
        <v>688</v>
      </c>
      <c r="G1753" s="349" t="s">
        <v>440</v>
      </c>
      <c r="H1753" s="350">
        <f t="shared" si="39"/>
        <v>3384</v>
      </c>
      <c r="I1753" s="120" t="str">
        <f>IF(OR(D1753&lt;Capa!$A$5,D1753&gt;Capa!$A$7,E1753&lt;Capa!$A$5,E1753&gt;Capa!$A$7,D1753&gt;E1753),"Erro","")</f>
        <v/>
      </c>
    </row>
    <row r="1754" spans="1:9" ht="40" hidden="1">
      <c r="A1754" s="345">
        <v>2120</v>
      </c>
      <c r="B1754" s="346" t="s">
        <v>248</v>
      </c>
      <c r="C1754" s="347">
        <v>846</v>
      </c>
      <c r="D1754" s="348">
        <v>46388</v>
      </c>
      <c r="E1754" s="348">
        <v>46478</v>
      </c>
      <c r="F1754" s="346" t="s">
        <v>688</v>
      </c>
      <c r="G1754" s="349" t="s">
        <v>440</v>
      </c>
      <c r="H1754" s="350">
        <f t="shared" si="39"/>
        <v>3384</v>
      </c>
      <c r="I1754" s="120" t="str">
        <f>IF(OR(D1754&lt;Capa!$A$5,D1754&gt;Capa!$A$7,E1754&lt;Capa!$A$5,E1754&gt;Capa!$A$7,D1754&gt;E1754),"Erro","")</f>
        <v/>
      </c>
    </row>
    <row r="1755" spans="1:9" ht="40" hidden="1">
      <c r="A1755" s="345">
        <v>2121</v>
      </c>
      <c r="B1755" s="346" t="s">
        <v>248</v>
      </c>
      <c r="C1755" s="347">
        <v>500</v>
      </c>
      <c r="D1755" s="348">
        <v>46753</v>
      </c>
      <c r="E1755" s="348">
        <v>46844</v>
      </c>
      <c r="F1755" s="346" t="s">
        <v>688</v>
      </c>
      <c r="G1755" s="349" t="s">
        <v>440</v>
      </c>
      <c r="H1755" s="350">
        <f t="shared" si="39"/>
        <v>2000</v>
      </c>
      <c r="I1755" s="120" t="str">
        <f>IF(OR(D1755&lt;Capa!$A$5,D1755&gt;Capa!$A$7,E1755&lt;Capa!$A$5,E1755&gt;Capa!$A$7,D1755&gt;E1755),"Erro","")</f>
        <v/>
      </c>
    </row>
    <row r="1756" spans="1:9" ht="30" hidden="1">
      <c r="A1756" s="345">
        <v>2123</v>
      </c>
      <c r="B1756" s="346" t="s">
        <v>266</v>
      </c>
      <c r="C1756" s="347">
        <v>1500</v>
      </c>
      <c r="D1756" s="348">
        <v>45717</v>
      </c>
      <c r="E1756" s="348">
        <v>45717</v>
      </c>
      <c r="F1756" s="346" t="s">
        <v>688</v>
      </c>
      <c r="G1756" s="349" t="s">
        <v>441</v>
      </c>
      <c r="H1756" s="350">
        <f t="shared" si="39"/>
        <v>1500</v>
      </c>
      <c r="I1756" s="120" t="str">
        <f>IF(OR(D1756&lt;Capa!$A$5,D1756&gt;Capa!$A$7,E1756&lt;Capa!$A$5,E1756&gt;Capa!$A$7,D1756&gt;E1756),"Erro","")</f>
        <v/>
      </c>
    </row>
    <row r="1757" spans="1:9" ht="30" hidden="1">
      <c r="A1757" s="345">
        <v>2124</v>
      </c>
      <c r="B1757" s="346" t="s">
        <v>266</v>
      </c>
      <c r="C1757" s="347">
        <v>1500</v>
      </c>
      <c r="D1757" s="348">
        <v>46023</v>
      </c>
      <c r="E1757" s="348">
        <v>46023</v>
      </c>
      <c r="F1757" s="346" t="s">
        <v>688</v>
      </c>
      <c r="G1757" s="349" t="s">
        <v>441</v>
      </c>
      <c r="H1757" s="350">
        <f t="shared" si="39"/>
        <v>1500</v>
      </c>
      <c r="I1757" s="120" t="str">
        <f>IF(OR(D1757&lt;Capa!$A$5,D1757&gt;Capa!$A$7,E1757&lt;Capa!$A$5,E1757&gt;Capa!$A$7,D1757&gt;E1757),"Erro","")</f>
        <v/>
      </c>
    </row>
    <row r="1758" spans="1:9" ht="30" hidden="1">
      <c r="A1758" s="345">
        <v>2125</v>
      </c>
      <c r="B1758" s="346" t="s">
        <v>266</v>
      </c>
      <c r="C1758" s="347">
        <v>1500</v>
      </c>
      <c r="D1758" s="348">
        <v>46388</v>
      </c>
      <c r="E1758" s="348">
        <v>46388</v>
      </c>
      <c r="F1758" s="346" t="s">
        <v>688</v>
      </c>
      <c r="G1758" s="349" t="s">
        <v>441</v>
      </c>
      <c r="H1758" s="350">
        <f t="shared" si="39"/>
        <v>1500</v>
      </c>
      <c r="I1758" s="120" t="str">
        <f>IF(OR(D1758&lt;Capa!$A$5,D1758&gt;Capa!$A$7,E1758&lt;Capa!$A$5,E1758&gt;Capa!$A$7,D1758&gt;E1758),"Erro","")</f>
        <v/>
      </c>
    </row>
    <row r="1759" spans="1:9" ht="30" hidden="1">
      <c r="A1759" s="345">
        <v>2126</v>
      </c>
      <c r="B1759" s="346" t="s">
        <v>266</v>
      </c>
      <c r="C1759" s="347">
        <v>750</v>
      </c>
      <c r="D1759" s="348">
        <v>46753</v>
      </c>
      <c r="E1759" s="348">
        <v>46753</v>
      </c>
      <c r="F1759" s="346" t="s">
        <v>688</v>
      </c>
      <c r="G1759" s="349" t="s">
        <v>441</v>
      </c>
      <c r="H1759" s="350">
        <f t="shared" si="39"/>
        <v>750</v>
      </c>
      <c r="I1759" s="120" t="str">
        <f>IF(OR(D1759&lt;Capa!$A$5,D1759&gt;Capa!$A$7,E1759&lt;Capa!$A$5,E1759&gt;Capa!$A$7,D1759&gt;E1759),"Erro","")</f>
        <v/>
      </c>
    </row>
    <row r="1760" spans="1:9" hidden="1">
      <c r="A1760" s="345">
        <v>2128</v>
      </c>
      <c r="B1760" s="346" t="s">
        <v>274</v>
      </c>
      <c r="C1760" s="347">
        <v>850</v>
      </c>
      <c r="D1760" s="348">
        <v>45717</v>
      </c>
      <c r="E1760" s="348">
        <v>45992</v>
      </c>
      <c r="F1760" s="346" t="s">
        <v>688</v>
      </c>
      <c r="G1760" s="349" t="s">
        <v>442</v>
      </c>
      <c r="H1760" s="350">
        <f t="shared" si="39"/>
        <v>8500</v>
      </c>
      <c r="I1760" s="120" t="str">
        <f>IF(OR(D1760&lt;Capa!$A$5,D1760&gt;Capa!$A$7,E1760&lt;Capa!$A$5,E1760&gt;Capa!$A$7,D1760&gt;E1760),"Erro","")</f>
        <v/>
      </c>
    </row>
    <row r="1761" spans="1:9" hidden="1">
      <c r="A1761" s="345">
        <v>2129</v>
      </c>
      <c r="B1761" s="346" t="s">
        <v>274</v>
      </c>
      <c r="C1761" s="347">
        <v>850</v>
      </c>
      <c r="D1761" s="348">
        <v>46023</v>
      </c>
      <c r="E1761" s="348">
        <v>46357</v>
      </c>
      <c r="F1761" s="346" t="s">
        <v>688</v>
      </c>
      <c r="G1761" s="349" t="s">
        <v>442</v>
      </c>
      <c r="H1761" s="350">
        <f t="shared" si="39"/>
        <v>10200</v>
      </c>
      <c r="I1761" s="120" t="str">
        <f>IF(OR(D1761&lt;Capa!$A$5,D1761&gt;Capa!$A$7,E1761&lt;Capa!$A$5,E1761&gt;Capa!$A$7,D1761&gt;E1761),"Erro","")</f>
        <v/>
      </c>
    </row>
    <row r="1762" spans="1:9" hidden="1">
      <c r="A1762" s="345">
        <v>2130</v>
      </c>
      <c r="B1762" s="346" t="s">
        <v>274</v>
      </c>
      <c r="C1762" s="347">
        <v>850</v>
      </c>
      <c r="D1762" s="348">
        <v>46388</v>
      </c>
      <c r="E1762" s="348">
        <v>46722</v>
      </c>
      <c r="F1762" s="346" t="s">
        <v>688</v>
      </c>
      <c r="G1762" s="349" t="s">
        <v>442</v>
      </c>
      <c r="H1762" s="350">
        <f t="shared" si="39"/>
        <v>10200</v>
      </c>
      <c r="I1762" s="120" t="str">
        <f>IF(OR(D1762&lt;Capa!$A$5,D1762&gt;Capa!$A$7,E1762&lt;Capa!$A$5,E1762&gt;Capa!$A$7,D1762&gt;E1762),"Erro","")</f>
        <v/>
      </c>
    </row>
    <row r="1763" spans="1:9" hidden="1">
      <c r="A1763" s="345">
        <v>2131</v>
      </c>
      <c r="B1763" s="346" t="s">
        <v>274</v>
      </c>
      <c r="C1763" s="347">
        <v>450</v>
      </c>
      <c r="D1763" s="348">
        <v>46753</v>
      </c>
      <c r="E1763" s="348">
        <v>47058</v>
      </c>
      <c r="F1763" s="346" t="s">
        <v>688</v>
      </c>
      <c r="G1763" s="349" t="s">
        <v>442</v>
      </c>
      <c r="H1763" s="350">
        <f t="shared" si="39"/>
        <v>4950</v>
      </c>
      <c r="I1763" s="120" t="str">
        <f>IF(OR(D1763&lt;Capa!$A$5,D1763&gt;Capa!$A$7,E1763&lt;Capa!$A$5,E1763&gt;Capa!$A$7,D1763&gt;E1763),"Erro","")</f>
        <v/>
      </c>
    </row>
    <row r="1764" spans="1:9" ht="40" hidden="1">
      <c r="A1764" s="345">
        <v>2133</v>
      </c>
      <c r="B1764" s="346" t="s">
        <v>236</v>
      </c>
      <c r="C1764" s="347">
        <v>450</v>
      </c>
      <c r="D1764" s="348">
        <v>45717</v>
      </c>
      <c r="E1764" s="348">
        <v>45992</v>
      </c>
      <c r="F1764" s="346" t="s">
        <v>688</v>
      </c>
      <c r="G1764" s="349" t="s">
        <v>443</v>
      </c>
      <c r="H1764" s="350">
        <f t="shared" si="39"/>
        <v>4500</v>
      </c>
      <c r="I1764" s="120" t="str">
        <f>IF(OR(D1764&lt;Capa!$A$5,D1764&gt;Capa!$A$7,E1764&lt;Capa!$A$5,E1764&gt;Capa!$A$7,D1764&gt;E1764),"Erro","")</f>
        <v/>
      </c>
    </row>
    <row r="1765" spans="1:9" ht="40" hidden="1">
      <c r="A1765" s="345">
        <v>2134</v>
      </c>
      <c r="B1765" s="346" t="s">
        <v>236</v>
      </c>
      <c r="C1765" s="347">
        <v>450</v>
      </c>
      <c r="D1765" s="348">
        <v>46023</v>
      </c>
      <c r="E1765" s="348">
        <v>46357</v>
      </c>
      <c r="F1765" s="346" t="s">
        <v>688</v>
      </c>
      <c r="G1765" s="349" t="s">
        <v>443</v>
      </c>
      <c r="H1765" s="350">
        <f t="shared" si="39"/>
        <v>5400</v>
      </c>
      <c r="I1765" s="120" t="str">
        <f>IF(OR(D1765&lt;Capa!$A$5,D1765&gt;Capa!$A$7,E1765&lt;Capa!$A$5,E1765&gt;Capa!$A$7,D1765&gt;E1765),"Erro","")</f>
        <v/>
      </c>
    </row>
    <row r="1766" spans="1:9" ht="40" hidden="1">
      <c r="A1766" s="345">
        <v>2135</v>
      </c>
      <c r="B1766" s="346" t="s">
        <v>236</v>
      </c>
      <c r="C1766" s="347">
        <v>450</v>
      </c>
      <c r="D1766" s="348">
        <v>46388</v>
      </c>
      <c r="E1766" s="348">
        <v>46722</v>
      </c>
      <c r="F1766" s="346" t="s">
        <v>688</v>
      </c>
      <c r="G1766" s="349" t="s">
        <v>443</v>
      </c>
      <c r="H1766" s="350">
        <f t="shared" si="39"/>
        <v>5400</v>
      </c>
      <c r="I1766" s="120" t="str">
        <f>IF(OR(D1766&lt;Capa!$A$5,D1766&gt;Capa!$A$7,E1766&lt;Capa!$A$5,E1766&gt;Capa!$A$7,D1766&gt;E1766),"Erro","")</f>
        <v/>
      </c>
    </row>
    <row r="1767" spans="1:9" ht="40" hidden="1">
      <c r="A1767" s="345">
        <v>2136</v>
      </c>
      <c r="B1767" s="346" t="s">
        <v>236</v>
      </c>
      <c r="C1767" s="347">
        <v>200</v>
      </c>
      <c r="D1767" s="348">
        <v>46753</v>
      </c>
      <c r="E1767" s="348">
        <v>47058</v>
      </c>
      <c r="F1767" s="346" t="s">
        <v>688</v>
      </c>
      <c r="G1767" s="349" t="s">
        <v>443</v>
      </c>
      <c r="H1767" s="350">
        <f t="shared" si="39"/>
        <v>2200</v>
      </c>
      <c r="I1767" s="120" t="str">
        <f>IF(OR(D1767&lt;Capa!$A$5,D1767&gt;Capa!$A$7,E1767&lt;Capa!$A$5,E1767&gt;Capa!$A$7,D1767&gt;E1767),"Erro","")</f>
        <v/>
      </c>
    </row>
    <row r="1768" spans="1:9" ht="30" hidden="1">
      <c r="A1768" s="345">
        <v>2138</v>
      </c>
      <c r="B1768" s="346" t="s">
        <v>240</v>
      </c>
      <c r="C1768" s="347">
        <v>50</v>
      </c>
      <c r="D1768" s="348">
        <v>45748</v>
      </c>
      <c r="E1768" s="348">
        <v>45992</v>
      </c>
      <c r="F1768" s="346" t="s">
        <v>688</v>
      </c>
      <c r="G1768" s="349" t="s">
        <v>444</v>
      </c>
      <c r="H1768" s="350">
        <f t="shared" si="39"/>
        <v>450</v>
      </c>
      <c r="I1768" s="120" t="str">
        <f>IF(OR(D1768&lt;Capa!$A$5,D1768&gt;Capa!$A$7,E1768&lt;Capa!$A$5,E1768&gt;Capa!$A$7,D1768&gt;E1768),"Erro","")</f>
        <v/>
      </c>
    </row>
    <row r="1769" spans="1:9" ht="30" hidden="1">
      <c r="A1769" s="345">
        <v>2139</v>
      </c>
      <c r="B1769" s="346" t="s">
        <v>240</v>
      </c>
      <c r="C1769" s="347">
        <v>50</v>
      </c>
      <c r="D1769" s="348">
        <v>46023</v>
      </c>
      <c r="E1769" s="348">
        <v>46357</v>
      </c>
      <c r="F1769" s="346" t="s">
        <v>688</v>
      </c>
      <c r="G1769" s="349" t="s">
        <v>444</v>
      </c>
      <c r="H1769" s="350">
        <f t="shared" si="39"/>
        <v>600</v>
      </c>
      <c r="I1769" s="120" t="str">
        <f>IF(OR(D1769&lt;Capa!$A$5,D1769&gt;Capa!$A$7,E1769&lt;Capa!$A$5,E1769&gt;Capa!$A$7,D1769&gt;E1769),"Erro","")</f>
        <v/>
      </c>
    </row>
    <row r="1770" spans="1:9" ht="30" hidden="1">
      <c r="A1770" s="345">
        <v>2140</v>
      </c>
      <c r="B1770" s="346" t="s">
        <v>240</v>
      </c>
      <c r="C1770" s="347">
        <v>50</v>
      </c>
      <c r="D1770" s="348">
        <v>46388</v>
      </c>
      <c r="E1770" s="348">
        <v>46722</v>
      </c>
      <c r="F1770" s="346" t="s">
        <v>688</v>
      </c>
      <c r="G1770" s="349" t="s">
        <v>444</v>
      </c>
      <c r="H1770" s="350">
        <f t="shared" si="39"/>
        <v>600</v>
      </c>
      <c r="I1770" s="120" t="str">
        <f>IF(OR(D1770&lt;Capa!$A$5,D1770&gt;Capa!$A$7,E1770&lt;Capa!$A$5,E1770&gt;Capa!$A$7,D1770&gt;E1770),"Erro","")</f>
        <v/>
      </c>
    </row>
    <row r="1771" spans="1:9" ht="30" hidden="1">
      <c r="A1771" s="345">
        <v>2141</v>
      </c>
      <c r="B1771" s="346" t="s">
        <v>240</v>
      </c>
      <c r="C1771" s="347">
        <v>25</v>
      </c>
      <c r="D1771" s="348">
        <v>46753</v>
      </c>
      <c r="E1771" s="348">
        <v>47058</v>
      </c>
      <c r="F1771" s="346" t="s">
        <v>688</v>
      </c>
      <c r="G1771" s="349" t="s">
        <v>444</v>
      </c>
      <c r="H1771" s="350">
        <f t="shared" si="39"/>
        <v>275</v>
      </c>
      <c r="I1771" s="120" t="str">
        <f>IF(OR(D1771&lt;Capa!$A$5,D1771&gt;Capa!$A$7,E1771&lt;Capa!$A$5,E1771&gt;Capa!$A$7,D1771&gt;E1771),"Erro","")</f>
        <v/>
      </c>
    </row>
    <row r="1772" spans="1:9" ht="30" hidden="1">
      <c r="A1772" s="345">
        <v>2143</v>
      </c>
      <c r="B1772" s="346" t="s">
        <v>244</v>
      </c>
      <c r="C1772" s="347">
        <v>250</v>
      </c>
      <c r="D1772" s="348">
        <v>45717</v>
      </c>
      <c r="E1772" s="348">
        <v>45992</v>
      </c>
      <c r="F1772" s="346" t="s">
        <v>688</v>
      </c>
      <c r="G1772" s="349" t="s">
        <v>445</v>
      </c>
      <c r="H1772" s="350">
        <f t="shared" si="39"/>
        <v>2500</v>
      </c>
      <c r="I1772" s="120" t="str">
        <f>IF(OR(D1772&lt;Capa!$A$5,D1772&gt;Capa!$A$7,E1772&lt;Capa!$A$5,E1772&gt;Capa!$A$7,D1772&gt;E1772),"Erro","")</f>
        <v/>
      </c>
    </row>
    <row r="1773" spans="1:9" ht="30" hidden="1">
      <c r="A1773" s="345">
        <v>2144</v>
      </c>
      <c r="B1773" s="346" t="s">
        <v>244</v>
      </c>
      <c r="C1773" s="347">
        <v>250</v>
      </c>
      <c r="D1773" s="348">
        <v>46023</v>
      </c>
      <c r="E1773" s="348">
        <v>46357</v>
      </c>
      <c r="F1773" s="346" t="s">
        <v>688</v>
      </c>
      <c r="G1773" s="349" t="s">
        <v>445</v>
      </c>
      <c r="H1773" s="350">
        <f t="shared" si="39"/>
        <v>3000</v>
      </c>
      <c r="I1773" s="120" t="str">
        <f>IF(OR(D1773&lt;Capa!$A$5,D1773&gt;Capa!$A$7,E1773&lt;Capa!$A$5,E1773&gt;Capa!$A$7,D1773&gt;E1773),"Erro","")</f>
        <v/>
      </c>
    </row>
    <row r="1774" spans="1:9" ht="30" hidden="1">
      <c r="A1774" s="345">
        <v>2145</v>
      </c>
      <c r="B1774" s="346" t="s">
        <v>244</v>
      </c>
      <c r="C1774" s="347">
        <v>250</v>
      </c>
      <c r="D1774" s="348">
        <v>46388</v>
      </c>
      <c r="E1774" s="348">
        <v>46722</v>
      </c>
      <c r="F1774" s="346" t="s">
        <v>688</v>
      </c>
      <c r="G1774" s="349" t="s">
        <v>445</v>
      </c>
      <c r="H1774" s="350">
        <f t="shared" si="39"/>
        <v>3000</v>
      </c>
      <c r="I1774" s="120" t="str">
        <f>IF(OR(D1774&lt;Capa!$A$5,D1774&gt;Capa!$A$7,E1774&lt;Capa!$A$5,E1774&gt;Capa!$A$7,D1774&gt;E1774),"Erro","")</f>
        <v/>
      </c>
    </row>
    <row r="1775" spans="1:9" ht="30" hidden="1">
      <c r="A1775" s="345">
        <v>2146</v>
      </c>
      <c r="B1775" s="346" t="s">
        <v>244</v>
      </c>
      <c r="C1775" s="347">
        <v>125</v>
      </c>
      <c r="D1775" s="348">
        <v>46753</v>
      </c>
      <c r="E1775" s="348">
        <v>47058</v>
      </c>
      <c r="F1775" s="346" t="s">
        <v>688</v>
      </c>
      <c r="G1775" s="349" t="s">
        <v>445</v>
      </c>
      <c r="H1775" s="350">
        <f t="shared" si="39"/>
        <v>1375</v>
      </c>
      <c r="I1775" s="120" t="str">
        <f>IF(OR(D1775&lt;Capa!$A$5,D1775&gt;Capa!$A$7,E1775&lt;Capa!$A$5,E1775&gt;Capa!$A$7,D1775&gt;E1775),"Erro","")</f>
        <v/>
      </c>
    </row>
    <row r="1776" spans="1:9" ht="20" hidden="1">
      <c r="A1776" s="345">
        <v>2147</v>
      </c>
      <c r="B1776" s="346" t="s">
        <v>246</v>
      </c>
      <c r="C1776" s="347">
        <v>390</v>
      </c>
      <c r="D1776" s="348">
        <v>45717</v>
      </c>
      <c r="E1776" s="348">
        <v>45992</v>
      </c>
      <c r="F1776" s="346" t="s">
        <v>688</v>
      </c>
      <c r="G1776" s="349" t="s">
        <v>446</v>
      </c>
      <c r="H1776" s="350">
        <f t="shared" si="39"/>
        <v>3900</v>
      </c>
      <c r="I1776" s="120" t="str">
        <f>IF(OR(D1776&lt;Capa!$A$5,D1776&gt;Capa!$A$7,E1776&lt;Capa!$A$5,E1776&gt;Capa!$A$7,D1776&gt;E1776),"Erro","")</f>
        <v/>
      </c>
    </row>
    <row r="1777" spans="1:9" ht="20" hidden="1">
      <c r="A1777" s="345">
        <v>2148</v>
      </c>
      <c r="B1777" s="346" t="s">
        <v>246</v>
      </c>
      <c r="C1777" s="347">
        <v>390</v>
      </c>
      <c r="D1777" s="348">
        <v>46023</v>
      </c>
      <c r="E1777" s="348">
        <v>46357</v>
      </c>
      <c r="F1777" s="346" t="s">
        <v>688</v>
      </c>
      <c r="G1777" s="349" t="s">
        <v>446</v>
      </c>
      <c r="H1777" s="350">
        <f t="shared" si="39"/>
        <v>4680</v>
      </c>
      <c r="I1777" s="120" t="str">
        <f>IF(OR(D1777&lt;Capa!$A$5,D1777&gt;Capa!$A$7,E1777&lt;Capa!$A$5,E1777&gt;Capa!$A$7,D1777&gt;E1777),"Erro","")</f>
        <v/>
      </c>
    </row>
    <row r="1778" spans="1:9" ht="20" hidden="1">
      <c r="A1778" s="345">
        <v>2149</v>
      </c>
      <c r="B1778" s="346" t="s">
        <v>246</v>
      </c>
      <c r="C1778" s="347">
        <v>390</v>
      </c>
      <c r="D1778" s="348">
        <v>46388</v>
      </c>
      <c r="E1778" s="348">
        <v>46722</v>
      </c>
      <c r="F1778" s="346" t="s">
        <v>688</v>
      </c>
      <c r="G1778" s="349" t="s">
        <v>446</v>
      </c>
      <c r="H1778" s="350">
        <f t="shared" si="39"/>
        <v>4680</v>
      </c>
      <c r="I1778" s="120" t="str">
        <f>IF(OR(D1778&lt;Capa!$A$5,D1778&gt;Capa!$A$7,E1778&lt;Capa!$A$5,E1778&gt;Capa!$A$7,D1778&gt;E1778),"Erro","")</f>
        <v/>
      </c>
    </row>
    <row r="1779" spans="1:9" ht="20" hidden="1">
      <c r="A1779" s="345">
        <v>2150</v>
      </c>
      <c r="B1779" s="346" t="s">
        <v>246</v>
      </c>
      <c r="C1779" s="347">
        <v>190</v>
      </c>
      <c r="D1779" s="348">
        <v>46753</v>
      </c>
      <c r="E1779" s="348">
        <v>47058</v>
      </c>
      <c r="F1779" s="346" t="s">
        <v>688</v>
      </c>
      <c r="G1779" s="349" t="s">
        <v>446</v>
      </c>
      <c r="H1779" s="350">
        <f t="shared" si="39"/>
        <v>2090</v>
      </c>
      <c r="I1779" s="120" t="str">
        <f>IF(OR(D1779&lt;Capa!$A$5,D1779&gt;Capa!$A$7,E1779&lt;Capa!$A$5,E1779&gt;Capa!$A$7,D1779&gt;E1779),"Erro","")</f>
        <v/>
      </c>
    </row>
    <row r="1780" spans="1:9" ht="30" hidden="1">
      <c r="A1780" s="345">
        <v>2152</v>
      </c>
      <c r="B1780" s="346" t="s">
        <v>258</v>
      </c>
      <c r="C1780" s="347">
        <v>50</v>
      </c>
      <c r="D1780" s="348">
        <v>45717</v>
      </c>
      <c r="E1780" s="348">
        <v>45992</v>
      </c>
      <c r="F1780" s="346" t="s">
        <v>688</v>
      </c>
      <c r="G1780" s="349" t="s">
        <v>447</v>
      </c>
      <c r="H1780" s="350">
        <f t="shared" si="39"/>
        <v>500</v>
      </c>
      <c r="I1780" s="120" t="str">
        <f>IF(OR(D1780&lt;Capa!$A$5,D1780&gt;Capa!$A$7,E1780&lt;Capa!$A$5,E1780&gt;Capa!$A$7,D1780&gt;E1780),"Erro","")</f>
        <v/>
      </c>
    </row>
    <row r="1781" spans="1:9" ht="30" hidden="1">
      <c r="A1781" s="345">
        <v>2153</v>
      </c>
      <c r="B1781" s="346" t="s">
        <v>258</v>
      </c>
      <c r="C1781" s="347">
        <v>50</v>
      </c>
      <c r="D1781" s="348">
        <v>46023</v>
      </c>
      <c r="E1781" s="348">
        <v>46357</v>
      </c>
      <c r="F1781" s="346" t="s">
        <v>688</v>
      </c>
      <c r="G1781" s="349" t="s">
        <v>447</v>
      </c>
      <c r="H1781" s="350">
        <f t="shared" si="39"/>
        <v>600</v>
      </c>
      <c r="I1781" s="120" t="str">
        <f>IF(OR(D1781&lt;Capa!$A$5,D1781&gt;Capa!$A$7,E1781&lt;Capa!$A$5,E1781&gt;Capa!$A$7,D1781&gt;E1781),"Erro","")</f>
        <v/>
      </c>
    </row>
    <row r="1782" spans="1:9" ht="30" hidden="1">
      <c r="A1782" s="345">
        <v>2154</v>
      </c>
      <c r="B1782" s="346" t="s">
        <v>258</v>
      </c>
      <c r="C1782" s="347">
        <v>50</v>
      </c>
      <c r="D1782" s="348">
        <v>46388</v>
      </c>
      <c r="E1782" s="348">
        <v>46722</v>
      </c>
      <c r="F1782" s="346" t="s">
        <v>688</v>
      </c>
      <c r="G1782" s="349" t="s">
        <v>447</v>
      </c>
      <c r="H1782" s="350">
        <f t="shared" si="39"/>
        <v>600</v>
      </c>
      <c r="I1782" s="120" t="str">
        <f>IF(OR(D1782&lt;Capa!$A$5,D1782&gt;Capa!$A$7,E1782&lt;Capa!$A$5,E1782&gt;Capa!$A$7,D1782&gt;E1782),"Erro","")</f>
        <v/>
      </c>
    </row>
    <row r="1783" spans="1:9" ht="30" hidden="1">
      <c r="A1783" s="345">
        <v>2155</v>
      </c>
      <c r="B1783" s="346" t="s">
        <v>258</v>
      </c>
      <c r="C1783" s="347">
        <v>20</v>
      </c>
      <c r="D1783" s="348">
        <v>46753</v>
      </c>
      <c r="E1783" s="348">
        <v>47058</v>
      </c>
      <c r="F1783" s="346" t="s">
        <v>688</v>
      </c>
      <c r="G1783" s="349" t="s">
        <v>447</v>
      </c>
      <c r="H1783" s="350">
        <f t="shared" si="39"/>
        <v>220</v>
      </c>
      <c r="I1783" s="120" t="str">
        <f>IF(OR(D1783&lt;Capa!$A$5,D1783&gt;Capa!$A$7,E1783&lt;Capa!$A$5,E1783&gt;Capa!$A$7,D1783&gt;E1783),"Erro","")</f>
        <v/>
      </c>
    </row>
    <row r="1784" spans="1:9" ht="40" hidden="1">
      <c r="A1784" s="345">
        <v>2156</v>
      </c>
      <c r="B1784" s="346" t="s">
        <v>276</v>
      </c>
      <c r="C1784" s="347">
        <v>500</v>
      </c>
      <c r="D1784" s="348">
        <v>45717</v>
      </c>
      <c r="E1784" s="348">
        <v>47058</v>
      </c>
      <c r="F1784" s="346" t="s">
        <v>688</v>
      </c>
      <c r="G1784" s="349" t="s">
        <v>448</v>
      </c>
      <c r="H1784" s="350">
        <f t="shared" si="39"/>
        <v>22500</v>
      </c>
      <c r="I1784" s="120" t="str">
        <f>IF(OR(D1784&lt;Capa!$A$5,D1784&gt;Capa!$A$7,E1784&lt;Capa!$A$5,E1784&gt;Capa!$A$7,D1784&gt;E1784),"Erro","")</f>
        <v/>
      </c>
    </row>
    <row r="1785" spans="1:9" ht="40">
      <c r="A1785" s="345">
        <v>2158</v>
      </c>
      <c r="B1785" s="346" t="s">
        <v>278</v>
      </c>
      <c r="C1785" s="347">
        <v>33000</v>
      </c>
      <c r="D1785" s="348">
        <v>45717</v>
      </c>
      <c r="E1785" s="348">
        <v>45992</v>
      </c>
      <c r="F1785" s="346" t="s">
        <v>688</v>
      </c>
      <c r="G1785" s="349" t="s">
        <v>449</v>
      </c>
      <c r="H1785" s="350">
        <f t="shared" si="39"/>
        <v>330000</v>
      </c>
      <c r="I1785" s="120" t="str">
        <f>IF(OR(D1785&lt;Capa!$A$5,D1785&gt;Capa!$A$7,E1785&lt;Capa!$A$5,E1785&gt;Capa!$A$7,D1785&gt;E1785),"Erro","")</f>
        <v/>
      </c>
    </row>
    <row r="1786" spans="1:9" ht="40">
      <c r="A1786" s="345">
        <v>2159</v>
      </c>
      <c r="B1786" s="346" t="s">
        <v>278</v>
      </c>
      <c r="C1786" s="347">
        <v>33000</v>
      </c>
      <c r="D1786" s="348">
        <v>46023</v>
      </c>
      <c r="E1786" s="348">
        <v>46357</v>
      </c>
      <c r="F1786" s="346" t="s">
        <v>688</v>
      </c>
      <c r="G1786" s="349" t="s">
        <v>449</v>
      </c>
      <c r="H1786" s="350">
        <f t="shared" si="39"/>
        <v>396000</v>
      </c>
      <c r="I1786" s="120" t="str">
        <f>IF(OR(D1786&lt;Capa!$A$5,D1786&gt;Capa!$A$7,E1786&lt;Capa!$A$5,E1786&gt;Capa!$A$7,D1786&gt;E1786),"Erro","")</f>
        <v/>
      </c>
    </row>
    <row r="1787" spans="1:9" ht="40">
      <c r="A1787" s="345">
        <v>2160</v>
      </c>
      <c r="B1787" s="346" t="s">
        <v>278</v>
      </c>
      <c r="C1787" s="347">
        <v>33000</v>
      </c>
      <c r="D1787" s="348">
        <v>46388</v>
      </c>
      <c r="E1787" s="348">
        <v>46722</v>
      </c>
      <c r="F1787" s="346" t="s">
        <v>688</v>
      </c>
      <c r="G1787" s="349" t="s">
        <v>449</v>
      </c>
      <c r="H1787" s="350">
        <f t="shared" si="39"/>
        <v>396000</v>
      </c>
      <c r="I1787" s="120" t="str">
        <f>IF(OR(D1787&lt;Capa!$A$5,D1787&gt;Capa!$A$7,E1787&lt;Capa!$A$5,E1787&gt;Capa!$A$7,D1787&gt;E1787),"Erro","")</f>
        <v/>
      </c>
    </row>
    <row r="1788" spans="1:9" ht="40">
      <c r="A1788" s="345">
        <v>2161</v>
      </c>
      <c r="B1788" s="346" t="s">
        <v>278</v>
      </c>
      <c r="C1788" s="347">
        <v>18500</v>
      </c>
      <c r="D1788" s="348">
        <v>46753</v>
      </c>
      <c r="E1788" s="348">
        <v>47058</v>
      </c>
      <c r="F1788" s="346" t="s">
        <v>688</v>
      </c>
      <c r="G1788" s="349" t="s">
        <v>449</v>
      </c>
      <c r="H1788" s="350">
        <f t="shared" si="39"/>
        <v>203500</v>
      </c>
      <c r="I1788" s="120" t="str">
        <f>IF(OR(D1788&lt;Capa!$A$5,D1788&gt;Capa!$A$7,E1788&lt;Capa!$A$5,E1788&gt;Capa!$A$7,D1788&gt;E1788),"Erro","")</f>
        <v/>
      </c>
    </row>
    <row r="1789" spans="1:9" ht="40" hidden="1">
      <c r="A1789" s="345">
        <v>2163</v>
      </c>
      <c r="B1789" s="346" t="s">
        <v>280</v>
      </c>
      <c r="C1789" s="347">
        <v>100</v>
      </c>
      <c r="D1789" s="348">
        <v>45809</v>
      </c>
      <c r="E1789" s="348">
        <v>45992</v>
      </c>
      <c r="F1789" s="346" t="s">
        <v>688</v>
      </c>
      <c r="G1789" s="349" t="s">
        <v>450</v>
      </c>
      <c r="H1789" s="350">
        <f t="shared" si="39"/>
        <v>700</v>
      </c>
      <c r="I1789" s="120" t="str">
        <f>IF(OR(D1789&lt;Capa!$A$5,D1789&gt;Capa!$A$7,E1789&lt;Capa!$A$5,E1789&gt;Capa!$A$7,D1789&gt;E1789),"Erro","")</f>
        <v/>
      </c>
    </row>
    <row r="1790" spans="1:9" ht="40" hidden="1">
      <c r="A1790" s="345">
        <v>2164</v>
      </c>
      <c r="B1790" s="346" t="s">
        <v>280</v>
      </c>
      <c r="C1790" s="347">
        <v>100</v>
      </c>
      <c r="D1790" s="348">
        <v>46023</v>
      </c>
      <c r="E1790" s="348">
        <v>46357</v>
      </c>
      <c r="F1790" s="346" t="s">
        <v>688</v>
      </c>
      <c r="G1790" s="349" t="s">
        <v>450</v>
      </c>
      <c r="H1790" s="350">
        <f t="shared" si="39"/>
        <v>1200</v>
      </c>
      <c r="I1790" s="120" t="str">
        <f>IF(OR(D1790&lt;Capa!$A$5,D1790&gt;Capa!$A$7,E1790&lt;Capa!$A$5,E1790&gt;Capa!$A$7,D1790&gt;E1790),"Erro","")</f>
        <v/>
      </c>
    </row>
    <row r="1791" spans="1:9" ht="40" hidden="1">
      <c r="A1791" s="345">
        <v>2165</v>
      </c>
      <c r="B1791" s="346" t="s">
        <v>280</v>
      </c>
      <c r="C1791" s="347">
        <v>100</v>
      </c>
      <c r="D1791" s="348">
        <v>46388</v>
      </c>
      <c r="E1791" s="348">
        <v>46722</v>
      </c>
      <c r="F1791" s="346" t="s">
        <v>688</v>
      </c>
      <c r="G1791" s="349" t="s">
        <v>450</v>
      </c>
      <c r="H1791" s="350">
        <f t="shared" si="39"/>
        <v>1200</v>
      </c>
      <c r="I1791" s="120" t="str">
        <f>IF(OR(D1791&lt;Capa!$A$5,D1791&gt;Capa!$A$7,E1791&lt;Capa!$A$5,E1791&gt;Capa!$A$7,D1791&gt;E1791),"Erro","")</f>
        <v/>
      </c>
    </row>
    <row r="1792" spans="1:9" ht="40" hidden="1">
      <c r="A1792" s="345">
        <v>2166</v>
      </c>
      <c r="B1792" s="346" t="s">
        <v>280</v>
      </c>
      <c r="C1792" s="347">
        <v>50</v>
      </c>
      <c r="D1792" s="348">
        <v>46753</v>
      </c>
      <c r="E1792" s="348">
        <v>47058</v>
      </c>
      <c r="F1792" s="346" t="s">
        <v>688</v>
      </c>
      <c r="G1792" s="349" t="s">
        <v>450</v>
      </c>
      <c r="H1792" s="350">
        <f t="shared" si="39"/>
        <v>550</v>
      </c>
      <c r="I1792" s="120" t="str">
        <f>IF(OR(D1792&lt;Capa!$A$5,D1792&gt;Capa!$A$7,E1792&lt;Capa!$A$5,E1792&gt;Capa!$A$7,D1792&gt;E1792),"Erro","")</f>
        <v/>
      </c>
    </row>
    <row r="1793" spans="1:9" ht="40" hidden="1">
      <c r="A1793" s="345">
        <v>2168</v>
      </c>
      <c r="B1793" s="346" t="s">
        <v>282</v>
      </c>
      <c r="C1793" s="347">
        <v>450</v>
      </c>
      <c r="D1793" s="348">
        <v>45717</v>
      </c>
      <c r="E1793" s="348">
        <v>45992</v>
      </c>
      <c r="F1793" s="346" t="s">
        <v>688</v>
      </c>
      <c r="G1793" s="349" t="s">
        <v>451</v>
      </c>
      <c r="H1793" s="350">
        <f t="shared" si="39"/>
        <v>4500</v>
      </c>
      <c r="I1793" s="120" t="str">
        <f>IF(OR(D1793&lt;Capa!$A$5,D1793&gt;Capa!$A$7,E1793&lt;Capa!$A$5,E1793&gt;Capa!$A$7,D1793&gt;E1793),"Erro","")</f>
        <v/>
      </c>
    </row>
    <row r="1794" spans="1:9" ht="40" hidden="1">
      <c r="A1794" s="345">
        <v>2169</v>
      </c>
      <c r="B1794" s="346" t="s">
        <v>282</v>
      </c>
      <c r="C1794" s="347">
        <v>450</v>
      </c>
      <c r="D1794" s="348">
        <v>46023</v>
      </c>
      <c r="E1794" s="348">
        <v>46357</v>
      </c>
      <c r="F1794" s="346" t="s">
        <v>688</v>
      </c>
      <c r="G1794" s="349" t="s">
        <v>451</v>
      </c>
      <c r="H1794" s="350">
        <f t="shared" si="39"/>
        <v>5400</v>
      </c>
      <c r="I1794" s="120" t="str">
        <f>IF(OR(D1794&lt;Capa!$A$5,D1794&gt;Capa!$A$7,E1794&lt;Capa!$A$5,E1794&gt;Capa!$A$7,D1794&gt;E1794),"Erro","")</f>
        <v/>
      </c>
    </row>
    <row r="1795" spans="1:9" ht="40" hidden="1">
      <c r="A1795" s="345">
        <v>2170</v>
      </c>
      <c r="B1795" s="346" t="s">
        <v>282</v>
      </c>
      <c r="C1795" s="347">
        <v>450</v>
      </c>
      <c r="D1795" s="348">
        <v>46388</v>
      </c>
      <c r="E1795" s="348">
        <v>46722</v>
      </c>
      <c r="F1795" s="346" t="s">
        <v>688</v>
      </c>
      <c r="G1795" s="349" t="s">
        <v>451</v>
      </c>
      <c r="H1795" s="350">
        <f t="shared" si="39"/>
        <v>5400</v>
      </c>
      <c r="I1795" s="120" t="str">
        <f>IF(OR(D1795&lt;Capa!$A$5,D1795&gt;Capa!$A$7,E1795&lt;Capa!$A$5,E1795&gt;Capa!$A$7,D1795&gt;E1795),"Erro","")</f>
        <v/>
      </c>
    </row>
    <row r="1796" spans="1:9" ht="40" hidden="1">
      <c r="A1796" s="345">
        <v>2171</v>
      </c>
      <c r="B1796" s="346" t="s">
        <v>282</v>
      </c>
      <c r="C1796" s="347">
        <v>200</v>
      </c>
      <c r="D1796" s="348">
        <v>46753</v>
      </c>
      <c r="E1796" s="348">
        <v>47058</v>
      </c>
      <c r="F1796" s="346" t="s">
        <v>688</v>
      </c>
      <c r="G1796" s="349" t="s">
        <v>451</v>
      </c>
      <c r="H1796" s="350">
        <f t="shared" si="39"/>
        <v>2200</v>
      </c>
      <c r="I1796" s="120" t="str">
        <f>IF(OR(D1796&lt;Capa!$A$5,D1796&gt;Capa!$A$7,E1796&lt;Capa!$A$5,E1796&gt;Capa!$A$7,D1796&gt;E1796),"Erro","")</f>
        <v/>
      </c>
    </row>
    <row r="1797" spans="1:9" ht="40" hidden="1">
      <c r="A1797" s="345">
        <v>2173</v>
      </c>
      <c r="B1797" s="346" t="s">
        <v>284</v>
      </c>
      <c r="C1797" s="347">
        <v>950</v>
      </c>
      <c r="D1797" s="348">
        <v>45717</v>
      </c>
      <c r="E1797" s="348">
        <v>45992</v>
      </c>
      <c r="F1797" s="346" t="s">
        <v>688</v>
      </c>
      <c r="G1797" s="349" t="s">
        <v>451</v>
      </c>
      <c r="H1797" s="350">
        <f t="shared" si="39"/>
        <v>9500</v>
      </c>
      <c r="I1797" s="120" t="str">
        <f>IF(OR(D1797&lt;Capa!$A$5,D1797&gt;Capa!$A$7,E1797&lt;Capa!$A$5,E1797&gt;Capa!$A$7,D1797&gt;E1797),"Erro","")</f>
        <v/>
      </c>
    </row>
    <row r="1798" spans="1:9" ht="40" hidden="1">
      <c r="A1798" s="345">
        <v>2174</v>
      </c>
      <c r="B1798" s="346" t="s">
        <v>284</v>
      </c>
      <c r="C1798" s="347">
        <v>950</v>
      </c>
      <c r="D1798" s="348">
        <v>46023</v>
      </c>
      <c r="E1798" s="348">
        <v>46357</v>
      </c>
      <c r="F1798" s="346" t="s">
        <v>688</v>
      </c>
      <c r="G1798" s="349" t="s">
        <v>451</v>
      </c>
      <c r="H1798" s="350">
        <f t="shared" si="39"/>
        <v>11400</v>
      </c>
      <c r="I1798" s="120" t="str">
        <f>IF(OR(D1798&lt;Capa!$A$5,D1798&gt;Capa!$A$7,E1798&lt;Capa!$A$5,E1798&gt;Capa!$A$7,D1798&gt;E1798),"Erro","")</f>
        <v/>
      </c>
    </row>
    <row r="1799" spans="1:9" ht="40" hidden="1">
      <c r="A1799" s="345">
        <v>2175</v>
      </c>
      <c r="B1799" s="346" t="s">
        <v>284</v>
      </c>
      <c r="C1799" s="347">
        <v>950</v>
      </c>
      <c r="D1799" s="348">
        <v>46388</v>
      </c>
      <c r="E1799" s="348">
        <v>46722</v>
      </c>
      <c r="F1799" s="346" t="s">
        <v>688</v>
      </c>
      <c r="G1799" s="349" t="s">
        <v>451</v>
      </c>
      <c r="H1799" s="350">
        <f t="shared" ref="H1799:H1839" si="40">IFERROR((DATEDIF(D1799,E1799,"M")+1)*C1799,0)</f>
        <v>11400</v>
      </c>
      <c r="I1799" s="120" t="str">
        <f>IF(OR(D1799&lt;Capa!$A$5,D1799&gt;Capa!$A$7,E1799&lt;Capa!$A$5,E1799&gt;Capa!$A$7,D1799&gt;E1799),"Erro","")</f>
        <v/>
      </c>
    </row>
    <row r="1800" spans="1:9" ht="40" hidden="1">
      <c r="A1800" s="345">
        <v>2176</v>
      </c>
      <c r="B1800" s="346" t="s">
        <v>284</v>
      </c>
      <c r="C1800" s="347">
        <v>400</v>
      </c>
      <c r="D1800" s="348">
        <v>46753</v>
      </c>
      <c r="E1800" s="348">
        <v>47058</v>
      </c>
      <c r="F1800" s="346" t="s">
        <v>688</v>
      </c>
      <c r="G1800" s="349" t="s">
        <v>451</v>
      </c>
      <c r="H1800" s="350">
        <f t="shared" si="40"/>
        <v>4400</v>
      </c>
      <c r="I1800" s="120" t="str">
        <f>IF(OR(D1800&lt;Capa!$A$5,D1800&gt;Capa!$A$7,E1800&lt;Capa!$A$5,E1800&gt;Capa!$A$7,D1800&gt;E1800),"Erro","")</f>
        <v/>
      </c>
    </row>
    <row r="1801" spans="1:9" ht="40" hidden="1">
      <c r="A1801" s="345">
        <v>2178</v>
      </c>
      <c r="B1801" s="346" t="s">
        <v>286</v>
      </c>
      <c r="C1801" s="347">
        <v>1000</v>
      </c>
      <c r="D1801" s="348">
        <v>45717</v>
      </c>
      <c r="E1801" s="348">
        <v>45992</v>
      </c>
      <c r="F1801" s="346" t="s">
        <v>688</v>
      </c>
      <c r="G1801" s="349" t="s">
        <v>451</v>
      </c>
      <c r="H1801" s="350">
        <f t="shared" si="40"/>
        <v>10000</v>
      </c>
      <c r="I1801" s="120" t="str">
        <f>IF(OR(D1801&lt;Capa!$A$5,D1801&gt;Capa!$A$7,E1801&lt;Capa!$A$5,E1801&gt;Capa!$A$7,D1801&gt;E1801),"Erro","")</f>
        <v/>
      </c>
    </row>
    <row r="1802" spans="1:9" ht="40" hidden="1">
      <c r="A1802" s="345">
        <v>2179</v>
      </c>
      <c r="B1802" s="346" t="s">
        <v>286</v>
      </c>
      <c r="C1802" s="347">
        <v>1000</v>
      </c>
      <c r="D1802" s="348">
        <v>46023</v>
      </c>
      <c r="E1802" s="348">
        <v>46357</v>
      </c>
      <c r="F1802" s="346" t="s">
        <v>688</v>
      </c>
      <c r="G1802" s="349" t="s">
        <v>451</v>
      </c>
      <c r="H1802" s="350">
        <f t="shared" si="40"/>
        <v>12000</v>
      </c>
      <c r="I1802" s="120" t="str">
        <f>IF(OR(D1802&lt;Capa!$A$5,D1802&gt;Capa!$A$7,E1802&lt;Capa!$A$5,E1802&gt;Capa!$A$7,D1802&gt;E1802),"Erro","")</f>
        <v/>
      </c>
    </row>
    <row r="1803" spans="1:9" ht="40" hidden="1">
      <c r="A1803" s="345">
        <v>2180</v>
      </c>
      <c r="B1803" s="346" t="s">
        <v>286</v>
      </c>
      <c r="C1803" s="347">
        <v>1000</v>
      </c>
      <c r="D1803" s="348">
        <v>46388</v>
      </c>
      <c r="E1803" s="348">
        <v>46722</v>
      </c>
      <c r="F1803" s="346" t="s">
        <v>688</v>
      </c>
      <c r="G1803" s="349" t="s">
        <v>451</v>
      </c>
      <c r="H1803" s="350">
        <f t="shared" si="40"/>
        <v>12000</v>
      </c>
      <c r="I1803" s="120" t="str">
        <f>IF(OR(D1803&lt;Capa!$A$5,D1803&gt;Capa!$A$7,E1803&lt;Capa!$A$5,E1803&gt;Capa!$A$7,D1803&gt;E1803),"Erro","")</f>
        <v/>
      </c>
    </row>
    <row r="1804" spans="1:9" ht="40" hidden="1">
      <c r="A1804" s="345">
        <v>2181</v>
      </c>
      <c r="B1804" s="346" t="s">
        <v>286</v>
      </c>
      <c r="C1804" s="347">
        <v>500</v>
      </c>
      <c r="D1804" s="348">
        <v>46753</v>
      </c>
      <c r="E1804" s="348">
        <v>47058</v>
      </c>
      <c r="F1804" s="346" t="s">
        <v>688</v>
      </c>
      <c r="G1804" s="349" t="s">
        <v>451</v>
      </c>
      <c r="H1804" s="350">
        <f t="shared" si="40"/>
        <v>5500</v>
      </c>
      <c r="I1804" s="120" t="str">
        <f>IF(OR(D1804&lt;Capa!$A$5,D1804&gt;Capa!$A$7,E1804&lt;Capa!$A$5,E1804&gt;Capa!$A$7,D1804&gt;E1804),"Erro","")</f>
        <v/>
      </c>
    </row>
    <row r="1805" spans="1:9" ht="30" hidden="1">
      <c r="A1805" s="345">
        <v>2182</v>
      </c>
      <c r="B1805" s="346" t="s">
        <v>288</v>
      </c>
      <c r="C1805" s="347">
        <v>200</v>
      </c>
      <c r="D1805" s="348">
        <v>45809</v>
      </c>
      <c r="E1805" s="348">
        <v>47058</v>
      </c>
      <c r="F1805" s="346" t="s">
        <v>688</v>
      </c>
      <c r="G1805" s="349" t="s">
        <v>452</v>
      </c>
      <c r="H1805" s="350">
        <f t="shared" si="40"/>
        <v>8400</v>
      </c>
      <c r="I1805" s="120" t="str">
        <f>IF(OR(D1805&lt;Capa!$A$5,D1805&gt;Capa!$A$7,E1805&lt;Capa!$A$5,E1805&gt;Capa!$A$7,D1805&gt;E1805),"Erro","")</f>
        <v/>
      </c>
    </row>
    <row r="1806" spans="1:9" ht="30" hidden="1">
      <c r="A1806" s="345">
        <v>2184</v>
      </c>
      <c r="B1806" s="346" t="s">
        <v>294</v>
      </c>
      <c r="C1806" s="347">
        <v>200</v>
      </c>
      <c r="D1806" s="348">
        <v>45717</v>
      </c>
      <c r="E1806" s="348">
        <v>45992</v>
      </c>
      <c r="F1806" s="346" t="s">
        <v>688</v>
      </c>
      <c r="G1806" s="349" t="s">
        <v>453</v>
      </c>
      <c r="H1806" s="350">
        <f t="shared" si="40"/>
        <v>2000</v>
      </c>
      <c r="I1806" s="120" t="str">
        <f>IF(OR(D1806&lt;Capa!$A$5,D1806&gt;Capa!$A$7,E1806&lt;Capa!$A$5,E1806&gt;Capa!$A$7,D1806&gt;E1806),"Erro","")</f>
        <v/>
      </c>
    </row>
    <row r="1807" spans="1:9" ht="30" hidden="1">
      <c r="A1807" s="345">
        <v>2185</v>
      </c>
      <c r="B1807" s="346" t="s">
        <v>294</v>
      </c>
      <c r="C1807" s="347">
        <v>200</v>
      </c>
      <c r="D1807" s="348">
        <v>46023</v>
      </c>
      <c r="E1807" s="348">
        <v>46357</v>
      </c>
      <c r="F1807" s="346" t="s">
        <v>688</v>
      </c>
      <c r="G1807" s="349" t="s">
        <v>453</v>
      </c>
      <c r="H1807" s="350">
        <f t="shared" si="40"/>
        <v>2400</v>
      </c>
      <c r="I1807" s="120" t="str">
        <f>IF(OR(D1807&lt;Capa!$A$5,D1807&gt;Capa!$A$7,E1807&lt;Capa!$A$5,E1807&gt;Capa!$A$7,D1807&gt;E1807),"Erro","")</f>
        <v/>
      </c>
    </row>
    <row r="1808" spans="1:9" ht="30" hidden="1">
      <c r="A1808" s="345">
        <v>2186</v>
      </c>
      <c r="B1808" s="346" t="s">
        <v>294</v>
      </c>
      <c r="C1808" s="347">
        <v>100</v>
      </c>
      <c r="D1808" s="348">
        <v>46388</v>
      </c>
      <c r="E1808" s="348">
        <v>46722</v>
      </c>
      <c r="F1808" s="346" t="s">
        <v>688</v>
      </c>
      <c r="G1808" s="349" t="s">
        <v>453</v>
      </c>
      <c r="H1808" s="350">
        <f t="shared" si="40"/>
        <v>1200</v>
      </c>
      <c r="I1808" s="120" t="str">
        <f>IF(OR(D1808&lt;Capa!$A$5,D1808&gt;Capa!$A$7,E1808&lt;Capa!$A$5,E1808&gt;Capa!$A$7,D1808&gt;E1808),"Erro","")</f>
        <v/>
      </c>
    </row>
    <row r="1809" spans="1:9" ht="30" hidden="1">
      <c r="A1809" s="345">
        <v>2187</v>
      </c>
      <c r="B1809" s="346" t="s">
        <v>294</v>
      </c>
      <c r="C1809" s="347">
        <v>3000</v>
      </c>
      <c r="D1809" s="348">
        <v>46753</v>
      </c>
      <c r="E1809" s="348">
        <v>47058</v>
      </c>
      <c r="F1809" s="346" t="s">
        <v>688</v>
      </c>
      <c r="G1809" s="349" t="s">
        <v>453</v>
      </c>
      <c r="H1809" s="350">
        <f t="shared" si="40"/>
        <v>33000</v>
      </c>
      <c r="I1809" s="120" t="str">
        <f>IF(OR(D1809&lt;Capa!$A$5,D1809&gt;Capa!$A$7,E1809&lt;Capa!$A$5,E1809&gt;Capa!$A$7,D1809&gt;E1809),"Erro","")</f>
        <v/>
      </c>
    </row>
    <row r="1810" spans="1:9" ht="20" hidden="1">
      <c r="A1810" s="345">
        <v>2189</v>
      </c>
      <c r="B1810" s="346" t="s">
        <v>302</v>
      </c>
      <c r="C1810" s="347">
        <v>100</v>
      </c>
      <c r="D1810" s="348">
        <v>45717</v>
      </c>
      <c r="E1810" s="348">
        <v>47058</v>
      </c>
      <c r="F1810" s="346" t="s">
        <v>688</v>
      </c>
      <c r="G1810" s="349" t="s">
        <v>454</v>
      </c>
      <c r="H1810" s="350">
        <f t="shared" si="40"/>
        <v>4500</v>
      </c>
      <c r="I1810" s="120" t="str">
        <f>IF(OR(D1810&lt;Capa!$A$5,D1810&gt;Capa!$A$7,E1810&lt;Capa!$A$5,E1810&gt;Capa!$A$7,D1810&gt;E1810),"Erro","")</f>
        <v/>
      </c>
    </row>
    <row r="1811" spans="1:9" ht="30" hidden="1">
      <c r="A1811" s="345">
        <v>2191</v>
      </c>
      <c r="B1811" s="346" t="s">
        <v>304</v>
      </c>
      <c r="C1811" s="347">
        <v>1000</v>
      </c>
      <c r="D1811" s="348">
        <v>45717</v>
      </c>
      <c r="E1811" s="348">
        <v>45992</v>
      </c>
      <c r="F1811" s="346" t="s">
        <v>688</v>
      </c>
      <c r="G1811" s="349" t="s">
        <v>455</v>
      </c>
      <c r="H1811" s="350">
        <f t="shared" si="40"/>
        <v>10000</v>
      </c>
      <c r="I1811" s="120" t="str">
        <f>IF(OR(D1811&lt;Capa!$A$5,D1811&gt;Capa!$A$7,E1811&lt;Capa!$A$5,E1811&gt;Capa!$A$7,D1811&gt;E1811),"Erro","")</f>
        <v/>
      </c>
    </row>
    <row r="1812" spans="1:9" ht="30" hidden="1">
      <c r="A1812" s="345">
        <v>2192</v>
      </c>
      <c r="B1812" s="346" t="s">
        <v>304</v>
      </c>
      <c r="C1812" s="347">
        <v>1000</v>
      </c>
      <c r="D1812" s="348">
        <v>46023</v>
      </c>
      <c r="E1812" s="348">
        <v>46357</v>
      </c>
      <c r="F1812" s="346" t="s">
        <v>688</v>
      </c>
      <c r="G1812" s="349" t="s">
        <v>455</v>
      </c>
      <c r="H1812" s="350">
        <f t="shared" si="40"/>
        <v>12000</v>
      </c>
      <c r="I1812" s="120" t="str">
        <f>IF(OR(D1812&lt;Capa!$A$5,D1812&gt;Capa!$A$7,E1812&lt;Capa!$A$5,E1812&gt;Capa!$A$7,D1812&gt;E1812),"Erro","")</f>
        <v/>
      </c>
    </row>
    <row r="1813" spans="1:9" ht="30" hidden="1">
      <c r="A1813" s="345">
        <v>2193</v>
      </c>
      <c r="B1813" s="346" t="s">
        <v>304</v>
      </c>
      <c r="C1813" s="347">
        <v>1000</v>
      </c>
      <c r="D1813" s="348">
        <v>46388</v>
      </c>
      <c r="E1813" s="348">
        <v>46722</v>
      </c>
      <c r="F1813" s="346" t="s">
        <v>688</v>
      </c>
      <c r="G1813" s="349" t="s">
        <v>455</v>
      </c>
      <c r="H1813" s="350">
        <f t="shared" si="40"/>
        <v>12000</v>
      </c>
      <c r="I1813" s="120" t="str">
        <f>IF(OR(D1813&lt;Capa!$A$5,D1813&gt;Capa!$A$7,E1813&lt;Capa!$A$5,E1813&gt;Capa!$A$7,D1813&gt;E1813),"Erro","")</f>
        <v/>
      </c>
    </row>
    <row r="1814" spans="1:9" ht="30" hidden="1">
      <c r="A1814" s="345">
        <v>2194</v>
      </c>
      <c r="B1814" s="346" t="s">
        <v>304</v>
      </c>
      <c r="C1814" s="347">
        <v>500</v>
      </c>
      <c r="D1814" s="348">
        <v>46753</v>
      </c>
      <c r="E1814" s="348">
        <v>47058</v>
      </c>
      <c r="F1814" s="346" t="s">
        <v>688</v>
      </c>
      <c r="G1814" s="349" t="s">
        <v>455</v>
      </c>
      <c r="H1814" s="350">
        <f t="shared" si="40"/>
        <v>5500</v>
      </c>
      <c r="I1814" s="120" t="str">
        <f>IF(OR(D1814&lt;Capa!$A$5,D1814&gt;Capa!$A$7,E1814&lt;Capa!$A$5,E1814&gt;Capa!$A$7,D1814&gt;E1814),"Erro","")</f>
        <v/>
      </c>
    </row>
    <row r="1815" spans="1:9" ht="30" hidden="1">
      <c r="A1815" s="345">
        <v>2195</v>
      </c>
      <c r="B1815" s="346" t="s">
        <v>312</v>
      </c>
      <c r="C1815" s="347">
        <v>200</v>
      </c>
      <c r="D1815" s="348">
        <v>45717</v>
      </c>
      <c r="E1815" s="348">
        <v>45992</v>
      </c>
      <c r="F1815" s="346" t="s">
        <v>688</v>
      </c>
      <c r="G1815" s="349" t="s">
        <v>571</v>
      </c>
      <c r="H1815" s="350">
        <f t="shared" si="40"/>
        <v>2000</v>
      </c>
      <c r="I1815" s="120" t="str">
        <f>IF(OR(D1815&lt;Capa!$A$5,D1815&gt;Capa!$A$7,E1815&lt;Capa!$A$5,E1815&gt;Capa!$A$7,D1815&gt;E1815),"Erro","")</f>
        <v/>
      </c>
    </row>
    <row r="1816" spans="1:9" ht="30" hidden="1">
      <c r="A1816" s="345">
        <v>2196</v>
      </c>
      <c r="B1816" s="346" t="s">
        <v>312</v>
      </c>
      <c r="C1816" s="347">
        <v>200</v>
      </c>
      <c r="D1816" s="348">
        <v>46023</v>
      </c>
      <c r="E1816" s="348">
        <v>46357</v>
      </c>
      <c r="F1816" s="346" t="s">
        <v>688</v>
      </c>
      <c r="G1816" s="349" t="s">
        <v>571</v>
      </c>
      <c r="H1816" s="350">
        <f t="shared" si="40"/>
        <v>2400</v>
      </c>
      <c r="I1816" s="120" t="str">
        <f>IF(OR(D1816&lt;Capa!$A$5,D1816&gt;Capa!$A$7,E1816&lt;Capa!$A$5,E1816&gt;Capa!$A$7,D1816&gt;E1816),"Erro","")</f>
        <v/>
      </c>
    </row>
    <row r="1817" spans="1:9" ht="30" hidden="1">
      <c r="A1817" s="345">
        <v>2197</v>
      </c>
      <c r="B1817" s="346" t="s">
        <v>312</v>
      </c>
      <c r="C1817" s="347">
        <v>200</v>
      </c>
      <c r="D1817" s="348">
        <v>46388</v>
      </c>
      <c r="E1817" s="348">
        <v>46722</v>
      </c>
      <c r="F1817" s="346" t="s">
        <v>688</v>
      </c>
      <c r="G1817" s="349" t="s">
        <v>571</v>
      </c>
      <c r="H1817" s="350">
        <f t="shared" si="40"/>
        <v>2400</v>
      </c>
      <c r="I1817" s="120" t="str">
        <f>IF(OR(D1817&lt;Capa!$A$5,D1817&gt;Capa!$A$7,E1817&lt;Capa!$A$5,E1817&gt;Capa!$A$7,D1817&gt;E1817),"Erro","")</f>
        <v/>
      </c>
    </row>
    <row r="1818" spans="1:9" ht="30" hidden="1">
      <c r="A1818" s="345">
        <v>2198</v>
      </c>
      <c r="B1818" s="346" t="s">
        <v>312</v>
      </c>
      <c r="C1818" s="347">
        <v>100</v>
      </c>
      <c r="D1818" s="348">
        <v>46753</v>
      </c>
      <c r="E1818" s="348">
        <v>47058</v>
      </c>
      <c r="F1818" s="346" t="s">
        <v>688</v>
      </c>
      <c r="G1818" s="349" t="s">
        <v>571</v>
      </c>
      <c r="H1818" s="350">
        <f t="shared" si="40"/>
        <v>1100</v>
      </c>
      <c r="I1818" s="120" t="str">
        <f>IF(OR(D1818&lt;Capa!$A$5,D1818&gt;Capa!$A$7,E1818&lt;Capa!$A$5,E1818&gt;Capa!$A$7,D1818&gt;E1818),"Erro","")</f>
        <v/>
      </c>
    </row>
    <row r="1819" spans="1:9" ht="50" hidden="1">
      <c r="A1819" s="345">
        <v>2200</v>
      </c>
      <c r="B1819" s="346" t="s">
        <v>316</v>
      </c>
      <c r="C1819" s="347">
        <v>800</v>
      </c>
      <c r="D1819" s="348">
        <v>45717</v>
      </c>
      <c r="E1819" s="348">
        <v>45992</v>
      </c>
      <c r="F1819" s="346" t="s">
        <v>688</v>
      </c>
      <c r="G1819" s="349" t="s">
        <v>741</v>
      </c>
      <c r="H1819" s="350">
        <f t="shared" si="40"/>
        <v>8000</v>
      </c>
      <c r="I1819" s="120" t="str">
        <f>IF(OR(D1819&lt;Capa!$A$5,D1819&gt;Capa!$A$7,E1819&lt;Capa!$A$5,E1819&gt;Capa!$A$7,D1819&gt;E1819),"Erro","")</f>
        <v/>
      </c>
    </row>
    <row r="1820" spans="1:9" ht="50" hidden="1">
      <c r="A1820" s="345">
        <v>2201</v>
      </c>
      <c r="B1820" s="346" t="s">
        <v>316</v>
      </c>
      <c r="C1820" s="347">
        <v>800</v>
      </c>
      <c r="D1820" s="348">
        <v>46023</v>
      </c>
      <c r="E1820" s="348">
        <v>46357</v>
      </c>
      <c r="F1820" s="346" t="s">
        <v>688</v>
      </c>
      <c r="G1820" s="349" t="s">
        <v>741</v>
      </c>
      <c r="H1820" s="350">
        <f t="shared" si="40"/>
        <v>9600</v>
      </c>
      <c r="I1820" s="120" t="str">
        <f>IF(OR(D1820&lt;Capa!$A$5,D1820&gt;Capa!$A$7,E1820&lt;Capa!$A$5,E1820&gt;Capa!$A$7,D1820&gt;E1820),"Erro","")</f>
        <v/>
      </c>
    </row>
    <row r="1821" spans="1:9" ht="50" hidden="1">
      <c r="A1821" s="345">
        <v>2202</v>
      </c>
      <c r="B1821" s="346" t="s">
        <v>316</v>
      </c>
      <c r="C1821" s="347">
        <v>800</v>
      </c>
      <c r="D1821" s="348">
        <v>46388</v>
      </c>
      <c r="E1821" s="348">
        <v>46722</v>
      </c>
      <c r="F1821" s="346" t="s">
        <v>688</v>
      </c>
      <c r="G1821" s="349" t="s">
        <v>741</v>
      </c>
      <c r="H1821" s="350">
        <f t="shared" si="40"/>
        <v>9600</v>
      </c>
      <c r="I1821" s="120" t="str">
        <f>IF(OR(D1821&lt;Capa!$A$5,D1821&gt;Capa!$A$7,E1821&lt;Capa!$A$5,E1821&gt;Capa!$A$7,D1821&gt;E1821),"Erro","")</f>
        <v/>
      </c>
    </row>
    <row r="1822" spans="1:9" ht="50" hidden="1">
      <c r="A1822" s="345">
        <v>2203</v>
      </c>
      <c r="B1822" s="346" t="s">
        <v>316</v>
      </c>
      <c r="C1822" s="347">
        <v>400</v>
      </c>
      <c r="D1822" s="348">
        <v>46753</v>
      </c>
      <c r="E1822" s="348">
        <v>47058</v>
      </c>
      <c r="F1822" s="346" t="s">
        <v>688</v>
      </c>
      <c r="G1822" s="349" t="s">
        <v>741</v>
      </c>
      <c r="H1822" s="350">
        <f t="shared" si="40"/>
        <v>4400</v>
      </c>
      <c r="I1822" s="120" t="str">
        <f>IF(OR(D1822&lt;Capa!$A$5,D1822&gt;Capa!$A$7,E1822&lt;Capa!$A$5,E1822&gt;Capa!$A$7,D1822&gt;E1822),"Erro","")</f>
        <v/>
      </c>
    </row>
    <row r="1823" spans="1:9" ht="50" hidden="1">
      <c r="A1823" s="345">
        <v>2205</v>
      </c>
      <c r="B1823" s="346" t="s">
        <v>318</v>
      </c>
      <c r="C1823" s="347">
        <v>1000</v>
      </c>
      <c r="D1823" s="348">
        <v>45717</v>
      </c>
      <c r="E1823" s="348">
        <v>45992</v>
      </c>
      <c r="F1823" s="346" t="s">
        <v>688</v>
      </c>
      <c r="G1823" s="349" t="s">
        <v>572</v>
      </c>
      <c r="H1823" s="350">
        <f t="shared" si="40"/>
        <v>10000</v>
      </c>
      <c r="I1823" s="120" t="str">
        <f>IF(OR(D1823&lt;Capa!$A$5,D1823&gt;Capa!$A$7,E1823&lt;Capa!$A$5,E1823&gt;Capa!$A$7,D1823&gt;E1823),"Erro","")</f>
        <v/>
      </c>
    </row>
    <row r="1824" spans="1:9" ht="50" hidden="1">
      <c r="A1824" s="345">
        <v>2206</v>
      </c>
      <c r="B1824" s="346" t="s">
        <v>318</v>
      </c>
      <c r="C1824" s="347">
        <v>1000</v>
      </c>
      <c r="D1824" s="348">
        <v>46023</v>
      </c>
      <c r="E1824" s="348">
        <v>46357</v>
      </c>
      <c r="F1824" s="346" t="s">
        <v>688</v>
      </c>
      <c r="G1824" s="349" t="s">
        <v>572</v>
      </c>
      <c r="H1824" s="350">
        <f t="shared" si="40"/>
        <v>12000</v>
      </c>
      <c r="I1824" s="120" t="str">
        <f>IF(OR(D1824&lt;Capa!$A$5,D1824&gt;Capa!$A$7,E1824&lt;Capa!$A$5,E1824&gt;Capa!$A$7,D1824&gt;E1824),"Erro","")</f>
        <v/>
      </c>
    </row>
    <row r="1825" spans="1:9" ht="50" hidden="1">
      <c r="A1825" s="345">
        <v>2207</v>
      </c>
      <c r="B1825" s="346" t="s">
        <v>318</v>
      </c>
      <c r="C1825" s="347">
        <v>1000</v>
      </c>
      <c r="D1825" s="348">
        <v>46388</v>
      </c>
      <c r="E1825" s="348">
        <v>46722</v>
      </c>
      <c r="F1825" s="346" t="s">
        <v>688</v>
      </c>
      <c r="G1825" s="349" t="s">
        <v>572</v>
      </c>
      <c r="H1825" s="350">
        <f t="shared" si="40"/>
        <v>12000</v>
      </c>
      <c r="I1825" s="120" t="str">
        <f>IF(OR(D1825&lt;Capa!$A$5,D1825&gt;Capa!$A$7,E1825&lt;Capa!$A$5,E1825&gt;Capa!$A$7,D1825&gt;E1825),"Erro","")</f>
        <v/>
      </c>
    </row>
    <row r="1826" spans="1:9" ht="50" hidden="1">
      <c r="A1826" s="345">
        <v>2208</v>
      </c>
      <c r="B1826" s="346" t="s">
        <v>318</v>
      </c>
      <c r="C1826" s="347">
        <v>250</v>
      </c>
      <c r="D1826" s="348">
        <v>46753</v>
      </c>
      <c r="E1826" s="348">
        <v>47058</v>
      </c>
      <c r="F1826" s="346" t="s">
        <v>688</v>
      </c>
      <c r="G1826" s="349" t="s">
        <v>572</v>
      </c>
      <c r="H1826" s="350">
        <f t="shared" si="40"/>
        <v>2750</v>
      </c>
      <c r="I1826" s="120" t="str">
        <f>IF(OR(D1826&lt;Capa!$A$5,D1826&gt;Capa!$A$7,E1826&lt;Capa!$A$5,E1826&gt;Capa!$A$7,D1826&gt;E1826),"Erro","")</f>
        <v/>
      </c>
    </row>
    <row r="1827" spans="1:9" ht="50" hidden="1">
      <c r="A1827" s="345">
        <v>2210</v>
      </c>
      <c r="B1827" s="346" t="s">
        <v>318</v>
      </c>
      <c r="C1827" s="347">
        <v>700</v>
      </c>
      <c r="D1827" s="348">
        <v>45717</v>
      </c>
      <c r="E1827" s="348">
        <v>45992</v>
      </c>
      <c r="F1827" s="346" t="s">
        <v>688</v>
      </c>
      <c r="G1827" s="349" t="s">
        <v>456</v>
      </c>
      <c r="H1827" s="350">
        <f t="shared" si="40"/>
        <v>7000</v>
      </c>
      <c r="I1827" s="120" t="str">
        <f>IF(OR(D1827&lt;Capa!$A$5,D1827&gt;Capa!$A$7,E1827&lt;Capa!$A$5,E1827&gt;Capa!$A$7,D1827&gt;E1827),"Erro","")</f>
        <v/>
      </c>
    </row>
    <row r="1828" spans="1:9" ht="50" hidden="1">
      <c r="A1828" s="345">
        <v>2211</v>
      </c>
      <c r="B1828" s="346" t="s">
        <v>318</v>
      </c>
      <c r="C1828" s="347">
        <v>700</v>
      </c>
      <c r="D1828" s="348">
        <v>46023</v>
      </c>
      <c r="E1828" s="348">
        <v>46357</v>
      </c>
      <c r="F1828" s="346" t="s">
        <v>688</v>
      </c>
      <c r="G1828" s="349" t="s">
        <v>456</v>
      </c>
      <c r="H1828" s="350">
        <f t="shared" si="40"/>
        <v>8400</v>
      </c>
      <c r="I1828" s="120" t="str">
        <f>IF(OR(D1828&lt;Capa!$A$5,D1828&gt;Capa!$A$7,E1828&lt;Capa!$A$5,E1828&gt;Capa!$A$7,D1828&gt;E1828),"Erro","")</f>
        <v/>
      </c>
    </row>
    <row r="1829" spans="1:9" ht="50" hidden="1">
      <c r="A1829" s="345">
        <v>2212</v>
      </c>
      <c r="B1829" s="346" t="s">
        <v>318</v>
      </c>
      <c r="C1829" s="347">
        <v>700</v>
      </c>
      <c r="D1829" s="348">
        <v>46388</v>
      </c>
      <c r="E1829" s="348">
        <v>46722</v>
      </c>
      <c r="F1829" s="346" t="s">
        <v>688</v>
      </c>
      <c r="G1829" s="349" t="s">
        <v>456</v>
      </c>
      <c r="H1829" s="350">
        <f t="shared" si="40"/>
        <v>8400</v>
      </c>
      <c r="I1829" s="120" t="str">
        <f>IF(OR(D1829&lt;Capa!$A$5,D1829&gt;Capa!$A$7,E1829&lt;Capa!$A$5,E1829&gt;Capa!$A$7,D1829&gt;E1829),"Erro","")</f>
        <v/>
      </c>
    </row>
    <row r="1830" spans="1:9" ht="50" hidden="1">
      <c r="A1830" s="345">
        <v>2213</v>
      </c>
      <c r="B1830" s="346" t="s">
        <v>318</v>
      </c>
      <c r="C1830" s="347">
        <v>250</v>
      </c>
      <c r="D1830" s="348">
        <v>46753</v>
      </c>
      <c r="E1830" s="348">
        <v>47058</v>
      </c>
      <c r="F1830" s="346" t="s">
        <v>688</v>
      </c>
      <c r="G1830" s="349" t="s">
        <v>456</v>
      </c>
      <c r="H1830" s="350">
        <f t="shared" si="40"/>
        <v>2750</v>
      </c>
      <c r="I1830" s="120" t="str">
        <f>IF(OR(D1830&lt;Capa!$A$5,D1830&gt;Capa!$A$7,E1830&lt;Capa!$A$5,E1830&gt;Capa!$A$7,D1830&gt;E1830),"Erro","")</f>
        <v/>
      </c>
    </row>
    <row r="1831" spans="1:9" ht="20" hidden="1">
      <c r="A1831" s="345">
        <v>2215</v>
      </c>
      <c r="B1831" s="346" t="s">
        <v>298</v>
      </c>
      <c r="C1831" s="347">
        <v>2450</v>
      </c>
      <c r="D1831" s="348">
        <v>45658</v>
      </c>
      <c r="E1831" s="348">
        <v>45992</v>
      </c>
      <c r="F1831" s="346" t="s">
        <v>688</v>
      </c>
      <c r="G1831" s="349" t="s">
        <v>457</v>
      </c>
      <c r="H1831" s="350">
        <f t="shared" si="40"/>
        <v>29400</v>
      </c>
      <c r="I1831" s="120" t="str">
        <f>IF(OR(D1831&lt;Capa!$A$5,D1831&gt;Capa!$A$7,E1831&lt;Capa!$A$5,E1831&gt;Capa!$A$7,D1831&gt;E1831),"Erro","")</f>
        <v/>
      </c>
    </row>
    <row r="1832" spans="1:9" ht="20" hidden="1">
      <c r="A1832" s="345">
        <v>2216</v>
      </c>
      <c r="B1832" s="346" t="s">
        <v>298</v>
      </c>
      <c r="C1832" s="347">
        <v>2450</v>
      </c>
      <c r="D1832" s="348">
        <v>46023</v>
      </c>
      <c r="E1832" s="348">
        <v>46357</v>
      </c>
      <c r="F1832" s="346" t="s">
        <v>688</v>
      </c>
      <c r="G1832" s="349" t="s">
        <v>457</v>
      </c>
      <c r="H1832" s="350">
        <f t="shared" si="40"/>
        <v>29400</v>
      </c>
      <c r="I1832" s="120" t="str">
        <f>IF(OR(D1832&lt;Capa!$A$5,D1832&gt;Capa!$A$7,E1832&lt;Capa!$A$5,E1832&gt;Capa!$A$7,D1832&gt;E1832),"Erro","")</f>
        <v/>
      </c>
    </row>
    <row r="1833" spans="1:9" ht="20" hidden="1">
      <c r="A1833" s="345">
        <v>2217</v>
      </c>
      <c r="B1833" s="346" t="s">
        <v>298</v>
      </c>
      <c r="C1833" s="347">
        <v>2450</v>
      </c>
      <c r="D1833" s="348">
        <v>46388</v>
      </c>
      <c r="E1833" s="348">
        <v>46722</v>
      </c>
      <c r="F1833" s="346" t="s">
        <v>688</v>
      </c>
      <c r="G1833" s="349" t="s">
        <v>457</v>
      </c>
      <c r="H1833" s="350">
        <f t="shared" si="40"/>
        <v>29400</v>
      </c>
      <c r="I1833" s="120" t="str">
        <f>IF(OR(D1833&lt;Capa!$A$5,D1833&gt;Capa!$A$7,E1833&lt;Capa!$A$5,E1833&gt;Capa!$A$7,D1833&gt;E1833),"Erro","")</f>
        <v/>
      </c>
    </row>
    <row r="1834" spans="1:9" ht="20" hidden="1">
      <c r="A1834" s="345">
        <v>2218</v>
      </c>
      <c r="B1834" s="346" t="s">
        <v>298</v>
      </c>
      <c r="C1834" s="347">
        <v>1250</v>
      </c>
      <c r="D1834" s="348">
        <v>46753</v>
      </c>
      <c r="E1834" s="348">
        <v>47058</v>
      </c>
      <c r="F1834" s="346" t="s">
        <v>688</v>
      </c>
      <c r="G1834" s="349" t="s">
        <v>457</v>
      </c>
      <c r="H1834" s="350">
        <f t="shared" si="40"/>
        <v>13750</v>
      </c>
      <c r="I1834" s="120" t="str">
        <f>IF(OR(D1834&lt;Capa!$A$5,D1834&gt;Capa!$A$7,E1834&lt;Capa!$A$5,E1834&gt;Capa!$A$7,D1834&gt;E1834),"Erro","")</f>
        <v/>
      </c>
    </row>
    <row r="1835" spans="1:9" ht="30" hidden="1">
      <c r="A1835" s="345">
        <v>2219</v>
      </c>
      <c r="B1835" s="346" t="s">
        <v>238</v>
      </c>
      <c r="C1835" s="347">
        <v>480</v>
      </c>
      <c r="D1835" s="348">
        <v>45717</v>
      </c>
      <c r="E1835" s="348">
        <v>45992</v>
      </c>
      <c r="F1835" s="346" t="s">
        <v>688</v>
      </c>
      <c r="G1835" s="349" t="s">
        <v>458</v>
      </c>
      <c r="H1835" s="350">
        <f t="shared" si="40"/>
        <v>4800</v>
      </c>
      <c r="I1835" s="120" t="str">
        <f>IF(OR(D1835&lt;Capa!$A$5,D1835&gt;Capa!$A$7,E1835&lt;Capa!$A$5,E1835&gt;Capa!$A$7,D1835&gt;E1835),"Erro","")</f>
        <v/>
      </c>
    </row>
    <row r="1836" spans="1:9" ht="30" hidden="1">
      <c r="A1836" s="345">
        <v>2220</v>
      </c>
      <c r="B1836" s="346" t="s">
        <v>238</v>
      </c>
      <c r="C1836" s="347">
        <v>480</v>
      </c>
      <c r="D1836" s="348">
        <v>46023</v>
      </c>
      <c r="E1836" s="348">
        <v>46357</v>
      </c>
      <c r="F1836" s="346" t="s">
        <v>688</v>
      </c>
      <c r="G1836" s="349" t="s">
        <v>458</v>
      </c>
      <c r="H1836" s="350">
        <f t="shared" si="40"/>
        <v>5760</v>
      </c>
      <c r="I1836" s="120" t="str">
        <f>IF(OR(D1836&lt;Capa!$A$5,D1836&gt;Capa!$A$7,E1836&lt;Capa!$A$5,E1836&gt;Capa!$A$7,D1836&gt;E1836),"Erro","")</f>
        <v/>
      </c>
    </row>
    <row r="1837" spans="1:9" ht="30" hidden="1">
      <c r="A1837" s="345">
        <v>2221</v>
      </c>
      <c r="B1837" s="346" t="s">
        <v>238</v>
      </c>
      <c r="C1837" s="347">
        <v>480</v>
      </c>
      <c r="D1837" s="348">
        <v>46388</v>
      </c>
      <c r="E1837" s="348">
        <v>46722</v>
      </c>
      <c r="F1837" s="346" t="s">
        <v>688</v>
      </c>
      <c r="G1837" s="349" t="s">
        <v>458</v>
      </c>
      <c r="H1837" s="350">
        <f t="shared" si="40"/>
        <v>5760</v>
      </c>
      <c r="I1837" s="120" t="str">
        <f>IF(OR(D1837&lt;Capa!$A$5,D1837&gt;Capa!$A$7,E1837&lt;Capa!$A$5,E1837&gt;Capa!$A$7,D1837&gt;E1837),"Erro","")</f>
        <v/>
      </c>
    </row>
    <row r="1838" spans="1:9" ht="30" hidden="1">
      <c r="A1838" s="345">
        <v>2222</v>
      </c>
      <c r="B1838" s="346" t="s">
        <v>238</v>
      </c>
      <c r="C1838" s="347">
        <v>240</v>
      </c>
      <c r="D1838" s="348">
        <v>46753</v>
      </c>
      <c r="E1838" s="348">
        <v>47058</v>
      </c>
      <c r="F1838" s="346" t="s">
        <v>688</v>
      </c>
      <c r="G1838" s="349" t="s">
        <v>458</v>
      </c>
      <c r="H1838" s="350">
        <f t="shared" si="40"/>
        <v>2640</v>
      </c>
      <c r="I1838" s="120" t="str">
        <f>IF(OR(D1838&lt;Capa!$A$5,D1838&gt;Capa!$A$7,E1838&lt;Capa!$A$5,E1838&gt;Capa!$A$7,D1838&gt;E1838),"Erro","")</f>
        <v/>
      </c>
    </row>
    <row r="1839" spans="1:9" ht="40" hidden="1">
      <c r="A1839" s="345">
        <v>2224</v>
      </c>
      <c r="B1839" s="346" t="s">
        <v>252</v>
      </c>
      <c r="C1839" s="347">
        <v>8000</v>
      </c>
      <c r="D1839" s="348">
        <v>45717</v>
      </c>
      <c r="E1839" s="348">
        <v>45992</v>
      </c>
      <c r="F1839" s="346" t="s">
        <v>688</v>
      </c>
      <c r="G1839" s="349" t="s">
        <v>459</v>
      </c>
      <c r="H1839" s="350">
        <f t="shared" si="40"/>
        <v>80000</v>
      </c>
      <c r="I1839" s="120" t="str">
        <f>IF(OR(D1839&lt;Capa!$A$5,D1839&gt;Capa!$A$7,E1839&lt;Capa!$A$5,E1839&gt;Capa!$A$7,D1839&gt;E1839),"Erro","")</f>
        <v/>
      </c>
    </row>
    <row r="1840" spans="1:9" ht="40" hidden="1">
      <c r="A1840" s="345">
        <v>2225</v>
      </c>
      <c r="B1840" s="346" t="s">
        <v>252</v>
      </c>
      <c r="C1840" s="347">
        <v>8000</v>
      </c>
      <c r="D1840" s="348">
        <v>46023</v>
      </c>
      <c r="E1840" s="348">
        <v>46357</v>
      </c>
      <c r="F1840" s="346" t="s">
        <v>688</v>
      </c>
      <c r="G1840" s="349" t="s">
        <v>459</v>
      </c>
      <c r="H1840" s="350">
        <f t="shared" ref="H1840:H2042" si="41">IFERROR((DATEDIF(D1840,E1840,"M")+1)*C1840,0)</f>
        <v>96000</v>
      </c>
      <c r="I1840" s="120" t="str">
        <f>IF(OR(D1840&lt;Capa!$A$5,D1840&gt;Capa!$A$7,E1840&lt;Capa!$A$5,E1840&gt;Capa!$A$7,D1840&gt;E1840),"Erro","")</f>
        <v/>
      </c>
    </row>
    <row r="1841" spans="1:9" ht="40" hidden="1">
      <c r="A1841" s="345">
        <v>2226</v>
      </c>
      <c r="B1841" s="346" t="s">
        <v>252</v>
      </c>
      <c r="C1841" s="347">
        <v>8000</v>
      </c>
      <c r="D1841" s="348">
        <v>46388</v>
      </c>
      <c r="E1841" s="348">
        <v>46722</v>
      </c>
      <c r="F1841" s="346" t="s">
        <v>688</v>
      </c>
      <c r="G1841" s="349" t="s">
        <v>459</v>
      </c>
      <c r="H1841" s="350">
        <f t="shared" si="41"/>
        <v>96000</v>
      </c>
      <c r="I1841" s="120" t="str">
        <f>IF(OR(D1841&lt;Capa!$A$5,D1841&gt;Capa!$A$7,E1841&lt;Capa!$A$5,E1841&gt;Capa!$A$7,D1841&gt;E1841),"Erro","")</f>
        <v/>
      </c>
    </row>
    <row r="1842" spans="1:9" ht="40" hidden="1">
      <c r="A1842" s="345">
        <v>2227</v>
      </c>
      <c r="B1842" s="346" t="s">
        <v>252</v>
      </c>
      <c r="C1842" s="347">
        <v>4000</v>
      </c>
      <c r="D1842" s="348">
        <v>46753</v>
      </c>
      <c r="E1842" s="348">
        <v>47058</v>
      </c>
      <c r="F1842" s="346" t="s">
        <v>688</v>
      </c>
      <c r="G1842" s="349" t="s">
        <v>459</v>
      </c>
      <c r="H1842" s="350">
        <f t="shared" si="41"/>
        <v>44000</v>
      </c>
      <c r="I1842" s="120" t="str">
        <f>IF(OR(D1842&lt;Capa!$A$5,D1842&gt;Capa!$A$7,E1842&lt;Capa!$A$5,E1842&gt;Capa!$A$7,D1842&gt;E1842),"Erro","")</f>
        <v/>
      </c>
    </row>
    <row r="1843" spans="1:9" ht="30" hidden="1">
      <c r="A1843" s="345">
        <v>2228</v>
      </c>
      <c r="B1843" s="346" t="s">
        <v>618</v>
      </c>
      <c r="C1843" s="347">
        <v>230000</v>
      </c>
      <c r="D1843" s="348">
        <v>45658</v>
      </c>
      <c r="E1843" s="348">
        <v>45658</v>
      </c>
      <c r="F1843" s="346" t="s">
        <v>688</v>
      </c>
      <c r="G1843" s="349" t="s">
        <v>591</v>
      </c>
      <c r="H1843" s="350">
        <f t="shared" si="41"/>
        <v>230000</v>
      </c>
      <c r="I1843" s="120" t="str">
        <f>IF(OR(D1843&lt;Capa!$A$5,D1843&gt;Capa!$A$7,E1843&lt;Capa!$A$5,E1843&gt;Capa!$A$7,D1843&gt;E1843),"Erro","")</f>
        <v/>
      </c>
    </row>
    <row r="1844" spans="1:9" ht="20" hidden="1">
      <c r="A1844" s="345">
        <v>2229</v>
      </c>
      <c r="B1844" s="346" t="s">
        <v>620</v>
      </c>
      <c r="C1844" s="347">
        <v>110</v>
      </c>
      <c r="D1844" s="348">
        <v>45658</v>
      </c>
      <c r="E1844" s="348">
        <v>47058</v>
      </c>
      <c r="F1844" s="346" t="s">
        <v>688</v>
      </c>
      <c r="G1844" s="349" t="s">
        <v>662</v>
      </c>
      <c r="H1844" s="350">
        <f t="shared" si="41"/>
        <v>5170</v>
      </c>
      <c r="I1844" s="120" t="str">
        <f>IF(OR(D1844&lt;Capa!$A$5,D1844&gt;Capa!$A$7,E1844&lt;Capa!$A$5,E1844&gt;Capa!$A$7,D1844&gt;E1844),"Erro","")</f>
        <v/>
      </c>
    </row>
    <row r="1845" spans="1:9" ht="20" hidden="1">
      <c r="A1845" s="345">
        <v>2230</v>
      </c>
      <c r="B1845" s="346" t="s">
        <v>622</v>
      </c>
      <c r="C1845" s="347">
        <v>850</v>
      </c>
      <c r="D1845" s="348">
        <v>45717</v>
      </c>
      <c r="E1845" s="348">
        <v>47058</v>
      </c>
      <c r="F1845" s="346" t="s">
        <v>688</v>
      </c>
      <c r="G1845" s="349" t="s">
        <v>664</v>
      </c>
      <c r="H1845" s="350">
        <f t="shared" si="41"/>
        <v>38250</v>
      </c>
      <c r="I1845" s="120" t="str">
        <f>IF(OR(D1845&lt;Capa!$A$5,D1845&gt;Capa!$A$7,E1845&lt;Capa!$A$5,E1845&gt;Capa!$A$7,D1845&gt;E1845),"Erro","")</f>
        <v/>
      </c>
    </row>
    <row r="1846" spans="1:9" ht="30" hidden="1">
      <c r="A1846" s="345">
        <v>2232</v>
      </c>
      <c r="B1846" s="346" t="s">
        <v>621</v>
      </c>
      <c r="C1846" s="347">
        <v>2000</v>
      </c>
      <c r="D1846" s="348">
        <v>46054</v>
      </c>
      <c r="E1846" s="348">
        <v>46054</v>
      </c>
      <c r="F1846" s="346" t="s">
        <v>688</v>
      </c>
      <c r="G1846" s="349" t="s">
        <v>595</v>
      </c>
      <c r="H1846" s="350">
        <f t="shared" si="41"/>
        <v>2000</v>
      </c>
      <c r="I1846" s="120" t="str">
        <f>IF(OR(D1846&lt;Capa!$A$5,D1846&gt;Capa!$A$7,E1846&lt;Capa!$A$5,E1846&gt;Capa!$A$7,D1846&gt;E1846),"Erro","")</f>
        <v/>
      </c>
    </row>
    <row r="1847" spans="1:9" ht="30" hidden="1">
      <c r="A1847" s="345">
        <v>2233</v>
      </c>
      <c r="B1847" s="346" t="s">
        <v>619</v>
      </c>
      <c r="C1847" s="347">
        <v>70</v>
      </c>
      <c r="D1847" s="348">
        <v>45658</v>
      </c>
      <c r="E1847" s="348">
        <v>47058</v>
      </c>
      <c r="F1847" s="346" t="s">
        <v>688</v>
      </c>
      <c r="G1847" s="349" t="s">
        <v>663</v>
      </c>
      <c r="H1847" s="350">
        <f t="shared" si="41"/>
        <v>3290</v>
      </c>
      <c r="I1847" s="120" t="str">
        <f>IF(OR(D1847&lt;Capa!$A$5,D1847&gt;Capa!$A$7,E1847&lt;Capa!$A$5,E1847&gt;Capa!$A$7,D1847&gt;E1847),"Erro","")</f>
        <v/>
      </c>
    </row>
    <row r="1848" spans="1:9" ht="30" hidden="1">
      <c r="A1848" s="345">
        <v>2234</v>
      </c>
      <c r="B1848" s="346" t="s">
        <v>617</v>
      </c>
      <c r="C1848" s="347">
        <v>200</v>
      </c>
      <c r="D1848" s="348">
        <v>45717</v>
      </c>
      <c r="E1848" s="348">
        <v>47058</v>
      </c>
      <c r="F1848" s="346" t="s">
        <v>688</v>
      </c>
      <c r="G1848" s="349" t="s">
        <v>639</v>
      </c>
      <c r="H1848" s="350">
        <f t="shared" si="41"/>
        <v>9000</v>
      </c>
      <c r="I1848" s="120" t="str">
        <f>IF(OR(D1848&lt;Capa!$A$5,D1848&gt;Capa!$A$7,E1848&lt;Capa!$A$5,E1848&gt;Capa!$A$7,D1848&gt;E1848),"Erro","")</f>
        <v/>
      </c>
    </row>
    <row r="1849" spans="1:9" ht="20" hidden="1">
      <c r="A1849" s="345">
        <v>2235</v>
      </c>
      <c r="B1849" s="346" t="s">
        <v>618</v>
      </c>
      <c r="C1849" s="347">
        <v>2500</v>
      </c>
      <c r="D1849" s="348">
        <v>45809</v>
      </c>
      <c r="E1849" s="348">
        <v>47058</v>
      </c>
      <c r="F1849" s="346" t="s">
        <v>688</v>
      </c>
      <c r="G1849" s="349" t="s">
        <v>657</v>
      </c>
      <c r="H1849" s="350">
        <f t="shared" si="41"/>
        <v>105000</v>
      </c>
      <c r="I1849" s="120" t="str">
        <f>IF(OR(D1849&lt;Capa!$A$5,D1849&gt;Capa!$A$7,E1849&lt;Capa!$A$5,E1849&gt;Capa!$A$7,D1849&gt;E1849),"Erro","")</f>
        <v/>
      </c>
    </row>
    <row r="1850" spans="1:9" ht="30" hidden="1">
      <c r="A1850" s="345">
        <v>2236</v>
      </c>
      <c r="B1850" s="346" t="s">
        <v>623</v>
      </c>
      <c r="C1850" s="347">
        <v>650</v>
      </c>
      <c r="D1850" s="348">
        <v>45717</v>
      </c>
      <c r="E1850" s="348">
        <v>46784</v>
      </c>
      <c r="F1850" s="346" t="s">
        <v>688</v>
      </c>
      <c r="G1850" s="349" t="s">
        <v>658</v>
      </c>
      <c r="H1850" s="350">
        <f t="shared" si="41"/>
        <v>23400</v>
      </c>
      <c r="I1850" s="120" t="str">
        <f>IF(OR(D1850&lt;Capa!$A$5,D1850&gt;Capa!$A$7,E1850&lt;Capa!$A$5,E1850&gt;Capa!$A$7,D1850&gt;E1850),"Erro","")</f>
        <v/>
      </c>
    </row>
    <row r="1851" spans="1:9" ht="20" hidden="1">
      <c r="A1851" s="345">
        <v>2237</v>
      </c>
      <c r="B1851" s="346" t="s">
        <v>625</v>
      </c>
      <c r="C1851" s="347">
        <v>90</v>
      </c>
      <c r="D1851" s="348">
        <v>45717</v>
      </c>
      <c r="E1851" s="348">
        <v>47058</v>
      </c>
      <c r="F1851" s="346" t="s">
        <v>688</v>
      </c>
      <c r="G1851" s="349" t="s">
        <v>659</v>
      </c>
      <c r="H1851" s="350">
        <f t="shared" si="41"/>
        <v>4050</v>
      </c>
      <c r="I1851" s="120" t="str">
        <f>IF(OR(D1851&lt;Capa!$A$5,D1851&gt;Capa!$A$7,E1851&lt;Capa!$A$5,E1851&gt;Capa!$A$7,D1851&gt;E1851),"Erro","")</f>
        <v/>
      </c>
    </row>
    <row r="1852" spans="1:9" ht="20" hidden="1">
      <c r="A1852" s="345">
        <v>2238</v>
      </c>
      <c r="B1852" s="346" t="s">
        <v>627</v>
      </c>
      <c r="C1852" s="347">
        <v>50</v>
      </c>
      <c r="D1852" s="348">
        <v>45717</v>
      </c>
      <c r="E1852" s="348">
        <v>47058</v>
      </c>
      <c r="F1852" s="346" t="s">
        <v>688</v>
      </c>
      <c r="G1852" s="349" t="s">
        <v>661</v>
      </c>
      <c r="H1852" s="350">
        <f t="shared" si="41"/>
        <v>2250</v>
      </c>
      <c r="I1852" s="120" t="str">
        <f>IF(OR(D1852&lt;Capa!$A$5,D1852&gt;Capa!$A$7,E1852&lt;Capa!$A$5,E1852&gt;Capa!$A$7,D1852&gt;E1852),"Erro","")</f>
        <v/>
      </c>
    </row>
    <row r="1853" spans="1:9" ht="30" hidden="1">
      <c r="A1853" s="345">
        <v>2239</v>
      </c>
      <c r="B1853" s="346" t="s">
        <v>626</v>
      </c>
      <c r="C1853" s="347">
        <v>350</v>
      </c>
      <c r="D1853" s="348">
        <v>45658</v>
      </c>
      <c r="E1853" s="348">
        <v>47058</v>
      </c>
      <c r="F1853" s="346" t="s">
        <v>688</v>
      </c>
      <c r="G1853" s="349" t="s">
        <v>660</v>
      </c>
      <c r="H1853" s="350">
        <f t="shared" si="41"/>
        <v>16450</v>
      </c>
      <c r="I1853" s="120" t="str">
        <f>IF(OR(D1853&lt;Capa!$A$5,D1853&gt;Capa!$A$7,E1853&lt;Capa!$A$5,E1853&gt;Capa!$A$7,D1853&gt;E1853),"Erro","")</f>
        <v/>
      </c>
    </row>
    <row r="1854" spans="1:9" ht="20" hidden="1">
      <c r="A1854" s="345">
        <v>2242</v>
      </c>
      <c r="B1854" s="346" t="s">
        <v>198</v>
      </c>
      <c r="C1854" s="347">
        <v>10000</v>
      </c>
      <c r="D1854" s="348">
        <v>45748</v>
      </c>
      <c r="E1854" s="348">
        <v>45992</v>
      </c>
      <c r="F1854" s="346" t="s">
        <v>689</v>
      </c>
      <c r="G1854" s="349" t="s">
        <v>437</v>
      </c>
      <c r="H1854" s="350">
        <f t="shared" si="41"/>
        <v>90000</v>
      </c>
      <c r="I1854" s="120" t="str">
        <f>IF(OR(D1854&lt;Capa!$A$5,D1854&gt;Capa!$A$7,E1854&lt;Capa!$A$5,E1854&gt;Capa!$A$7,D1854&gt;E1854),"Erro","")</f>
        <v/>
      </c>
    </row>
    <row r="1855" spans="1:9" ht="20" hidden="1">
      <c r="A1855" s="345">
        <v>2243</v>
      </c>
      <c r="B1855" s="346" t="s">
        <v>198</v>
      </c>
      <c r="C1855" s="347">
        <v>10500</v>
      </c>
      <c r="D1855" s="348">
        <v>46023</v>
      </c>
      <c r="E1855" s="348">
        <v>46357</v>
      </c>
      <c r="F1855" s="346" t="s">
        <v>689</v>
      </c>
      <c r="G1855" s="349" t="s">
        <v>437</v>
      </c>
      <c r="H1855" s="350">
        <f t="shared" si="41"/>
        <v>126000</v>
      </c>
      <c r="I1855" s="120" t="str">
        <f>IF(OR(D1855&lt;Capa!$A$5,D1855&gt;Capa!$A$7,E1855&lt;Capa!$A$5,E1855&gt;Capa!$A$7,D1855&gt;E1855),"Erro","")</f>
        <v/>
      </c>
    </row>
    <row r="1856" spans="1:9" ht="20" hidden="1">
      <c r="A1856" s="345">
        <v>2244</v>
      </c>
      <c r="B1856" s="346" t="s">
        <v>198</v>
      </c>
      <c r="C1856" s="347">
        <v>11025</v>
      </c>
      <c r="D1856" s="348">
        <v>46388</v>
      </c>
      <c r="E1856" s="348">
        <v>46722</v>
      </c>
      <c r="F1856" s="346" t="s">
        <v>689</v>
      </c>
      <c r="G1856" s="349" t="s">
        <v>437</v>
      </c>
      <c r="H1856" s="350">
        <f t="shared" si="41"/>
        <v>132300</v>
      </c>
      <c r="I1856" s="120" t="str">
        <f>IF(OR(D1856&lt;Capa!$A$5,D1856&gt;Capa!$A$7,E1856&lt;Capa!$A$5,E1856&gt;Capa!$A$7,D1856&gt;E1856),"Erro","")</f>
        <v/>
      </c>
    </row>
    <row r="1857" spans="1:9" ht="20" hidden="1">
      <c r="A1857" s="345">
        <v>2245</v>
      </c>
      <c r="B1857" s="346" t="s">
        <v>198</v>
      </c>
      <c r="C1857" s="347">
        <v>4000</v>
      </c>
      <c r="D1857" s="348">
        <v>46753</v>
      </c>
      <c r="E1857" s="348">
        <v>47058</v>
      </c>
      <c r="F1857" s="346" t="s">
        <v>689</v>
      </c>
      <c r="G1857" s="349" t="s">
        <v>437</v>
      </c>
      <c r="H1857" s="350">
        <f t="shared" si="41"/>
        <v>44000</v>
      </c>
      <c r="I1857" s="120" t="str">
        <f>IF(OR(D1857&lt;Capa!$A$5,D1857&gt;Capa!$A$7,E1857&lt;Capa!$A$5,E1857&gt;Capa!$A$7,D1857&gt;E1857),"Erro","")</f>
        <v/>
      </c>
    </row>
    <row r="1858" spans="1:9" ht="20" hidden="1">
      <c r="A1858" s="345">
        <v>2246</v>
      </c>
      <c r="B1858" s="346" t="s">
        <v>202</v>
      </c>
      <c r="C1858" s="347">
        <v>1500</v>
      </c>
      <c r="D1858" s="348">
        <v>45748</v>
      </c>
      <c r="E1858" s="348">
        <v>45870</v>
      </c>
      <c r="F1858" s="346" t="s">
        <v>689</v>
      </c>
      <c r="G1858" s="349" t="s">
        <v>438</v>
      </c>
      <c r="H1858" s="350">
        <f t="shared" si="41"/>
        <v>7500</v>
      </c>
      <c r="I1858" s="120" t="str">
        <f>IF(OR(D1858&lt;Capa!$A$5,D1858&gt;Capa!$A$7,E1858&lt;Capa!$A$5,E1858&gt;Capa!$A$7,D1858&gt;E1858),"Erro","")</f>
        <v/>
      </c>
    </row>
    <row r="1859" spans="1:9" ht="20" hidden="1">
      <c r="A1859" s="345">
        <v>2247</v>
      </c>
      <c r="B1859" s="346" t="s">
        <v>202</v>
      </c>
      <c r="C1859" s="347">
        <v>1300</v>
      </c>
      <c r="D1859" s="348">
        <v>46023</v>
      </c>
      <c r="E1859" s="348">
        <v>46082</v>
      </c>
      <c r="F1859" s="346" t="s">
        <v>689</v>
      </c>
      <c r="G1859" s="349" t="s">
        <v>438</v>
      </c>
      <c r="H1859" s="350">
        <f t="shared" si="41"/>
        <v>3900</v>
      </c>
      <c r="I1859" s="120" t="str">
        <f>IF(OR(D1859&lt;Capa!$A$5,D1859&gt;Capa!$A$7,E1859&lt;Capa!$A$5,E1859&gt;Capa!$A$7,D1859&gt;E1859),"Erro","")</f>
        <v/>
      </c>
    </row>
    <row r="1860" spans="1:9" ht="20" hidden="1">
      <c r="A1860" s="345">
        <v>2248</v>
      </c>
      <c r="B1860" s="346" t="s">
        <v>202</v>
      </c>
      <c r="C1860" s="347">
        <v>1300</v>
      </c>
      <c r="D1860" s="348">
        <v>46388</v>
      </c>
      <c r="E1860" s="348">
        <v>46447</v>
      </c>
      <c r="F1860" s="346" t="s">
        <v>689</v>
      </c>
      <c r="G1860" s="349" t="s">
        <v>438</v>
      </c>
      <c r="H1860" s="350">
        <f t="shared" si="41"/>
        <v>3900</v>
      </c>
      <c r="I1860" s="120" t="str">
        <f>IF(OR(D1860&lt;Capa!$A$5,D1860&gt;Capa!$A$7,E1860&lt;Capa!$A$5,E1860&gt;Capa!$A$7,D1860&gt;E1860),"Erro","")</f>
        <v/>
      </c>
    </row>
    <row r="1861" spans="1:9" ht="20" hidden="1">
      <c r="A1861" s="345">
        <v>2249</v>
      </c>
      <c r="B1861" s="346" t="s">
        <v>202</v>
      </c>
      <c r="C1861" s="347">
        <v>750</v>
      </c>
      <c r="D1861" s="348">
        <v>46753</v>
      </c>
      <c r="E1861" s="348">
        <v>46813</v>
      </c>
      <c r="F1861" s="346" t="s">
        <v>689</v>
      </c>
      <c r="G1861" s="349" t="s">
        <v>438</v>
      </c>
      <c r="H1861" s="350">
        <f t="shared" si="41"/>
        <v>2250</v>
      </c>
      <c r="I1861" s="120" t="str">
        <f>IF(OR(D1861&lt;Capa!$A$5,D1861&gt;Capa!$A$7,E1861&lt;Capa!$A$5,E1861&gt;Capa!$A$7,D1861&gt;E1861),"Erro","")</f>
        <v/>
      </c>
    </row>
    <row r="1862" spans="1:9" ht="20" hidden="1">
      <c r="A1862" s="345">
        <v>2250</v>
      </c>
      <c r="B1862" s="346" t="s">
        <v>204</v>
      </c>
      <c r="C1862" s="347">
        <v>1250</v>
      </c>
      <c r="D1862" s="348">
        <v>45748</v>
      </c>
      <c r="E1862" s="348">
        <v>45992</v>
      </c>
      <c r="F1862" s="346" t="s">
        <v>689</v>
      </c>
      <c r="G1862" s="349" t="s">
        <v>438</v>
      </c>
      <c r="H1862" s="350">
        <f t="shared" si="41"/>
        <v>11250</v>
      </c>
      <c r="I1862" s="120" t="str">
        <f>IF(OR(D1862&lt;Capa!$A$5,D1862&gt;Capa!$A$7,E1862&lt;Capa!$A$5,E1862&gt;Capa!$A$7,D1862&gt;E1862),"Erro","")</f>
        <v/>
      </c>
    </row>
    <row r="1863" spans="1:9" ht="20" hidden="1">
      <c r="A1863" s="345">
        <v>2251</v>
      </c>
      <c r="B1863" s="346" t="s">
        <v>204</v>
      </c>
      <c r="C1863" s="347">
        <v>1250</v>
      </c>
      <c r="D1863" s="348">
        <v>46023</v>
      </c>
      <c r="E1863" s="348">
        <v>46204</v>
      </c>
      <c r="F1863" s="346" t="s">
        <v>689</v>
      </c>
      <c r="G1863" s="349" t="s">
        <v>438</v>
      </c>
      <c r="H1863" s="350">
        <f t="shared" si="41"/>
        <v>8750</v>
      </c>
      <c r="I1863" s="120" t="str">
        <f>IF(OR(D1863&lt;Capa!$A$5,D1863&gt;Capa!$A$7,E1863&lt;Capa!$A$5,E1863&gt;Capa!$A$7,D1863&gt;E1863),"Erro","")</f>
        <v/>
      </c>
    </row>
    <row r="1864" spans="1:9" ht="20" hidden="1">
      <c r="A1864" s="345">
        <v>2252</v>
      </c>
      <c r="B1864" s="346" t="s">
        <v>204</v>
      </c>
      <c r="C1864" s="347">
        <v>1250</v>
      </c>
      <c r="D1864" s="348">
        <v>46388</v>
      </c>
      <c r="E1864" s="348">
        <v>46569</v>
      </c>
      <c r="F1864" s="346" t="s">
        <v>689</v>
      </c>
      <c r="G1864" s="349" t="s">
        <v>438</v>
      </c>
      <c r="H1864" s="350">
        <f t="shared" si="41"/>
        <v>8750</v>
      </c>
      <c r="I1864" s="120" t="str">
        <f>IF(OR(D1864&lt;Capa!$A$5,D1864&gt;Capa!$A$7,E1864&lt;Capa!$A$5,E1864&gt;Capa!$A$7,D1864&gt;E1864),"Erro","")</f>
        <v/>
      </c>
    </row>
    <row r="1865" spans="1:9" ht="20" hidden="1">
      <c r="A1865" s="345">
        <v>2253</v>
      </c>
      <c r="B1865" s="346" t="s">
        <v>204</v>
      </c>
      <c r="C1865" s="347">
        <v>780</v>
      </c>
      <c r="D1865" s="348">
        <v>46753</v>
      </c>
      <c r="E1865" s="348">
        <v>46935</v>
      </c>
      <c r="F1865" s="346" t="s">
        <v>689</v>
      </c>
      <c r="G1865" s="349" t="s">
        <v>438</v>
      </c>
      <c r="H1865" s="350">
        <f t="shared" si="41"/>
        <v>5460</v>
      </c>
      <c r="I1865" s="120" t="str">
        <f>IF(OR(D1865&lt;Capa!$A$5,D1865&gt;Capa!$A$7,E1865&lt;Capa!$A$5,E1865&gt;Capa!$A$7,D1865&gt;E1865),"Erro","")</f>
        <v/>
      </c>
    </row>
    <row r="1866" spans="1:9" ht="20" hidden="1">
      <c r="A1866" s="345">
        <v>2254</v>
      </c>
      <c r="B1866" s="346" t="s">
        <v>206</v>
      </c>
      <c r="C1866" s="347">
        <v>1100</v>
      </c>
      <c r="D1866" s="348">
        <v>45748</v>
      </c>
      <c r="E1866" s="348">
        <v>45992</v>
      </c>
      <c r="F1866" s="346" t="s">
        <v>689</v>
      </c>
      <c r="G1866" s="349" t="s">
        <v>439</v>
      </c>
      <c r="H1866" s="350">
        <f t="shared" si="41"/>
        <v>9900</v>
      </c>
      <c r="I1866" s="120" t="str">
        <f>IF(OR(D1866&lt;Capa!$A$5,D1866&gt;Capa!$A$7,E1866&lt;Capa!$A$5,E1866&gt;Capa!$A$7,D1866&gt;E1866),"Erro","")</f>
        <v/>
      </c>
    </row>
    <row r="1867" spans="1:9" ht="20" hidden="1">
      <c r="A1867" s="345">
        <v>2255</v>
      </c>
      <c r="B1867" s="346" t="s">
        <v>206</v>
      </c>
      <c r="C1867" s="347">
        <v>1100</v>
      </c>
      <c r="D1867" s="348">
        <v>46023</v>
      </c>
      <c r="E1867" s="348">
        <v>46357</v>
      </c>
      <c r="F1867" s="346" t="s">
        <v>689</v>
      </c>
      <c r="G1867" s="349" t="s">
        <v>439</v>
      </c>
      <c r="H1867" s="350">
        <f t="shared" si="41"/>
        <v>13200</v>
      </c>
      <c r="I1867" s="120" t="str">
        <f>IF(OR(D1867&lt;Capa!$A$5,D1867&gt;Capa!$A$7,E1867&lt;Capa!$A$5,E1867&gt;Capa!$A$7,D1867&gt;E1867),"Erro","")</f>
        <v/>
      </c>
    </row>
    <row r="1868" spans="1:9" ht="20" hidden="1">
      <c r="A1868" s="345">
        <v>2256</v>
      </c>
      <c r="B1868" s="346" t="s">
        <v>206</v>
      </c>
      <c r="C1868" s="347">
        <v>1100</v>
      </c>
      <c r="D1868" s="348">
        <v>46388</v>
      </c>
      <c r="E1868" s="348">
        <v>46722</v>
      </c>
      <c r="F1868" s="346" t="s">
        <v>689</v>
      </c>
      <c r="G1868" s="349" t="s">
        <v>439</v>
      </c>
      <c r="H1868" s="350">
        <f t="shared" si="41"/>
        <v>13200</v>
      </c>
      <c r="I1868" s="120" t="str">
        <f>IF(OR(D1868&lt;Capa!$A$5,D1868&gt;Capa!$A$7,E1868&lt;Capa!$A$5,E1868&gt;Capa!$A$7,D1868&gt;E1868),"Erro","")</f>
        <v/>
      </c>
    </row>
    <row r="1869" spans="1:9" ht="20" hidden="1">
      <c r="A1869" s="345">
        <v>2257</v>
      </c>
      <c r="B1869" s="346" t="s">
        <v>206</v>
      </c>
      <c r="C1869" s="347">
        <v>550</v>
      </c>
      <c r="D1869" s="348">
        <v>46753</v>
      </c>
      <c r="E1869" s="348">
        <v>47058</v>
      </c>
      <c r="F1869" s="346" t="s">
        <v>689</v>
      </c>
      <c r="G1869" s="349" t="s">
        <v>439</v>
      </c>
      <c r="H1869" s="350">
        <f t="shared" si="41"/>
        <v>6050</v>
      </c>
      <c r="I1869" s="120" t="str">
        <f>IF(OR(D1869&lt;Capa!$A$5,D1869&gt;Capa!$A$7,E1869&lt;Capa!$A$5,E1869&gt;Capa!$A$7,D1869&gt;E1869),"Erro","")</f>
        <v/>
      </c>
    </row>
    <row r="1870" spans="1:9" ht="20" hidden="1">
      <c r="A1870" s="345">
        <v>2258</v>
      </c>
      <c r="B1870" s="346" t="s">
        <v>208</v>
      </c>
      <c r="C1870" s="347">
        <v>850</v>
      </c>
      <c r="D1870" s="348">
        <v>45748</v>
      </c>
      <c r="E1870" s="348">
        <v>45992</v>
      </c>
      <c r="F1870" s="346" t="s">
        <v>689</v>
      </c>
      <c r="G1870" s="349" t="s">
        <v>439</v>
      </c>
      <c r="H1870" s="350">
        <f t="shared" si="41"/>
        <v>7650</v>
      </c>
      <c r="I1870" s="120" t="str">
        <f>IF(OR(D1870&lt;Capa!$A$5,D1870&gt;Capa!$A$7,E1870&lt;Capa!$A$5,E1870&gt;Capa!$A$7,D1870&gt;E1870),"Erro","")</f>
        <v/>
      </c>
    </row>
    <row r="1871" spans="1:9" ht="20" hidden="1">
      <c r="A1871" s="345">
        <v>2259</v>
      </c>
      <c r="B1871" s="346" t="s">
        <v>208</v>
      </c>
      <c r="C1871" s="347">
        <v>850</v>
      </c>
      <c r="D1871" s="348">
        <v>46023</v>
      </c>
      <c r="E1871" s="348">
        <v>46357</v>
      </c>
      <c r="F1871" s="346" t="s">
        <v>689</v>
      </c>
      <c r="G1871" s="349" t="s">
        <v>439</v>
      </c>
      <c r="H1871" s="350">
        <f t="shared" si="41"/>
        <v>10200</v>
      </c>
      <c r="I1871" s="120" t="str">
        <f>IF(OR(D1871&lt;Capa!$A$5,D1871&gt;Capa!$A$7,E1871&lt;Capa!$A$5,E1871&gt;Capa!$A$7,D1871&gt;E1871),"Erro","")</f>
        <v/>
      </c>
    </row>
    <row r="1872" spans="1:9" ht="20" hidden="1">
      <c r="A1872" s="345">
        <v>2260</v>
      </c>
      <c r="B1872" s="346" t="s">
        <v>208</v>
      </c>
      <c r="C1872" s="347">
        <v>850</v>
      </c>
      <c r="D1872" s="348">
        <v>46388</v>
      </c>
      <c r="E1872" s="348">
        <v>46722</v>
      </c>
      <c r="F1872" s="346" t="s">
        <v>689</v>
      </c>
      <c r="G1872" s="349" t="s">
        <v>439</v>
      </c>
      <c r="H1872" s="350">
        <f t="shared" si="41"/>
        <v>10200</v>
      </c>
      <c r="I1872" s="120" t="str">
        <f>IF(OR(D1872&lt;Capa!$A$5,D1872&gt;Capa!$A$7,E1872&lt;Capa!$A$5,E1872&gt;Capa!$A$7,D1872&gt;E1872),"Erro","")</f>
        <v/>
      </c>
    </row>
    <row r="1873" spans="1:9" ht="20" hidden="1">
      <c r="A1873" s="345">
        <v>2261</v>
      </c>
      <c r="B1873" s="346" t="s">
        <v>208</v>
      </c>
      <c r="C1873" s="347">
        <v>400</v>
      </c>
      <c r="D1873" s="348">
        <v>46753</v>
      </c>
      <c r="E1873" s="348">
        <v>47058</v>
      </c>
      <c r="F1873" s="346" t="s">
        <v>689</v>
      </c>
      <c r="G1873" s="349" t="s">
        <v>439</v>
      </c>
      <c r="H1873" s="350">
        <f t="shared" si="41"/>
        <v>4400</v>
      </c>
      <c r="I1873" s="120" t="str">
        <f>IF(OR(D1873&lt;Capa!$A$5,D1873&gt;Capa!$A$7,E1873&lt;Capa!$A$5,E1873&gt;Capa!$A$7,D1873&gt;E1873),"Erro","")</f>
        <v/>
      </c>
    </row>
    <row r="1874" spans="1:9" ht="20" hidden="1">
      <c r="A1874" s="345">
        <v>2262</v>
      </c>
      <c r="B1874" s="346" t="s">
        <v>210</v>
      </c>
      <c r="C1874" s="347">
        <v>60</v>
      </c>
      <c r="D1874" s="348">
        <v>45748</v>
      </c>
      <c r="E1874" s="348">
        <v>45992</v>
      </c>
      <c r="F1874" s="346" t="s">
        <v>689</v>
      </c>
      <c r="G1874" s="349" t="s">
        <v>439</v>
      </c>
      <c r="H1874" s="350">
        <f t="shared" si="41"/>
        <v>540</v>
      </c>
      <c r="I1874" s="120" t="str">
        <f>IF(OR(D1874&lt;Capa!$A$5,D1874&gt;Capa!$A$7,E1874&lt;Capa!$A$5,E1874&gt;Capa!$A$7,D1874&gt;E1874),"Erro","")</f>
        <v/>
      </c>
    </row>
    <row r="1875" spans="1:9" ht="20" hidden="1">
      <c r="A1875" s="345">
        <v>2263</v>
      </c>
      <c r="B1875" s="346" t="s">
        <v>210</v>
      </c>
      <c r="C1875" s="347">
        <v>60</v>
      </c>
      <c r="D1875" s="348">
        <v>46023</v>
      </c>
      <c r="E1875" s="348">
        <v>46357</v>
      </c>
      <c r="F1875" s="346" t="s">
        <v>689</v>
      </c>
      <c r="G1875" s="349" t="s">
        <v>439</v>
      </c>
      <c r="H1875" s="350">
        <f t="shared" si="41"/>
        <v>720</v>
      </c>
      <c r="I1875" s="120" t="str">
        <f>IF(OR(D1875&lt;Capa!$A$5,D1875&gt;Capa!$A$7,E1875&lt;Capa!$A$5,E1875&gt;Capa!$A$7,D1875&gt;E1875),"Erro","")</f>
        <v/>
      </c>
    </row>
    <row r="1876" spans="1:9" ht="20" hidden="1">
      <c r="A1876" s="345">
        <v>2264</v>
      </c>
      <c r="B1876" s="346" t="s">
        <v>210</v>
      </c>
      <c r="C1876" s="347">
        <v>60</v>
      </c>
      <c r="D1876" s="348">
        <v>46388</v>
      </c>
      <c r="E1876" s="348">
        <v>46722</v>
      </c>
      <c r="F1876" s="346" t="s">
        <v>689</v>
      </c>
      <c r="G1876" s="349" t="s">
        <v>439</v>
      </c>
      <c r="H1876" s="350">
        <f t="shared" si="41"/>
        <v>720</v>
      </c>
      <c r="I1876" s="120" t="str">
        <f>IF(OR(D1876&lt;Capa!$A$5,D1876&gt;Capa!$A$7,E1876&lt;Capa!$A$5,E1876&gt;Capa!$A$7,D1876&gt;E1876),"Erro","")</f>
        <v/>
      </c>
    </row>
    <row r="1877" spans="1:9" ht="20" hidden="1">
      <c r="A1877" s="345">
        <v>2265</v>
      </c>
      <c r="B1877" s="346" t="s">
        <v>210</v>
      </c>
      <c r="C1877" s="347">
        <v>49</v>
      </c>
      <c r="D1877" s="348">
        <v>46753</v>
      </c>
      <c r="E1877" s="348">
        <v>47058</v>
      </c>
      <c r="F1877" s="346" t="s">
        <v>689</v>
      </c>
      <c r="G1877" s="349" t="s">
        <v>439</v>
      </c>
      <c r="H1877" s="350">
        <f t="shared" si="41"/>
        <v>539</v>
      </c>
      <c r="I1877" s="120" t="str">
        <f>IF(OR(D1877&lt;Capa!$A$5,D1877&gt;Capa!$A$7,E1877&lt;Capa!$A$5,E1877&gt;Capa!$A$7,D1877&gt;E1877),"Erro","")</f>
        <v/>
      </c>
    </row>
    <row r="1878" spans="1:9" ht="20" hidden="1">
      <c r="A1878" s="345">
        <v>2266</v>
      </c>
      <c r="B1878" s="346" t="s">
        <v>214</v>
      </c>
      <c r="C1878" s="347">
        <v>140</v>
      </c>
      <c r="D1878" s="348">
        <v>45748</v>
      </c>
      <c r="E1878" s="348">
        <v>45992</v>
      </c>
      <c r="F1878" s="346" t="s">
        <v>689</v>
      </c>
      <c r="G1878" s="349" t="s">
        <v>439</v>
      </c>
      <c r="H1878" s="350">
        <f t="shared" si="41"/>
        <v>1260</v>
      </c>
      <c r="I1878" s="120" t="str">
        <f>IF(OR(D1878&lt;Capa!$A$5,D1878&gt;Capa!$A$7,E1878&lt;Capa!$A$5,E1878&gt;Capa!$A$7,D1878&gt;E1878),"Erro","")</f>
        <v/>
      </c>
    </row>
    <row r="1879" spans="1:9" ht="20" hidden="1">
      <c r="A1879" s="345">
        <v>2267</v>
      </c>
      <c r="B1879" s="346" t="s">
        <v>214</v>
      </c>
      <c r="C1879" s="347">
        <v>140</v>
      </c>
      <c r="D1879" s="348">
        <v>46023</v>
      </c>
      <c r="E1879" s="348">
        <v>46357</v>
      </c>
      <c r="F1879" s="346" t="s">
        <v>689</v>
      </c>
      <c r="G1879" s="349" t="s">
        <v>439</v>
      </c>
      <c r="H1879" s="350">
        <f t="shared" si="41"/>
        <v>1680</v>
      </c>
      <c r="I1879" s="120" t="str">
        <f>IF(OR(D1879&lt;Capa!$A$5,D1879&gt;Capa!$A$7,E1879&lt;Capa!$A$5,E1879&gt;Capa!$A$7,D1879&gt;E1879),"Erro","")</f>
        <v/>
      </c>
    </row>
    <row r="1880" spans="1:9" ht="20" hidden="1">
      <c r="A1880" s="345">
        <v>2268</v>
      </c>
      <c r="B1880" s="346" t="s">
        <v>214</v>
      </c>
      <c r="C1880" s="347">
        <v>140</v>
      </c>
      <c r="D1880" s="348">
        <v>46388</v>
      </c>
      <c r="E1880" s="348">
        <v>46722</v>
      </c>
      <c r="F1880" s="346" t="s">
        <v>689</v>
      </c>
      <c r="G1880" s="349" t="s">
        <v>439</v>
      </c>
      <c r="H1880" s="350">
        <f t="shared" si="41"/>
        <v>1680</v>
      </c>
      <c r="I1880" s="120" t="str">
        <f>IF(OR(D1880&lt;Capa!$A$5,D1880&gt;Capa!$A$7,E1880&lt;Capa!$A$5,E1880&gt;Capa!$A$7,D1880&gt;E1880),"Erro","")</f>
        <v/>
      </c>
    </row>
    <row r="1881" spans="1:9" ht="20" hidden="1">
      <c r="A1881" s="345">
        <v>2269</v>
      </c>
      <c r="B1881" s="346" t="s">
        <v>214</v>
      </c>
      <c r="C1881" s="347">
        <v>70</v>
      </c>
      <c r="D1881" s="348">
        <v>46753</v>
      </c>
      <c r="E1881" s="348">
        <v>47058</v>
      </c>
      <c r="F1881" s="346" t="s">
        <v>689</v>
      </c>
      <c r="G1881" s="349" t="s">
        <v>439</v>
      </c>
      <c r="H1881" s="350">
        <f t="shared" si="41"/>
        <v>770</v>
      </c>
      <c r="I1881" s="120" t="str">
        <f>IF(OR(D1881&lt;Capa!$A$5,D1881&gt;Capa!$A$7,E1881&lt;Capa!$A$5,E1881&gt;Capa!$A$7,D1881&gt;E1881),"Erro","")</f>
        <v/>
      </c>
    </row>
    <row r="1882" spans="1:9" ht="20" hidden="1">
      <c r="A1882" s="345">
        <v>2270</v>
      </c>
      <c r="B1882" s="346" t="s">
        <v>212</v>
      </c>
      <c r="C1882" s="347">
        <v>260</v>
      </c>
      <c r="D1882" s="348">
        <v>45748</v>
      </c>
      <c r="E1882" s="348">
        <v>45992</v>
      </c>
      <c r="F1882" s="346" t="s">
        <v>689</v>
      </c>
      <c r="G1882" s="349" t="s">
        <v>439</v>
      </c>
      <c r="H1882" s="350">
        <f t="shared" si="41"/>
        <v>2340</v>
      </c>
      <c r="I1882" s="120" t="str">
        <f>IF(OR(D1882&lt;Capa!$A$5,D1882&gt;Capa!$A$7,E1882&lt;Capa!$A$5,E1882&gt;Capa!$A$7,D1882&gt;E1882),"Erro","")</f>
        <v/>
      </c>
    </row>
    <row r="1883" spans="1:9" ht="20" hidden="1">
      <c r="A1883" s="345">
        <v>2271</v>
      </c>
      <c r="B1883" s="346" t="s">
        <v>212</v>
      </c>
      <c r="C1883" s="347">
        <v>260</v>
      </c>
      <c r="D1883" s="348">
        <v>46023</v>
      </c>
      <c r="E1883" s="348">
        <v>46357</v>
      </c>
      <c r="F1883" s="346" t="s">
        <v>689</v>
      </c>
      <c r="G1883" s="349" t="s">
        <v>439</v>
      </c>
      <c r="H1883" s="350">
        <f t="shared" si="41"/>
        <v>3120</v>
      </c>
      <c r="I1883" s="120" t="str">
        <f>IF(OR(D1883&lt;Capa!$A$5,D1883&gt;Capa!$A$7,E1883&lt;Capa!$A$5,E1883&gt;Capa!$A$7,D1883&gt;E1883),"Erro","")</f>
        <v/>
      </c>
    </row>
    <row r="1884" spans="1:9" ht="20" hidden="1">
      <c r="A1884" s="345">
        <v>2272</v>
      </c>
      <c r="B1884" s="346" t="s">
        <v>212</v>
      </c>
      <c r="C1884" s="347">
        <v>260</v>
      </c>
      <c r="D1884" s="348">
        <v>46388</v>
      </c>
      <c r="E1884" s="348">
        <v>46722</v>
      </c>
      <c r="F1884" s="346" t="s">
        <v>689</v>
      </c>
      <c r="G1884" s="349" t="s">
        <v>439</v>
      </c>
      <c r="H1884" s="350">
        <f t="shared" si="41"/>
        <v>3120</v>
      </c>
      <c r="I1884" s="120" t="str">
        <f>IF(OR(D1884&lt;Capa!$A$5,D1884&gt;Capa!$A$7,E1884&lt;Capa!$A$5,E1884&gt;Capa!$A$7,D1884&gt;E1884),"Erro","")</f>
        <v/>
      </c>
    </row>
    <row r="1885" spans="1:9" ht="20" hidden="1">
      <c r="A1885" s="345">
        <v>2273</v>
      </c>
      <c r="B1885" s="346" t="s">
        <v>212</v>
      </c>
      <c r="C1885" s="347">
        <v>220</v>
      </c>
      <c r="D1885" s="348">
        <v>46753</v>
      </c>
      <c r="E1885" s="348">
        <v>47058</v>
      </c>
      <c r="F1885" s="346" t="s">
        <v>689</v>
      </c>
      <c r="G1885" s="349" t="s">
        <v>439</v>
      </c>
      <c r="H1885" s="350">
        <f t="shared" si="41"/>
        <v>2420</v>
      </c>
      <c r="I1885" s="120" t="str">
        <f>IF(OR(D1885&lt;Capa!$A$5,D1885&gt;Capa!$A$7,E1885&lt;Capa!$A$5,E1885&gt;Capa!$A$7,D1885&gt;E1885),"Erro","")</f>
        <v/>
      </c>
    </row>
    <row r="1886" spans="1:9" ht="40" hidden="1">
      <c r="A1886" s="345">
        <v>2274</v>
      </c>
      <c r="B1886" s="346" t="s">
        <v>248</v>
      </c>
      <c r="C1886" s="347">
        <v>846</v>
      </c>
      <c r="D1886" s="348">
        <v>45748</v>
      </c>
      <c r="E1886" s="348">
        <v>45992</v>
      </c>
      <c r="F1886" s="346" t="s">
        <v>689</v>
      </c>
      <c r="G1886" s="349" t="s">
        <v>440</v>
      </c>
      <c r="H1886" s="350">
        <f t="shared" si="41"/>
        <v>7614</v>
      </c>
      <c r="I1886" s="120" t="str">
        <f>IF(OR(D1886&lt;Capa!$A$5,D1886&gt;Capa!$A$7,E1886&lt;Capa!$A$5,E1886&gt;Capa!$A$7,D1886&gt;E1886),"Erro","")</f>
        <v/>
      </c>
    </row>
    <row r="1887" spans="1:9" ht="40" hidden="1">
      <c r="A1887" s="345">
        <v>2275</v>
      </c>
      <c r="B1887" s="346" t="s">
        <v>248</v>
      </c>
      <c r="C1887" s="347">
        <v>846</v>
      </c>
      <c r="D1887" s="348">
        <v>46023</v>
      </c>
      <c r="E1887" s="348">
        <v>46113</v>
      </c>
      <c r="F1887" s="346" t="s">
        <v>689</v>
      </c>
      <c r="G1887" s="349" t="s">
        <v>440</v>
      </c>
      <c r="H1887" s="350">
        <f t="shared" si="41"/>
        <v>3384</v>
      </c>
      <c r="I1887" s="120" t="str">
        <f>IF(OR(D1887&lt;Capa!$A$5,D1887&gt;Capa!$A$7,E1887&lt;Capa!$A$5,E1887&gt;Capa!$A$7,D1887&gt;E1887),"Erro","")</f>
        <v/>
      </c>
    </row>
    <row r="1888" spans="1:9" ht="40" hidden="1">
      <c r="A1888" s="345">
        <v>2276</v>
      </c>
      <c r="B1888" s="346" t="s">
        <v>248</v>
      </c>
      <c r="C1888" s="347">
        <v>846</v>
      </c>
      <c r="D1888" s="348">
        <v>46388</v>
      </c>
      <c r="E1888" s="348">
        <v>46478</v>
      </c>
      <c r="F1888" s="346" t="s">
        <v>689</v>
      </c>
      <c r="G1888" s="349" t="s">
        <v>440</v>
      </c>
      <c r="H1888" s="350">
        <f t="shared" si="41"/>
        <v>3384</v>
      </c>
      <c r="I1888" s="120" t="str">
        <f>IF(OR(D1888&lt;Capa!$A$5,D1888&gt;Capa!$A$7,E1888&lt;Capa!$A$5,E1888&gt;Capa!$A$7,D1888&gt;E1888),"Erro","")</f>
        <v/>
      </c>
    </row>
    <row r="1889" spans="1:9" ht="40" hidden="1">
      <c r="A1889" s="345">
        <v>2277</v>
      </c>
      <c r="B1889" s="346" t="s">
        <v>248</v>
      </c>
      <c r="C1889" s="347">
        <v>500</v>
      </c>
      <c r="D1889" s="348">
        <v>46753</v>
      </c>
      <c r="E1889" s="348">
        <v>46844</v>
      </c>
      <c r="F1889" s="346" t="s">
        <v>689</v>
      </c>
      <c r="G1889" s="349" t="s">
        <v>440</v>
      </c>
      <c r="H1889" s="350">
        <f t="shared" si="41"/>
        <v>2000</v>
      </c>
      <c r="I1889" s="120" t="str">
        <f>IF(OR(D1889&lt;Capa!$A$5,D1889&gt;Capa!$A$7,E1889&lt;Capa!$A$5,E1889&gt;Capa!$A$7,D1889&gt;E1889),"Erro","")</f>
        <v/>
      </c>
    </row>
    <row r="1890" spans="1:9" ht="30" hidden="1">
      <c r="A1890" s="345">
        <v>2278</v>
      </c>
      <c r="B1890" s="346" t="s">
        <v>266</v>
      </c>
      <c r="C1890" s="347">
        <v>1500</v>
      </c>
      <c r="D1890" s="348">
        <v>45748</v>
      </c>
      <c r="E1890" s="348">
        <v>45748</v>
      </c>
      <c r="F1890" s="346" t="s">
        <v>689</v>
      </c>
      <c r="G1890" s="349" t="s">
        <v>441</v>
      </c>
      <c r="H1890" s="350">
        <f t="shared" si="41"/>
        <v>1500</v>
      </c>
      <c r="I1890" s="120" t="str">
        <f>IF(OR(D1890&lt;Capa!$A$5,D1890&gt;Capa!$A$7,E1890&lt;Capa!$A$5,E1890&gt;Capa!$A$7,D1890&gt;E1890),"Erro","")</f>
        <v/>
      </c>
    </row>
    <row r="1891" spans="1:9" ht="30" hidden="1">
      <c r="A1891" s="345">
        <v>2279</v>
      </c>
      <c r="B1891" s="346" t="s">
        <v>266</v>
      </c>
      <c r="C1891" s="347">
        <v>1500</v>
      </c>
      <c r="D1891" s="348">
        <v>46023</v>
      </c>
      <c r="E1891" s="348">
        <v>46023</v>
      </c>
      <c r="F1891" s="346" t="s">
        <v>689</v>
      </c>
      <c r="G1891" s="349" t="s">
        <v>441</v>
      </c>
      <c r="H1891" s="350">
        <f t="shared" si="41"/>
        <v>1500</v>
      </c>
      <c r="I1891" s="120" t="str">
        <f>IF(OR(D1891&lt;Capa!$A$5,D1891&gt;Capa!$A$7,E1891&lt;Capa!$A$5,E1891&gt;Capa!$A$7,D1891&gt;E1891),"Erro","")</f>
        <v/>
      </c>
    </row>
    <row r="1892" spans="1:9" ht="30" hidden="1">
      <c r="A1892" s="345">
        <v>2280</v>
      </c>
      <c r="B1892" s="346" t="s">
        <v>266</v>
      </c>
      <c r="C1892" s="347">
        <v>1500</v>
      </c>
      <c r="D1892" s="348">
        <v>46388</v>
      </c>
      <c r="E1892" s="348">
        <v>46388</v>
      </c>
      <c r="F1892" s="346" t="s">
        <v>689</v>
      </c>
      <c r="G1892" s="349" t="s">
        <v>441</v>
      </c>
      <c r="H1892" s="350">
        <f t="shared" si="41"/>
        <v>1500</v>
      </c>
      <c r="I1892" s="120" t="str">
        <f>IF(OR(D1892&lt;Capa!$A$5,D1892&gt;Capa!$A$7,E1892&lt;Capa!$A$5,E1892&gt;Capa!$A$7,D1892&gt;E1892),"Erro","")</f>
        <v/>
      </c>
    </row>
    <row r="1893" spans="1:9" ht="30" hidden="1">
      <c r="A1893" s="345">
        <v>2281</v>
      </c>
      <c r="B1893" s="346" t="s">
        <v>266</v>
      </c>
      <c r="C1893" s="347">
        <v>750</v>
      </c>
      <c r="D1893" s="348">
        <v>46753</v>
      </c>
      <c r="E1893" s="348">
        <v>46753</v>
      </c>
      <c r="F1893" s="346" t="s">
        <v>689</v>
      </c>
      <c r="G1893" s="349" t="s">
        <v>441</v>
      </c>
      <c r="H1893" s="350">
        <f t="shared" si="41"/>
        <v>750</v>
      </c>
      <c r="I1893" s="120" t="str">
        <f>IF(OR(D1893&lt;Capa!$A$5,D1893&gt;Capa!$A$7,E1893&lt;Capa!$A$5,E1893&gt;Capa!$A$7,D1893&gt;E1893),"Erro","")</f>
        <v/>
      </c>
    </row>
    <row r="1894" spans="1:9" hidden="1">
      <c r="A1894" s="345">
        <v>2282</v>
      </c>
      <c r="B1894" s="346" t="s">
        <v>274</v>
      </c>
      <c r="C1894" s="347">
        <v>850</v>
      </c>
      <c r="D1894" s="348">
        <v>45748</v>
      </c>
      <c r="E1894" s="348">
        <v>45992</v>
      </c>
      <c r="F1894" s="346" t="s">
        <v>689</v>
      </c>
      <c r="G1894" s="349" t="s">
        <v>442</v>
      </c>
      <c r="H1894" s="350">
        <f t="shared" si="41"/>
        <v>7650</v>
      </c>
      <c r="I1894" s="120" t="str">
        <f>IF(OR(D1894&lt;Capa!$A$5,D1894&gt;Capa!$A$7,E1894&lt;Capa!$A$5,E1894&gt;Capa!$A$7,D1894&gt;E1894),"Erro","")</f>
        <v/>
      </c>
    </row>
    <row r="1895" spans="1:9" hidden="1">
      <c r="A1895" s="345">
        <v>2283</v>
      </c>
      <c r="B1895" s="346" t="s">
        <v>274</v>
      </c>
      <c r="C1895" s="347">
        <v>850</v>
      </c>
      <c r="D1895" s="348">
        <v>46023</v>
      </c>
      <c r="E1895" s="348">
        <v>46357</v>
      </c>
      <c r="F1895" s="346" t="s">
        <v>689</v>
      </c>
      <c r="G1895" s="349" t="s">
        <v>442</v>
      </c>
      <c r="H1895" s="350">
        <f t="shared" si="41"/>
        <v>10200</v>
      </c>
      <c r="I1895" s="120" t="str">
        <f>IF(OR(D1895&lt;Capa!$A$5,D1895&gt;Capa!$A$7,E1895&lt;Capa!$A$5,E1895&gt;Capa!$A$7,D1895&gt;E1895),"Erro","")</f>
        <v/>
      </c>
    </row>
    <row r="1896" spans="1:9" hidden="1">
      <c r="A1896" s="345">
        <v>2284</v>
      </c>
      <c r="B1896" s="346" t="s">
        <v>274</v>
      </c>
      <c r="C1896" s="347">
        <v>850</v>
      </c>
      <c r="D1896" s="348">
        <v>46388</v>
      </c>
      <c r="E1896" s="348">
        <v>46722</v>
      </c>
      <c r="F1896" s="346" t="s">
        <v>689</v>
      </c>
      <c r="G1896" s="349" t="s">
        <v>442</v>
      </c>
      <c r="H1896" s="350">
        <f t="shared" si="41"/>
        <v>10200</v>
      </c>
      <c r="I1896" s="120" t="str">
        <f>IF(OR(D1896&lt;Capa!$A$5,D1896&gt;Capa!$A$7,E1896&lt;Capa!$A$5,E1896&gt;Capa!$A$7,D1896&gt;E1896),"Erro","")</f>
        <v/>
      </c>
    </row>
    <row r="1897" spans="1:9" hidden="1">
      <c r="A1897" s="345">
        <v>2285</v>
      </c>
      <c r="B1897" s="346" t="s">
        <v>274</v>
      </c>
      <c r="C1897" s="347">
        <v>450</v>
      </c>
      <c r="D1897" s="348">
        <v>46753</v>
      </c>
      <c r="E1897" s="348">
        <v>47058</v>
      </c>
      <c r="F1897" s="346" t="s">
        <v>689</v>
      </c>
      <c r="G1897" s="349" t="s">
        <v>442</v>
      </c>
      <c r="H1897" s="350">
        <f t="shared" si="41"/>
        <v>4950</v>
      </c>
      <c r="I1897" s="120" t="str">
        <f>IF(OR(D1897&lt;Capa!$A$5,D1897&gt;Capa!$A$7,E1897&lt;Capa!$A$5,E1897&gt;Capa!$A$7,D1897&gt;E1897),"Erro","")</f>
        <v/>
      </c>
    </row>
    <row r="1898" spans="1:9" ht="40" hidden="1">
      <c r="A1898" s="345">
        <v>2286</v>
      </c>
      <c r="B1898" s="346" t="s">
        <v>236</v>
      </c>
      <c r="C1898" s="347">
        <v>450</v>
      </c>
      <c r="D1898" s="348">
        <v>45748</v>
      </c>
      <c r="E1898" s="348">
        <v>45992</v>
      </c>
      <c r="F1898" s="346" t="s">
        <v>689</v>
      </c>
      <c r="G1898" s="349" t="s">
        <v>443</v>
      </c>
      <c r="H1898" s="350">
        <f t="shared" si="41"/>
        <v>4050</v>
      </c>
      <c r="I1898" s="120" t="str">
        <f>IF(OR(D1898&lt;Capa!$A$5,D1898&gt;Capa!$A$7,E1898&lt;Capa!$A$5,E1898&gt;Capa!$A$7,D1898&gt;E1898),"Erro","")</f>
        <v/>
      </c>
    </row>
    <row r="1899" spans="1:9" ht="40" hidden="1">
      <c r="A1899" s="345">
        <v>2287</v>
      </c>
      <c r="B1899" s="346" t="s">
        <v>236</v>
      </c>
      <c r="C1899" s="347">
        <v>450</v>
      </c>
      <c r="D1899" s="348">
        <v>46023</v>
      </c>
      <c r="E1899" s="348">
        <v>46357</v>
      </c>
      <c r="F1899" s="346" t="s">
        <v>689</v>
      </c>
      <c r="G1899" s="349" t="s">
        <v>443</v>
      </c>
      <c r="H1899" s="350">
        <f t="shared" si="41"/>
        <v>5400</v>
      </c>
      <c r="I1899" s="120" t="str">
        <f>IF(OR(D1899&lt;Capa!$A$5,D1899&gt;Capa!$A$7,E1899&lt;Capa!$A$5,E1899&gt;Capa!$A$7,D1899&gt;E1899),"Erro","")</f>
        <v/>
      </c>
    </row>
    <row r="1900" spans="1:9" ht="40" hidden="1">
      <c r="A1900" s="345">
        <v>2288</v>
      </c>
      <c r="B1900" s="346" t="s">
        <v>236</v>
      </c>
      <c r="C1900" s="347">
        <v>450</v>
      </c>
      <c r="D1900" s="348">
        <v>46388</v>
      </c>
      <c r="E1900" s="348">
        <v>46722</v>
      </c>
      <c r="F1900" s="346" t="s">
        <v>689</v>
      </c>
      <c r="G1900" s="349" t="s">
        <v>443</v>
      </c>
      <c r="H1900" s="350">
        <f t="shared" si="41"/>
        <v>5400</v>
      </c>
      <c r="I1900" s="120" t="str">
        <f>IF(OR(D1900&lt;Capa!$A$5,D1900&gt;Capa!$A$7,E1900&lt;Capa!$A$5,E1900&gt;Capa!$A$7,D1900&gt;E1900),"Erro","")</f>
        <v/>
      </c>
    </row>
    <row r="1901" spans="1:9" ht="40" hidden="1">
      <c r="A1901" s="345">
        <v>2289</v>
      </c>
      <c r="B1901" s="346" t="s">
        <v>236</v>
      </c>
      <c r="C1901" s="347">
        <v>200</v>
      </c>
      <c r="D1901" s="348">
        <v>46753</v>
      </c>
      <c r="E1901" s="348">
        <v>47058</v>
      </c>
      <c r="F1901" s="346" t="s">
        <v>689</v>
      </c>
      <c r="G1901" s="349" t="s">
        <v>443</v>
      </c>
      <c r="H1901" s="350">
        <f t="shared" si="41"/>
        <v>2200</v>
      </c>
      <c r="I1901" s="120" t="str">
        <f>IF(OR(D1901&lt;Capa!$A$5,D1901&gt;Capa!$A$7,E1901&lt;Capa!$A$5,E1901&gt;Capa!$A$7,D1901&gt;E1901),"Erro","")</f>
        <v/>
      </c>
    </row>
    <row r="1902" spans="1:9" ht="30" hidden="1">
      <c r="A1902" s="345">
        <v>2290</v>
      </c>
      <c r="B1902" s="346" t="s">
        <v>240</v>
      </c>
      <c r="C1902" s="347">
        <v>50</v>
      </c>
      <c r="D1902" s="348">
        <v>45748</v>
      </c>
      <c r="E1902" s="348">
        <v>45992</v>
      </c>
      <c r="F1902" s="346" t="s">
        <v>689</v>
      </c>
      <c r="G1902" s="349" t="s">
        <v>444</v>
      </c>
      <c r="H1902" s="350">
        <f t="shared" si="41"/>
        <v>450</v>
      </c>
      <c r="I1902" s="120" t="str">
        <f>IF(OR(D1902&lt;Capa!$A$5,D1902&gt;Capa!$A$7,E1902&lt;Capa!$A$5,E1902&gt;Capa!$A$7,D1902&gt;E1902),"Erro","")</f>
        <v/>
      </c>
    </row>
    <row r="1903" spans="1:9" ht="30" hidden="1">
      <c r="A1903" s="345">
        <v>2291</v>
      </c>
      <c r="B1903" s="346" t="s">
        <v>240</v>
      </c>
      <c r="C1903" s="347">
        <v>50</v>
      </c>
      <c r="D1903" s="348">
        <v>46023</v>
      </c>
      <c r="E1903" s="348">
        <v>46357</v>
      </c>
      <c r="F1903" s="346" t="s">
        <v>689</v>
      </c>
      <c r="G1903" s="349" t="s">
        <v>444</v>
      </c>
      <c r="H1903" s="350">
        <f t="shared" si="41"/>
        <v>600</v>
      </c>
      <c r="I1903" s="120" t="str">
        <f>IF(OR(D1903&lt;Capa!$A$5,D1903&gt;Capa!$A$7,E1903&lt;Capa!$A$5,E1903&gt;Capa!$A$7,D1903&gt;E1903),"Erro","")</f>
        <v/>
      </c>
    </row>
    <row r="1904" spans="1:9" ht="30" hidden="1">
      <c r="A1904" s="345">
        <v>2292</v>
      </c>
      <c r="B1904" s="346" t="s">
        <v>240</v>
      </c>
      <c r="C1904" s="347">
        <v>50</v>
      </c>
      <c r="D1904" s="348">
        <v>46388</v>
      </c>
      <c r="E1904" s="348">
        <v>46722</v>
      </c>
      <c r="F1904" s="346" t="s">
        <v>689</v>
      </c>
      <c r="G1904" s="349" t="s">
        <v>444</v>
      </c>
      <c r="H1904" s="350">
        <f t="shared" si="41"/>
        <v>600</v>
      </c>
      <c r="I1904" s="120" t="str">
        <f>IF(OR(D1904&lt;Capa!$A$5,D1904&gt;Capa!$A$7,E1904&lt;Capa!$A$5,E1904&gt;Capa!$A$7,D1904&gt;E1904),"Erro","")</f>
        <v/>
      </c>
    </row>
    <row r="1905" spans="1:9" ht="30" hidden="1">
      <c r="A1905" s="345">
        <v>2293</v>
      </c>
      <c r="B1905" s="346" t="s">
        <v>240</v>
      </c>
      <c r="C1905" s="347">
        <v>25</v>
      </c>
      <c r="D1905" s="348">
        <v>46753</v>
      </c>
      <c r="E1905" s="348">
        <v>47058</v>
      </c>
      <c r="F1905" s="346" t="s">
        <v>689</v>
      </c>
      <c r="G1905" s="349" t="s">
        <v>444</v>
      </c>
      <c r="H1905" s="350">
        <f t="shared" si="41"/>
        <v>275</v>
      </c>
      <c r="I1905" s="120" t="str">
        <f>IF(OR(D1905&lt;Capa!$A$5,D1905&gt;Capa!$A$7,E1905&lt;Capa!$A$5,E1905&gt;Capa!$A$7,D1905&gt;E1905),"Erro","")</f>
        <v/>
      </c>
    </row>
    <row r="1906" spans="1:9" ht="30" hidden="1">
      <c r="A1906" s="345">
        <v>2294</v>
      </c>
      <c r="B1906" s="346" t="s">
        <v>244</v>
      </c>
      <c r="C1906" s="347">
        <v>250</v>
      </c>
      <c r="D1906" s="348">
        <v>45748</v>
      </c>
      <c r="E1906" s="348">
        <v>45992</v>
      </c>
      <c r="F1906" s="346" t="s">
        <v>689</v>
      </c>
      <c r="G1906" s="349" t="s">
        <v>445</v>
      </c>
      <c r="H1906" s="350">
        <f t="shared" si="41"/>
        <v>2250</v>
      </c>
      <c r="I1906" s="120" t="str">
        <f>IF(OR(D1906&lt;Capa!$A$5,D1906&gt;Capa!$A$7,E1906&lt;Capa!$A$5,E1906&gt;Capa!$A$7,D1906&gt;E1906),"Erro","")</f>
        <v/>
      </c>
    </row>
    <row r="1907" spans="1:9" ht="30" hidden="1">
      <c r="A1907" s="345">
        <v>2295</v>
      </c>
      <c r="B1907" s="346" t="s">
        <v>244</v>
      </c>
      <c r="C1907" s="347">
        <v>250</v>
      </c>
      <c r="D1907" s="348">
        <v>46023</v>
      </c>
      <c r="E1907" s="348">
        <v>46357</v>
      </c>
      <c r="F1907" s="346" t="s">
        <v>689</v>
      </c>
      <c r="G1907" s="349" t="s">
        <v>445</v>
      </c>
      <c r="H1907" s="350">
        <f t="shared" si="41"/>
        <v>3000</v>
      </c>
      <c r="I1907" s="120" t="str">
        <f>IF(OR(D1907&lt;Capa!$A$5,D1907&gt;Capa!$A$7,E1907&lt;Capa!$A$5,E1907&gt;Capa!$A$7,D1907&gt;E1907),"Erro","")</f>
        <v/>
      </c>
    </row>
    <row r="1908" spans="1:9" ht="30" hidden="1">
      <c r="A1908" s="345">
        <v>2296</v>
      </c>
      <c r="B1908" s="346" t="s">
        <v>244</v>
      </c>
      <c r="C1908" s="347">
        <v>250</v>
      </c>
      <c r="D1908" s="348">
        <v>46388</v>
      </c>
      <c r="E1908" s="348">
        <v>46722</v>
      </c>
      <c r="F1908" s="346" t="s">
        <v>689</v>
      </c>
      <c r="G1908" s="349" t="s">
        <v>445</v>
      </c>
      <c r="H1908" s="350">
        <f t="shared" si="41"/>
        <v>3000</v>
      </c>
      <c r="I1908" s="120" t="str">
        <f>IF(OR(D1908&lt;Capa!$A$5,D1908&gt;Capa!$A$7,E1908&lt;Capa!$A$5,E1908&gt;Capa!$A$7,D1908&gt;E1908),"Erro","")</f>
        <v/>
      </c>
    </row>
    <row r="1909" spans="1:9" ht="30" hidden="1">
      <c r="A1909" s="345">
        <v>2297</v>
      </c>
      <c r="B1909" s="346" t="s">
        <v>244</v>
      </c>
      <c r="C1909" s="347">
        <v>125</v>
      </c>
      <c r="D1909" s="348">
        <v>46753</v>
      </c>
      <c r="E1909" s="348">
        <v>47058</v>
      </c>
      <c r="F1909" s="346" t="s">
        <v>689</v>
      </c>
      <c r="G1909" s="349" t="s">
        <v>445</v>
      </c>
      <c r="H1909" s="350">
        <f t="shared" si="41"/>
        <v>1375</v>
      </c>
      <c r="I1909" s="120" t="str">
        <f>IF(OR(D1909&lt;Capa!$A$5,D1909&gt;Capa!$A$7,E1909&lt;Capa!$A$5,E1909&gt;Capa!$A$7,D1909&gt;E1909),"Erro","")</f>
        <v/>
      </c>
    </row>
    <row r="1910" spans="1:9" ht="20" hidden="1">
      <c r="A1910" s="345">
        <v>2298</v>
      </c>
      <c r="B1910" s="346" t="s">
        <v>246</v>
      </c>
      <c r="C1910" s="347">
        <v>390</v>
      </c>
      <c r="D1910" s="348">
        <v>45748</v>
      </c>
      <c r="E1910" s="348">
        <v>45992</v>
      </c>
      <c r="F1910" s="346" t="s">
        <v>689</v>
      </c>
      <c r="G1910" s="349" t="s">
        <v>446</v>
      </c>
      <c r="H1910" s="350">
        <f t="shared" si="41"/>
        <v>3510</v>
      </c>
      <c r="I1910" s="120" t="str">
        <f>IF(OR(D1910&lt;Capa!$A$5,D1910&gt;Capa!$A$7,E1910&lt;Capa!$A$5,E1910&gt;Capa!$A$7,D1910&gt;E1910),"Erro","")</f>
        <v/>
      </c>
    </row>
    <row r="1911" spans="1:9" ht="20" hidden="1">
      <c r="A1911" s="345">
        <v>2299</v>
      </c>
      <c r="B1911" s="346" t="s">
        <v>246</v>
      </c>
      <c r="C1911" s="347">
        <v>390</v>
      </c>
      <c r="D1911" s="348">
        <v>46023</v>
      </c>
      <c r="E1911" s="348">
        <v>46357</v>
      </c>
      <c r="F1911" s="346" t="s">
        <v>689</v>
      </c>
      <c r="G1911" s="349" t="s">
        <v>446</v>
      </c>
      <c r="H1911" s="350">
        <f t="shared" si="41"/>
        <v>4680</v>
      </c>
      <c r="I1911" s="120" t="str">
        <f>IF(OR(D1911&lt;Capa!$A$5,D1911&gt;Capa!$A$7,E1911&lt;Capa!$A$5,E1911&gt;Capa!$A$7,D1911&gt;E1911),"Erro","")</f>
        <v/>
      </c>
    </row>
    <row r="1912" spans="1:9" ht="20" hidden="1">
      <c r="A1912" s="345">
        <v>2300</v>
      </c>
      <c r="B1912" s="346" t="s">
        <v>246</v>
      </c>
      <c r="C1912" s="347">
        <v>390</v>
      </c>
      <c r="D1912" s="348">
        <v>46388</v>
      </c>
      <c r="E1912" s="348">
        <v>46722</v>
      </c>
      <c r="F1912" s="346" t="s">
        <v>689</v>
      </c>
      <c r="G1912" s="349" t="s">
        <v>446</v>
      </c>
      <c r="H1912" s="350">
        <f t="shared" si="41"/>
        <v>4680</v>
      </c>
      <c r="I1912" s="120" t="str">
        <f>IF(OR(D1912&lt;Capa!$A$5,D1912&gt;Capa!$A$7,E1912&lt;Capa!$A$5,E1912&gt;Capa!$A$7,D1912&gt;E1912),"Erro","")</f>
        <v/>
      </c>
    </row>
    <row r="1913" spans="1:9" ht="20" hidden="1">
      <c r="A1913" s="345">
        <v>2301</v>
      </c>
      <c r="B1913" s="346" t="s">
        <v>246</v>
      </c>
      <c r="C1913" s="347">
        <v>190</v>
      </c>
      <c r="D1913" s="348">
        <v>46753</v>
      </c>
      <c r="E1913" s="348">
        <v>47058</v>
      </c>
      <c r="F1913" s="346" t="s">
        <v>689</v>
      </c>
      <c r="G1913" s="349" t="s">
        <v>446</v>
      </c>
      <c r="H1913" s="350">
        <f t="shared" si="41"/>
        <v>2090</v>
      </c>
      <c r="I1913" s="120" t="str">
        <f>IF(OR(D1913&lt;Capa!$A$5,D1913&gt;Capa!$A$7,E1913&lt;Capa!$A$5,E1913&gt;Capa!$A$7,D1913&gt;E1913),"Erro","")</f>
        <v/>
      </c>
    </row>
    <row r="1914" spans="1:9" ht="30" hidden="1">
      <c r="A1914" s="345">
        <v>2302</v>
      </c>
      <c r="B1914" s="346" t="s">
        <v>258</v>
      </c>
      <c r="C1914" s="347">
        <v>50</v>
      </c>
      <c r="D1914" s="348">
        <v>45748</v>
      </c>
      <c r="E1914" s="348">
        <v>45992</v>
      </c>
      <c r="F1914" s="346" t="s">
        <v>689</v>
      </c>
      <c r="G1914" s="349" t="s">
        <v>447</v>
      </c>
      <c r="H1914" s="350">
        <f t="shared" si="41"/>
        <v>450</v>
      </c>
      <c r="I1914" s="120" t="str">
        <f>IF(OR(D1914&lt;Capa!$A$5,D1914&gt;Capa!$A$7,E1914&lt;Capa!$A$5,E1914&gt;Capa!$A$7,D1914&gt;E1914),"Erro","")</f>
        <v/>
      </c>
    </row>
    <row r="1915" spans="1:9" ht="30" hidden="1">
      <c r="A1915" s="345">
        <v>2303</v>
      </c>
      <c r="B1915" s="346" t="s">
        <v>258</v>
      </c>
      <c r="C1915" s="347">
        <v>50</v>
      </c>
      <c r="D1915" s="348">
        <v>46023</v>
      </c>
      <c r="E1915" s="348">
        <v>46357</v>
      </c>
      <c r="F1915" s="346" t="s">
        <v>689</v>
      </c>
      <c r="G1915" s="349" t="s">
        <v>447</v>
      </c>
      <c r="H1915" s="350">
        <f t="shared" si="41"/>
        <v>600</v>
      </c>
      <c r="I1915" s="120" t="str">
        <f>IF(OR(D1915&lt;Capa!$A$5,D1915&gt;Capa!$A$7,E1915&lt;Capa!$A$5,E1915&gt;Capa!$A$7,D1915&gt;E1915),"Erro","")</f>
        <v/>
      </c>
    </row>
    <row r="1916" spans="1:9" ht="30" hidden="1">
      <c r="A1916" s="345">
        <v>2304</v>
      </c>
      <c r="B1916" s="346" t="s">
        <v>258</v>
      </c>
      <c r="C1916" s="347">
        <v>50</v>
      </c>
      <c r="D1916" s="348">
        <v>46388</v>
      </c>
      <c r="E1916" s="348">
        <v>46722</v>
      </c>
      <c r="F1916" s="346" t="s">
        <v>689</v>
      </c>
      <c r="G1916" s="349" t="s">
        <v>447</v>
      </c>
      <c r="H1916" s="350">
        <f t="shared" si="41"/>
        <v>600</v>
      </c>
      <c r="I1916" s="120" t="str">
        <f>IF(OR(D1916&lt;Capa!$A$5,D1916&gt;Capa!$A$7,E1916&lt;Capa!$A$5,E1916&gt;Capa!$A$7,D1916&gt;E1916),"Erro","")</f>
        <v/>
      </c>
    </row>
    <row r="1917" spans="1:9" ht="30" hidden="1">
      <c r="A1917" s="345">
        <v>2305</v>
      </c>
      <c r="B1917" s="346" t="s">
        <v>258</v>
      </c>
      <c r="C1917" s="347">
        <v>20</v>
      </c>
      <c r="D1917" s="348">
        <v>46753</v>
      </c>
      <c r="E1917" s="348">
        <v>47058</v>
      </c>
      <c r="F1917" s="346" t="s">
        <v>689</v>
      </c>
      <c r="G1917" s="349" t="s">
        <v>447</v>
      </c>
      <c r="H1917" s="350">
        <f t="shared" si="41"/>
        <v>220</v>
      </c>
      <c r="I1917" s="120" t="str">
        <f>IF(OR(D1917&lt;Capa!$A$5,D1917&gt;Capa!$A$7,E1917&lt;Capa!$A$5,E1917&gt;Capa!$A$7,D1917&gt;E1917),"Erro","")</f>
        <v/>
      </c>
    </row>
    <row r="1918" spans="1:9" ht="40" hidden="1">
      <c r="A1918" s="345">
        <v>2306</v>
      </c>
      <c r="B1918" s="346" t="s">
        <v>276</v>
      </c>
      <c r="C1918" s="347">
        <v>500</v>
      </c>
      <c r="D1918" s="348">
        <v>45748</v>
      </c>
      <c r="E1918" s="348">
        <v>45992</v>
      </c>
      <c r="F1918" s="346" t="s">
        <v>689</v>
      </c>
      <c r="G1918" s="349" t="s">
        <v>448</v>
      </c>
      <c r="H1918" s="350">
        <f t="shared" si="41"/>
        <v>4500</v>
      </c>
      <c r="I1918" s="120" t="str">
        <f>IF(OR(D1918&lt;Capa!$A$5,D1918&gt;Capa!$A$7,E1918&lt;Capa!$A$5,E1918&gt;Capa!$A$7,D1918&gt;E1918),"Erro","")</f>
        <v/>
      </c>
    </row>
    <row r="1919" spans="1:9" ht="40" hidden="1">
      <c r="A1919" s="345">
        <v>2307</v>
      </c>
      <c r="B1919" s="346" t="s">
        <v>276</v>
      </c>
      <c r="C1919" s="347">
        <v>500</v>
      </c>
      <c r="D1919" s="348">
        <v>46023</v>
      </c>
      <c r="E1919" s="348">
        <v>46357</v>
      </c>
      <c r="F1919" s="346" t="s">
        <v>689</v>
      </c>
      <c r="G1919" s="349" t="s">
        <v>448</v>
      </c>
      <c r="H1919" s="350">
        <f t="shared" si="41"/>
        <v>6000</v>
      </c>
      <c r="I1919" s="120" t="str">
        <f>IF(OR(D1919&lt;Capa!$A$5,D1919&gt;Capa!$A$7,E1919&lt;Capa!$A$5,E1919&gt;Capa!$A$7,D1919&gt;E1919),"Erro","")</f>
        <v/>
      </c>
    </row>
    <row r="1920" spans="1:9" ht="40" hidden="1">
      <c r="A1920" s="345">
        <v>2308</v>
      </c>
      <c r="B1920" s="346" t="s">
        <v>276</v>
      </c>
      <c r="C1920" s="347">
        <v>500</v>
      </c>
      <c r="D1920" s="348">
        <v>46388</v>
      </c>
      <c r="E1920" s="348">
        <v>46722</v>
      </c>
      <c r="F1920" s="346" t="s">
        <v>689</v>
      </c>
      <c r="G1920" s="349" t="s">
        <v>448</v>
      </c>
      <c r="H1920" s="350">
        <f t="shared" si="41"/>
        <v>6000</v>
      </c>
      <c r="I1920" s="120" t="str">
        <f>IF(OR(D1920&lt;Capa!$A$5,D1920&gt;Capa!$A$7,E1920&lt;Capa!$A$5,E1920&gt;Capa!$A$7,D1920&gt;E1920),"Erro","")</f>
        <v/>
      </c>
    </row>
    <row r="1921" spans="1:9" ht="40" hidden="1">
      <c r="A1921" s="345">
        <v>2309</v>
      </c>
      <c r="B1921" s="346" t="s">
        <v>276</v>
      </c>
      <c r="C1921" s="347">
        <v>250</v>
      </c>
      <c r="D1921" s="348">
        <v>46753</v>
      </c>
      <c r="E1921" s="348">
        <v>47058</v>
      </c>
      <c r="F1921" s="346" t="s">
        <v>689</v>
      </c>
      <c r="G1921" s="349" t="s">
        <v>448</v>
      </c>
      <c r="H1921" s="350">
        <f t="shared" si="41"/>
        <v>2750</v>
      </c>
      <c r="I1921" s="120" t="str">
        <f>IF(OR(D1921&lt;Capa!$A$5,D1921&gt;Capa!$A$7,E1921&lt;Capa!$A$5,E1921&gt;Capa!$A$7,D1921&gt;E1921),"Erro","")</f>
        <v/>
      </c>
    </row>
    <row r="1922" spans="1:9" ht="40">
      <c r="A1922" s="345">
        <v>2310</v>
      </c>
      <c r="B1922" s="346" t="s">
        <v>278</v>
      </c>
      <c r="C1922" s="347">
        <v>33000</v>
      </c>
      <c r="D1922" s="348">
        <v>45748</v>
      </c>
      <c r="E1922" s="348">
        <v>45992</v>
      </c>
      <c r="F1922" s="346" t="s">
        <v>689</v>
      </c>
      <c r="G1922" s="349" t="s">
        <v>449</v>
      </c>
      <c r="H1922" s="350">
        <f t="shared" si="41"/>
        <v>297000</v>
      </c>
      <c r="I1922" s="120" t="str">
        <f>IF(OR(D1922&lt;Capa!$A$5,D1922&gt;Capa!$A$7,E1922&lt;Capa!$A$5,E1922&gt;Capa!$A$7,D1922&gt;E1922),"Erro","")</f>
        <v/>
      </c>
    </row>
    <row r="1923" spans="1:9" ht="40">
      <c r="A1923" s="345">
        <v>2311</v>
      </c>
      <c r="B1923" s="346" t="s">
        <v>278</v>
      </c>
      <c r="C1923" s="347">
        <v>33000</v>
      </c>
      <c r="D1923" s="348">
        <v>46023</v>
      </c>
      <c r="E1923" s="348">
        <v>46357</v>
      </c>
      <c r="F1923" s="346" t="s">
        <v>689</v>
      </c>
      <c r="G1923" s="349" t="s">
        <v>449</v>
      </c>
      <c r="H1923" s="350">
        <f t="shared" si="41"/>
        <v>396000</v>
      </c>
      <c r="I1923" s="120" t="str">
        <f>IF(OR(D1923&lt;Capa!$A$5,D1923&gt;Capa!$A$7,E1923&lt;Capa!$A$5,E1923&gt;Capa!$A$7,D1923&gt;E1923),"Erro","")</f>
        <v/>
      </c>
    </row>
    <row r="1924" spans="1:9" ht="40">
      <c r="A1924" s="345">
        <v>2312</v>
      </c>
      <c r="B1924" s="346" t="s">
        <v>278</v>
      </c>
      <c r="C1924" s="347">
        <v>33000</v>
      </c>
      <c r="D1924" s="348">
        <v>46388</v>
      </c>
      <c r="E1924" s="348">
        <v>46722</v>
      </c>
      <c r="F1924" s="346" t="s">
        <v>689</v>
      </c>
      <c r="G1924" s="349" t="s">
        <v>449</v>
      </c>
      <c r="H1924" s="350">
        <f t="shared" si="41"/>
        <v>396000</v>
      </c>
      <c r="I1924" s="120" t="str">
        <f>IF(OR(D1924&lt;Capa!$A$5,D1924&gt;Capa!$A$7,E1924&lt;Capa!$A$5,E1924&gt;Capa!$A$7,D1924&gt;E1924),"Erro","")</f>
        <v/>
      </c>
    </row>
    <row r="1925" spans="1:9" ht="40">
      <c r="A1925" s="345">
        <v>2313</v>
      </c>
      <c r="B1925" s="346" t="s">
        <v>278</v>
      </c>
      <c r="C1925" s="347">
        <v>18500</v>
      </c>
      <c r="D1925" s="348">
        <v>46753</v>
      </c>
      <c r="E1925" s="348">
        <v>47058</v>
      </c>
      <c r="F1925" s="346" t="s">
        <v>689</v>
      </c>
      <c r="G1925" s="349" t="s">
        <v>449</v>
      </c>
      <c r="H1925" s="350">
        <f t="shared" si="41"/>
        <v>203500</v>
      </c>
      <c r="I1925" s="120" t="str">
        <f>IF(OR(D1925&lt;Capa!$A$5,D1925&gt;Capa!$A$7,E1925&lt;Capa!$A$5,E1925&gt;Capa!$A$7,D1925&gt;E1925),"Erro","")</f>
        <v/>
      </c>
    </row>
    <row r="1926" spans="1:9" ht="40" hidden="1">
      <c r="A1926" s="345">
        <v>2314</v>
      </c>
      <c r="B1926" s="346" t="s">
        <v>280</v>
      </c>
      <c r="C1926" s="347">
        <v>100</v>
      </c>
      <c r="D1926" s="348">
        <v>45748</v>
      </c>
      <c r="E1926" s="348">
        <v>45992</v>
      </c>
      <c r="F1926" s="346" t="s">
        <v>689</v>
      </c>
      <c r="G1926" s="349" t="s">
        <v>450</v>
      </c>
      <c r="H1926" s="350">
        <f t="shared" si="41"/>
        <v>900</v>
      </c>
      <c r="I1926" s="120" t="str">
        <f>IF(OR(D1926&lt;Capa!$A$5,D1926&gt;Capa!$A$7,E1926&lt;Capa!$A$5,E1926&gt;Capa!$A$7,D1926&gt;E1926),"Erro","")</f>
        <v/>
      </c>
    </row>
    <row r="1927" spans="1:9" ht="40" hidden="1">
      <c r="A1927" s="345">
        <v>2315</v>
      </c>
      <c r="B1927" s="346" t="s">
        <v>280</v>
      </c>
      <c r="C1927" s="347">
        <v>100</v>
      </c>
      <c r="D1927" s="348">
        <v>46023</v>
      </c>
      <c r="E1927" s="348">
        <v>46357</v>
      </c>
      <c r="F1927" s="346" t="s">
        <v>689</v>
      </c>
      <c r="G1927" s="349" t="s">
        <v>450</v>
      </c>
      <c r="H1927" s="350">
        <f t="shared" si="41"/>
        <v>1200</v>
      </c>
      <c r="I1927" s="120" t="str">
        <f>IF(OR(D1927&lt;Capa!$A$5,D1927&gt;Capa!$A$7,E1927&lt;Capa!$A$5,E1927&gt;Capa!$A$7,D1927&gt;E1927),"Erro","")</f>
        <v/>
      </c>
    </row>
    <row r="1928" spans="1:9" ht="40" hidden="1">
      <c r="A1928" s="345">
        <v>2316</v>
      </c>
      <c r="B1928" s="346" t="s">
        <v>280</v>
      </c>
      <c r="C1928" s="347">
        <v>100</v>
      </c>
      <c r="D1928" s="348">
        <v>46388</v>
      </c>
      <c r="E1928" s="348">
        <v>46722</v>
      </c>
      <c r="F1928" s="346" t="s">
        <v>689</v>
      </c>
      <c r="G1928" s="349" t="s">
        <v>450</v>
      </c>
      <c r="H1928" s="350">
        <f t="shared" si="41"/>
        <v>1200</v>
      </c>
      <c r="I1928" s="120" t="str">
        <f>IF(OR(D1928&lt;Capa!$A$5,D1928&gt;Capa!$A$7,E1928&lt;Capa!$A$5,E1928&gt;Capa!$A$7,D1928&gt;E1928),"Erro","")</f>
        <v/>
      </c>
    </row>
    <row r="1929" spans="1:9" ht="40" hidden="1">
      <c r="A1929" s="345">
        <v>2317</v>
      </c>
      <c r="B1929" s="346" t="s">
        <v>280</v>
      </c>
      <c r="C1929" s="347">
        <v>50</v>
      </c>
      <c r="D1929" s="348">
        <v>46753</v>
      </c>
      <c r="E1929" s="348">
        <v>47058</v>
      </c>
      <c r="F1929" s="346" t="s">
        <v>689</v>
      </c>
      <c r="G1929" s="349" t="s">
        <v>450</v>
      </c>
      <c r="H1929" s="350">
        <f t="shared" si="41"/>
        <v>550</v>
      </c>
      <c r="I1929" s="120" t="str">
        <f>IF(OR(D1929&lt;Capa!$A$5,D1929&gt;Capa!$A$7,E1929&lt;Capa!$A$5,E1929&gt;Capa!$A$7,D1929&gt;E1929),"Erro","")</f>
        <v/>
      </c>
    </row>
    <row r="1930" spans="1:9" ht="40" hidden="1">
      <c r="A1930" s="345">
        <v>2318</v>
      </c>
      <c r="B1930" s="346" t="s">
        <v>282</v>
      </c>
      <c r="C1930" s="347">
        <v>450</v>
      </c>
      <c r="D1930" s="348">
        <v>45748</v>
      </c>
      <c r="E1930" s="348">
        <v>45992</v>
      </c>
      <c r="F1930" s="346" t="s">
        <v>689</v>
      </c>
      <c r="G1930" s="349" t="s">
        <v>451</v>
      </c>
      <c r="H1930" s="350">
        <f t="shared" si="41"/>
        <v>4050</v>
      </c>
      <c r="I1930" s="120" t="str">
        <f>IF(OR(D1930&lt;Capa!$A$5,D1930&gt;Capa!$A$7,E1930&lt;Capa!$A$5,E1930&gt;Capa!$A$7,D1930&gt;E1930),"Erro","")</f>
        <v/>
      </c>
    </row>
    <row r="1931" spans="1:9" ht="40" hidden="1">
      <c r="A1931" s="345">
        <v>2319</v>
      </c>
      <c r="B1931" s="346" t="s">
        <v>282</v>
      </c>
      <c r="C1931" s="347">
        <v>450</v>
      </c>
      <c r="D1931" s="348">
        <v>46023</v>
      </c>
      <c r="E1931" s="348">
        <v>46357</v>
      </c>
      <c r="F1931" s="346" t="s">
        <v>689</v>
      </c>
      <c r="G1931" s="349" t="s">
        <v>451</v>
      </c>
      <c r="H1931" s="350">
        <f t="shared" si="41"/>
        <v>5400</v>
      </c>
      <c r="I1931" s="120" t="str">
        <f>IF(OR(D1931&lt;Capa!$A$5,D1931&gt;Capa!$A$7,E1931&lt;Capa!$A$5,E1931&gt;Capa!$A$7,D1931&gt;E1931),"Erro","")</f>
        <v/>
      </c>
    </row>
    <row r="1932" spans="1:9" ht="40" hidden="1">
      <c r="A1932" s="345">
        <v>2320</v>
      </c>
      <c r="B1932" s="346" t="s">
        <v>282</v>
      </c>
      <c r="C1932" s="347">
        <v>450</v>
      </c>
      <c r="D1932" s="348">
        <v>46388</v>
      </c>
      <c r="E1932" s="348">
        <v>46722</v>
      </c>
      <c r="F1932" s="346" t="s">
        <v>689</v>
      </c>
      <c r="G1932" s="349" t="s">
        <v>451</v>
      </c>
      <c r="H1932" s="350">
        <f t="shared" si="41"/>
        <v>5400</v>
      </c>
      <c r="I1932" s="120" t="str">
        <f>IF(OR(D1932&lt;Capa!$A$5,D1932&gt;Capa!$A$7,E1932&lt;Capa!$A$5,E1932&gt;Capa!$A$7,D1932&gt;E1932),"Erro","")</f>
        <v/>
      </c>
    </row>
    <row r="1933" spans="1:9" ht="40" hidden="1">
      <c r="A1933" s="345">
        <v>2321</v>
      </c>
      <c r="B1933" s="346" t="s">
        <v>282</v>
      </c>
      <c r="C1933" s="347">
        <v>200</v>
      </c>
      <c r="D1933" s="348">
        <v>46753</v>
      </c>
      <c r="E1933" s="348">
        <v>47058</v>
      </c>
      <c r="F1933" s="346" t="s">
        <v>689</v>
      </c>
      <c r="G1933" s="349" t="s">
        <v>451</v>
      </c>
      <c r="H1933" s="350">
        <f t="shared" si="41"/>
        <v>2200</v>
      </c>
      <c r="I1933" s="120" t="str">
        <f>IF(OR(D1933&lt;Capa!$A$5,D1933&gt;Capa!$A$7,E1933&lt;Capa!$A$5,E1933&gt;Capa!$A$7,D1933&gt;E1933),"Erro","")</f>
        <v/>
      </c>
    </row>
    <row r="1934" spans="1:9" ht="40" hidden="1">
      <c r="A1934" s="345">
        <v>2322</v>
      </c>
      <c r="B1934" s="346" t="s">
        <v>284</v>
      </c>
      <c r="C1934" s="347">
        <v>950</v>
      </c>
      <c r="D1934" s="348">
        <v>45748</v>
      </c>
      <c r="E1934" s="348">
        <v>45992</v>
      </c>
      <c r="F1934" s="346" t="s">
        <v>689</v>
      </c>
      <c r="G1934" s="349" t="s">
        <v>451</v>
      </c>
      <c r="H1934" s="350">
        <f t="shared" si="41"/>
        <v>8550</v>
      </c>
      <c r="I1934" s="120" t="str">
        <f>IF(OR(D1934&lt;Capa!$A$5,D1934&gt;Capa!$A$7,E1934&lt;Capa!$A$5,E1934&gt;Capa!$A$7,D1934&gt;E1934),"Erro","")</f>
        <v/>
      </c>
    </row>
    <row r="1935" spans="1:9" ht="40" hidden="1">
      <c r="A1935" s="345">
        <v>2323</v>
      </c>
      <c r="B1935" s="346" t="s">
        <v>284</v>
      </c>
      <c r="C1935" s="347">
        <v>950</v>
      </c>
      <c r="D1935" s="348">
        <v>46023</v>
      </c>
      <c r="E1935" s="348">
        <v>46357</v>
      </c>
      <c r="F1935" s="346" t="s">
        <v>689</v>
      </c>
      <c r="G1935" s="349" t="s">
        <v>451</v>
      </c>
      <c r="H1935" s="350">
        <f t="shared" si="41"/>
        <v>11400</v>
      </c>
      <c r="I1935" s="120" t="str">
        <f>IF(OR(D1935&lt;Capa!$A$5,D1935&gt;Capa!$A$7,E1935&lt;Capa!$A$5,E1935&gt;Capa!$A$7,D1935&gt;E1935),"Erro","")</f>
        <v/>
      </c>
    </row>
    <row r="1936" spans="1:9" ht="40" hidden="1">
      <c r="A1936" s="345">
        <v>2324</v>
      </c>
      <c r="B1936" s="346" t="s">
        <v>284</v>
      </c>
      <c r="C1936" s="347">
        <v>950</v>
      </c>
      <c r="D1936" s="348">
        <v>46388</v>
      </c>
      <c r="E1936" s="348">
        <v>46722</v>
      </c>
      <c r="F1936" s="346" t="s">
        <v>689</v>
      </c>
      <c r="G1936" s="349" t="s">
        <v>451</v>
      </c>
      <c r="H1936" s="350">
        <f t="shared" si="41"/>
        <v>11400</v>
      </c>
      <c r="I1936" s="120" t="str">
        <f>IF(OR(D1936&lt;Capa!$A$5,D1936&gt;Capa!$A$7,E1936&lt;Capa!$A$5,E1936&gt;Capa!$A$7,D1936&gt;E1936),"Erro","")</f>
        <v/>
      </c>
    </row>
    <row r="1937" spans="1:9" ht="40" hidden="1">
      <c r="A1937" s="345">
        <v>2325</v>
      </c>
      <c r="B1937" s="346" t="s">
        <v>284</v>
      </c>
      <c r="C1937" s="347">
        <v>400</v>
      </c>
      <c r="D1937" s="348">
        <v>46753</v>
      </c>
      <c r="E1937" s="348">
        <v>47058</v>
      </c>
      <c r="F1937" s="346" t="s">
        <v>689</v>
      </c>
      <c r="G1937" s="349" t="s">
        <v>451</v>
      </c>
      <c r="H1937" s="350">
        <f t="shared" si="41"/>
        <v>4400</v>
      </c>
      <c r="I1937" s="120" t="str">
        <f>IF(OR(D1937&lt;Capa!$A$5,D1937&gt;Capa!$A$7,E1937&lt;Capa!$A$5,E1937&gt;Capa!$A$7,D1937&gt;E1937),"Erro","")</f>
        <v/>
      </c>
    </row>
    <row r="1938" spans="1:9" ht="40" hidden="1">
      <c r="A1938" s="345">
        <v>2326</v>
      </c>
      <c r="B1938" s="346" t="s">
        <v>286</v>
      </c>
      <c r="C1938" s="347">
        <v>1000</v>
      </c>
      <c r="D1938" s="348">
        <v>45748</v>
      </c>
      <c r="E1938" s="348">
        <v>45992</v>
      </c>
      <c r="F1938" s="346" t="s">
        <v>689</v>
      </c>
      <c r="G1938" s="349" t="s">
        <v>451</v>
      </c>
      <c r="H1938" s="350">
        <f t="shared" si="41"/>
        <v>9000</v>
      </c>
      <c r="I1938" s="120" t="str">
        <f>IF(OR(D1938&lt;Capa!$A$5,D1938&gt;Capa!$A$7,E1938&lt;Capa!$A$5,E1938&gt;Capa!$A$7,D1938&gt;E1938),"Erro","")</f>
        <v/>
      </c>
    </row>
    <row r="1939" spans="1:9" ht="40" hidden="1">
      <c r="A1939" s="345">
        <v>2327</v>
      </c>
      <c r="B1939" s="346" t="s">
        <v>286</v>
      </c>
      <c r="C1939" s="347">
        <v>1000</v>
      </c>
      <c r="D1939" s="348">
        <v>46023</v>
      </c>
      <c r="E1939" s="348">
        <v>46357</v>
      </c>
      <c r="F1939" s="346" t="s">
        <v>689</v>
      </c>
      <c r="G1939" s="349" t="s">
        <v>451</v>
      </c>
      <c r="H1939" s="350">
        <f t="shared" si="41"/>
        <v>12000</v>
      </c>
      <c r="I1939" s="120" t="str">
        <f>IF(OR(D1939&lt;Capa!$A$5,D1939&gt;Capa!$A$7,E1939&lt;Capa!$A$5,E1939&gt;Capa!$A$7,D1939&gt;E1939),"Erro","")</f>
        <v/>
      </c>
    </row>
    <row r="1940" spans="1:9" ht="40" hidden="1">
      <c r="A1940" s="345">
        <v>2328</v>
      </c>
      <c r="B1940" s="346" t="s">
        <v>286</v>
      </c>
      <c r="C1940" s="347">
        <v>1000</v>
      </c>
      <c r="D1940" s="348">
        <v>46388</v>
      </c>
      <c r="E1940" s="348">
        <v>46722</v>
      </c>
      <c r="F1940" s="346" t="s">
        <v>689</v>
      </c>
      <c r="G1940" s="349" t="s">
        <v>451</v>
      </c>
      <c r="H1940" s="350">
        <f t="shared" si="41"/>
        <v>12000</v>
      </c>
      <c r="I1940" s="120" t="str">
        <f>IF(OR(D1940&lt;Capa!$A$5,D1940&gt;Capa!$A$7,E1940&lt;Capa!$A$5,E1940&gt;Capa!$A$7,D1940&gt;E1940),"Erro","")</f>
        <v/>
      </c>
    </row>
    <row r="1941" spans="1:9" ht="40" hidden="1">
      <c r="A1941" s="345">
        <v>2329</v>
      </c>
      <c r="B1941" s="346" t="s">
        <v>286</v>
      </c>
      <c r="C1941" s="347">
        <v>500</v>
      </c>
      <c r="D1941" s="348">
        <v>46753</v>
      </c>
      <c r="E1941" s="348">
        <v>47058</v>
      </c>
      <c r="F1941" s="346" t="s">
        <v>689</v>
      </c>
      <c r="G1941" s="349" t="s">
        <v>451</v>
      </c>
      <c r="H1941" s="350">
        <f t="shared" si="41"/>
        <v>5500</v>
      </c>
      <c r="I1941" s="120" t="str">
        <f>IF(OR(D1941&lt;Capa!$A$5,D1941&gt;Capa!$A$7,E1941&lt;Capa!$A$5,E1941&gt;Capa!$A$7,D1941&gt;E1941),"Erro","")</f>
        <v/>
      </c>
    </row>
    <row r="1942" spans="1:9" ht="30" hidden="1">
      <c r="A1942" s="345">
        <v>2330</v>
      </c>
      <c r="B1942" s="346" t="s">
        <v>288</v>
      </c>
      <c r="C1942" s="347">
        <v>200</v>
      </c>
      <c r="D1942" s="348">
        <v>45748</v>
      </c>
      <c r="E1942" s="348">
        <v>45992</v>
      </c>
      <c r="F1942" s="346" t="s">
        <v>689</v>
      </c>
      <c r="G1942" s="349" t="s">
        <v>452</v>
      </c>
      <c r="H1942" s="350">
        <f t="shared" si="41"/>
        <v>1800</v>
      </c>
      <c r="I1942" s="120" t="str">
        <f>IF(OR(D1942&lt;Capa!$A$5,D1942&gt;Capa!$A$7,E1942&lt;Capa!$A$5,E1942&gt;Capa!$A$7,D1942&gt;E1942),"Erro","")</f>
        <v/>
      </c>
    </row>
    <row r="1943" spans="1:9" ht="30" hidden="1">
      <c r="A1943" s="345">
        <v>2331</v>
      </c>
      <c r="B1943" s="346" t="s">
        <v>288</v>
      </c>
      <c r="C1943" s="347">
        <v>200</v>
      </c>
      <c r="D1943" s="348">
        <v>46023</v>
      </c>
      <c r="E1943" s="348">
        <v>46357</v>
      </c>
      <c r="F1943" s="346" t="s">
        <v>689</v>
      </c>
      <c r="G1943" s="349" t="s">
        <v>452</v>
      </c>
      <c r="H1943" s="350">
        <f t="shared" si="41"/>
        <v>2400</v>
      </c>
      <c r="I1943" s="120" t="str">
        <f>IF(OR(D1943&lt;Capa!$A$5,D1943&gt;Capa!$A$7,E1943&lt;Capa!$A$5,E1943&gt;Capa!$A$7,D1943&gt;E1943),"Erro","")</f>
        <v/>
      </c>
    </row>
    <row r="1944" spans="1:9" ht="30" hidden="1">
      <c r="A1944" s="345">
        <v>2332</v>
      </c>
      <c r="B1944" s="346" t="s">
        <v>288</v>
      </c>
      <c r="C1944" s="347">
        <v>200</v>
      </c>
      <c r="D1944" s="348">
        <v>46388</v>
      </c>
      <c r="E1944" s="348">
        <v>46722</v>
      </c>
      <c r="F1944" s="346" t="s">
        <v>689</v>
      </c>
      <c r="G1944" s="349" t="s">
        <v>452</v>
      </c>
      <c r="H1944" s="350">
        <f t="shared" si="41"/>
        <v>2400</v>
      </c>
      <c r="I1944" s="120" t="str">
        <f>IF(OR(D1944&lt;Capa!$A$5,D1944&gt;Capa!$A$7,E1944&lt;Capa!$A$5,E1944&gt;Capa!$A$7,D1944&gt;E1944),"Erro","")</f>
        <v/>
      </c>
    </row>
    <row r="1945" spans="1:9" ht="30" hidden="1">
      <c r="A1945" s="345">
        <v>2333</v>
      </c>
      <c r="B1945" s="346" t="s">
        <v>288</v>
      </c>
      <c r="C1945" s="347">
        <v>100</v>
      </c>
      <c r="D1945" s="348">
        <v>46753</v>
      </c>
      <c r="E1945" s="348">
        <v>47058</v>
      </c>
      <c r="F1945" s="346" t="s">
        <v>689</v>
      </c>
      <c r="G1945" s="349" t="s">
        <v>452</v>
      </c>
      <c r="H1945" s="350">
        <f t="shared" si="41"/>
        <v>1100</v>
      </c>
      <c r="I1945" s="120" t="str">
        <f>IF(OR(D1945&lt;Capa!$A$5,D1945&gt;Capa!$A$7,E1945&lt;Capa!$A$5,E1945&gt;Capa!$A$7,D1945&gt;E1945),"Erro","")</f>
        <v/>
      </c>
    </row>
    <row r="1946" spans="1:9" ht="30" hidden="1">
      <c r="A1946" s="345">
        <v>2334</v>
      </c>
      <c r="B1946" s="346" t="s">
        <v>294</v>
      </c>
      <c r="C1946" s="347">
        <v>3000</v>
      </c>
      <c r="D1946" s="348">
        <v>45748</v>
      </c>
      <c r="E1946" s="348">
        <v>45992</v>
      </c>
      <c r="F1946" s="346" t="s">
        <v>689</v>
      </c>
      <c r="G1946" s="349" t="s">
        <v>453</v>
      </c>
      <c r="H1946" s="350">
        <f t="shared" si="41"/>
        <v>27000</v>
      </c>
      <c r="I1946" s="120" t="str">
        <f>IF(OR(D1946&lt;Capa!$A$5,D1946&gt;Capa!$A$7,E1946&lt;Capa!$A$5,E1946&gt;Capa!$A$7,D1946&gt;E1946),"Erro","")</f>
        <v/>
      </c>
    </row>
    <row r="1947" spans="1:9" ht="30" hidden="1">
      <c r="A1947" s="345">
        <v>2335</v>
      </c>
      <c r="B1947" s="346" t="s">
        <v>294</v>
      </c>
      <c r="C1947" s="347">
        <v>3000</v>
      </c>
      <c r="D1947" s="348">
        <v>46023</v>
      </c>
      <c r="E1947" s="348">
        <v>46357</v>
      </c>
      <c r="F1947" s="346" t="s">
        <v>689</v>
      </c>
      <c r="G1947" s="349" t="s">
        <v>453</v>
      </c>
      <c r="H1947" s="350">
        <f t="shared" si="41"/>
        <v>36000</v>
      </c>
      <c r="I1947" s="120" t="str">
        <f>IF(OR(D1947&lt;Capa!$A$5,D1947&gt;Capa!$A$7,E1947&lt;Capa!$A$5,E1947&gt;Capa!$A$7,D1947&gt;E1947),"Erro","")</f>
        <v/>
      </c>
    </row>
    <row r="1948" spans="1:9" ht="30" hidden="1">
      <c r="A1948" s="345">
        <v>2336</v>
      </c>
      <c r="B1948" s="346" t="s">
        <v>294</v>
      </c>
      <c r="C1948" s="347">
        <v>3000</v>
      </c>
      <c r="D1948" s="348">
        <v>46388</v>
      </c>
      <c r="E1948" s="348">
        <v>46722</v>
      </c>
      <c r="F1948" s="346" t="s">
        <v>689</v>
      </c>
      <c r="G1948" s="349" t="s">
        <v>453</v>
      </c>
      <c r="H1948" s="350">
        <f t="shared" si="41"/>
        <v>36000</v>
      </c>
      <c r="I1948" s="120" t="str">
        <f>IF(OR(D1948&lt;Capa!$A$5,D1948&gt;Capa!$A$7,E1948&lt;Capa!$A$5,E1948&gt;Capa!$A$7,D1948&gt;E1948),"Erro","")</f>
        <v/>
      </c>
    </row>
    <row r="1949" spans="1:9" ht="30" hidden="1">
      <c r="A1949" s="345">
        <v>2337</v>
      </c>
      <c r="B1949" s="346" t="s">
        <v>294</v>
      </c>
      <c r="C1949" s="347">
        <v>1000</v>
      </c>
      <c r="D1949" s="348">
        <v>46753</v>
      </c>
      <c r="E1949" s="348">
        <v>47058</v>
      </c>
      <c r="F1949" s="346" t="s">
        <v>689</v>
      </c>
      <c r="G1949" s="349" t="s">
        <v>453</v>
      </c>
      <c r="H1949" s="350">
        <f t="shared" si="41"/>
        <v>11000</v>
      </c>
      <c r="I1949" s="120" t="str">
        <f>IF(OR(D1949&lt;Capa!$A$5,D1949&gt;Capa!$A$7,E1949&lt;Capa!$A$5,E1949&gt;Capa!$A$7,D1949&gt;E1949),"Erro","")</f>
        <v/>
      </c>
    </row>
    <row r="1950" spans="1:9" ht="20" hidden="1">
      <c r="A1950" s="345">
        <v>2338</v>
      </c>
      <c r="B1950" s="346" t="s">
        <v>302</v>
      </c>
      <c r="C1950" s="347">
        <v>100</v>
      </c>
      <c r="D1950" s="348">
        <v>45748</v>
      </c>
      <c r="E1950" s="348">
        <v>45809</v>
      </c>
      <c r="F1950" s="346" t="s">
        <v>689</v>
      </c>
      <c r="G1950" s="349" t="s">
        <v>454</v>
      </c>
      <c r="H1950" s="350">
        <f t="shared" si="41"/>
        <v>300</v>
      </c>
      <c r="I1950" s="120" t="str">
        <f>IF(OR(D1950&lt;Capa!$A$5,D1950&gt;Capa!$A$7,E1950&lt;Capa!$A$5,E1950&gt;Capa!$A$7,D1950&gt;E1950),"Erro","")</f>
        <v/>
      </c>
    </row>
    <row r="1951" spans="1:9" ht="20" hidden="1">
      <c r="A1951" s="345">
        <v>2339</v>
      </c>
      <c r="B1951" s="346" t="s">
        <v>302</v>
      </c>
      <c r="C1951" s="347">
        <v>100</v>
      </c>
      <c r="D1951" s="348">
        <v>46023</v>
      </c>
      <c r="E1951" s="348">
        <v>46357</v>
      </c>
      <c r="F1951" s="346" t="s">
        <v>689</v>
      </c>
      <c r="G1951" s="349" t="s">
        <v>454</v>
      </c>
      <c r="H1951" s="350">
        <f t="shared" si="41"/>
        <v>1200</v>
      </c>
      <c r="I1951" s="120" t="str">
        <f>IF(OR(D1951&lt;Capa!$A$5,D1951&gt;Capa!$A$7,E1951&lt;Capa!$A$5,E1951&gt;Capa!$A$7,D1951&gt;E1951),"Erro","")</f>
        <v/>
      </c>
    </row>
    <row r="1952" spans="1:9" ht="20" hidden="1">
      <c r="A1952" s="345">
        <v>2340</v>
      </c>
      <c r="B1952" s="346" t="s">
        <v>302</v>
      </c>
      <c r="C1952" s="347">
        <v>100</v>
      </c>
      <c r="D1952" s="348">
        <v>46388</v>
      </c>
      <c r="E1952" s="348">
        <v>46722</v>
      </c>
      <c r="F1952" s="346" t="s">
        <v>689</v>
      </c>
      <c r="G1952" s="349" t="s">
        <v>454</v>
      </c>
      <c r="H1952" s="350">
        <f t="shared" si="41"/>
        <v>1200</v>
      </c>
      <c r="I1952" s="120" t="str">
        <f>IF(OR(D1952&lt;Capa!$A$5,D1952&gt;Capa!$A$7,E1952&lt;Capa!$A$5,E1952&gt;Capa!$A$7,D1952&gt;E1952),"Erro","")</f>
        <v/>
      </c>
    </row>
    <row r="1953" spans="1:9" ht="20" hidden="1">
      <c r="A1953" s="345">
        <v>2341</v>
      </c>
      <c r="B1953" s="346" t="s">
        <v>302</v>
      </c>
      <c r="C1953" s="347">
        <v>50</v>
      </c>
      <c r="D1953" s="348">
        <v>46753</v>
      </c>
      <c r="E1953" s="348">
        <v>47058</v>
      </c>
      <c r="F1953" s="346" t="s">
        <v>689</v>
      </c>
      <c r="G1953" s="349" t="s">
        <v>454</v>
      </c>
      <c r="H1953" s="350">
        <f t="shared" si="41"/>
        <v>550</v>
      </c>
      <c r="I1953" s="120" t="str">
        <f>IF(OR(D1953&lt;Capa!$A$5,D1953&gt;Capa!$A$7,E1953&lt;Capa!$A$5,E1953&gt;Capa!$A$7,D1953&gt;E1953),"Erro","")</f>
        <v/>
      </c>
    </row>
    <row r="1954" spans="1:9" ht="30" hidden="1">
      <c r="A1954" s="345">
        <v>2342</v>
      </c>
      <c r="B1954" s="346" t="s">
        <v>304</v>
      </c>
      <c r="C1954" s="347">
        <v>1000</v>
      </c>
      <c r="D1954" s="348">
        <v>45748</v>
      </c>
      <c r="E1954" s="348">
        <v>45992</v>
      </c>
      <c r="F1954" s="346" t="s">
        <v>689</v>
      </c>
      <c r="G1954" s="349" t="s">
        <v>455</v>
      </c>
      <c r="H1954" s="350">
        <f t="shared" si="41"/>
        <v>9000</v>
      </c>
      <c r="I1954" s="120" t="str">
        <f>IF(OR(D1954&lt;Capa!$A$5,D1954&gt;Capa!$A$7,E1954&lt;Capa!$A$5,E1954&gt;Capa!$A$7,D1954&gt;E1954),"Erro","")</f>
        <v/>
      </c>
    </row>
    <row r="1955" spans="1:9" ht="30" hidden="1">
      <c r="A1955" s="345">
        <v>2343</v>
      </c>
      <c r="B1955" s="346" t="s">
        <v>304</v>
      </c>
      <c r="C1955" s="347">
        <v>1000</v>
      </c>
      <c r="D1955" s="348">
        <v>46023</v>
      </c>
      <c r="E1955" s="348">
        <v>46357</v>
      </c>
      <c r="F1955" s="346" t="s">
        <v>689</v>
      </c>
      <c r="G1955" s="349" t="s">
        <v>455</v>
      </c>
      <c r="H1955" s="350">
        <f t="shared" si="41"/>
        <v>12000</v>
      </c>
      <c r="I1955" s="120" t="str">
        <f>IF(OR(D1955&lt;Capa!$A$5,D1955&gt;Capa!$A$7,E1955&lt;Capa!$A$5,E1955&gt;Capa!$A$7,D1955&gt;E1955),"Erro","")</f>
        <v/>
      </c>
    </row>
    <row r="1956" spans="1:9" ht="30" hidden="1">
      <c r="A1956" s="345">
        <v>2344</v>
      </c>
      <c r="B1956" s="346" t="s">
        <v>304</v>
      </c>
      <c r="C1956" s="347">
        <v>1000</v>
      </c>
      <c r="D1956" s="348">
        <v>46388</v>
      </c>
      <c r="E1956" s="348">
        <v>46722</v>
      </c>
      <c r="F1956" s="346" t="s">
        <v>689</v>
      </c>
      <c r="G1956" s="349" t="s">
        <v>455</v>
      </c>
      <c r="H1956" s="350">
        <f t="shared" si="41"/>
        <v>12000</v>
      </c>
      <c r="I1956" s="120" t="str">
        <f>IF(OR(D1956&lt;Capa!$A$5,D1956&gt;Capa!$A$7,E1956&lt;Capa!$A$5,E1956&gt;Capa!$A$7,D1956&gt;E1956),"Erro","")</f>
        <v/>
      </c>
    </row>
    <row r="1957" spans="1:9" ht="30" hidden="1">
      <c r="A1957" s="345">
        <v>2345</v>
      </c>
      <c r="B1957" s="346" t="s">
        <v>304</v>
      </c>
      <c r="C1957" s="347">
        <v>500</v>
      </c>
      <c r="D1957" s="348">
        <v>46753</v>
      </c>
      <c r="E1957" s="348">
        <v>47058</v>
      </c>
      <c r="F1957" s="346" t="s">
        <v>689</v>
      </c>
      <c r="G1957" s="349" t="s">
        <v>455</v>
      </c>
      <c r="H1957" s="350">
        <f t="shared" si="41"/>
        <v>5500</v>
      </c>
      <c r="I1957" s="120" t="str">
        <f>IF(OR(D1957&lt;Capa!$A$5,D1957&gt;Capa!$A$7,E1957&lt;Capa!$A$5,E1957&gt;Capa!$A$7,D1957&gt;E1957),"Erro","")</f>
        <v/>
      </c>
    </row>
    <row r="1958" spans="1:9" ht="30" hidden="1">
      <c r="A1958" s="345">
        <v>2346</v>
      </c>
      <c r="B1958" s="346" t="s">
        <v>312</v>
      </c>
      <c r="C1958" s="347">
        <v>200</v>
      </c>
      <c r="D1958" s="348">
        <v>45748</v>
      </c>
      <c r="E1958" s="348">
        <v>45992</v>
      </c>
      <c r="F1958" s="346" t="s">
        <v>689</v>
      </c>
      <c r="G1958" s="349" t="s">
        <v>571</v>
      </c>
      <c r="H1958" s="350">
        <f t="shared" si="41"/>
        <v>1800</v>
      </c>
      <c r="I1958" s="120" t="str">
        <f>IF(OR(D1958&lt;Capa!$A$5,D1958&gt;Capa!$A$7,E1958&lt;Capa!$A$5,E1958&gt;Capa!$A$7,D1958&gt;E1958),"Erro","")</f>
        <v/>
      </c>
    </row>
    <row r="1959" spans="1:9" ht="30" hidden="1">
      <c r="A1959" s="345">
        <v>2347</v>
      </c>
      <c r="B1959" s="346" t="s">
        <v>312</v>
      </c>
      <c r="C1959" s="347">
        <v>200</v>
      </c>
      <c r="D1959" s="348">
        <v>46023</v>
      </c>
      <c r="E1959" s="348">
        <v>46357</v>
      </c>
      <c r="F1959" s="346" t="s">
        <v>689</v>
      </c>
      <c r="G1959" s="349" t="s">
        <v>571</v>
      </c>
      <c r="H1959" s="350">
        <f t="shared" si="41"/>
        <v>2400</v>
      </c>
      <c r="I1959" s="120" t="str">
        <f>IF(OR(D1959&lt;Capa!$A$5,D1959&gt;Capa!$A$7,E1959&lt;Capa!$A$5,E1959&gt;Capa!$A$7,D1959&gt;E1959),"Erro","")</f>
        <v/>
      </c>
    </row>
    <row r="1960" spans="1:9" ht="30" hidden="1">
      <c r="A1960" s="345">
        <v>2348</v>
      </c>
      <c r="B1960" s="346" t="s">
        <v>312</v>
      </c>
      <c r="C1960" s="347">
        <v>200</v>
      </c>
      <c r="D1960" s="348">
        <v>46388</v>
      </c>
      <c r="E1960" s="348">
        <v>46722</v>
      </c>
      <c r="F1960" s="346" t="s">
        <v>689</v>
      </c>
      <c r="G1960" s="349" t="s">
        <v>571</v>
      </c>
      <c r="H1960" s="350">
        <f t="shared" si="41"/>
        <v>2400</v>
      </c>
      <c r="I1960" s="120" t="str">
        <f>IF(OR(D1960&lt;Capa!$A$5,D1960&gt;Capa!$A$7,E1960&lt;Capa!$A$5,E1960&gt;Capa!$A$7,D1960&gt;E1960),"Erro","")</f>
        <v/>
      </c>
    </row>
    <row r="1961" spans="1:9" ht="30" hidden="1">
      <c r="A1961" s="345">
        <v>2349</v>
      </c>
      <c r="B1961" s="346" t="s">
        <v>312</v>
      </c>
      <c r="C1961" s="347">
        <v>100</v>
      </c>
      <c r="D1961" s="348">
        <v>46753</v>
      </c>
      <c r="E1961" s="348">
        <v>47058</v>
      </c>
      <c r="F1961" s="346" t="s">
        <v>689</v>
      </c>
      <c r="G1961" s="349" t="s">
        <v>571</v>
      </c>
      <c r="H1961" s="350">
        <f t="shared" si="41"/>
        <v>1100</v>
      </c>
      <c r="I1961" s="120" t="str">
        <f>IF(OR(D1961&lt;Capa!$A$5,D1961&gt;Capa!$A$7,E1961&lt;Capa!$A$5,E1961&gt;Capa!$A$7,D1961&gt;E1961),"Erro","")</f>
        <v/>
      </c>
    </row>
    <row r="1962" spans="1:9" ht="50" hidden="1">
      <c r="A1962" s="345">
        <v>2350</v>
      </c>
      <c r="B1962" s="346" t="s">
        <v>316</v>
      </c>
      <c r="C1962" s="347">
        <v>800</v>
      </c>
      <c r="D1962" s="348">
        <v>45748</v>
      </c>
      <c r="E1962" s="348">
        <v>45992</v>
      </c>
      <c r="F1962" s="346" t="s">
        <v>689</v>
      </c>
      <c r="G1962" s="349" t="s">
        <v>741</v>
      </c>
      <c r="H1962" s="350">
        <f t="shared" si="41"/>
        <v>7200</v>
      </c>
      <c r="I1962" s="120" t="str">
        <f>IF(OR(D1962&lt;Capa!$A$5,D1962&gt;Capa!$A$7,E1962&lt;Capa!$A$5,E1962&gt;Capa!$A$7,D1962&gt;E1962),"Erro","")</f>
        <v/>
      </c>
    </row>
    <row r="1963" spans="1:9" ht="50" hidden="1">
      <c r="A1963" s="345">
        <v>2351</v>
      </c>
      <c r="B1963" s="346" t="s">
        <v>316</v>
      </c>
      <c r="C1963" s="347">
        <v>800</v>
      </c>
      <c r="D1963" s="348">
        <v>46023</v>
      </c>
      <c r="E1963" s="348">
        <v>46357</v>
      </c>
      <c r="F1963" s="346" t="s">
        <v>689</v>
      </c>
      <c r="G1963" s="349" t="s">
        <v>741</v>
      </c>
      <c r="H1963" s="350">
        <f t="shared" si="41"/>
        <v>9600</v>
      </c>
      <c r="I1963" s="120" t="str">
        <f>IF(OR(D1963&lt;Capa!$A$5,D1963&gt;Capa!$A$7,E1963&lt;Capa!$A$5,E1963&gt;Capa!$A$7,D1963&gt;E1963),"Erro","")</f>
        <v/>
      </c>
    </row>
    <row r="1964" spans="1:9" ht="50" hidden="1">
      <c r="A1964" s="345">
        <v>2352</v>
      </c>
      <c r="B1964" s="346" t="s">
        <v>316</v>
      </c>
      <c r="C1964" s="347">
        <v>800</v>
      </c>
      <c r="D1964" s="348">
        <v>46388</v>
      </c>
      <c r="E1964" s="348">
        <v>46722</v>
      </c>
      <c r="F1964" s="346" t="s">
        <v>689</v>
      </c>
      <c r="G1964" s="349" t="s">
        <v>741</v>
      </c>
      <c r="H1964" s="350">
        <f t="shared" si="41"/>
        <v>9600</v>
      </c>
      <c r="I1964" s="120" t="str">
        <f>IF(OR(D1964&lt;Capa!$A$5,D1964&gt;Capa!$A$7,E1964&lt;Capa!$A$5,E1964&gt;Capa!$A$7,D1964&gt;E1964),"Erro","")</f>
        <v/>
      </c>
    </row>
    <row r="1965" spans="1:9" ht="50" hidden="1">
      <c r="A1965" s="345">
        <v>2353</v>
      </c>
      <c r="B1965" s="346" t="s">
        <v>316</v>
      </c>
      <c r="C1965" s="347">
        <v>400</v>
      </c>
      <c r="D1965" s="348">
        <v>46753</v>
      </c>
      <c r="E1965" s="348">
        <v>47058</v>
      </c>
      <c r="F1965" s="346" t="s">
        <v>689</v>
      </c>
      <c r="G1965" s="349" t="s">
        <v>741</v>
      </c>
      <c r="H1965" s="350">
        <f t="shared" si="41"/>
        <v>4400</v>
      </c>
      <c r="I1965" s="120" t="str">
        <f>IF(OR(D1965&lt;Capa!$A$5,D1965&gt;Capa!$A$7,E1965&lt;Capa!$A$5,E1965&gt;Capa!$A$7,D1965&gt;E1965),"Erro","")</f>
        <v/>
      </c>
    </row>
    <row r="1966" spans="1:9" ht="50" hidden="1">
      <c r="A1966" s="345">
        <v>2354</v>
      </c>
      <c r="B1966" s="346" t="s">
        <v>318</v>
      </c>
      <c r="C1966" s="347">
        <v>1000</v>
      </c>
      <c r="D1966" s="348">
        <v>45748</v>
      </c>
      <c r="E1966" s="348">
        <v>45992</v>
      </c>
      <c r="F1966" s="346" t="s">
        <v>689</v>
      </c>
      <c r="G1966" s="349" t="s">
        <v>572</v>
      </c>
      <c r="H1966" s="350">
        <f t="shared" si="41"/>
        <v>9000</v>
      </c>
      <c r="I1966" s="120" t="str">
        <f>IF(OR(D1966&lt;Capa!$A$5,D1966&gt;Capa!$A$7,E1966&lt;Capa!$A$5,E1966&gt;Capa!$A$7,D1966&gt;E1966),"Erro","")</f>
        <v/>
      </c>
    </row>
    <row r="1967" spans="1:9" ht="50" hidden="1">
      <c r="A1967" s="345">
        <v>2355</v>
      </c>
      <c r="B1967" s="346" t="s">
        <v>318</v>
      </c>
      <c r="C1967" s="347">
        <v>1000</v>
      </c>
      <c r="D1967" s="348">
        <v>46023</v>
      </c>
      <c r="E1967" s="348">
        <v>46357</v>
      </c>
      <c r="F1967" s="346" t="s">
        <v>689</v>
      </c>
      <c r="G1967" s="349" t="s">
        <v>572</v>
      </c>
      <c r="H1967" s="350">
        <f t="shared" si="41"/>
        <v>12000</v>
      </c>
      <c r="I1967" s="120" t="str">
        <f>IF(OR(D1967&lt;Capa!$A$5,D1967&gt;Capa!$A$7,E1967&lt;Capa!$A$5,E1967&gt;Capa!$A$7,D1967&gt;E1967),"Erro","")</f>
        <v/>
      </c>
    </row>
    <row r="1968" spans="1:9" ht="50" hidden="1">
      <c r="A1968" s="345">
        <v>2356</v>
      </c>
      <c r="B1968" s="346" t="s">
        <v>318</v>
      </c>
      <c r="C1968" s="347">
        <v>1000</v>
      </c>
      <c r="D1968" s="348">
        <v>46388</v>
      </c>
      <c r="E1968" s="348">
        <v>46722</v>
      </c>
      <c r="F1968" s="346" t="s">
        <v>689</v>
      </c>
      <c r="G1968" s="349" t="s">
        <v>572</v>
      </c>
      <c r="H1968" s="350">
        <f t="shared" si="41"/>
        <v>12000</v>
      </c>
      <c r="I1968" s="120" t="str">
        <f>IF(OR(D1968&lt;Capa!$A$5,D1968&gt;Capa!$A$7,E1968&lt;Capa!$A$5,E1968&gt;Capa!$A$7,D1968&gt;E1968),"Erro","")</f>
        <v/>
      </c>
    </row>
    <row r="1969" spans="1:9" ht="50" hidden="1">
      <c r="A1969" s="345">
        <v>2357</v>
      </c>
      <c r="B1969" s="346" t="s">
        <v>318</v>
      </c>
      <c r="C1969" s="347">
        <v>250</v>
      </c>
      <c r="D1969" s="348">
        <v>46753</v>
      </c>
      <c r="E1969" s="348">
        <v>47058</v>
      </c>
      <c r="F1969" s="346" t="s">
        <v>689</v>
      </c>
      <c r="G1969" s="349" t="s">
        <v>572</v>
      </c>
      <c r="H1969" s="350">
        <f t="shared" si="41"/>
        <v>2750</v>
      </c>
      <c r="I1969" s="120" t="str">
        <f>IF(OR(D1969&lt;Capa!$A$5,D1969&gt;Capa!$A$7,E1969&lt;Capa!$A$5,E1969&gt;Capa!$A$7,D1969&gt;E1969),"Erro","")</f>
        <v/>
      </c>
    </row>
    <row r="1970" spans="1:9" ht="50" hidden="1">
      <c r="A1970" s="345">
        <v>2358</v>
      </c>
      <c r="B1970" s="346" t="s">
        <v>318</v>
      </c>
      <c r="C1970" s="347">
        <v>700</v>
      </c>
      <c r="D1970" s="348">
        <v>45748</v>
      </c>
      <c r="E1970" s="348">
        <v>45992</v>
      </c>
      <c r="F1970" s="346" t="s">
        <v>689</v>
      </c>
      <c r="G1970" s="349" t="s">
        <v>456</v>
      </c>
      <c r="H1970" s="350">
        <f t="shared" si="41"/>
        <v>6300</v>
      </c>
      <c r="I1970" s="120" t="str">
        <f>IF(OR(D1970&lt;Capa!$A$5,D1970&gt;Capa!$A$7,E1970&lt;Capa!$A$5,E1970&gt;Capa!$A$7,D1970&gt;E1970),"Erro","")</f>
        <v/>
      </c>
    </row>
    <row r="1971" spans="1:9" ht="50" hidden="1">
      <c r="A1971" s="345">
        <v>2359</v>
      </c>
      <c r="B1971" s="346" t="s">
        <v>318</v>
      </c>
      <c r="C1971" s="347">
        <v>700</v>
      </c>
      <c r="D1971" s="348">
        <v>46023</v>
      </c>
      <c r="E1971" s="348">
        <v>46357</v>
      </c>
      <c r="F1971" s="346" t="s">
        <v>689</v>
      </c>
      <c r="G1971" s="349" t="s">
        <v>456</v>
      </c>
      <c r="H1971" s="350">
        <f t="shared" si="41"/>
        <v>8400</v>
      </c>
      <c r="I1971" s="120" t="str">
        <f>IF(OR(D1971&lt;Capa!$A$5,D1971&gt;Capa!$A$7,E1971&lt;Capa!$A$5,E1971&gt;Capa!$A$7,D1971&gt;E1971),"Erro","")</f>
        <v/>
      </c>
    </row>
    <row r="1972" spans="1:9" ht="50" hidden="1">
      <c r="A1972" s="345">
        <v>2360</v>
      </c>
      <c r="B1972" s="346" t="s">
        <v>318</v>
      </c>
      <c r="C1972" s="347">
        <v>700</v>
      </c>
      <c r="D1972" s="348">
        <v>46388</v>
      </c>
      <c r="E1972" s="348">
        <v>46722</v>
      </c>
      <c r="F1972" s="346" t="s">
        <v>689</v>
      </c>
      <c r="G1972" s="349" t="s">
        <v>456</v>
      </c>
      <c r="H1972" s="350">
        <f t="shared" si="41"/>
        <v>8400</v>
      </c>
      <c r="I1972" s="120" t="str">
        <f>IF(OR(D1972&lt;Capa!$A$5,D1972&gt;Capa!$A$7,E1972&lt;Capa!$A$5,E1972&gt;Capa!$A$7,D1972&gt;E1972),"Erro","")</f>
        <v/>
      </c>
    </row>
    <row r="1973" spans="1:9" ht="50" hidden="1">
      <c r="A1973" s="345">
        <v>2361</v>
      </c>
      <c r="B1973" s="346" t="s">
        <v>318</v>
      </c>
      <c r="C1973" s="347">
        <v>250</v>
      </c>
      <c r="D1973" s="348">
        <v>46753</v>
      </c>
      <c r="E1973" s="348">
        <v>47058</v>
      </c>
      <c r="F1973" s="346" t="s">
        <v>689</v>
      </c>
      <c r="G1973" s="349" t="s">
        <v>456</v>
      </c>
      <c r="H1973" s="350">
        <f t="shared" si="41"/>
        <v>2750</v>
      </c>
      <c r="I1973" s="120" t="str">
        <f>IF(OR(D1973&lt;Capa!$A$5,D1973&gt;Capa!$A$7,E1973&lt;Capa!$A$5,E1973&gt;Capa!$A$7,D1973&gt;E1973),"Erro","")</f>
        <v/>
      </c>
    </row>
    <row r="1974" spans="1:9" ht="20" hidden="1">
      <c r="A1974" s="345">
        <v>2362</v>
      </c>
      <c r="B1974" s="346" t="s">
        <v>298</v>
      </c>
      <c r="C1974" s="347">
        <v>2450</v>
      </c>
      <c r="D1974" s="348">
        <v>45748</v>
      </c>
      <c r="E1974" s="348">
        <v>45992</v>
      </c>
      <c r="F1974" s="346" t="s">
        <v>689</v>
      </c>
      <c r="G1974" s="349" t="s">
        <v>457</v>
      </c>
      <c r="H1974" s="350">
        <f t="shared" si="41"/>
        <v>22050</v>
      </c>
      <c r="I1974" s="120" t="str">
        <f>IF(OR(D1974&lt;Capa!$A$5,D1974&gt;Capa!$A$7,E1974&lt;Capa!$A$5,E1974&gt;Capa!$A$7,D1974&gt;E1974),"Erro","")</f>
        <v/>
      </c>
    </row>
    <row r="1975" spans="1:9" ht="20" hidden="1">
      <c r="A1975" s="345">
        <v>2363</v>
      </c>
      <c r="B1975" s="346" t="s">
        <v>298</v>
      </c>
      <c r="C1975" s="347">
        <v>2450</v>
      </c>
      <c r="D1975" s="348">
        <v>46023</v>
      </c>
      <c r="E1975" s="348">
        <v>46357</v>
      </c>
      <c r="F1975" s="346" t="s">
        <v>689</v>
      </c>
      <c r="G1975" s="349" t="s">
        <v>457</v>
      </c>
      <c r="H1975" s="350">
        <f t="shared" si="41"/>
        <v>29400</v>
      </c>
      <c r="I1975" s="120" t="str">
        <f>IF(OR(D1975&lt;Capa!$A$5,D1975&gt;Capa!$A$7,E1975&lt;Capa!$A$5,E1975&gt;Capa!$A$7,D1975&gt;E1975),"Erro","")</f>
        <v/>
      </c>
    </row>
    <row r="1976" spans="1:9" ht="20" hidden="1">
      <c r="A1976" s="345">
        <v>2364</v>
      </c>
      <c r="B1976" s="346" t="s">
        <v>298</v>
      </c>
      <c r="C1976" s="347">
        <v>2450</v>
      </c>
      <c r="D1976" s="348">
        <v>46388</v>
      </c>
      <c r="E1976" s="348">
        <v>46722</v>
      </c>
      <c r="F1976" s="346" t="s">
        <v>689</v>
      </c>
      <c r="G1976" s="349" t="s">
        <v>457</v>
      </c>
      <c r="H1976" s="350">
        <f t="shared" si="41"/>
        <v>29400</v>
      </c>
      <c r="I1976" s="120" t="str">
        <f>IF(OR(D1976&lt;Capa!$A$5,D1976&gt;Capa!$A$7,E1976&lt;Capa!$A$5,E1976&gt;Capa!$A$7,D1976&gt;E1976),"Erro","")</f>
        <v/>
      </c>
    </row>
    <row r="1977" spans="1:9" ht="20" hidden="1">
      <c r="A1977" s="345">
        <v>2365</v>
      </c>
      <c r="B1977" s="346" t="s">
        <v>298</v>
      </c>
      <c r="C1977" s="347">
        <v>1250</v>
      </c>
      <c r="D1977" s="348">
        <v>46753</v>
      </c>
      <c r="E1977" s="348">
        <v>47058</v>
      </c>
      <c r="F1977" s="346" t="s">
        <v>689</v>
      </c>
      <c r="G1977" s="349" t="s">
        <v>457</v>
      </c>
      <c r="H1977" s="350">
        <f t="shared" si="41"/>
        <v>13750</v>
      </c>
      <c r="I1977" s="120" t="str">
        <f>IF(OR(D1977&lt;Capa!$A$5,D1977&gt;Capa!$A$7,E1977&lt;Capa!$A$5,E1977&gt;Capa!$A$7,D1977&gt;E1977),"Erro","")</f>
        <v/>
      </c>
    </row>
    <row r="1978" spans="1:9" ht="30" hidden="1">
      <c r="A1978" s="345">
        <v>2366</v>
      </c>
      <c r="B1978" s="346" t="s">
        <v>238</v>
      </c>
      <c r="C1978" s="347">
        <v>480</v>
      </c>
      <c r="D1978" s="348">
        <v>45748</v>
      </c>
      <c r="E1978" s="348">
        <v>45992</v>
      </c>
      <c r="F1978" s="346" t="s">
        <v>689</v>
      </c>
      <c r="G1978" s="349" t="s">
        <v>458</v>
      </c>
      <c r="H1978" s="350">
        <f t="shared" si="41"/>
        <v>4320</v>
      </c>
      <c r="I1978" s="120" t="str">
        <f>IF(OR(D1978&lt;Capa!$A$5,D1978&gt;Capa!$A$7,E1978&lt;Capa!$A$5,E1978&gt;Capa!$A$7,D1978&gt;E1978),"Erro","")</f>
        <v/>
      </c>
    </row>
    <row r="1979" spans="1:9" ht="30" hidden="1">
      <c r="A1979" s="345">
        <v>2367</v>
      </c>
      <c r="B1979" s="346" t="s">
        <v>238</v>
      </c>
      <c r="C1979" s="347">
        <v>480</v>
      </c>
      <c r="D1979" s="348">
        <v>46023</v>
      </c>
      <c r="E1979" s="348">
        <v>46357</v>
      </c>
      <c r="F1979" s="346" t="s">
        <v>689</v>
      </c>
      <c r="G1979" s="349" t="s">
        <v>458</v>
      </c>
      <c r="H1979" s="350">
        <f t="shared" si="41"/>
        <v>5760</v>
      </c>
      <c r="I1979" s="120" t="str">
        <f>IF(OR(D1979&lt;Capa!$A$5,D1979&gt;Capa!$A$7,E1979&lt;Capa!$A$5,E1979&gt;Capa!$A$7,D1979&gt;E1979),"Erro","")</f>
        <v/>
      </c>
    </row>
    <row r="1980" spans="1:9" ht="30" hidden="1">
      <c r="A1980" s="345">
        <v>2368</v>
      </c>
      <c r="B1980" s="346" t="s">
        <v>238</v>
      </c>
      <c r="C1980" s="347">
        <v>480</v>
      </c>
      <c r="D1980" s="348">
        <v>46388</v>
      </c>
      <c r="E1980" s="348">
        <v>46722</v>
      </c>
      <c r="F1980" s="346" t="s">
        <v>689</v>
      </c>
      <c r="G1980" s="349" t="s">
        <v>458</v>
      </c>
      <c r="H1980" s="350">
        <f t="shared" si="41"/>
        <v>5760</v>
      </c>
      <c r="I1980" s="120" t="str">
        <f>IF(OR(D1980&lt;Capa!$A$5,D1980&gt;Capa!$A$7,E1980&lt;Capa!$A$5,E1980&gt;Capa!$A$7,D1980&gt;E1980),"Erro","")</f>
        <v/>
      </c>
    </row>
    <row r="1981" spans="1:9" ht="30" hidden="1">
      <c r="A1981" s="345">
        <v>2369</v>
      </c>
      <c r="B1981" s="346" t="s">
        <v>238</v>
      </c>
      <c r="C1981" s="347">
        <v>240</v>
      </c>
      <c r="D1981" s="348">
        <v>46753</v>
      </c>
      <c r="E1981" s="348">
        <v>47058</v>
      </c>
      <c r="F1981" s="346" t="s">
        <v>689</v>
      </c>
      <c r="G1981" s="349" t="s">
        <v>458</v>
      </c>
      <c r="H1981" s="350">
        <f t="shared" si="41"/>
        <v>2640</v>
      </c>
      <c r="I1981" s="120" t="str">
        <f>IF(OR(D1981&lt;Capa!$A$5,D1981&gt;Capa!$A$7,E1981&lt;Capa!$A$5,E1981&gt;Capa!$A$7,D1981&gt;E1981),"Erro","")</f>
        <v/>
      </c>
    </row>
    <row r="1982" spans="1:9" ht="40" hidden="1">
      <c r="A1982" s="345">
        <v>2370</v>
      </c>
      <c r="B1982" s="346" t="s">
        <v>252</v>
      </c>
      <c r="C1982" s="347">
        <v>8000</v>
      </c>
      <c r="D1982" s="348">
        <v>45748</v>
      </c>
      <c r="E1982" s="348">
        <v>45992</v>
      </c>
      <c r="F1982" s="346" t="s">
        <v>689</v>
      </c>
      <c r="G1982" s="349" t="s">
        <v>459</v>
      </c>
      <c r="H1982" s="350">
        <f t="shared" si="41"/>
        <v>72000</v>
      </c>
      <c r="I1982" s="120" t="str">
        <f>IF(OR(D1982&lt;Capa!$A$5,D1982&gt;Capa!$A$7,E1982&lt;Capa!$A$5,E1982&gt;Capa!$A$7,D1982&gt;E1982),"Erro","")</f>
        <v/>
      </c>
    </row>
    <row r="1983" spans="1:9" ht="40" hidden="1">
      <c r="A1983" s="345">
        <v>2371</v>
      </c>
      <c r="B1983" s="346" t="s">
        <v>252</v>
      </c>
      <c r="C1983" s="347">
        <v>8000</v>
      </c>
      <c r="D1983" s="348">
        <v>46023</v>
      </c>
      <c r="E1983" s="348">
        <v>46357</v>
      </c>
      <c r="F1983" s="346" t="s">
        <v>689</v>
      </c>
      <c r="G1983" s="349" t="s">
        <v>459</v>
      </c>
      <c r="H1983" s="350">
        <f t="shared" si="41"/>
        <v>96000</v>
      </c>
      <c r="I1983" s="120" t="str">
        <f>IF(OR(D1983&lt;Capa!$A$5,D1983&gt;Capa!$A$7,E1983&lt;Capa!$A$5,E1983&gt;Capa!$A$7,D1983&gt;E1983),"Erro","")</f>
        <v/>
      </c>
    </row>
    <row r="1984" spans="1:9" ht="40" hidden="1">
      <c r="A1984" s="345">
        <v>2372</v>
      </c>
      <c r="B1984" s="346" t="s">
        <v>252</v>
      </c>
      <c r="C1984" s="347">
        <v>8000</v>
      </c>
      <c r="D1984" s="348">
        <v>46388</v>
      </c>
      <c r="E1984" s="348">
        <v>46722</v>
      </c>
      <c r="F1984" s="346" t="s">
        <v>689</v>
      </c>
      <c r="G1984" s="349" t="s">
        <v>459</v>
      </c>
      <c r="H1984" s="350">
        <f t="shared" si="41"/>
        <v>96000</v>
      </c>
      <c r="I1984" s="120" t="str">
        <f>IF(OR(D1984&lt;Capa!$A$5,D1984&gt;Capa!$A$7,E1984&lt;Capa!$A$5,E1984&gt;Capa!$A$7,D1984&gt;E1984),"Erro","")</f>
        <v/>
      </c>
    </row>
    <row r="1985" spans="1:9" ht="40" hidden="1">
      <c r="A1985" s="345">
        <v>2373</v>
      </c>
      <c r="B1985" s="346" t="s">
        <v>252</v>
      </c>
      <c r="C1985" s="347">
        <v>4000</v>
      </c>
      <c r="D1985" s="348">
        <v>46753</v>
      </c>
      <c r="E1985" s="348">
        <v>47058</v>
      </c>
      <c r="F1985" s="346" t="s">
        <v>689</v>
      </c>
      <c r="G1985" s="349" t="s">
        <v>459</v>
      </c>
      <c r="H1985" s="350">
        <f t="shared" si="41"/>
        <v>44000</v>
      </c>
      <c r="I1985" s="120" t="str">
        <f>IF(OR(D1985&lt;Capa!$A$5,D1985&gt;Capa!$A$7,E1985&lt;Capa!$A$5,E1985&gt;Capa!$A$7,D1985&gt;E1985),"Erro","")</f>
        <v/>
      </c>
    </row>
    <row r="1986" spans="1:9" ht="30" hidden="1">
      <c r="A1986" s="345">
        <v>2374</v>
      </c>
      <c r="B1986" s="346" t="s">
        <v>618</v>
      </c>
      <c r="C1986" s="347">
        <v>230000</v>
      </c>
      <c r="D1986" s="348">
        <v>45748</v>
      </c>
      <c r="E1986" s="348">
        <v>45778</v>
      </c>
      <c r="F1986" s="346" t="s">
        <v>689</v>
      </c>
      <c r="G1986" s="349" t="s">
        <v>591</v>
      </c>
      <c r="H1986" s="350">
        <f t="shared" si="41"/>
        <v>460000</v>
      </c>
      <c r="I1986" s="120" t="str">
        <f>IF(OR(D1986&lt;Capa!$A$5,D1986&gt;Capa!$A$7,E1986&lt;Capa!$A$5,E1986&gt;Capa!$A$7,D1986&gt;E1986),"Erro","")</f>
        <v/>
      </c>
    </row>
    <row r="1987" spans="1:9" ht="20" hidden="1">
      <c r="A1987" s="345">
        <v>2375</v>
      </c>
      <c r="B1987" s="346" t="s">
        <v>620</v>
      </c>
      <c r="C1987" s="347">
        <v>110</v>
      </c>
      <c r="D1987" s="348">
        <v>45748</v>
      </c>
      <c r="E1987" s="348">
        <v>47058</v>
      </c>
      <c r="F1987" s="346" t="s">
        <v>689</v>
      </c>
      <c r="G1987" s="349" t="s">
        <v>662</v>
      </c>
      <c r="H1987" s="350">
        <f t="shared" si="41"/>
        <v>4840</v>
      </c>
      <c r="I1987" s="120" t="str">
        <f>IF(OR(D1987&lt;Capa!$A$5,D1987&gt;Capa!$A$7,E1987&lt;Capa!$A$5,E1987&gt;Capa!$A$7,D1987&gt;E1987),"Erro","")</f>
        <v/>
      </c>
    </row>
    <row r="1988" spans="1:9" ht="20" hidden="1">
      <c r="A1988" s="345">
        <v>2376</v>
      </c>
      <c r="B1988" s="346" t="s">
        <v>622</v>
      </c>
      <c r="C1988" s="347">
        <v>850</v>
      </c>
      <c r="D1988" s="348">
        <v>45748</v>
      </c>
      <c r="E1988" s="348">
        <v>47058</v>
      </c>
      <c r="F1988" s="346" t="s">
        <v>689</v>
      </c>
      <c r="G1988" s="349" t="s">
        <v>664</v>
      </c>
      <c r="H1988" s="350">
        <f t="shared" si="41"/>
        <v>37400</v>
      </c>
      <c r="I1988" s="120" t="str">
        <f>IF(OR(D1988&lt;Capa!$A$5,D1988&gt;Capa!$A$7,E1988&lt;Capa!$A$5,E1988&gt;Capa!$A$7,D1988&gt;E1988),"Erro","")</f>
        <v/>
      </c>
    </row>
    <row r="1989" spans="1:9" ht="30" hidden="1">
      <c r="A1989" s="345">
        <v>2377</v>
      </c>
      <c r="B1989" s="346" t="s">
        <v>621</v>
      </c>
      <c r="C1989" s="347">
        <v>2000</v>
      </c>
      <c r="D1989" s="348">
        <v>45748</v>
      </c>
      <c r="E1989" s="348">
        <v>45717</v>
      </c>
      <c r="F1989" s="346" t="s">
        <v>689</v>
      </c>
      <c r="G1989" s="349" t="s">
        <v>595</v>
      </c>
      <c r="H1989" s="350">
        <f t="shared" si="41"/>
        <v>0</v>
      </c>
      <c r="I1989" s="120" t="str">
        <f>IF(OR(D1989&lt;Capa!$A$5,D1989&gt;Capa!$A$7,E1989&lt;Capa!$A$5,E1989&gt;Capa!$A$7,D1989&gt;E1989),"Erro","")</f>
        <v>Erro</v>
      </c>
    </row>
    <row r="1990" spans="1:9" ht="30" hidden="1">
      <c r="A1990" s="345">
        <v>2378</v>
      </c>
      <c r="B1990" s="346" t="s">
        <v>621</v>
      </c>
      <c r="C1990" s="347">
        <v>2000</v>
      </c>
      <c r="D1990" s="348">
        <v>46419</v>
      </c>
      <c r="E1990" s="348">
        <v>46419</v>
      </c>
      <c r="F1990" s="346" t="s">
        <v>689</v>
      </c>
      <c r="G1990" s="349" t="s">
        <v>595</v>
      </c>
      <c r="H1990" s="350">
        <f t="shared" si="41"/>
        <v>2000</v>
      </c>
      <c r="I1990" s="120" t="str">
        <f>IF(OR(D1990&lt;Capa!$A$5,D1990&gt;Capa!$A$7,E1990&lt;Capa!$A$5,E1990&gt;Capa!$A$7,D1990&gt;E1990),"Erro","")</f>
        <v/>
      </c>
    </row>
    <row r="1991" spans="1:9" ht="30" hidden="1">
      <c r="A1991" s="345">
        <v>2379</v>
      </c>
      <c r="B1991" s="346" t="s">
        <v>619</v>
      </c>
      <c r="C1991" s="347">
        <v>70</v>
      </c>
      <c r="D1991" s="348">
        <v>45748</v>
      </c>
      <c r="E1991" s="348">
        <v>47058</v>
      </c>
      <c r="F1991" s="346" t="s">
        <v>689</v>
      </c>
      <c r="G1991" s="349" t="s">
        <v>663</v>
      </c>
      <c r="H1991" s="350">
        <f t="shared" si="41"/>
        <v>3080</v>
      </c>
      <c r="I1991" s="120" t="str">
        <f>IF(OR(D1991&lt;Capa!$A$5,D1991&gt;Capa!$A$7,E1991&lt;Capa!$A$5,E1991&gt;Capa!$A$7,D1991&gt;E1991),"Erro","")</f>
        <v/>
      </c>
    </row>
    <row r="1992" spans="1:9" ht="30" hidden="1">
      <c r="A1992" s="345">
        <v>2380</v>
      </c>
      <c r="B1992" s="346" t="s">
        <v>617</v>
      </c>
      <c r="C1992" s="347">
        <v>200</v>
      </c>
      <c r="D1992" s="348">
        <v>45748</v>
      </c>
      <c r="E1992" s="348">
        <v>47058</v>
      </c>
      <c r="F1992" s="346" t="s">
        <v>689</v>
      </c>
      <c r="G1992" s="349" t="s">
        <v>639</v>
      </c>
      <c r="H1992" s="350">
        <f t="shared" si="41"/>
        <v>8800</v>
      </c>
      <c r="I1992" s="120" t="str">
        <f>IF(OR(D1992&lt;Capa!$A$5,D1992&gt;Capa!$A$7,E1992&lt;Capa!$A$5,E1992&gt;Capa!$A$7,D1992&gt;E1992),"Erro","")</f>
        <v/>
      </c>
    </row>
    <row r="1993" spans="1:9" ht="20" hidden="1">
      <c r="A1993" s="345">
        <v>2381</v>
      </c>
      <c r="B1993" s="346" t="s">
        <v>618</v>
      </c>
      <c r="C1993" s="347">
        <v>2500</v>
      </c>
      <c r="D1993" s="348">
        <v>45748</v>
      </c>
      <c r="E1993" s="348">
        <v>47058</v>
      </c>
      <c r="F1993" s="346" t="s">
        <v>689</v>
      </c>
      <c r="G1993" s="349" t="s">
        <v>657</v>
      </c>
      <c r="H1993" s="350">
        <f t="shared" si="41"/>
        <v>110000</v>
      </c>
      <c r="I1993" s="120" t="str">
        <f>IF(OR(D1993&lt;Capa!$A$5,D1993&gt;Capa!$A$7,E1993&lt;Capa!$A$5,E1993&gt;Capa!$A$7,D1993&gt;E1993),"Erro","")</f>
        <v/>
      </c>
    </row>
    <row r="1994" spans="1:9" ht="30" hidden="1">
      <c r="A1994" s="345">
        <v>2382</v>
      </c>
      <c r="B1994" s="346" t="s">
        <v>623</v>
      </c>
      <c r="C1994" s="347">
        <v>650</v>
      </c>
      <c r="D1994" s="348">
        <v>45748</v>
      </c>
      <c r="E1994" s="348">
        <v>46784</v>
      </c>
      <c r="F1994" s="346" t="s">
        <v>689</v>
      </c>
      <c r="G1994" s="349" t="s">
        <v>658</v>
      </c>
      <c r="H1994" s="350">
        <f t="shared" si="41"/>
        <v>22750</v>
      </c>
      <c r="I1994" s="120" t="str">
        <f>IF(OR(D1994&lt;Capa!$A$5,D1994&gt;Capa!$A$7,E1994&lt;Capa!$A$5,E1994&gt;Capa!$A$7,D1994&gt;E1994),"Erro","")</f>
        <v/>
      </c>
    </row>
    <row r="1995" spans="1:9" ht="20" hidden="1">
      <c r="A1995" s="345">
        <v>2383</v>
      </c>
      <c r="B1995" s="346" t="s">
        <v>625</v>
      </c>
      <c r="C1995" s="347">
        <v>90</v>
      </c>
      <c r="D1995" s="348">
        <v>45748</v>
      </c>
      <c r="E1995" s="348">
        <v>47058</v>
      </c>
      <c r="F1995" s="346" t="s">
        <v>689</v>
      </c>
      <c r="G1995" s="349" t="s">
        <v>659</v>
      </c>
      <c r="H1995" s="350">
        <f t="shared" si="41"/>
        <v>3960</v>
      </c>
      <c r="I1995" s="120" t="str">
        <f>IF(OR(D1995&lt;Capa!$A$5,D1995&gt;Capa!$A$7,E1995&lt;Capa!$A$5,E1995&gt;Capa!$A$7,D1995&gt;E1995),"Erro","")</f>
        <v/>
      </c>
    </row>
    <row r="1996" spans="1:9" ht="20" hidden="1">
      <c r="A1996" s="345">
        <v>2384</v>
      </c>
      <c r="B1996" s="346" t="s">
        <v>627</v>
      </c>
      <c r="C1996" s="347">
        <v>50</v>
      </c>
      <c r="D1996" s="348">
        <v>45748</v>
      </c>
      <c r="E1996" s="348">
        <v>47058</v>
      </c>
      <c r="F1996" s="346" t="s">
        <v>689</v>
      </c>
      <c r="G1996" s="349" t="s">
        <v>661</v>
      </c>
      <c r="H1996" s="350">
        <f t="shared" si="41"/>
        <v>2200</v>
      </c>
      <c r="I1996" s="120" t="str">
        <f>IF(OR(D1996&lt;Capa!$A$5,D1996&gt;Capa!$A$7,E1996&lt;Capa!$A$5,E1996&gt;Capa!$A$7,D1996&gt;E1996),"Erro","")</f>
        <v/>
      </c>
    </row>
    <row r="1997" spans="1:9" ht="30" hidden="1">
      <c r="A1997" s="345">
        <v>2385</v>
      </c>
      <c r="B1997" s="346" t="s">
        <v>626</v>
      </c>
      <c r="C1997" s="347">
        <v>350</v>
      </c>
      <c r="D1997" s="348">
        <v>45748</v>
      </c>
      <c r="E1997" s="348">
        <v>47058</v>
      </c>
      <c r="F1997" s="346" t="s">
        <v>689</v>
      </c>
      <c r="G1997" s="349" t="s">
        <v>660</v>
      </c>
      <c r="H1997" s="350">
        <f t="shared" si="41"/>
        <v>15400</v>
      </c>
      <c r="I1997" s="120" t="str">
        <f>IF(OR(D1997&lt;Capa!$A$5,D1997&gt;Capa!$A$7,E1997&lt;Capa!$A$5,E1997&gt;Capa!$A$7,D1997&gt;E1997),"Erro","")</f>
        <v/>
      </c>
    </row>
    <row r="1998" spans="1:9" ht="20" hidden="1">
      <c r="A1998" s="345">
        <v>2388</v>
      </c>
      <c r="B1998" s="346" t="s">
        <v>198</v>
      </c>
      <c r="C1998" s="347">
        <v>12000</v>
      </c>
      <c r="D1998" s="348">
        <v>45931</v>
      </c>
      <c r="E1998" s="348">
        <v>45992</v>
      </c>
      <c r="F1998" s="346" t="s">
        <v>611</v>
      </c>
      <c r="G1998" s="349" t="s">
        <v>437</v>
      </c>
      <c r="H1998" s="350">
        <f t="shared" si="41"/>
        <v>36000</v>
      </c>
      <c r="I1998" s="120" t="str">
        <f>IF(OR(D1998&lt;Capa!$A$5,D1998&gt;Capa!$A$7,E1998&lt;Capa!$A$5,E1998&gt;Capa!$A$7,D1998&gt;E1998),"Erro","")</f>
        <v/>
      </c>
    </row>
    <row r="1999" spans="1:9" ht="20" hidden="1">
      <c r="A1999" s="345">
        <v>2389</v>
      </c>
      <c r="B1999" s="346" t="s">
        <v>198</v>
      </c>
      <c r="C1999" s="347">
        <v>12600</v>
      </c>
      <c r="D1999" s="348">
        <v>46023</v>
      </c>
      <c r="E1999" s="348">
        <v>46357</v>
      </c>
      <c r="F1999" s="346" t="s">
        <v>611</v>
      </c>
      <c r="G1999" s="349" t="s">
        <v>437</v>
      </c>
      <c r="H1999" s="350">
        <f t="shared" si="41"/>
        <v>151200</v>
      </c>
      <c r="I1999" s="120" t="str">
        <f>IF(OR(D1999&lt;Capa!$A$5,D1999&gt;Capa!$A$7,E1999&lt;Capa!$A$5,E1999&gt;Capa!$A$7,D1999&gt;E1999),"Erro","")</f>
        <v/>
      </c>
    </row>
    <row r="2000" spans="1:9" ht="20" hidden="1">
      <c r="A2000" s="345">
        <v>2390</v>
      </c>
      <c r="B2000" s="346" t="s">
        <v>198</v>
      </c>
      <c r="C2000" s="347">
        <v>13230</v>
      </c>
      <c r="D2000" s="348">
        <v>46388</v>
      </c>
      <c r="E2000" s="348">
        <v>46722</v>
      </c>
      <c r="F2000" s="346" t="s">
        <v>611</v>
      </c>
      <c r="G2000" s="349" t="s">
        <v>437</v>
      </c>
      <c r="H2000" s="350">
        <f t="shared" si="41"/>
        <v>158760</v>
      </c>
      <c r="I2000" s="120" t="str">
        <f>IF(OR(D2000&lt;Capa!$A$5,D2000&gt;Capa!$A$7,E2000&lt;Capa!$A$5,E2000&gt;Capa!$A$7,D2000&gt;E2000),"Erro","")</f>
        <v/>
      </c>
    </row>
    <row r="2001" spans="1:9" ht="20" hidden="1">
      <c r="A2001" s="345">
        <v>2391</v>
      </c>
      <c r="B2001" s="346" t="s">
        <v>198</v>
      </c>
      <c r="C2001" s="347">
        <v>5500</v>
      </c>
      <c r="D2001" s="348">
        <v>46753</v>
      </c>
      <c r="E2001" s="348">
        <v>47058</v>
      </c>
      <c r="F2001" s="346" t="s">
        <v>611</v>
      </c>
      <c r="G2001" s="349" t="s">
        <v>437</v>
      </c>
      <c r="H2001" s="350">
        <f t="shared" si="41"/>
        <v>60500</v>
      </c>
      <c r="I2001" s="120" t="str">
        <f>IF(OR(D2001&lt;Capa!$A$5,D2001&gt;Capa!$A$7,E2001&lt;Capa!$A$5,E2001&gt;Capa!$A$7,D2001&gt;E2001),"Erro","")</f>
        <v/>
      </c>
    </row>
    <row r="2002" spans="1:9" ht="20" hidden="1">
      <c r="A2002" s="345">
        <v>2392</v>
      </c>
      <c r="B2002" s="346" t="s">
        <v>202</v>
      </c>
      <c r="C2002" s="347">
        <v>1500</v>
      </c>
      <c r="D2002" s="348">
        <v>45931</v>
      </c>
      <c r="E2002" s="348">
        <v>46082</v>
      </c>
      <c r="F2002" s="346" t="s">
        <v>611</v>
      </c>
      <c r="G2002" s="349" t="s">
        <v>438</v>
      </c>
      <c r="H2002" s="350">
        <f t="shared" si="41"/>
        <v>9000</v>
      </c>
      <c r="I2002" s="120" t="str">
        <f>IF(OR(D2002&lt;Capa!$A$5,D2002&gt;Capa!$A$7,E2002&lt;Capa!$A$5,E2002&gt;Capa!$A$7,D2002&gt;E2002),"Erro","")</f>
        <v/>
      </c>
    </row>
    <row r="2003" spans="1:9" ht="20" hidden="1">
      <c r="A2003" s="345">
        <v>2393</v>
      </c>
      <c r="B2003" s="346" t="s">
        <v>202</v>
      </c>
      <c r="C2003" s="347">
        <v>1300</v>
      </c>
      <c r="D2003" s="348">
        <v>46023</v>
      </c>
      <c r="E2003" s="348">
        <v>46082</v>
      </c>
      <c r="F2003" s="346" t="s">
        <v>611</v>
      </c>
      <c r="G2003" s="349" t="s">
        <v>438</v>
      </c>
      <c r="H2003" s="350">
        <f t="shared" si="41"/>
        <v>3900</v>
      </c>
      <c r="I2003" s="120" t="str">
        <f>IF(OR(D2003&lt;Capa!$A$5,D2003&gt;Capa!$A$7,E2003&lt;Capa!$A$5,E2003&gt;Capa!$A$7,D2003&gt;E2003),"Erro","")</f>
        <v/>
      </c>
    </row>
    <row r="2004" spans="1:9" ht="20" hidden="1">
      <c r="A2004" s="345">
        <v>2394</v>
      </c>
      <c r="B2004" s="346" t="s">
        <v>202</v>
      </c>
      <c r="C2004" s="347">
        <v>1300</v>
      </c>
      <c r="D2004" s="348">
        <v>46388</v>
      </c>
      <c r="E2004" s="348">
        <v>46447</v>
      </c>
      <c r="F2004" s="346" t="s">
        <v>611</v>
      </c>
      <c r="G2004" s="349" t="s">
        <v>438</v>
      </c>
      <c r="H2004" s="350">
        <f t="shared" si="41"/>
        <v>3900</v>
      </c>
      <c r="I2004" s="120" t="str">
        <f>IF(OR(D2004&lt;Capa!$A$5,D2004&gt;Capa!$A$7,E2004&lt;Capa!$A$5,E2004&gt;Capa!$A$7,D2004&gt;E2004),"Erro","")</f>
        <v/>
      </c>
    </row>
    <row r="2005" spans="1:9" ht="20" hidden="1">
      <c r="A2005" s="345">
        <v>2395</v>
      </c>
      <c r="B2005" s="346" t="s">
        <v>202</v>
      </c>
      <c r="C2005" s="347">
        <v>750</v>
      </c>
      <c r="D2005" s="348">
        <v>46753</v>
      </c>
      <c r="E2005" s="348">
        <v>46813</v>
      </c>
      <c r="F2005" s="346" t="s">
        <v>611</v>
      </c>
      <c r="G2005" s="349" t="s">
        <v>438</v>
      </c>
      <c r="H2005" s="350">
        <f t="shared" si="41"/>
        <v>2250</v>
      </c>
      <c r="I2005" s="120" t="str">
        <f>IF(OR(D2005&lt;Capa!$A$5,D2005&gt;Capa!$A$7,E2005&lt;Capa!$A$5,E2005&gt;Capa!$A$7,D2005&gt;E2005),"Erro","")</f>
        <v/>
      </c>
    </row>
    <row r="2006" spans="1:9" ht="20" hidden="1">
      <c r="A2006" s="345">
        <v>2396</v>
      </c>
      <c r="B2006" s="346" t="s">
        <v>204</v>
      </c>
      <c r="C2006" s="347">
        <v>1250</v>
      </c>
      <c r="D2006" s="348">
        <v>45931</v>
      </c>
      <c r="E2006" s="348">
        <v>45992</v>
      </c>
      <c r="F2006" s="346" t="s">
        <v>611</v>
      </c>
      <c r="G2006" s="349" t="s">
        <v>438</v>
      </c>
      <c r="H2006" s="350">
        <f t="shared" si="41"/>
        <v>3750</v>
      </c>
      <c r="I2006" s="120" t="str">
        <f>IF(OR(D2006&lt;Capa!$A$5,D2006&gt;Capa!$A$7,E2006&lt;Capa!$A$5,E2006&gt;Capa!$A$7,D2006&gt;E2006),"Erro","")</f>
        <v/>
      </c>
    </row>
    <row r="2007" spans="1:9" ht="20" hidden="1">
      <c r="A2007" s="345">
        <v>2397</v>
      </c>
      <c r="B2007" s="346" t="s">
        <v>204</v>
      </c>
      <c r="C2007" s="347">
        <v>1250</v>
      </c>
      <c r="D2007" s="348">
        <v>46023</v>
      </c>
      <c r="E2007" s="348">
        <v>46357</v>
      </c>
      <c r="F2007" s="346" t="s">
        <v>611</v>
      </c>
      <c r="G2007" s="349" t="s">
        <v>438</v>
      </c>
      <c r="H2007" s="350">
        <f t="shared" si="41"/>
        <v>15000</v>
      </c>
      <c r="I2007" s="120" t="str">
        <f>IF(OR(D2007&lt;Capa!$A$5,D2007&gt;Capa!$A$7,E2007&lt;Capa!$A$5,E2007&gt;Capa!$A$7,D2007&gt;E2007),"Erro","")</f>
        <v/>
      </c>
    </row>
    <row r="2008" spans="1:9" ht="20" hidden="1">
      <c r="A2008" s="345">
        <v>2398</v>
      </c>
      <c r="B2008" s="346" t="s">
        <v>204</v>
      </c>
      <c r="C2008" s="347">
        <v>1250</v>
      </c>
      <c r="D2008" s="348">
        <v>46388</v>
      </c>
      <c r="E2008" s="348">
        <v>46722</v>
      </c>
      <c r="F2008" s="346" t="s">
        <v>611</v>
      </c>
      <c r="G2008" s="349" t="s">
        <v>438</v>
      </c>
      <c r="H2008" s="350">
        <f t="shared" si="41"/>
        <v>15000</v>
      </c>
      <c r="I2008" s="120" t="str">
        <f>IF(OR(D2008&lt;Capa!$A$5,D2008&gt;Capa!$A$7,E2008&lt;Capa!$A$5,E2008&gt;Capa!$A$7,D2008&gt;E2008),"Erro","")</f>
        <v/>
      </c>
    </row>
    <row r="2009" spans="1:9" ht="20" hidden="1">
      <c r="A2009" s="345">
        <v>2399</v>
      </c>
      <c r="B2009" s="346" t="s">
        <v>204</v>
      </c>
      <c r="C2009" s="347">
        <v>780</v>
      </c>
      <c r="D2009" s="348">
        <v>46753</v>
      </c>
      <c r="E2009" s="348">
        <v>47058</v>
      </c>
      <c r="F2009" s="346" t="s">
        <v>611</v>
      </c>
      <c r="G2009" s="349" t="s">
        <v>438</v>
      </c>
      <c r="H2009" s="350">
        <f t="shared" si="41"/>
        <v>8580</v>
      </c>
      <c r="I2009" s="120" t="str">
        <f>IF(OR(D2009&lt;Capa!$A$5,D2009&gt;Capa!$A$7,E2009&lt;Capa!$A$5,E2009&gt;Capa!$A$7,D2009&gt;E2009),"Erro","")</f>
        <v/>
      </c>
    </row>
    <row r="2010" spans="1:9" ht="20" hidden="1">
      <c r="A2010" s="345">
        <v>2400</v>
      </c>
      <c r="B2010" s="346" t="s">
        <v>206</v>
      </c>
      <c r="C2010" s="347">
        <v>1200</v>
      </c>
      <c r="D2010" s="348">
        <v>45931</v>
      </c>
      <c r="E2010" s="348">
        <v>45992</v>
      </c>
      <c r="F2010" s="346" t="s">
        <v>611</v>
      </c>
      <c r="G2010" s="349" t="s">
        <v>439</v>
      </c>
      <c r="H2010" s="350">
        <f t="shared" si="41"/>
        <v>3600</v>
      </c>
      <c r="I2010" s="120" t="str">
        <f>IF(OR(D2010&lt;Capa!$A$5,D2010&gt;Capa!$A$7,E2010&lt;Capa!$A$5,E2010&gt;Capa!$A$7,D2010&gt;E2010),"Erro","")</f>
        <v/>
      </c>
    </row>
    <row r="2011" spans="1:9" ht="20" hidden="1">
      <c r="A2011" s="345">
        <v>2401</v>
      </c>
      <c r="B2011" s="346" t="s">
        <v>206</v>
      </c>
      <c r="C2011" s="347">
        <v>1200</v>
      </c>
      <c r="D2011" s="348">
        <v>46023</v>
      </c>
      <c r="E2011" s="348">
        <v>46357</v>
      </c>
      <c r="F2011" s="346" t="s">
        <v>611</v>
      </c>
      <c r="G2011" s="349" t="s">
        <v>439</v>
      </c>
      <c r="H2011" s="350">
        <f t="shared" si="41"/>
        <v>14400</v>
      </c>
      <c r="I2011" s="120" t="str">
        <f>IF(OR(D2011&lt;Capa!$A$5,D2011&gt;Capa!$A$7,E2011&lt;Capa!$A$5,E2011&gt;Capa!$A$7,D2011&gt;E2011),"Erro","")</f>
        <v/>
      </c>
    </row>
    <row r="2012" spans="1:9" ht="20" hidden="1">
      <c r="A2012" s="345">
        <v>2402</v>
      </c>
      <c r="B2012" s="346" t="s">
        <v>206</v>
      </c>
      <c r="C2012" s="347">
        <v>1200</v>
      </c>
      <c r="D2012" s="348">
        <v>46388</v>
      </c>
      <c r="E2012" s="348">
        <v>46722</v>
      </c>
      <c r="F2012" s="346" t="s">
        <v>611</v>
      </c>
      <c r="G2012" s="349" t="s">
        <v>439</v>
      </c>
      <c r="H2012" s="350">
        <f t="shared" si="41"/>
        <v>14400</v>
      </c>
      <c r="I2012" s="120" t="str">
        <f>IF(OR(D2012&lt;Capa!$A$5,D2012&gt;Capa!$A$7,E2012&lt;Capa!$A$5,E2012&gt;Capa!$A$7,D2012&gt;E2012),"Erro","")</f>
        <v/>
      </c>
    </row>
    <row r="2013" spans="1:9" ht="20" hidden="1">
      <c r="A2013" s="345">
        <v>2403</v>
      </c>
      <c r="B2013" s="346" t="s">
        <v>206</v>
      </c>
      <c r="C2013" s="347">
        <v>600</v>
      </c>
      <c r="D2013" s="348">
        <v>46753</v>
      </c>
      <c r="E2013" s="348">
        <v>47058</v>
      </c>
      <c r="F2013" s="346" t="s">
        <v>611</v>
      </c>
      <c r="G2013" s="349" t="s">
        <v>439</v>
      </c>
      <c r="H2013" s="350">
        <f t="shared" si="41"/>
        <v>6600</v>
      </c>
      <c r="I2013" s="120" t="str">
        <f>IF(OR(D2013&lt;Capa!$A$5,D2013&gt;Capa!$A$7,E2013&lt;Capa!$A$5,E2013&gt;Capa!$A$7,D2013&gt;E2013),"Erro","")</f>
        <v/>
      </c>
    </row>
    <row r="2014" spans="1:9" ht="20" hidden="1">
      <c r="A2014" s="345">
        <v>2404</v>
      </c>
      <c r="B2014" s="346" t="s">
        <v>208</v>
      </c>
      <c r="C2014" s="347">
        <v>1000</v>
      </c>
      <c r="D2014" s="348">
        <v>45931</v>
      </c>
      <c r="E2014" s="348">
        <v>45992</v>
      </c>
      <c r="F2014" s="346" t="s">
        <v>611</v>
      </c>
      <c r="G2014" s="349" t="s">
        <v>439</v>
      </c>
      <c r="H2014" s="350">
        <f t="shared" si="41"/>
        <v>3000</v>
      </c>
      <c r="I2014" s="120" t="str">
        <f>IF(OR(D2014&lt;Capa!$A$5,D2014&gt;Capa!$A$7,E2014&lt;Capa!$A$5,E2014&gt;Capa!$A$7,D2014&gt;E2014),"Erro","")</f>
        <v/>
      </c>
    </row>
    <row r="2015" spans="1:9" ht="20" hidden="1">
      <c r="A2015" s="345">
        <v>2405</v>
      </c>
      <c r="B2015" s="346" t="s">
        <v>208</v>
      </c>
      <c r="C2015" s="347">
        <v>1000</v>
      </c>
      <c r="D2015" s="348">
        <v>46023</v>
      </c>
      <c r="E2015" s="348">
        <v>46357</v>
      </c>
      <c r="F2015" s="346" t="s">
        <v>611</v>
      </c>
      <c r="G2015" s="349" t="s">
        <v>439</v>
      </c>
      <c r="H2015" s="350">
        <f t="shared" si="41"/>
        <v>12000</v>
      </c>
      <c r="I2015" s="120" t="str">
        <f>IF(OR(D2015&lt;Capa!$A$5,D2015&gt;Capa!$A$7,E2015&lt;Capa!$A$5,E2015&gt;Capa!$A$7,D2015&gt;E2015),"Erro","")</f>
        <v/>
      </c>
    </row>
    <row r="2016" spans="1:9" ht="20" hidden="1">
      <c r="A2016" s="345">
        <v>2406</v>
      </c>
      <c r="B2016" s="346" t="s">
        <v>208</v>
      </c>
      <c r="C2016" s="347">
        <v>1000</v>
      </c>
      <c r="D2016" s="348">
        <v>46388</v>
      </c>
      <c r="E2016" s="348">
        <v>46722</v>
      </c>
      <c r="F2016" s="346" t="s">
        <v>611</v>
      </c>
      <c r="G2016" s="349" t="s">
        <v>439</v>
      </c>
      <c r="H2016" s="350">
        <f t="shared" si="41"/>
        <v>12000</v>
      </c>
      <c r="I2016" s="120" t="str">
        <f>IF(OR(D2016&lt;Capa!$A$5,D2016&gt;Capa!$A$7,E2016&lt;Capa!$A$5,E2016&gt;Capa!$A$7,D2016&gt;E2016),"Erro","")</f>
        <v/>
      </c>
    </row>
    <row r="2017" spans="1:9" ht="20" hidden="1">
      <c r="A2017" s="345">
        <v>2407</v>
      </c>
      <c r="B2017" s="346" t="s">
        <v>208</v>
      </c>
      <c r="C2017" s="347">
        <v>500</v>
      </c>
      <c r="D2017" s="348">
        <v>46753</v>
      </c>
      <c r="E2017" s="348">
        <v>47058</v>
      </c>
      <c r="F2017" s="346" t="s">
        <v>611</v>
      </c>
      <c r="G2017" s="349" t="s">
        <v>439</v>
      </c>
      <c r="H2017" s="350">
        <f t="shared" si="41"/>
        <v>5500</v>
      </c>
      <c r="I2017" s="120" t="str">
        <f>IF(OR(D2017&lt;Capa!$A$5,D2017&gt;Capa!$A$7,E2017&lt;Capa!$A$5,E2017&gt;Capa!$A$7,D2017&gt;E2017),"Erro","")</f>
        <v/>
      </c>
    </row>
    <row r="2018" spans="1:9" ht="20" hidden="1">
      <c r="A2018" s="345">
        <v>2408</v>
      </c>
      <c r="B2018" s="346" t="s">
        <v>210</v>
      </c>
      <c r="C2018" s="347">
        <v>60</v>
      </c>
      <c r="D2018" s="348">
        <v>45931</v>
      </c>
      <c r="E2018" s="348">
        <v>45992</v>
      </c>
      <c r="F2018" s="346" t="s">
        <v>611</v>
      </c>
      <c r="G2018" s="349" t="s">
        <v>439</v>
      </c>
      <c r="H2018" s="350">
        <f t="shared" si="41"/>
        <v>180</v>
      </c>
      <c r="I2018" s="120" t="str">
        <f>IF(OR(D2018&lt;Capa!$A$5,D2018&gt;Capa!$A$7,E2018&lt;Capa!$A$5,E2018&gt;Capa!$A$7,D2018&gt;E2018),"Erro","")</f>
        <v/>
      </c>
    </row>
    <row r="2019" spans="1:9" ht="20" hidden="1">
      <c r="A2019" s="345">
        <v>2409</v>
      </c>
      <c r="B2019" s="346" t="s">
        <v>210</v>
      </c>
      <c r="C2019" s="347">
        <v>60</v>
      </c>
      <c r="D2019" s="348">
        <v>46023</v>
      </c>
      <c r="E2019" s="348">
        <v>46357</v>
      </c>
      <c r="F2019" s="346" t="s">
        <v>611</v>
      </c>
      <c r="G2019" s="349" t="s">
        <v>439</v>
      </c>
      <c r="H2019" s="350">
        <f t="shared" si="41"/>
        <v>720</v>
      </c>
      <c r="I2019" s="120" t="str">
        <f>IF(OR(D2019&lt;Capa!$A$5,D2019&gt;Capa!$A$7,E2019&lt;Capa!$A$5,E2019&gt;Capa!$A$7,D2019&gt;E2019),"Erro","")</f>
        <v/>
      </c>
    </row>
    <row r="2020" spans="1:9" ht="20" hidden="1">
      <c r="A2020" s="345">
        <v>2410</v>
      </c>
      <c r="B2020" s="346" t="s">
        <v>210</v>
      </c>
      <c r="C2020" s="347">
        <v>60</v>
      </c>
      <c r="D2020" s="348">
        <v>46388</v>
      </c>
      <c r="E2020" s="348">
        <v>46722</v>
      </c>
      <c r="F2020" s="346" t="s">
        <v>611</v>
      </c>
      <c r="G2020" s="349" t="s">
        <v>439</v>
      </c>
      <c r="H2020" s="350">
        <f t="shared" si="41"/>
        <v>720</v>
      </c>
      <c r="I2020" s="120" t="str">
        <f>IF(OR(D2020&lt;Capa!$A$5,D2020&gt;Capa!$A$7,E2020&lt;Capa!$A$5,E2020&gt;Capa!$A$7,D2020&gt;E2020),"Erro","")</f>
        <v/>
      </c>
    </row>
    <row r="2021" spans="1:9" ht="20" hidden="1">
      <c r="A2021" s="345">
        <v>2411</v>
      </c>
      <c r="B2021" s="346" t="s">
        <v>210</v>
      </c>
      <c r="C2021" s="347">
        <v>49</v>
      </c>
      <c r="D2021" s="348">
        <v>46753</v>
      </c>
      <c r="E2021" s="348">
        <v>47058</v>
      </c>
      <c r="F2021" s="346" t="s">
        <v>611</v>
      </c>
      <c r="G2021" s="349" t="s">
        <v>439</v>
      </c>
      <c r="H2021" s="350">
        <f t="shared" si="41"/>
        <v>539</v>
      </c>
      <c r="I2021" s="120" t="str">
        <f>IF(OR(D2021&lt;Capa!$A$5,D2021&gt;Capa!$A$7,E2021&lt;Capa!$A$5,E2021&gt;Capa!$A$7,D2021&gt;E2021),"Erro","")</f>
        <v/>
      </c>
    </row>
    <row r="2022" spans="1:9" ht="20" hidden="1">
      <c r="A2022" s="345">
        <v>2412</v>
      </c>
      <c r="B2022" s="346" t="s">
        <v>214</v>
      </c>
      <c r="C2022" s="347">
        <v>140</v>
      </c>
      <c r="D2022" s="348">
        <v>45931</v>
      </c>
      <c r="E2022" s="348">
        <v>45992</v>
      </c>
      <c r="F2022" s="346" t="s">
        <v>611</v>
      </c>
      <c r="G2022" s="349" t="s">
        <v>439</v>
      </c>
      <c r="H2022" s="350">
        <f t="shared" si="41"/>
        <v>420</v>
      </c>
      <c r="I2022" s="120" t="str">
        <f>IF(OR(D2022&lt;Capa!$A$5,D2022&gt;Capa!$A$7,E2022&lt;Capa!$A$5,E2022&gt;Capa!$A$7,D2022&gt;E2022),"Erro","")</f>
        <v/>
      </c>
    </row>
    <row r="2023" spans="1:9" ht="20" hidden="1">
      <c r="A2023" s="345">
        <v>2413</v>
      </c>
      <c r="B2023" s="346" t="s">
        <v>214</v>
      </c>
      <c r="C2023" s="347">
        <v>140</v>
      </c>
      <c r="D2023" s="348">
        <v>46023</v>
      </c>
      <c r="E2023" s="348">
        <v>46357</v>
      </c>
      <c r="F2023" s="346" t="s">
        <v>611</v>
      </c>
      <c r="G2023" s="349" t="s">
        <v>439</v>
      </c>
      <c r="H2023" s="350">
        <f t="shared" si="41"/>
        <v>1680</v>
      </c>
      <c r="I2023" s="120" t="str">
        <f>IF(OR(D2023&lt;Capa!$A$5,D2023&gt;Capa!$A$7,E2023&lt;Capa!$A$5,E2023&gt;Capa!$A$7,D2023&gt;E2023),"Erro","")</f>
        <v/>
      </c>
    </row>
    <row r="2024" spans="1:9" ht="20" hidden="1">
      <c r="A2024" s="345">
        <v>2414</v>
      </c>
      <c r="B2024" s="346" t="s">
        <v>214</v>
      </c>
      <c r="C2024" s="347">
        <v>140</v>
      </c>
      <c r="D2024" s="348">
        <v>46388</v>
      </c>
      <c r="E2024" s="348">
        <v>46722</v>
      </c>
      <c r="F2024" s="346" t="s">
        <v>611</v>
      </c>
      <c r="G2024" s="349" t="s">
        <v>439</v>
      </c>
      <c r="H2024" s="350">
        <f t="shared" si="41"/>
        <v>1680</v>
      </c>
      <c r="I2024" s="120" t="str">
        <f>IF(OR(D2024&lt;Capa!$A$5,D2024&gt;Capa!$A$7,E2024&lt;Capa!$A$5,E2024&gt;Capa!$A$7,D2024&gt;E2024),"Erro","")</f>
        <v/>
      </c>
    </row>
    <row r="2025" spans="1:9" ht="20" hidden="1">
      <c r="A2025" s="345">
        <v>2415</v>
      </c>
      <c r="B2025" s="346" t="s">
        <v>214</v>
      </c>
      <c r="C2025" s="347">
        <v>70</v>
      </c>
      <c r="D2025" s="348">
        <v>46753</v>
      </c>
      <c r="E2025" s="348">
        <v>47058</v>
      </c>
      <c r="F2025" s="346" t="s">
        <v>611</v>
      </c>
      <c r="G2025" s="349" t="s">
        <v>439</v>
      </c>
      <c r="H2025" s="350">
        <f t="shared" si="41"/>
        <v>770</v>
      </c>
      <c r="I2025" s="120" t="str">
        <f>IF(OR(D2025&lt;Capa!$A$5,D2025&gt;Capa!$A$7,E2025&lt;Capa!$A$5,E2025&gt;Capa!$A$7,D2025&gt;E2025),"Erro","")</f>
        <v/>
      </c>
    </row>
    <row r="2026" spans="1:9" ht="20" hidden="1">
      <c r="A2026" s="345">
        <v>2416</v>
      </c>
      <c r="B2026" s="346" t="s">
        <v>212</v>
      </c>
      <c r="C2026" s="347">
        <v>260</v>
      </c>
      <c r="D2026" s="348">
        <v>45931</v>
      </c>
      <c r="E2026" s="348">
        <v>45992</v>
      </c>
      <c r="F2026" s="346" t="s">
        <v>611</v>
      </c>
      <c r="G2026" s="349" t="s">
        <v>439</v>
      </c>
      <c r="H2026" s="350">
        <f t="shared" si="41"/>
        <v>780</v>
      </c>
      <c r="I2026" s="120" t="str">
        <f>IF(OR(D2026&lt;Capa!$A$5,D2026&gt;Capa!$A$7,E2026&lt;Capa!$A$5,E2026&gt;Capa!$A$7,D2026&gt;E2026),"Erro","")</f>
        <v/>
      </c>
    </row>
    <row r="2027" spans="1:9" ht="20" hidden="1">
      <c r="A2027" s="345">
        <v>2417</v>
      </c>
      <c r="B2027" s="346" t="s">
        <v>212</v>
      </c>
      <c r="C2027" s="347">
        <v>260</v>
      </c>
      <c r="D2027" s="348">
        <v>46023</v>
      </c>
      <c r="E2027" s="348">
        <v>46357</v>
      </c>
      <c r="F2027" s="346" t="s">
        <v>611</v>
      </c>
      <c r="G2027" s="349" t="s">
        <v>439</v>
      </c>
      <c r="H2027" s="350">
        <f t="shared" si="41"/>
        <v>3120</v>
      </c>
      <c r="I2027" s="120" t="str">
        <f>IF(OR(D2027&lt;Capa!$A$5,D2027&gt;Capa!$A$7,E2027&lt;Capa!$A$5,E2027&gt;Capa!$A$7,D2027&gt;E2027),"Erro","")</f>
        <v/>
      </c>
    </row>
    <row r="2028" spans="1:9" ht="20" hidden="1">
      <c r="A2028" s="345">
        <v>2418</v>
      </c>
      <c r="B2028" s="346" t="s">
        <v>212</v>
      </c>
      <c r="C2028" s="347">
        <v>260</v>
      </c>
      <c r="D2028" s="348">
        <v>46388</v>
      </c>
      <c r="E2028" s="348">
        <v>46722</v>
      </c>
      <c r="F2028" s="346" t="s">
        <v>611</v>
      </c>
      <c r="G2028" s="349" t="s">
        <v>439</v>
      </c>
      <c r="H2028" s="350">
        <f t="shared" si="41"/>
        <v>3120</v>
      </c>
      <c r="I2028" s="120" t="str">
        <f>IF(OR(D2028&lt;Capa!$A$5,D2028&gt;Capa!$A$7,E2028&lt;Capa!$A$5,E2028&gt;Capa!$A$7,D2028&gt;E2028),"Erro","")</f>
        <v/>
      </c>
    </row>
    <row r="2029" spans="1:9" ht="20" hidden="1">
      <c r="A2029" s="345">
        <v>2419</v>
      </c>
      <c r="B2029" s="346" t="s">
        <v>212</v>
      </c>
      <c r="C2029" s="347">
        <v>220</v>
      </c>
      <c r="D2029" s="348">
        <v>46753</v>
      </c>
      <c r="E2029" s="348">
        <v>47058</v>
      </c>
      <c r="F2029" s="346" t="s">
        <v>611</v>
      </c>
      <c r="G2029" s="349" t="s">
        <v>439</v>
      </c>
      <c r="H2029" s="350">
        <f t="shared" si="41"/>
        <v>2420</v>
      </c>
      <c r="I2029" s="120" t="str">
        <f>IF(OR(D2029&lt;Capa!$A$5,D2029&gt;Capa!$A$7,E2029&lt;Capa!$A$5,E2029&gt;Capa!$A$7,D2029&gt;E2029),"Erro","")</f>
        <v/>
      </c>
    </row>
    <row r="2030" spans="1:9" ht="40" hidden="1">
      <c r="A2030" s="345">
        <v>2420</v>
      </c>
      <c r="B2030" s="346" t="s">
        <v>248</v>
      </c>
      <c r="C2030" s="347">
        <v>846</v>
      </c>
      <c r="D2030" s="348">
        <v>45931</v>
      </c>
      <c r="E2030" s="348">
        <v>46082</v>
      </c>
      <c r="F2030" s="346" t="s">
        <v>611</v>
      </c>
      <c r="G2030" s="349" t="s">
        <v>440</v>
      </c>
      <c r="H2030" s="350">
        <f t="shared" si="41"/>
        <v>5076</v>
      </c>
      <c r="I2030" s="120" t="str">
        <f>IF(OR(D2030&lt;Capa!$A$5,D2030&gt;Capa!$A$7,E2030&lt;Capa!$A$5,E2030&gt;Capa!$A$7,D2030&gt;E2030),"Erro","")</f>
        <v/>
      </c>
    </row>
    <row r="2031" spans="1:9" ht="40" hidden="1">
      <c r="A2031" s="345">
        <v>2421</v>
      </c>
      <c r="B2031" s="346" t="s">
        <v>248</v>
      </c>
      <c r="C2031" s="347">
        <v>846</v>
      </c>
      <c r="D2031" s="348">
        <v>45962</v>
      </c>
      <c r="E2031" s="348">
        <v>46054</v>
      </c>
      <c r="F2031" s="346" t="s">
        <v>611</v>
      </c>
      <c r="G2031" s="349" t="s">
        <v>440</v>
      </c>
      <c r="H2031" s="350">
        <f t="shared" si="41"/>
        <v>3384</v>
      </c>
      <c r="I2031" s="120" t="str">
        <f>IF(OR(D2031&lt;Capa!$A$5,D2031&gt;Capa!$A$7,E2031&lt;Capa!$A$5,E2031&gt;Capa!$A$7,D2031&gt;E2031),"Erro","")</f>
        <v/>
      </c>
    </row>
    <row r="2032" spans="1:9" ht="40" hidden="1">
      <c r="A2032" s="345">
        <v>2422</v>
      </c>
      <c r="B2032" s="346" t="s">
        <v>248</v>
      </c>
      <c r="C2032" s="347">
        <v>846</v>
      </c>
      <c r="D2032" s="348">
        <v>45962</v>
      </c>
      <c r="E2032" s="348">
        <v>46054</v>
      </c>
      <c r="F2032" s="346" t="s">
        <v>611</v>
      </c>
      <c r="G2032" s="349" t="s">
        <v>440</v>
      </c>
      <c r="H2032" s="350">
        <f t="shared" si="41"/>
        <v>3384</v>
      </c>
      <c r="I2032" s="120" t="str">
        <f>IF(OR(D2032&lt;Capa!$A$5,D2032&gt;Capa!$A$7,E2032&lt;Capa!$A$5,E2032&gt;Capa!$A$7,D2032&gt;E2032),"Erro","")</f>
        <v/>
      </c>
    </row>
    <row r="2033" spans="1:9" ht="40" hidden="1">
      <c r="A2033" s="345">
        <v>2423</v>
      </c>
      <c r="B2033" s="346" t="s">
        <v>248</v>
      </c>
      <c r="C2033" s="347">
        <v>500</v>
      </c>
      <c r="D2033" s="348">
        <v>46327</v>
      </c>
      <c r="E2033" s="348">
        <v>46419</v>
      </c>
      <c r="F2033" s="346" t="s">
        <v>611</v>
      </c>
      <c r="G2033" s="349" t="s">
        <v>440</v>
      </c>
      <c r="H2033" s="350">
        <f t="shared" si="41"/>
        <v>2000</v>
      </c>
      <c r="I2033" s="120" t="str">
        <f>IF(OR(D2033&lt;Capa!$A$5,D2033&gt;Capa!$A$7,E2033&lt;Capa!$A$5,E2033&gt;Capa!$A$7,D2033&gt;E2033),"Erro","")</f>
        <v/>
      </c>
    </row>
    <row r="2034" spans="1:9" ht="40" hidden="1">
      <c r="A2034" s="345">
        <v>2424</v>
      </c>
      <c r="B2034" s="346" t="s">
        <v>248</v>
      </c>
      <c r="C2034" s="347">
        <v>846</v>
      </c>
      <c r="D2034" s="348">
        <v>46692</v>
      </c>
      <c r="E2034" s="348">
        <v>46784</v>
      </c>
      <c r="F2034" s="346" t="s">
        <v>611</v>
      </c>
      <c r="G2034" s="349" t="s">
        <v>440</v>
      </c>
      <c r="H2034" s="350">
        <f t="shared" si="41"/>
        <v>3384</v>
      </c>
      <c r="I2034" s="120" t="str">
        <f>IF(OR(D2034&lt;Capa!$A$5,D2034&gt;Capa!$A$7,E2034&lt;Capa!$A$5,E2034&gt;Capa!$A$7,D2034&gt;E2034),"Erro","")</f>
        <v/>
      </c>
    </row>
    <row r="2035" spans="1:9" ht="30" hidden="1">
      <c r="A2035" s="345">
        <v>2425</v>
      </c>
      <c r="B2035" s="346" t="s">
        <v>266</v>
      </c>
      <c r="C2035" s="347">
        <v>846</v>
      </c>
      <c r="D2035" s="348">
        <v>45931</v>
      </c>
      <c r="E2035" s="348">
        <v>45931</v>
      </c>
      <c r="F2035" s="346" t="s">
        <v>611</v>
      </c>
      <c r="G2035" s="349" t="s">
        <v>441</v>
      </c>
      <c r="H2035" s="350">
        <f t="shared" si="41"/>
        <v>846</v>
      </c>
      <c r="I2035" s="120" t="str">
        <f>IF(OR(D2035&lt;Capa!$A$5,D2035&gt;Capa!$A$7,E2035&lt;Capa!$A$5,E2035&gt;Capa!$A$7,D2035&gt;E2035),"Erro","")</f>
        <v/>
      </c>
    </row>
    <row r="2036" spans="1:9" ht="30" hidden="1">
      <c r="A2036" s="345">
        <v>2426</v>
      </c>
      <c r="B2036" s="346" t="s">
        <v>266</v>
      </c>
      <c r="C2036" s="347">
        <v>846</v>
      </c>
      <c r="D2036" s="348">
        <v>46023</v>
      </c>
      <c r="E2036" s="348">
        <v>46023</v>
      </c>
      <c r="F2036" s="346" t="s">
        <v>611</v>
      </c>
      <c r="G2036" s="349" t="s">
        <v>441</v>
      </c>
      <c r="H2036" s="350">
        <f t="shared" si="41"/>
        <v>846</v>
      </c>
      <c r="I2036" s="120" t="str">
        <f>IF(OR(D2036&lt;Capa!$A$5,D2036&gt;Capa!$A$7,E2036&lt;Capa!$A$5,E2036&gt;Capa!$A$7,D2036&gt;E2036),"Erro","")</f>
        <v/>
      </c>
    </row>
    <row r="2037" spans="1:9" ht="30" hidden="1">
      <c r="A2037" s="345">
        <v>2427</v>
      </c>
      <c r="B2037" s="346" t="s">
        <v>266</v>
      </c>
      <c r="C2037" s="347">
        <v>500</v>
      </c>
      <c r="D2037" s="348">
        <v>46388</v>
      </c>
      <c r="E2037" s="348">
        <v>46388</v>
      </c>
      <c r="F2037" s="346" t="s">
        <v>611</v>
      </c>
      <c r="G2037" s="349" t="s">
        <v>441</v>
      </c>
      <c r="H2037" s="350">
        <f t="shared" si="41"/>
        <v>500</v>
      </c>
      <c r="I2037" s="120" t="str">
        <f>IF(OR(D2037&lt;Capa!$A$5,D2037&gt;Capa!$A$7,E2037&lt;Capa!$A$5,E2037&gt;Capa!$A$7,D2037&gt;E2037),"Erro","")</f>
        <v/>
      </c>
    </row>
    <row r="2038" spans="1:9" ht="30" hidden="1">
      <c r="A2038" s="345">
        <v>2428</v>
      </c>
      <c r="B2038" s="346" t="s">
        <v>266</v>
      </c>
      <c r="C2038" s="347">
        <v>750</v>
      </c>
      <c r="D2038" s="348">
        <v>46753</v>
      </c>
      <c r="E2038" s="348">
        <v>46753</v>
      </c>
      <c r="F2038" s="346" t="s">
        <v>611</v>
      </c>
      <c r="G2038" s="349" t="s">
        <v>441</v>
      </c>
      <c r="H2038" s="350">
        <f t="shared" si="41"/>
        <v>750</v>
      </c>
      <c r="I2038" s="120" t="str">
        <f>IF(OR(D2038&lt;Capa!$A$5,D2038&gt;Capa!$A$7,E2038&lt;Capa!$A$5,E2038&gt;Capa!$A$7,D2038&gt;E2038),"Erro","")</f>
        <v/>
      </c>
    </row>
    <row r="2039" spans="1:9" hidden="1">
      <c r="A2039" s="345">
        <v>2429</v>
      </c>
      <c r="B2039" s="346" t="s">
        <v>274</v>
      </c>
      <c r="C2039" s="347">
        <v>850</v>
      </c>
      <c r="D2039" s="348">
        <v>45931</v>
      </c>
      <c r="E2039" s="348">
        <v>45992</v>
      </c>
      <c r="F2039" s="346" t="s">
        <v>611</v>
      </c>
      <c r="G2039" s="349" t="s">
        <v>442</v>
      </c>
      <c r="H2039" s="350">
        <f t="shared" si="41"/>
        <v>2550</v>
      </c>
      <c r="I2039" s="120" t="str">
        <f>IF(OR(D2039&lt;Capa!$A$5,D2039&gt;Capa!$A$7,E2039&lt;Capa!$A$5,E2039&gt;Capa!$A$7,D2039&gt;E2039),"Erro","")</f>
        <v/>
      </c>
    </row>
    <row r="2040" spans="1:9" hidden="1">
      <c r="A2040" s="345">
        <v>2430</v>
      </c>
      <c r="B2040" s="346" t="s">
        <v>274</v>
      </c>
      <c r="C2040" s="347">
        <v>850</v>
      </c>
      <c r="D2040" s="348">
        <v>46023</v>
      </c>
      <c r="E2040" s="348">
        <v>46357</v>
      </c>
      <c r="F2040" s="346" t="s">
        <v>611</v>
      </c>
      <c r="G2040" s="349" t="s">
        <v>442</v>
      </c>
      <c r="H2040" s="350">
        <f t="shared" si="41"/>
        <v>10200</v>
      </c>
      <c r="I2040" s="120" t="str">
        <f>IF(OR(D2040&lt;Capa!$A$5,D2040&gt;Capa!$A$7,E2040&lt;Capa!$A$5,E2040&gt;Capa!$A$7,D2040&gt;E2040),"Erro","")</f>
        <v/>
      </c>
    </row>
    <row r="2041" spans="1:9" hidden="1">
      <c r="A2041" s="345">
        <v>2431</v>
      </c>
      <c r="B2041" s="346" t="s">
        <v>274</v>
      </c>
      <c r="C2041" s="347">
        <v>850</v>
      </c>
      <c r="D2041" s="348">
        <v>46388</v>
      </c>
      <c r="E2041" s="348">
        <v>46722</v>
      </c>
      <c r="F2041" s="346" t="s">
        <v>611</v>
      </c>
      <c r="G2041" s="349" t="s">
        <v>442</v>
      </c>
      <c r="H2041" s="350">
        <f t="shared" si="41"/>
        <v>10200</v>
      </c>
      <c r="I2041" s="120" t="str">
        <f>IF(OR(D2041&lt;Capa!$A$5,D2041&gt;Capa!$A$7,E2041&lt;Capa!$A$5,E2041&gt;Capa!$A$7,D2041&gt;E2041),"Erro","")</f>
        <v/>
      </c>
    </row>
    <row r="2042" spans="1:9" hidden="1">
      <c r="A2042" s="345">
        <v>2432</v>
      </c>
      <c r="B2042" s="346" t="s">
        <v>274</v>
      </c>
      <c r="C2042" s="347">
        <v>450</v>
      </c>
      <c r="D2042" s="348">
        <v>46753</v>
      </c>
      <c r="E2042" s="348">
        <v>47058</v>
      </c>
      <c r="F2042" s="346" t="s">
        <v>611</v>
      </c>
      <c r="G2042" s="349" t="s">
        <v>442</v>
      </c>
      <c r="H2042" s="350">
        <f t="shared" si="41"/>
        <v>4950</v>
      </c>
      <c r="I2042" s="120" t="str">
        <f>IF(OR(D2042&lt;Capa!$A$5,D2042&gt;Capa!$A$7,E2042&lt;Capa!$A$5,E2042&gt;Capa!$A$7,D2042&gt;E2042),"Erro","")</f>
        <v/>
      </c>
    </row>
    <row r="2043" spans="1:9" ht="40" hidden="1">
      <c r="A2043" s="345">
        <v>2433</v>
      </c>
      <c r="B2043" s="346" t="s">
        <v>236</v>
      </c>
      <c r="C2043" s="347">
        <v>450</v>
      </c>
      <c r="D2043" s="348">
        <v>45931</v>
      </c>
      <c r="E2043" s="348">
        <v>45992</v>
      </c>
      <c r="F2043" s="346" t="s">
        <v>611</v>
      </c>
      <c r="G2043" s="349" t="s">
        <v>443</v>
      </c>
      <c r="H2043" s="350">
        <f t="shared" ref="H2043:H2094" si="42">IFERROR((DATEDIF(D2043,E2043,"M")+1)*C2043,0)</f>
        <v>1350</v>
      </c>
      <c r="I2043" s="120" t="str">
        <f>IF(OR(D2043&lt;Capa!$A$5,D2043&gt;Capa!$A$7,E2043&lt;Capa!$A$5,E2043&gt;Capa!$A$7,D2043&gt;E2043),"Erro","")</f>
        <v/>
      </c>
    </row>
    <row r="2044" spans="1:9" ht="40" hidden="1">
      <c r="A2044" s="345">
        <v>2434</v>
      </c>
      <c r="B2044" s="346" t="s">
        <v>236</v>
      </c>
      <c r="C2044" s="347">
        <v>450</v>
      </c>
      <c r="D2044" s="348">
        <v>46023</v>
      </c>
      <c r="E2044" s="348">
        <v>46357</v>
      </c>
      <c r="F2044" s="346" t="s">
        <v>611</v>
      </c>
      <c r="G2044" s="349" t="s">
        <v>443</v>
      </c>
      <c r="H2044" s="350">
        <f t="shared" si="42"/>
        <v>5400</v>
      </c>
      <c r="I2044" s="120" t="str">
        <f>IF(OR(D2044&lt;Capa!$A$5,D2044&gt;Capa!$A$7,E2044&lt;Capa!$A$5,E2044&gt;Capa!$A$7,D2044&gt;E2044),"Erro","")</f>
        <v/>
      </c>
    </row>
    <row r="2045" spans="1:9" ht="40" hidden="1">
      <c r="A2045" s="345">
        <v>2435</v>
      </c>
      <c r="B2045" s="346" t="s">
        <v>236</v>
      </c>
      <c r="C2045" s="347">
        <v>450</v>
      </c>
      <c r="D2045" s="348">
        <v>46388</v>
      </c>
      <c r="E2045" s="348">
        <v>46722</v>
      </c>
      <c r="F2045" s="346" t="s">
        <v>611</v>
      </c>
      <c r="G2045" s="349" t="s">
        <v>443</v>
      </c>
      <c r="H2045" s="350">
        <f t="shared" si="42"/>
        <v>5400</v>
      </c>
      <c r="I2045" s="120" t="str">
        <f>IF(OR(D2045&lt;Capa!$A$5,D2045&gt;Capa!$A$7,E2045&lt;Capa!$A$5,E2045&gt;Capa!$A$7,D2045&gt;E2045),"Erro","")</f>
        <v/>
      </c>
    </row>
    <row r="2046" spans="1:9" ht="40" hidden="1">
      <c r="A2046" s="345">
        <v>2436</v>
      </c>
      <c r="B2046" s="346" t="s">
        <v>236</v>
      </c>
      <c r="C2046" s="347">
        <v>200</v>
      </c>
      <c r="D2046" s="348">
        <v>46753</v>
      </c>
      <c r="E2046" s="348">
        <v>47058</v>
      </c>
      <c r="F2046" s="346" t="s">
        <v>611</v>
      </c>
      <c r="G2046" s="349" t="s">
        <v>443</v>
      </c>
      <c r="H2046" s="350">
        <f t="shared" si="42"/>
        <v>2200</v>
      </c>
      <c r="I2046" s="120" t="str">
        <f>IF(OR(D2046&lt;Capa!$A$5,D2046&gt;Capa!$A$7,E2046&lt;Capa!$A$5,E2046&gt;Capa!$A$7,D2046&gt;E2046),"Erro","")</f>
        <v/>
      </c>
    </row>
    <row r="2047" spans="1:9" ht="30" hidden="1">
      <c r="A2047" s="345">
        <v>2437</v>
      </c>
      <c r="B2047" s="346" t="s">
        <v>240</v>
      </c>
      <c r="C2047" s="347">
        <v>50</v>
      </c>
      <c r="D2047" s="348">
        <v>45931</v>
      </c>
      <c r="E2047" s="348">
        <v>45992</v>
      </c>
      <c r="F2047" s="346" t="s">
        <v>611</v>
      </c>
      <c r="G2047" s="349" t="s">
        <v>444</v>
      </c>
      <c r="H2047" s="350">
        <f t="shared" si="42"/>
        <v>150</v>
      </c>
      <c r="I2047" s="120" t="str">
        <f>IF(OR(D2047&lt;Capa!$A$5,D2047&gt;Capa!$A$7,E2047&lt;Capa!$A$5,E2047&gt;Capa!$A$7,D2047&gt;E2047),"Erro","")</f>
        <v/>
      </c>
    </row>
    <row r="2048" spans="1:9" ht="30" hidden="1">
      <c r="A2048" s="345">
        <v>2438</v>
      </c>
      <c r="B2048" s="346" t="s">
        <v>240</v>
      </c>
      <c r="C2048" s="347">
        <v>50</v>
      </c>
      <c r="D2048" s="348">
        <v>46023</v>
      </c>
      <c r="E2048" s="348">
        <v>46357</v>
      </c>
      <c r="F2048" s="346" t="s">
        <v>611</v>
      </c>
      <c r="G2048" s="349" t="s">
        <v>444</v>
      </c>
      <c r="H2048" s="350">
        <f t="shared" si="42"/>
        <v>600</v>
      </c>
      <c r="I2048" s="120" t="str">
        <f>IF(OR(D2048&lt;Capa!$A$5,D2048&gt;Capa!$A$7,E2048&lt;Capa!$A$5,E2048&gt;Capa!$A$7,D2048&gt;E2048),"Erro","")</f>
        <v/>
      </c>
    </row>
    <row r="2049" spans="1:9" ht="30" hidden="1">
      <c r="A2049" s="345">
        <v>2439</v>
      </c>
      <c r="B2049" s="346" t="s">
        <v>240</v>
      </c>
      <c r="C2049" s="347">
        <v>50</v>
      </c>
      <c r="D2049" s="348">
        <v>46388</v>
      </c>
      <c r="E2049" s="348">
        <v>46722</v>
      </c>
      <c r="F2049" s="346" t="s">
        <v>611</v>
      </c>
      <c r="G2049" s="349" t="s">
        <v>444</v>
      </c>
      <c r="H2049" s="350">
        <f t="shared" si="42"/>
        <v>600</v>
      </c>
      <c r="I2049" s="120" t="str">
        <f>IF(OR(D2049&lt;Capa!$A$5,D2049&gt;Capa!$A$7,E2049&lt;Capa!$A$5,E2049&gt;Capa!$A$7,D2049&gt;E2049),"Erro","")</f>
        <v/>
      </c>
    </row>
    <row r="2050" spans="1:9" ht="30" hidden="1">
      <c r="A2050" s="345">
        <v>2440</v>
      </c>
      <c r="B2050" s="346" t="s">
        <v>240</v>
      </c>
      <c r="C2050" s="347">
        <v>25</v>
      </c>
      <c r="D2050" s="348">
        <v>46753</v>
      </c>
      <c r="E2050" s="348">
        <v>47058</v>
      </c>
      <c r="F2050" s="346" t="s">
        <v>611</v>
      </c>
      <c r="G2050" s="349" t="s">
        <v>444</v>
      </c>
      <c r="H2050" s="350">
        <f t="shared" si="42"/>
        <v>275</v>
      </c>
      <c r="I2050" s="120" t="str">
        <f>IF(OR(D2050&lt;Capa!$A$5,D2050&gt;Capa!$A$7,E2050&lt;Capa!$A$5,E2050&gt;Capa!$A$7,D2050&gt;E2050),"Erro","")</f>
        <v/>
      </c>
    </row>
    <row r="2051" spans="1:9" ht="30" hidden="1">
      <c r="A2051" s="345">
        <v>2441</v>
      </c>
      <c r="B2051" s="346" t="s">
        <v>244</v>
      </c>
      <c r="C2051" s="347">
        <v>250</v>
      </c>
      <c r="D2051" s="348">
        <v>45931</v>
      </c>
      <c r="E2051" s="348">
        <v>45992</v>
      </c>
      <c r="F2051" s="346" t="s">
        <v>611</v>
      </c>
      <c r="G2051" s="349" t="s">
        <v>445</v>
      </c>
      <c r="H2051" s="350">
        <f t="shared" si="42"/>
        <v>750</v>
      </c>
      <c r="I2051" s="120" t="str">
        <f>IF(OR(D2051&lt;Capa!$A$5,D2051&gt;Capa!$A$7,E2051&lt;Capa!$A$5,E2051&gt;Capa!$A$7,D2051&gt;E2051),"Erro","")</f>
        <v/>
      </c>
    </row>
    <row r="2052" spans="1:9" ht="30" hidden="1">
      <c r="A2052" s="345">
        <v>2442</v>
      </c>
      <c r="B2052" s="346" t="s">
        <v>244</v>
      </c>
      <c r="C2052" s="347">
        <v>250</v>
      </c>
      <c r="D2052" s="348">
        <v>46023</v>
      </c>
      <c r="E2052" s="348">
        <v>46357</v>
      </c>
      <c r="F2052" s="346" t="s">
        <v>611</v>
      </c>
      <c r="G2052" s="349" t="s">
        <v>445</v>
      </c>
      <c r="H2052" s="350">
        <f t="shared" si="42"/>
        <v>3000</v>
      </c>
      <c r="I2052" s="120" t="str">
        <f>IF(OR(D2052&lt;Capa!$A$5,D2052&gt;Capa!$A$7,E2052&lt;Capa!$A$5,E2052&gt;Capa!$A$7,D2052&gt;E2052),"Erro","")</f>
        <v/>
      </c>
    </row>
    <row r="2053" spans="1:9" ht="30" hidden="1">
      <c r="A2053" s="345">
        <v>2443</v>
      </c>
      <c r="B2053" s="346" t="s">
        <v>244</v>
      </c>
      <c r="C2053" s="347">
        <v>250</v>
      </c>
      <c r="D2053" s="348">
        <v>46388</v>
      </c>
      <c r="E2053" s="348">
        <v>46722</v>
      </c>
      <c r="F2053" s="346" t="s">
        <v>611</v>
      </c>
      <c r="G2053" s="349" t="s">
        <v>445</v>
      </c>
      <c r="H2053" s="350">
        <f t="shared" si="42"/>
        <v>3000</v>
      </c>
      <c r="I2053" s="120" t="str">
        <f>IF(OR(D2053&lt;Capa!$A$5,D2053&gt;Capa!$A$7,E2053&lt;Capa!$A$5,E2053&gt;Capa!$A$7,D2053&gt;E2053),"Erro","")</f>
        <v/>
      </c>
    </row>
    <row r="2054" spans="1:9" ht="30" hidden="1">
      <c r="A2054" s="345">
        <v>2444</v>
      </c>
      <c r="B2054" s="346" t="s">
        <v>244</v>
      </c>
      <c r="C2054" s="347">
        <v>125</v>
      </c>
      <c r="D2054" s="348">
        <v>46753</v>
      </c>
      <c r="E2054" s="348">
        <v>47058</v>
      </c>
      <c r="F2054" s="346" t="s">
        <v>611</v>
      </c>
      <c r="G2054" s="349" t="s">
        <v>445</v>
      </c>
      <c r="H2054" s="350">
        <f t="shared" si="42"/>
        <v>1375</v>
      </c>
      <c r="I2054" s="120" t="str">
        <f>IF(OR(D2054&lt;Capa!$A$5,D2054&gt;Capa!$A$7,E2054&lt;Capa!$A$5,E2054&gt;Capa!$A$7,D2054&gt;E2054),"Erro","")</f>
        <v/>
      </c>
    </row>
    <row r="2055" spans="1:9" ht="20" hidden="1">
      <c r="A2055" s="345">
        <v>2445</v>
      </c>
      <c r="B2055" s="346" t="s">
        <v>246</v>
      </c>
      <c r="C2055" s="347">
        <v>390</v>
      </c>
      <c r="D2055" s="348">
        <v>45931</v>
      </c>
      <c r="E2055" s="348">
        <v>45992</v>
      </c>
      <c r="F2055" s="346" t="s">
        <v>611</v>
      </c>
      <c r="G2055" s="349" t="s">
        <v>446</v>
      </c>
      <c r="H2055" s="350">
        <f t="shared" si="42"/>
        <v>1170</v>
      </c>
      <c r="I2055" s="120" t="str">
        <f>IF(OR(D2055&lt;Capa!$A$5,D2055&gt;Capa!$A$7,E2055&lt;Capa!$A$5,E2055&gt;Capa!$A$7,D2055&gt;E2055),"Erro","")</f>
        <v/>
      </c>
    </row>
    <row r="2056" spans="1:9" ht="20" hidden="1">
      <c r="A2056" s="345">
        <v>2446</v>
      </c>
      <c r="B2056" s="346" t="s">
        <v>246</v>
      </c>
      <c r="C2056" s="347">
        <v>390</v>
      </c>
      <c r="D2056" s="348">
        <v>46023</v>
      </c>
      <c r="E2056" s="348">
        <v>46357</v>
      </c>
      <c r="F2056" s="346" t="s">
        <v>611</v>
      </c>
      <c r="G2056" s="349" t="s">
        <v>446</v>
      </c>
      <c r="H2056" s="350">
        <f t="shared" si="42"/>
        <v>4680</v>
      </c>
      <c r="I2056" s="120" t="str">
        <f>IF(OR(D2056&lt;Capa!$A$5,D2056&gt;Capa!$A$7,E2056&lt;Capa!$A$5,E2056&gt;Capa!$A$7,D2056&gt;E2056),"Erro","")</f>
        <v/>
      </c>
    </row>
    <row r="2057" spans="1:9" ht="20" hidden="1">
      <c r="A2057" s="345">
        <v>2447</v>
      </c>
      <c r="B2057" s="346" t="s">
        <v>246</v>
      </c>
      <c r="C2057" s="347">
        <v>390</v>
      </c>
      <c r="D2057" s="348">
        <v>46388</v>
      </c>
      <c r="E2057" s="348">
        <v>46722</v>
      </c>
      <c r="F2057" s="346" t="s">
        <v>611</v>
      </c>
      <c r="G2057" s="349" t="s">
        <v>446</v>
      </c>
      <c r="H2057" s="350">
        <f t="shared" si="42"/>
        <v>4680</v>
      </c>
      <c r="I2057" s="120" t="str">
        <f>IF(OR(D2057&lt;Capa!$A$5,D2057&gt;Capa!$A$7,E2057&lt;Capa!$A$5,E2057&gt;Capa!$A$7,D2057&gt;E2057),"Erro","")</f>
        <v/>
      </c>
    </row>
    <row r="2058" spans="1:9" ht="20" hidden="1">
      <c r="A2058" s="345">
        <v>2448</v>
      </c>
      <c r="B2058" s="346" t="s">
        <v>246</v>
      </c>
      <c r="C2058" s="347">
        <v>190</v>
      </c>
      <c r="D2058" s="348">
        <v>46753</v>
      </c>
      <c r="E2058" s="348">
        <v>47058</v>
      </c>
      <c r="F2058" s="346" t="s">
        <v>611</v>
      </c>
      <c r="G2058" s="349" t="s">
        <v>446</v>
      </c>
      <c r="H2058" s="350">
        <f t="shared" si="42"/>
        <v>2090</v>
      </c>
      <c r="I2058" s="120" t="str">
        <f>IF(OR(D2058&lt;Capa!$A$5,D2058&gt;Capa!$A$7,E2058&lt;Capa!$A$5,E2058&gt;Capa!$A$7,D2058&gt;E2058),"Erro","")</f>
        <v/>
      </c>
    </row>
    <row r="2059" spans="1:9" ht="30" hidden="1">
      <c r="A2059" s="345">
        <v>2449</v>
      </c>
      <c r="B2059" s="346" t="s">
        <v>258</v>
      </c>
      <c r="C2059" s="347">
        <v>50</v>
      </c>
      <c r="D2059" s="348">
        <v>45931</v>
      </c>
      <c r="E2059" s="348">
        <v>45992</v>
      </c>
      <c r="F2059" s="346" t="s">
        <v>611</v>
      </c>
      <c r="G2059" s="349" t="s">
        <v>447</v>
      </c>
      <c r="H2059" s="350">
        <f t="shared" si="42"/>
        <v>150</v>
      </c>
      <c r="I2059" s="120" t="str">
        <f>IF(OR(D2059&lt;Capa!$A$5,D2059&gt;Capa!$A$7,E2059&lt;Capa!$A$5,E2059&gt;Capa!$A$7,D2059&gt;E2059),"Erro","")</f>
        <v/>
      </c>
    </row>
    <row r="2060" spans="1:9" ht="30" hidden="1">
      <c r="A2060" s="345">
        <v>2450</v>
      </c>
      <c r="B2060" s="346" t="s">
        <v>258</v>
      </c>
      <c r="C2060" s="347">
        <v>50</v>
      </c>
      <c r="D2060" s="348">
        <v>46023</v>
      </c>
      <c r="E2060" s="348">
        <v>46357</v>
      </c>
      <c r="F2060" s="346" t="s">
        <v>611</v>
      </c>
      <c r="G2060" s="349" t="s">
        <v>447</v>
      </c>
      <c r="H2060" s="350">
        <f t="shared" si="42"/>
        <v>600</v>
      </c>
      <c r="I2060" s="120" t="str">
        <f>IF(OR(D2060&lt;Capa!$A$5,D2060&gt;Capa!$A$7,E2060&lt;Capa!$A$5,E2060&gt;Capa!$A$7,D2060&gt;E2060),"Erro","")</f>
        <v/>
      </c>
    </row>
    <row r="2061" spans="1:9" ht="30" hidden="1">
      <c r="A2061" s="345">
        <v>2451</v>
      </c>
      <c r="B2061" s="346" t="s">
        <v>258</v>
      </c>
      <c r="C2061" s="347">
        <v>50</v>
      </c>
      <c r="D2061" s="348">
        <v>46388</v>
      </c>
      <c r="E2061" s="348">
        <v>46722</v>
      </c>
      <c r="F2061" s="346" t="s">
        <v>611</v>
      </c>
      <c r="G2061" s="349" t="s">
        <v>447</v>
      </c>
      <c r="H2061" s="350">
        <f t="shared" si="42"/>
        <v>600</v>
      </c>
      <c r="I2061" s="120" t="str">
        <f>IF(OR(D2061&lt;Capa!$A$5,D2061&gt;Capa!$A$7,E2061&lt;Capa!$A$5,E2061&gt;Capa!$A$7,D2061&gt;E2061),"Erro","")</f>
        <v/>
      </c>
    </row>
    <row r="2062" spans="1:9" ht="30" hidden="1">
      <c r="A2062" s="345">
        <v>2452</v>
      </c>
      <c r="B2062" s="346" t="s">
        <v>258</v>
      </c>
      <c r="C2062" s="347">
        <v>20</v>
      </c>
      <c r="D2062" s="348">
        <v>46753</v>
      </c>
      <c r="E2062" s="348">
        <v>47058</v>
      </c>
      <c r="F2062" s="346" t="s">
        <v>611</v>
      </c>
      <c r="G2062" s="349" t="s">
        <v>447</v>
      </c>
      <c r="H2062" s="350">
        <f t="shared" si="42"/>
        <v>220</v>
      </c>
      <c r="I2062" s="120" t="str">
        <f>IF(OR(D2062&lt;Capa!$A$5,D2062&gt;Capa!$A$7,E2062&lt;Capa!$A$5,E2062&gt;Capa!$A$7,D2062&gt;E2062),"Erro","")</f>
        <v/>
      </c>
    </row>
    <row r="2063" spans="1:9" ht="40" hidden="1">
      <c r="A2063" s="345">
        <v>2453</v>
      </c>
      <c r="B2063" s="346" t="s">
        <v>276</v>
      </c>
      <c r="C2063" s="347">
        <v>500</v>
      </c>
      <c r="D2063" s="348">
        <v>45931</v>
      </c>
      <c r="E2063" s="348">
        <v>45992</v>
      </c>
      <c r="F2063" s="346" t="s">
        <v>611</v>
      </c>
      <c r="G2063" s="349" t="s">
        <v>448</v>
      </c>
      <c r="H2063" s="350">
        <f t="shared" si="42"/>
        <v>1500</v>
      </c>
      <c r="I2063" s="120" t="str">
        <f>IF(OR(D2063&lt;Capa!$A$5,D2063&gt;Capa!$A$7,E2063&lt;Capa!$A$5,E2063&gt;Capa!$A$7,D2063&gt;E2063),"Erro","")</f>
        <v/>
      </c>
    </row>
    <row r="2064" spans="1:9" ht="40" hidden="1">
      <c r="A2064" s="345">
        <v>2454</v>
      </c>
      <c r="B2064" s="346" t="s">
        <v>276</v>
      </c>
      <c r="C2064" s="347">
        <v>500</v>
      </c>
      <c r="D2064" s="348">
        <v>46023</v>
      </c>
      <c r="E2064" s="348">
        <v>46357</v>
      </c>
      <c r="F2064" s="346" t="s">
        <v>611</v>
      </c>
      <c r="G2064" s="349" t="s">
        <v>448</v>
      </c>
      <c r="H2064" s="350">
        <f t="shared" si="42"/>
        <v>6000</v>
      </c>
      <c r="I2064" s="120" t="str">
        <f>IF(OR(D2064&lt;Capa!$A$5,D2064&gt;Capa!$A$7,E2064&lt;Capa!$A$5,E2064&gt;Capa!$A$7,D2064&gt;E2064),"Erro","")</f>
        <v/>
      </c>
    </row>
    <row r="2065" spans="1:9" ht="40" hidden="1">
      <c r="A2065" s="345">
        <v>2455</v>
      </c>
      <c r="B2065" s="346" t="s">
        <v>276</v>
      </c>
      <c r="C2065" s="347">
        <v>500</v>
      </c>
      <c r="D2065" s="348">
        <v>46388</v>
      </c>
      <c r="E2065" s="348">
        <v>46722</v>
      </c>
      <c r="F2065" s="346" t="s">
        <v>611</v>
      </c>
      <c r="G2065" s="349" t="s">
        <v>448</v>
      </c>
      <c r="H2065" s="350">
        <f t="shared" si="42"/>
        <v>6000</v>
      </c>
      <c r="I2065" s="120" t="str">
        <f>IF(OR(D2065&lt;Capa!$A$5,D2065&gt;Capa!$A$7,E2065&lt;Capa!$A$5,E2065&gt;Capa!$A$7,D2065&gt;E2065),"Erro","")</f>
        <v/>
      </c>
    </row>
    <row r="2066" spans="1:9" ht="40" hidden="1">
      <c r="A2066" s="345">
        <v>2456</v>
      </c>
      <c r="B2066" s="346" t="s">
        <v>276</v>
      </c>
      <c r="C2066" s="347">
        <v>250</v>
      </c>
      <c r="D2066" s="348">
        <v>46753</v>
      </c>
      <c r="E2066" s="348">
        <v>47058</v>
      </c>
      <c r="F2066" s="346" t="s">
        <v>611</v>
      </c>
      <c r="G2066" s="349" t="s">
        <v>448</v>
      </c>
      <c r="H2066" s="350">
        <f t="shared" si="42"/>
        <v>2750</v>
      </c>
      <c r="I2066" s="120" t="str">
        <f>IF(OR(D2066&lt;Capa!$A$5,D2066&gt;Capa!$A$7,E2066&lt;Capa!$A$5,E2066&gt;Capa!$A$7,D2066&gt;E2066),"Erro","")</f>
        <v/>
      </c>
    </row>
    <row r="2067" spans="1:9" ht="40">
      <c r="A2067" s="345">
        <v>2457</v>
      </c>
      <c r="B2067" s="346" t="s">
        <v>278</v>
      </c>
      <c r="C2067" s="347">
        <v>33000</v>
      </c>
      <c r="D2067" s="348">
        <v>45931</v>
      </c>
      <c r="E2067" s="348">
        <v>45992</v>
      </c>
      <c r="F2067" s="346" t="s">
        <v>611</v>
      </c>
      <c r="G2067" s="349" t="s">
        <v>449</v>
      </c>
      <c r="H2067" s="350">
        <f t="shared" si="42"/>
        <v>99000</v>
      </c>
      <c r="I2067" s="120" t="str">
        <f>IF(OR(D2067&lt;Capa!$A$5,D2067&gt;Capa!$A$7,E2067&lt;Capa!$A$5,E2067&gt;Capa!$A$7,D2067&gt;E2067),"Erro","")</f>
        <v/>
      </c>
    </row>
    <row r="2068" spans="1:9" ht="40">
      <c r="A2068" s="345">
        <v>2458</v>
      </c>
      <c r="B2068" s="346" t="s">
        <v>278</v>
      </c>
      <c r="C2068" s="347">
        <v>33000</v>
      </c>
      <c r="D2068" s="348">
        <v>46023</v>
      </c>
      <c r="E2068" s="348">
        <v>46357</v>
      </c>
      <c r="F2068" s="346" t="s">
        <v>611</v>
      </c>
      <c r="G2068" s="349" t="s">
        <v>449</v>
      </c>
      <c r="H2068" s="350">
        <f t="shared" si="42"/>
        <v>396000</v>
      </c>
      <c r="I2068" s="120" t="str">
        <f>IF(OR(D2068&lt;Capa!$A$5,D2068&gt;Capa!$A$7,E2068&lt;Capa!$A$5,E2068&gt;Capa!$A$7,D2068&gt;E2068),"Erro","")</f>
        <v/>
      </c>
    </row>
    <row r="2069" spans="1:9" ht="40">
      <c r="A2069" s="345">
        <v>2459</v>
      </c>
      <c r="B2069" s="346" t="s">
        <v>278</v>
      </c>
      <c r="C2069" s="347">
        <v>33000</v>
      </c>
      <c r="D2069" s="348">
        <v>46388</v>
      </c>
      <c r="E2069" s="348">
        <v>46722</v>
      </c>
      <c r="F2069" s="346" t="s">
        <v>611</v>
      </c>
      <c r="G2069" s="349" t="s">
        <v>449</v>
      </c>
      <c r="H2069" s="350">
        <f t="shared" si="42"/>
        <v>396000</v>
      </c>
      <c r="I2069" s="120" t="str">
        <f>IF(OR(D2069&lt;Capa!$A$5,D2069&gt;Capa!$A$7,E2069&lt;Capa!$A$5,E2069&gt;Capa!$A$7,D2069&gt;E2069),"Erro","")</f>
        <v/>
      </c>
    </row>
    <row r="2070" spans="1:9" ht="40">
      <c r="A2070" s="345">
        <v>2460</v>
      </c>
      <c r="B2070" s="346" t="s">
        <v>278</v>
      </c>
      <c r="C2070" s="347">
        <v>18500</v>
      </c>
      <c r="D2070" s="348">
        <v>46753</v>
      </c>
      <c r="E2070" s="348">
        <v>47058</v>
      </c>
      <c r="F2070" s="346" t="s">
        <v>611</v>
      </c>
      <c r="G2070" s="349" t="s">
        <v>449</v>
      </c>
      <c r="H2070" s="350">
        <f t="shared" si="42"/>
        <v>203500</v>
      </c>
      <c r="I2070" s="120" t="str">
        <f>IF(OR(D2070&lt;Capa!$A$5,D2070&gt;Capa!$A$7,E2070&lt;Capa!$A$5,E2070&gt;Capa!$A$7,D2070&gt;E2070),"Erro","")</f>
        <v/>
      </c>
    </row>
    <row r="2071" spans="1:9" ht="40" hidden="1">
      <c r="A2071" s="345">
        <v>2461</v>
      </c>
      <c r="B2071" s="346" t="s">
        <v>280</v>
      </c>
      <c r="C2071" s="347">
        <v>100</v>
      </c>
      <c r="D2071" s="348">
        <v>45931</v>
      </c>
      <c r="E2071" s="348">
        <v>45992</v>
      </c>
      <c r="F2071" s="346" t="s">
        <v>611</v>
      </c>
      <c r="G2071" s="349" t="s">
        <v>450</v>
      </c>
      <c r="H2071" s="350">
        <f t="shared" si="42"/>
        <v>300</v>
      </c>
      <c r="I2071" s="120" t="str">
        <f>IF(OR(D2071&lt;Capa!$A$5,D2071&gt;Capa!$A$7,E2071&lt;Capa!$A$5,E2071&gt;Capa!$A$7,D2071&gt;E2071),"Erro","")</f>
        <v/>
      </c>
    </row>
    <row r="2072" spans="1:9" ht="40" hidden="1">
      <c r="A2072" s="345">
        <v>2462</v>
      </c>
      <c r="B2072" s="346" t="s">
        <v>280</v>
      </c>
      <c r="C2072" s="347">
        <v>100</v>
      </c>
      <c r="D2072" s="348">
        <v>46023</v>
      </c>
      <c r="E2072" s="348">
        <v>46357</v>
      </c>
      <c r="F2072" s="346" t="s">
        <v>611</v>
      </c>
      <c r="G2072" s="349" t="s">
        <v>450</v>
      </c>
      <c r="H2072" s="350">
        <f t="shared" si="42"/>
        <v>1200</v>
      </c>
      <c r="I2072" s="120" t="str">
        <f>IF(OR(D2072&lt;Capa!$A$5,D2072&gt;Capa!$A$7,E2072&lt;Capa!$A$5,E2072&gt;Capa!$A$7,D2072&gt;E2072),"Erro","")</f>
        <v/>
      </c>
    </row>
    <row r="2073" spans="1:9" ht="40" hidden="1">
      <c r="A2073" s="345">
        <v>2463</v>
      </c>
      <c r="B2073" s="346" t="s">
        <v>280</v>
      </c>
      <c r="C2073" s="347">
        <v>100</v>
      </c>
      <c r="D2073" s="348">
        <v>46388</v>
      </c>
      <c r="E2073" s="348">
        <v>46722</v>
      </c>
      <c r="F2073" s="346" t="s">
        <v>611</v>
      </c>
      <c r="G2073" s="349" t="s">
        <v>450</v>
      </c>
      <c r="H2073" s="350">
        <f t="shared" si="42"/>
        <v>1200</v>
      </c>
      <c r="I2073" s="120" t="str">
        <f>IF(OR(D2073&lt;Capa!$A$5,D2073&gt;Capa!$A$7,E2073&lt;Capa!$A$5,E2073&gt;Capa!$A$7,D2073&gt;E2073),"Erro","")</f>
        <v/>
      </c>
    </row>
    <row r="2074" spans="1:9" ht="40" hidden="1">
      <c r="A2074" s="345">
        <v>2464</v>
      </c>
      <c r="B2074" s="346" t="s">
        <v>280</v>
      </c>
      <c r="C2074" s="347">
        <v>50</v>
      </c>
      <c r="D2074" s="348">
        <v>46753</v>
      </c>
      <c r="E2074" s="348">
        <v>47058</v>
      </c>
      <c r="F2074" s="346" t="s">
        <v>611</v>
      </c>
      <c r="G2074" s="349" t="s">
        <v>450</v>
      </c>
      <c r="H2074" s="350">
        <f t="shared" si="42"/>
        <v>550</v>
      </c>
      <c r="I2074" s="120" t="str">
        <f>IF(OR(D2074&lt;Capa!$A$5,D2074&gt;Capa!$A$7,E2074&lt;Capa!$A$5,E2074&gt;Capa!$A$7,D2074&gt;E2074),"Erro","")</f>
        <v/>
      </c>
    </row>
    <row r="2075" spans="1:9" ht="40" hidden="1">
      <c r="A2075" s="345">
        <v>2465</v>
      </c>
      <c r="B2075" s="346" t="s">
        <v>282</v>
      </c>
      <c r="C2075" s="347">
        <v>450</v>
      </c>
      <c r="D2075" s="348">
        <v>45931</v>
      </c>
      <c r="E2075" s="348">
        <v>45992</v>
      </c>
      <c r="F2075" s="346" t="s">
        <v>611</v>
      </c>
      <c r="G2075" s="349" t="s">
        <v>451</v>
      </c>
      <c r="H2075" s="350">
        <f t="shared" si="42"/>
        <v>1350</v>
      </c>
      <c r="I2075" s="120" t="str">
        <f>IF(OR(D2075&lt;Capa!$A$5,D2075&gt;Capa!$A$7,E2075&lt;Capa!$A$5,E2075&gt;Capa!$A$7,D2075&gt;E2075),"Erro","")</f>
        <v/>
      </c>
    </row>
    <row r="2076" spans="1:9" ht="40" hidden="1">
      <c r="A2076" s="345">
        <v>2466</v>
      </c>
      <c r="B2076" s="346" t="s">
        <v>282</v>
      </c>
      <c r="C2076" s="347">
        <v>450</v>
      </c>
      <c r="D2076" s="348">
        <v>46023</v>
      </c>
      <c r="E2076" s="348">
        <v>46357</v>
      </c>
      <c r="F2076" s="346" t="s">
        <v>611</v>
      </c>
      <c r="G2076" s="349" t="s">
        <v>451</v>
      </c>
      <c r="H2076" s="350">
        <f t="shared" si="42"/>
        <v>5400</v>
      </c>
      <c r="I2076" s="120" t="str">
        <f>IF(OR(D2076&lt;Capa!$A$5,D2076&gt;Capa!$A$7,E2076&lt;Capa!$A$5,E2076&gt;Capa!$A$7,D2076&gt;E2076),"Erro","")</f>
        <v/>
      </c>
    </row>
    <row r="2077" spans="1:9" ht="40" hidden="1">
      <c r="A2077" s="345">
        <v>2467</v>
      </c>
      <c r="B2077" s="346" t="s">
        <v>282</v>
      </c>
      <c r="C2077" s="347">
        <v>450</v>
      </c>
      <c r="D2077" s="348">
        <v>46388</v>
      </c>
      <c r="E2077" s="348">
        <v>46722</v>
      </c>
      <c r="F2077" s="346" t="s">
        <v>611</v>
      </c>
      <c r="G2077" s="349" t="s">
        <v>451</v>
      </c>
      <c r="H2077" s="350">
        <f t="shared" si="42"/>
        <v>5400</v>
      </c>
      <c r="I2077" s="120" t="str">
        <f>IF(OR(D2077&lt;Capa!$A$5,D2077&gt;Capa!$A$7,E2077&lt;Capa!$A$5,E2077&gt;Capa!$A$7,D2077&gt;E2077),"Erro","")</f>
        <v/>
      </c>
    </row>
    <row r="2078" spans="1:9" ht="40" hidden="1">
      <c r="A2078" s="345">
        <v>2468</v>
      </c>
      <c r="B2078" s="346" t="s">
        <v>282</v>
      </c>
      <c r="C2078" s="347">
        <v>200</v>
      </c>
      <c r="D2078" s="348">
        <v>46753</v>
      </c>
      <c r="E2078" s="348">
        <v>47058</v>
      </c>
      <c r="F2078" s="346" t="s">
        <v>611</v>
      </c>
      <c r="G2078" s="349" t="s">
        <v>451</v>
      </c>
      <c r="H2078" s="350">
        <f t="shared" si="42"/>
        <v>2200</v>
      </c>
      <c r="I2078" s="120" t="str">
        <f>IF(OR(D2078&lt;Capa!$A$5,D2078&gt;Capa!$A$7,E2078&lt;Capa!$A$5,E2078&gt;Capa!$A$7,D2078&gt;E2078),"Erro","")</f>
        <v/>
      </c>
    </row>
    <row r="2079" spans="1:9" ht="40" hidden="1">
      <c r="A2079" s="345">
        <v>2469</v>
      </c>
      <c r="B2079" s="346" t="s">
        <v>284</v>
      </c>
      <c r="C2079" s="347">
        <v>950</v>
      </c>
      <c r="D2079" s="348">
        <v>45931</v>
      </c>
      <c r="E2079" s="348">
        <v>45992</v>
      </c>
      <c r="F2079" s="346" t="s">
        <v>611</v>
      </c>
      <c r="G2079" s="349" t="s">
        <v>451</v>
      </c>
      <c r="H2079" s="350">
        <f t="shared" si="42"/>
        <v>2850</v>
      </c>
      <c r="I2079" s="120" t="str">
        <f>IF(OR(D2079&lt;Capa!$A$5,D2079&gt;Capa!$A$7,E2079&lt;Capa!$A$5,E2079&gt;Capa!$A$7,D2079&gt;E2079),"Erro","")</f>
        <v/>
      </c>
    </row>
    <row r="2080" spans="1:9" ht="40" hidden="1">
      <c r="A2080" s="345">
        <v>2470</v>
      </c>
      <c r="B2080" s="346" t="s">
        <v>284</v>
      </c>
      <c r="C2080" s="347">
        <v>950</v>
      </c>
      <c r="D2080" s="348">
        <v>46023</v>
      </c>
      <c r="E2080" s="348">
        <v>46357</v>
      </c>
      <c r="F2080" s="346" t="s">
        <v>611</v>
      </c>
      <c r="G2080" s="349" t="s">
        <v>451</v>
      </c>
      <c r="H2080" s="350">
        <f t="shared" si="42"/>
        <v>11400</v>
      </c>
      <c r="I2080" s="120" t="str">
        <f>IF(OR(D2080&lt;Capa!$A$5,D2080&gt;Capa!$A$7,E2080&lt;Capa!$A$5,E2080&gt;Capa!$A$7,D2080&gt;E2080),"Erro","")</f>
        <v/>
      </c>
    </row>
    <row r="2081" spans="1:9" ht="40" hidden="1">
      <c r="A2081" s="345">
        <v>2471</v>
      </c>
      <c r="B2081" s="346" t="s">
        <v>284</v>
      </c>
      <c r="C2081" s="347">
        <v>950</v>
      </c>
      <c r="D2081" s="348">
        <v>46388</v>
      </c>
      <c r="E2081" s="348">
        <v>46722</v>
      </c>
      <c r="F2081" s="346" t="s">
        <v>611</v>
      </c>
      <c r="G2081" s="349" t="s">
        <v>451</v>
      </c>
      <c r="H2081" s="350">
        <f t="shared" si="42"/>
        <v>11400</v>
      </c>
      <c r="I2081" s="120" t="str">
        <f>IF(OR(D2081&lt;Capa!$A$5,D2081&gt;Capa!$A$7,E2081&lt;Capa!$A$5,E2081&gt;Capa!$A$7,D2081&gt;E2081),"Erro","")</f>
        <v/>
      </c>
    </row>
    <row r="2082" spans="1:9" ht="40" hidden="1">
      <c r="A2082" s="345">
        <v>2472</v>
      </c>
      <c r="B2082" s="346" t="s">
        <v>284</v>
      </c>
      <c r="C2082" s="347">
        <v>400</v>
      </c>
      <c r="D2082" s="348">
        <v>46753</v>
      </c>
      <c r="E2082" s="348">
        <v>47058</v>
      </c>
      <c r="F2082" s="346" t="s">
        <v>611</v>
      </c>
      <c r="G2082" s="349" t="s">
        <v>451</v>
      </c>
      <c r="H2082" s="350">
        <f t="shared" si="42"/>
        <v>4400</v>
      </c>
      <c r="I2082" s="120" t="str">
        <f>IF(OR(D2082&lt;Capa!$A$5,D2082&gt;Capa!$A$7,E2082&lt;Capa!$A$5,E2082&gt;Capa!$A$7,D2082&gt;E2082),"Erro","")</f>
        <v/>
      </c>
    </row>
    <row r="2083" spans="1:9" ht="40" hidden="1">
      <c r="A2083" s="345">
        <v>2473</v>
      </c>
      <c r="B2083" s="346" t="s">
        <v>286</v>
      </c>
      <c r="C2083" s="347">
        <v>1000</v>
      </c>
      <c r="D2083" s="348">
        <v>45931</v>
      </c>
      <c r="E2083" s="348">
        <v>45992</v>
      </c>
      <c r="F2083" s="346" t="s">
        <v>611</v>
      </c>
      <c r="G2083" s="349" t="s">
        <v>451</v>
      </c>
      <c r="H2083" s="350">
        <f t="shared" si="42"/>
        <v>3000</v>
      </c>
      <c r="I2083" s="120" t="str">
        <f>IF(OR(D2083&lt;Capa!$A$5,D2083&gt;Capa!$A$7,E2083&lt;Capa!$A$5,E2083&gt;Capa!$A$7,D2083&gt;E2083),"Erro","")</f>
        <v/>
      </c>
    </row>
    <row r="2084" spans="1:9" ht="40" hidden="1">
      <c r="A2084" s="345">
        <v>2474</v>
      </c>
      <c r="B2084" s="346" t="s">
        <v>286</v>
      </c>
      <c r="C2084" s="347">
        <v>1000</v>
      </c>
      <c r="D2084" s="348">
        <v>46023</v>
      </c>
      <c r="E2084" s="348">
        <v>46357</v>
      </c>
      <c r="F2084" s="346" t="s">
        <v>611</v>
      </c>
      <c r="G2084" s="349" t="s">
        <v>451</v>
      </c>
      <c r="H2084" s="350">
        <f t="shared" si="42"/>
        <v>12000</v>
      </c>
      <c r="I2084" s="120" t="str">
        <f>IF(OR(D2084&lt;Capa!$A$5,D2084&gt;Capa!$A$7,E2084&lt;Capa!$A$5,E2084&gt;Capa!$A$7,D2084&gt;E2084),"Erro","")</f>
        <v/>
      </c>
    </row>
    <row r="2085" spans="1:9" ht="40" hidden="1">
      <c r="A2085" s="345">
        <v>2475</v>
      </c>
      <c r="B2085" s="346" t="s">
        <v>286</v>
      </c>
      <c r="C2085" s="347">
        <v>1000</v>
      </c>
      <c r="D2085" s="348">
        <v>46388</v>
      </c>
      <c r="E2085" s="348">
        <v>46722</v>
      </c>
      <c r="F2085" s="346" t="s">
        <v>611</v>
      </c>
      <c r="G2085" s="349" t="s">
        <v>451</v>
      </c>
      <c r="H2085" s="350">
        <f t="shared" si="42"/>
        <v>12000</v>
      </c>
      <c r="I2085" s="120" t="str">
        <f>IF(OR(D2085&lt;Capa!$A$5,D2085&gt;Capa!$A$7,E2085&lt;Capa!$A$5,E2085&gt;Capa!$A$7,D2085&gt;E2085),"Erro","")</f>
        <v/>
      </c>
    </row>
    <row r="2086" spans="1:9" ht="40" hidden="1">
      <c r="A2086" s="345">
        <v>2476</v>
      </c>
      <c r="B2086" s="346" t="s">
        <v>286</v>
      </c>
      <c r="C2086" s="347">
        <v>500</v>
      </c>
      <c r="D2086" s="348">
        <v>46753</v>
      </c>
      <c r="E2086" s="348">
        <v>47058</v>
      </c>
      <c r="F2086" s="346" t="s">
        <v>611</v>
      </c>
      <c r="G2086" s="349" t="s">
        <v>451</v>
      </c>
      <c r="H2086" s="350">
        <f t="shared" si="42"/>
        <v>5500</v>
      </c>
      <c r="I2086" s="120" t="str">
        <f>IF(OR(D2086&lt;Capa!$A$5,D2086&gt;Capa!$A$7,E2086&lt;Capa!$A$5,E2086&gt;Capa!$A$7,D2086&gt;E2086),"Erro","")</f>
        <v/>
      </c>
    </row>
    <row r="2087" spans="1:9" ht="30" hidden="1">
      <c r="A2087" s="345">
        <v>2477</v>
      </c>
      <c r="B2087" s="346" t="s">
        <v>288</v>
      </c>
      <c r="C2087" s="347">
        <v>200</v>
      </c>
      <c r="D2087" s="348">
        <v>45931</v>
      </c>
      <c r="E2087" s="348">
        <v>45992</v>
      </c>
      <c r="F2087" s="346" t="s">
        <v>611</v>
      </c>
      <c r="G2087" s="349" t="s">
        <v>452</v>
      </c>
      <c r="H2087" s="350">
        <f t="shared" si="42"/>
        <v>600</v>
      </c>
      <c r="I2087" s="120" t="str">
        <f>IF(OR(D2087&lt;Capa!$A$5,D2087&gt;Capa!$A$7,E2087&lt;Capa!$A$5,E2087&gt;Capa!$A$7,D2087&gt;E2087),"Erro","")</f>
        <v/>
      </c>
    </row>
    <row r="2088" spans="1:9" ht="30" hidden="1">
      <c r="A2088" s="345">
        <v>2478</v>
      </c>
      <c r="B2088" s="346" t="s">
        <v>288</v>
      </c>
      <c r="C2088" s="347">
        <v>200</v>
      </c>
      <c r="D2088" s="348">
        <v>46023</v>
      </c>
      <c r="E2088" s="348">
        <v>46357</v>
      </c>
      <c r="F2088" s="346" t="s">
        <v>611</v>
      </c>
      <c r="G2088" s="349" t="s">
        <v>452</v>
      </c>
      <c r="H2088" s="350">
        <f t="shared" si="42"/>
        <v>2400</v>
      </c>
      <c r="I2088" s="120" t="str">
        <f>IF(OR(D2088&lt;Capa!$A$5,D2088&gt;Capa!$A$7,E2088&lt;Capa!$A$5,E2088&gt;Capa!$A$7,D2088&gt;E2088),"Erro","")</f>
        <v/>
      </c>
    </row>
    <row r="2089" spans="1:9" ht="30" hidden="1">
      <c r="A2089" s="345">
        <v>2479</v>
      </c>
      <c r="B2089" s="346" t="s">
        <v>288</v>
      </c>
      <c r="C2089" s="347">
        <v>200</v>
      </c>
      <c r="D2089" s="348">
        <v>46388</v>
      </c>
      <c r="E2089" s="348">
        <v>46722</v>
      </c>
      <c r="F2089" s="346" t="s">
        <v>611</v>
      </c>
      <c r="G2089" s="349" t="s">
        <v>452</v>
      </c>
      <c r="H2089" s="350">
        <f t="shared" si="42"/>
        <v>2400</v>
      </c>
      <c r="I2089" s="120" t="str">
        <f>IF(OR(D2089&lt;Capa!$A$5,D2089&gt;Capa!$A$7,E2089&lt;Capa!$A$5,E2089&gt;Capa!$A$7,D2089&gt;E2089),"Erro","")</f>
        <v/>
      </c>
    </row>
    <row r="2090" spans="1:9" ht="30" hidden="1">
      <c r="A2090" s="345">
        <v>2480</v>
      </c>
      <c r="B2090" s="346" t="s">
        <v>288</v>
      </c>
      <c r="C2090" s="347">
        <v>100</v>
      </c>
      <c r="D2090" s="348">
        <v>46753</v>
      </c>
      <c r="E2090" s="348">
        <v>47058</v>
      </c>
      <c r="F2090" s="346" t="s">
        <v>611</v>
      </c>
      <c r="G2090" s="349" t="s">
        <v>452</v>
      </c>
      <c r="H2090" s="350">
        <f t="shared" si="42"/>
        <v>1100</v>
      </c>
      <c r="I2090" s="120" t="str">
        <f>IF(OR(D2090&lt;Capa!$A$5,D2090&gt;Capa!$A$7,E2090&lt;Capa!$A$5,E2090&gt;Capa!$A$7,D2090&gt;E2090),"Erro","")</f>
        <v/>
      </c>
    </row>
    <row r="2091" spans="1:9" ht="30" hidden="1">
      <c r="A2091" s="345">
        <v>2481</v>
      </c>
      <c r="B2091" s="346" t="s">
        <v>294</v>
      </c>
      <c r="C2091" s="347">
        <v>2000</v>
      </c>
      <c r="D2091" s="348">
        <v>45931</v>
      </c>
      <c r="E2091" s="348">
        <v>45992</v>
      </c>
      <c r="F2091" s="346" t="s">
        <v>611</v>
      </c>
      <c r="G2091" s="349" t="s">
        <v>453</v>
      </c>
      <c r="H2091" s="350">
        <f t="shared" si="42"/>
        <v>6000</v>
      </c>
      <c r="I2091" s="120" t="str">
        <f>IF(OR(D2091&lt;Capa!$A$5,D2091&gt;Capa!$A$7,E2091&lt;Capa!$A$5,E2091&gt;Capa!$A$7,D2091&gt;E2091),"Erro","")</f>
        <v/>
      </c>
    </row>
    <row r="2092" spans="1:9" ht="30" hidden="1">
      <c r="A2092" s="345">
        <v>2482</v>
      </c>
      <c r="B2092" s="346" t="s">
        <v>294</v>
      </c>
      <c r="C2092" s="347">
        <v>2000</v>
      </c>
      <c r="D2092" s="348">
        <v>46023</v>
      </c>
      <c r="E2092" s="348">
        <v>46357</v>
      </c>
      <c r="F2092" s="346" t="s">
        <v>611</v>
      </c>
      <c r="G2092" s="349" t="s">
        <v>453</v>
      </c>
      <c r="H2092" s="350">
        <f t="shared" si="42"/>
        <v>24000</v>
      </c>
      <c r="I2092" s="120" t="str">
        <f>IF(OR(D2092&lt;Capa!$A$5,D2092&gt;Capa!$A$7,E2092&lt;Capa!$A$5,E2092&gt;Capa!$A$7,D2092&gt;E2092),"Erro","")</f>
        <v/>
      </c>
    </row>
    <row r="2093" spans="1:9" ht="30" hidden="1">
      <c r="A2093" s="345">
        <v>2483</v>
      </c>
      <c r="B2093" s="346" t="s">
        <v>294</v>
      </c>
      <c r="C2093" s="347">
        <v>2000</v>
      </c>
      <c r="D2093" s="348">
        <v>46388</v>
      </c>
      <c r="E2093" s="348">
        <v>46722</v>
      </c>
      <c r="F2093" s="346" t="s">
        <v>611</v>
      </c>
      <c r="G2093" s="349" t="s">
        <v>453</v>
      </c>
      <c r="H2093" s="350">
        <f t="shared" si="42"/>
        <v>24000</v>
      </c>
      <c r="I2093" s="120" t="str">
        <f>IF(OR(D2093&lt;Capa!$A$5,D2093&gt;Capa!$A$7,E2093&lt;Capa!$A$5,E2093&gt;Capa!$A$7,D2093&gt;E2093),"Erro","")</f>
        <v/>
      </c>
    </row>
    <row r="2094" spans="1:9" ht="30" hidden="1">
      <c r="A2094" s="345">
        <v>2484</v>
      </c>
      <c r="B2094" s="346" t="s">
        <v>294</v>
      </c>
      <c r="C2094" s="347">
        <v>2000</v>
      </c>
      <c r="D2094" s="348">
        <v>46753</v>
      </c>
      <c r="E2094" s="348">
        <v>47058</v>
      </c>
      <c r="F2094" s="346" t="s">
        <v>611</v>
      </c>
      <c r="G2094" s="349" t="s">
        <v>453</v>
      </c>
      <c r="H2094" s="350">
        <f t="shared" si="42"/>
        <v>22000</v>
      </c>
      <c r="I2094" s="120" t="str">
        <f>IF(OR(D2094&lt;Capa!$A$5,D2094&gt;Capa!$A$7,E2094&lt;Capa!$A$5,E2094&gt;Capa!$A$7,D2094&gt;E2094),"Erro","")</f>
        <v/>
      </c>
    </row>
    <row r="2095" spans="1:9" ht="20" hidden="1">
      <c r="A2095" s="345">
        <v>2485</v>
      </c>
      <c r="B2095" s="346" t="s">
        <v>302</v>
      </c>
      <c r="C2095" s="347">
        <v>100</v>
      </c>
      <c r="D2095" s="348">
        <v>45931</v>
      </c>
      <c r="E2095" s="348">
        <v>45992</v>
      </c>
      <c r="F2095" s="346" t="s">
        <v>611</v>
      </c>
      <c r="G2095" s="349" t="s">
        <v>454</v>
      </c>
      <c r="H2095" s="350">
        <f t="shared" ref="H2095:H2149" si="43">IFERROR((DATEDIF(D2095,E2095,"M")+1)*C2095,0)</f>
        <v>300</v>
      </c>
      <c r="I2095" s="120" t="str">
        <f>IF(OR(D2095&lt;Capa!$A$5,D2095&gt;Capa!$A$7,E2095&lt;Capa!$A$5,E2095&gt;Capa!$A$7,D2095&gt;E2095),"Erro","")</f>
        <v/>
      </c>
    </row>
    <row r="2096" spans="1:9" ht="20" hidden="1">
      <c r="A2096" s="345">
        <v>2486</v>
      </c>
      <c r="B2096" s="346" t="s">
        <v>302</v>
      </c>
      <c r="C2096" s="347">
        <v>100</v>
      </c>
      <c r="D2096" s="348">
        <v>46023</v>
      </c>
      <c r="E2096" s="348">
        <v>46357</v>
      </c>
      <c r="F2096" s="346" t="s">
        <v>611</v>
      </c>
      <c r="G2096" s="349" t="s">
        <v>454</v>
      </c>
      <c r="H2096" s="350">
        <f t="shared" si="43"/>
        <v>1200</v>
      </c>
      <c r="I2096" s="120" t="str">
        <f>IF(OR(D2096&lt;Capa!$A$5,D2096&gt;Capa!$A$7,E2096&lt;Capa!$A$5,E2096&gt;Capa!$A$7,D2096&gt;E2096),"Erro","")</f>
        <v/>
      </c>
    </row>
    <row r="2097" spans="1:9" ht="20" hidden="1">
      <c r="A2097" s="345">
        <v>2487</v>
      </c>
      <c r="B2097" s="346" t="s">
        <v>302</v>
      </c>
      <c r="C2097" s="347">
        <v>100</v>
      </c>
      <c r="D2097" s="348">
        <v>46388</v>
      </c>
      <c r="E2097" s="348">
        <v>46722</v>
      </c>
      <c r="F2097" s="346" t="s">
        <v>611</v>
      </c>
      <c r="G2097" s="349" t="s">
        <v>454</v>
      </c>
      <c r="H2097" s="350">
        <f t="shared" si="43"/>
        <v>1200</v>
      </c>
      <c r="I2097" s="120" t="str">
        <f>IF(OR(D2097&lt;Capa!$A$5,D2097&gt;Capa!$A$7,E2097&lt;Capa!$A$5,E2097&gt;Capa!$A$7,D2097&gt;E2097),"Erro","")</f>
        <v/>
      </c>
    </row>
    <row r="2098" spans="1:9" ht="20" hidden="1">
      <c r="A2098" s="345">
        <v>2488</v>
      </c>
      <c r="B2098" s="346" t="s">
        <v>302</v>
      </c>
      <c r="C2098" s="347">
        <v>50</v>
      </c>
      <c r="D2098" s="348">
        <v>46753</v>
      </c>
      <c r="E2098" s="348">
        <v>47058</v>
      </c>
      <c r="F2098" s="346" t="s">
        <v>611</v>
      </c>
      <c r="G2098" s="349" t="s">
        <v>454</v>
      </c>
      <c r="H2098" s="350">
        <f t="shared" si="43"/>
        <v>550</v>
      </c>
      <c r="I2098" s="120" t="str">
        <f>IF(OR(D2098&lt;Capa!$A$5,D2098&gt;Capa!$A$7,E2098&lt;Capa!$A$5,E2098&gt;Capa!$A$7,D2098&gt;E2098),"Erro","")</f>
        <v/>
      </c>
    </row>
    <row r="2099" spans="1:9" ht="30" hidden="1">
      <c r="A2099" s="345">
        <v>2489</v>
      </c>
      <c r="B2099" s="346" t="s">
        <v>304</v>
      </c>
      <c r="C2099" s="347">
        <v>1000</v>
      </c>
      <c r="D2099" s="348">
        <v>45931</v>
      </c>
      <c r="E2099" s="348">
        <v>45992</v>
      </c>
      <c r="F2099" s="346" t="s">
        <v>611</v>
      </c>
      <c r="G2099" s="349" t="s">
        <v>455</v>
      </c>
      <c r="H2099" s="350">
        <f t="shared" si="43"/>
        <v>3000</v>
      </c>
      <c r="I2099" s="120" t="str">
        <f>IF(OR(D2099&lt;Capa!$A$5,D2099&gt;Capa!$A$7,E2099&lt;Capa!$A$5,E2099&gt;Capa!$A$7,D2099&gt;E2099),"Erro","")</f>
        <v/>
      </c>
    </row>
    <row r="2100" spans="1:9" ht="30" hidden="1">
      <c r="A2100" s="345">
        <v>2490</v>
      </c>
      <c r="B2100" s="346" t="s">
        <v>304</v>
      </c>
      <c r="C2100" s="347">
        <v>1000</v>
      </c>
      <c r="D2100" s="348">
        <v>46023</v>
      </c>
      <c r="E2100" s="348">
        <v>46357</v>
      </c>
      <c r="F2100" s="346" t="s">
        <v>611</v>
      </c>
      <c r="G2100" s="349" t="s">
        <v>455</v>
      </c>
      <c r="H2100" s="350">
        <f t="shared" si="43"/>
        <v>12000</v>
      </c>
      <c r="I2100" s="120" t="str">
        <f>IF(OR(D2100&lt;Capa!$A$5,D2100&gt;Capa!$A$7,E2100&lt;Capa!$A$5,E2100&gt;Capa!$A$7,D2100&gt;E2100),"Erro","")</f>
        <v/>
      </c>
    </row>
    <row r="2101" spans="1:9" ht="30" hidden="1">
      <c r="A2101" s="345">
        <v>2491</v>
      </c>
      <c r="B2101" s="346" t="s">
        <v>304</v>
      </c>
      <c r="C2101" s="347">
        <v>1000</v>
      </c>
      <c r="D2101" s="348">
        <v>46388</v>
      </c>
      <c r="E2101" s="348">
        <v>46722</v>
      </c>
      <c r="F2101" s="346" t="s">
        <v>611</v>
      </c>
      <c r="G2101" s="349" t="s">
        <v>455</v>
      </c>
      <c r="H2101" s="350">
        <f t="shared" si="43"/>
        <v>12000</v>
      </c>
      <c r="I2101" s="120" t="str">
        <f>IF(OR(D2101&lt;Capa!$A$5,D2101&gt;Capa!$A$7,E2101&lt;Capa!$A$5,E2101&gt;Capa!$A$7,D2101&gt;E2101),"Erro","")</f>
        <v/>
      </c>
    </row>
    <row r="2102" spans="1:9" ht="30" hidden="1">
      <c r="A2102" s="345">
        <v>2492</v>
      </c>
      <c r="B2102" s="346" t="s">
        <v>304</v>
      </c>
      <c r="C2102" s="347">
        <v>500</v>
      </c>
      <c r="D2102" s="348">
        <v>46753</v>
      </c>
      <c r="E2102" s="348">
        <v>47058</v>
      </c>
      <c r="F2102" s="346" t="s">
        <v>611</v>
      </c>
      <c r="G2102" s="349" t="s">
        <v>455</v>
      </c>
      <c r="H2102" s="350">
        <f t="shared" si="43"/>
        <v>5500</v>
      </c>
      <c r="I2102" s="120" t="str">
        <f>IF(OR(D2102&lt;Capa!$A$5,D2102&gt;Capa!$A$7,E2102&lt;Capa!$A$5,E2102&gt;Capa!$A$7,D2102&gt;E2102),"Erro","")</f>
        <v/>
      </c>
    </row>
    <row r="2103" spans="1:9" ht="30" hidden="1">
      <c r="A2103" s="345">
        <v>2493</v>
      </c>
      <c r="B2103" s="346" t="s">
        <v>312</v>
      </c>
      <c r="C2103" s="347">
        <v>200</v>
      </c>
      <c r="D2103" s="348">
        <v>45931</v>
      </c>
      <c r="E2103" s="348">
        <v>45992</v>
      </c>
      <c r="F2103" s="346" t="s">
        <v>611</v>
      </c>
      <c r="G2103" s="349" t="s">
        <v>571</v>
      </c>
      <c r="H2103" s="350">
        <f t="shared" si="43"/>
        <v>600</v>
      </c>
      <c r="I2103" s="120" t="str">
        <f>IF(OR(D2103&lt;Capa!$A$5,D2103&gt;Capa!$A$7,E2103&lt;Capa!$A$5,E2103&gt;Capa!$A$7,D2103&gt;E2103),"Erro","")</f>
        <v/>
      </c>
    </row>
    <row r="2104" spans="1:9" ht="30" hidden="1">
      <c r="A2104" s="345">
        <v>2494</v>
      </c>
      <c r="B2104" s="346" t="s">
        <v>312</v>
      </c>
      <c r="C2104" s="347">
        <v>200</v>
      </c>
      <c r="D2104" s="348">
        <v>46023</v>
      </c>
      <c r="E2104" s="348">
        <v>46357</v>
      </c>
      <c r="F2104" s="346" t="s">
        <v>611</v>
      </c>
      <c r="G2104" s="349" t="s">
        <v>571</v>
      </c>
      <c r="H2104" s="350">
        <f t="shared" si="43"/>
        <v>2400</v>
      </c>
      <c r="I2104" s="120" t="str">
        <f>IF(OR(D2104&lt;Capa!$A$5,D2104&gt;Capa!$A$7,E2104&lt;Capa!$A$5,E2104&gt;Capa!$A$7,D2104&gt;E2104),"Erro","")</f>
        <v/>
      </c>
    </row>
    <row r="2105" spans="1:9" ht="30" hidden="1">
      <c r="A2105" s="345">
        <v>2495</v>
      </c>
      <c r="B2105" s="346" t="s">
        <v>312</v>
      </c>
      <c r="C2105" s="347">
        <v>200</v>
      </c>
      <c r="D2105" s="348">
        <v>46388</v>
      </c>
      <c r="E2105" s="348">
        <v>46722</v>
      </c>
      <c r="F2105" s="346" t="s">
        <v>611</v>
      </c>
      <c r="G2105" s="349" t="s">
        <v>571</v>
      </c>
      <c r="H2105" s="350">
        <f t="shared" si="43"/>
        <v>2400</v>
      </c>
      <c r="I2105" s="120" t="str">
        <f>IF(OR(D2105&lt;Capa!$A$5,D2105&gt;Capa!$A$7,E2105&lt;Capa!$A$5,E2105&gt;Capa!$A$7,D2105&gt;E2105),"Erro","")</f>
        <v/>
      </c>
    </row>
    <row r="2106" spans="1:9" ht="30" hidden="1">
      <c r="A2106" s="345">
        <v>2496</v>
      </c>
      <c r="B2106" s="346" t="s">
        <v>312</v>
      </c>
      <c r="C2106" s="347">
        <v>100</v>
      </c>
      <c r="D2106" s="348">
        <v>46753</v>
      </c>
      <c r="E2106" s="348">
        <v>47058</v>
      </c>
      <c r="F2106" s="346" t="s">
        <v>611</v>
      </c>
      <c r="G2106" s="349" t="s">
        <v>571</v>
      </c>
      <c r="H2106" s="350">
        <f t="shared" si="43"/>
        <v>1100</v>
      </c>
      <c r="I2106" s="120" t="str">
        <f>IF(OR(D2106&lt;Capa!$A$5,D2106&gt;Capa!$A$7,E2106&lt;Capa!$A$5,E2106&gt;Capa!$A$7,D2106&gt;E2106),"Erro","")</f>
        <v/>
      </c>
    </row>
    <row r="2107" spans="1:9" ht="50" hidden="1">
      <c r="A2107" s="345">
        <v>2497</v>
      </c>
      <c r="B2107" s="346" t="s">
        <v>316</v>
      </c>
      <c r="C2107" s="347">
        <v>800</v>
      </c>
      <c r="D2107" s="348">
        <v>45931</v>
      </c>
      <c r="E2107" s="348">
        <v>45992</v>
      </c>
      <c r="F2107" s="346" t="s">
        <v>611</v>
      </c>
      <c r="G2107" s="349" t="s">
        <v>741</v>
      </c>
      <c r="H2107" s="350">
        <f t="shared" si="43"/>
        <v>2400</v>
      </c>
      <c r="I2107" s="120" t="str">
        <f>IF(OR(D2107&lt;Capa!$A$5,D2107&gt;Capa!$A$7,E2107&lt;Capa!$A$5,E2107&gt;Capa!$A$7,D2107&gt;E2107),"Erro","")</f>
        <v/>
      </c>
    </row>
    <row r="2108" spans="1:9" ht="50" hidden="1">
      <c r="A2108" s="345">
        <v>2498</v>
      </c>
      <c r="B2108" s="346" t="s">
        <v>316</v>
      </c>
      <c r="C2108" s="347">
        <v>800</v>
      </c>
      <c r="D2108" s="348">
        <v>46023</v>
      </c>
      <c r="E2108" s="348">
        <v>46357</v>
      </c>
      <c r="F2108" s="346" t="s">
        <v>611</v>
      </c>
      <c r="G2108" s="349" t="s">
        <v>741</v>
      </c>
      <c r="H2108" s="350">
        <f t="shared" si="43"/>
        <v>9600</v>
      </c>
      <c r="I2108" s="120" t="str">
        <f>IF(OR(D2108&lt;Capa!$A$5,D2108&gt;Capa!$A$7,E2108&lt;Capa!$A$5,E2108&gt;Capa!$A$7,D2108&gt;E2108),"Erro","")</f>
        <v/>
      </c>
    </row>
    <row r="2109" spans="1:9" ht="50" hidden="1">
      <c r="A2109" s="345">
        <v>2499</v>
      </c>
      <c r="B2109" s="346" t="s">
        <v>316</v>
      </c>
      <c r="C2109" s="347">
        <v>800</v>
      </c>
      <c r="D2109" s="348">
        <v>46388</v>
      </c>
      <c r="E2109" s="348">
        <v>46722</v>
      </c>
      <c r="F2109" s="346" t="s">
        <v>611</v>
      </c>
      <c r="G2109" s="349" t="s">
        <v>741</v>
      </c>
      <c r="H2109" s="350">
        <f t="shared" si="43"/>
        <v>9600</v>
      </c>
      <c r="I2109" s="120" t="str">
        <f>IF(OR(D2109&lt;Capa!$A$5,D2109&gt;Capa!$A$7,E2109&lt;Capa!$A$5,E2109&gt;Capa!$A$7,D2109&gt;E2109),"Erro","")</f>
        <v/>
      </c>
    </row>
    <row r="2110" spans="1:9" ht="50" hidden="1">
      <c r="A2110" s="345">
        <v>2500</v>
      </c>
      <c r="B2110" s="346" t="s">
        <v>316</v>
      </c>
      <c r="C2110" s="347">
        <v>400</v>
      </c>
      <c r="D2110" s="348">
        <v>46753</v>
      </c>
      <c r="E2110" s="348">
        <v>47058</v>
      </c>
      <c r="F2110" s="346" t="s">
        <v>611</v>
      </c>
      <c r="G2110" s="349" t="s">
        <v>741</v>
      </c>
      <c r="H2110" s="350">
        <f t="shared" si="43"/>
        <v>4400</v>
      </c>
      <c r="I2110" s="120" t="str">
        <f>IF(OR(D2110&lt;Capa!$A$5,D2110&gt;Capa!$A$7,E2110&lt;Capa!$A$5,E2110&gt;Capa!$A$7,D2110&gt;E2110),"Erro","")</f>
        <v/>
      </c>
    </row>
    <row r="2111" spans="1:9" ht="50" hidden="1">
      <c r="A2111" s="345">
        <v>2501</v>
      </c>
      <c r="B2111" s="346" t="s">
        <v>318</v>
      </c>
      <c r="C2111" s="347">
        <v>800</v>
      </c>
      <c r="D2111" s="348">
        <v>45931</v>
      </c>
      <c r="E2111" s="348">
        <v>45992</v>
      </c>
      <c r="F2111" s="346" t="s">
        <v>611</v>
      </c>
      <c r="G2111" s="349" t="s">
        <v>572</v>
      </c>
      <c r="H2111" s="350">
        <f t="shared" si="43"/>
        <v>2400</v>
      </c>
      <c r="I2111" s="120" t="str">
        <f>IF(OR(D2111&lt;Capa!$A$5,D2111&gt;Capa!$A$7,E2111&lt;Capa!$A$5,E2111&gt;Capa!$A$7,D2111&gt;E2111),"Erro","")</f>
        <v/>
      </c>
    </row>
    <row r="2112" spans="1:9" ht="50" hidden="1">
      <c r="A2112" s="345">
        <v>2502</v>
      </c>
      <c r="B2112" s="346" t="s">
        <v>318</v>
      </c>
      <c r="C2112" s="347">
        <v>800</v>
      </c>
      <c r="D2112" s="348">
        <v>46023</v>
      </c>
      <c r="E2112" s="348">
        <v>46357</v>
      </c>
      <c r="F2112" s="346" t="s">
        <v>611</v>
      </c>
      <c r="G2112" s="349" t="s">
        <v>572</v>
      </c>
      <c r="H2112" s="350">
        <f t="shared" si="43"/>
        <v>9600</v>
      </c>
      <c r="I2112" s="120" t="str">
        <f>IF(OR(D2112&lt;Capa!$A$5,D2112&gt;Capa!$A$7,E2112&lt;Capa!$A$5,E2112&gt;Capa!$A$7,D2112&gt;E2112),"Erro","")</f>
        <v/>
      </c>
    </row>
    <row r="2113" spans="1:9" ht="50" hidden="1">
      <c r="A2113" s="345">
        <v>2503</v>
      </c>
      <c r="B2113" s="346" t="s">
        <v>318</v>
      </c>
      <c r="C2113" s="347">
        <v>800</v>
      </c>
      <c r="D2113" s="348">
        <v>46388</v>
      </c>
      <c r="E2113" s="348">
        <v>46722</v>
      </c>
      <c r="F2113" s="346" t="s">
        <v>611</v>
      </c>
      <c r="G2113" s="349" t="s">
        <v>572</v>
      </c>
      <c r="H2113" s="350">
        <f t="shared" si="43"/>
        <v>9600</v>
      </c>
      <c r="I2113" s="120" t="str">
        <f>IF(OR(D2113&lt;Capa!$A$5,D2113&gt;Capa!$A$7,E2113&lt;Capa!$A$5,E2113&gt;Capa!$A$7,D2113&gt;E2113),"Erro","")</f>
        <v/>
      </c>
    </row>
    <row r="2114" spans="1:9" ht="50" hidden="1">
      <c r="A2114" s="345">
        <v>2504</v>
      </c>
      <c r="B2114" s="346" t="s">
        <v>318</v>
      </c>
      <c r="C2114" s="347">
        <v>300</v>
      </c>
      <c r="D2114" s="348">
        <v>46753</v>
      </c>
      <c r="E2114" s="348">
        <v>47058</v>
      </c>
      <c r="F2114" s="346" t="s">
        <v>611</v>
      </c>
      <c r="G2114" s="349" t="s">
        <v>572</v>
      </c>
      <c r="H2114" s="350">
        <f t="shared" si="43"/>
        <v>3300</v>
      </c>
      <c r="I2114" s="120" t="str">
        <f>IF(OR(D2114&lt;Capa!$A$5,D2114&gt;Capa!$A$7,E2114&lt;Capa!$A$5,E2114&gt;Capa!$A$7,D2114&gt;E2114),"Erro","")</f>
        <v/>
      </c>
    </row>
    <row r="2115" spans="1:9" ht="50" hidden="1">
      <c r="A2115" s="345">
        <v>2505</v>
      </c>
      <c r="B2115" s="346" t="s">
        <v>318</v>
      </c>
      <c r="C2115" s="347">
        <v>700</v>
      </c>
      <c r="D2115" s="348">
        <v>45931</v>
      </c>
      <c r="E2115" s="348">
        <v>45992</v>
      </c>
      <c r="F2115" s="346" t="s">
        <v>611</v>
      </c>
      <c r="G2115" s="349" t="s">
        <v>456</v>
      </c>
      <c r="H2115" s="350">
        <f t="shared" si="43"/>
        <v>2100</v>
      </c>
      <c r="I2115" s="120" t="str">
        <f>IF(OR(D2115&lt;Capa!$A$5,D2115&gt;Capa!$A$7,E2115&lt;Capa!$A$5,E2115&gt;Capa!$A$7,D2115&gt;E2115),"Erro","")</f>
        <v/>
      </c>
    </row>
    <row r="2116" spans="1:9" ht="50" hidden="1">
      <c r="A2116" s="345">
        <v>2506</v>
      </c>
      <c r="B2116" s="346" t="s">
        <v>318</v>
      </c>
      <c r="C2116" s="347">
        <v>700</v>
      </c>
      <c r="D2116" s="348">
        <v>46023</v>
      </c>
      <c r="E2116" s="348">
        <v>46357</v>
      </c>
      <c r="F2116" s="346" t="s">
        <v>611</v>
      </c>
      <c r="G2116" s="349" t="s">
        <v>456</v>
      </c>
      <c r="H2116" s="350">
        <f t="shared" si="43"/>
        <v>8400</v>
      </c>
      <c r="I2116" s="120" t="str">
        <f>IF(OR(D2116&lt;Capa!$A$5,D2116&gt;Capa!$A$7,E2116&lt;Capa!$A$5,E2116&gt;Capa!$A$7,D2116&gt;E2116),"Erro","")</f>
        <v/>
      </c>
    </row>
    <row r="2117" spans="1:9" ht="50" hidden="1">
      <c r="A2117" s="345">
        <v>2507</v>
      </c>
      <c r="B2117" s="346" t="s">
        <v>318</v>
      </c>
      <c r="C2117" s="347">
        <v>700</v>
      </c>
      <c r="D2117" s="348">
        <v>46388</v>
      </c>
      <c r="E2117" s="348">
        <v>46722</v>
      </c>
      <c r="F2117" s="346" t="s">
        <v>611</v>
      </c>
      <c r="G2117" s="349" t="s">
        <v>456</v>
      </c>
      <c r="H2117" s="350">
        <f t="shared" si="43"/>
        <v>8400</v>
      </c>
      <c r="I2117" s="120" t="str">
        <f>IF(OR(D2117&lt;Capa!$A$5,D2117&gt;Capa!$A$7,E2117&lt;Capa!$A$5,E2117&gt;Capa!$A$7,D2117&gt;E2117),"Erro","")</f>
        <v/>
      </c>
    </row>
    <row r="2118" spans="1:9" ht="50" hidden="1">
      <c r="A2118" s="345">
        <v>2508</v>
      </c>
      <c r="B2118" s="346" t="s">
        <v>318</v>
      </c>
      <c r="C2118" s="347">
        <v>250</v>
      </c>
      <c r="D2118" s="348">
        <v>46753</v>
      </c>
      <c r="E2118" s="348">
        <v>47058</v>
      </c>
      <c r="F2118" s="346" t="s">
        <v>611</v>
      </c>
      <c r="G2118" s="349" t="s">
        <v>456</v>
      </c>
      <c r="H2118" s="350">
        <f t="shared" si="43"/>
        <v>2750</v>
      </c>
      <c r="I2118" s="120" t="str">
        <f>IF(OR(D2118&lt;Capa!$A$5,D2118&gt;Capa!$A$7,E2118&lt;Capa!$A$5,E2118&gt;Capa!$A$7,D2118&gt;E2118),"Erro","")</f>
        <v/>
      </c>
    </row>
    <row r="2119" spans="1:9" ht="20" hidden="1">
      <c r="A2119" s="345">
        <v>2509</v>
      </c>
      <c r="B2119" s="346" t="s">
        <v>298</v>
      </c>
      <c r="C2119" s="347">
        <v>2450</v>
      </c>
      <c r="D2119" s="348">
        <v>45931</v>
      </c>
      <c r="E2119" s="348">
        <v>45992</v>
      </c>
      <c r="F2119" s="346" t="s">
        <v>611</v>
      </c>
      <c r="G2119" s="349" t="s">
        <v>457</v>
      </c>
      <c r="H2119" s="350">
        <f t="shared" si="43"/>
        <v>7350</v>
      </c>
      <c r="I2119" s="120" t="str">
        <f>IF(OR(D2119&lt;Capa!$A$5,D2119&gt;Capa!$A$7,E2119&lt;Capa!$A$5,E2119&gt;Capa!$A$7,D2119&gt;E2119),"Erro","")</f>
        <v/>
      </c>
    </row>
    <row r="2120" spans="1:9" ht="20" hidden="1">
      <c r="A2120" s="345">
        <v>2510</v>
      </c>
      <c r="B2120" s="346" t="s">
        <v>298</v>
      </c>
      <c r="C2120" s="347">
        <v>2450</v>
      </c>
      <c r="D2120" s="348">
        <v>46023</v>
      </c>
      <c r="E2120" s="348">
        <v>46357</v>
      </c>
      <c r="F2120" s="346" t="s">
        <v>611</v>
      </c>
      <c r="G2120" s="349" t="s">
        <v>457</v>
      </c>
      <c r="H2120" s="350">
        <f t="shared" si="43"/>
        <v>29400</v>
      </c>
      <c r="I2120" s="120" t="str">
        <f>IF(OR(D2120&lt;Capa!$A$5,D2120&gt;Capa!$A$7,E2120&lt;Capa!$A$5,E2120&gt;Capa!$A$7,D2120&gt;E2120),"Erro","")</f>
        <v/>
      </c>
    </row>
    <row r="2121" spans="1:9" ht="20" hidden="1">
      <c r="A2121" s="345">
        <v>2511</v>
      </c>
      <c r="B2121" s="346" t="s">
        <v>298</v>
      </c>
      <c r="C2121" s="347">
        <v>2450</v>
      </c>
      <c r="D2121" s="348">
        <v>46388</v>
      </c>
      <c r="E2121" s="348">
        <v>46722</v>
      </c>
      <c r="F2121" s="346" t="s">
        <v>611</v>
      </c>
      <c r="G2121" s="349" t="s">
        <v>457</v>
      </c>
      <c r="H2121" s="350">
        <f t="shared" si="43"/>
        <v>29400</v>
      </c>
      <c r="I2121" s="120" t="str">
        <f>IF(OR(D2121&lt;Capa!$A$5,D2121&gt;Capa!$A$7,E2121&lt;Capa!$A$5,E2121&gt;Capa!$A$7,D2121&gt;E2121),"Erro","")</f>
        <v/>
      </c>
    </row>
    <row r="2122" spans="1:9" ht="20" hidden="1">
      <c r="A2122" s="345">
        <v>2512</v>
      </c>
      <c r="B2122" s="346" t="s">
        <v>298</v>
      </c>
      <c r="C2122" s="347">
        <v>1250</v>
      </c>
      <c r="D2122" s="348">
        <v>46753</v>
      </c>
      <c r="E2122" s="348">
        <v>47058</v>
      </c>
      <c r="F2122" s="346" t="s">
        <v>611</v>
      </c>
      <c r="G2122" s="349" t="s">
        <v>457</v>
      </c>
      <c r="H2122" s="350">
        <f t="shared" si="43"/>
        <v>13750</v>
      </c>
      <c r="I2122" s="120" t="str">
        <f>IF(OR(D2122&lt;Capa!$A$5,D2122&gt;Capa!$A$7,E2122&lt;Capa!$A$5,E2122&gt;Capa!$A$7,D2122&gt;E2122),"Erro","")</f>
        <v/>
      </c>
    </row>
    <row r="2123" spans="1:9" ht="30" hidden="1">
      <c r="A2123" s="345">
        <v>2513</v>
      </c>
      <c r="B2123" s="346" t="s">
        <v>238</v>
      </c>
      <c r="C2123" s="347">
        <v>480</v>
      </c>
      <c r="D2123" s="348">
        <v>45931</v>
      </c>
      <c r="E2123" s="348">
        <v>45992</v>
      </c>
      <c r="F2123" s="346" t="s">
        <v>611</v>
      </c>
      <c r="G2123" s="349" t="s">
        <v>458</v>
      </c>
      <c r="H2123" s="350">
        <f t="shared" si="43"/>
        <v>1440</v>
      </c>
      <c r="I2123" s="120" t="str">
        <f>IF(OR(D2123&lt;Capa!$A$5,D2123&gt;Capa!$A$7,E2123&lt;Capa!$A$5,E2123&gt;Capa!$A$7,D2123&gt;E2123),"Erro","")</f>
        <v/>
      </c>
    </row>
    <row r="2124" spans="1:9" ht="30" hidden="1">
      <c r="A2124" s="345">
        <v>2514</v>
      </c>
      <c r="B2124" s="346" t="s">
        <v>238</v>
      </c>
      <c r="C2124" s="347">
        <v>480</v>
      </c>
      <c r="D2124" s="348">
        <v>46023</v>
      </c>
      <c r="E2124" s="348">
        <v>46357</v>
      </c>
      <c r="F2124" s="346" t="s">
        <v>611</v>
      </c>
      <c r="G2124" s="349" t="s">
        <v>458</v>
      </c>
      <c r="H2124" s="350">
        <f t="shared" si="43"/>
        <v>5760</v>
      </c>
      <c r="I2124" s="120" t="str">
        <f>IF(OR(D2124&lt;Capa!$A$5,D2124&gt;Capa!$A$7,E2124&lt;Capa!$A$5,E2124&gt;Capa!$A$7,D2124&gt;E2124),"Erro","")</f>
        <v/>
      </c>
    </row>
    <row r="2125" spans="1:9" ht="30" hidden="1">
      <c r="A2125" s="345">
        <v>2515</v>
      </c>
      <c r="B2125" s="346" t="s">
        <v>238</v>
      </c>
      <c r="C2125" s="347">
        <v>480</v>
      </c>
      <c r="D2125" s="348">
        <v>46388</v>
      </c>
      <c r="E2125" s="348">
        <v>46722</v>
      </c>
      <c r="F2125" s="346" t="s">
        <v>611</v>
      </c>
      <c r="G2125" s="349" t="s">
        <v>458</v>
      </c>
      <c r="H2125" s="350">
        <f t="shared" si="43"/>
        <v>5760</v>
      </c>
      <c r="I2125" s="120" t="str">
        <f>IF(OR(D2125&lt;Capa!$A$5,D2125&gt;Capa!$A$7,E2125&lt;Capa!$A$5,E2125&gt;Capa!$A$7,D2125&gt;E2125),"Erro","")</f>
        <v/>
      </c>
    </row>
    <row r="2126" spans="1:9" ht="30" hidden="1">
      <c r="A2126" s="345">
        <v>2516</v>
      </c>
      <c r="B2126" s="346" t="s">
        <v>238</v>
      </c>
      <c r="C2126" s="347">
        <v>240</v>
      </c>
      <c r="D2126" s="348">
        <v>46753</v>
      </c>
      <c r="E2126" s="348">
        <v>47058</v>
      </c>
      <c r="F2126" s="346" t="s">
        <v>611</v>
      </c>
      <c r="G2126" s="349" t="s">
        <v>458</v>
      </c>
      <c r="H2126" s="350">
        <f t="shared" si="43"/>
        <v>2640</v>
      </c>
      <c r="I2126" s="120" t="str">
        <f>IF(OR(D2126&lt;Capa!$A$5,D2126&gt;Capa!$A$7,E2126&lt;Capa!$A$5,E2126&gt;Capa!$A$7,D2126&gt;E2126),"Erro","")</f>
        <v/>
      </c>
    </row>
    <row r="2127" spans="1:9" ht="40" hidden="1">
      <c r="A2127" s="345">
        <v>2517</v>
      </c>
      <c r="B2127" s="346" t="s">
        <v>252</v>
      </c>
      <c r="C2127" s="347">
        <v>8000</v>
      </c>
      <c r="D2127" s="348">
        <v>45931</v>
      </c>
      <c r="E2127" s="348">
        <v>45992</v>
      </c>
      <c r="F2127" s="346" t="s">
        <v>611</v>
      </c>
      <c r="G2127" s="349" t="s">
        <v>459</v>
      </c>
      <c r="H2127" s="350">
        <f t="shared" si="43"/>
        <v>24000</v>
      </c>
      <c r="I2127" s="120" t="str">
        <f>IF(OR(D2127&lt;Capa!$A$5,D2127&gt;Capa!$A$7,E2127&lt;Capa!$A$5,E2127&gt;Capa!$A$7,D2127&gt;E2127),"Erro","")</f>
        <v/>
      </c>
    </row>
    <row r="2128" spans="1:9" ht="40" hidden="1">
      <c r="A2128" s="345">
        <v>2518</v>
      </c>
      <c r="B2128" s="346" t="s">
        <v>252</v>
      </c>
      <c r="C2128" s="347">
        <v>8000</v>
      </c>
      <c r="D2128" s="348">
        <v>46023</v>
      </c>
      <c r="E2128" s="348">
        <v>46357</v>
      </c>
      <c r="F2128" s="346" t="s">
        <v>611</v>
      </c>
      <c r="G2128" s="349" t="s">
        <v>459</v>
      </c>
      <c r="H2128" s="350">
        <f t="shared" si="43"/>
        <v>96000</v>
      </c>
      <c r="I2128" s="120" t="str">
        <f>IF(OR(D2128&lt;Capa!$A$5,D2128&gt;Capa!$A$7,E2128&lt;Capa!$A$5,E2128&gt;Capa!$A$7,D2128&gt;E2128),"Erro","")</f>
        <v/>
      </c>
    </row>
    <row r="2129" spans="1:9" ht="40" hidden="1">
      <c r="A2129" s="345">
        <v>2519</v>
      </c>
      <c r="B2129" s="346" t="s">
        <v>252</v>
      </c>
      <c r="C2129" s="347">
        <v>8000</v>
      </c>
      <c r="D2129" s="348">
        <v>46388</v>
      </c>
      <c r="E2129" s="348">
        <v>46722</v>
      </c>
      <c r="F2129" s="346" t="s">
        <v>611</v>
      </c>
      <c r="G2129" s="349" t="s">
        <v>459</v>
      </c>
      <c r="H2129" s="350">
        <f t="shared" si="43"/>
        <v>96000</v>
      </c>
      <c r="I2129" s="120" t="str">
        <f>IF(OR(D2129&lt;Capa!$A$5,D2129&gt;Capa!$A$7,E2129&lt;Capa!$A$5,E2129&gt;Capa!$A$7,D2129&gt;E2129),"Erro","")</f>
        <v/>
      </c>
    </row>
    <row r="2130" spans="1:9" ht="40" hidden="1">
      <c r="A2130" s="345">
        <v>2520</v>
      </c>
      <c r="B2130" s="346" t="s">
        <v>252</v>
      </c>
      <c r="C2130" s="347">
        <v>4000</v>
      </c>
      <c r="D2130" s="348">
        <v>46753</v>
      </c>
      <c r="E2130" s="348">
        <v>47058</v>
      </c>
      <c r="F2130" s="346" t="s">
        <v>611</v>
      </c>
      <c r="G2130" s="349" t="s">
        <v>459</v>
      </c>
      <c r="H2130" s="350">
        <f t="shared" si="43"/>
        <v>44000</v>
      </c>
      <c r="I2130" s="120" t="str">
        <f>IF(OR(D2130&lt;Capa!$A$5,D2130&gt;Capa!$A$7,E2130&lt;Capa!$A$5,E2130&gt;Capa!$A$7,D2130&gt;E2130),"Erro","")</f>
        <v/>
      </c>
    </row>
    <row r="2131" spans="1:9" ht="30" hidden="1">
      <c r="A2131" s="345">
        <v>2521</v>
      </c>
      <c r="B2131" s="346" t="s">
        <v>618</v>
      </c>
      <c r="C2131" s="347">
        <v>230000</v>
      </c>
      <c r="D2131" s="348">
        <v>45931</v>
      </c>
      <c r="E2131" s="348">
        <v>45931</v>
      </c>
      <c r="F2131" s="346" t="s">
        <v>611</v>
      </c>
      <c r="G2131" s="349" t="s">
        <v>591</v>
      </c>
      <c r="H2131" s="350">
        <f t="shared" si="43"/>
        <v>230000</v>
      </c>
      <c r="I2131" s="120" t="str">
        <f>IF(OR(D2131&lt;Capa!$A$5,D2131&gt;Capa!$A$7,E2131&lt;Capa!$A$5,E2131&gt;Capa!$A$7,D2131&gt;E2131),"Erro","")</f>
        <v/>
      </c>
    </row>
    <row r="2132" spans="1:9" ht="20" hidden="1">
      <c r="A2132" s="345">
        <v>2522</v>
      </c>
      <c r="B2132" s="346" t="s">
        <v>620</v>
      </c>
      <c r="C2132" s="347">
        <v>110</v>
      </c>
      <c r="D2132" s="348">
        <v>45931</v>
      </c>
      <c r="E2132" s="348">
        <v>47058</v>
      </c>
      <c r="F2132" s="346" t="s">
        <v>611</v>
      </c>
      <c r="G2132" s="349" t="s">
        <v>662</v>
      </c>
      <c r="H2132" s="350">
        <f t="shared" si="43"/>
        <v>4180</v>
      </c>
      <c r="I2132" s="120" t="str">
        <f>IF(OR(D2132&lt;Capa!$A$5,D2132&gt;Capa!$A$7,E2132&lt;Capa!$A$5,E2132&gt;Capa!$A$7,D2132&gt;E2132),"Erro","")</f>
        <v/>
      </c>
    </row>
    <row r="2133" spans="1:9" ht="20" hidden="1">
      <c r="A2133" s="345">
        <v>2523</v>
      </c>
      <c r="B2133" s="346" t="s">
        <v>622</v>
      </c>
      <c r="C2133" s="347">
        <v>850</v>
      </c>
      <c r="D2133" s="348">
        <v>45931</v>
      </c>
      <c r="E2133" s="348">
        <v>47058</v>
      </c>
      <c r="F2133" s="346" t="s">
        <v>611</v>
      </c>
      <c r="G2133" s="349" t="s">
        <v>664</v>
      </c>
      <c r="H2133" s="350">
        <f t="shared" si="43"/>
        <v>32300</v>
      </c>
      <c r="I2133" s="120" t="str">
        <f>IF(OR(D2133&lt;Capa!$A$5,D2133&gt;Capa!$A$7,E2133&lt;Capa!$A$5,E2133&gt;Capa!$A$7,D2133&gt;E2133),"Erro","")</f>
        <v/>
      </c>
    </row>
    <row r="2134" spans="1:9" ht="30" hidden="1">
      <c r="A2134" s="345">
        <v>2524</v>
      </c>
      <c r="B2134" s="346" t="s">
        <v>621</v>
      </c>
      <c r="C2134" s="347">
        <v>2000</v>
      </c>
      <c r="D2134" s="348">
        <v>45931</v>
      </c>
      <c r="E2134" s="348">
        <v>45931</v>
      </c>
      <c r="F2134" s="346" t="s">
        <v>611</v>
      </c>
      <c r="G2134" s="349" t="s">
        <v>595</v>
      </c>
      <c r="H2134" s="350">
        <f t="shared" si="43"/>
        <v>2000</v>
      </c>
      <c r="I2134" s="120" t="str">
        <f>IF(OR(D2134&lt;Capa!$A$5,D2134&gt;Capa!$A$7,E2134&lt;Capa!$A$5,E2134&gt;Capa!$A$7,D2134&gt;E2134),"Erro","")</f>
        <v/>
      </c>
    </row>
    <row r="2135" spans="1:9" ht="30" hidden="1">
      <c r="A2135" s="345">
        <v>2525</v>
      </c>
      <c r="B2135" s="346" t="s">
        <v>621</v>
      </c>
      <c r="C2135" s="347">
        <v>2000</v>
      </c>
      <c r="D2135" s="348">
        <v>46419</v>
      </c>
      <c r="E2135" s="348">
        <v>46419</v>
      </c>
      <c r="F2135" s="346" t="s">
        <v>611</v>
      </c>
      <c r="G2135" s="349" t="s">
        <v>595</v>
      </c>
      <c r="H2135" s="350">
        <f t="shared" si="43"/>
        <v>2000</v>
      </c>
      <c r="I2135" s="120" t="str">
        <f>IF(OR(D2135&lt;Capa!$A$5,D2135&gt;Capa!$A$7,E2135&lt;Capa!$A$5,E2135&gt;Capa!$A$7,D2135&gt;E2135),"Erro","")</f>
        <v/>
      </c>
    </row>
    <row r="2136" spans="1:9" ht="30" hidden="1">
      <c r="A2136" s="345">
        <v>2526</v>
      </c>
      <c r="B2136" s="346" t="s">
        <v>619</v>
      </c>
      <c r="C2136" s="347">
        <v>70</v>
      </c>
      <c r="D2136" s="348">
        <v>45931</v>
      </c>
      <c r="E2136" s="348">
        <v>47058</v>
      </c>
      <c r="F2136" s="346" t="s">
        <v>611</v>
      </c>
      <c r="G2136" s="349" t="s">
        <v>639</v>
      </c>
      <c r="H2136" s="350">
        <f t="shared" si="43"/>
        <v>2660</v>
      </c>
      <c r="I2136" s="120" t="str">
        <f>IF(OR(D2136&lt;Capa!$A$5,D2136&gt;Capa!$A$7,E2136&lt;Capa!$A$5,E2136&gt;Capa!$A$7,D2136&gt;E2136),"Erro","")</f>
        <v/>
      </c>
    </row>
    <row r="2137" spans="1:9" ht="30" hidden="1">
      <c r="A2137" s="345">
        <v>2527</v>
      </c>
      <c r="B2137" s="346" t="s">
        <v>617</v>
      </c>
      <c r="C2137" s="347">
        <v>200</v>
      </c>
      <c r="D2137" s="348">
        <v>45931</v>
      </c>
      <c r="E2137" s="348">
        <v>47058</v>
      </c>
      <c r="F2137" s="346" t="s">
        <v>611</v>
      </c>
      <c r="G2137" s="349" t="s">
        <v>639</v>
      </c>
      <c r="H2137" s="350">
        <f t="shared" si="43"/>
        <v>7600</v>
      </c>
      <c r="I2137" s="120" t="str">
        <f>IF(OR(D2137&lt;Capa!$A$5,D2137&gt;Capa!$A$7,E2137&lt;Capa!$A$5,E2137&gt;Capa!$A$7,D2137&gt;E2137),"Erro","")</f>
        <v/>
      </c>
    </row>
    <row r="2138" spans="1:9" ht="20" hidden="1">
      <c r="A2138" s="345">
        <v>2528</v>
      </c>
      <c r="B2138" s="346" t="s">
        <v>618</v>
      </c>
      <c r="C2138" s="347">
        <v>2500</v>
      </c>
      <c r="D2138" s="348">
        <v>45962</v>
      </c>
      <c r="E2138" s="348">
        <v>47058</v>
      </c>
      <c r="F2138" s="346" t="s">
        <v>611</v>
      </c>
      <c r="G2138" s="349" t="s">
        <v>657</v>
      </c>
      <c r="H2138" s="350">
        <f t="shared" si="43"/>
        <v>92500</v>
      </c>
      <c r="I2138" s="120" t="str">
        <f>IF(OR(D2138&lt;Capa!$A$5,D2138&gt;Capa!$A$7,E2138&lt;Capa!$A$5,E2138&gt;Capa!$A$7,D2138&gt;E2138),"Erro","")</f>
        <v/>
      </c>
    </row>
    <row r="2139" spans="1:9" ht="30" hidden="1">
      <c r="A2139" s="345">
        <v>2529</v>
      </c>
      <c r="B2139" s="346" t="s">
        <v>623</v>
      </c>
      <c r="C2139" s="347">
        <v>650</v>
      </c>
      <c r="D2139" s="348">
        <v>45931</v>
      </c>
      <c r="E2139" s="348">
        <v>46784</v>
      </c>
      <c r="F2139" s="346" t="s">
        <v>611</v>
      </c>
      <c r="G2139" s="349" t="s">
        <v>658</v>
      </c>
      <c r="H2139" s="350">
        <f t="shared" si="43"/>
        <v>18850</v>
      </c>
      <c r="I2139" s="120" t="str">
        <f>IF(OR(D2139&lt;Capa!$A$5,D2139&gt;Capa!$A$7,E2139&lt;Capa!$A$5,E2139&gt;Capa!$A$7,D2139&gt;E2139),"Erro","")</f>
        <v/>
      </c>
    </row>
    <row r="2140" spans="1:9" ht="20" hidden="1">
      <c r="A2140" s="345">
        <v>2530</v>
      </c>
      <c r="B2140" s="346" t="s">
        <v>625</v>
      </c>
      <c r="C2140" s="347">
        <v>90</v>
      </c>
      <c r="D2140" s="348">
        <v>45931</v>
      </c>
      <c r="E2140" s="348">
        <v>47058</v>
      </c>
      <c r="F2140" s="346" t="s">
        <v>611</v>
      </c>
      <c r="G2140" s="349" t="s">
        <v>659</v>
      </c>
      <c r="H2140" s="350">
        <f t="shared" si="43"/>
        <v>3420</v>
      </c>
      <c r="I2140" s="120" t="str">
        <f>IF(OR(D2140&lt;Capa!$A$5,D2140&gt;Capa!$A$7,E2140&lt;Capa!$A$5,E2140&gt;Capa!$A$7,D2140&gt;E2140),"Erro","")</f>
        <v/>
      </c>
    </row>
    <row r="2141" spans="1:9" ht="20" hidden="1">
      <c r="A2141" s="345">
        <v>2531</v>
      </c>
      <c r="B2141" s="346" t="s">
        <v>627</v>
      </c>
      <c r="C2141" s="347">
        <v>50</v>
      </c>
      <c r="D2141" s="348">
        <v>45931</v>
      </c>
      <c r="E2141" s="348">
        <v>47058</v>
      </c>
      <c r="F2141" s="346" t="s">
        <v>611</v>
      </c>
      <c r="G2141" s="349" t="s">
        <v>661</v>
      </c>
      <c r="H2141" s="350">
        <f t="shared" si="43"/>
        <v>1900</v>
      </c>
      <c r="I2141" s="120" t="str">
        <f>IF(OR(D2141&lt;Capa!$A$5,D2141&gt;Capa!$A$7,E2141&lt;Capa!$A$5,E2141&gt;Capa!$A$7,D2141&gt;E2141),"Erro","")</f>
        <v/>
      </c>
    </row>
    <row r="2142" spans="1:9" ht="30" hidden="1">
      <c r="A2142" s="345">
        <v>2532</v>
      </c>
      <c r="B2142" s="346" t="s">
        <v>626</v>
      </c>
      <c r="C2142" s="347">
        <v>350</v>
      </c>
      <c r="D2142" s="348">
        <v>45931</v>
      </c>
      <c r="E2142" s="348">
        <v>47058</v>
      </c>
      <c r="F2142" s="346" t="s">
        <v>611</v>
      </c>
      <c r="G2142" s="349" t="s">
        <v>660</v>
      </c>
      <c r="H2142" s="350">
        <f t="shared" si="43"/>
        <v>13300</v>
      </c>
      <c r="I2142" s="120" t="str">
        <f>IF(OR(D2142&lt;Capa!$A$5,D2142&gt;Capa!$A$7,E2142&lt;Capa!$A$5,E2142&gt;Capa!$A$7,D2142&gt;E2142),"Erro","")</f>
        <v/>
      </c>
    </row>
    <row r="2143" spans="1:9" ht="20" hidden="1">
      <c r="A2143" s="345">
        <v>2534</v>
      </c>
      <c r="B2143" s="346" t="s">
        <v>198</v>
      </c>
      <c r="C2143" s="347">
        <v>10500</v>
      </c>
      <c r="D2143" s="348">
        <v>45658</v>
      </c>
      <c r="E2143" s="348">
        <v>45992</v>
      </c>
      <c r="F2143" s="346" t="s">
        <v>612</v>
      </c>
      <c r="G2143" s="349" t="s">
        <v>437</v>
      </c>
      <c r="H2143" s="350">
        <f t="shared" si="43"/>
        <v>126000</v>
      </c>
      <c r="I2143" s="120" t="str">
        <f>IF(OR(D2143&lt;Capa!$A$5,D2143&gt;Capa!$A$7,E2143&lt;Capa!$A$5,E2143&gt;Capa!$A$7,D2143&gt;E2143),"Erro","")</f>
        <v/>
      </c>
    </row>
    <row r="2144" spans="1:9" ht="20" hidden="1">
      <c r="A2144" s="345">
        <v>2535</v>
      </c>
      <c r="B2144" s="346" t="s">
        <v>198</v>
      </c>
      <c r="C2144" s="347">
        <v>11025</v>
      </c>
      <c r="D2144" s="348">
        <v>46023</v>
      </c>
      <c r="E2144" s="348">
        <v>46357</v>
      </c>
      <c r="F2144" s="346" t="s">
        <v>612</v>
      </c>
      <c r="G2144" s="349" t="s">
        <v>437</v>
      </c>
      <c r="H2144" s="350">
        <f t="shared" si="43"/>
        <v>132300</v>
      </c>
      <c r="I2144" s="120" t="str">
        <f>IF(OR(D2144&lt;Capa!$A$5,D2144&gt;Capa!$A$7,E2144&lt;Capa!$A$5,E2144&gt;Capa!$A$7,D2144&gt;E2144),"Erro","")</f>
        <v/>
      </c>
    </row>
    <row r="2145" spans="1:9" ht="20" hidden="1">
      <c r="A2145" s="345">
        <v>2536</v>
      </c>
      <c r="B2145" s="346" t="s">
        <v>198</v>
      </c>
      <c r="C2145" s="347">
        <v>11576.25</v>
      </c>
      <c r="D2145" s="348">
        <v>46388</v>
      </c>
      <c r="E2145" s="348">
        <v>46722</v>
      </c>
      <c r="F2145" s="346" t="s">
        <v>612</v>
      </c>
      <c r="G2145" s="349" t="s">
        <v>437</v>
      </c>
      <c r="H2145" s="350">
        <f t="shared" si="43"/>
        <v>138915</v>
      </c>
      <c r="I2145" s="120" t="str">
        <f>IF(OR(D2145&lt;Capa!$A$5,D2145&gt;Capa!$A$7,E2145&lt;Capa!$A$5,E2145&gt;Capa!$A$7,D2145&gt;E2145),"Erro","")</f>
        <v/>
      </c>
    </row>
    <row r="2146" spans="1:9" ht="20" hidden="1">
      <c r="A2146" s="345">
        <v>2537</v>
      </c>
      <c r="B2146" s="346" t="s">
        <v>198</v>
      </c>
      <c r="C2146" s="347">
        <v>5500</v>
      </c>
      <c r="D2146" s="348">
        <v>46753</v>
      </c>
      <c r="E2146" s="348">
        <v>47058</v>
      </c>
      <c r="F2146" s="346" t="s">
        <v>612</v>
      </c>
      <c r="G2146" s="349" t="s">
        <v>437</v>
      </c>
      <c r="H2146" s="350">
        <f t="shared" si="43"/>
        <v>60500</v>
      </c>
      <c r="I2146" s="120" t="str">
        <f>IF(OR(D2146&lt;Capa!$A$5,D2146&gt;Capa!$A$7,E2146&lt;Capa!$A$5,E2146&gt;Capa!$A$7,D2146&gt;E2146),"Erro","")</f>
        <v/>
      </c>
    </row>
    <row r="2147" spans="1:9" ht="20" hidden="1">
      <c r="A2147" s="345">
        <v>2538</v>
      </c>
      <c r="B2147" s="346" t="s">
        <v>202</v>
      </c>
      <c r="C2147" s="347">
        <v>1500</v>
      </c>
      <c r="D2147" s="348">
        <v>45658</v>
      </c>
      <c r="E2147" s="348">
        <v>45717</v>
      </c>
      <c r="F2147" s="346" t="s">
        <v>612</v>
      </c>
      <c r="G2147" s="349" t="s">
        <v>438</v>
      </c>
      <c r="H2147" s="350">
        <f t="shared" si="43"/>
        <v>4500</v>
      </c>
      <c r="I2147" s="120" t="str">
        <f>IF(OR(D2147&lt;Capa!$A$5,D2147&gt;Capa!$A$7,E2147&lt;Capa!$A$5,E2147&gt;Capa!$A$7,D2147&gt;E2147),"Erro","")</f>
        <v/>
      </c>
    </row>
    <row r="2148" spans="1:9" ht="20" hidden="1">
      <c r="A2148" s="345">
        <v>2539</v>
      </c>
      <c r="B2148" s="346" t="s">
        <v>202</v>
      </c>
      <c r="C2148" s="347">
        <v>1300</v>
      </c>
      <c r="D2148" s="348">
        <v>46023</v>
      </c>
      <c r="E2148" s="348">
        <v>46082</v>
      </c>
      <c r="F2148" s="346" t="s">
        <v>612</v>
      </c>
      <c r="G2148" s="349" t="s">
        <v>438</v>
      </c>
      <c r="H2148" s="350">
        <f t="shared" si="43"/>
        <v>3900</v>
      </c>
      <c r="I2148" s="120" t="str">
        <f>IF(OR(D2148&lt;Capa!$A$5,D2148&gt;Capa!$A$7,E2148&lt;Capa!$A$5,E2148&gt;Capa!$A$7,D2148&gt;E2148),"Erro","")</f>
        <v/>
      </c>
    </row>
    <row r="2149" spans="1:9" ht="20" hidden="1">
      <c r="A2149" s="345">
        <v>2540</v>
      </c>
      <c r="B2149" s="346" t="s">
        <v>202</v>
      </c>
      <c r="C2149" s="347">
        <v>1300</v>
      </c>
      <c r="D2149" s="348">
        <v>46388</v>
      </c>
      <c r="E2149" s="348">
        <v>46447</v>
      </c>
      <c r="F2149" s="346" t="s">
        <v>612</v>
      </c>
      <c r="G2149" s="349" t="s">
        <v>438</v>
      </c>
      <c r="H2149" s="350">
        <f t="shared" si="43"/>
        <v>3900</v>
      </c>
      <c r="I2149" s="120" t="str">
        <f>IF(OR(D2149&lt;Capa!$A$5,D2149&gt;Capa!$A$7,E2149&lt;Capa!$A$5,E2149&gt;Capa!$A$7,D2149&gt;E2149),"Erro","")</f>
        <v/>
      </c>
    </row>
    <row r="2150" spans="1:9" ht="20" hidden="1">
      <c r="A2150" s="345">
        <v>2541</v>
      </c>
      <c r="B2150" s="346" t="s">
        <v>202</v>
      </c>
      <c r="C2150" s="347">
        <v>750</v>
      </c>
      <c r="D2150" s="348">
        <v>46753</v>
      </c>
      <c r="E2150" s="348">
        <v>46813</v>
      </c>
      <c r="F2150" s="346" t="s">
        <v>612</v>
      </c>
      <c r="G2150" s="349" t="s">
        <v>438</v>
      </c>
      <c r="H2150" s="350">
        <f t="shared" ref="H2150:H2200" si="44">IFERROR((DATEDIF(D2150,E2150,"M")+1)*C2150,0)</f>
        <v>2250</v>
      </c>
      <c r="I2150" s="120" t="str">
        <f>IF(OR(D2150&lt;Capa!$A$5,D2150&gt;Capa!$A$7,E2150&lt;Capa!$A$5,E2150&gt;Capa!$A$7,D2150&gt;E2150),"Erro","")</f>
        <v/>
      </c>
    </row>
    <row r="2151" spans="1:9" ht="20" hidden="1">
      <c r="A2151" s="345">
        <v>2542</v>
      </c>
      <c r="B2151" s="346" t="s">
        <v>204</v>
      </c>
      <c r="C2151" s="347">
        <v>1250</v>
      </c>
      <c r="D2151" s="348">
        <v>45658</v>
      </c>
      <c r="E2151" s="348">
        <v>45748</v>
      </c>
      <c r="F2151" s="346" t="s">
        <v>612</v>
      </c>
      <c r="G2151" s="349" t="s">
        <v>438</v>
      </c>
      <c r="H2151" s="350">
        <f t="shared" si="44"/>
        <v>5000</v>
      </c>
      <c r="I2151" s="120" t="str">
        <f>IF(OR(D2151&lt;Capa!$A$5,D2151&gt;Capa!$A$7,E2151&lt;Capa!$A$5,E2151&gt;Capa!$A$7,D2151&gt;E2151),"Erro","")</f>
        <v/>
      </c>
    </row>
    <row r="2152" spans="1:9" ht="20" hidden="1">
      <c r="A2152" s="345">
        <v>2543</v>
      </c>
      <c r="B2152" s="346" t="s">
        <v>204</v>
      </c>
      <c r="C2152" s="347">
        <v>1250</v>
      </c>
      <c r="D2152" s="348">
        <v>46023</v>
      </c>
      <c r="E2152" s="348">
        <v>46113</v>
      </c>
      <c r="F2152" s="346" t="s">
        <v>612</v>
      </c>
      <c r="G2152" s="349" t="s">
        <v>438</v>
      </c>
      <c r="H2152" s="350">
        <f t="shared" si="44"/>
        <v>5000</v>
      </c>
      <c r="I2152" s="120" t="str">
        <f>IF(OR(D2152&lt;Capa!$A$5,D2152&gt;Capa!$A$7,E2152&lt;Capa!$A$5,E2152&gt;Capa!$A$7,D2152&gt;E2152),"Erro","")</f>
        <v/>
      </c>
    </row>
    <row r="2153" spans="1:9" ht="20" hidden="1">
      <c r="A2153" s="345">
        <v>2544</v>
      </c>
      <c r="B2153" s="346" t="s">
        <v>204</v>
      </c>
      <c r="C2153" s="347">
        <v>1250</v>
      </c>
      <c r="D2153" s="348">
        <v>46388</v>
      </c>
      <c r="E2153" s="348">
        <v>46478</v>
      </c>
      <c r="F2153" s="346" t="s">
        <v>612</v>
      </c>
      <c r="G2153" s="349" t="s">
        <v>438</v>
      </c>
      <c r="H2153" s="350">
        <f t="shared" si="44"/>
        <v>5000</v>
      </c>
      <c r="I2153" s="120" t="str">
        <f>IF(OR(D2153&lt;Capa!$A$5,D2153&gt;Capa!$A$7,E2153&lt;Capa!$A$5,E2153&gt;Capa!$A$7,D2153&gt;E2153),"Erro","")</f>
        <v/>
      </c>
    </row>
    <row r="2154" spans="1:9" ht="20" hidden="1">
      <c r="A2154" s="345">
        <v>2545</v>
      </c>
      <c r="B2154" s="346" t="s">
        <v>204</v>
      </c>
      <c r="C2154" s="347">
        <v>780</v>
      </c>
      <c r="D2154" s="348">
        <v>46753</v>
      </c>
      <c r="E2154" s="348">
        <v>46844</v>
      </c>
      <c r="F2154" s="346" t="s">
        <v>612</v>
      </c>
      <c r="G2154" s="349" t="s">
        <v>438</v>
      </c>
      <c r="H2154" s="350">
        <f t="shared" si="44"/>
        <v>3120</v>
      </c>
      <c r="I2154" s="120" t="str">
        <f>IF(OR(D2154&lt;Capa!$A$5,D2154&gt;Capa!$A$7,E2154&lt;Capa!$A$5,E2154&gt;Capa!$A$7,D2154&gt;E2154),"Erro","")</f>
        <v/>
      </c>
    </row>
    <row r="2155" spans="1:9" ht="20" hidden="1">
      <c r="A2155" s="345">
        <v>2547</v>
      </c>
      <c r="B2155" s="346" t="s">
        <v>206</v>
      </c>
      <c r="C2155" s="347">
        <v>1100</v>
      </c>
      <c r="D2155" s="348">
        <v>45658</v>
      </c>
      <c r="E2155" s="348">
        <v>45992</v>
      </c>
      <c r="F2155" s="346" t="s">
        <v>612</v>
      </c>
      <c r="G2155" s="349" t="s">
        <v>439</v>
      </c>
      <c r="H2155" s="350">
        <f t="shared" si="44"/>
        <v>13200</v>
      </c>
      <c r="I2155" s="120" t="str">
        <f>IF(OR(D2155&lt;Capa!$A$5,D2155&gt;Capa!$A$7,E2155&lt;Capa!$A$5,E2155&gt;Capa!$A$7,D2155&gt;E2155),"Erro","")</f>
        <v/>
      </c>
    </row>
    <row r="2156" spans="1:9" ht="20" hidden="1">
      <c r="A2156" s="345">
        <v>2548</v>
      </c>
      <c r="B2156" s="346" t="s">
        <v>206</v>
      </c>
      <c r="C2156" s="347">
        <v>1100</v>
      </c>
      <c r="D2156" s="348">
        <v>46023</v>
      </c>
      <c r="E2156" s="348">
        <v>46357</v>
      </c>
      <c r="F2156" s="346" t="s">
        <v>612</v>
      </c>
      <c r="G2156" s="349" t="s">
        <v>439</v>
      </c>
      <c r="H2156" s="350">
        <f t="shared" si="44"/>
        <v>13200</v>
      </c>
      <c r="I2156" s="120" t="str">
        <f>IF(OR(D2156&lt;Capa!$A$5,D2156&gt;Capa!$A$7,E2156&lt;Capa!$A$5,E2156&gt;Capa!$A$7,D2156&gt;E2156),"Erro","")</f>
        <v/>
      </c>
    </row>
    <row r="2157" spans="1:9" ht="20" hidden="1">
      <c r="A2157" s="345">
        <v>2549</v>
      </c>
      <c r="B2157" s="346" t="s">
        <v>206</v>
      </c>
      <c r="C2157" s="347">
        <v>1100</v>
      </c>
      <c r="D2157" s="348">
        <v>46388</v>
      </c>
      <c r="E2157" s="348">
        <v>46722</v>
      </c>
      <c r="F2157" s="346" t="s">
        <v>612</v>
      </c>
      <c r="G2157" s="349" t="s">
        <v>439</v>
      </c>
      <c r="H2157" s="350">
        <f t="shared" si="44"/>
        <v>13200</v>
      </c>
      <c r="I2157" s="120" t="str">
        <f>IF(OR(D2157&lt;Capa!$A$5,D2157&gt;Capa!$A$7,E2157&lt;Capa!$A$5,E2157&gt;Capa!$A$7,D2157&gt;E2157),"Erro","")</f>
        <v/>
      </c>
    </row>
    <row r="2158" spans="1:9" ht="20" hidden="1">
      <c r="A2158" s="345">
        <v>2550</v>
      </c>
      <c r="B2158" s="346" t="s">
        <v>206</v>
      </c>
      <c r="C2158" s="347">
        <v>550</v>
      </c>
      <c r="D2158" s="348">
        <v>46753</v>
      </c>
      <c r="E2158" s="348">
        <v>47058</v>
      </c>
      <c r="F2158" s="346" t="s">
        <v>612</v>
      </c>
      <c r="G2158" s="349" t="s">
        <v>439</v>
      </c>
      <c r="H2158" s="350">
        <f t="shared" si="44"/>
        <v>6050</v>
      </c>
      <c r="I2158" s="120" t="str">
        <f>IF(OR(D2158&lt;Capa!$A$5,D2158&gt;Capa!$A$7,E2158&lt;Capa!$A$5,E2158&gt;Capa!$A$7,D2158&gt;E2158),"Erro","")</f>
        <v/>
      </c>
    </row>
    <row r="2159" spans="1:9" ht="20" hidden="1">
      <c r="A2159" s="345">
        <v>2552</v>
      </c>
      <c r="B2159" s="346" t="s">
        <v>208</v>
      </c>
      <c r="C2159" s="347">
        <v>800</v>
      </c>
      <c r="D2159" s="348">
        <v>45658</v>
      </c>
      <c r="E2159" s="348">
        <v>45992</v>
      </c>
      <c r="F2159" s="346" t="s">
        <v>612</v>
      </c>
      <c r="G2159" s="349" t="s">
        <v>439</v>
      </c>
      <c r="H2159" s="350">
        <f t="shared" si="44"/>
        <v>9600</v>
      </c>
      <c r="I2159" s="120" t="str">
        <f>IF(OR(D2159&lt;Capa!$A$5,D2159&gt;Capa!$A$7,E2159&lt;Capa!$A$5,E2159&gt;Capa!$A$7,D2159&gt;E2159),"Erro","")</f>
        <v/>
      </c>
    </row>
    <row r="2160" spans="1:9" ht="20" hidden="1">
      <c r="A2160" s="345">
        <v>2553</v>
      </c>
      <c r="B2160" s="346" t="s">
        <v>208</v>
      </c>
      <c r="C2160" s="347">
        <v>800</v>
      </c>
      <c r="D2160" s="348">
        <v>46023</v>
      </c>
      <c r="E2160" s="348">
        <v>46357</v>
      </c>
      <c r="F2160" s="346" t="s">
        <v>612</v>
      </c>
      <c r="G2160" s="349" t="s">
        <v>439</v>
      </c>
      <c r="H2160" s="350">
        <f t="shared" si="44"/>
        <v>9600</v>
      </c>
      <c r="I2160" s="120" t="str">
        <f>IF(OR(D2160&lt;Capa!$A$5,D2160&gt;Capa!$A$7,E2160&lt;Capa!$A$5,E2160&gt;Capa!$A$7,D2160&gt;E2160),"Erro","")</f>
        <v/>
      </c>
    </row>
    <row r="2161" spans="1:9" ht="20" hidden="1">
      <c r="A2161" s="345">
        <v>2554</v>
      </c>
      <c r="B2161" s="346" t="s">
        <v>208</v>
      </c>
      <c r="C2161" s="347">
        <v>800</v>
      </c>
      <c r="D2161" s="348">
        <v>46388</v>
      </c>
      <c r="E2161" s="348">
        <v>46722</v>
      </c>
      <c r="F2161" s="346" t="s">
        <v>612</v>
      </c>
      <c r="G2161" s="349" t="s">
        <v>439</v>
      </c>
      <c r="H2161" s="350">
        <f t="shared" si="44"/>
        <v>9600</v>
      </c>
      <c r="I2161" s="120" t="str">
        <f>IF(OR(D2161&lt;Capa!$A$5,D2161&gt;Capa!$A$7,E2161&lt;Capa!$A$5,E2161&gt;Capa!$A$7,D2161&gt;E2161),"Erro","")</f>
        <v/>
      </c>
    </row>
    <row r="2162" spans="1:9" ht="20" hidden="1">
      <c r="A2162" s="345">
        <v>2555</v>
      </c>
      <c r="B2162" s="346" t="s">
        <v>208</v>
      </c>
      <c r="C2162" s="347">
        <v>400</v>
      </c>
      <c r="D2162" s="348">
        <v>46753</v>
      </c>
      <c r="E2162" s="348">
        <v>47058</v>
      </c>
      <c r="F2162" s="346" t="s">
        <v>612</v>
      </c>
      <c r="G2162" s="349" t="s">
        <v>439</v>
      </c>
      <c r="H2162" s="350">
        <f t="shared" si="44"/>
        <v>4400</v>
      </c>
      <c r="I2162" s="120" t="str">
        <f>IF(OR(D2162&lt;Capa!$A$5,D2162&gt;Capa!$A$7,E2162&lt;Capa!$A$5,E2162&gt;Capa!$A$7,D2162&gt;E2162),"Erro","")</f>
        <v/>
      </c>
    </row>
    <row r="2163" spans="1:9" ht="20" hidden="1">
      <c r="A2163" s="345">
        <v>2557</v>
      </c>
      <c r="B2163" s="346" t="s">
        <v>210</v>
      </c>
      <c r="C2163" s="347">
        <v>60</v>
      </c>
      <c r="D2163" s="348">
        <v>45658</v>
      </c>
      <c r="E2163" s="348">
        <v>45992</v>
      </c>
      <c r="F2163" s="346" t="s">
        <v>612</v>
      </c>
      <c r="G2163" s="349" t="s">
        <v>439</v>
      </c>
      <c r="H2163" s="350">
        <f t="shared" si="44"/>
        <v>720</v>
      </c>
      <c r="I2163" s="120" t="str">
        <f>IF(OR(D2163&lt;Capa!$A$5,D2163&gt;Capa!$A$7,E2163&lt;Capa!$A$5,E2163&gt;Capa!$A$7,D2163&gt;E2163),"Erro","")</f>
        <v/>
      </c>
    </row>
    <row r="2164" spans="1:9" ht="20" hidden="1">
      <c r="A2164" s="345">
        <v>2558</v>
      </c>
      <c r="B2164" s="346" t="s">
        <v>210</v>
      </c>
      <c r="C2164" s="347">
        <v>60</v>
      </c>
      <c r="D2164" s="348">
        <v>46023</v>
      </c>
      <c r="E2164" s="348">
        <v>46357</v>
      </c>
      <c r="F2164" s="346" t="s">
        <v>612</v>
      </c>
      <c r="G2164" s="349" t="s">
        <v>439</v>
      </c>
      <c r="H2164" s="350">
        <f t="shared" si="44"/>
        <v>720</v>
      </c>
      <c r="I2164" s="120" t="str">
        <f>IF(OR(D2164&lt;Capa!$A$5,D2164&gt;Capa!$A$7,E2164&lt;Capa!$A$5,E2164&gt;Capa!$A$7,D2164&gt;E2164),"Erro","")</f>
        <v/>
      </c>
    </row>
    <row r="2165" spans="1:9" ht="20" hidden="1">
      <c r="A2165" s="345">
        <v>2559</v>
      </c>
      <c r="B2165" s="346" t="s">
        <v>210</v>
      </c>
      <c r="C2165" s="347">
        <v>60</v>
      </c>
      <c r="D2165" s="348">
        <v>46388</v>
      </c>
      <c r="E2165" s="348">
        <v>46722</v>
      </c>
      <c r="F2165" s="346" t="s">
        <v>612</v>
      </c>
      <c r="G2165" s="349" t="s">
        <v>439</v>
      </c>
      <c r="H2165" s="350">
        <f t="shared" si="44"/>
        <v>720</v>
      </c>
      <c r="I2165" s="120" t="str">
        <f>IF(OR(D2165&lt;Capa!$A$5,D2165&gt;Capa!$A$7,E2165&lt;Capa!$A$5,E2165&gt;Capa!$A$7,D2165&gt;E2165),"Erro","")</f>
        <v/>
      </c>
    </row>
    <row r="2166" spans="1:9" ht="20" hidden="1">
      <c r="A2166" s="345">
        <v>2560</v>
      </c>
      <c r="B2166" s="346" t="s">
        <v>210</v>
      </c>
      <c r="C2166" s="347">
        <v>49</v>
      </c>
      <c r="D2166" s="348">
        <v>46753</v>
      </c>
      <c r="E2166" s="348">
        <v>47058</v>
      </c>
      <c r="F2166" s="346" t="s">
        <v>612</v>
      </c>
      <c r="G2166" s="349" t="s">
        <v>439</v>
      </c>
      <c r="H2166" s="350">
        <f t="shared" si="44"/>
        <v>539</v>
      </c>
      <c r="I2166" s="120" t="str">
        <f>IF(OR(D2166&lt;Capa!$A$5,D2166&gt;Capa!$A$7,E2166&lt;Capa!$A$5,E2166&gt;Capa!$A$7,D2166&gt;E2166),"Erro","")</f>
        <v/>
      </c>
    </row>
    <row r="2167" spans="1:9" ht="20" hidden="1">
      <c r="A2167" s="345">
        <v>2562</v>
      </c>
      <c r="B2167" s="346" t="s">
        <v>214</v>
      </c>
      <c r="C2167" s="347">
        <v>140</v>
      </c>
      <c r="D2167" s="348">
        <v>45658</v>
      </c>
      <c r="E2167" s="348">
        <v>45992</v>
      </c>
      <c r="F2167" s="346" t="s">
        <v>612</v>
      </c>
      <c r="G2167" s="349" t="s">
        <v>439</v>
      </c>
      <c r="H2167" s="350">
        <f t="shared" si="44"/>
        <v>1680</v>
      </c>
      <c r="I2167" s="120" t="str">
        <f>IF(OR(D2167&lt;Capa!$A$5,D2167&gt;Capa!$A$7,E2167&lt;Capa!$A$5,E2167&gt;Capa!$A$7,D2167&gt;E2167),"Erro","")</f>
        <v/>
      </c>
    </row>
    <row r="2168" spans="1:9" ht="20" hidden="1">
      <c r="A2168" s="345">
        <v>2563</v>
      </c>
      <c r="B2168" s="346" t="s">
        <v>214</v>
      </c>
      <c r="C2168" s="347">
        <v>140</v>
      </c>
      <c r="D2168" s="348">
        <v>46023</v>
      </c>
      <c r="E2168" s="348">
        <v>46357</v>
      </c>
      <c r="F2168" s="346" t="s">
        <v>612</v>
      </c>
      <c r="G2168" s="349" t="s">
        <v>439</v>
      </c>
      <c r="H2168" s="350">
        <f t="shared" si="44"/>
        <v>1680</v>
      </c>
      <c r="I2168" s="120" t="str">
        <f>IF(OR(D2168&lt;Capa!$A$5,D2168&gt;Capa!$A$7,E2168&lt;Capa!$A$5,E2168&gt;Capa!$A$7,D2168&gt;E2168),"Erro","")</f>
        <v/>
      </c>
    </row>
    <row r="2169" spans="1:9" ht="20" hidden="1">
      <c r="A2169" s="345">
        <v>2564</v>
      </c>
      <c r="B2169" s="346" t="s">
        <v>214</v>
      </c>
      <c r="C2169" s="347">
        <v>140</v>
      </c>
      <c r="D2169" s="348">
        <v>46388</v>
      </c>
      <c r="E2169" s="348">
        <v>46722</v>
      </c>
      <c r="F2169" s="346" t="s">
        <v>612</v>
      </c>
      <c r="G2169" s="349" t="s">
        <v>439</v>
      </c>
      <c r="H2169" s="350">
        <f t="shared" si="44"/>
        <v>1680</v>
      </c>
      <c r="I2169" s="120" t="str">
        <f>IF(OR(D2169&lt;Capa!$A$5,D2169&gt;Capa!$A$7,E2169&lt;Capa!$A$5,E2169&gt;Capa!$A$7,D2169&gt;E2169),"Erro","")</f>
        <v/>
      </c>
    </row>
    <row r="2170" spans="1:9" ht="20" hidden="1">
      <c r="A2170" s="345">
        <v>2565</v>
      </c>
      <c r="B2170" s="346" t="s">
        <v>214</v>
      </c>
      <c r="C2170" s="347">
        <v>70</v>
      </c>
      <c r="D2170" s="348">
        <v>46753</v>
      </c>
      <c r="E2170" s="348">
        <v>47058</v>
      </c>
      <c r="F2170" s="346" t="s">
        <v>612</v>
      </c>
      <c r="G2170" s="349" t="s">
        <v>439</v>
      </c>
      <c r="H2170" s="350">
        <f t="shared" si="44"/>
        <v>770</v>
      </c>
      <c r="I2170" s="120" t="str">
        <f>IF(OR(D2170&lt;Capa!$A$5,D2170&gt;Capa!$A$7,E2170&lt;Capa!$A$5,E2170&gt;Capa!$A$7,D2170&gt;E2170),"Erro","")</f>
        <v/>
      </c>
    </row>
    <row r="2171" spans="1:9" ht="20" hidden="1">
      <c r="A2171" s="345">
        <v>2567</v>
      </c>
      <c r="B2171" s="346" t="s">
        <v>212</v>
      </c>
      <c r="C2171" s="347">
        <v>260</v>
      </c>
      <c r="D2171" s="348">
        <v>45658</v>
      </c>
      <c r="E2171" s="348">
        <v>45992</v>
      </c>
      <c r="F2171" s="346" t="s">
        <v>612</v>
      </c>
      <c r="G2171" s="349" t="s">
        <v>439</v>
      </c>
      <c r="H2171" s="350">
        <f t="shared" si="44"/>
        <v>3120</v>
      </c>
      <c r="I2171" s="120" t="str">
        <f>IF(OR(D2171&lt;Capa!$A$5,D2171&gt;Capa!$A$7,E2171&lt;Capa!$A$5,E2171&gt;Capa!$A$7,D2171&gt;E2171),"Erro","")</f>
        <v/>
      </c>
    </row>
    <row r="2172" spans="1:9" ht="20" hidden="1">
      <c r="A2172" s="345">
        <v>2568</v>
      </c>
      <c r="B2172" s="346" t="s">
        <v>212</v>
      </c>
      <c r="C2172" s="347">
        <v>260</v>
      </c>
      <c r="D2172" s="348">
        <v>46023</v>
      </c>
      <c r="E2172" s="348">
        <v>46357</v>
      </c>
      <c r="F2172" s="346" t="s">
        <v>612</v>
      </c>
      <c r="G2172" s="349" t="s">
        <v>439</v>
      </c>
      <c r="H2172" s="350">
        <f t="shared" si="44"/>
        <v>3120</v>
      </c>
      <c r="I2172" s="120" t="str">
        <f>IF(OR(D2172&lt;Capa!$A$5,D2172&gt;Capa!$A$7,E2172&lt;Capa!$A$5,E2172&gt;Capa!$A$7,D2172&gt;E2172),"Erro","")</f>
        <v/>
      </c>
    </row>
    <row r="2173" spans="1:9" ht="20" hidden="1">
      <c r="A2173" s="345">
        <v>2569</v>
      </c>
      <c r="B2173" s="346" t="s">
        <v>212</v>
      </c>
      <c r="C2173" s="347">
        <v>260</v>
      </c>
      <c r="D2173" s="348">
        <v>46388</v>
      </c>
      <c r="E2173" s="348">
        <v>46722</v>
      </c>
      <c r="F2173" s="346" t="s">
        <v>612</v>
      </c>
      <c r="G2173" s="349" t="s">
        <v>439</v>
      </c>
      <c r="H2173" s="350">
        <f t="shared" si="44"/>
        <v>3120</v>
      </c>
      <c r="I2173" s="120" t="str">
        <f>IF(OR(D2173&lt;Capa!$A$5,D2173&gt;Capa!$A$7,E2173&lt;Capa!$A$5,E2173&gt;Capa!$A$7,D2173&gt;E2173),"Erro","")</f>
        <v/>
      </c>
    </row>
    <row r="2174" spans="1:9" ht="20" hidden="1">
      <c r="A2174" s="345">
        <v>2570</v>
      </c>
      <c r="B2174" s="346" t="s">
        <v>212</v>
      </c>
      <c r="C2174" s="347">
        <v>220</v>
      </c>
      <c r="D2174" s="348">
        <v>46753</v>
      </c>
      <c r="E2174" s="348">
        <v>47058</v>
      </c>
      <c r="F2174" s="346" t="s">
        <v>612</v>
      </c>
      <c r="G2174" s="349" t="s">
        <v>439</v>
      </c>
      <c r="H2174" s="350">
        <f t="shared" si="44"/>
        <v>2420</v>
      </c>
      <c r="I2174" s="120" t="str">
        <f>IF(OR(D2174&lt;Capa!$A$5,D2174&gt;Capa!$A$7,E2174&lt;Capa!$A$5,E2174&gt;Capa!$A$7,D2174&gt;E2174),"Erro","")</f>
        <v/>
      </c>
    </row>
    <row r="2175" spans="1:9" ht="40" hidden="1">
      <c r="A2175" s="345">
        <v>2571</v>
      </c>
      <c r="B2175" s="346" t="s">
        <v>248</v>
      </c>
      <c r="C2175" s="347">
        <v>846</v>
      </c>
      <c r="D2175" s="348">
        <v>45658</v>
      </c>
      <c r="E2175" s="348">
        <v>45748</v>
      </c>
      <c r="F2175" s="346" t="s">
        <v>612</v>
      </c>
      <c r="G2175" s="349" t="s">
        <v>440</v>
      </c>
      <c r="H2175" s="350">
        <f t="shared" si="44"/>
        <v>3384</v>
      </c>
      <c r="I2175" s="120" t="str">
        <f>IF(OR(D2175&lt;Capa!$A$5,D2175&gt;Capa!$A$7,E2175&lt;Capa!$A$5,E2175&gt;Capa!$A$7,D2175&gt;E2175),"Erro","")</f>
        <v/>
      </c>
    </row>
    <row r="2176" spans="1:9" ht="40" hidden="1">
      <c r="A2176" s="345">
        <v>2572</v>
      </c>
      <c r="B2176" s="346" t="s">
        <v>248</v>
      </c>
      <c r="C2176" s="347">
        <v>846</v>
      </c>
      <c r="D2176" s="348">
        <v>46023</v>
      </c>
      <c r="E2176" s="348">
        <v>46113</v>
      </c>
      <c r="F2176" s="346" t="s">
        <v>612</v>
      </c>
      <c r="G2176" s="349" t="s">
        <v>440</v>
      </c>
      <c r="H2176" s="350">
        <f t="shared" si="44"/>
        <v>3384</v>
      </c>
      <c r="I2176" s="120" t="str">
        <f>IF(OR(D2176&lt;Capa!$A$5,D2176&gt;Capa!$A$7,E2176&lt;Capa!$A$5,E2176&gt;Capa!$A$7,D2176&gt;E2176),"Erro","")</f>
        <v/>
      </c>
    </row>
    <row r="2177" spans="1:9" ht="40" hidden="1">
      <c r="A2177" s="345">
        <v>2573</v>
      </c>
      <c r="B2177" s="346" t="s">
        <v>248</v>
      </c>
      <c r="C2177" s="347">
        <v>846</v>
      </c>
      <c r="D2177" s="348">
        <v>46388</v>
      </c>
      <c r="E2177" s="348">
        <v>46478</v>
      </c>
      <c r="F2177" s="346" t="s">
        <v>612</v>
      </c>
      <c r="G2177" s="349" t="s">
        <v>440</v>
      </c>
      <c r="H2177" s="350">
        <f t="shared" si="44"/>
        <v>3384</v>
      </c>
      <c r="I2177" s="120" t="str">
        <f>IF(OR(D2177&lt;Capa!$A$5,D2177&gt;Capa!$A$7,E2177&lt;Capa!$A$5,E2177&gt;Capa!$A$7,D2177&gt;E2177),"Erro","")</f>
        <v/>
      </c>
    </row>
    <row r="2178" spans="1:9" ht="40" hidden="1">
      <c r="A2178" s="345">
        <v>2574</v>
      </c>
      <c r="B2178" s="346" t="s">
        <v>248</v>
      </c>
      <c r="C2178" s="347">
        <v>500</v>
      </c>
      <c r="D2178" s="348">
        <v>46753</v>
      </c>
      <c r="E2178" s="348">
        <v>46844</v>
      </c>
      <c r="F2178" s="346" t="s">
        <v>612</v>
      </c>
      <c r="G2178" s="349" t="s">
        <v>440</v>
      </c>
      <c r="H2178" s="350">
        <f t="shared" si="44"/>
        <v>2000</v>
      </c>
      <c r="I2178" s="120" t="str">
        <f>IF(OR(D2178&lt;Capa!$A$5,D2178&gt;Capa!$A$7,E2178&lt;Capa!$A$5,E2178&gt;Capa!$A$7,D2178&gt;E2178),"Erro","")</f>
        <v/>
      </c>
    </row>
    <row r="2179" spans="1:9" ht="30" hidden="1">
      <c r="A2179" s="345">
        <v>2575</v>
      </c>
      <c r="B2179" s="346" t="s">
        <v>266</v>
      </c>
      <c r="C2179" s="347">
        <v>1500</v>
      </c>
      <c r="D2179" s="348">
        <v>45658</v>
      </c>
      <c r="E2179" s="348">
        <v>45658</v>
      </c>
      <c r="F2179" s="346" t="s">
        <v>612</v>
      </c>
      <c r="G2179" s="349" t="s">
        <v>441</v>
      </c>
      <c r="H2179" s="350">
        <f t="shared" si="44"/>
        <v>1500</v>
      </c>
      <c r="I2179" s="120" t="str">
        <f>IF(OR(D2179&lt;Capa!$A$5,D2179&gt;Capa!$A$7,E2179&lt;Capa!$A$5,E2179&gt;Capa!$A$7,D2179&gt;E2179),"Erro","")</f>
        <v/>
      </c>
    </row>
    <row r="2180" spans="1:9" ht="30" hidden="1">
      <c r="A2180" s="345">
        <v>2576</v>
      </c>
      <c r="B2180" s="346" t="s">
        <v>266</v>
      </c>
      <c r="C2180" s="347">
        <v>1500</v>
      </c>
      <c r="D2180" s="348">
        <v>46023</v>
      </c>
      <c r="E2180" s="348">
        <v>46023</v>
      </c>
      <c r="F2180" s="346" t="s">
        <v>612</v>
      </c>
      <c r="G2180" s="349" t="s">
        <v>441</v>
      </c>
      <c r="H2180" s="350">
        <f t="shared" si="44"/>
        <v>1500</v>
      </c>
      <c r="I2180" s="120" t="str">
        <f>IF(OR(D2180&lt;Capa!$A$5,D2180&gt;Capa!$A$7,E2180&lt;Capa!$A$5,E2180&gt;Capa!$A$7,D2180&gt;E2180),"Erro","")</f>
        <v/>
      </c>
    </row>
    <row r="2181" spans="1:9" ht="30" hidden="1">
      <c r="A2181" s="345">
        <v>2577</v>
      </c>
      <c r="B2181" s="346" t="s">
        <v>266</v>
      </c>
      <c r="C2181" s="347">
        <v>1500</v>
      </c>
      <c r="D2181" s="348">
        <v>46388</v>
      </c>
      <c r="E2181" s="348">
        <v>46388</v>
      </c>
      <c r="F2181" s="346" t="s">
        <v>612</v>
      </c>
      <c r="G2181" s="349" t="s">
        <v>441</v>
      </c>
      <c r="H2181" s="350">
        <f t="shared" si="44"/>
        <v>1500</v>
      </c>
      <c r="I2181" s="120" t="str">
        <f>IF(OR(D2181&lt;Capa!$A$5,D2181&gt;Capa!$A$7,E2181&lt;Capa!$A$5,E2181&gt;Capa!$A$7,D2181&gt;E2181),"Erro","")</f>
        <v/>
      </c>
    </row>
    <row r="2182" spans="1:9" ht="30" hidden="1">
      <c r="A2182" s="345">
        <v>2578</v>
      </c>
      <c r="B2182" s="346" t="s">
        <v>266</v>
      </c>
      <c r="C2182" s="347">
        <v>750</v>
      </c>
      <c r="D2182" s="348">
        <v>46753</v>
      </c>
      <c r="E2182" s="348">
        <v>46753</v>
      </c>
      <c r="F2182" s="346" t="s">
        <v>612</v>
      </c>
      <c r="G2182" s="349" t="s">
        <v>441</v>
      </c>
      <c r="H2182" s="350">
        <f t="shared" si="44"/>
        <v>750</v>
      </c>
      <c r="I2182" s="120" t="str">
        <f>IF(OR(D2182&lt;Capa!$A$5,D2182&gt;Capa!$A$7,E2182&lt;Capa!$A$5,E2182&gt;Capa!$A$7,D2182&gt;E2182),"Erro","")</f>
        <v/>
      </c>
    </row>
    <row r="2183" spans="1:9" hidden="1">
      <c r="A2183" s="345">
        <v>2580</v>
      </c>
      <c r="B2183" s="346" t="s">
        <v>274</v>
      </c>
      <c r="C2183" s="347">
        <v>850</v>
      </c>
      <c r="D2183" s="348">
        <v>45658</v>
      </c>
      <c r="E2183" s="348">
        <v>45992</v>
      </c>
      <c r="F2183" s="346" t="s">
        <v>612</v>
      </c>
      <c r="G2183" s="349" t="s">
        <v>442</v>
      </c>
      <c r="H2183" s="350">
        <f t="shared" si="44"/>
        <v>10200</v>
      </c>
      <c r="I2183" s="120" t="str">
        <f>IF(OR(D2183&lt;Capa!$A$5,D2183&gt;Capa!$A$7,E2183&lt;Capa!$A$5,E2183&gt;Capa!$A$7,D2183&gt;E2183),"Erro","")</f>
        <v/>
      </c>
    </row>
    <row r="2184" spans="1:9" hidden="1">
      <c r="A2184" s="345">
        <v>2581</v>
      </c>
      <c r="B2184" s="346" t="s">
        <v>274</v>
      </c>
      <c r="C2184" s="347">
        <v>850</v>
      </c>
      <c r="D2184" s="348">
        <v>46023</v>
      </c>
      <c r="E2184" s="348">
        <v>46357</v>
      </c>
      <c r="F2184" s="346" t="s">
        <v>612</v>
      </c>
      <c r="G2184" s="349" t="s">
        <v>442</v>
      </c>
      <c r="H2184" s="350">
        <f t="shared" si="44"/>
        <v>10200</v>
      </c>
      <c r="I2184" s="120" t="str">
        <f>IF(OR(D2184&lt;Capa!$A$5,D2184&gt;Capa!$A$7,E2184&lt;Capa!$A$5,E2184&gt;Capa!$A$7,D2184&gt;E2184),"Erro","")</f>
        <v/>
      </c>
    </row>
    <row r="2185" spans="1:9" hidden="1">
      <c r="A2185" s="345">
        <v>2582</v>
      </c>
      <c r="B2185" s="346" t="s">
        <v>274</v>
      </c>
      <c r="C2185" s="347">
        <v>850</v>
      </c>
      <c r="D2185" s="348">
        <v>46388</v>
      </c>
      <c r="E2185" s="348">
        <v>46722</v>
      </c>
      <c r="F2185" s="346" t="s">
        <v>612</v>
      </c>
      <c r="G2185" s="349" t="s">
        <v>442</v>
      </c>
      <c r="H2185" s="350">
        <f t="shared" si="44"/>
        <v>10200</v>
      </c>
      <c r="I2185" s="120" t="str">
        <f>IF(OR(D2185&lt;Capa!$A$5,D2185&gt;Capa!$A$7,E2185&lt;Capa!$A$5,E2185&gt;Capa!$A$7,D2185&gt;E2185),"Erro","")</f>
        <v/>
      </c>
    </row>
    <row r="2186" spans="1:9" hidden="1">
      <c r="A2186" s="345">
        <v>2583</v>
      </c>
      <c r="B2186" s="346" t="s">
        <v>274</v>
      </c>
      <c r="C2186" s="347">
        <v>450</v>
      </c>
      <c r="D2186" s="348">
        <v>46753</v>
      </c>
      <c r="E2186" s="348">
        <v>47058</v>
      </c>
      <c r="F2186" s="346" t="s">
        <v>612</v>
      </c>
      <c r="G2186" s="349" t="s">
        <v>442</v>
      </c>
      <c r="H2186" s="350">
        <f t="shared" si="44"/>
        <v>4950</v>
      </c>
      <c r="I2186" s="120" t="str">
        <f>IF(OR(D2186&lt;Capa!$A$5,D2186&gt;Capa!$A$7,E2186&lt;Capa!$A$5,E2186&gt;Capa!$A$7,D2186&gt;E2186),"Erro","")</f>
        <v/>
      </c>
    </row>
    <row r="2187" spans="1:9" ht="40" hidden="1">
      <c r="A2187" s="345">
        <v>2585</v>
      </c>
      <c r="B2187" s="346" t="s">
        <v>236</v>
      </c>
      <c r="C2187" s="347">
        <v>450</v>
      </c>
      <c r="D2187" s="348">
        <v>45658</v>
      </c>
      <c r="E2187" s="348">
        <v>45992</v>
      </c>
      <c r="F2187" s="346" t="s">
        <v>612</v>
      </c>
      <c r="G2187" s="349" t="s">
        <v>443</v>
      </c>
      <c r="H2187" s="350">
        <f t="shared" si="44"/>
        <v>5400</v>
      </c>
      <c r="I2187" s="120" t="str">
        <f>IF(OR(D2187&lt;Capa!$A$5,D2187&gt;Capa!$A$7,E2187&lt;Capa!$A$5,E2187&gt;Capa!$A$7,D2187&gt;E2187),"Erro","")</f>
        <v/>
      </c>
    </row>
    <row r="2188" spans="1:9" ht="40" hidden="1">
      <c r="A2188" s="345">
        <v>2586</v>
      </c>
      <c r="B2188" s="346" t="s">
        <v>236</v>
      </c>
      <c r="C2188" s="347">
        <v>450</v>
      </c>
      <c r="D2188" s="348">
        <v>46023</v>
      </c>
      <c r="E2188" s="348">
        <v>46357</v>
      </c>
      <c r="F2188" s="346" t="s">
        <v>612</v>
      </c>
      <c r="G2188" s="349" t="s">
        <v>443</v>
      </c>
      <c r="H2188" s="350">
        <f t="shared" si="44"/>
        <v>5400</v>
      </c>
      <c r="I2188" s="120" t="str">
        <f>IF(OR(D2188&lt;Capa!$A$5,D2188&gt;Capa!$A$7,E2188&lt;Capa!$A$5,E2188&gt;Capa!$A$7,D2188&gt;E2188),"Erro","")</f>
        <v/>
      </c>
    </row>
    <row r="2189" spans="1:9" ht="40" hidden="1">
      <c r="A2189" s="345">
        <v>2587</v>
      </c>
      <c r="B2189" s="346" t="s">
        <v>236</v>
      </c>
      <c r="C2189" s="347">
        <v>450</v>
      </c>
      <c r="D2189" s="348">
        <v>46388</v>
      </c>
      <c r="E2189" s="348">
        <v>46722</v>
      </c>
      <c r="F2189" s="346" t="s">
        <v>612</v>
      </c>
      <c r="G2189" s="349" t="s">
        <v>443</v>
      </c>
      <c r="H2189" s="350">
        <f t="shared" si="44"/>
        <v>5400</v>
      </c>
      <c r="I2189" s="120" t="str">
        <f>IF(OR(D2189&lt;Capa!$A$5,D2189&gt;Capa!$A$7,E2189&lt;Capa!$A$5,E2189&gt;Capa!$A$7,D2189&gt;E2189),"Erro","")</f>
        <v/>
      </c>
    </row>
    <row r="2190" spans="1:9" ht="40" hidden="1">
      <c r="A2190" s="345">
        <v>2588</v>
      </c>
      <c r="B2190" s="346" t="s">
        <v>236</v>
      </c>
      <c r="C2190" s="347">
        <v>200</v>
      </c>
      <c r="D2190" s="348">
        <v>46753</v>
      </c>
      <c r="E2190" s="348">
        <v>47058</v>
      </c>
      <c r="F2190" s="346" t="s">
        <v>612</v>
      </c>
      <c r="G2190" s="349" t="s">
        <v>443</v>
      </c>
      <c r="H2190" s="350">
        <f t="shared" si="44"/>
        <v>2200</v>
      </c>
      <c r="I2190" s="120" t="str">
        <f>IF(OR(D2190&lt;Capa!$A$5,D2190&gt;Capa!$A$7,E2190&lt;Capa!$A$5,E2190&gt;Capa!$A$7,D2190&gt;E2190),"Erro","")</f>
        <v/>
      </c>
    </row>
    <row r="2191" spans="1:9" ht="30" hidden="1">
      <c r="A2191" s="345">
        <v>2590</v>
      </c>
      <c r="B2191" s="346" t="s">
        <v>240</v>
      </c>
      <c r="C2191" s="347">
        <v>50</v>
      </c>
      <c r="D2191" s="348">
        <v>45658</v>
      </c>
      <c r="E2191" s="348">
        <v>45992</v>
      </c>
      <c r="F2191" s="346" t="s">
        <v>612</v>
      </c>
      <c r="G2191" s="349" t="s">
        <v>444</v>
      </c>
      <c r="H2191" s="350">
        <f t="shared" si="44"/>
        <v>600</v>
      </c>
      <c r="I2191" s="120" t="str">
        <f>IF(OR(D2191&lt;Capa!$A$5,D2191&gt;Capa!$A$7,E2191&lt;Capa!$A$5,E2191&gt;Capa!$A$7,D2191&gt;E2191),"Erro","")</f>
        <v/>
      </c>
    </row>
    <row r="2192" spans="1:9" ht="30" hidden="1">
      <c r="A2192" s="345">
        <v>2591</v>
      </c>
      <c r="B2192" s="346" t="s">
        <v>240</v>
      </c>
      <c r="C2192" s="347">
        <v>50</v>
      </c>
      <c r="D2192" s="348">
        <v>46023</v>
      </c>
      <c r="E2192" s="348">
        <v>46357</v>
      </c>
      <c r="F2192" s="346" t="s">
        <v>612</v>
      </c>
      <c r="G2192" s="349" t="s">
        <v>444</v>
      </c>
      <c r="H2192" s="350">
        <f t="shared" si="44"/>
        <v>600</v>
      </c>
      <c r="I2192" s="120" t="str">
        <f>IF(OR(D2192&lt;Capa!$A$5,D2192&gt;Capa!$A$7,E2192&lt;Capa!$A$5,E2192&gt;Capa!$A$7,D2192&gt;E2192),"Erro","")</f>
        <v/>
      </c>
    </row>
    <row r="2193" spans="1:9" ht="30" hidden="1">
      <c r="A2193" s="345">
        <v>2592</v>
      </c>
      <c r="B2193" s="346" t="s">
        <v>240</v>
      </c>
      <c r="C2193" s="347">
        <v>50</v>
      </c>
      <c r="D2193" s="348">
        <v>46388</v>
      </c>
      <c r="E2193" s="348">
        <v>46722</v>
      </c>
      <c r="F2193" s="346" t="s">
        <v>612</v>
      </c>
      <c r="G2193" s="349" t="s">
        <v>444</v>
      </c>
      <c r="H2193" s="350">
        <f t="shared" si="44"/>
        <v>600</v>
      </c>
      <c r="I2193" s="120" t="str">
        <f>IF(OR(D2193&lt;Capa!$A$5,D2193&gt;Capa!$A$7,E2193&lt;Capa!$A$5,E2193&gt;Capa!$A$7,D2193&gt;E2193),"Erro","")</f>
        <v/>
      </c>
    </row>
    <row r="2194" spans="1:9" ht="30" hidden="1">
      <c r="A2194" s="345">
        <v>2593</v>
      </c>
      <c r="B2194" s="346" t="s">
        <v>240</v>
      </c>
      <c r="C2194" s="347">
        <v>25</v>
      </c>
      <c r="D2194" s="348">
        <v>46753</v>
      </c>
      <c r="E2194" s="348">
        <v>47058</v>
      </c>
      <c r="F2194" s="346" t="s">
        <v>612</v>
      </c>
      <c r="G2194" s="349" t="s">
        <v>444</v>
      </c>
      <c r="H2194" s="350">
        <f t="shared" si="44"/>
        <v>275</v>
      </c>
      <c r="I2194" s="120" t="str">
        <f>IF(OR(D2194&lt;Capa!$A$5,D2194&gt;Capa!$A$7,E2194&lt;Capa!$A$5,E2194&gt;Capa!$A$7,D2194&gt;E2194),"Erro","")</f>
        <v/>
      </c>
    </row>
    <row r="2195" spans="1:9" ht="30" hidden="1">
      <c r="A2195" s="345">
        <v>2595</v>
      </c>
      <c r="B2195" s="346" t="s">
        <v>244</v>
      </c>
      <c r="C2195" s="347">
        <v>250</v>
      </c>
      <c r="D2195" s="348">
        <v>45658</v>
      </c>
      <c r="E2195" s="348">
        <v>45992</v>
      </c>
      <c r="F2195" s="346" t="s">
        <v>612</v>
      </c>
      <c r="G2195" s="349" t="s">
        <v>445</v>
      </c>
      <c r="H2195" s="350">
        <f t="shared" si="44"/>
        <v>3000</v>
      </c>
      <c r="I2195" s="120" t="str">
        <f>IF(OR(D2195&lt;Capa!$A$5,D2195&gt;Capa!$A$7,E2195&lt;Capa!$A$5,E2195&gt;Capa!$A$7,D2195&gt;E2195),"Erro","")</f>
        <v/>
      </c>
    </row>
    <row r="2196" spans="1:9" ht="30" hidden="1">
      <c r="A2196" s="345">
        <v>2596</v>
      </c>
      <c r="B2196" s="346" t="s">
        <v>244</v>
      </c>
      <c r="C2196" s="347">
        <v>250</v>
      </c>
      <c r="D2196" s="348">
        <v>46023</v>
      </c>
      <c r="E2196" s="348">
        <v>46357</v>
      </c>
      <c r="F2196" s="346" t="s">
        <v>612</v>
      </c>
      <c r="G2196" s="349" t="s">
        <v>445</v>
      </c>
      <c r="H2196" s="350">
        <f t="shared" si="44"/>
        <v>3000</v>
      </c>
      <c r="I2196" s="120" t="str">
        <f>IF(OR(D2196&lt;Capa!$A$5,D2196&gt;Capa!$A$7,E2196&lt;Capa!$A$5,E2196&gt;Capa!$A$7,D2196&gt;E2196),"Erro","")</f>
        <v/>
      </c>
    </row>
    <row r="2197" spans="1:9" ht="30" hidden="1">
      <c r="A2197" s="345">
        <v>2597</v>
      </c>
      <c r="B2197" s="346" t="s">
        <v>244</v>
      </c>
      <c r="C2197" s="347">
        <v>250</v>
      </c>
      <c r="D2197" s="348">
        <v>46388</v>
      </c>
      <c r="E2197" s="348">
        <v>46722</v>
      </c>
      <c r="F2197" s="346" t="s">
        <v>612</v>
      </c>
      <c r="G2197" s="349" t="s">
        <v>445</v>
      </c>
      <c r="H2197" s="350">
        <f t="shared" si="44"/>
        <v>3000</v>
      </c>
      <c r="I2197" s="120" t="str">
        <f>IF(OR(D2197&lt;Capa!$A$5,D2197&gt;Capa!$A$7,E2197&lt;Capa!$A$5,E2197&gt;Capa!$A$7,D2197&gt;E2197),"Erro","")</f>
        <v/>
      </c>
    </row>
    <row r="2198" spans="1:9" ht="30" hidden="1">
      <c r="A2198" s="345">
        <v>2598</v>
      </c>
      <c r="B2198" s="346" t="s">
        <v>244</v>
      </c>
      <c r="C2198" s="347">
        <v>125</v>
      </c>
      <c r="D2198" s="348">
        <v>46753</v>
      </c>
      <c r="E2198" s="348">
        <v>47058</v>
      </c>
      <c r="F2198" s="346" t="s">
        <v>612</v>
      </c>
      <c r="G2198" s="349" t="s">
        <v>445</v>
      </c>
      <c r="H2198" s="350">
        <f t="shared" si="44"/>
        <v>1375</v>
      </c>
      <c r="I2198" s="120" t="str">
        <f>IF(OR(D2198&lt;Capa!$A$5,D2198&gt;Capa!$A$7,E2198&lt;Capa!$A$5,E2198&gt;Capa!$A$7,D2198&gt;E2198),"Erro","")</f>
        <v/>
      </c>
    </row>
    <row r="2199" spans="1:9" ht="20" hidden="1">
      <c r="A2199" s="345">
        <v>2599</v>
      </c>
      <c r="B2199" s="346" t="s">
        <v>246</v>
      </c>
      <c r="C2199" s="347">
        <v>390</v>
      </c>
      <c r="D2199" s="348">
        <v>45658</v>
      </c>
      <c r="E2199" s="348">
        <v>45992</v>
      </c>
      <c r="F2199" s="346" t="s">
        <v>612</v>
      </c>
      <c r="G2199" s="349" t="s">
        <v>446</v>
      </c>
      <c r="H2199" s="350">
        <f t="shared" si="44"/>
        <v>4680</v>
      </c>
      <c r="I2199" s="120" t="str">
        <f>IF(OR(D2199&lt;Capa!$A$5,D2199&gt;Capa!$A$7,E2199&lt;Capa!$A$5,E2199&gt;Capa!$A$7,D2199&gt;E2199),"Erro","")</f>
        <v/>
      </c>
    </row>
    <row r="2200" spans="1:9" ht="20" hidden="1">
      <c r="A2200" s="345">
        <v>2600</v>
      </c>
      <c r="B2200" s="346" t="s">
        <v>246</v>
      </c>
      <c r="C2200" s="347">
        <v>390</v>
      </c>
      <c r="D2200" s="348">
        <v>46023</v>
      </c>
      <c r="E2200" s="348">
        <v>46357</v>
      </c>
      <c r="F2200" s="346" t="s">
        <v>612</v>
      </c>
      <c r="G2200" s="349" t="s">
        <v>446</v>
      </c>
      <c r="H2200" s="350">
        <f t="shared" si="44"/>
        <v>4680</v>
      </c>
      <c r="I2200" s="120" t="str">
        <f>IF(OR(D2200&lt;Capa!$A$5,D2200&gt;Capa!$A$7,E2200&lt;Capa!$A$5,E2200&gt;Capa!$A$7,D2200&gt;E2200),"Erro","")</f>
        <v/>
      </c>
    </row>
    <row r="2201" spans="1:9" ht="20" hidden="1">
      <c r="A2201" s="345">
        <v>2601</v>
      </c>
      <c r="B2201" s="346" t="s">
        <v>246</v>
      </c>
      <c r="C2201" s="347">
        <v>390</v>
      </c>
      <c r="D2201" s="348">
        <v>46388</v>
      </c>
      <c r="E2201" s="348">
        <v>46722</v>
      </c>
      <c r="F2201" s="346" t="s">
        <v>612</v>
      </c>
      <c r="G2201" s="349" t="s">
        <v>446</v>
      </c>
      <c r="H2201" s="350">
        <f t="shared" ref="H2201:H2246" si="45">IFERROR((DATEDIF(D2201,E2201,"M")+1)*C2201,0)</f>
        <v>4680</v>
      </c>
      <c r="I2201" s="120" t="str">
        <f>IF(OR(D2201&lt;Capa!$A$5,D2201&gt;Capa!$A$7,E2201&lt;Capa!$A$5,E2201&gt;Capa!$A$7,D2201&gt;E2201),"Erro","")</f>
        <v/>
      </c>
    </row>
    <row r="2202" spans="1:9" ht="20" hidden="1">
      <c r="A2202" s="345">
        <v>2602</v>
      </c>
      <c r="B2202" s="346" t="s">
        <v>246</v>
      </c>
      <c r="C2202" s="347">
        <v>190</v>
      </c>
      <c r="D2202" s="348">
        <v>46753</v>
      </c>
      <c r="E2202" s="348">
        <v>47058</v>
      </c>
      <c r="F2202" s="346" t="s">
        <v>612</v>
      </c>
      <c r="G2202" s="349" t="s">
        <v>446</v>
      </c>
      <c r="H2202" s="350">
        <f t="shared" si="45"/>
        <v>2090</v>
      </c>
      <c r="I2202" s="120" t="str">
        <f>IF(OR(D2202&lt;Capa!$A$5,D2202&gt;Capa!$A$7,E2202&lt;Capa!$A$5,E2202&gt;Capa!$A$7,D2202&gt;E2202),"Erro","")</f>
        <v/>
      </c>
    </row>
    <row r="2203" spans="1:9" ht="30" hidden="1">
      <c r="A2203" s="345">
        <v>2604</v>
      </c>
      <c r="B2203" s="346" t="s">
        <v>258</v>
      </c>
      <c r="C2203" s="347">
        <v>50</v>
      </c>
      <c r="D2203" s="348">
        <v>45658</v>
      </c>
      <c r="E2203" s="348">
        <v>45992</v>
      </c>
      <c r="F2203" s="346" t="s">
        <v>612</v>
      </c>
      <c r="G2203" s="349" t="s">
        <v>447</v>
      </c>
      <c r="H2203" s="350">
        <f t="shared" si="45"/>
        <v>600</v>
      </c>
      <c r="I2203" s="120" t="str">
        <f>IF(OR(D2203&lt;Capa!$A$5,D2203&gt;Capa!$A$7,E2203&lt;Capa!$A$5,E2203&gt;Capa!$A$7,D2203&gt;E2203),"Erro","")</f>
        <v/>
      </c>
    </row>
    <row r="2204" spans="1:9" ht="30" hidden="1">
      <c r="A2204" s="345">
        <v>2605</v>
      </c>
      <c r="B2204" s="346" t="s">
        <v>258</v>
      </c>
      <c r="C2204" s="347">
        <v>50</v>
      </c>
      <c r="D2204" s="348">
        <v>46023</v>
      </c>
      <c r="E2204" s="348">
        <v>46357</v>
      </c>
      <c r="F2204" s="346" t="s">
        <v>612</v>
      </c>
      <c r="G2204" s="349" t="s">
        <v>447</v>
      </c>
      <c r="H2204" s="350">
        <f t="shared" si="45"/>
        <v>600</v>
      </c>
      <c r="I2204" s="120" t="str">
        <f>IF(OR(D2204&lt;Capa!$A$5,D2204&gt;Capa!$A$7,E2204&lt;Capa!$A$5,E2204&gt;Capa!$A$7,D2204&gt;E2204),"Erro","")</f>
        <v/>
      </c>
    </row>
    <row r="2205" spans="1:9" ht="30" hidden="1">
      <c r="A2205" s="345">
        <v>2606</v>
      </c>
      <c r="B2205" s="346" t="s">
        <v>258</v>
      </c>
      <c r="C2205" s="347">
        <v>50</v>
      </c>
      <c r="D2205" s="348">
        <v>46388</v>
      </c>
      <c r="E2205" s="348">
        <v>46722</v>
      </c>
      <c r="F2205" s="346" t="s">
        <v>612</v>
      </c>
      <c r="G2205" s="349" t="s">
        <v>447</v>
      </c>
      <c r="H2205" s="350">
        <f t="shared" si="45"/>
        <v>600</v>
      </c>
      <c r="I2205" s="120" t="str">
        <f>IF(OR(D2205&lt;Capa!$A$5,D2205&gt;Capa!$A$7,E2205&lt;Capa!$A$5,E2205&gt;Capa!$A$7,D2205&gt;E2205),"Erro","")</f>
        <v/>
      </c>
    </row>
    <row r="2206" spans="1:9" ht="30" hidden="1">
      <c r="A2206" s="345">
        <v>2607</v>
      </c>
      <c r="B2206" s="346" t="s">
        <v>258</v>
      </c>
      <c r="C2206" s="347">
        <v>20</v>
      </c>
      <c r="D2206" s="348">
        <v>46753</v>
      </c>
      <c r="E2206" s="348">
        <v>47058</v>
      </c>
      <c r="F2206" s="346" t="s">
        <v>612</v>
      </c>
      <c r="G2206" s="349" t="s">
        <v>447</v>
      </c>
      <c r="H2206" s="350">
        <f t="shared" si="45"/>
        <v>220</v>
      </c>
      <c r="I2206" s="120" t="str">
        <f>IF(OR(D2206&lt;Capa!$A$5,D2206&gt;Capa!$A$7,E2206&lt;Capa!$A$5,E2206&gt;Capa!$A$7,D2206&gt;E2206),"Erro","")</f>
        <v/>
      </c>
    </row>
    <row r="2207" spans="1:9" ht="40" hidden="1">
      <c r="A2207" s="345">
        <v>2609</v>
      </c>
      <c r="B2207" s="346" t="s">
        <v>276</v>
      </c>
      <c r="C2207" s="347">
        <v>500</v>
      </c>
      <c r="D2207" s="348">
        <v>45658</v>
      </c>
      <c r="E2207" s="348">
        <v>45992</v>
      </c>
      <c r="F2207" s="346" t="s">
        <v>612</v>
      </c>
      <c r="G2207" s="349" t="s">
        <v>448</v>
      </c>
      <c r="H2207" s="350">
        <f t="shared" si="45"/>
        <v>6000</v>
      </c>
      <c r="I2207" s="120" t="str">
        <f>IF(OR(D2207&lt;Capa!$A$5,D2207&gt;Capa!$A$7,E2207&lt;Capa!$A$5,E2207&gt;Capa!$A$7,D2207&gt;E2207),"Erro","")</f>
        <v/>
      </c>
    </row>
    <row r="2208" spans="1:9" ht="40" hidden="1">
      <c r="A2208" s="345">
        <v>2610</v>
      </c>
      <c r="B2208" s="346" t="s">
        <v>276</v>
      </c>
      <c r="C2208" s="347">
        <v>500</v>
      </c>
      <c r="D2208" s="348">
        <v>46023</v>
      </c>
      <c r="E2208" s="348">
        <v>46357</v>
      </c>
      <c r="F2208" s="346" t="s">
        <v>612</v>
      </c>
      <c r="G2208" s="349" t="s">
        <v>448</v>
      </c>
      <c r="H2208" s="350">
        <f t="shared" si="45"/>
        <v>6000</v>
      </c>
      <c r="I2208" s="120" t="str">
        <f>IF(OR(D2208&lt;Capa!$A$5,D2208&gt;Capa!$A$7,E2208&lt;Capa!$A$5,E2208&gt;Capa!$A$7,D2208&gt;E2208),"Erro","")</f>
        <v/>
      </c>
    </row>
    <row r="2209" spans="1:9" ht="40" hidden="1">
      <c r="A2209" s="345">
        <v>2611</v>
      </c>
      <c r="B2209" s="346" t="s">
        <v>276</v>
      </c>
      <c r="C2209" s="347">
        <v>500</v>
      </c>
      <c r="D2209" s="348">
        <v>46388</v>
      </c>
      <c r="E2209" s="348">
        <v>46722</v>
      </c>
      <c r="F2209" s="346" t="s">
        <v>612</v>
      </c>
      <c r="G2209" s="349" t="s">
        <v>448</v>
      </c>
      <c r="H2209" s="350">
        <f t="shared" si="45"/>
        <v>6000</v>
      </c>
      <c r="I2209" s="120" t="str">
        <f>IF(OR(D2209&lt;Capa!$A$5,D2209&gt;Capa!$A$7,E2209&lt;Capa!$A$5,E2209&gt;Capa!$A$7,D2209&gt;E2209),"Erro","")</f>
        <v/>
      </c>
    </row>
    <row r="2210" spans="1:9" ht="40" hidden="1">
      <c r="A2210" s="345">
        <v>2612</v>
      </c>
      <c r="B2210" s="346" t="s">
        <v>276</v>
      </c>
      <c r="C2210" s="347">
        <v>250</v>
      </c>
      <c r="D2210" s="348">
        <v>46753</v>
      </c>
      <c r="E2210" s="348">
        <v>47058</v>
      </c>
      <c r="F2210" s="346" t="s">
        <v>612</v>
      </c>
      <c r="G2210" s="349" t="s">
        <v>448</v>
      </c>
      <c r="H2210" s="350">
        <f t="shared" si="45"/>
        <v>2750</v>
      </c>
      <c r="I2210" s="120" t="str">
        <f>IF(OR(D2210&lt;Capa!$A$5,D2210&gt;Capa!$A$7,E2210&lt;Capa!$A$5,E2210&gt;Capa!$A$7,D2210&gt;E2210),"Erro","")</f>
        <v/>
      </c>
    </row>
    <row r="2211" spans="1:9" ht="40">
      <c r="A2211" s="345">
        <v>2614</v>
      </c>
      <c r="B2211" s="346" t="s">
        <v>278</v>
      </c>
      <c r="C2211" s="347">
        <v>25000</v>
      </c>
      <c r="D2211" s="348">
        <v>45658</v>
      </c>
      <c r="E2211" s="348">
        <v>45992</v>
      </c>
      <c r="F2211" s="346" t="s">
        <v>612</v>
      </c>
      <c r="G2211" s="349" t="s">
        <v>449</v>
      </c>
      <c r="H2211" s="350">
        <f t="shared" si="45"/>
        <v>300000</v>
      </c>
      <c r="I2211" s="120" t="str">
        <f>IF(OR(D2211&lt;Capa!$A$5,D2211&gt;Capa!$A$7,E2211&lt;Capa!$A$5,E2211&gt;Capa!$A$7,D2211&gt;E2211),"Erro","")</f>
        <v/>
      </c>
    </row>
    <row r="2212" spans="1:9" ht="40">
      <c r="A2212" s="345">
        <v>2615</v>
      </c>
      <c r="B2212" s="346" t="s">
        <v>278</v>
      </c>
      <c r="C2212" s="347">
        <v>25000</v>
      </c>
      <c r="D2212" s="348">
        <v>46023</v>
      </c>
      <c r="E2212" s="348">
        <v>46357</v>
      </c>
      <c r="F2212" s="346" t="s">
        <v>612</v>
      </c>
      <c r="G2212" s="349" t="s">
        <v>449</v>
      </c>
      <c r="H2212" s="350">
        <f t="shared" si="45"/>
        <v>300000</v>
      </c>
      <c r="I2212" s="120" t="str">
        <f>IF(OR(D2212&lt;Capa!$A$5,D2212&gt;Capa!$A$7,E2212&lt;Capa!$A$5,E2212&gt;Capa!$A$7,D2212&gt;E2212),"Erro","")</f>
        <v/>
      </c>
    </row>
    <row r="2213" spans="1:9" ht="40">
      <c r="A2213" s="345">
        <v>2616</v>
      </c>
      <c r="B2213" s="346" t="s">
        <v>278</v>
      </c>
      <c r="C2213" s="347">
        <v>25000</v>
      </c>
      <c r="D2213" s="348">
        <v>46388</v>
      </c>
      <c r="E2213" s="348">
        <v>46722</v>
      </c>
      <c r="F2213" s="346" t="s">
        <v>612</v>
      </c>
      <c r="G2213" s="349" t="s">
        <v>449</v>
      </c>
      <c r="H2213" s="350">
        <f t="shared" si="45"/>
        <v>300000</v>
      </c>
      <c r="I2213" s="120" t="str">
        <f>IF(OR(D2213&lt;Capa!$A$5,D2213&gt;Capa!$A$7,E2213&lt;Capa!$A$5,E2213&gt;Capa!$A$7,D2213&gt;E2213),"Erro","")</f>
        <v/>
      </c>
    </row>
    <row r="2214" spans="1:9" ht="40">
      <c r="A2214" s="345">
        <v>2617</v>
      </c>
      <c r="B2214" s="346" t="s">
        <v>278</v>
      </c>
      <c r="C2214" s="347">
        <v>12000</v>
      </c>
      <c r="D2214" s="348">
        <v>46753</v>
      </c>
      <c r="E2214" s="348">
        <v>47058</v>
      </c>
      <c r="F2214" s="346" t="s">
        <v>612</v>
      </c>
      <c r="G2214" s="349" t="s">
        <v>449</v>
      </c>
      <c r="H2214" s="350">
        <f t="shared" si="45"/>
        <v>132000</v>
      </c>
      <c r="I2214" s="120" t="str">
        <f>IF(OR(D2214&lt;Capa!$A$5,D2214&gt;Capa!$A$7,E2214&lt;Capa!$A$5,E2214&gt;Capa!$A$7,D2214&gt;E2214),"Erro","")</f>
        <v/>
      </c>
    </row>
    <row r="2215" spans="1:9" ht="40" hidden="1">
      <c r="A2215" s="345">
        <v>2619</v>
      </c>
      <c r="B2215" s="346" t="s">
        <v>280</v>
      </c>
      <c r="C2215" s="347">
        <v>100</v>
      </c>
      <c r="D2215" s="348">
        <v>45658</v>
      </c>
      <c r="E2215" s="348">
        <v>45992</v>
      </c>
      <c r="F2215" s="346" t="s">
        <v>612</v>
      </c>
      <c r="G2215" s="349" t="s">
        <v>450</v>
      </c>
      <c r="H2215" s="350">
        <f t="shared" si="45"/>
        <v>1200</v>
      </c>
      <c r="I2215" s="120" t="str">
        <f>IF(OR(D2215&lt;Capa!$A$5,D2215&gt;Capa!$A$7,E2215&lt;Capa!$A$5,E2215&gt;Capa!$A$7,D2215&gt;E2215),"Erro","")</f>
        <v/>
      </c>
    </row>
    <row r="2216" spans="1:9" ht="40" hidden="1">
      <c r="A2216" s="345">
        <v>2620</v>
      </c>
      <c r="B2216" s="346" t="s">
        <v>280</v>
      </c>
      <c r="C2216" s="347">
        <v>100</v>
      </c>
      <c r="D2216" s="348">
        <v>46023</v>
      </c>
      <c r="E2216" s="348">
        <v>46357</v>
      </c>
      <c r="F2216" s="346" t="s">
        <v>612</v>
      </c>
      <c r="G2216" s="349" t="s">
        <v>450</v>
      </c>
      <c r="H2216" s="350">
        <f t="shared" si="45"/>
        <v>1200</v>
      </c>
      <c r="I2216" s="120" t="str">
        <f>IF(OR(D2216&lt;Capa!$A$5,D2216&gt;Capa!$A$7,E2216&lt;Capa!$A$5,E2216&gt;Capa!$A$7,D2216&gt;E2216),"Erro","")</f>
        <v/>
      </c>
    </row>
    <row r="2217" spans="1:9" ht="40" hidden="1">
      <c r="A2217" s="345">
        <v>2621</v>
      </c>
      <c r="B2217" s="346" t="s">
        <v>280</v>
      </c>
      <c r="C2217" s="347">
        <v>100</v>
      </c>
      <c r="D2217" s="348">
        <v>46388</v>
      </c>
      <c r="E2217" s="348">
        <v>46722</v>
      </c>
      <c r="F2217" s="346" t="s">
        <v>612</v>
      </c>
      <c r="G2217" s="349" t="s">
        <v>450</v>
      </c>
      <c r="H2217" s="350">
        <f t="shared" si="45"/>
        <v>1200</v>
      </c>
      <c r="I2217" s="120" t="str">
        <f>IF(OR(D2217&lt;Capa!$A$5,D2217&gt;Capa!$A$7,E2217&lt;Capa!$A$5,E2217&gt;Capa!$A$7,D2217&gt;E2217),"Erro","")</f>
        <v/>
      </c>
    </row>
    <row r="2218" spans="1:9" ht="40" hidden="1">
      <c r="A2218" s="345">
        <v>2622</v>
      </c>
      <c r="B2218" s="346" t="s">
        <v>280</v>
      </c>
      <c r="C2218" s="347">
        <v>50</v>
      </c>
      <c r="D2218" s="348">
        <v>46753</v>
      </c>
      <c r="E2218" s="348">
        <v>47058</v>
      </c>
      <c r="F2218" s="346" t="s">
        <v>612</v>
      </c>
      <c r="G2218" s="349" t="s">
        <v>450</v>
      </c>
      <c r="H2218" s="350">
        <f t="shared" si="45"/>
        <v>550</v>
      </c>
      <c r="I2218" s="120" t="str">
        <f>IF(OR(D2218&lt;Capa!$A$5,D2218&gt;Capa!$A$7,E2218&lt;Capa!$A$5,E2218&gt;Capa!$A$7,D2218&gt;E2218),"Erro","")</f>
        <v/>
      </c>
    </row>
    <row r="2219" spans="1:9" ht="40" hidden="1">
      <c r="A2219" s="345">
        <v>2624</v>
      </c>
      <c r="B2219" s="346" t="s">
        <v>282</v>
      </c>
      <c r="C2219" s="347">
        <v>450</v>
      </c>
      <c r="D2219" s="348">
        <v>45658</v>
      </c>
      <c r="E2219" s="348">
        <v>45992</v>
      </c>
      <c r="F2219" s="346" t="s">
        <v>612</v>
      </c>
      <c r="G2219" s="349" t="s">
        <v>451</v>
      </c>
      <c r="H2219" s="350">
        <f t="shared" si="45"/>
        <v>5400</v>
      </c>
      <c r="I2219" s="120" t="str">
        <f>IF(OR(D2219&lt;Capa!$A$5,D2219&gt;Capa!$A$7,E2219&lt;Capa!$A$5,E2219&gt;Capa!$A$7,D2219&gt;E2219),"Erro","")</f>
        <v/>
      </c>
    </row>
    <row r="2220" spans="1:9" ht="40" hidden="1">
      <c r="A2220" s="345">
        <v>2625</v>
      </c>
      <c r="B2220" s="346" t="s">
        <v>282</v>
      </c>
      <c r="C2220" s="347">
        <v>450</v>
      </c>
      <c r="D2220" s="348">
        <v>46023</v>
      </c>
      <c r="E2220" s="348">
        <v>46357</v>
      </c>
      <c r="F2220" s="346" t="s">
        <v>612</v>
      </c>
      <c r="G2220" s="349" t="s">
        <v>451</v>
      </c>
      <c r="H2220" s="350">
        <f t="shared" si="45"/>
        <v>5400</v>
      </c>
      <c r="I2220" s="120" t="str">
        <f>IF(OR(D2220&lt;Capa!$A$5,D2220&gt;Capa!$A$7,E2220&lt;Capa!$A$5,E2220&gt;Capa!$A$7,D2220&gt;E2220),"Erro","")</f>
        <v/>
      </c>
    </row>
    <row r="2221" spans="1:9" ht="40" hidden="1">
      <c r="A2221" s="345">
        <v>2626</v>
      </c>
      <c r="B2221" s="346" t="s">
        <v>282</v>
      </c>
      <c r="C2221" s="347">
        <v>450</v>
      </c>
      <c r="D2221" s="348">
        <v>46388</v>
      </c>
      <c r="E2221" s="348">
        <v>46722</v>
      </c>
      <c r="F2221" s="346" t="s">
        <v>612</v>
      </c>
      <c r="G2221" s="349" t="s">
        <v>451</v>
      </c>
      <c r="H2221" s="350">
        <f t="shared" si="45"/>
        <v>5400</v>
      </c>
      <c r="I2221" s="120" t="str">
        <f>IF(OR(D2221&lt;Capa!$A$5,D2221&gt;Capa!$A$7,E2221&lt;Capa!$A$5,E2221&gt;Capa!$A$7,D2221&gt;E2221),"Erro","")</f>
        <v/>
      </c>
    </row>
    <row r="2222" spans="1:9" ht="40" hidden="1">
      <c r="A2222" s="345">
        <v>2627</v>
      </c>
      <c r="B2222" s="346" t="s">
        <v>282</v>
      </c>
      <c r="C2222" s="347">
        <v>200</v>
      </c>
      <c r="D2222" s="348">
        <v>46753</v>
      </c>
      <c r="E2222" s="348">
        <v>47058</v>
      </c>
      <c r="F2222" s="346" t="s">
        <v>612</v>
      </c>
      <c r="G2222" s="349" t="s">
        <v>451</v>
      </c>
      <c r="H2222" s="350">
        <f t="shared" si="45"/>
        <v>2200</v>
      </c>
      <c r="I2222" s="120" t="str">
        <f>IF(OR(D2222&lt;Capa!$A$5,D2222&gt;Capa!$A$7,E2222&lt;Capa!$A$5,E2222&gt;Capa!$A$7,D2222&gt;E2222),"Erro","")</f>
        <v/>
      </c>
    </row>
    <row r="2223" spans="1:9" ht="40" hidden="1">
      <c r="A2223" s="345">
        <v>2629</v>
      </c>
      <c r="B2223" s="346" t="s">
        <v>284</v>
      </c>
      <c r="C2223" s="347">
        <v>950</v>
      </c>
      <c r="D2223" s="348">
        <v>45658</v>
      </c>
      <c r="E2223" s="348">
        <v>45992</v>
      </c>
      <c r="F2223" s="346" t="s">
        <v>612</v>
      </c>
      <c r="G2223" s="349" t="s">
        <v>451</v>
      </c>
      <c r="H2223" s="350">
        <f t="shared" si="45"/>
        <v>11400</v>
      </c>
      <c r="I2223" s="120" t="str">
        <f>IF(OR(D2223&lt;Capa!$A$5,D2223&gt;Capa!$A$7,E2223&lt;Capa!$A$5,E2223&gt;Capa!$A$7,D2223&gt;E2223),"Erro","")</f>
        <v/>
      </c>
    </row>
    <row r="2224" spans="1:9" ht="40" hidden="1">
      <c r="A2224" s="345">
        <v>2630</v>
      </c>
      <c r="B2224" s="346" t="s">
        <v>284</v>
      </c>
      <c r="C2224" s="347">
        <v>950</v>
      </c>
      <c r="D2224" s="348">
        <v>46023</v>
      </c>
      <c r="E2224" s="348">
        <v>46357</v>
      </c>
      <c r="F2224" s="346" t="s">
        <v>612</v>
      </c>
      <c r="G2224" s="349" t="s">
        <v>451</v>
      </c>
      <c r="H2224" s="350">
        <f t="shared" si="45"/>
        <v>11400</v>
      </c>
      <c r="I2224" s="120" t="str">
        <f>IF(OR(D2224&lt;Capa!$A$5,D2224&gt;Capa!$A$7,E2224&lt;Capa!$A$5,E2224&gt;Capa!$A$7,D2224&gt;E2224),"Erro","")</f>
        <v/>
      </c>
    </row>
    <row r="2225" spans="1:9" ht="40" hidden="1">
      <c r="A2225" s="345">
        <v>2631</v>
      </c>
      <c r="B2225" s="346" t="s">
        <v>284</v>
      </c>
      <c r="C2225" s="347">
        <v>950</v>
      </c>
      <c r="D2225" s="348">
        <v>46388</v>
      </c>
      <c r="E2225" s="348">
        <v>46722</v>
      </c>
      <c r="F2225" s="346" t="s">
        <v>612</v>
      </c>
      <c r="G2225" s="349" t="s">
        <v>451</v>
      </c>
      <c r="H2225" s="350">
        <f t="shared" si="45"/>
        <v>11400</v>
      </c>
      <c r="I2225" s="120" t="str">
        <f>IF(OR(D2225&lt;Capa!$A$5,D2225&gt;Capa!$A$7,E2225&lt;Capa!$A$5,E2225&gt;Capa!$A$7,D2225&gt;E2225),"Erro","")</f>
        <v/>
      </c>
    </row>
    <row r="2226" spans="1:9" ht="40" hidden="1">
      <c r="A2226" s="345">
        <v>2632</v>
      </c>
      <c r="B2226" s="346" t="s">
        <v>284</v>
      </c>
      <c r="C2226" s="347">
        <v>400</v>
      </c>
      <c r="D2226" s="348">
        <v>46753</v>
      </c>
      <c r="E2226" s="348">
        <v>47058</v>
      </c>
      <c r="F2226" s="346" t="s">
        <v>612</v>
      </c>
      <c r="G2226" s="349" t="s">
        <v>451</v>
      </c>
      <c r="H2226" s="350">
        <f t="shared" si="45"/>
        <v>4400</v>
      </c>
      <c r="I2226" s="120" t="str">
        <f>IF(OR(D2226&lt;Capa!$A$5,D2226&gt;Capa!$A$7,E2226&lt;Capa!$A$5,E2226&gt;Capa!$A$7,D2226&gt;E2226),"Erro","")</f>
        <v/>
      </c>
    </row>
    <row r="2227" spans="1:9" ht="40" hidden="1">
      <c r="A2227" s="345">
        <v>2634</v>
      </c>
      <c r="B2227" s="346" t="s">
        <v>286</v>
      </c>
      <c r="C2227" s="347">
        <v>1000</v>
      </c>
      <c r="D2227" s="348">
        <v>45658</v>
      </c>
      <c r="E2227" s="348">
        <v>45992</v>
      </c>
      <c r="F2227" s="346" t="s">
        <v>612</v>
      </c>
      <c r="G2227" s="349" t="s">
        <v>451</v>
      </c>
      <c r="H2227" s="350">
        <f t="shared" si="45"/>
        <v>12000</v>
      </c>
      <c r="I2227" s="120" t="str">
        <f>IF(OR(D2227&lt;Capa!$A$5,D2227&gt;Capa!$A$7,E2227&lt;Capa!$A$5,E2227&gt;Capa!$A$7,D2227&gt;E2227),"Erro","")</f>
        <v/>
      </c>
    </row>
    <row r="2228" spans="1:9" ht="40" hidden="1">
      <c r="A2228" s="345">
        <v>2635</v>
      </c>
      <c r="B2228" s="346" t="s">
        <v>286</v>
      </c>
      <c r="C2228" s="347">
        <v>1000</v>
      </c>
      <c r="D2228" s="348">
        <v>46023</v>
      </c>
      <c r="E2228" s="348">
        <v>46357</v>
      </c>
      <c r="F2228" s="346" t="s">
        <v>612</v>
      </c>
      <c r="G2228" s="349" t="s">
        <v>451</v>
      </c>
      <c r="H2228" s="350">
        <f t="shared" si="45"/>
        <v>12000</v>
      </c>
      <c r="I2228" s="120" t="str">
        <f>IF(OR(D2228&lt;Capa!$A$5,D2228&gt;Capa!$A$7,E2228&lt;Capa!$A$5,E2228&gt;Capa!$A$7,D2228&gt;E2228),"Erro","")</f>
        <v/>
      </c>
    </row>
    <row r="2229" spans="1:9" ht="40" hidden="1">
      <c r="A2229" s="345">
        <v>2636</v>
      </c>
      <c r="B2229" s="346" t="s">
        <v>286</v>
      </c>
      <c r="C2229" s="347">
        <v>1000</v>
      </c>
      <c r="D2229" s="348">
        <v>46388</v>
      </c>
      <c r="E2229" s="348">
        <v>46722</v>
      </c>
      <c r="F2229" s="346" t="s">
        <v>612</v>
      </c>
      <c r="G2229" s="349" t="s">
        <v>451</v>
      </c>
      <c r="H2229" s="350">
        <f t="shared" si="45"/>
        <v>12000</v>
      </c>
      <c r="I2229" s="120" t="str">
        <f>IF(OR(D2229&lt;Capa!$A$5,D2229&gt;Capa!$A$7,E2229&lt;Capa!$A$5,E2229&gt;Capa!$A$7,D2229&gt;E2229),"Erro","")</f>
        <v/>
      </c>
    </row>
    <row r="2230" spans="1:9" ht="40" hidden="1">
      <c r="A2230" s="345">
        <v>2637</v>
      </c>
      <c r="B2230" s="346" t="s">
        <v>286</v>
      </c>
      <c r="C2230" s="347">
        <v>500</v>
      </c>
      <c r="D2230" s="348">
        <v>46753</v>
      </c>
      <c r="E2230" s="348">
        <v>47058</v>
      </c>
      <c r="F2230" s="346" t="s">
        <v>612</v>
      </c>
      <c r="G2230" s="349" t="s">
        <v>451</v>
      </c>
      <c r="H2230" s="350">
        <f t="shared" si="45"/>
        <v>5500</v>
      </c>
      <c r="I2230" s="120" t="str">
        <f>IF(OR(D2230&lt;Capa!$A$5,D2230&gt;Capa!$A$7,E2230&lt;Capa!$A$5,E2230&gt;Capa!$A$7,D2230&gt;E2230),"Erro","")</f>
        <v/>
      </c>
    </row>
    <row r="2231" spans="1:9" ht="30" hidden="1">
      <c r="A2231" s="345">
        <v>2639</v>
      </c>
      <c r="B2231" s="346" t="s">
        <v>288</v>
      </c>
      <c r="C2231" s="347">
        <v>200</v>
      </c>
      <c r="D2231" s="348">
        <v>45658</v>
      </c>
      <c r="E2231" s="348">
        <v>45992</v>
      </c>
      <c r="F2231" s="346" t="s">
        <v>612</v>
      </c>
      <c r="G2231" s="349" t="s">
        <v>452</v>
      </c>
      <c r="H2231" s="350">
        <f t="shared" si="45"/>
        <v>2400</v>
      </c>
      <c r="I2231" s="120" t="str">
        <f>IF(OR(D2231&lt;Capa!$A$5,D2231&gt;Capa!$A$7,E2231&lt;Capa!$A$5,E2231&gt;Capa!$A$7,D2231&gt;E2231),"Erro","")</f>
        <v/>
      </c>
    </row>
    <row r="2232" spans="1:9" ht="30" hidden="1">
      <c r="A2232" s="345">
        <v>2640</v>
      </c>
      <c r="B2232" s="346" t="s">
        <v>288</v>
      </c>
      <c r="C2232" s="347">
        <v>200</v>
      </c>
      <c r="D2232" s="348">
        <v>46023</v>
      </c>
      <c r="E2232" s="348">
        <v>46357</v>
      </c>
      <c r="F2232" s="346" t="s">
        <v>612</v>
      </c>
      <c r="G2232" s="349" t="s">
        <v>452</v>
      </c>
      <c r="H2232" s="350">
        <f t="shared" si="45"/>
        <v>2400</v>
      </c>
      <c r="I2232" s="120" t="str">
        <f>IF(OR(D2232&lt;Capa!$A$5,D2232&gt;Capa!$A$7,E2232&lt;Capa!$A$5,E2232&gt;Capa!$A$7,D2232&gt;E2232),"Erro","")</f>
        <v/>
      </c>
    </row>
    <row r="2233" spans="1:9" ht="30" hidden="1">
      <c r="A2233" s="345">
        <v>2641</v>
      </c>
      <c r="B2233" s="346" t="s">
        <v>288</v>
      </c>
      <c r="C2233" s="347">
        <v>200</v>
      </c>
      <c r="D2233" s="348">
        <v>46388</v>
      </c>
      <c r="E2233" s="348">
        <v>46722</v>
      </c>
      <c r="F2233" s="346" t="s">
        <v>612</v>
      </c>
      <c r="G2233" s="349" t="s">
        <v>452</v>
      </c>
      <c r="H2233" s="350">
        <f t="shared" si="45"/>
        <v>2400</v>
      </c>
      <c r="I2233" s="120" t="str">
        <f>IF(OR(D2233&lt;Capa!$A$5,D2233&gt;Capa!$A$7,E2233&lt;Capa!$A$5,E2233&gt;Capa!$A$7,D2233&gt;E2233),"Erro","")</f>
        <v/>
      </c>
    </row>
    <row r="2234" spans="1:9" ht="30" hidden="1">
      <c r="A2234" s="345">
        <v>2642</v>
      </c>
      <c r="B2234" s="346" t="s">
        <v>288</v>
      </c>
      <c r="C2234" s="347">
        <v>100</v>
      </c>
      <c r="D2234" s="348">
        <v>46753</v>
      </c>
      <c r="E2234" s="348">
        <v>47058</v>
      </c>
      <c r="F2234" s="346" t="s">
        <v>612</v>
      </c>
      <c r="G2234" s="349" t="s">
        <v>452</v>
      </c>
      <c r="H2234" s="350">
        <f t="shared" si="45"/>
        <v>1100</v>
      </c>
      <c r="I2234" s="120" t="str">
        <f>IF(OR(D2234&lt;Capa!$A$5,D2234&gt;Capa!$A$7,E2234&lt;Capa!$A$5,E2234&gt;Capa!$A$7,D2234&gt;E2234),"Erro","")</f>
        <v/>
      </c>
    </row>
    <row r="2235" spans="1:9" ht="30" hidden="1">
      <c r="A2235" s="345">
        <v>2644</v>
      </c>
      <c r="B2235" s="346" t="s">
        <v>294</v>
      </c>
      <c r="C2235" s="347">
        <v>2000</v>
      </c>
      <c r="D2235" s="348">
        <v>45658</v>
      </c>
      <c r="E2235" s="348">
        <v>45992</v>
      </c>
      <c r="F2235" s="346" t="s">
        <v>612</v>
      </c>
      <c r="G2235" s="349" t="s">
        <v>453</v>
      </c>
      <c r="H2235" s="350">
        <f t="shared" si="45"/>
        <v>24000</v>
      </c>
      <c r="I2235" s="120" t="str">
        <f>IF(OR(D2235&lt;Capa!$A$5,D2235&gt;Capa!$A$7,E2235&lt;Capa!$A$5,E2235&gt;Capa!$A$7,D2235&gt;E2235),"Erro","")</f>
        <v/>
      </c>
    </row>
    <row r="2236" spans="1:9" ht="30" hidden="1">
      <c r="A2236" s="345">
        <v>2645</v>
      </c>
      <c r="B2236" s="346" t="s">
        <v>294</v>
      </c>
      <c r="C2236" s="347">
        <v>2000</v>
      </c>
      <c r="D2236" s="348">
        <v>46023</v>
      </c>
      <c r="E2236" s="348">
        <v>46357</v>
      </c>
      <c r="F2236" s="346" t="s">
        <v>612</v>
      </c>
      <c r="G2236" s="349" t="s">
        <v>453</v>
      </c>
      <c r="H2236" s="350">
        <f t="shared" si="45"/>
        <v>24000</v>
      </c>
      <c r="I2236" s="120" t="str">
        <f>IF(OR(D2236&lt;Capa!$A$5,D2236&gt;Capa!$A$7,E2236&lt;Capa!$A$5,E2236&gt;Capa!$A$7,D2236&gt;E2236),"Erro","")</f>
        <v/>
      </c>
    </row>
    <row r="2237" spans="1:9" ht="30" hidden="1">
      <c r="A2237" s="345">
        <v>2646</v>
      </c>
      <c r="B2237" s="346" t="s">
        <v>294</v>
      </c>
      <c r="C2237" s="347">
        <v>2000</v>
      </c>
      <c r="D2237" s="348">
        <v>46388</v>
      </c>
      <c r="E2237" s="348">
        <v>46722</v>
      </c>
      <c r="F2237" s="346" t="s">
        <v>612</v>
      </c>
      <c r="G2237" s="349" t="s">
        <v>453</v>
      </c>
      <c r="H2237" s="350">
        <f t="shared" si="45"/>
        <v>24000</v>
      </c>
      <c r="I2237" s="120" t="str">
        <f>IF(OR(D2237&lt;Capa!$A$5,D2237&gt;Capa!$A$7,E2237&lt;Capa!$A$5,E2237&gt;Capa!$A$7,D2237&gt;E2237),"Erro","")</f>
        <v/>
      </c>
    </row>
    <row r="2238" spans="1:9" ht="30" hidden="1">
      <c r="A2238" s="345">
        <v>2647</v>
      </c>
      <c r="B2238" s="346" t="s">
        <v>294</v>
      </c>
      <c r="C2238" s="347">
        <v>1000</v>
      </c>
      <c r="D2238" s="348">
        <v>46753</v>
      </c>
      <c r="E2238" s="348">
        <v>47058</v>
      </c>
      <c r="F2238" s="346" t="s">
        <v>612</v>
      </c>
      <c r="G2238" s="349" t="s">
        <v>453</v>
      </c>
      <c r="H2238" s="350">
        <f t="shared" si="45"/>
        <v>11000</v>
      </c>
      <c r="I2238" s="120" t="str">
        <f>IF(OR(D2238&lt;Capa!$A$5,D2238&gt;Capa!$A$7,E2238&lt;Capa!$A$5,E2238&gt;Capa!$A$7,D2238&gt;E2238),"Erro","")</f>
        <v/>
      </c>
    </row>
    <row r="2239" spans="1:9" ht="20" hidden="1">
      <c r="A2239" s="345">
        <v>2649</v>
      </c>
      <c r="B2239" s="346" t="s">
        <v>302</v>
      </c>
      <c r="C2239" s="347">
        <v>100</v>
      </c>
      <c r="D2239" s="348">
        <v>45658</v>
      </c>
      <c r="E2239" s="348">
        <v>45809</v>
      </c>
      <c r="F2239" s="346" t="s">
        <v>612</v>
      </c>
      <c r="G2239" s="349" t="s">
        <v>454</v>
      </c>
      <c r="H2239" s="350">
        <f t="shared" si="45"/>
        <v>600</v>
      </c>
      <c r="I2239" s="120" t="str">
        <f>IF(OR(D2239&lt;Capa!$A$5,D2239&gt;Capa!$A$7,E2239&lt;Capa!$A$5,E2239&gt;Capa!$A$7,D2239&gt;E2239),"Erro","")</f>
        <v/>
      </c>
    </row>
    <row r="2240" spans="1:9" ht="20" hidden="1">
      <c r="A2240" s="345">
        <v>2650</v>
      </c>
      <c r="B2240" s="346" t="s">
        <v>302</v>
      </c>
      <c r="C2240" s="347">
        <v>100</v>
      </c>
      <c r="D2240" s="348">
        <v>46023</v>
      </c>
      <c r="E2240" s="348">
        <v>46174</v>
      </c>
      <c r="F2240" s="346" t="s">
        <v>612</v>
      </c>
      <c r="G2240" s="349" t="s">
        <v>454</v>
      </c>
      <c r="H2240" s="350">
        <f t="shared" si="45"/>
        <v>600</v>
      </c>
      <c r="I2240" s="120" t="str">
        <f>IF(OR(D2240&lt;Capa!$A$5,D2240&gt;Capa!$A$7,E2240&lt;Capa!$A$5,E2240&gt;Capa!$A$7,D2240&gt;E2240),"Erro","")</f>
        <v/>
      </c>
    </row>
    <row r="2241" spans="1:9" ht="20" hidden="1">
      <c r="A2241" s="345">
        <v>2651</v>
      </c>
      <c r="B2241" s="346" t="s">
        <v>302</v>
      </c>
      <c r="C2241" s="347">
        <v>100</v>
      </c>
      <c r="D2241" s="348">
        <v>46388</v>
      </c>
      <c r="E2241" s="348">
        <v>46539</v>
      </c>
      <c r="F2241" s="346" t="s">
        <v>612</v>
      </c>
      <c r="G2241" s="349" t="s">
        <v>454</v>
      </c>
      <c r="H2241" s="350">
        <f t="shared" si="45"/>
        <v>600</v>
      </c>
      <c r="I2241" s="120" t="str">
        <f>IF(OR(D2241&lt;Capa!$A$5,D2241&gt;Capa!$A$7,E2241&lt;Capa!$A$5,E2241&gt;Capa!$A$7,D2241&gt;E2241),"Erro","")</f>
        <v/>
      </c>
    </row>
    <row r="2242" spans="1:9" ht="20" hidden="1">
      <c r="A2242" s="345">
        <v>2652</v>
      </c>
      <c r="B2242" s="346" t="s">
        <v>302</v>
      </c>
      <c r="C2242" s="347">
        <v>50</v>
      </c>
      <c r="D2242" s="348">
        <v>46753</v>
      </c>
      <c r="E2242" s="348">
        <v>46905</v>
      </c>
      <c r="F2242" s="346" t="s">
        <v>612</v>
      </c>
      <c r="G2242" s="349" t="s">
        <v>454</v>
      </c>
      <c r="H2242" s="350">
        <f t="shared" si="45"/>
        <v>300</v>
      </c>
      <c r="I2242" s="120" t="str">
        <f>IF(OR(D2242&lt;Capa!$A$5,D2242&gt;Capa!$A$7,E2242&lt;Capa!$A$5,E2242&gt;Capa!$A$7,D2242&gt;E2242),"Erro","")</f>
        <v/>
      </c>
    </row>
    <row r="2243" spans="1:9" ht="30" hidden="1">
      <c r="A2243" s="345">
        <v>2654</v>
      </c>
      <c r="B2243" s="346" t="s">
        <v>304</v>
      </c>
      <c r="C2243" s="347">
        <v>1000</v>
      </c>
      <c r="D2243" s="348">
        <v>45658</v>
      </c>
      <c r="E2243" s="348">
        <v>45992</v>
      </c>
      <c r="F2243" s="346" t="s">
        <v>612</v>
      </c>
      <c r="G2243" s="349" t="s">
        <v>455</v>
      </c>
      <c r="H2243" s="350">
        <f t="shared" si="45"/>
        <v>12000</v>
      </c>
      <c r="I2243" s="120" t="str">
        <f>IF(OR(D2243&lt;Capa!$A$5,D2243&gt;Capa!$A$7,E2243&lt;Capa!$A$5,E2243&gt;Capa!$A$7,D2243&gt;E2243),"Erro","")</f>
        <v/>
      </c>
    </row>
    <row r="2244" spans="1:9" ht="30" hidden="1">
      <c r="A2244" s="345">
        <v>2655</v>
      </c>
      <c r="B2244" s="346" t="s">
        <v>304</v>
      </c>
      <c r="C2244" s="347">
        <v>1000</v>
      </c>
      <c r="D2244" s="348">
        <v>46023</v>
      </c>
      <c r="E2244" s="348">
        <v>46357</v>
      </c>
      <c r="F2244" s="346" t="s">
        <v>612</v>
      </c>
      <c r="G2244" s="349" t="s">
        <v>455</v>
      </c>
      <c r="H2244" s="350">
        <f t="shared" si="45"/>
        <v>12000</v>
      </c>
      <c r="I2244" s="120" t="str">
        <f>IF(OR(D2244&lt;Capa!$A$5,D2244&gt;Capa!$A$7,E2244&lt;Capa!$A$5,E2244&gt;Capa!$A$7,D2244&gt;E2244),"Erro","")</f>
        <v/>
      </c>
    </row>
    <row r="2245" spans="1:9" ht="30" hidden="1">
      <c r="A2245" s="345">
        <v>2656</v>
      </c>
      <c r="B2245" s="346" t="s">
        <v>304</v>
      </c>
      <c r="C2245" s="347">
        <v>1000</v>
      </c>
      <c r="D2245" s="348">
        <v>46388</v>
      </c>
      <c r="E2245" s="348">
        <v>46722</v>
      </c>
      <c r="F2245" s="346" t="s">
        <v>612</v>
      </c>
      <c r="G2245" s="349" t="s">
        <v>455</v>
      </c>
      <c r="H2245" s="350">
        <f t="shared" si="45"/>
        <v>12000</v>
      </c>
      <c r="I2245" s="120" t="str">
        <f>IF(OR(D2245&lt;Capa!$A$5,D2245&gt;Capa!$A$7,E2245&lt;Capa!$A$5,E2245&gt;Capa!$A$7,D2245&gt;E2245),"Erro","")</f>
        <v/>
      </c>
    </row>
    <row r="2246" spans="1:9" ht="30" hidden="1">
      <c r="A2246" s="345">
        <v>2657</v>
      </c>
      <c r="B2246" s="346" t="s">
        <v>304</v>
      </c>
      <c r="C2246" s="347">
        <v>500</v>
      </c>
      <c r="D2246" s="348">
        <v>46753</v>
      </c>
      <c r="E2246" s="348">
        <v>47058</v>
      </c>
      <c r="F2246" s="346" t="s">
        <v>612</v>
      </c>
      <c r="G2246" s="349" t="s">
        <v>455</v>
      </c>
      <c r="H2246" s="350">
        <f t="shared" si="45"/>
        <v>5500</v>
      </c>
      <c r="I2246" s="120" t="str">
        <f>IF(OR(D2246&lt;Capa!$A$5,D2246&gt;Capa!$A$7,E2246&lt;Capa!$A$5,E2246&gt;Capa!$A$7,D2246&gt;E2246),"Erro","")</f>
        <v/>
      </c>
    </row>
    <row r="2247" spans="1:9" ht="30" hidden="1">
      <c r="A2247" s="345">
        <v>2658</v>
      </c>
      <c r="B2247" s="346" t="s">
        <v>312</v>
      </c>
      <c r="C2247" s="347">
        <v>200</v>
      </c>
      <c r="D2247" s="348">
        <v>45658</v>
      </c>
      <c r="E2247" s="348">
        <v>45992</v>
      </c>
      <c r="F2247" s="346" t="s">
        <v>612</v>
      </c>
      <c r="G2247" s="349" t="s">
        <v>571</v>
      </c>
      <c r="H2247" s="350">
        <f t="shared" ref="H2247:H2303" si="46">IFERROR((DATEDIF(D2247,E2247,"M")+1)*C2247,0)</f>
        <v>2400</v>
      </c>
      <c r="I2247" s="120" t="str">
        <f>IF(OR(D2247&lt;Capa!$A$5,D2247&gt;Capa!$A$7,E2247&lt;Capa!$A$5,E2247&gt;Capa!$A$7,D2247&gt;E2247),"Erro","")</f>
        <v/>
      </c>
    </row>
    <row r="2248" spans="1:9" ht="30" hidden="1">
      <c r="A2248" s="345">
        <v>2659</v>
      </c>
      <c r="B2248" s="346" t="s">
        <v>312</v>
      </c>
      <c r="C2248" s="347">
        <v>200</v>
      </c>
      <c r="D2248" s="348">
        <v>46023</v>
      </c>
      <c r="E2248" s="348">
        <v>46357</v>
      </c>
      <c r="F2248" s="346" t="s">
        <v>612</v>
      </c>
      <c r="G2248" s="349" t="s">
        <v>571</v>
      </c>
      <c r="H2248" s="350">
        <f t="shared" si="46"/>
        <v>2400</v>
      </c>
      <c r="I2248" s="120" t="str">
        <f>IF(OR(D2248&lt;Capa!$A$5,D2248&gt;Capa!$A$7,E2248&lt;Capa!$A$5,E2248&gt;Capa!$A$7,D2248&gt;E2248),"Erro","")</f>
        <v/>
      </c>
    </row>
    <row r="2249" spans="1:9" ht="30" hidden="1">
      <c r="A2249" s="345">
        <v>2660</v>
      </c>
      <c r="B2249" s="346" t="s">
        <v>312</v>
      </c>
      <c r="C2249" s="347">
        <v>200</v>
      </c>
      <c r="D2249" s="348">
        <v>46388</v>
      </c>
      <c r="E2249" s="348">
        <v>46722</v>
      </c>
      <c r="F2249" s="346" t="s">
        <v>612</v>
      </c>
      <c r="G2249" s="349" t="s">
        <v>571</v>
      </c>
      <c r="H2249" s="350">
        <f t="shared" si="46"/>
        <v>2400</v>
      </c>
      <c r="I2249" s="120" t="str">
        <f>IF(OR(D2249&lt;Capa!$A$5,D2249&gt;Capa!$A$7,E2249&lt;Capa!$A$5,E2249&gt;Capa!$A$7,D2249&gt;E2249),"Erro","")</f>
        <v/>
      </c>
    </row>
    <row r="2250" spans="1:9" ht="30" hidden="1">
      <c r="A2250" s="345">
        <v>2661</v>
      </c>
      <c r="B2250" s="346" t="s">
        <v>312</v>
      </c>
      <c r="C2250" s="347">
        <v>100</v>
      </c>
      <c r="D2250" s="348">
        <v>46753</v>
      </c>
      <c r="E2250" s="348">
        <v>47058</v>
      </c>
      <c r="F2250" s="346" t="s">
        <v>612</v>
      </c>
      <c r="G2250" s="349" t="s">
        <v>571</v>
      </c>
      <c r="H2250" s="350">
        <f t="shared" si="46"/>
        <v>1100</v>
      </c>
      <c r="I2250" s="120" t="str">
        <f>IF(OR(D2250&lt;Capa!$A$5,D2250&gt;Capa!$A$7,E2250&lt;Capa!$A$5,E2250&gt;Capa!$A$7,D2250&gt;E2250),"Erro","")</f>
        <v/>
      </c>
    </row>
    <row r="2251" spans="1:9" ht="50" hidden="1">
      <c r="A2251" s="345">
        <v>2663</v>
      </c>
      <c r="B2251" s="346" t="s">
        <v>316</v>
      </c>
      <c r="C2251" s="347">
        <v>800</v>
      </c>
      <c r="D2251" s="348">
        <v>45658</v>
      </c>
      <c r="E2251" s="348">
        <v>45992</v>
      </c>
      <c r="F2251" s="346" t="s">
        <v>612</v>
      </c>
      <c r="G2251" s="349" t="s">
        <v>741</v>
      </c>
      <c r="H2251" s="350">
        <f t="shared" si="46"/>
        <v>9600</v>
      </c>
      <c r="I2251" s="120" t="str">
        <f>IF(OR(D2251&lt;Capa!$A$5,D2251&gt;Capa!$A$7,E2251&lt;Capa!$A$5,E2251&gt;Capa!$A$7,D2251&gt;E2251),"Erro","")</f>
        <v/>
      </c>
    </row>
    <row r="2252" spans="1:9" ht="50" hidden="1">
      <c r="A2252" s="345">
        <v>2664</v>
      </c>
      <c r="B2252" s="346" t="s">
        <v>316</v>
      </c>
      <c r="C2252" s="347">
        <v>800</v>
      </c>
      <c r="D2252" s="348">
        <v>46023</v>
      </c>
      <c r="E2252" s="348">
        <v>46357</v>
      </c>
      <c r="F2252" s="346" t="s">
        <v>612</v>
      </c>
      <c r="G2252" s="349" t="s">
        <v>741</v>
      </c>
      <c r="H2252" s="350">
        <f t="shared" si="46"/>
        <v>9600</v>
      </c>
      <c r="I2252" s="120" t="str">
        <f>IF(OR(D2252&lt;Capa!$A$5,D2252&gt;Capa!$A$7,E2252&lt;Capa!$A$5,E2252&gt;Capa!$A$7,D2252&gt;E2252),"Erro","")</f>
        <v/>
      </c>
    </row>
    <row r="2253" spans="1:9" ht="50" hidden="1">
      <c r="A2253" s="345">
        <v>2665</v>
      </c>
      <c r="B2253" s="346" t="s">
        <v>316</v>
      </c>
      <c r="C2253" s="347">
        <v>800</v>
      </c>
      <c r="D2253" s="348">
        <v>46388</v>
      </c>
      <c r="E2253" s="348">
        <v>46722</v>
      </c>
      <c r="F2253" s="346" t="s">
        <v>612</v>
      </c>
      <c r="G2253" s="349" t="s">
        <v>741</v>
      </c>
      <c r="H2253" s="350">
        <f t="shared" si="46"/>
        <v>9600</v>
      </c>
      <c r="I2253" s="120" t="str">
        <f>IF(OR(D2253&lt;Capa!$A$5,D2253&gt;Capa!$A$7,E2253&lt;Capa!$A$5,E2253&gt;Capa!$A$7,D2253&gt;E2253),"Erro","")</f>
        <v/>
      </c>
    </row>
    <row r="2254" spans="1:9" ht="50" hidden="1">
      <c r="A2254" s="345">
        <v>2666</v>
      </c>
      <c r="B2254" s="346" t="s">
        <v>316</v>
      </c>
      <c r="C2254" s="347">
        <v>400</v>
      </c>
      <c r="D2254" s="348">
        <v>46753</v>
      </c>
      <c r="E2254" s="348">
        <v>47058</v>
      </c>
      <c r="F2254" s="346" t="s">
        <v>612</v>
      </c>
      <c r="G2254" s="349" t="s">
        <v>741</v>
      </c>
      <c r="H2254" s="350">
        <f t="shared" si="46"/>
        <v>4400</v>
      </c>
      <c r="I2254" s="120" t="str">
        <f>IF(OR(D2254&lt;Capa!$A$5,D2254&gt;Capa!$A$7,E2254&lt;Capa!$A$5,E2254&gt;Capa!$A$7,D2254&gt;E2254),"Erro","")</f>
        <v/>
      </c>
    </row>
    <row r="2255" spans="1:9" ht="50" hidden="1">
      <c r="A2255" s="345">
        <v>2668</v>
      </c>
      <c r="B2255" s="346" t="s">
        <v>318</v>
      </c>
      <c r="C2255" s="347">
        <v>700</v>
      </c>
      <c r="D2255" s="348">
        <v>45658</v>
      </c>
      <c r="E2255" s="348">
        <v>45992</v>
      </c>
      <c r="F2255" s="346" t="s">
        <v>612</v>
      </c>
      <c r="G2255" s="349" t="s">
        <v>456</v>
      </c>
      <c r="H2255" s="350">
        <f t="shared" si="46"/>
        <v>8400</v>
      </c>
      <c r="I2255" s="120" t="str">
        <f>IF(OR(D2255&lt;Capa!$A$5,D2255&gt;Capa!$A$7,E2255&lt;Capa!$A$5,E2255&gt;Capa!$A$7,D2255&gt;E2255),"Erro","")</f>
        <v/>
      </c>
    </row>
    <row r="2256" spans="1:9" ht="50" hidden="1">
      <c r="A2256" s="345">
        <v>2669</v>
      </c>
      <c r="B2256" s="346" t="s">
        <v>318</v>
      </c>
      <c r="C2256" s="347">
        <v>700</v>
      </c>
      <c r="D2256" s="348">
        <v>46023</v>
      </c>
      <c r="E2256" s="348">
        <v>46357</v>
      </c>
      <c r="F2256" s="346" t="s">
        <v>612</v>
      </c>
      <c r="G2256" s="349" t="s">
        <v>456</v>
      </c>
      <c r="H2256" s="350">
        <f t="shared" si="46"/>
        <v>8400</v>
      </c>
      <c r="I2256" s="120" t="str">
        <f>IF(OR(D2256&lt;Capa!$A$5,D2256&gt;Capa!$A$7,E2256&lt;Capa!$A$5,E2256&gt;Capa!$A$7,D2256&gt;E2256),"Erro","")</f>
        <v/>
      </c>
    </row>
    <row r="2257" spans="1:9" ht="50" hidden="1">
      <c r="A2257" s="345">
        <v>2670</v>
      </c>
      <c r="B2257" s="346" t="s">
        <v>318</v>
      </c>
      <c r="C2257" s="347">
        <v>700</v>
      </c>
      <c r="D2257" s="348">
        <v>46388</v>
      </c>
      <c r="E2257" s="348">
        <v>46722</v>
      </c>
      <c r="F2257" s="346" t="s">
        <v>612</v>
      </c>
      <c r="G2257" s="349" t="s">
        <v>456</v>
      </c>
      <c r="H2257" s="350">
        <f t="shared" si="46"/>
        <v>8400</v>
      </c>
      <c r="I2257" s="120" t="str">
        <f>IF(OR(D2257&lt;Capa!$A$5,D2257&gt;Capa!$A$7,E2257&lt;Capa!$A$5,E2257&gt;Capa!$A$7,D2257&gt;E2257),"Erro","")</f>
        <v/>
      </c>
    </row>
    <row r="2258" spans="1:9" ht="50" hidden="1">
      <c r="A2258" s="345">
        <v>2671</v>
      </c>
      <c r="B2258" s="346" t="s">
        <v>318</v>
      </c>
      <c r="C2258" s="347">
        <v>250</v>
      </c>
      <c r="D2258" s="348">
        <v>46753</v>
      </c>
      <c r="E2258" s="348">
        <v>47058</v>
      </c>
      <c r="F2258" s="346" t="s">
        <v>612</v>
      </c>
      <c r="G2258" s="349" t="s">
        <v>456</v>
      </c>
      <c r="H2258" s="350">
        <f t="shared" si="46"/>
        <v>2750</v>
      </c>
      <c r="I2258" s="120" t="str">
        <f>IF(OR(D2258&lt;Capa!$A$5,D2258&gt;Capa!$A$7,E2258&lt;Capa!$A$5,E2258&gt;Capa!$A$7,D2258&gt;E2258),"Erro","")</f>
        <v/>
      </c>
    </row>
    <row r="2259" spans="1:9" ht="50" hidden="1">
      <c r="A2259" s="345">
        <v>2673</v>
      </c>
      <c r="B2259" s="346" t="s">
        <v>318</v>
      </c>
      <c r="C2259" s="347">
        <v>800</v>
      </c>
      <c r="D2259" s="348">
        <v>45658</v>
      </c>
      <c r="E2259" s="348">
        <v>45992</v>
      </c>
      <c r="F2259" s="346" t="s">
        <v>612</v>
      </c>
      <c r="G2259" s="349" t="s">
        <v>572</v>
      </c>
      <c r="H2259" s="350">
        <f t="shared" si="46"/>
        <v>9600</v>
      </c>
      <c r="I2259" s="120" t="str">
        <f>IF(OR(D2259&lt;Capa!$A$5,D2259&gt;Capa!$A$7,E2259&lt;Capa!$A$5,E2259&gt;Capa!$A$7,D2259&gt;E2259),"Erro","")</f>
        <v/>
      </c>
    </row>
    <row r="2260" spans="1:9" ht="50" hidden="1">
      <c r="A2260" s="345">
        <v>2674</v>
      </c>
      <c r="B2260" s="346" t="s">
        <v>318</v>
      </c>
      <c r="C2260" s="347">
        <v>800</v>
      </c>
      <c r="D2260" s="348">
        <v>46023</v>
      </c>
      <c r="E2260" s="348">
        <v>46357</v>
      </c>
      <c r="F2260" s="346" t="s">
        <v>612</v>
      </c>
      <c r="G2260" s="349" t="s">
        <v>572</v>
      </c>
      <c r="H2260" s="350">
        <f t="shared" si="46"/>
        <v>9600</v>
      </c>
      <c r="I2260" s="120" t="str">
        <f>IF(OR(D2260&lt;Capa!$A$5,D2260&gt;Capa!$A$7,E2260&lt;Capa!$A$5,E2260&gt;Capa!$A$7,D2260&gt;E2260),"Erro","")</f>
        <v/>
      </c>
    </row>
    <row r="2261" spans="1:9" ht="50" hidden="1">
      <c r="A2261" s="345">
        <v>2675</v>
      </c>
      <c r="B2261" s="346" t="s">
        <v>318</v>
      </c>
      <c r="C2261" s="347">
        <v>800</v>
      </c>
      <c r="D2261" s="348">
        <v>46388</v>
      </c>
      <c r="E2261" s="348">
        <v>46722</v>
      </c>
      <c r="F2261" s="346" t="s">
        <v>612</v>
      </c>
      <c r="G2261" s="349" t="s">
        <v>572</v>
      </c>
      <c r="H2261" s="350">
        <f t="shared" si="46"/>
        <v>9600</v>
      </c>
      <c r="I2261" s="120" t="str">
        <f>IF(OR(D2261&lt;Capa!$A$5,D2261&gt;Capa!$A$7,E2261&lt;Capa!$A$5,E2261&gt;Capa!$A$7,D2261&gt;E2261),"Erro","")</f>
        <v/>
      </c>
    </row>
    <row r="2262" spans="1:9" ht="50" hidden="1">
      <c r="A2262" s="345">
        <v>2676</v>
      </c>
      <c r="B2262" s="346" t="s">
        <v>318</v>
      </c>
      <c r="C2262" s="347">
        <v>150</v>
      </c>
      <c r="D2262" s="348">
        <v>46753</v>
      </c>
      <c r="E2262" s="348">
        <v>47058</v>
      </c>
      <c r="F2262" s="346" t="s">
        <v>612</v>
      </c>
      <c r="G2262" s="349" t="s">
        <v>572</v>
      </c>
      <c r="H2262" s="350">
        <f t="shared" si="46"/>
        <v>1650</v>
      </c>
      <c r="I2262" s="120" t="str">
        <f>IF(OR(D2262&lt;Capa!$A$5,D2262&gt;Capa!$A$7,E2262&lt;Capa!$A$5,E2262&gt;Capa!$A$7,D2262&gt;E2262),"Erro","")</f>
        <v/>
      </c>
    </row>
    <row r="2263" spans="1:9" ht="20" hidden="1">
      <c r="A2263" s="345">
        <v>2678</v>
      </c>
      <c r="B2263" s="346" t="s">
        <v>298</v>
      </c>
      <c r="C2263" s="347">
        <v>2450</v>
      </c>
      <c r="D2263" s="348">
        <v>45658</v>
      </c>
      <c r="E2263" s="348">
        <v>45992</v>
      </c>
      <c r="F2263" s="346" t="s">
        <v>612</v>
      </c>
      <c r="G2263" s="349" t="s">
        <v>457</v>
      </c>
      <c r="H2263" s="350">
        <f t="shared" si="46"/>
        <v>29400</v>
      </c>
      <c r="I2263" s="120" t="str">
        <f>IF(OR(D2263&lt;Capa!$A$5,D2263&gt;Capa!$A$7,E2263&lt;Capa!$A$5,E2263&gt;Capa!$A$7,D2263&gt;E2263),"Erro","")</f>
        <v/>
      </c>
    </row>
    <row r="2264" spans="1:9" ht="20" hidden="1">
      <c r="A2264" s="345">
        <v>2679</v>
      </c>
      <c r="B2264" s="346" t="s">
        <v>298</v>
      </c>
      <c r="C2264" s="347">
        <v>2450</v>
      </c>
      <c r="D2264" s="348">
        <v>46023</v>
      </c>
      <c r="E2264" s="348">
        <v>46357</v>
      </c>
      <c r="F2264" s="346" t="s">
        <v>612</v>
      </c>
      <c r="G2264" s="349" t="s">
        <v>457</v>
      </c>
      <c r="H2264" s="350">
        <f t="shared" si="46"/>
        <v>29400</v>
      </c>
      <c r="I2264" s="120" t="str">
        <f>IF(OR(D2264&lt;Capa!$A$5,D2264&gt;Capa!$A$7,E2264&lt;Capa!$A$5,E2264&gt;Capa!$A$7,D2264&gt;E2264),"Erro","")</f>
        <v/>
      </c>
    </row>
    <row r="2265" spans="1:9" ht="20" hidden="1">
      <c r="A2265" s="345">
        <v>2680</v>
      </c>
      <c r="B2265" s="346" t="s">
        <v>298</v>
      </c>
      <c r="C2265" s="347">
        <v>2450</v>
      </c>
      <c r="D2265" s="348">
        <v>46388</v>
      </c>
      <c r="E2265" s="348">
        <v>46722</v>
      </c>
      <c r="F2265" s="346" t="s">
        <v>612</v>
      </c>
      <c r="G2265" s="349" t="s">
        <v>457</v>
      </c>
      <c r="H2265" s="350">
        <f t="shared" si="46"/>
        <v>29400</v>
      </c>
      <c r="I2265" s="120" t="str">
        <f>IF(OR(D2265&lt;Capa!$A$5,D2265&gt;Capa!$A$7,E2265&lt;Capa!$A$5,E2265&gt;Capa!$A$7,D2265&gt;E2265),"Erro","")</f>
        <v/>
      </c>
    </row>
    <row r="2266" spans="1:9" ht="20" hidden="1">
      <c r="A2266" s="345">
        <v>2681</v>
      </c>
      <c r="B2266" s="346" t="s">
        <v>298</v>
      </c>
      <c r="C2266" s="347">
        <v>1250</v>
      </c>
      <c r="D2266" s="348">
        <v>46753</v>
      </c>
      <c r="E2266" s="348">
        <v>47058</v>
      </c>
      <c r="F2266" s="346" t="s">
        <v>612</v>
      </c>
      <c r="G2266" s="349" t="s">
        <v>457</v>
      </c>
      <c r="H2266" s="350">
        <f t="shared" si="46"/>
        <v>13750</v>
      </c>
      <c r="I2266" s="120" t="str">
        <f>IF(OR(D2266&lt;Capa!$A$5,D2266&gt;Capa!$A$7,E2266&lt;Capa!$A$5,E2266&gt;Capa!$A$7,D2266&gt;E2266),"Erro","")</f>
        <v/>
      </c>
    </row>
    <row r="2267" spans="1:9" ht="30" hidden="1">
      <c r="A2267" s="345">
        <v>2682</v>
      </c>
      <c r="B2267" s="346" t="s">
        <v>238</v>
      </c>
      <c r="C2267" s="347">
        <v>480</v>
      </c>
      <c r="D2267" s="348">
        <v>45658</v>
      </c>
      <c r="E2267" s="348">
        <v>45992</v>
      </c>
      <c r="F2267" s="346" t="s">
        <v>612</v>
      </c>
      <c r="G2267" s="349" t="s">
        <v>458</v>
      </c>
      <c r="H2267" s="350">
        <f t="shared" si="46"/>
        <v>5760</v>
      </c>
      <c r="I2267" s="120" t="str">
        <f>IF(OR(D2267&lt;Capa!$A$5,D2267&gt;Capa!$A$7,E2267&lt;Capa!$A$5,E2267&gt;Capa!$A$7,D2267&gt;E2267),"Erro","")</f>
        <v/>
      </c>
    </row>
    <row r="2268" spans="1:9" ht="30" hidden="1">
      <c r="A2268" s="345">
        <v>2683</v>
      </c>
      <c r="B2268" s="346" t="s">
        <v>238</v>
      </c>
      <c r="C2268" s="347">
        <v>480</v>
      </c>
      <c r="D2268" s="348">
        <v>46023</v>
      </c>
      <c r="E2268" s="348">
        <v>46357</v>
      </c>
      <c r="F2268" s="346" t="s">
        <v>612</v>
      </c>
      <c r="G2268" s="349" t="s">
        <v>458</v>
      </c>
      <c r="H2268" s="350">
        <f t="shared" si="46"/>
        <v>5760</v>
      </c>
      <c r="I2268" s="120" t="str">
        <f>IF(OR(D2268&lt;Capa!$A$5,D2268&gt;Capa!$A$7,E2268&lt;Capa!$A$5,E2268&gt;Capa!$A$7,D2268&gt;E2268),"Erro","")</f>
        <v/>
      </c>
    </row>
    <row r="2269" spans="1:9" ht="30" hidden="1">
      <c r="A2269" s="345">
        <v>2684</v>
      </c>
      <c r="B2269" s="346" t="s">
        <v>238</v>
      </c>
      <c r="C2269" s="347">
        <v>480</v>
      </c>
      <c r="D2269" s="348">
        <v>46388</v>
      </c>
      <c r="E2269" s="348">
        <v>46722</v>
      </c>
      <c r="F2269" s="346" t="s">
        <v>612</v>
      </c>
      <c r="G2269" s="349" t="s">
        <v>458</v>
      </c>
      <c r="H2269" s="350">
        <f t="shared" si="46"/>
        <v>5760</v>
      </c>
      <c r="I2269" s="120" t="str">
        <f>IF(OR(D2269&lt;Capa!$A$5,D2269&gt;Capa!$A$7,E2269&lt;Capa!$A$5,E2269&gt;Capa!$A$7,D2269&gt;E2269),"Erro","")</f>
        <v/>
      </c>
    </row>
    <row r="2270" spans="1:9" ht="30" hidden="1">
      <c r="A2270" s="345">
        <v>2685</v>
      </c>
      <c r="B2270" s="346" t="s">
        <v>238</v>
      </c>
      <c r="C2270" s="347">
        <v>240</v>
      </c>
      <c r="D2270" s="348">
        <v>46753</v>
      </c>
      <c r="E2270" s="348">
        <v>47058</v>
      </c>
      <c r="F2270" s="346" t="s">
        <v>612</v>
      </c>
      <c r="G2270" s="349" t="s">
        <v>458</v>
      </c>
      <c r="H2270" s="350">
        <f t="shared" si="46"/>
        <v>2640</v>
      </c>
      <c r="I2270" s="120" t="str">
        <f>IF(OR(D2270&lt;Capa!$A$5,D2270&gt;Capa!$A$7,E2270&lt;Capa!$A$5,E2270&gt;Capa!$A$7,D2270&gt;E2270),"Erro","")</f>
        <v/>
      </c>
    </row>
    <row r="2271" spans="1:9" ht="40" hidden="1">
      <c r="A2271" s="345">
        <v>2687</v>
      </c>
      <c r="B2271" s="346" t="s">
        <v>252</v>
      </c>
      <c r="C2271" s="347">
        <v>8000</v>
      </c>
      <c r="D2271" s="348">
        <v>45658</v>
      </c>
      <c r="E2271" s="348">
        <v>45992</v>
      </c>
      <c r="F2271" s="346" t="s">
        <v>612</v>
      </c>
      <c r="G2271" s="349" t="s">
        <v>459</v>
      </c>
      <c r="H2271" s="350">
        <f t="shared" si="46"/>
        <v>96000</v>
      </c>
      <c r="I2271" s="120" t="str">
        <f>IF(OR(D2271&lt;Capa!$A$5,D2271&gt;Capa!$A$7,E2271&lt;Capa!$A$5,E2271&gt;Capa!$A$7,D2271&gt;E2271),"Erro","")</f>
        <v/>
      </c>
    </row>
    <row r="2272" spans="1:9" ht="40" hidden="1">
      <c r="A2272" s="345">
        <v>2688</v>
      </c>
      <c r="B2272" s="346" t="s">
        <v>252</v>
      </c>
      <c r="C2272" s="347">
        <v>8000</v>
      </c>
      <c r="D2272" s="348">
        <v>46023</v>
      </c>
      <c r="E2272" s="348">
        <v>46357</v>
      </c>
      <c r="F2272" s="346" t="s">
        <v>612</v>
      </c>
      <c r="G2272" s="349" t="s">
        <v>459</v>
      </c>
      <c r="H2272" s="350">
        <f t="shared" si="46"/>
        <v>96000</v>
      </c>
      <c r="I2272" s="120" t="str">
        <f>IF(OR(D2272&lt;Capa!$A$5,D2272&gt;Capa!$A$7,E2272&lt;Capa!$A$5,E2272&gt;Capa!$A$7,D2272&gt;E2272),"Erro","")</f>
        <v/>
      </c>
    </row>
    <row r="2273" spans="1:9" ht="40" hidden="1">
      <c r="A2273" s="345">
        <v>2689</v>
      </c>
      <c r="B2273" s="346" t="s">
        <v>252</v>
      </c>
      <c r="C2273" s="347">
        <v>8000</v>
      </c>
      <c r="D2273" s="348">
        <v>46388</v>
      </c>
      <c r="E2273" s="348">
        <v>46722</v>
      </c>
      <c r="F2273" s="346" t="s">
        <v>612</v>
      </c>
      <c r="G2273" s="349" t="s">
        <v>459</v>
      </c>
      <c r="H2273" s="350">
        <f t="shared" si="46"/>
        <v>96000</v>
      </c>
      <c r="I2273" s="120" t="str">
        <f>IF(OR(D2273&lt;Capa!$A$5,D2273&gt;Capa!$A$7,E2273&lt;Capa!$A$5,E2273&gt;Capa!$A$7,D2273&gt;E2273),"Erro","")</f>
        <v/>
      </c>
    </row>
    <row r="2274" spans="1:9" ht="40" hidden="1">
      <c r="A2274" s="345">
        <v>2690</v>
      </c>
      <c r="B2274" s="346" t="s">
        <v>252</v>
      </c>
      <c r="C2274" s="347">
        <v>4000</v>
      </c>
      <c r="D2274" s="348">
        <v>46753</v>
      </c>
      <c r="E2274" s="348">
        <v>47058</v>
      </c>
      <c r="F2274" s="346" t="s">
        <v>612</v>
      </c>
      <c r="G2274" s="349" t="s">
        <v>459</v>
      </c>
      <c r="H2274" s="350">
        <f t="shared" si="46"/>
        <v>44000</v>
      </c>
      <c r="I2274" s="120" t="str">
        <f>IF(OR(D2274&lt;Capa!$A$5,D2274&gt;Capa!$A$7,E2274&lt;Capa!$A$5,E2274&gt;Capa!$A$7,D2274&gt;E2274),"Erro","")</f>
        <v/>
      </c>
    </row>
    <row r="2275" spans="1:9" ht="30" hidden="1">
      <c r="A2275" s="345">
        <v>2691</v>
      </c>
      <c r="B2275" s="346" t="s">
        <v>621</v>
      </c>
      <c r="C2275" s="347">
        <v>2000</v>
      </c>
      <c r="D2275" s="348">
        <v>46023</v>
      </c>
      <c r="E2275" s="348">
        <v>46023</v>
      </c>
      <c r="F2275" s="346" t="s">
        <v>612</v>
      </c>
      <c r="G2275" s="349" t="s">
        <v>595</v>
      </c>
      <c r="H2275" s="350">
        <f t="shared" si="46"/>
        <v>2000</v>
      </c>
      <c r="I2275" s="120" t="str">
        <f>IF(OR(D2275&lt;Capa!$A$5,D2275&gt;Capa!$A$7,E2275&lt;Capa!$A$5,E2275&gt;Capa!$A$7,D2275&gt;E2275),"Erro","")</f>
        <v/>
      </c>
    </row>
    <row r="2276" spans="1:9" ht="20" hidden="1">
      <c r="A2276" s="345">
        <v>2692</v>
      </c>
      <c r="B2276" s="346" t="s">
        <v>620</v>
      </c>
      <c r="C2276" s="347">
        <v>110</v>
      </c>
      <c r="D2276" s="348">
        <v>45658</v>
      </c>
      <c r="E2276" s="348">
        <v>47058</v>
      </c>
      <c r="F2276" s="346" t="s">
        <v>612</v>
      </c>
      <c r="G2276" s="349" t="s">
        <v>662</v>
      </c>
      <c r="H2276" s="350">
        <f t="shared" si="46"/>
        <v>5170</v>
      </c>
      <c r="I2276" s="120" t="str">
        <f>IF(OR(D2276&lt;Capa!$A$5,D2276&gt;Capa!$A$7,E2276&lt;Capa!$A$5,E2276&gt;Capa!$A$7,D2276&gt;E2276),"Erro","")</f>
        <v/>
      </c>
    </row>
    <row r="2277" spans="1:9" ht="20" hidden="1">
      <c r="A2277" s="345">
        <v>2694</v>
      </c>
      <c r="B2277" s="346" t="s">
        <v>622</v>
      </c>
      <c r="C2277" s="347">
        <v>850</v>
      </c>
      <c r="D2277" s="348">
        <v>45658</v>
      </c>
      <c r="E2277" s="348">
        <v>47058</v>
      </c>
      <c r="F2277" s="346" t="s">
        <v>612</v>
      </c>
      <c r="G2277" s="349" t="s">
        <v>664</v>
      </c>
      <c r="H2277" s="350">
        <f t="shared" si="46"/>
        <v>39950</v>
      </c>
      <c r="I2277" s="120" t="str">
        <f>IF(OR(D2277&lt;Capa!$A$5,D2277&gt;Capa!$A$7,E2277&lt;Capa!$A$5,E2277&gt;Capa!$A$7,D2277&gt;E2277),"Erro","")</f>
        <v/>
      </c>
    </row>
    <row r="2278" spans="1:9" ht="30" hidden="1">
      <c r="A2278" s="345">
        <v>2695</v>
      </c>
      <c r="B2278" s="346" t="s">
        <v>617</v>
      </c>
      <c r="C2278" s="347">
        <v>200</v>
      </c>
      <c r="D2278" s="348">
        <v>45658</v>
      </c>
      <c r="E2278" s="348">
        <v>47058</v>
      </c>
      <c r="F2278" s="346" t="s">
        <v>612</v>
      </c>
      <c r="G2278" s="349" t="s">
        <v>639</v>
      </c>
      <c r="H2278" s="350">
        <f t="shared" si="46"/>
        <v>9400</v>
      </c>
      <c r="I2278" s="120" t="str">
        <f>IF(OR(D2278&lt;Capa!$A$5,D2278&gt;Capa!$A$7,E2278&lt;Capa!$A$5,E2278&gt;Capa!$A$7,D2278&gt;E2278),"Erro","")</f>
        <v/>
      </c>
    </row>
    <row r="2279" spans="1:9" ht="30" hidden="1">
      <c r="A2279" s="345">
        <v>2697</v>
      </c>
      <c r="B2279" s="346" t="s">
        <v>623</v>
      </c>
      <c r="C2279" s="347">
        <v>650</v>
      </c>
      <c r="D2279" s="348">
        <v>45658</v>
      </c>
      <c r="E2279" s="348">
        <v>46784</v>
      </c>
      <c r="F2279" s="346" t="s">
        <v>612</v>
      </c>
      <c r="G2279" s="349" t="s">
        <v>658</v>
      </c>
      <c r="H2279" s="350">
        <f t="shared" si="46"/>
        <v>24700</v>
      </c>
      <c r="I2279" s="120" t="str">
        <f>IF(OR(D2279&lt;Capa!$A$5,D2279&gt;Capa!$A$7,E2279&lt;Capa!$A$5,E2279&gt;Capa!$A$7,D2279&gt;E2279),"Erro","")</f>
        <v/>
      </c>
    </row>
    <row r="2280" spans="1:9" ht="20" hidden="1">
      <c r="A2280" s="345">
        <v>2698</v>
      </c>
      <c r="B2280" s="346" t="s">
        <v>625</v>
      </c>
      <c r="C2280" s="347">
        <v>90</v>
      </c>
      <c r="D2280" s="348">
        <v>45658</v>
      </c>
      <c r="E2280" s="348">
        <v>47058</v>
      </c>
      <c r="F2280" s="346" t="s">
        <v>612</v>
      </c>
      <c r="G2280" s="349" t="s">
        <v>659</v>
      </c>
      <c r="H2280" s="350">
        <f t="shared" si="46"/>
        <v>4230</v>
      </c>
      <c r="I2280" s="120" t="str">
        <f>IF(OR(D2280&lt;Capa!$A$5,D2280&gt;Capa!$A$7,E2280&lt;Capa!$A$5,E2280&gt;Capa!$A$7,D2280&gt;E2280),"Erro","")</f>
        <v/>
      </c>
    </row>
    <row r="2281" spans="1:9" ht="20" hidden="1">
      <c r="A2281" s="345">
        <v>2699</v>
      </c>
      <c r="B2281" s="346" t="s">
        <v>627</v>
      </c>
      <c r="C2281" s="347">
        <v>50</v>
      </c>
      <c r="D2281" s="348">
        <v>45658</v>
      </c>
      <c r="E2281" s="348">
        <v>47058</v>
      </c>
      <c r="F2281" s="346" t="s">
        <v>612</v>
      </c>
      <c r="G2281" s="349" t="s">
        <v>661</v>
      </c>
      <c r="H2281" s="350">
        <f t="shared" si="46"/>
        <v>2350</v>
      </c>
      <c r="I2281" s="120" t="str">
        <f>IF(OR(D2281&lt;Capa!$A$5,D2281&gt;Capa!$A$7,E2281&lt;Capa!$A$5,E2281&gt;Capa!$A$7,D2281&gt;E2281),"Erro","")</f>
        <v/>
      </c>
    </row>
    <row r="2282" spans="1:9" ht="30" hidden="1">
      <c r="A2282" s="345">
        <v>2700</v>
      </c>
      <c r="B2282" s="346" t="s">
        <v>626</v>
      </c>
      <c r="C2282" s="347">
        <v>350</v>
      </c>
      <c r="D2282" s="348">
        <v>45658</v>
      </c>
      <c r="E2282" s="348">
        <v>47058</v>
      </c>
      <c r="F2282" s="346" t="s">
        <v>612</v>
      </c>
      <c r="G2282" s="349" t="s">
        <v>660</v>
      </c>
      <c r="H2282" s="350">
        <f t="shared" si="46"/>
        <v>16450</v>
      </c>
      <c r="I2282" s="120" t="str">
        <f>IF(OR(D2282&lt;Capa!$A$5,D2282&gt;Capa!$A$7,E2282&lt;Capa!$A$5,E2282&gt;Capa!$A$7,D2282&gt;E2282),"Erro","")</f>
        <v/>
      </c>
    </row>
    <row r="2283" spans="1:9" ht="30" hidden="1">
      <c r="A2283" s="345">
        <v>2701</v>
      </c>
      <c r="B2283" s="346" t="s">
        <v>619</v>
      </c>
      <c r="C2283" s="347">
        <v>70</v>
      </c>
      <c r="D2283" s="348">
        <v>45658</v>
      </c>
      <c r="E2283" s="348">
        <v>47058</v>
      </c>
      <c r="F2283" s="346" t="s">
        <v>612</v>
      </c>
      <c r="G2283" s="349" t="s">
        <v>663</v>
      </c>
      <c r="H2283" s="350">
        <f t="shared" si="46"/>
        <v>3290</v>
      </c>
      <c r="I2283" s="120" t="str">
        <f>IF(OR(D2283&lt;Capa!$A$5,D2283&gt;Capa!$A$7,E2283&lt;Capa!$A$5,E2283&gt;Capa!$A$7,D2283&gt;E2283),"Erro","")</f>
        <v/>
      </c>
    </row>
    <row r="2284" spans="1:9" ht="20" hidden="1">
      <c r="A2284" s="345">
        <v>2703</v>
      </c>
      <c r="B2284" s="346" t="s">
        <v>198</v>
      </c>
      <c r="C2284" s="347">
        <v>11618.386500000001</v>
      </c>
      <c r="D2284" s="348">
        <v>45658</v>
      </c>
      <c r="E2284" s="348">
        <v>45992</v>
      </c>
      <c r="F2284" s="346" t="s">
        <v>613</v>
      </c>
      <c r="G2284" s="349" t="s">
        <v>437</v>
      </c>
      <c r="H2284" s="350">
        <f t="shared" si="46"/>
        <v>139420.63800000001</v>
      </c>
      <c r="I2284" s="120" t="str">
        <f>IF(OR(D2284&lt;Capa!$A$5,D2284&gt;Capa!$A$7,E2284&lt;Capa!$A$5,E2284&gt;Capa!$A$7,D2284&gt;E2284),"Erro","")</f>
        <v/>
      </c>
    </row>
    <row r="2285" spans="1:9" ht="20" hidden="1">
      <c r="A2285" s="345">
        <v>2704</v>
      </c>
      <c r="B2285" s="346" t="s">
        <v>198</v>
      </c>
      <c r="C2285" s="347">
        <v>12199.305824999999</v>
      </c>
      <c r="D2285" s="348">
        <v>46023</v>
      </c>
      <c r="E2285" s="348">
        <v>46357</v>
      </c>
      <c r="F2285" s="346" t="s">
        <v>613</v>
      </c>
      <c r="G2285" s="349" t="s">
        <v>437</v>
      </c>
      <c r="H2285" s="350">
        <f t="shared" si="46"/>
        <v>146391.66989999998</v>
      </c>
      <c r="I2285" s="120" t="str">
        <f>IF(OR(D2285&lt;Capa!$A$5,D2285&gt;Capa!$A$7,E2285&lt;Capa!$A$5,E2285&gt;Capa!$A$7,D2285&gt;E2285),"Erro","")</f>
        <v/>
      </c>
    </row>
    <row r="2286" spans="1:9" ht="20" hidden="1">
      <c r="A2286" s="345">
        <v>2705</v>
      </c>
      <c r="B2286" s="346" t="s">
        <v>198</v>
      </c>
      <c r="C2286" s="347">
        <v>12809.27111625</v>
      </c>
      <c r="D2286" s="348">
        <v>46388</v>
      </c>
      <c r="E2286" s="348">
        <v>46722</v>
      </c>
      <c r="F2286" s="346" t="s">
        <v>613</v>
      </c>
      <c r="G2286" s="349" t="s">
        <v>437</v>
      </c>
      <c r="H2286" s="350">
        <f t="shared" si="46"/>
        <v>153711.25339500001</v>
      </c>
      <c r="I2286" s="120" t="str">
        <f>IF(OR(D2286&lt;Capa!$A$5,D2286&gt;Capa!$A$7,E2286&lt;Capa!$A$5,E2286&gt;Capa!$A$7,D2286&gt;E2286),"Erro","")</f>
        <v/>
      </c>
    </row>
    <row r="2287" spans="1:9" ht="20" hidden="1">
      <c r="A2287" s="345">
        <v>2706</v>
      </c>
      <c r="B2287" s="346" t="s">
        <v>198</v>
      </c>
      <c r="C2287" s="347">
        <v>5500</v>
      </c>
      <c r="D2287" s="348">
        <v>46753</v>
      </c>
      <c r="E2287" s="348">
        <v>47058</v>
      </c>
      <c r="F2287" s="346" t="s">
        <v>613</v>
      </c>
      <c r="G2287" s="349" t="s">
        <v>437</v>
      </c>
      <c r="H2287" s="350">
        <f t="shared" si="46"/>
        <v>60500</v>
      </c>
      <c r="I2287" s="120" t="str">
        <f>IF(OR(D2287&lt;Capa!$A$5,D2287&gt;Capa!$A$7,E2287&lt;Capa!$A$5,E2287&gt;Capa!$A$7,D2287&gt;E2287),"Erro","")</f>
        <v/>
      </c>
    </row>
    <row r="2288" spans="1:9" ht="20" hidden="1">
      <c r="A2288" s="345">
        <v>2707</v>
      </c>
      <c r="B2288" s="346" t="s">
        <v>202</v>
      </c>
      <c r="C2288" s="347">
        <v>1500</v>
      </c>
      <c r="D2288" s="348">
        <v>45658</v>
      </c>
      <c r="E2288" s="348">
        <v>45748</v>
      </c>
      <c r="F2288" s="346" t="s">
        <v>613</v>
      </c>
      <c r="G2288" s="349" t="s">
        <v>438</v>
      </c>
      <c r="H2288" s="350">
        <f t="shared" si="46"/>
        <v>6000</v>
      </c>
      <c r="I2288" s="120" t="str">
        <f>IF(OR(D2288&lt;Capa!$A$5,D2288&gt;Capa!$A$7,E2288&lt;Capa!$A$5,E2288&gt;Capa!$A$7,D2288&gt;E2288),"Erro","")</f>
        <v/>
      </c>
    </row>
    <row r="2289" spans="1:9" ht="20" hidden="1">
      <c r="A2289" s="345">
        <v>2708</v>
      </c>
      <c r="B2289" s="346" t="s">
        <v>202</v>
      </c>
      <c r="C2289" s="347">
        <v>1300</v>
      </c>
      <c r="D2289" s="348">
        <v>46023</v>
      </c>
      <c r="E2289" s="348">
        <v>46113</v>
      </c>
      <c r="F2289" s="346" t="s">
        <v>613</v>
      </c>
      <c r="G2289" s="349" t="s">
        <v>438</v>
      </c>
      <c r="H2289" s="350">
        <f t="shared" si="46"/>
        <v>5200</v>
      </c>
      <c r="I2289" s="120" t="str">
        <f>IF(OR(D2289&lt;Capa!$A$5,D2289&gt;Capa!$A$7,E2289&lt;Capa!$A$5,E2289&gt;Capa!$A$7,D2289&gt;E2289),"Erro","")</f>
        <v/>
      </c>
    </row>
    <row r="2290" spans="1:9" ht="20" hidden="1">
      <c r="A2290" s="345">
        <v>2709</v>
      </c>
      <c r="B2290" s="346" t="s">
        <v>202</v>
      </c>
      <c r="C2290" s="347">
        <v>1300</v>
      </c>
      <c r="D2290" s="348">
        <v>46388</v>
      </c>
      <c r="E2290" s="348">
        <v>46478</v>
      </c>
      <c r="F2290" s="346" t="s">
        <v>613</v>
      </c>
      <c r="G2290" s="349" t="s">
        <v>438</v>
      </c>
      <c r="H2290" s="350">
        <f t="shared" si="46"/>
        <v>5200</v>
      </c>
      <c r="I2290" s="120" t="str">
        <f>IF(OR(D2290&lt;Capa!$A$5,D2290&gt;Capa!$A$7,E2290&lt;Capa!$A$5,E2290&gt;Capa!$A$7,D2290&gt;E2290),"Erro","")</f>
        <v/>
      </c>
    </row>
    <row r="2291" spans="1:9" ht="20" hidden="1">
      <c r="A2291" s="345">
        <v>2710</v>
      </c>
      <c r="B2291" s="346" t="s">
        <v>202</v>
      </c>
      <c r="C2291" s="347">
        <v>750</v>
      </c>
      <c r="D2291" s="348">
        <v>46753</v>
      </c>
      <c r="E2291" s="348">
        <v>46844</v>
      </c>
      <c r="F2291" s="346" t="s">
        <v>613</v>
      </c>
      <c r="G2291" s="349" t="s">
        <v>438</v>
      </c>
      <c r="H2291" s="350">
        <f t="shared" si="46"/>
        <v>3000</v>
      </c>
      <c r="I2291" s="120" t="str">
        <f>IF(OR(D2291&lt;Capa!$A$5,D2291&gt;Capa!$A$7,E2291&lt;Capa!$A$5,E2291&gt;Capa!$A$7,D2291&gt;E2291),"Erro","")</f>
        <v/>
      </c>
    </row>
    <row r="2292" spans="1:9" ht="20" hidden="1">
      <c r="A2292" s="345">
        <v>2711</v>
      </c>
      <c r="B2292" s="346" t="s">
        <v>204</v>
      </c>
      <c r="C2292" s="347">
        <v>1250</v>
      </c>
      <c r="D2292" s="348">
        <v>45658</v>
      </c>
      <c r="E2292" s="348">
        <v>45748</v>
      </c>
      <c r="F2292" s="346" t="s">
        <v>613</v>
      </c>
      <c r="G2292" s="349" t="s">
        <v>438</v>
      </c>
      <c r="H2292" s="350">
        <f t="shared" si="46"/>
        <v>5000</v>
      </c>
      <c r="I2292" s="120" t="str">
        <f>IF(OR(D2292&lt;Capa!$A$5,D2292&gt;Capa!$A$7,E2292&lt;Capa!$A$5,E2292&gt;Capa!$A$7,D2292&gt;E2292),"Erro","")</f>
        <v/>
      </c>
    </row>
    <row r="2293" spans="1:9" ht="20" hidden="1">
      <c r="A2293" s="345">
        <v>2712</v>
      </c>
      <c r="B2293" s="346" t="s">
        <v>204</v>
      </c>
      <c r="C2293" s="347">
        <v>1250</v>
      </c>
      <c r="D2293" s="348">
        <v>46023</v>
      </c>
      <c r="E2293" s="348">
        <v>46113</v>
      </c>
      <c r="F2293" s="346" t="s">
        <v>613</v>
      </c>
      <c r="G2293" s="349" t="s">
        <v>438</v>
      </c>
      <c r="H2293" s="350">
        <f t="shared" si="46"/>
        <v>5000</v>
      </c>
      <c r="I2293" s="120" t="str">
        <f>IF(OR(D2293&lt;Capa!$A$5,D2293&gt;Capa!$A$7,E2293&lt;Capa!$A$5,E2293&gt;Capa!$A$7,D2293&gt;E2293),"Erro","")</f>
        <v/>
      </c>
    </row>
    <row r="2294" spans="1:9" ht="20" hidden="1">
      <c r="A2294" s="345">
        <v>2713</v>
      </c>
      <c r="B2294" s="346" t="s">
        <v>204</v>
      </c>
      <c r="C2294" s="347">
        <v>1250</v>
      </c>
      <c r="D2294" s="348">
        <v>46388</v>
      </c>
      <c r="E2294" s="348">
        <v>46478</v>
      </c>
      <c r="F2294" s="346" t="s">
        <v>613</v>
      </c>
      <c r="G2294" s="349" t="s">
        <v>438</v>
      </c>
      <c r="H2294" s="350">
        <f t="shared" si="46"/>
        <v>5000</v>
      </c>
      <c r="I2294" s="120" t="str">
        <f>IF(OR(D2294&lt;Capa!$A$5,D2294&gt;Capa!$A$7,E2294&lt;Capa!$A$5,E2294&gt;Capa!$A$7,D2294&gt;E2294),"Erro","")</f>
        <v/>
      </c>
    </row>
    <row r="2295" spans="1:9" ht="20" hidden="1">
      <c r="A2295" s="345">
        <v>2714</v>
      </c>
      <c r="B2295" s="346" t="s">
        <v>204</v>
      </c>
      <c r="C2295" s="347">
        <v>780</v>
      </c>
      <c r="D2295" s="348">
        <v>46753</v>
      </c>
      <c r="E2295" s="348">
        <v>46844</v>
      </c>
      <c r="F2295" s="346" t="s">
        <v>613</v>
      </c>
      <c r="G2295" s="349" t="s">
        <v>438</v>
      </c>
      <c r="H2295" s="350">
        <f t="shared" si="46"/>
        <v>3120</v>
      </c>
      <c r="I2295" s="120" t="str">
        <f>IF(OR(D2295&lt;Capa!$A$5,D2295&gt;Capa!$A$7,E2295&lt;Capa!$A$5,E2295&gt;Capa!$A$7,D2295&gt;E2295),"Erro","")</f>
        <v/>
      </c>
    </row>
    <row r="2296" spans="1:9" ht="20" hidden="1">
      <c r="A2296" s="345">
        <v>2716</v>
      </c>
      <c r="B2296" s="346" t="s">
        <v>206</v>
      </c>
      <c r="C2296" s="347">
        <v>1200</v>
      </c>
      <c r="D2296" s="348">
        <v>45658</v>
      </c>
      <c r="E2296" s="348">
        <v>45992</v>
      </c>
      <c r="F2296" s="346" t="s">
        <v>613</v>
      </c>
      <c r="G2296" s="349" t="s">
        <v>439</v>
      </c>
      <c r="H2296" s="350">
        <f t="shared" si="46"/>
        <v>14400</v>
      </c>
      <c r="I2296" s="120" t="str">
        <f>IF(OR(D2296&lt;Capa!$A$5,D2296&gt;Capa!$A$7,E2296&lt;Capa!$A$5,E2296&gt;Capa!$A$7,D2296&gt;E2296),"Erro","")</f>
        <v/>
      </c>
    </row>
    <row r="2297" spans="1:9" ht="20" hidden="1">
      <c r="A2297" s="345">
        <v>2717</v>
      </c>
      <c r="B2297" s="346" t="s">
        <v>206</v>
      </c>
      <c r="C2297" s="347">
        <v>1200</v>
      </c>
      <c r="D2297" s="348">
        <v>46023</v>
      </c>
      <c r="E2297" s="348">
        <v>46357</v>
      </c>
      <c r="F2297" s="346" t="s">
        <v>613</v>
      </c>
      <c r="G2297" s="349" t="s">
        <v>439</v>
      </c>
      <c r="H2297" s="350">
        <f t="shared" si="46"/>
        <v>14400</v>
      </c>
      <c r="I2297" s="120" t="str">
        <f>IF(OR(D2297&lt;Capa!$A$5,D2297&gt;Capa!$A$7,E2297&lt;Capa!$A$5,E2297&gt;Capa!$A$7,D2297&gt;E2297),"Erro","")</f>
        <v/>
      </c>
    </row>
    <row r="2298" spans="1:9" ht="20" hidden="1">
      <c r="A2298" s="345">
        <v>2718</v>
      </c>
      <c r="B2298" s="346" t="s">
        <v>206</v>
      </c>
      <c r="C2298" s="347">
        <v>1200</v>
      </c>
      <c r="D2298" s="348">
        <v>46388</v>
      </c>
      <c r="E2298" s="348">
        <v>46722</v>
      </c>
      <c r="F2298" s="346" t="s">
        <v>613</v>
      </c>
      <c r="G2298" s="349" t="s">
        <v>439</v>
      </c>
      <c r="H2298" s="350">
        <f t="shared" si="46"/>
        <v>14400</v>
      </c>
      <c r="I2298" s="120" t="str">
        <f>IF(OR(D2298&lt;Capa!$A$5,D2298&gt;Capa!$A$7,E2298&lt;Capa!$A$5,E2298&gt;Capa!$A$7,D2298&gt;E2298),"Erro","")</f>
        <v/>
      </c>
    </row>
    <row r="2299" spans="1:9" ht="20" hidden="1">
      <c r="A2299" s="345">
        <v>2719</v>
      </c>
      <c r="B2299" s="346" t="s">
        <v>206</v>
      </c>
      <c r="C2299" s="347">
        <v>600</v>
      </c>
      <c r="D2299" s="348">
        <v>46753</v>
      </c>
      <c r="E2299" s="348">
        <v>47058</v>
      </c>
      <c r="F2299" s="346" t="s">
        <v>613</v>
      </c>
      <c r="G2299" s="349" t="s">
        <v>439</v>
      </c>
      <c r="H2299" s="350">
        <f t="shared" si="46"/>
        <v>6600</v>
      </c>
      <c r="I2299" s="120" t="str">
        <f>IF(OR(D2299&lt;Capa!$A$5,D2299&gt;Capa!$A$7,E2299&lt;Capa!$A$5,E2299&gt;Capa!$A$7,D2299&gt;E2299),"Erro","")</f>
        <v/>
      </c>
    </row>
    <row r="2300" spans="1:9" ht="20" hidden="1">
      <c r="A2300" s="345">
        <v>2721</v>
      </c>
      <c r="B2300" s="346" t="s">
        <v>208</v>
      </c>
      <c r="C2300" s="347">
        <v>2500</v>
      </c>
      <c r="D2300" s="348">
        <v>45658</v>
      </c>
      <c r="E2300" s="348">
        <v>45992</v>
      </c>
      <c r="F2300" s="346" t="s">
        <v>613</v>
      </c>
      <c r="G2300" s="349" t="s">
        <v>439</v>
      </c>
      <c r="H2300" s="350">
        <f t="shared" si="46"/>
        <v>30000</v>
      </c>
      <c r="I2300" s="120" t="str">
        <f>IF(OR(D2300&lt;Capa!$A$5,D2300&gt;Capa!$A$7,E2300&lt;Capa!$A$5,E2300&gt;Capa!$A$7,D2300&gt;E2300),"Erro","")</f>
        <v/>
      </c>
    </row>
    <row r="2301" spans="1:9" ht="20" hidden="1">
      <c r="A2301" s="345">
        <v>2722</v>
      </c>
      <c r="B2301" s="346" t="s">
        <v>208</v>
      </c>
      <c r="C2301" s="347">
        <v>2500</v>
      </c>
      <c r="D2301" s="348">
        <v>46023</v>
      </c>
      <c r="E2301" s="348">
        <v>46357</v>
      </c>
      <c r="F2301" s="346" t="s">
        <v>613</v>
      </c>
      <c r="G2301" s="349" t="s">
        <v>439</v>
      </c>
      <c r="H2301" s="350">
        <f t="shared" si="46"/>
        <v>30000</v>
      </c>
      <c r="I2301" s="120" t="str">
        <f>IF(OR(D2301&lt;Capa!$A$5,D2301&gt;Capa!$A$7,E2301&lt;Capa!$A$5,E2301&gt;Capa!$A$7,D2301&gt;E2301),"Erro","")</f>
        <v/>
      </c>
    </row>
    <row r="2302" spans="1:9" ht="20" hidden="1">
      <c r="A2302" s="345">
        <v>2723</v>
      </c>
      <c r="B2302" s="346" t="s">
        <v>208</v>
      </c>
      <c r="C2302" s="347">
        <v>2500</v>
      </c>
      <c r="D2302" s="348">
        <v>46388</v>
      </c>
      <c r="E2302" s="348">
        <v>46722</v>
      </c>
      <c r="F2302" s="346" t="s">
        <v>613</v>
      </c>
      <c r="G2302" s="349" t="s">
        <v>439</v>
      </c>
      <c r="H2302" s="350">
        <f t="shared" si="46"/>
        <v>30000</v>
      </c>
      <c r="I2302" s="120" t="str">
        <f>IF(OR(D2302&lt;Capa!$A$5,D2302&gt;Capa!$A$7,E2302&lt;Capa!$A$5,E2302&gt;Capa!$A$7,D2302&gt;E2302),"Erro","")</f>
        <v/>
      </c>
    </row>
    <row r="2303" spans="1:9" ht="20" hidden="1">
      <c r="A2303" s="345">
        <v>2724</v>
      </c>
      <c r="B2303" s="346" t="s">
        <v>208</v>
      </c>
      <c r="C2303" s="347">
        <v>1250</v>
      </c>
      <c r="D2303" s="348">
        <v>46753</v>
      </c>
      <c r="E2303" s="348">
        <v>47058</v>
      </c>
      <c r="F2303" s="346" t="s">
        <v>613</v>
      </c>
      <c r="G2303" s="349" t="s">
        <v>439</v>
      </c>
      <c r="H2303" s="350">
        <f t="shared" si="46"/>
        <v>13750</v>
      </c>
      <c r="I2303" s="120" t="str">
        <f>IF(OR(D2303&lt;Capa!$A$5,D2303&gt;Capa!$A$7,E2303&lt;Capa!$A$5,E2303&gt;Capa!$A$7,D2303&gt;E2303),"Erro","")</f>
        <v/>
      </c>
    </row>
    <row r="2304" spans="1:9" ht="20" hidden="1">
      <c r="A2304" s="345">
        <v>2726</v>
      </c>
      <c r="B2304" s="346" t="s">
        <v>210</v>
      </c>
      <c r="C2304" s="347">
        <v>60</v>
      </c>
      <c r="D2304" s="348">
        <v>45658</v>
      </c>
      <c r="E2304" s="348">
        <v>45992</v>
      </c>
      <c r="F2304" s="346" t="s">
        <v>613</v>
      </c>
      <c r="G2304" s="349" t="s">
        <v>439</v>
      </c>
      <c r="H2304" s="350">
        <f t="shared" ref="H2304:H2355" si="47">IFERROR((DATEDIF(D2304,E2304,"M")+1)*C2304,0)</f>
        <v>720</v>
      </c>
      <c r="I2304" s="120" t="str">
        <f>IF(OR(D2304&lt;Capa!$A$5,D2304&gt;Capa!$A$7,E2304&lt;Capa!$A$5,E2304&gt;Capa!$A$7,D2304&gt;E2304),"Erro","")</f>
        <v/>
      </c>
    </row>
    <row r="2305" spans="1:9" ht="20" hidden="1">
      <c r="A2305" s="345">
        <v>2727</v>
      </c>
      <c r="B2305" s="346" t="s">
        <v>210</v>
      </c>
      <c r="C2305" s="347">
        <v>60</v>
      </c>
      <c r="D2305" s="348">
        <v>46023</v>
      </c>
      <c r="E2305" s="348">
        <v>46357</v>
      </c>
      <c r="F2305" s="346" t="s">
        <v>613</v>
      </c>
      <c r="G2305" s="349" t="s">
        <v>439</v>
      </c>
      <c r="H2305" s="350">
        <f t="shared" si="47"/>
        <v>720</v>
      </c>
      <c r="I2305" s="120" t="str">
        <f>IF(OR(D2305&lt;Capa!$A$5,D2305&gt;Capa!$A$7,E2305&lt;Capa!$A$5,E2305&gt;Capa!$A$7,D2305&gt;E2305),"Erro","")</f>
        <v/>
      </c>
    </row>
    <row r="2306" spans="1:9" ht="20" hidden="1">
      <c r="A2306" s="345">
        <v>2728</v>
      </c>
      <c r="B2306" s="346" t="s">
        <v>210</v>
      </c>
      <c r="C2306" s="347">
        <v>60</v>
      </c>
      <c r="D2306" s="348">
        <v>46388</v>
      </c>
      <c r="E2306" s="348">
        <v>46722</v>
      </c>
      <c r="F2306" s="346" t="s">
        <v>613</v>
      </c>
      <c r="G2306" s="349" t="s">
        <v>439</v>
      </c>
      <c r="H2306" s="350">
        <f t="shared" si="47"/>
        <v>720</v>
      </c>
      <c r="I2306" s="120" t="str">
        <f>IF(OR(D2306&lt;Capa!$A$5,D2306&gt;Capa!$A$7,E2306&lt;Capa!$A$5,E2306&gt;Capa!$A$7,D2306&gt;E2306),"Erro","")</f>
        <v/>
      </c>
    </row>
    <row r="2307" spans="1:9" ht="20" hidden="1">
      <c r="A2307" s="345">
        <v>2729</v>
      </c>
      <c r="B2307" s="346" t="s">
        <v>210</v>
      </c>
      <c r="C2307" s="347">
        <v>49</v>
      </c>
      <c r="D2307" s="348">
        <v>46753</v>
      </c>
      <c r="E2307" s="348">
        <v>47058</v>
      </c>
      <c r="F2307" s="346" t="s">
        <v>613</v>
      </c>
      <c r="G2307" s="349" t="s">
        <v>439</v>
      </c>
      <c r="H2307" s="350">
        <f t="shared" si="47"/>
        <v>539</v>
      </c>
      <c r="I2307" s="120" t="str">
        <f>IF(OR(D2307&lt;Capa!$A$5,D2307&gt;Capa!$A$7,E2307&lt;Capa!$A$5,E2307&gt;Capa!$A$7,D2307&gt;E2307),"Erro","")</f>
        <v/>
      </c>
    </row>
    <row r="2308" spans="1:9" ht="20" hidden="1">
      <c r="A2308" s="345">
        <v>2731</v>
      </c>
      <c r="B2308" s="346" t="s">
        <v>214</v>
      </c>
      <c r="C2308" s="347">
        <v>140</v>
      </c>
      <c r="D2308" s="348">
        <v>45658</v>
      </c>
      <c r="E2308" s="348">
        <v>45992</v>
      </c>
      <c r="F2308" s="346" t="s">
        <v>613</v>
      </c>
      <c r="G2308" s="349" t="s">
        <v>439</v>
      </c>
      <c r="H2308" s="350">
        <f t="shared" si="47"/>
        <v>1680</v>
      </c>
      <c r="I2308" s="120" t="str">
        <f>IF(OR(D2308&lt;Capa!$A$5,D2308&gt;Capa!$A$7,E2308&lt;Capa!$A$5,E2308&gt;Capa!$A$7,D2308&gt;E2308),"Erro","")</f>
        <v/>
      </c>
    </row>
    <row r="2309" spans="1:9" ht="20" hidden="1">
      <c r="A2309" s="345">
        <v>2732</v>
      </c>
      <c r="B2309" s="346" t="s">
        <v>214</v>
      </c>
      <c r="C2309" s="347">
        <v>140</v>
      </c>
      <c r="D2309" s="348">
        <v>46023</v>
      </c>
      <c r="E2309" s="348">
        <v>46357</v>
      </c>
      <c r="F2309" s="346" t="s">
        <v>613</v>
      </c>
      <c r="G2309" s="349" t="s">
        <v>439</v>
      </c>
      <c r="H2309" s="350">
        <f t="shared" si="47"/>
        <v>1680</v>
      </c>
      <c r="I2309" s="120" t="str">
        <f>IF(OR(D2309&lt;Capa!$A$5,D2309&gt;Capa!$A$7,E2309&lt;Capa!$A$5,E2309&gt;Capa!$A$7,D2309&gt;E2309),"Erro","")</f>
        <v/>
      </c>
    </row>
    <row r="2310" spans="1:9" ht="20" hidden="1">
      <c r="A2310" s="345">
        <v>2733</v>
      </c>
      <c r="B2310" s="346" t="s">
        <v>214</v>
      </c>
      <c r="C2310" s="347">
        <v>140</v>
      </c>
      <c r="D2310" s="348">
        <v>46388</v>
      </c>
      <c r="E2310" s="348">
        <v>46722</v>
      </c>
      <c r="F2310" s="346" t="s">
        <v>613</v>
      </c>
      <c r="G2310" s="349" t="s">
        <v>439</v>
      </c>
      <c r="H2310" s="350">
        <f t="shared" si="47"/>
        <v>1680</v>
      </c>
      <c r="I2310" s="120" t="str">
        <f>IF(OR(D2310&lt;Capa!$A$5,D2310&gt;Capa!$A$7,E2310&lt;Capa!$A$5,E2310&gt;Capa!$A$7,D2310&gt;E2310),"Erro","")</f>
        <v/>
      </c>
    </row>
    <row r="2311" spans="1:9" ht="20" hidden="1">
      <c r="A2311" s="345">
        <v>2734</v>
      </c>
      <c r="B2311" s="346" t="s">
        <v>214</v>
      </c>
      <c r="C2311" s="347">
        <v>70</v>
      </c>
      <c r="D2311" s="348">
        <v>46753</v>
      </c>
      <c r="E2311" s="348">
        <v>47058</v>
      </c>
      <c r="F2311" s="346" t="s">
        <v>613</v>
      </c>
      <c r="G2311" s="349" t="s">
        <v>439</v>
      </c>
      <c r="H2311" s="350">
        <f t="shared" si="47"/>
        <v>770</v>
      </c>
      <c r="I2311" s="120" t="str">
        <f>IF(OR(D2311&lt;Capa!$A$5,D2311&gt;Capa!$A$7,E2311&lt;Capa!$A$5,E2311&gt;Capa!$A$7,D2311&gt;E2311),"Erro","")</f>
        <v/>
      </c>
    </row>
    <row r="2312" spans="1:9" ht="50" hidden="1">
      <c r="A2312" s="345">
        <v>2736</v>
      </c>
      <c r="B2312" s="346" t="s">
        <v>212</v>
      </c>
      <c r="C2312" s="347">
        <v>260</v>
      </c>
      <c r="D2312" s="348">
        <v>45658</v>
      </c>
      <c r="E2312" s="348">
        <v>45992</v>
      </c>
      <c r="F2312" s="346" t="s">
        <v>613</v>
      </c>
      <c r="G2312" s="349" t="s">
        <v>495</v>
      </c>
      <c r="H2312" s="350">
        <f t="shared" si="47"/>
        <v>3120</v>
      </c>
      <c r="I2312" s="120" t="str">
        <f>IF(OR(D2312&lt;Capa!$A$5,D2312&gt;Capa!$A$7,E2312&lt;Capa!$A$5,E2312&gt;Capa!$A$7,D2312&gt;E2312),"Erro","")</f>
        <v/>
      </c>
    </row>
    <row r="2313" spans="1:9" ht="50" hidden="1">
      <c r="A2313" s="345">
        <v>2737</v>
      </c>
      <c r="B2313" s="346" t="s">
        <v>212</v>
      </c>
      <c r="C2313" s="347">
        <v>260</v>
      </c>
      <c r="D2313" s="348">
        <v>46023</v>
      </c>
      <c r="E2313" s="348">
        <v>46357</v>
      </c>
      <c r="F2313" s="346" t="s">
        <v>613</v>
      </c>
      <c r="G2313" s="349" t="s">
        <v>495</v>
      </c>
      <c r="H2313" s="350">
        <f t="shared" si="47"/>
        <v>3120</v>
      </c>
      <c r="I2313" s="120" t="str">
        <f>IF(OR(D2313&lt;Capa!$A$5,D2313&gt;Capa!$A$7,E2313&lt;Capa!$A$5,E2313&gt;Capa!$A$7,D2313&gt;E2313),"Erro","")</f>
        <v/>
      </c>
    </row>
    <row r="2314" spans="1:9" ht="50" hidden="1">
      <c r="A2314" s="345">
        <v>2738</v>
      </c>
      <c r="B2314" s="346" t="s">
        <v>212</v>
      </c>
      <c r="C2314" s="347">
        <v>260</v>
      </c>
      <c r="D2314" s="348">
        <v>46388</v>
      </c>
      <c r="E2314" s="348">
        <v>46722</v>
      </c>
      <c r="F2314" s="346" t="s">
        <v>613</v>
      </c>
      <c r="G2314" s="349" t="s">
        <v>495</v>
      </c>
      <c r="H2314" s="350">
        <f t="shared" si="47"/>
        <v>3120</v>
      </c>
      <c r="I2314" s="120" t="str">
        <f>IF(OR(D2314&lt;Capa!$A$5,D2314&gt;Capa!$A$7,E2314&lt;Capa!$A$5,E2314&gt;Capa!$A$7,D2314&gt;E2314),"Erro","")</f>
        <v/>
      </c>
    </row>
    <row r="2315" spans="1:9" ht="50" hidden="1">
      <c r="A2315" s="345">
        <v>2739</v>
      </c>
      <c r="B2315" s="346" t="s">
        <v>212</v>
      </c>
      <c r="C2315" s="347">
        <v>220</v>
      </c>
      <c r="D2315" s="348">
        <v>46753</v>
      </c>
      <c r="E2315" s="348">
        <v>47058</v>
      </c>
      <c r="F2315" s="346" t="s">
        <v>613</v>
      </c>
      <c r="G2315" s="349" t="s">
        <v>495</v>
      </c>
      <c r="H2315" s="350">
        <f t="shared" si="47"/>
        <v>2420</v>
      </c>
      <c r="I2315" s="120" t="str">
        <f>IF(OR(D2315&lt;Capa!$A$5,D2315&gt;Capa!$A$7,E2315&lt;Capa!$A$5,E2315&gt;Capa!$A$7,D2315&gt;E2315),"Erro","")</f>
        <v/>
      </c>
    </row>
    <row r="2316" spans="1:9" ht="40" hidden="1">
      <c r="A2316" s="345">
        <v>2740</v>
      </c>
      <c r="B2316" s="346" t="s">
        <v>248</v>
      </c>
      <c r="C2316" s="347">
        <v>846</v>
      </c>
      <c r="D2316" s="348">
        <v>45658</v>
      </c>
      <c r="E2316" s="348">
        <v>45809</v>
      </c>
      <c r="F2316" s="346" t="s">
        <v>613</v>
      </c>
      <c r="G2316" s="349" t="s">
        <v>440</v>
      </c>
      <c r="H2316" s="350">
        <f t="shared" si="47"/>
        <v>5076</v>
      </c>
      <c r="I2316" s="120" t="str">
        <f>IF(OR(D2316&lt;Capa!$A$5,D2316&gt;Capa!$A$7,E2316&lt;Capa!$A$5,E2316&gt;Capa!$A$7,D2316&gt;E2316),"Erro","")</f>
        <v/>
      </c>
    </row>
    <row r="2317" spans="1:9" ht="40" hidden="1">
      <c r="A2317" s="345">
        <v>2741</v>
      </c>
      <c r="B2317" s="346" t="s">
        <v>248</v>
      </c>
      <c r="C2317" s="347">
        <v>846</v>
      </c>
      <c r="D2317" s="348">
        <v>46023</v>
      </c>
      <c r="E2317" s="348">
        <v>46174</v>
      </c>
      <c r="F2317" s="346" t="s">
        <v>613</v>
      </c>
      <c r="G2317" s="349" t="s">
        <v>440</v>
      </c>
      <c r="H2317" s="350">
        <f t="shared" si="47"/>
        <v>5076</v>
      </c>
      <c r="I2317" s="120" t="str">
        <f>IF(OR(D2317&lt;Capa!$A$5,D2317&gt;Capa!$A$7,E2317&lt;Capa!$A$5,E2317&gt;Capa!$A$7,D2317&gt;E2317),"Erro","")</f>
        <v/>
      </c>
    </row>
    <row r="2318" spans="1:9" ht="40" hidden="1">
      <c r="A2318" s="345">
        <v>2742</v>
      </c>
      <c r="B2318" s="346" t="s">
        <v>248</v>
      </c>
      <c r="C2318" s="347">
        <v>846</v>
      </c>
      <c r="D2318" s="348">
        <v>46388</v>
      </c>
      <c r="E2318" s="348">
        <v>46539</v>
      </c>
      <c r="F2318" s="346" t="s">
        <v>613</v>
      </c>
      <c r="G2318" s="349" t="s">
        <v>440</v>
      </c>
      <c r="H2318" s="350">
        <f t="shared" si="47"/>
        <v>5076</v>
      </c>
      <c r="I2318" s="120" t="str">
        <f>IF(OR(D2318&lt;Capa!$A$5,D2318&gt;Capa!$A$7,E2318&lt;Capa!$A$5,E2318&gt;Capa!$A$7,D2318&gt;E2318),"Erro","")</f>
        <v/>
      </c>
    </row>
    <row r="2319" spans="1:9" ht="40" hidden="1">
      <c r="A2319" s="345">
        <v>2743</v>
      </c>
      <c r="B2319" s="346" t="s">
        <v>248</v>
      </c>
      <c r="C2319" s="347">
        <v>500</v>
      </c>
      <c r="D2319" s="348">
        <v>46753</v>
      </c>
      <c r="E2319" s="348">
        <v>46905</v>
      </c>
      <c r="F2319" s="346" t="s">
        <v>613</v>
      </c>
      <c r="G2319" s="349" t="s">
        <v>440</v>
      </c>
      <c r="H2319" s="350">
        <f t="shared" si="47"/>
        <v>3000</v>
      </c>
      <c r="I2319" s="120" t="str">
        <f>IF(OR(D2319&lt;Capa!$A$5,D2319&gt;Capa!$A$7,E2319&lt;Capa!$A$5,E2319&gt;Capa!$A$7,D2319&gt;E2319),"Erro","")</f>
        <v/>
      </c>
    </row>
    <row r="2320" spans="1:9" ht="30" hidden="1">
      <c r="A2320" s="345">
        <v>2744</v>
      </c>
      <c r="B2320" s="346" t="s">
        <v>266</v>
      </c>
      <c r="C2320" s="347">
        <v>1500</v>
      </c>
      <c r="D2320" s="348">
        <v>45658</v>
      </c>
      <c r="E2320" s="348">
        <v>45658</v>
      </c>
      <c r="F2320" s="346" t="s">
        <v>613</v>
      </c>
      <c r="G2320" s="349" t="s">
        <v>441</v>
      </c>
      <c r="H2320" s="350">
        <f t="shared" si="47"/>
        <v>1500</v>
      </c>
      <c r="I2320" s="120" t="str">
        <f>IF(OR(D2320&lt;Capa!$A$5,D2320&gt;Capa!$A$7,E2320&lt;Capa!$A$5,E2320&gt;Capa!$A$7,D2320&gt;E2320),"Erro","")</f>
        <v/>
      </c>
    </row>
    <row r="2321" spans="1:9" ht="30" hidden="1">
      <c r="A2321" s="345">
        <v>2745</v>
      </c>
      <c r="B2321" s="346" t="s">
        <v>266</v>
      </c>
      <c r="C2321" s="347">
        <v>1500</v>
      </c>
      <c r="D2321" s="348">
        <v>46023</v>
      </c>
      <c r="E2321" s="348">
        <v>46023</v>
      </c>
      <c r="F2321" s="346" t="s">
        <v>613</v>
      </c>
      <c r="G2321" s="349" t="s">
        <v>441</v>
      </c>
      <c r="H2321" s="350">
        <f t="shared" si="47"/>
        <v>1500</v>
      </c>
      <c r="I2321" s="120" t="str">
        <f>IF(OR(D2321&lt;Capa!$A$5,D2321&gt;Capa!$A$7,E2321&lt;Capa!$A$5,E2321&gt;Capa!$A$7,D2321&gt;E2321),"Erro","")</f>
        <v/>
      </c>
    </row>
    <row r="2322" spans="1:9" ht="30" hidden="1">
      <c r="A2322" s="345">
        <v>2746</v>
      </c>
      <c r="B2322" s="346" t="s">
        <v>266</v>
      </c>
      <c r="C2322" s="347">
        <v>1500</v>
      </c>
      <c r="D2322" s="348">
        <v>46388</v>
      </c>
      <c r="E2322" s="348">
        <v>46388</v>
      </c>
      <c r="F2322" s="346" t="s">
        <v>613</v>
      </c>
      <c r="G2322" s="349" t="s">
        <v>441</v>
      </c>
      <c r="H2322" s="350">
        <f t="shared" si="47"/>
        <v>1500</v>
      </c>
      <c r="I2322" s="120" t="str">
        <f>IF(OR(D2322&lt;Capa!$A$5,D2322&gt;Capa!$A$7,E2322&lt;Capa!$A$5,E2322&gt;Capa!$A$7,D2322&gt;E2322),"Erro","")</f>
        <v/>
      </c>
    </row>
    <row r="2323" spans="1:9" ht="30" hidden="1">
      <c r="A2323" s="345">
        <v>2747</v>
      </c>
      <c r="B2323" s="346" t="s">
        <v>266</v>
      </c>
      <c r="C2323" s="347">
        <v>750</v>
      </c>
      <c r="D2323" s="348">
        <v>46753</v>
      </c>
      <c r="E2323" s="348">
        <v>46753</v>
      </c>
      <c r="F2323" s="346" t="s">
        <v>613</v>
      </c>
      <c r="G2323" s="349" t="s">
        <v>441</v>
      </c>
      <c r="H2323" s="350">
        <f t="shared" si="47"/>
        <v>750</v>
      </c>
      <c r="I2323" s="120" t="str">
        <f>IF(OR(D2323&lt;Capa!$A$5,D2323&gt;Capa!$A$7,E2323&lt;Capa!$A$5,E2323&gt;Capa!$A$7,D2323&gt;E2323),"Erro","")</f>
        <v/>
      </c>
    </row>
    <row r="2324" spans="1:9" hidden="1">
      <c r="A2324" s="345">
        <v>2749</v>
      </c>
      <c r="B2324" s="346" t="s">
        <v>274</v>
      </c>
      <c r="C2324" s="347">
        <v>850</v>
      </c>
      <c r="D2324" s="348">
        <v>45658</v>
      </c>
      <c r="E2324" s="348">
        <v>45992</v>
      </c>
      <c r="F2324" s="346" t="s">
        <v>613</v>
      </c>
      <c r="G2324" s="349" t="s">
        <v>442</v>
      </c>
      <c r="H2324" s="350">
        <f t="shared" si="47"/>
        <v>10200</v>
      </c>
      <c r="I2324" s="120" t="str">
        <f>IF(OR(D2324&lt;Capa!$A$5,D2324&gt;Capa!$A$7,E2324&lt;Capa!$A$5,E2324&gt;Capa!$A$7,D2324&gt;E2324),"Erro","")</f>
        <v/>
      </c>
    </row>
    <row r="2325" spans="1:9" hidden="1">
      <c r="A2325" s="345">
        <v>2750</v>
      </c>
      <c r="B2325" s="346" t="s">
        <v>274</v>
      </c>
      <c r="C2325" s="347">
        <v>850</v>
      </c>
      <c r="D2325" s="348">
        <v>46023</v>
      </c>
      <c r="E2325" s="348">
        <v>46357</v>
      </c>
      <c r="F2325" s="346" t="s">
        <v>613</v>
      </c>
      <c r="G2325" s="349" t="s">
        <v>442</v>
      </c>
      <c r="H2325" s="350">
        <f t="shared" si="47"/>
        <v>10200</v>
      </c>
      <c r="I2325" s="120" t="str">
        <f>IF(OR(D2325&lt;Capa!$A$5,D2325&gt;Capa!$A$7,E2325&lt;Capa!$A$5,E2325&gt;Capa!$A$7,D2325&gt;E2325),"Erro","")</f>
        <v/>
      </c>
    </row>
    <row r="2326" spans="1:9" hidden="1">
      <c r="A2326" s="345">
        <v>2751</v>
      </c>
      <c r="B2326" s="346" t="s">
        <v>274</v>
      </c>
      <c r="C2326" s="347">
        <v>850</v>
      </c>
      <c r="D2326" s="348">
        <v>46388</v>
      </c>
      <c r="E2326" s="348">
        <v>46722</v>
      </c>
      <c r="F2326" s="346" t="s">
        <v>613</v>
      </c>
      <c r="G2326" s="349" t="s">
        <v>442</v>
      </c>
      <c r="H2326" s="350">
        <f t="shared" si="47"/>
        <v>10200</v>
      </c>
      <c r="I2326" s="120" t="str">
        <f>IF(OR(D2326&lt;Capa!$A$5,D2326&gt;Capa!$A$7,E2326&lt;Capa!$A$5,E2326&gt;Capa!$A$7,D2326&gt;E2326),"Erro","")</f>
        <v/>
      </c>
    </row>
    <row r="2327" spans="1:9" hidden="1">
      <c r="A2327" s="345">
        <v>2752</v>
      </c>
      <c r="B2327" s="346" t="s">
        <v>274</v>
      </c>
      <c r="C2327" s="347">
        <v>450</v>
      </c>
      <c r="D2327" s="348">
        <v>46753</v>
      </c>
      <c r="E2327" s="348">
        <v>47058</v>
      </c>
      <c r="F2327" s="346" t="s">
        <v>613</v>
      </c>
      <c r="G2327" s="349" t="s">
        <v>442</v>
      </c>
      <c r="H2327" s="350">
        <f t="shared" si="47"/>
        <v>4950</v>
      </c>
      <c r="I2327" s="120" t="str">
        <f>IF(OR(D2327&lt;Capa!$A$5,D2327&gt;Capa!$A$7,E2327&lt;Capa!$A$5,E2327&gt;Capa!$A$7,D2327&gt;E2327),"Erro","")</f>
        <v/>
      </c>
    </row>
    <row r="2328" spans="1:9" ht="40" hidden="1">
      <c r="A2328" s="345">
        <v>2754</v>
      </c>
      <c r="B2328" s="346" t="s">
        <v>236</v>
      </c>
      <c r="C2328" s="347">
        <v>450</v>
      </c>
      <c r="D2328" s="348">
        <v>45658</v>
      </c>
      <c r="E2328" s="348">
        <v>45992</v>
      </c>
      <c r="F2328" s="346" t="s">
        <v>613</v>
      </c>
      <c r="G2328" s="349" t="s">
        <v>443</v>
      </c>
      <c r="H2328" s="350">
        <f t="shared" si="47"/>
        <v>5400</v>
      </c>
      <c r="I2328" s="120" t="str">
        <f>IF(OR(D2328&lt;Capa!$A$5,D2328&gt;Capa!$A$7,E2328&lt;Capa!$A$5,E2328&gt;Capa!$A$7,D2328&gt;E2328),"Erro","")</f>
        <v/>
      </c>
    </row>
    <row r="2329" spans="1:9" ht="40" hidden="1">
      <c r="A2329" s="345">
        <v>2755</v>
      </c>
      <c r="B2329" s="346" t="s">
        <v>236</v>
      </c>
      <c r="C2329" s="347">
        <v>450</v>
      </c>
      <c r="D2329" s="348">
        <v>46023</v>
      </c>
      <c r="E2329" s="348">
        <v>46357</v>
      </c>
      <c r="F2329" s="346" t="s">
        <v>613</v>
      </c>
      <c r="G2329" s="349" t="s">
        <v>443</v>
      </c>
      <c r="H2329" s="350">
        <f t="shared" si="47"/>
        <v>5400</v>
      </c>
      <c r="I2329" s="120" t="str">
        <f>IF(OR(D2329&lt;Capa!$A$5,D2329&gt;Capa!$A$7,E2329&lt;Capa!$A$5,E2329&gt;Capa!$A$7,D2329&gt;E2329),"Erro","")</f>
        <v/>
      </c>
    </row>
    <row r="2330" spans="1:9" ht="40" hidden="1">
      <c r="A2330" s="345">
        <v>2756</v>
      </c>
      <c r="B2330" s="346" t="s">
        <v>236</v>
      </c>
      <c r="C2330" s="347">
        <v>450</v>
      </c>
      <c r="D2330" s="348">
        <v>46388</v>
      </c>
      <c r="E2330" s="348">
        <v>46722</v>
      </c>
      <c r="F2330" s="346" t="s">
        <v>613</v>
      </c>
      <c r="G2330" s="349" t="s">
        <v>443</v>
      </c>
      <c r="H2330" s="350">
        <f t="shared" si="47"/>
        <v>5400</v>
      </c>
      <c r="I2330" s="120" t="str">
        <f>IF(OR(D2330&lt;Capa!$A$5,D2330&gt;Capa!$A$7,E2330&lt;Capa!$A$5,E2330&gt;Capa!$A$7,D2330&gt;E2330),"Erro","")</f>
        <v/>
      </c>
    </row>
    <row r="2331" spans="1:9" ht="40" hidden="1">
      <c r="A2331" s="345">
        <v>2757</v>
      </c>
      <c r="B2331" s="346" t="s">
        <v>236</v>
      </c>
      <c r="C2331" s="347">
        <v>200</v>
      </c>
      <c r="D2331" s="348">
        <v>46753</v>
      </c>
      <c r="E2331" s="348">
        <v>47058</v>
      </c>
      <c r="F2331" s="346" t="s">
        <v>613</v>
      </c>
      <c r="G2331" s="349" t="s">
        <v>443</v>
      </c>
      <c r="H2331" s="350">
        <f t="shared" si="47"/>
        <v>2200</v>
      </c>
      <c r="I2331" s="120" t="str">
        <f>IF(OR(D2331&lt;Capa!$A$5,D2331&gt;Capa!$A$7,E2331&lt;Capa!$A$5,E2331&gt;Capa!$A$7,D2331&gt;E2331),"Erro","")</f>
        <v/>
      </c>
    </row>
    <row r="2332" spans="1:9" ht="30" hidden="1">
      <c r="A2332" s="345">
        <v>2759</v>
      </c>
      <c r="B2332" s="346" t="s">
        <v>240</v>
      </c>
      <c r="C2332" s="347">
        <v>50</v>
      </c>
      <c r="D2332" s="348">
        <v>45658</v>
      </c>
      <c r="E2332" s="348">
        <v>45992</v>
      </c>
      <c r="F2332" s="346" t="s">
        <v>613</v>
      </c>
      <c r="G2332" s="349" t="s">
        <v>444</v>
      </c>
      <c r="H2332" s="350">
        <f t="shared" si="47"/>
        <v>600</v>
      </c>
      <c r="I2332" s="120" t="str">
        <f>IF(OR(D2332&lt;Capa!$A$5,D2332&gt;Capa!$A$7,E2332&lt;Capa!$A$5,E2332&gt;Capa!$A$7,D2332&gt;E2332),"Erro","")</f>
        <v/>
      </c>
    </row>
    <row r="2333" spans="1:9" ht="30" hidden="1">
      <c r="A2333" s="345">
        <v>2760</v>
      </c>
      <c r="B2333" s="346" t="s">
        <v>240</v>
      </c>
      <c r="C2333" s="347">
        <v>50</v>
      </c>
      <c r="D2333" s="348">
        <v>46023</v>
      </c>
      <c r="E2333" s="348">
        <v>46357</v>
      </c>
      <c r="F2333" s="346" t="s">
        <v>613</v>
      </c>
      <c r="G2333" s="349" t="s">
        <v>444</v>
      </c>
      <c r="H2333" s="350">
        <f t="shared" si="47"/>
        <v>600</v>
      </c>
      <c r="I2333" s="120" t="str">
        <f>IF(OR(D2333&lt;Capa!$A$5,D2333&gt;Capa!$A$7,E2333&lt;Capa!$A$5,E2333&gt;Capa!$A$7,D2333&gt;E2333),"Erro","")</f>
        <v/>
      </c>
    </row>
    <row r="2334" spans="1:9" ht="30" hidden="1">
      <c r="A2334" s="345">
        <v>2761</v>
      </c>
      <c r="B2334" s="346" t="s">
        <v>240</v>
      </c>
      <c r="C2334" s="347">
        <v>50</v>
      </c>
      <c r="D2334" s="348">
        <v>46388</v>
      </c>
      <c r="E2334" s="348">
        <v>46722</v>
      </c>
      <c r="F2334" s="346" t="s">
        <v>613</v>
      </c>
      <c r="G2334" s="349" t="s">
        <v>444</v>
      </c>
      <c r="H2334" s="350">
        <f t="shared" si="47"/>
        <v>600</v>
      </c>
      <c r="I2334" s="120" t="str">
        <f>IF(OR(D2334&lt;Capa!$A$5,D2334&gt;Capa!$A$7,E2334&lt;Capa!$A$5,E2334&gt;Capa!$A$7,D2334&gt;E2334),"Erro","")</f>
        <v/>
      </c>
    </row>
    <row r="2335" spans="1:9" ht="30" hidden="1">
      <c r="A2335" s="345">
        <v>2762</v>
      </c>
      <c r="B2335" s="346" t="s">
        <v>240</v>
      </c>
      <c r="C2335" s="347">
        <v>25</v>
      </c>
      <c r="D2335" s="348">
        <v>46753</v>
      </c>
      <c r="E2335" s="348">
        <v>47058</v>
      </c>
      <c r="F2335" s="346" t="s">
        <v>613</v>
      </c>
      <c r="G2335" s="349" t="s">
        <v>444</v>
      </c>
      <c r="H2335" s="350">
        <f t="shared" si="47"/>
        <v>275</v>
      </c>
      <c r="I2335" s="120" t="str">
        <f>IF(OR(D2335&lt;Capa!$A$5,D2335&gt;Capa!$A$7,E2335&lt;Capa!$A$5,E2335&gt;Capa!$A$7,D2335&gt;E2335),"Erro","")</f>
        <v/>
      </c>
    </row>
    <row r="2336" spans="1:9" ht="30" hidden="1">
      <c r="A2336" s="345">
        <v>2764</v>
      </c>
      <c r="B2336" s="346" t="s">
        <v>244</v>
      </c>
      <c r="C2336" s="347">
        <v>250</v>
      </c>
      <c r="D2336" s="348">
        <v>45658</v>
      </c>
      <c r="E2336" s="348">
        <v>45992</v>
      </c>
      <c r="F2336" s="346" t="s">
        <v>613</v>
      </c>
      <c r="G2336" s="349" t="s">
        <v>445</v>
      </c>
      <c r="H2336" s="350">
        <f t="shared" si="47"/>
        <v>3000</v>
      </c>
      <c r="I2336" s="120" t="str">
        <f>IF(OR(D2336&lt;Capa!$A$5,D2336&gt;Capa!$A$7,E2336&lt;Capa!$A$5,E2336&gt;Capa!$A$7,D2336&gt;E2336),"Erro","")</f>
        <v/>
      </c>
    </row>
    <row r="2337" spans="1:9" ht="30" hidden="1">
      <c r="A2337" s="345">
        <v>2765</v>
      </c>
      <c r="B2337" s="346" t="s">
        <v>244</v>
      </c>
      <c r="C2337" s="347">
        <v>250</v>
      </c>
      <c r="D2337" s="348">
        <v>46023</v>
      </c>
      <c r="E2337" s="348">
        <v>46357</v>
      </c>
      <c r="F2337" s="346" t="s">
        <v>613</v>
      </c>
      <c r="G2337" s="349" t="s">
        <v>445</v>
      </c>
      <c r="H2337" s="350">
        <f t="shared" si="47"/>
        <v>3000</v>
      </c>
      <c r="I2337" s="120" t="str">
        <f>IF(OR(D2337&lt;Capa!$A$5,D2337&gt;Capa!$A$7,E2337&lt;Capa!$A$5,E2337&gt;Capa!$A$7,D2337&gt;E2337),"Erro","")</f>
        <v/>
      </c>
    </row>
    <row r="2338" spans="1:9" ht="30" hidden="1">
      <c r="A2338" s="345">
        <v>2766</v>
      </c>
      <c r="B2338" s="346" t="s">
        <v>244</v>
      </c>
      <c r="C2338" s="347">
        <v>250</v>
      </c>
      <c r="D2338" s="348">
        <v>46388</v>
      </c>
      <c r="E2338" s="348">
        <v>46722</v>
      </c>
      <c r="F2338" s="346" t="s">
        <v>613</v>
      </c>
      <c r="G2338" s="349" t="s">
        <v>445</v>
      </c>
      <c r="H2338" s="350">
        <f t="shared" si="47"/>
        <v>3000</v>
      </c>
      <c r="I2338" s="120" t="str">
        <f>IF(OR(D2338&lt;Capa!$A$5,D2338&gt;Capa!$A$7,E2338&lt;Capa!$A$5,E2338&gt;Capa!$A$7,D2338&gt;E2338),"Erro","")</f>
        <v/>
      </c>
    </row>
    <row r="2339" spans="1:9" ht="30" hidden="1">
      <c r="A2339" s="345">
        <v>2767</v>
      </c>
      <c r="B2339" s="346" t="s">
        <v>244</v>
      </c>
      <c r="C2339" s="347">
        <v>125</v>
      </c>
      <c r="D2339" s="348">
        <v>46753</v>
      </c>
      <c r="E2339" s="348">
        <v>47058</v>
      </c>
      <c r="F2339" s="346" t="s">
        <v>613</v>
      </c>
      <c r="G2339" s="349" t="s">
        <v>445</v>
      </c>
      <c r="H2339" s="350">
        <f t="shared" si="47"/>
        <v>1375</v>
      </c>
      <c r="I2339" s="120" t="str">
        <f>IF(OR(D2339&lt;Capa!$A$5,D2339&gt;Capa!$A$7,E2339&lt;Capa!$A$5,E2339&gt;Capa!$A$7,D2339&gt;E2339),"Erro","")</f>
        <v/>
      </c>
    </row>
    <row r="2340" spans="1:9" ht="20" hidden="1">
      <c r="A2340" s="345">
        <v>2768</v>
      </c>
      <c r="B2340" s="346" t="s">
        <v>246</v>
      </c>
      <c r="C2340" s="347">
        <v>390</v>
      </c>
      <c r="D2340" s="348">
        <v>45658</v>
      </c>
      <c r="E2340" s="348">
        <v>45992</v>
      </c>
      <c r="F2340" s="346" t="s">
        <v>613</v>
      </c>
      <c r="G2340" s="349" t="s">
        <v>446</v>
      </c>
      <c r="H2340" s="350">
        <f t="shared" si="47"/>
        <v>4680</v>
      </c>
      <c r="I2340" s="120" t="str">
        <f>IF(OR(D2340&lt;Capa!$A$5,D2340&gt;Capa!$A$7,E2340&lt;Capa!$A$5,E2340&gt;Capa!$A$7,D2340&gt;E2340),"Erro","")</f>
        <v/>
      </c>
    </row>
    <row r="2341" spans="1:9" ht="20" hidden="1">
      <c r="A2341" s="345">
        <v>2769</v>
      </c>
      <c r="B2341" s="346" t="s">
        <v>246</v>
      </c>
      <c r="C2341" s="347">
        <v>390</v>
      </c>
      <c r="D2341" s="348">
        <v>46023</v>
      </c>
      <c r="E2341" s="348">
        <v>46357</v>
      </c>
      <c r="F2341" s="346" t="s">
        <v>613</v>
      </c>
      <c r="G2341" s="349" t="s">
        <v>446</v>
      </c>
      <c r="H2341" s="350">
        <f t="shared" si="47"/>
        <v>4680</v>
      </c>
      <c r="I2341" s="120" t="str">
        <f>IF(OR(D2341&lt;Capa!$A$5,D2341&gt;Capa!$A$7,E2341&lt;Capa!$A$5,E2341&gt;Capa!$A$7,D2341&gt;E2341),"Erro","")</f>
        <v/>
      </c>
    </row>
    <row r="2342" spans="1:9" ht="20" hidden="1">
      <c r="A2342" s="345">
        <v>2770</v>
      </c>
      <c r="B2342" s="346" t="s">
        <v>246</v>
      </c>
      <c r="C2342" s="347">
        <v>390</v>
      </c>
      <c r="D2342" s="348">
        <v>46388</v>
      </c>
      <c r="E2342" s="348">
        <v>46722</v>
      </c>
      <c r="F2342" s="346" t="s">
        <v>613</v>
      </c>
      <c r="G2342" s="349" t="s">
        <v>446</v>
      </c>
      <c r="H2342" s="350">
        <f t="shared" si="47"/>
        <v>4680</v>
      </c>
      <c r="I2342" s="120" t="str">
        <f>IF(OR(D2342&lt;Capa!$A$5,D2342&gt;Capa!$A$7,E2342&lt;Capa!$A$5,E2342&gt;Capa!$A$7,D2342&gt;E2342),"Erro","")</f>
        <v/>
      </c>
    </row>
    <row r="2343" spans="1:9" ht="20" hidden="1">
      <c r="A2343" s="345">
        <v>2771</v>
      </c>
      <c r="B2343" s="346" t="s">
        <v>246</v>
      </c>
      <c r="C2343" s="347">
        <v>190</v>
      </c>
      <c r="D2343" s="348">
        <v>46753</v>
      </c>
      <c r="E2343" s="348">
        <v>47058</v>
      </c>
      <c r="F2343" s="346" t="s">
        <v>613</v>
      </c>
      <c r="G2343" s="349" t="s">
        <v>446</v>
      </c>
      <c r="H2343" s="350">
        <f t="shared" si="47"/>
        <v>2090</v>
      </c>
      <c r="I2343" s="120" t="str">
        <f>IF(OR(D2343&lt;Capa!$A$5,D2343&gt;Capa!$A$7,E2343&lt;Capa!$A$5,E2343&gt;Capa!$A$7,D2343&gt;E2343),"Erro","")</f>
        <v/>
      </c>
    </row>
    <row r="2344" spans="1:9" ht="30" hidden="1">
      <c r="A2344" s="345">
        <v>2773</v>
      </c>
      <c r="B2344" s="346" t="s">
        <v>258</v>
      </c>
      <c r="C2344" s="347">
        <v>50</v>
      </c>
      <c r="D2344" s="348">
        <v>45658</v>
      </c>
      <c r="E2344" s="348">
        <v>45992</v>
      </c>
      <c r="F2344" s="346" t="s">
        <v>613</v>
      </c>
      <c r="G2344" s="349" t="s">
        <v>447</v>
      </c>
      <c r="H2344" s="350">
        <f t="shared" si="47"/>
        <v>600</v>
      </c>
      <c r="I2344" s="120" t="str">
        <f>IF(OR(D2344&lt;Capa!$A$5,D2344&gt;Capa!$A$7,E2344&lt;Capa!$A$5,E2344&gt;Capa!$A$7,D2344&gt;E2344),"Erro","")</f>
        <v/>
      </c>
    </row>
    <row r="2345" spans="1:9" ht="30" hidden="1">
      <c r="A2345" s="345">
        <v>2774</v>
      </c>
      <c r="B2345" s="346" t="s">
        <v>258</v>
      </c>
      <c r="C2345" s="347">
        <v>50</v>
      </c>
      <c r="D2345" s="348">
        <v>46023</v>
      </c>
      <c r="E2345" s="348">
        <v>46357</v>
      </c>
      <c r="F2345" s="346" t="s">
        <v>613</v>
      </c>
      <c r="G2345" s="349" t="s">
        <v>447</v>
      </c>
      <c r="H2345" s="350">
        <f t="shared" si="47"/>
        <v>600</v>
      </c>
      <c r="I2345" s="120" t="str">
        <f>IF(OR(D2345&lt;Capa!$A$5,D2345&gt;Capa!$A$7,E2345&lt;Capa!$A$5,E2345&gt;Capa!$A$7,D2345&gt;E2345),"Erro","")</f>
        <v/>
      </c>
    </row>
    <row r="2346" spans="1:9" ht="30" hidden="1">
      <c r="A2346" s="345">
        <v>2775</v>
      </c>
      <c r="B2346" s="346" t="s">
        <v>258</v>
      </c>
      <c r="C2346" s="347">
        <v>50</v>
      </c>
      <c r="D2346" s="348">
        <v>46388</v>
      </c>
      <c r="E2346" s="348">
        <v>46722</v>
      </c>
      <c r="F2346" s="346" t="s">
        <v>613</v>
      </c>
      <c r="G2346" s="349" t="s">
        <v>447</v>
      </c>
      <c r="H2346" s="350">
        <f t="shared" si="47"/>
        <v>600</v>
      </c>
      <c r="I2346" s="120" t="str">
        <f>IF(OR(D2346&lt;Capa!$A$5,D2346&gt;Capa!$A$7,E2346&lt;Capa!$A$5,E2346&gt;Capa!$A$7,D2346&gt;E2346),"Erro","")</f>
        <v/>
      </c>
    </row>
    <row r="2347" spans="1:9" ht="30" hidden="1">
      <c r="A2347" s="345">
        <v>2776</v>
      </c>
      <c r="B2347" s="346" t="s">
        <v>258</v>
      </c>
      <c r="C2347" s="347">
        <v>20</v>
      </c>
      <c r="D2347" s="348">
        <v>46753</v>
      </c>
      <c r="E2347" s="348">
        <v>47058</v>
      </c>
      <c r="F2347" s="346" t="s">
        <v>613</v>
      </c>
      <c r="G2347" s="349" t="s">
        <v>447</v>
      </c>
      <c r="H2347" s="350">
        <f t="shared" si="47"/>
        <v>220</v>
      </c>
      <c r="I2347" s="120" t="str">
        <f>IF(OR(D2347&lt;Capa!$A$5,D2347&gt;Capa!$A$7,E2347&lt;Capa!$A$5,E2347&gt;Capa!$A$7,D2347&gt;E2347),"Erro","")</f>
        <v/>
      </c>
    </row>
    <row r="2348" spans="1:9" ht="40" hidden="1">
      <c r="A2348" s="345">
        <v>2777</v>
      </c>
      <c r="B2348" s="346" t="s">
        <v>276</v>
      </c>
      <c r="C2348" s="347">
        <v>500</v>
      </c>
      <c r="D2348" s="348">
        <v>45658</v>
      </c>
      <c r="E2348" s="348">
        <v>45992</v>
      </c>
      <c r="F2348" s="346" t="s">
        <v>613</v>
      </c>
      <c r="G2348" s="349" t="s">
        <v>448</v>
      </c>
      <c r="H2348" s="350">
        <f t="shared" si="47"/>
        <v>6000</v>
      </c>
      <c r="I2348" s="120" t="str">
        <f>IF(OR(D2348&lt;Capa!$A$5,D2348&gt;Capa!$A$7,E2348&lt;Capa!$A$5,E2348&gt;Capa!$A$7,D2348&gt;E2348),"Erro","")</f>
        <v/>
      </c>
    </row>
    <row r="2349" spans="1:9" ht="40" hidden="1">
      <c r="A2349" s="345">
        <v>2778</v>
      </c>
      <c r="B2349" s="346" t="s">
        <v>276</v>
      </c>
      <c r="C2349" s="347">
        <v>500</v>
      </c>
      <c r="D2349" s="348">
        <v>46023</v>
      </c>
      <c r="E2349" s="348">
        <v>46357</v>
      </c>
      <c r="F2349" s="346" t="s">
        <v>613</v>
      </c>
      <c r="G2349" s="349" t="s">
        <v>448</v>
      </c>
      <c r="H2349" s="350">
        <f t="shared" si="47"/>
        <v>6000</v>
      </c>
      <c r="I2349" s="120" t="str">
        <f>IF(OR(D2349&lt;Capa!$A$5,D2349&gt;Capa!$A$7,E2349&lt;Capa!$A$5,E2349&gt;Capa!$A$7,D2349&gt;E2349),"Erro","")</f>
        <v/>
      </c>
    </row>
    <row r="2350" spans="1:9" ht="40" hidden="1">
      <c r="A2350" s="345">
        <v>2779</v>
      </c>
      <c r="B2350" s="346" t="s">
        <v>276</v>
      </c>
      <c r="C2350" s="347">
        <v>500</v>
      </c>
      <c r="D2350" s="348">
        <v>46388</v>
      </c>
      <c r="E2350" s="348">
        <v>46722</v>
      </c>
      <c r="F2350" s="346" t="s">
        <v>613</v>
      </c>
      <c r="G2350" s="349" t="s">
        <v>448</v>
      </c>
      <c r="H2350" s="350">
        <f t="shared" si="47"/>
        <v>6000</v>
      </c>
      <c r="I2350" s="120" t="str">
        <f>IF(OR(D2350&lt;Capa!$A$5,D2350&gt;Capa!$A$7,E2350&lt;Capa!$A$5,E2350&gt;Capa!$A$7,D2350&gt;E2350),"Erro","")</f>
        <v/>
      </c>
    </row>
    <row r="2351" spans="1:9" ht="40" hidden="1">
      <c r="A2351" s="345">
        <v>2780</v>
      </c>
      <c r="B2351" s="346" t="s">
        <v>276</v>
      </c>
      <c r="C2351" s="347">
        <v>250</v>
      </c>
      <c r="D2351" s="348">
        <v>46753</v>
      </c>
      <c r="E2351" s="348">
        <v>47058</v>
      </c>
      <c r="F2351" s="346" t="s">
        <v>613</v>
      </c>
      <c r="G2351" s="349" t="s">
        <v>448</v>
      </c>
      <c r="H2351" s="350">
        <f t="shared" si="47"/>
        <v>2750</v>
      </c>
      <c r="I2351" s="120" t="str">
        <f>IF(OR(D2351&lt;Capa!$A$5,D2351&gt;Capa!$A$7,E2351&lt;Capa!$A$5,E2351&gt;Capa!$A$7,D2351&gt;E2351),"Erro","")</f>
        <v/>
      </c>
    </row>
    <row r="2352" spans="1:9" ht="40">
      <c r="A2352" s="345">
        <v>2782</v>
      </c>
      <c r="B2352" s="346" t="s">
        <v>278</v>
      </c>
      <c r="C2352" s="347">
        <v>33000</v>
      </c>
      <c r="D2352" s="348">
        <v>45658</v>
      </c>
      <c r="E2352" s="348">
        <v>45992</v>
      </c>
      <c r="F2352" s="346" t="s">
        <v>613</v>
      </c>
      <c r="G2352" s="349" t="s">
        <v>449</v>
      </c>
      <c r="H2352" s="350">
        <f t="shared" si="47"/>
        <v>396000</v>
      </c>
      <c r="I2352" s="120" t="str">
        <f>IF(OR(D2352&lt;Capa!$A$5,D2352&gt;Capa!$A$7,E2352&lt;Capa!$A$5,E2352&gt;Capa!$A$7,D2352&gt;E2352),"Erro","")</f>
        <v/>
      </c>
    </row>
    <row r="2353" spans="1:9" ht="40">
      <c r="A2353" s="345">
        <v>2783</v>
      </c>
      <c r="B2353" s="346" t="s">
        <v>278</v>
      </c>
      <c r="C2353" s="347">
        <v>33000</v>
      </c>
      <c r="D2353" s="348">
        <v>46023</v>
      </c>
      <c r="E2353" s="348">
        <v>46357</v>
      </c>
      <c r="F2353" s="346" t="s">
        <v>613</v>
      </c>
      <c r="G2353" s="349" t="s">
        <v>449</v>
      </c>
      <c r="H2353" s="350">
        <f t="shared" si="47"/>
        <v>396000</v>
      </c>
      <c r="I2353" s="120" t="str">
        <f>IF(OR(D2353&lt;Capa!$A$5,D2353&gt;Capa!$A$7,E2353&lt;Capa!$A$5,E2353&gt;Capa!$A$7,D2353&gt;E2353),"Erro","")</f>
        <v/>
      </c>
    </row>
    <row r="2354" spans="1:9" ht="40">
      <c r="A2354" s="345">
        <v>2784</v>
      </c>
      <c r="B2354" s="346" t="s">
        <v>278</v>
      </c>
      <c r="C2354" s="347">
        <v>33000</v>
      </c>
      <c r="D2354" s="348">
        <v>46388</v>
      </c>
      <c r="E2354" s="348">
        <v>46722</v>
      </c>
      <c r="F2354" s="346" t="s">
        <v>613</v>
      </c>
      <c r="G2354" s="349" t="s">
        <v>449</v>
      </c>
      <c r="H2354" s="350">
        <f t="shared" si="47"/>
        <v>396000</v>
      </c>
      <c r="I2354" s="120" t="str">
        <f>IF(OR(D2354&lt;Capa!$A$5,D2354&gt;Capa!$A$7,E2354&lt;Capa!$A$5,E2354&gt;Capa!$A$7,D2354&gt;E2354),"Erro","")</f>
        <v/>
      </c>
    </row>
    <row r="2355" spans="1:9" ht="40">
      <c r="A2355" s="345">
        <v>2785</v>
      </c>
      <c r="B2355" s="346" t="s">
        <v>278</v>
      </c>
      <c r="C2355" s="347">
        <v>18500</v>
      </c>
      <c r="D2355" s="348">
        <v>46753</v>
      </c>
      <c r="E2355" s="348">
        <v>47058</v>
      </c>
      <c r="F2355" s="346" t="s">
        <v>613</v>
      </c>
      <c r="G2355" s="349" t="s">
        <v>449</v>
      </c>
      <c r="H2355" s="350">
        <f t="shared" si="47"/>
        <v>203500</v>
      </c>
      <c r="I2355" s="120" t="str">
        <f>IF(OR(D2355&lt;Capa!$A$5,D2355&gt;Capa!$A$7,E2355&lt;Capa!$A$5,E2355&gt;Capa!$A$7,D2355&gt;E2355),"Erro","")</f>
        <v/>
      </c>
    </row>
    <row r="2356" spans="1:9" ht="40" hidden="1">
      <c r="A2356" s="345">
        <v>2787</v>
      </c>
      <c r="B2356" s="346" t="s">
        <v>280</v>
      </c>
      <c r="C2356" s="347">
        <v>100</v>
      </c>
      <c r="D2356" s="348">
        <v>45658</v>
      </c>
      <c r="E2356" s="348">
        <v>45992</v>
      </c>
      <c r="F2356" s="346" t="s">
        <v>613</v>
      </c>
      <c r="G2356" s="349" t="s">
        <v>450</v>
      </c>
      <c r="H2356" s="350">
        <f t="shared" ref="H2356:H2402" si="48">IFERROR((DATEDIF(D2356,E2356,"M")+1)*C2356,0)</f>
        <v>1200</v>
      </c>
      <c r="I2356" s="120" t="str">
        <f>IF(OR(D2356&lt;Capa!$A$5,D2356&gt;Capa!$A$7,E2356&lt;Capa!$A$5,E2356&gt;Capa!$A$7,D2356&gt;E2356),"Erro","")</f>
        <v/>
      </c>
    </row>
    <row r="2357" spans="1:9" ht="40" hidden="1">
      <c r="A2357" s="345">
        <v>2788</v>
      </c>
      <c r="B2357" s="346" t="s">
        <v>280</v>
      </c>
      <c r="C2357" s="347">
        <v>100</v>
      </c>
      <c r="D2357" s="348">
        <v>46023</v>
      </c>
      <c r="E2357" s="348">
        <v>46357</v>
      </c>
      <c r="F2357" s="346" t="s">
        <v>613</v>
      </c>
      <c r="G2357" s="349" t="s">
        <v>450</v>
      </c>
      <c r="H2357" s="350">
        <f t="shared" si="48"/>
        <v>1200</v>
      </c>
      <c r="I2357" s="120" t="str">
        <f>IF(OR(D2357&lt;Capa!$A$5,D2357&gt;Capa!$A$7,E2357&lt;Capa!$A$5,E2357&gt;Capa!$A$7,D2357&gt;E2357),"Erro","")</f>
        <v/>
      </c>
    </row>
    <row r="2358" spans="1:9" ht="40" hidden="1">
      <c r="A2358" s="345">
        <v>2789</v>
      </c>
      <c r="B2358" s="346" t="s">
        <v>280</v>
      </c>
      <c r="C2358" s="347">
        <v>100</v>
      </c>
      <c r="D2358" s="348">
        <v>46388</v>
      </c>
      <c r="E2358" s="348">
        <v>46722</v>
      </c>
      <c r="F2358" s="346" t="s">
        <v>613</v>
      </c>
      <c r="G2358" s="349" t="s">
        <v>450</v>
      </c>
      <c r="H2358" s="350">
        <f t="shared" si="48"/>
        <v>1200</v>
      </c>
      <c r="I2358" s="120" t="str">
        <f>IF(OR(D2358&lt;Capa!$A$5,D2358&gt;Capa!$A$7,E2358&lt;Capa!$A$5,E2358&gt;Capa!$A$7,D2358&gt;E2358),"Erro","")</f>
        <v/>
      </c>
    </row>
    <row r="2359" spans="1:9" ht="40" hidden="1">
      <c r="A2359" s="345">
        <v>2790</v>
      </c>
      <c r="B2359" s="346" t="s">
        <v>280</v>
      </c>
      <c r="C2359" s="347">
        <v>50</v>
      </c>
      <c r="D2359" s="348">
        <v>46753</v>
      </c>
      <c r="E2359" s="348">
        <v>47058</v>
      </c>
      <c r="F2359" s="346" t="s">
        <v>613</v>
      </c>
      <c r="G2359" s="349" t="s">
        <v>450</v>
      </c>
      <c r="H2359" s="350">
        <f t="shared" si="48"/>
        <v>550</v>
      </c>
      <c r="I2359" s="120" t="str">
        <f>IF(OR(D2359&lt;Capa!$A$5,D2359&gt;Capa!$A$7,E2359&lt;Capa!$A$5,E2359&gt;Capa!$A$7,D2359&gt;E2359),"Erro","")</f>
        <v/>
      </c>
    </row>
    <row r="2360" spans="1:9" ht="40" hidden="1">
      <c r="A2360" s="345">
        <v>2792</v>
      </c>
      <c r="B2360" s="346" t="s">
        <v>282</v>
      </c>
      <c r="C2360" s="347">
        <v>450</v>
      </c>
      <c r="D2360" s="348">
        <v>45658</v>
      </c>
      <c r="E2360" s="348">
        <v>45992</v>
      </c>
      <c r="F2360" s="346" t="s">
        <v>613</v>
      </c>
      <c r="G2360" s="349" t="s">
        <v>451</v>
      </c>
      <c r="H2360" s="350">
        <f t="shared" si="48"/>
        <v>5400</v>
      </c>
      <c r="I2360" s="120" t="str">
        <f>IF(OR(D2360&lt;Capa!$A$5,D2360&gt;Capa!$A$7,E2360&lt;Capa!$A$5,E2360&gt;Capa!$A$7,D2360&gt;E2360),"Erro","")</f>
        <v/>
      </c>
    </row>
    <row r="2361" spans="1:9" ht="40" hidden="1">
      <c r="A2361" s="345">
        <v>2793</v>
      </c>
      <c r="B2361" s="346" t="s">
        <v>282</v>
      </c>
      <c r="C2361" s="347">
        <v>450</v>
      </c>
      <c r="D2361" s="348">
        <v>46023</v>
      </c>
      <c r="E2361" s="348">
        <v>46357</v>
      </c>
      <c r="F2361" s="346" t="s">
        <v>613</v>
      </c>
      <c r="G2361" s="349" t="s">
        <v>451</v>
      </c>
      <c r="H2361" s="350">
        <f t="shared" si="48"/>
        <v>5400</v>
      </c>
      <c r="I2361" s="120" t="str">
        <f>IF(OR(D2361&lt;Capa!$A$5,D2361&gt;Capa!$A$7,E2361&lt;Capa!$A$5,E2361&gt;Capa!$A$7,D2361&gt;E2361),"Erro","")</f>
        <v/>
      </c>
    </row>
    <row r="2362" spans="1:9" ht="40" hidden="1">
      <c r="A2362" s="345">
        <v>2794</v>
      </c>
      <c r="B2362" s="346" t="s">
        <v>282</v>
      </c>
      <c r="C2362" s="347">
        <v>450</v>
      </c>
      <c r="D2362" s="348">
        <v>46388</v>
      </c>
      <c r="E2362" s="348">
        <v>46722</v>
      </c>
      <c r="F2362" s="346" t="s">
        <v>613</v>
      </c>
      <c r="G2362" s="349" t="s">
        <v>451</v>
      </c>
      <c r="H2362" s="350">
        <f t="shared" si="48"/>
        <v>5400</v>
      </c>
      <c r="I2362" s="120" t="str">
        <f>IF(OR(D2362&lt;Capa!$A$5,D2362&gt;Capa!$A$7,E2362&lt;Capa!$A$5,E2362&gt;Capa!$A$7,D2362&gt;E2362),"Erro","")</f>
        <v/>
      </c>
    </row>
    <row r="2363" spans="1:9" ht="40" hidden="1">
      <c r="A2363" s="345">
        <v>2795</v>
      </c>
      <c r="B2363" s="346" t="s">
        <v>282</v>
      </c>
      <c r="C2363" s="347">
        <v>200</v>
      </c>
      <c r="D2363" s="348">
        <v>46753</v>
      </c>
      <c r="E2363" s="348">
        <v>47058</v>
      </c>
      <c r="F2363" s="346" t="s">
        <v>613</v>
      </c>
      <c r="G2363" s="349" t="s">
        <v>451</v>
      </c>
      <c r="H2363" s="350">
        <f t="shared" si="48"/>
        <v>2200</v>
      </c>
      <c r="I2363" s="120" t="str">
        <f>IF(OR(D2363&lt;Capa!$A$5,D2363&gt;Capa!$A$7,E2363&lt;Capa!$A$5,E2363&gt;Capa!$A$7,D2363&gt;E2363),"Erro","")</f>
        <v/>
      </c>
    </row>
    <row r="2364" spans="1:9" ht="40" hidden="1">
      <c r="A2364" s="345">
        <v>2797</v>
      </c>
      <c r="B2364" s="346" t="s">
        <v>284</v>
      </c>
      <c r="C2364" s="347">
        <v>950</v>
      </c>
      <c r="D2364" s="348">
        <v>45658</v>
      </c>
      <c r="E2364" s="348">
        <v>45992</v>
      </c>
      <c r="F2364" s="346" t="s">
        <v>613</v>
      </c>
      <c r="G2364" s="349" t="s">
        <v>451</v>
      </c>
      <c r="H2364" s="350">
        <f t="shared" si="48"/>
        <v>11400</v>
      </c>
      <c r="I2364" s="120" t="str">
        <f>IF(OR(D2364&lt;Capa!$A$5,D2364&gt;Capa!$A$7,E2364&lt;Capa!$A$5,E2364&gt;Capa!$A$7,D2364&gt;E2364),"Erro","")</f>
        <v/>
      </c>
    </row>
    <row r="2365" spans="1:9" ht="40" hidden="1">
      <c r="A2365" s="345">
        <v>2798</v>
      </c>
      <c r="B2365" s="346" t="s">
        <v>284</v>
      </c>
      <c r="C2365" s="347">
        <v>950</v>
      </c>
      <c r="D2365" s="348">
        <v>46023</v>
      </c>
      <c r="E2365" s="348">
        <v>46357</v>
      </c>
      <c r="F2365" s="346" t="s">
        <v>613</v>
      </c>
      <c r="G2365" s="349" t="s">
        <v>451</v>
      </c>
      <c r="H2365" s="350">
        <f t="shared" si="48"/>
        <v>11400</v>
      </c>
      <c r="I2365" s="120" t="str">
        <f>IF(OR(D2365&lt;Capa!$A$5,D2365&gt;Capa!$A$7,E2365&lt;Capa!$A$5,E2365&gt;Capa!$A$7,D2365&gt;E2365),"Erro","")</f>
        <v/>
      </c>
    </row>
    <row r="2366" spans="1:9" ht="40" hidden="1">
      <c r="A2366" s="345">
        <v>2799</v>
      </c>
      <c r="B2366" s="346" t="s">
        <v>284</v>
      </c>
      <c r="C2366" s="347">
        <v>950</v>
      </c>
      <c r="D2366" s="348">
        <v>46388</v>
      </c>
      <c r="E2366" s="348">
        <v>46722</v>
      </c>
      <c r="F2366" s="346" t="s">
        <v>613</v>
      </c>
      <c r="G2366" s="349" t="s">
        <v>451</v>
      </c>
      <c r="H2366" s="350">
        <f t="shared" si="48"/>
        <v>11400</v>
      </c>
      <c r="I2366" s="120" t="str">
        <f>IF(OR(D2366&lt;Capa!$A$5,D2366&gt;Capa!$A$7,E2366&lt;Capa!$A$5,E2366&gt;Capa!$A$7,D2366&gt;E2366),"Erro","")</f>
        <v/>
      </c>
    </row>
    <row r="2367" spans="1:9" ht="40" hidden="1">
      <c r="A2367" s="345">
        <v>2800</v>
      </c>
      <c r="B2367" s="346" t="s">
        <v>284</v>
      </c>
      <c r="C2367" s="347">
        <v>400</v>
      </c>
      <c r="D2367" s="348">
        <v>46753</v>
      </c>
      <c r="E2367" s="348">
        <v>47058</v>
      </c>
      <c r="F2367" s="346" t="s">
        <v>613</v>
      </c>
      <c r="G2367" s="349" t="s">
        <v>451</v>
      </c>
      <c r="H2367" s="350">
        <f t="shared" si="48"/>
        <v>4400</v>
      </c>
      <c r="I2367" s="120" t="str">
        <f>IF(OR(D2367&lt;Capa!$A$5,D2367&gt;Capa!$A$7,E2367&lt;Capa!$A$5,E2367&gt;Capa!$A$7,D2367&gt;E2367),"Erro","")</f>
        <v/>
      </c>
    </row>
    <row r="2368" spans="1:9" ht="40" hidden="1">
      <c r="A2368" s="345">
        <v>2802</v>
      </c>
      <c r="B2368" s="346" t="s">
        <v>286</v>
      </c>
      <c r="C2368" s="347">
        <v>1000</v>
      </c>
      <c r="D2368" s="348">
        <v>45658</v>
      </c>
      <c r="E2368" s="348">
        <v>45992</v>
      </c>
      <c r="F2368" s="346" t="s">
        <v>613</v>
      </c>
      <c r="G2368" s="349" t="s">
        <v>451</v>
      </c>
      <c r="H2368" s="350">
        <f t="shared" si="48"/>
        <v>12000</v>
      </c>
      <c r="I2368" s="120" t="str">
        <f>IF(OR(D2368&lt;Capa!$A$5,D2368&gt;Capa!$A$7,E2368&lt;Capa!$A$5,E2368&gt;Capa!$A$7,D2368&gt;E2368),"Erro","")</f>
        <v/>
      </c>
    </row>
    <row r="2369" spans="1:9" ht="40" hidden="1">
      <c r="A2369" s="345">
        <v>2803</v>
      </c>
      <c r="B2369" s="346" t="s">
        <v>286</v>
      </c>
      <c r="C2369" s="347">
        <v>1000</v>
      </c>
      <c r="D2369" s="348">
        <v>46023</v>
      </c>
      <c r="E2369" s="348">
        <v>46357</v>
      </c>
      <c r="F2369" s="346" t="s">
        <v>613</v>
      </c>
      <c r="G2369" s="349" t="s">
        <v>451</v>
      </c>
      <c r="H2369" s="350">
        <f t="shared" si="48"/>
        <v>12000</v>
      </c>
      <c r="I2369" s="120" t="str">
        <f>IF(OR(D2369&lt;Capa!$A$5,D2369&gt;Capa!$A$7,E2369&lt;Capa!$A$5,E2369&gt;Capa!$A$7,D2369&gt;E2369),"Erro","")</f>
        <v/>
      </c>
    </row>
    <row r="2370" spans="1:9" ht="40" hidden="1">
      <c r="A2370" s="345">
        <v>2804</v>
      </c>
      <c r="B2370" s="346" t="s">
        <v>286</v>
      </c>
      <c r="C2370" s="347">
        <v>1000</v>
      </c>
      <c r="D2370" s="348">
        <v>46388</v>
      </c>
      <c r="E2370" s="348">
        <v>46722</v>
      </c>
      <c r="F2370" s="346" t="s">
        <v>613</v>
      </c>
      <c r="G2370" s="349" t="s">
        <v>451</v>
      </c>
      <c r="H2370" s="350">
        <f t="shared" si="48"/>
        <v>12000</v>
      </c>
      <c r="I2370" s="120" t="str">
        <f>IF(OR(D2370&lt;Capa!$A$5,D2370&gt;Capa!$A$7,E2370&lt;Capa!$A$5,E2370&gt;Capa!$A$7,D2370&gt;E2370),"Erro","")</f>
        <v/>
      </c>
    </row>
    <row r="2371" spans="1:9" ht="40" hidden="1">
      <c r="A2371" s="345">
        <v>2805</v>
      </c>
      <c r="B2371" s="346" t="s">
        <v>286</v>
      </c>
      <c r="C2371" s="347">
        <v>500</v>
      </c>
      <c r="D2371" s="348">
        <v>46753</v>
      </c>
      <c r="E2371" s="348">
        <v>47058</v>
      </c>
      <c r="F2371" s="346" t="s">
        <v>613</v>
      </c>
      <c r="G2371" s="349" t="s">
        <v>451</v>
      </c>
      <c r="H2371" s="350">
        <f t="shared" si="48"/>
        <v>5500</v>
      </c>
      <c r="I2371" s="120" t="str">
        <f>IF(OR(D2371&lt;Capa!$A$5,D2371&gt;Capa!$A$7,E2371&lt;Capa!$A$5,E2371&gt;Capa!$A$7,D2371&gt;E2371),"Erro","")</f>
        <v/>
      </c>
    </row>
    <row r="2372" spans="1:9" ht="30" hidden="1">
      <c r="A2372" s="345">
        <v>2807</v>
      </c>
      <c r="B2372" s="346" t="s">
        <v>288</v>
      </c>
      <c r="C2372" s="347">
        <v>200</v>
      </c>
      <c r="D2372" s="348">
        <v>45658</v>
      </c>
      <c r="E2372" s="348">
        <v>45992</v>
      </c>
      <c r="F2372" s="346" t="s">
        <v>613</v>
      </c>
      <c r="G2372" s="349" t="s">
        <v>452</v>
      </c>
      <c r="H2372" s="350">
        <f t="shared" si="48"/>
        <v>2400</v>
      </c>
      <c r="I2372" s="120" t="str">
        <f>IF(OR(D2372&lt;Capa!$A$5,D2372&gt;Capa!$A$7,E2372&lt;Capa!$A$5,E2372&gt;Capa!$A$7,D2372&gt;E2372),"Erro","")</f>
        <v/>
      </c>
    </row>
    <row r="2373" spans="1:9" ht="30" hidden="1">
      <c r="A2373" s="345">
        <v>2808</v>
      </c>
      <c r="B2373" s="346" t="s">
        <v>288</v>
      </c>
      <c r="C2373" s="347">
        <v>200</v>
      </c>
      <c r="D2373" s="348">
        <v>46023</v>
      </c>
      <c r="E2373" s="348">
        <v>46357</v>
      </c>
      <c r="F2373" s="346" t="s">
        <v>613</v>
      </c>
      <c r="G2373" s="349" t="s">
        <v>452</v>
      </c>
      <c r="H2373" s="350">
        <f t="shared" si="48"/>
        <v>2400</v>
      </c>
      <c r="I2373" s="120" t="str">
        <f>IF(OR(D2373&lt;Capa!$A$5,D2373&gt;Capa!$A$7,E2373&lt;Capa!$A$5,E2373&gt;Capa!$A$7,D2373&gt;E2373),"Erro","")</f>
        <v/>
      </c>
    </row>
    <row r="2374" spans="1:9" ht="30" hidden="1">
      <c r="A2374" s="345">
        <v>2809</v>
      </c>
      <c r="B2374" s="346" t="s">
        <v>288</v>
      </c>
      <c r="C2374" s="347">
        <v>200</v>
      </c>
      <c r="D2374" s="348">
        <v>46388</v>
      </c>
      <c r="E2374" s="348">
        <v>46722</v>
      </c>
      <c r="F2374" s="346" t="s">
        <v>613</v>
      </c>
      <c r="G2374" s="349" t="s">
        <v>452</v>
      </c>
      <c r="H2374" s="350">
        <f t="shared" si="48"/>
        <v>2400</v>
      </c>
      <c r="I2374" s="120" t="str">
        <f>IF(OR(D2374&lt;Capa!$A$5,D2374&gt;Capa!$A$7,E2374&lt;Capa!$A$5,E2374&gt;Capa!$A$7,D2374&gt;E2374),"Erro","")</f>
        <v/>
      </c>
    </row>
    <row r="2375" spans="1:9" ht="30" hidden="1">
      <c r="A2375" s="345">
        <v>2810</v>
      </c>
      <c r="B2375" s="346" t="s">
        <v>288</v>
      </c>
      <c r="C2375" s="347">
        <v>100</v>
      </c>
      <c r="D2375" s="348">
        <v>46753</v>
      </c>
      <c r="E2375" s="348">
        <v>47058</v>
      </c>
      <c r="F2375" s="346" t="s">
        <v>613</v>
      </c>
      <c r="G2375" s="349" t="s">
        <v>452</v>
      </c>
      <c r="H2375" s="350">
        <f t="shared" si="48"/>
        <v>1100</v>
      </c>
      <c r="I2375" s="120" t="str">
        <f>IF(OR(D2375&lt;Capa!$A$5,D2375&gt;Capa!$A$7,E2375&lt;Capa!$A$5,E2375&gt;Capa!$A$7,D2375&gt;E2375),"Erro","")</f>
        <v/>
      </c>
    </row>
    <row r="2376" spans="1:9" ht="30" hidden="1">
      <c r="A2376" s="345">
        <v>2812</v>
      </c>
      <c r="B2376" s="346" t="s">
        <v>294</v>
      </c>
      <c r="C2376" s="347">
        <v>3000</v>
      </c>
      <c r="D2376" s="348">
        <v>45658</v>
      </c>
      <c r="E2376" s="348">
        <v>45992</v>
      </c>
      <c r="F2376" s="346" t="s">
        <v>613</v>
      </c>
      <c r="G2376" s="349" t="s">
        <v>453</v>
      </c>
      <c r="H2376" s="350">
        <f t="shared" si="48"/>
        <v>36000</v>
      </c>
      <c r="I2376" s="120" t="str">
        <f>IF(OR(D2376&lt;Capa!$A$5,D2376&gt;Capa!$A$7,E2376&lt;Capa!$A$5,E2376&gt;Capa!$A$7,D2376&gt;E2376),"Erro","")</f>
        <v/>
      </c>
    </row>
    <row r="2377" spans="1:9" ht="30" hidden="1">
      <c r="A2377" s="345">
        <v>2813</v>
      </c>
      <c r="B2377" s="346" t="s">
        <v>294</v>
      </c>
      <c r="C2377" s="347">
        <v>3000</v>
      </c>
      <c r="D2377" s="348">
        <v>46023</v>
      </c>
      <c r="E2377" s="348">
        <v>46357</v>
      </c>
      <c r="F2377" s="346" t="s">
        <v>613</v>
      </c>
      <c r="G2377" s="349" t="s">
        <v>453</v>
      </c>
      <c r="H2377" s="350">
        <f t="shared" si="48"/>
        <v>36000</v>
      </c>
      <c r="I2377" s="120" t="str">
        <f>IF(OR(D2377&lt;Capa!$A$5,D2377&gt;Capa!$A$7,E2377&lt;Capa!$A$5,E2377&gt;Capa!$A$7,D2377&gt;E2377),"Erro","")</f>
        <v/>
      </c>
    </row>
    <row r="2378" spans="1:9" ht="30" hidden="1">
      <c r="A2378" s="345">
        <v>2814</v>
      </c>
      <c r="B2378" s="346" t="s">
        <v>294</v>
      </c>
      <c r="C2378" s="347">
        <v>3000</v>
      </c>
      <c r="D2378" s="348">
        <v>46388</v>
      </c>
      <c r="E2378" s="348">
        <v>46722</v>
      </c>
      <c r="F2378" s="346" t="s">
        <v>613</v>
      </c>
      <c r="G2378" s="349" t="s">
        <v>453</v>
      </c>
      <c r="H2378" s="350">
        <f t="shared" si="48"/>
        <v>36000</v>
      </c>
      <c r="I2378" s="120" t="str">
        <f>IF(OR(D2378&lt;Capa!$A$5,D2378&gt;Capa!$A$7,E2378&lt;Capa!$A$5,E2378&gt;Capa!$A$7,D2378&gt;E2378),"Erro","")</f>
        <v/>
      </c>
    </row>
    <row r="2379" spans="1:9" ht="30" hidden="1">
      <c r="A2379" s="345">
        <v>2815</v>
      </c>
      <c r="B2379" s="346" t="s">
        <v>294</v>
      </c>
      <c r="C2379" s="347">
        <v>3000</v>
      </c>
      <c r="D2379" s="348">
        <v>46753</v>
      </c>
      <c r="E2379" s="348">
        <v>47058</v>
      </c>
      <c r="F2379" s="346" t="s">
        <v>613</v>
      </c>
      <c r="G2379" s="349" t="s">
        <v>453</v>
      </c>
      <c r="H2379" s="350">
        <f t="shared" si="48"/>
        <v>33000</v>
      </c>
      <c r="I2379" s="120" t="str">
        <f>IF(OR(D2379&lt;Capa!$A$5,D2379&gt;Capa!$A$7,E2379&lt;Capa!$A$5,E2379&gt;Capa!$A$7,D2379&gt;E2379),"Erro","")</f>
        <v/>
      </c>
    </row>
    <row r="2380" spans="1:9" ht="20" hidden="1">
      <c r="A2380" s="345">
        <v>2817</v>
      </c>
      <c r="B2380" s="346" t="s">
        <v>302</v>
      </c>
      <c r="C2380" s="347">
        <v>100</v>
      </c>
      <c r="D2380" s="348">
        <v>45658</v>
      </c>
      <c r="E2380" s="348">
        <v>45992</v>
      </c>
      <c r="F2380" s="346" t="s">
        <v>613</v>
      </c>
      <c r="G2380" s="349" t="s">
        <v>454</v>
      </c>
      <c r="H2380" s="350">
        <f t="shared" si="48"/>
        <v>1200</v>
      </c>
      <c r="I2380" s="120" t="str">
        <f>IF(OR(D2380&lt;Capa!$A$5,D2380&gt;Capa!$A$7,E2380&lt;Capa!$A$5,E2380&gt;Capa!$A$7,D2380&gt;E2380),"Erro","")</f>
        <v/>
      </c>
    </row>
    <row r="2381" spans="1:9" ht="20" hidden="1">
      <c r="A2381" s="345">
        <v>2818</v>
      </c>
      <c r="B2381" s="346" t="s">
        <v>302</v>
      </c>
      <c r="C2381" s="347">
        <v>100</v>
      </c>
      <c r="D2381" s="348">
        <v>46023</v>
      </c>
      <c r="E2381" s="348">
        <v>46357</v>
      </c>
      <c r="F2381" s="346" t="s">
        <v>613</v>
      </c>
      <c r="G2381" s="349" t="s">
        <v>454</v>
      </c>
      <c r="H2381" s="350">
        <f t="shared" si="48"/>
        <v>1200</v>
      </c>
      <c r="I2381" s="120" t="str">
        <f>IF(OR(D2381&lt;Capa!$A$5,D2381&gt;Capa!$A$7,E2381&lt;Capa!$A$5,E2381&gt;Capa!$A$7,D2381&gt;E2381),"Erro","")</f>
        <v/>
      </c>
    </row>
    <row r="2382" spans="1:9" ht="20" hidden="1">
      <c r="A2382" s="345">
        <v>2819</v>
      </c>
      <c r="B2382" s="346" t="s">
        <v>302</v>
      </c>
      <c r="C2382" s="347">
        <v>100</v>
      </c>
      <c r="D2382" s="348">
        <v>46388</v>
      </c>
      <c r="E2382" s="348">
        <v>46722</v>
      </c>
      <c r="F2382" s="346" t="s">
        <v>613</v>
      </c>
      <c r="G2382" s="349" t="s">
        <v>454</v>
      </c>
      <c r="H2382" s="350">
        <f t="shared" si="48"/>
        <v>1200</v>
      </c>
      <c r="I2382" s="120" t="str">
        <f>IF(OR(D2382&lt;Capa!$A$5,D2382&gt;Capa!$A$7,E2382&lt;Capa!$A$5,E2382&gt;Capa!$A$7,D2382&gt;E2382),"Erro","")</f>
        <v/>
      </c>
    </row>
    <row r="2383" spans="1:9" ht="20" hidden="1">
      <c r="A2383" s="345">
        <v>2820</v>
      </c>
      <c r="B2383" s="346" t="s">
        <v>302</v>
      </c>
      <c r="C2383" s="347">
        <v>50</v>
      </c>
      <c r="D2383" s="348">
        <v>46753</v>
      </c>
      <c r="E2383" s="348">
        <v>47058</v>
      </c>
      <c r="F2383" s="346" t="s">
        <v>613</v>
      </c>
      <c r="G2383" s="349" t="s">
        <v>454</v>
      </c>
      <c r="H2383" s="350">
        <f t="shared" si="48"/>
        <v>550</v>
      </c>
      <c r="I2383" s="120" t="str">
        <f>IF(OR(D2383&lt;Capa!$A$5,D2383&gt;Capa!$A$7,E2383&lt;Capa!$A$5,E2383&gt;Capa!$A$7,D2383&gt;E2383),"Erro","")</f>
        <v/>
      </c>
    </row>
    <row r="2384" spans="1:9" ht="30" hidden="1">
      <c r="A2384" s="345">
        <v>2822</v>
      </c>
      <c r="B2384" s="346" t="s">
        <v>304</v>
      </c>
      <c r="C2384" s="347">
        <v>1000</v>
      </c>
      <c r="D2384" s="348">
        <v>45658</v>
      </c>
      <c r="E2384" s="348">
        <v>45992</v>
      </c>
      <c r="F2384" s="346" t="s">
        <v>613</v>
      </c>
      <c r="G2384" s="349" t="s">
        <v>455</v>
      </c>
      <c r="H2384" s="350">
        <f t="shared" si="48"/>
        <v>12000</v>
      </c>
      <c r="I2384" s="120" t="str">
        <f>IF(OR(D2384&lt;Capa!$A$5,D2384&gt;Capa!$A$7,E2384&lt;Capa!$A$5,E2384&gt;Capa!$A$7,D2384&gt;E2384),"Erro","")</f>
        <v/>
      </c>
    </row>
    <row r="2385" spans="1:9" ht="30" hidden="1">
      <c r="A2385" s="345">
        <v>2823</v>
      </c>
      <c r="B2385" s="346" t="s">
        <v>304</v>
      </c>
      <c r="C2385" s="347">
        <v>1000</v>
      </c>
      <c r="D2385" s="348">
        <v>46023</v>
      </c>
      <c r="E2385" s="348">
        <v>46357</v>
      </c>
      <c r="F2385" s="346" t="s">
        <v>613</v>
      </c>
      <c r="G2385" s="349" t="s">
        <v>455</v>
      </c>
      <c r="H2385" s="350">
        <f t="shared" si="48"/>
        <v>12000</v>
      </c>
      <c r="I2385" s="120" t="str">
        <f>IF(OR(D2385&lt;Capa!$A$5,D2385&gt;Capa!$A$7,E2385&lt;Capa!$A$5,E2385&gt;Capa!$A$7,D2385&gt;E2385),"Erro","")</f>
        <v/>
      </c>
    </row>
    <row r="2386" spans="1:9" ht="30" hidden="1">
      <c r="A2386" s="345">
        <v>2824</v>
      </c>
      <c r="B2386" s="346" t="s">
        <v>304</v>
      </c>
      <c r="C2386" s="347">
        <v>1000</v>
      </c>
      <c r="D2386" s="348">
        <v>46388</v>
      </c>
      <c r="E2386" s="348">
        <v>46722</v>
      </c>
      <c r="F2386" s="346" t="s">
        <v>613</v>
      </c>
      <c r="G2386" s="349" t="s">
        <v>455</v>
      </c>
      <c r="H2386" s="350">
        <f t="shared" si="48"/>
        <v>12000</v>
      </c>
      <c r="I2386" s="120" t="str">
        <f>IF(OR(D2386&lt;Capa!$A$5,D2386&gt;Capa!$A$7,E2386&lt;Capa!$A$5,E2386&gt;Capa!$A$7,D2386&gt;E2386),"Erro","")</f>
        <v/>
      </c>
    </row>
    <row r="2387" spans="1:9" ht="30" hidden="1">
      <c r="A2387" s="345">
        <v>2825</v>
      </c>
      <c r="B2387" s="346" t="s">
        <v>304</v>
      </c>
      <c r="C2387" s="347">
        <v>500</v>
      </c>
      <c r="D2387" s="348">
        <v>46753</v>
      </c>
      <c r="E2387" s="348">
        <v>47058</v>
      </c>
      <c r="F2387" s="346" t="s">
        <v>613</v>
      </c>
      <c r="G2387" s="349" t="s">
        <v>455</v>
      </c>
      <c r="H2387" s="350">
        <f t="shared" si="48"/>
        <v>5500</v>
      </c>
      <c r="I2387" s="120" t="str">
        <f>IF(OR(D2387&lt;Capa!$A$5,D2387&gt;Capa!$A$7,E2387&lt;Capa!$A$5,E2387&gt;Capa!$A$7,D2387&gt;E2387),"Erro","")</f>
        <v/>
      </c>
    </row>
    <row r="2388" spans="1:9" ht="30" hidden="1">
      <c r="A2388" s="345">
        <v>2826</v>
      </c>
      <c r="B2388" s="346" t="s">
        <v>312</v>
      </c>
      <c r="C2388" s="347">
        <v>200</v>
      </c>
      <c r="D2388" s="348">
        <v>45658</v>
      </c>
      <c r="E2388" s="348">
        <v>45992</v>
      </c>
      <c r="F2388" s="346" t="s">
        <v>613</v>
      </c>
      <c r="G2388" s="349" t="s">
        <v>571</v>
      </c>
      <c r="H2388" s="350">
        <f t="shared" si="48"/>
        <v>2400</v>
      </c>
      <c r="I2388" s="120" t="str">
        <f>IF(OR(D2388&lt;Capa!$A$5,D2388&gt;Capa!$A$7,E2388&lt;Capa!$A$5,E2388&gt;Capa!$A$7,D2388&gt;E2388),"Erro","")</f>
        <v/>
      </c>
    </row>
    <row r="2389" spans="1:9" ht="30" hidden="1">
      <c r="A2389" s="345">
        <v>2827</v>
      </c>
      <c r="B2389" s="346" t="s">
        <v>312</v>
      </c>
      <c r="C2389" s="347">
        <v>200</v>
      </c>
      <c r="D2389" s="348">
        <v>46023</v>
      </c>
      <c r="E2389" s="348">
        <v>46357</v>
      </c>
      <c r="F2389" s="346" t="s">
        <v>613</v>
      </c>
      <c r="G2389" s="349" t="s">
        <v>571</v>
      </c>
      <c r="H2389" s="350">
        <f t="shared" si="48"/>
        <v>2400</v>
      </c>
      <c r="I2389" s="120" t="str">
        <f>IF(OR(D2389&lt;Capa!$A$5,D2389&gt;Capa!$A$7,E2389&lt;Capa!$A$5,E2389&gt;Capa!$A$7,D2389&gt;E2389),"Erro","")</f>
        <v/>
      </c>
    </row>
    <row r="2390" spans="1:9" ht="30" hidden="1">
      <c r="A2390" s="345">
        <v>2828</v>
      </c>
      <c r="B2390" s="346" t="s">
        <v>312</v>
      </c>
      <c r="C2390" s="347">
        <v>200</v>
      </c>
      <c r="D2390" s="348">
        <v>46388</v>
      </c>
      <c r="E2390" s="348">
        <v>46722</v>
      </c>
      <c r="F2390" s="346" t="s">
        <v>613</v>
      </c>
      <c r="G2390" s="349" t="s">
        <v>571</v>
      </c>
      <c r="H2390" s="350">
        <f t="shared" si="48"/>
        <v>2400</v>
      </c>
      <c r="I2390" s="120" t="str">
        <f>IF(OR(D2390&lt;Capa!$A$5,D2390&gt;Capa!$A$7,E2390&lt;Capa!$A$5,E2390&gt;Capa!$A$7,D2390&gt;E2390),"Erro","")</f>
        <v/>
      </c>
    </row>
    <row r="2391" spans="1:9" ht="30" hidden="1">
      <c r="A2391" s="345">
        <v>2829</v>
      </c>
      <c r="B2391" s="346" t="s">
        <v>312</v>
      </c>
      <c r="C2391" s="347">
        <v>100</v>
      </c>
      <c r="D2391" s="348">
        <v>46753</v>
      </c>
      <c r="E2391" s="348">
        <v>47058</v>
      </c>
      <c r="F2391" s="346" t="s">
        <v>613</v>
      </c>
      <c r="G2391" s="349" t="s">
        <v>571</v>
      </c>
      <c r="H2391" s="350">
        <f t="shared" si="48"/>
        <v>1100</v>
      </c>
      <c r="I2391" s="120" t="str">
        <f>IF(OR(D2391&lt;Capa!$A$5,D2391&gt;Capa!$A$7,E2391&lt;Capa!$A$5,E2391&gt;Capa!$A$7,D2391&gt;E2391),"Erro","")</f>
        <v/>
      </c>
    </row>
    <row r="2392" spans="1:9" ht="50" hidden="1">
      <c r="A2392" s="345">
        <v>2831</v>
      </c>
      <c r="B2392" s="346" t="s">
        <v>316</v>
      </c>
      <c r="C2392" s="347">
        <v>800</v>
      </c>
      <c r="D2392" s="348">
        <v>45658</v>
      </c>
      <c r="E2392" s="348">
        <v>45992</v>
      </c>
      <c r="F2392" s="346" t="s">
        <v>613</v>
      </c>
      <c r="G2392" s="349" t="s">
        <v>741</v>
      </c>
      <c r="H2392" s="350">
        <f t="shared" si="48"/>
        <v>9600</v>
      </c>
      <c r="I2392" s="120" t="str">
        <f>IF(OR(D2392&lt;Capa!$A$5,D2392&gt;Capa!$A$7,E2392&lt;Capa!$A$5,E2392&gt;Capa!$A$7,D2392&gt;E2392),"Erro","")</f>
        <v/>
      </c>
    </row>
    <row r="2393" spans="1:9" ht="50" hidden="1">
      <c r="A2393" s="345">
        <v>2832</v>
      </c>
      <c r="B2393" s="346" t="s">
        <v>316</v>
      </c>
      <c r="C2393" s="347">
        <v>800</v>
      </c>
      <c r="D2393" s="348">
        <v>46023</v>
      </c>
      <c r="E2393" s="348">
        <v>46357</v>
      </c>
      <c r="F2393" s="346" t="s">
        <v>613</v>
      </c>
      <c r="G2393" s="349" t="s">
        <v>741</v>
      </c>
      <c r="H2393" s="350">
        <f t="shared" si="48"/>
        <v>9600</v>
      </c>
      <c r="I2393" s="120" t="str">
        <f>IF(OR(D2393&lt;Capa!$A$5,D2393&gt;Capa!$A$7,E2393&lt;Capa!$A$5,E2393&gt;Capa!$A$7,D2393&gt;E2393),"Erro","")</f>
        <v/>
      </c>
    </row>
    <row r="2394" spans="1:9" ht="50" hidden="1">
      <c r="A2394" s="345">
        <v>2833</v>
      </c>
      <c r="B2394" s="346" t="s">
        <v>316</v>
      </c>
      <c r="C2394" s="347">
        <v>800</v>
      </c>
      <c r="D2394" s="348">
        <v>46388</v>
      </c>
      <c r="E2394" s="348">
        <v>46722</v>
      </c>
      <c r="F2394" s="346" t="s">
        <v>613</v>
      </c>
      <c r="G2394" s="349" t="s">
        <v>741</v>
      </c>
      <c r="H2394" s="350">
        <f t="shared" si="48"/>
        <v>9600</v>
      </c>
      <c r="I2394" s="120" t="str">
        <f>IF(OR(D2394&lt;Capa!$A$5,D2394&gt;Capa!$A$7,E2394&lt;Capa!$A$5,E2394&gt;Capa!$A$7,D2394&gt;E2394),"Erro","")</f>
        <v/>
      </c>
    </row>
    <row r="2395" spans="1:9" ht="50" hidden="1">
      <c r="A2395" s="345">
        <v>2834</v>
      </c>
      <c r="B2395" s="346" t="s">
        <v>316</v>
      </c>
      <c r="C2395" s="347">
        <v>400</v>
      </c>
      <c r="D2395" s="348">
        <v>46753</v>
      </c>
      <c r="E2395" s="348">
        <v>47058</v>
      </c>
      <c r="F2395" s="346" t="s">
        <v>613</v>
      </c>
      <c r="G2395" s="349" t="s">
        <v>741</v>
      </c>
      <c r="H2395" s="350">
        <f t="shared" si="48"/>
        <v>4400</v>
      </c>
      <c r="I2395" s="120" t="str">
        <f>IF(OR(D2395&lt;Capa!$A$5,D2395&gt;Capa!$A$7,E2395&lt;Capa!$A$5,E2395&gt;Capa!$A$7,D2395&gt;E2395),"Erro","")</f>
        <v/>
      </c>
    </row>
    <row r="2396" spans="1:9" ht="50" hidden="1">
      <c r="A2396" s="345">
        <v>2836</v>
      </c>
      <c r="B2396" s="346" t="s">
        <v>318</v>
      </c>
      <c r="C2396" s="347">
        <v>1000</v>
      </c>
      <c r="D2396" s="348">
        <v>45658</v>
      </c>
      <c r="E2396" s="348">
        <v>45992</v>
      </c>
      <c r="F2396" s="346" t="s">
        <v>613</v>
      </c>
      <c r="G2396" s="349" t="s">
        <v>572</v>
      </c>
      <c r="H2396" s="350">
        <f t="shared" si="48"/>
        <v>12000</v>
      </c>
      <c r="I2396" s="120" t="str">
        <f>IF(OR(D2396&lt;Capa!$A$5,D2396&gt;Capa!$A$7,E2396&lt;Capa!$A$5,E2396&gt;Capa!$A$7,D2396&gt;E2396),"Erro","")</f>
        <v/>
      </c>
    </row>
    <row r="2397" spans="1:9" ht="50" hidden="1">
      <c r="A2397" s="345">
        <v>2837</v>
      </c>
      <c r="B2397" s="346" t="s">
        <v>318</v>
      </c>
      <c r="C2397" s="347">
        <v>1000</v>
      </c>
      <c r="D2397" s="348">
        <v>46023</v>
      </c>
      <c r="E2397" s="348">
        <v>46357</v>
      </c>
      <c r="F2397" s="346" t="s">
        <v>613</v>
      </c>
      <c r="G2397" s="349" t="s">
        <v>572</v>
      </c>
      <c r="H2397" s="350">
        <f t="shared" si="48"/>
        <v>12000</v>
      </c>
      <c r="I2397" s="120" t="str">
        <f>IF(OR(D2397&lt;Capa!$A$5,D2397&gt;Capa!$A$7,E2397&lt;Capa!$A$5,E2397&gt;Capa!$A$7,D2397&gt;E2397),"Erro","")</f>
        <v/>
      </c>
    </row>
    <row r="2398" spans="1:9" ht="50" hidden="1">
      <c r="A2398" s="345">
        <v>2838</v>
      </c>
      <c r="B2398" s="346" t="s">
        <v>318</v>
      </c>
      <c r="C2398" s="347">
        <v>1000</v>
      </c>
      <c r="D2398" s="348">
        <v>46388</v>
      </c>
      <c r="E2398" s="348">
        <v>46722</v>
      </c>
      <c r="F2398" s="346" t="s">
        <v>613</v>
      </c>
      <c r="G2398" s="349" t="s">
        <v>572</v>
      </c>
      <c r="H2398" s="350">
        <f t="shared" si="48"/>
        <v>12000</v>
      </c>
      <c r="I2398" s="120" t="str">
        <f>IF(OR(D2398&lt;Capa!$A$5,D2398&gt;Capa!$A$7,E2398&lt;Capa!$A$5,E2398&gt;Capa!$A$7,D2398&gt;E2398),"Erro","")</f>
        <v/>
      </c>
    </row>
    <row r="2399" spans="1:9" ht="50" hidden="1">
      <c r="A2399" s="345">
        <v>2839</v>
      </c>
      <c r="B2399" s="346" t="s">
        <v>318</v>
      </c>
      <c r="C2399" s="347">
        <v>300</v>
      </c>
      <c r="D2399" s="348">
        <v>46753</v>
      </c>
      <c r="E2399" s="348">
        <v>47058</v>
      </c>
      <c r="F2399" s="346" t="s">
        <v>613</v>
      </c>
      <c r="G2399" s="349" t="s">
        <v>572</v>
      </c>
      <c r="H2399" s="350">
        <f t="shared" si="48"/>
        <v>3300</v>
      </c>
      <c r="I2399" s="120" t="str">
        <f>IF(OR(D2399&lt;Capa!$A$5,D2399&gt;Capa!$A$7,E2399&lt;Capa!$A$5,E2399&gt;Capa!$A$7,D2399&gt;E2399),"Erro","")</f>
        <v/>
      </c>
    </row>
    <row r="2400" spans="1:9" ht="50" hidden="1">
      <c r="A2400" s="345">
        <v>2841</v>
      </c>
      <c r="B2400" s="346" t="s">
        <v>318</v>
      </c>
      <c r="C2400" s="347">
        <v>700</v>
      </c>
      <c r="D2400" s="348">
        <v>45658</v>
      </c>
      <c r="E2400" s="348">
        <v>45992</v>
      </c>
      <c r="F2400" s="346" t="s">
        <v>613</v>
      </c>
      <c r="G2400" s="349" t="s">
        <v>456</v>
      </c>
      <c r="H2400" s="350">
        <f t="shared" si="48"/>
        <v>8400</v>
      </c>
      <c r="I2400" s="120" t="str">
        <f>IF(OR(D2400&lt;Capa!$A$5,D2400&gt;Capa!$A$7,E2400&lt;Capa!$A$5,E2400&gt;Capa!$A$7,D2400&gt;E2400),"Erro","")</f>
        <v/>
      </c>
    </row>
    <row r="2401" spans="1:9" ht="50" hidden="1">
      <c r="A2401" s="345">
        <v>2842</v>
      </c>
      <c r="B2401" s="346" t="s">
        <v>318</v>
      </c>
      <c r="C2401" s="347">
        <v>700</v>
      </c>
      <c r="D2401" s="348">
        <v>46023</v>
      </c>
      <c r="E2401" s="348">
        <v>46357</v>
      </c>
      <c r="F2401" s="346" t="s">
        <v>613</v>
      </c>
      <c r="G2401" s="349" t="s">
        <v>456</v>
      </c>
      <c r="H2401" s="350">
        <f t="shared" si="48"/>
        <v>8400</v>
      </c>
      <c r="I2401" s="120" t="str">
        <f>IF(OR(D2401&lt;Capa!$A$5,D2401&gt;Capa!$A$7,E2401&lt;Capa!$A$5,E2401&gt;Capa!$A$7,D2401&gt;E2401),"Erro","")</f>
        <v/>
      </c>
    </row>
    <row r="2402" spans="1:9" ht="50" hidden="1">
      <c r="A2402" s="345">
        <v>2843</v>
      </c>
      <c r="B2402" s="346" t="s">
        <v>318</v>
      </c>
      <c r="C2402" s="347">
        <v>700</v>
      </c>
      <c r="D2402" s="348">
        <v>46388</v>
      </c>
      <c r="E2402" s="348">
        <v>46722</v>
      </c>
      <c r="F2402" s="346" t="s">
        <v>613</v>
      </c>
      <c r="G2402" s="349" t="s">
        <v>456</v>
      </c>
      <c r="H2402" s="350">
        <f t="shared" si="48"/>
        <v>8400</v>
      </c>
      <c r="I2402" s="120" t="str">
        <f>IF(OR(D2402&lt;Capa!$A$5,D2402&gt;Capa!$A$7,E2402&lt;Capa!$A$5,E2402&gt;Capa!$A$7,D2402&gt;E2402),"Erro","")</f>
        <v/>
      </c>
    </row>
    <row r="2403" spans="1:9" ht="50" hidden="1">
      <c r="A2403" s="345">
        <v>2844</v>
      </c>
      <c r="B2403" s="346" t="s">
        <v>318</v>
      </c>
      <c r="C2403" s="347">
        <v>250</v>
      </c>
      <c r="D2403" s="348">
        <v>46753</v>
      </c>
      <c r="E2403" s="348">
        <v>47058</v>
      </c>
      <c r="F2403" s="346" t="s">
        <v>613</v>
      </c>
      <c r="G2403" s="349" t="s">
        <v>456</v>
      </c>
      <c r="H2403" s="350">
        <f t="shared" ref="H2403:H2460" si="49">IFERROR((DATEDIF(D2403,E2403,"M")+1)*C2403,0)</f>
        <v>2750</v>
      </c>
      <c r="I2403" s="120" t="str">
        <f>IF(OR(D2403&lt;Capa!$A$5,D2403&gt;Capa!$A$7,E2403&lt;Capa!$A$5,E2403&gt;Capa!$A$7,D2403&gt;E2403),"Erro","")</f>
        <v/>
      </c>
    </row>
    <row r="2404" spans="1:9" ht="20" hidden="1">
      <c r="A2404" s="345">
        <v>2846</v>
      </c>
      <c r="B2404" s="346" t="s">
        <v>298</v>
      </c>
      <c r="C2404" s="347">
        <v>2450</v>
      </c>
      <c r="D2404" s="348">
        <v>45658</v>
      </c>
      <c r="E2404" s="348">
        <v>45992</v>
      </c>
      <c r="F2404" s="346" t="s">
        <v>613</v>
      </c>
      <c r="G2404" s="349" t="s">
        <v>457</v>
      </c>
      <c r="H2404" s="350">
        <f t="shared" si="49"/>
        <v>29400</v>
      </c>
      <c r="I2404" s="120" t="str">
        <f>IF(OR(D2404&lt;Capa!$A$5,D2404&gt;Capa!$A$7,E2404&lt;Capa!$A$5,E2404&gt;Capa!$A$7,D2404&gt;E2404),"Erro","")</f>
        <v/>
      </c>
    </row>
    <row r="2405" spans="1:9" ht="20" hidden="1">
      <c r="A2405" s="345">
        <v>2847</v>
      </c>
      <c r="B2405" s="346" t="s">
        <v>298</v>
      </c>
      <c r="C2405" s="347">
        <v>2450</v>
      </c>
      <c r="D2405" s="348">
        <v>46023</v>
      </c>
      <c r="E2405" s="348">
        <v>46357</v>
      </c>
      <c r="F2405" s="346" t="s">
        <v>613</v>
      </c>
      <c r="G2405" s="349" t="s">
        <v>457</v>
      </c>
      <c r="H2405" s="350">
        <f t="shared" si="49"/>
        <v>29400</v>
      </c>
      <c r="I2405" s="120" t="str">
        <f>IF(OR(D2405&lt;Capa!$A$5,D2405&gt;Capa!$A$7,E2405&lt;Capa!$A$5,E2405&gt;Capa!$A$7,D2405&gt;E2405),"Erro","")</f>
        <v/>
      </c>
    </row>
    <row r="2406" spans="1:9" ht="20" hidden="1">
      <c r="A2406" s="345">
        <v>2848</v>
      </c>
      <c r="B2406" s="346" t="s">
        <v>298</v>
      </c>
      <c r="C2406" s="347">
        <v>2450</v>
      </c>
      <c r="D2406" s="348">
        <v>46388</v>
      </c>
      <c r="E2406" s="348">
        <v>46722</v>
      </c>
      <c r="F2406" s="346" t="s">
        <v>613</v>
      </c>
      <c r="G2406" s="349" t="s">
        <v>457</v>
      </c>
      <c r="H2406" s="350">
        <f t="shared" si="49"/>
        <v>29400</v>
      </c>
      <c r="I2406" s="120" t="str">
        <f>IF(OR(D2406&lt;Capa!$A$5,D2406&gt;Capa!$A$7,E2406&lt;Capa!$A$5,E2406&gt;Capa!$A$7,D2406&gt;E2406),"Erro","")</f>
        <v/>
      </c>
    </row>
    <row r="2407" spans="1:9" ht="20" hidden="1">
      <c r="A2407" s="345">
        <v>2849</v>
      </c>
      <c r="B2407" s="346" t="s">
        <v>298</v>
      </c>
      <c r="C2407" s="347">
        <v>1250</v>
      </c>
      <c r="D2407" s="348">
        <v>46753</v>
      </c>
      <c r="E2407" s="348">
        <v>47058</v>
      </c>
      <c r="F2407" s="346" t="s">
        <v>613</v>
      </c>
      <c r="G2407" s="349" t="s">
        <v>457</v>
      </c>
      <c r="H2407" s="350">
        <f t="shared" si="49"/>
        <v>13750</v>
      </c>
      <c r="I2407" s="120" t="str">
        <f>IF(OR(D2407&lt;Capa!$A$5,D2407&gt;Capa!$A$7,E2407&lt;Capa!$A$5,E2407&gt;Capa!$A$7,D2407&gt;E2407),"Erro","")</f>
        <v/>
      </c>
    </row>
    <row r="2408" spans="1:9" ht="30" hidden="1">
      <c r="A2408" s="345">
        <v>2850</v>
      </c>
      <c r="B2408" s="346" t="s">
        <v>238</v>
      </c>
      <c r="C2408" s="347">
        <v>480</v>
      </c>
      <c r="D2408" s="348">
        <v>45658</v>
      </c>
      <c r="E2408" s="348">
        <v>45992</v>
      </c>
      <c r="F2408" s="346" t="s">
        <v>613</v>
      </c>
      <c r="G2408" s="349" t="s">
        <v>458</v>
      </c>
      <c r="H2408" s="350">
        <f t="shared" si="49"/>
        <v>5760</v>
      </c>
      <c r="I2408" s="120" t="str">
        <f>IF(OR(D2408&lt;Capa!$A$5,D2408&gt;Capa!$A$7,E2408&lt;Capa!$A$5,E2408&gt;Capa!$A$7,D2408&gt;E2408),"Erro","")</f>
        <v/>
      </c>
    </row>
    <row r="2409" spans="1:9" ht="30" hidden="1">
      <c r="A2409" s="345">
        <v>2851</v>
      </c>
      <c r="B2409" s="346" t="s">
        <v>238</v>
      </c>
      <c r="C2409" s="347">
        <v>480</v>
      </c>
      <c r="D2409" s="348">
        <v>46023</v>
      </c>
      <c r="E2409" s="348">
        <v>46357</v>
      </c>
      <c r="F2409" s="346" t="s">
        <v>613</v>
      </c>
      <c r="G2409" s="349" t="s">
        <v>458</v>
      </c>
      <c r="H2409" s="350">
        <f t="shared" si="49"/>
        <v>5760</v>
      </c>
      <c r="I2409" s="120" t="str">
        <f>IF(OR(D2409&lt;Capa!$A$5,D2409&gt;Capa!$A$7,E2409&lt;Capa!$A$5,E2409&gt;Capa!$A$7,D2409&gt;E2409),"Erro","")</f>
        <v/>
      </c>
    </row>
    <row r="2410" spans="1:9" ht="30" hidden="1">
      <c r="A2410" s="345">
        <v>2852</v>
      </c>
      <c r="B2410" s="346" t="s">
        <v>238</v>
      </c>
      <c r="C2410" s="347">
        <v>480</v>
      </c>
      <c r="D2410" s="348">
        <v>46388</v>
      </c>
      <c r="E2410" s="348">
        <v>46722</v>
      </c>
      <c r="F2410" s="346" t="s">
        <v>613</v>
      </c>
      <c r="G2410" s="349" t="s">
        <v>458</v>
      </c>
      <c r="H2410" s="350">
        <f t="shared" si="49"/>
        <v>5760</v>
      </c>
      <c r="I2410" s="120" t="str">
        <f>IF(OR(D2410&lt;Capa!$A$5,D2410&gt;Capa!$A$7,E2410&lt;Capa!$A$5,E2410&gt;Capa!$A$7,D2410&gt;E2410),"Erro","")</f>
        <v/>
      </c>
    </row>
    <row r="2411" spans="1:9" ht="30" hidden="1">
      <c r="A2411" s="345">
        <v>2853</v>
      </c>
      <c r="B2411" s="346" t="s">
        <v>238</v>
      </c>
      <c r="C2411" s="347">
        <v>240</v>
      </c>
      <c r="D2411" s="348">
        <v>46753</v>
      </c>
      <c r="E2411" s="348">
        <v>47058</v>
      </c>
      <c r="F2411" s="346" t="s">
        <v>613</v>
      </c>
      <c r="G2411" s="349" t="s">
        <v>458</v>
      </c>
      <c r="H2411" s="350">
        <f t="shared" si="49"/>
        <v>2640</v>
      </c>
      <c r="I2411" s="120" t="str">
        <f>IF(OR(D2411&lt;Capa!$A$5,D2411&gt;Capa!$A$7,E2411&lt;Capa!$A$5,E2411&gt;Capa!$A$7,D2411&gt;E2411),"Erro","")</f>
        <v/>
      </c>
    </row>
    <row r="2412" spans="1:9" ht="40" hidden="1">
      <c r="A2412" s="345">
        <v>2855</v>
      </c>
      <c r="B2412" s="346" t="s">
        <v>252</v>
      </c>
      <c r="C2412" s="347">
        <v>8000</v>
      </c>
      <c r="D2412" s="348">
        <v>45658</v>
      </c>
      <c r="E2412" s="348">
        <v>45992</v>
      </c>
      <c r="F2412" s="346" t="s">
        <v>613</v>
      </c>
      <c r="G2412" s="349" t="s">
        <v>459</v>
      </c>
      <c r="H2412" s="350">
        <f t="shared" si="49"/>
        <v>96000</v>
      </c>
      <c r="I2412" s="120" t="str">
        <f>IF(OR(D2412&lt;Capa!$A$5,D2412&gt;Capa!$A$7,E2412&lt;Capa!$A$5,E2412&gt;Capa!$A$7,D2412&gt;E2412),"Erro","")</f>
        <v/>
      </c>
    </row>
    <row r="2413" spans="1:9" ht="40" hidden="1">
      <c r="A2413" s="345">
        <v>2856</v>
      </c>
      <c r="B2413" s="346" t="s">
        <v>252</v>
      </c>
      <c r="C2413" s="347">
        <v>8000</v>
      </c>
      <c r="D2413" s="348">
        <v>46023</v>
      </c>
      <c r="E2413" s="348">
        <v>46357</v>
      </c>
      <c r="F2413" s="346" t="s">
        <v>613</v>
      </c>
      <c r="G2413" s="349" t="s">
        <v>459</v>
      </c>
      <c r="H2413" s="350">
        <f t="shared" si="49"/>
        <v>96000</v>
      </c>
      <c r="I2413" s="120" t="str">
        <f>IF(OR(D2413&lt;Capa!$A$5,D2413&gt;Capa!$A$7,E2413&lt;Capa!$A$5,E2413&gt;Capa!$A$7,D2413&gt;E2413),"Erro","")</f>
        <v/>
      </c>
    </row>
    <row r="2414" spans="1:9" ht="40" hidden="1">
      <c r="A2414" s="345">
        <v>2857</v>
      </c>
      <c r="B2414" s="346" t="s">
        <v>252</v>
      </c>
      <c r="C2414" s="347">
        <v>8000</v>
      </c>
      <c r="D2414" s="348">
        <v>46388</v>
      </c>
      <c r="E2414" s="348">
        <v>46722</v>
      </c>
      <c r="F2414" s="346" t="s">
        <v>613</v>
      </c>
      <c r="G2414" s="349" t="s">
        <v>459</v>
      </c>
      <c r="H2414" s="350">
        <f t="shared" si="49"/>
        <v>96000</v>
      </c>
      <c r="I2414" s="120" t="str">
        <f>IF(OR(D2414&lt;Capa!$A$5,D2414&gt;Capa!$A$7,E2414&lt;Capa!$A$5,E2414&gt;Capa!$A$7,D2414&gt;E2414),"Erro","")</f>
        <v/>
      </c>
    </row>
    <row r="2415" spans="1:9" ht="40" hidden="1">
      <c r="A2415" s="345">
        <v>2858</v>
      </c>
      <c r="B2415" s="346" t="s">
        <v>252</v>
      </c>
      <c r="C2415" s="347">
        <v>4000</v>
      </c>
      <c r="D2415" s="348">
        <v>46753</v>
      </c>
      <c r="E2415" s="348">
        <v>47058</v>
      </c>
      <c r="F2415" s="346" t="s">
        <v>613</v>
      </c>
      <c r="G2415" s="349" t="s">
        <v>459</v>
      </c>
      <c r="H2415" s="350">
        <f t="shared" si="49"/>
        <v>44000</v>
      </c>
      <c r="I2415" s="120" t="str">
        <f>IF(OR(D2415&lt;Capa!$A$5,D2415&gt;Capa!$A$7,E2415&lt;Capa!$A$5,E2415&gt;Capa!$A$7,D2415&gt;E2415),"Erro","")</f>
        <v/>
      </c>
    </row>
    <row r="2416" spans="1:9" ht="30" hidden="1">
      <c r="A2416" s="345">
        <v>2861</v>
      </c>
      <c r="B2416" s="346" t="s">
        <v>621</v>
      </c>
      <c r="C2416" s="347">
        <v>2000</v>
      </c>
      <c r="D2416" s="348">
        <v>46023</v>
      </c>
      <c r="E2416" s="348">
        <v>46023</v>
      </c>
      <c r="F2416" s="346" t="s">
        <v>613</v>
      </c>
      <c r="G2416" s="349" t="s">
        <v>595</v>
      </c>
      <c r="H2416" s="350">
        <f t="shared" si="49"/>
        <v>2000</v>
      </c>
      <c r="I2416" s="120" t="str">
        <f>IF(OR(D2416&lt;Capa!$A$5,D2416&gt;Capa!$A$7,E2416&lt;Capa!$A$5,E2416&gt;Capa!$A$7,D2416&gt;E2416),"Erro","")</f>
        <v/>
      </c>
    </row>
    <row r="2417" spans="1:9" ht="30" hidden="1">
      <c r="A2417" s="345">
        <v>2862</v>
      </c>
      <c r="B2417" s="346" t="s">
        <v>621</v>
      </c>
      <c r="C2417" s="347">
        <v>2000</v>
      </c>
      <c r="D2417" s="348">
        <v>46753</v>
      </c>
      <c r="E2417" s="348">
        <v>46753</v>
      </c>
      <c r="F2417" s="346" t="s">
        <v>613</v>
      </c>
      <c r="G2417" s="349" t="s">
        <v>595</v>
      </c>
      <c r="H2417" s="350">
        <f t="shared" si="49"/>
        <v>2000</v>
      </c>
      <c r="I2417" s="120" t="str">
        <f>IF(OR(D2417&lt;Capa!$A$5,D2417&gt;Capa!$A$7,E2417&lt;Capa!$A$5,E2417&gt;Capa!$A$7,D2417&gt;E2417),"Erro","")</f>
        <v/>
      </c>
    </row>
    <row r="2418" spans="1:9" ht="20" hidden="1">
      <c r="A2418" s="345">
        <v>2863</v>
      </c>
      <c r="B2418" s="346" t="s">
        <v>620</v>
      </c>
      <c r="C2418" s="347">
        <v>110</v>
      </c>
      <c r="D2418" s="348">
        <v>45658</v>
      </c>
      <c r="E2418" s="348">
        <v>47058</v>
      </c>
      <c r="F2418" s="346" t="s">
        <v>613</v>
      </c>
      <c r="G2418" s="349" t="s">
        <v>662</v>
      </c>
      <c r="H2418" s="350">
        <f t="shared" si="49"/>
        <v>5170</v>
      </c>
      <c r="I2418" s="120" t="str">
        <f>IF(OR(D2418&lt;Capa!$A$5,D2418&gt;Capa!$A$7,E2418&lt;Capa!$A$5,E2418&gt;Capa!$A$7,D2418&gt;E2418),"Erro","")</f>
        <v/>
      </c>
    </row>
    <row r="2419" spans="1:9" ht="20" hidden="1">
      <c r="A2419" s="345">
        <v>2865</v>
      </c>
      <c r="B2419" s="346" t="s">
        <v>622</v>
      </c>
      <c r="C2419" s="347">
        <v>850</v>
      </c>
      <c r="D2419" s="348">
        <v>45658</v>
      </c>
      <c r="E2419" s="348">
        <v>47058</v>
      </c>
      <c r="F2419" s="346" t="s">
        <v>613</v>
      </c>
      <c r="G2419" s="349" t="s">
        <v>664</v>
      </c>
      <c r="H2419" s="350">
        <f t="shared" si="49"/>
        <v>39950</v>
      </c>
      <c r="I2419" s="120" t="str">
        <f>IF(OR(D2419&lt;Capa!$A$5,D2419&gt;Capa!$A$7,E2419&lt;Capa!$A$5,E2419&gt;Capa!$A$7,D2419&gt;E2419),"Erro","")</f>
        <v/>
      </c>
    </row>
    <row r="2420" spans="1:9" ht="30" hidden="1">
      <c r="A2420" s="345">
        <v>2866</v>
      </c>
      <c r="B2420" s="346" t="s">
        <v>617</v>
      </c>
      <c r="C2420" s="347">
        <v>200</v>
      </c>
      <c r="D2420" s="348">
        <v>45658</v>
      </c>
      <c r="E2420" s="348">
        <v>47058</v>
      </c>
      <c r="F2420" s="346" t="s">
        <v>613</v>
      </c>
      <c r="G2420" s="349" t="s">
        <v>639</v>
      </c>
      <c r="H2420" s="350">
        <f t="shared" si="49"/>
        <v>9400</v>
      </c>
      <c r="I2420" s="120" t="str">
        <f>IF(OR(D2420&lt;Capa!$A$5,D2420&gt;Capa!$A$7,E2420&lt;Capa!$A$5,E2420&gt;Capa!$A$7,D2420&gt;E2420),"Erro","")</f>
        <v/>
      </c>
    </row>
    <row r="2421" spans="1:9" ht="20" hidden="1">
      <c r="A2421" s="345">
        <v>2867</v>
      </c>
      <c r="B2421" s="346" t="s">
        <v>618</v>
      </c>
      <c r="C2421" s="347">
        <v>2500</v>
      </c>
      <c r="D2421" s="348">
        <v>45658</v>
      </c>
      <c r="E2421" s="348">
        <v>47058</v>
      </c>
      <c r="F2421" s="346" t="s">
        <v>613</v>
      </c>
      <c r="G2421" s="349" t="s">
        <v>682</v>
      </c>
      <c r="H2421" s="350">
        <f t="shared" si="49"/>
        <v>117500</v>
      </c>
      <c r="I2421" s="120" t="str">
        <f>IF(OR(D2421&lt;Capa!$A$5,D2421&gt;Capa!$A$7,E2421&lt;Capa!$A$5,E2421&gt;Capa!$A$7,D2421&gt;E2421),"Erro","")</f>
        <v/>
      </c>
    </row>
    <row r="2422" spans="1:9" ht="30" hidden="1">
      <c r="A2422" s="345">
        <v>2869</v>
      </c>
      <c r="B2422" s="346" t="s">
        <v>623</v>
      </c>
      <c r="C2422" s="347">
        <v>650</v>
      </c>
      <c r="D2422" s="348">
        <v>45658</v>
      </c>
      <c r="E2422" s="348">
        <v>46784</v>
      </c>
      <c r="F2422" s="346" t="s">
        <v>613</v>
      </c>
      <c r="G2422" s="349" t="s">
        <v>658</v>
      </c>
      <c r="H2422" s="350">
        <f t="shared" si="49"/>
        <v>24700</v>
      </c>
      <c r="I2422" s="120" t="str">
        <f>IF(OR(D2422&lt;Capa!$A$5,D2422&gt;Capa!$A$7,E2422&lt;Capa!$A$5,E2422&gt;Capa!$A$7,D2422&gt;E2422),"Erro","")</f>
        <v/>
      </c>
    </row>
    <row r="2423" spans="1:9" ht="20" hidden="1">
      <c r="A2423" s="345">
        <v>2870</v>
      </c>
      <c r="B2423" s="346" t="s">
        <v>625</v>
      </c>
      <c r="C2423" s="347">
        <v>90</v>
      </c>
      <c r="D2423" s="348">
        <v>45658</v>
      </c>
      <c r="E2423" s="348">
        <v>47058</v>
      </c>
      <c r="F2423" s="346" t="s">
        <v>613</v>
      </c>
      <c r="G2423" s="349" t="s">
        <v>659</v>
      </c>
      <c r="H2423" s="350">
        <f t="shared" si="49"/>
        <v>4230</v>
      </c>
      <c r="I2423" s="120" t="str">
        <f>IF(OR(D2423&lt;Capa!$A$5,D2423&gt;Capa!$A$7,E2423&lt;Capa!$A$5,E2423&gt;Capa!$A$7,D2423&gt;E2423),"Erro","")</f>
        <v/>
      </c>
    </row>
    <row r="2424" spans="1:9" ht="20" hidden="1">
      <c r="A2424" s="345">
        <v>2871</v>
      </c>
      <c r="B2424" s="346" t="s">
        <v>627</v>
      </c>
      <c r="C2424" s="347">
        <v>50</v>
      </c>
      <c r="D2424" s="348">
        <v>45658</v>
      </c>
      <c r="E2424" s="348">
        <v>47058</v>
      </c>
      <c r="F2424" s="346" t="s">
        <v>613</v>
      </c>
      <c r="G2424" s="349" t="s">
        <v>661</v>
      </c>
      <c r="H2424" s="350">
        <f t="shared" si="49"/>
        <v>2350</v>
      </c>
      <c r="I2424" s="120" t="str">
        <f>IF(OR(D2424&lt;Capa!$A$5,D2424&gt;Capa!$A$7,E2424&lt;Capa!$A$5,E2424&gt;Capa!$A$7,D2424&gt;E2424),"Erro","")</f>
        <v/>
      </c>
    </row>
    <row r="2425" spans="1:9" ht="30" hidden="1">
      <c r="A2425" s="345">
        <v>2872</v>
      </c>
      <c r="B2425" s="346" t="s">
        <v>626</v>
      </c>
      <c r="C2425" s="347">
        <v>350</v>
      </c>
      <c r="D2425" s="348">
        <v>45658</v>
      </c>
      <c r="E2425" s="348">
        <v>47058</v>
      </c>
      <c r="F2425" s="346" t="s">
        <v>613</v>
      </c>
      <c r="G2425" s="349" t="s">
        <v>660</v>
      </c>
      <c r="H2425" s="350">
        <f t="shared" si="49"/>
        <v>16450</v>
      </c>
      <c r="I2425" s="120" t="str">
        <f>IF(OR(D2425&lt;Capa!$A$5,D2425&gt;Capa!$A$7,E2425&lt;Capa!$A$5,E2425&gt;Capa!$A$7,D2425&gt;E2425),"Erro","")</f>
        <v/>
      </c>
    </row>
    <row r="2426" spans="1:9" ht="30" hidden="1">
      <c r="A2426" s="345">
        <v>2873</v>
      </c>
      <c r="B2426" s="346" t="s">
        <v>619</v>
      </c>
      <c r="C2426" s="347">
        <v>70</v>
      </c>
      <c r="D2426" s="348">
        <v>45658</v>
      </c>
      <c r="E2426" s="348">
        <v>47058</v>
      </c>
      <c r="F2426" s="346" t="s">
        <v>613</v>
      </c>
      <c r="G2426" s="349" t="s">
        <v>663</v>
      </c>
      <c r="H2426" s="350">
        <f t="shared" si="49"/>
        <v>3290</v>
      </c>
      <c r="I2426" s="120" t="str">
        <f>IF(OR(D2426&lt;Capa!$A$5,D2426&gt;Capa!$A$7,E2426&lt;Capa!$A$5,E2426&gt;Capa!$A$7,D2426&gt;E2426),"Erro","")</f>
        <v/>
      </c>
    </row>
    <row r="2427" spans="1:9" ht="20" hidden="1">
      <c r="A2427" s="345">
        <v>2875</v>
      </c>
      <c r="B2427" s="346" t="s">
        <v>198</v>
      </c>
      <c r="C2427" s="347">
        <v>5775</v>
      </c>
      <c r="D2427" s="348">
        <v>45658</v>
      </c>
      <c r="E2427" s="348">
        <v>45992</v>
      </c>
      <c r="F2427" s="346" t="s">
        <v>614</v>
      </c>
      <c r="G2427" s="349" t="s">
        <v>437</v>
      </c>
      <c r="H2427" s="350">
        <f t="shared" si="49"/>
        <v>69300</v>
      </c>
      <c r="I2427" s="120" t="str">
        <f>IF(OR(D2427&lt;Capa!$A$5,D2427&gt;Capa!$A$7,E2427&lt;Capa!$A$5,E2427&gt;Capa!$A$7,D2427&gt;E2427),"Erro","")</f>
        <v/>
      </c>
    </row>
    <row r="2428" spans="1:9" ht="20" hidden="1">
      <c r="A2428" s="345">
        <v>2876</v>
      </c>
      <c r="B2428" s="346" t="s">
        <v>198</v>
      </c>
      <c r="C2428" s="347">
        <v>6063.75</v>
      </c>
      <c r="D2428" s="348">
        <v>46023</v>
      </c>
      <c r="E2428" s="348">
        <v>46357</v>
      </c>
      <c r="F2428" s="346" t="s">
        <v>614</v>
      </c>
      <c r="G2428" s="349" t="s">
        <v>437</v>
      </c>
      <c r="H2428" s="350">
        <f t="shared" si="49"/>
        <v>72765</v>
      </c>
      <c r="I2428" s="120" t="str">
        <f>IF(OR(D2428&lt;Capa!$A$5,D2428&gt;Capa!$A$7,E2428&lt;Capa!$A$5,E2428&gt;Capa!$A$7,D2428&gt;E2428),"Erro","")</f>
        <v/>
      </c>
    </row>
    <row r="2429" spans="1:9" ht="20" hidden="1">
      <c r="A2429" s="345">
        <v>2877</v>
      </c>
      <c r="B2429" s="346" t="s">
        <v>198</v>
      </c>
      <c r="C2429" s="347">
        <v>6366.9375</v>
      </c>
      <c r="D2429" s="348">
        <v>46388</v>
      </c>
      <c r="E2429" s="348">
        <v>46722</v>
      </c>
      <c r="F2429" s="346" t="s">
        <v>614</v>
      </c>
      <c r="G2429" s="349" t="s">
        <v>437</v>
      </c>
      <c r="H2429" s="350">
        <f t="shared" si="49"/>
        <v>76403.25</v>
      </c>
      <c r="I2429" s="120" t="str">
        <f>IF(OR(D2429&lt;Capa!$A$5,D2429&gt;Capa!$A$7,E2429&lt;Capa!$A$5,E2429&gt;Capa!$A$7,D2429&gt;E2429),"Erro","")</f>
        <v/>
      </c>
    </row>
    <row r="2430" spans="1:9" ht="20" hidden="1">
      <c r="A2430" s="345">
        <v>2878</v>
      </c>
      <c r="B2430" s="346" t="s">
        <v>198</v>
      </c>
      <c r="C2430" s="347">
        <v>2000</v>
      </c>
      <c r="D2430" s="348">
        <v>46753</v>
      </c>
      <c r="E2430" s="348">
        <v>47058</v>
      </c>
      <c r="F2430" s="346" t="s">
        <v>614</v>
      </c>
      <c r="G2430" s="349" t="s">
        <v>437</v>
      </c>
      <c r="H2430" s="350">
        <f t="shared" si="49"/>
        <v>22000</v>
      </c>
      <c r="I2430" s="120" t="str">
        <f>IF(OR(D2430&lt;Capa!$A$5,D2430&gt;Capa!$A$7,E2430&lt;Capa!$A$5,E2430&gt;Capa!$A$7,D2430&gt;E2430),"Erro","")</f>
        <v/>
      </c>
    </row>
    <row r="2431" spans="1:9" ht="20" hidden="1">
      <c r="A2431" s="345">
        <v>2879</v>
      </c>
      <c r="B2431" s="346" t="s">
        <v>202</v>
      </c>
      <c r="C2431" s="347">
        <v>1500</v>
      </c>
      <c r="D2431" s="348">
        <v>45658</v>
      </c>
      <c r="E2431" s="348">
        <v>45717</v>
      </c>
      <c r="F2431" s="346" t="s">
        <v>614</v>
      </c>
      <c r="G2431" s="349" t="s">
        <v>438</v>
      </c>
      <c r="H2431" s="350">
        <f t="shared" si="49"/>
        <v>4500</v>
      </c>
      <c r="I2431" s="120" t="str">
        <f>IF(OR(D2431&lt;Capa!$A$5,D2431&gt;Capa!$A$7,E2431&lt;Capa!$A$5,E2431&gt;Capa!$A$7,D2431&gt;E2431),"Erro","")</f>
        <v/>
      </c>
    </row>
    <row r="2432" spans="1:9" ht="20" hidden="1">
      <c r="A2432" s="345">
        <v>2880</v>
      </c>
      <c r="B2432" s="346" t="s">
        <v>202</v>
      </c>
      <c r="C2432" s="347">
        <v>1300</v>
      </c>
      <c r="D2432" s="348">
        <v>46023</v>
      </c>
      <c r="E2432" s="348">
        <v>46082</v>
      </c>
      <c r="F2432" s="346" t="s">
        <v>614</v>
      </c>
      <c r="G2432" s="349" t="s">
        <v>438</v>
      </c>
      <c r="H2432" s="350">
        <f t="shared" si="49"/>
        <v>3900</v>
      </c>
      <c r="I2432" s="120" t="str">
        <f>IF(OR(D2432&lt;Capa!$A$5,D2432&gt;Capa!$A$7,E2432&lt;Capa!$A$5,E2432&gt;Capa!$A$7,D2432&gt;E2432),"Erro","")</f>
        <v/>
      </c>
    </row>
    <row r="2433" spans="1:9" ht="20" hidden="1">
      <c r="A2433" s="345">
        <v>2881</v>
      </c>
      <c r="B2433" s="346" t="s">
        <v>202</v>
      </c>
      <c r="C2433" s="347">
        <v>1300</v>
      </c>
      <c r="D2433" s="348">
        <v>46388</v>
      </c>
      <c r="E2433" s="348">
        <v>46447</v>
      </c>
      <c r="F2433" s="346" t="s">
        <v>614</v>
      </c>
      <c r="G2433" s="349" t="s">
        <v>438</v>
      </c>
      <c r="H2433" s="350">
        <f t="shared" si="49"/>
        <v>3900</v>
      </c>
      <c r="I2433" s="120" t="str">
        <f>IF(OR(D2433&lt;Capa!$A$5,D2433&gt;Capa!$A$7,E2433&lt;Capa!$A$5,E2433&gt;Capa!$A$7,D2433&gt;E2433),"Erro","")</f>
        <v/>
      </c>
    </row>
    <row r="2434" spans="1:9" ht="20" hidden="1">
      <c r="A2434" s="345">
        <v>2882</v>
      </c>
      <c r="B2434" s="346" t="s">
        <v>202</v>
      </c>
      <c r="C2434" s="347">
        <v>750</v>
      </c>
      <c r="D2434" s="348">
        <v>46753</v>
      </c>
      <c r="E2434" s="348">
        <v>46813</v>
      </c>
      <c r="F2434" s="346" t="s">
        <v>614</v>
      </c>
      <c r="G2434" s="349" t="s">
        <v>438</v>
      </c>
      <c r="H2434" s="350">
        <f t="shared" si="49"/>
        <v>2250</v>
      </c>
      <c r="I2434" s="120" t="str">
        <f>IF(OR(D2434&lt;Capa!$A$5,D2434&gt;Capa!$A$7,E2434&lt;Capa!$A$5,E2434&gt;Capa!$A$7,D2434&gt;E2434),"Erro","")</f>
        <v/>
      </c>
    </row>
    <row r="2435" spans="1:9" ht="20" hidden="1">
      <c r="A2435" s="345">
        <v>2883</v>
      </c>
      <c r="B2435" s="346" t="s">
        <v>204</v>
      </c>
      <c r="C2435" s="347">
        <v>1250</v>
      </c>
      <c r="D2435" s="348">
        <v>45658</v>
      </c>
      <c r="E2435" s="348">
        <v>45748</v>
      </c>
      <c r="F2435" s="346" t="s">
        <v>614</v>
      </c>
      <c r="G2435" s="349" t="s">
        <v>438</v>
      </c>
      <c r="H2435" s="350">
        <f t="shared" si="49"/>
        <v>5000</v>
      </c>
      <c r="I2435" s="120" t="str">
        <f>IF(OR(D2435&lt;Capa!$A$5,D2435&gt;Capa!$A$7,E2435&lt;Capa!$A$5,E2435&gt;Capa!$A$7,D2435&gt;E2435),"Erro","")</f>
        <v/>
      </c>
    </row>
    <row r="2436" spans="1:9" ht="20" hidden="1">
      <c r="A2436" s="345">
        <v>2884</v>
      </c>
      <c r="B2436" s="346" t="s">
        <v>204</v>
      </c>
      <c r="C2436" s="347">
        <v>1250</v>
      </c>
      <c r="D2436" s="348">
        <v>46023</v>
      </c>
      <c r="E2436" s="348">
        <v>46113</v>
      </c>
      <c r="F2436" s="346" t="s">
        <v>614</v>
      </c>
      <c r="G2436" s="349" t="s">
        <v>438</v>
      </c>
      <c r="H2436" s="350">
        <f t="shared" si="49"/>
        <v>5000</v>
      </c>
      <c r="I2436" s="120" t="str">
        <f>IF(OR(D2436&lt;Capa!$A$5,D2436&gt;Capa!$A$7,E2436&lt;Capa!$A$5,E2436&gt;Capa!$A$7,D2436&gt;E2436),"Erro","")</f>
        <v/>
      </c>
    </row>
    <row r="2437" spans="1:9" ht="20" hidden="1">
      <c r="A2437" s="345">
        <v>2885</v>
      </c>
      <c r="B2437" s="346" t="s">
        <v>204</v>
      </c>
      <c r="C2437" s="347">
        <v>1250</v>
      </c>
      <c r="D2437" s="348">
        <v>46388</v>
      </c>
      <c r="E2437" s="348">
        <v>46478</v>
      </c>
      <c r="F2437" s="346" t="s">
        <v>614</v>
      </c>
      <c r="G2437" s="349" t="s">
        <v>438</v>
      </c>
      <c r="H2437" s="350">
        <f t="shared" si="49"/>
        <v>5000</v>
      </c>
      <c r="I2437" s="120" t="str">
        <f>IF(OR(D2437&lt;Capa!$A$5,D2437&gt;Capa!$A$7,E2437&lt;Capa!$A$5,E2437&gt;Capa!$A$7,D2437&gt;E2437),"Erro","")</f>
        <v/>
      </c>
    </row>
    <row r="2438" spans="1:9" ht="20" hidden="1">
      <c r="A2438" s="345">
        <v>2886</v>
      </c>
      <c r="B2438" s="346" t="s">
        <v>204</v>
      </c>
      <c r="C2438" s="347">
        <v>780</v>
      </c>
      <c r="D2438" s="348">
        <v>46753</v>
      </c>
      <c r="E2438" s="348">
        <v>46844</v>
      </c>
      <c r="F2438" s="346" t="s">
        <v>614</v>
      </c>
      <c r="G2438" s="349" t="s">
        <v>438</v>
      </c>
      <c r="H2438" s="350">
        <f t="shared" si="49"/>
        <v>3120</v>
      </c>
      <c r="I2438" s="120" t="str">
        <f>IF(OR(D2438&lt;Capa!$A$5,D2438&gt;Capa!$A$7,E2438&lt;Capa!$A$5,E2438&gt;Capa!$A$7,D2438&gt;E2438),"Erro","")</f>
        <v/>
      </c>
    </row>
    <row r="2439" spans="1:9" ht="20" hidden="1">
      <c r="A2439" s="345">
        <v>2888</v>
      </c>
      <c r="B2439" s="346" t="s">
        <v>206</v>
      </c>
      <c r="C2439" s="347">
        <v>1100</v>
      </c>
      <c r="D2439" s="348">
        <v>45658</v>
      </c>
      <c r="E2439" s="348">
        <v>45992</v>
      </c>
      <c r="F2439" s="346" t="s">
        <v>614</v>
      </c>
      <c r="G2439" s="349" t="s">
        <v>439</v>
      </c>
      <c r="H2439" s="350">
        <f t="shared" si="49"/>
        <v>13200</v>
      </c>
      <c r="I2439" s="120" t="str">
        <f>IF(OR(D2439&lt;Capa!$A$5,D2439&gt;Capa!$A$7,E2439&lt;Capa!$A$5,E2439&gt;Capa!$A$7,D2439&gt;E2439),"Erro","")</f>
        <v/>
      </c>
    </row>
    <row r="2440" spans="1:9" ht="20" hidden="1">
      <c r="A2440" s="345">
        <v>2889</v>
      </c>
      <c r="B2440" s="346" t="s">
        <v>206</v>
      </c>
      <c r="C2440" s="347">
        <v>1100</v>
      </c>
      <c r="D2440" s="348">
        <v>46023</v>
      </c>
      <c r="E2440" s="348">
        <v>46357</v>
      </c>
      <c r="F2440" s="346" t="s">
        <v>614</v>
      </c>
      <c r="G2440" s="349" t="s">
        <v>439</v>
      </c>
      <c r="H2440" s="350">
        <f t="shared" si="49"/>
        <v>13200</v>
      </c>
      <c r="I2440" s="120" t="str">
        <f>IF(OR(D2440&lt;Capa!$A$5,D2440&gt;Capa!$A$7,E2440&lt;Capa!$A$5,E2440&gt;Capa!$A$7,D2440&gt;E2440),"Erro","")</f>
        <v/>
      </c>
    </row>
    <row r="2441" spans="1:9" ht="20" hidden="1">
      <c r="A2441" s="345">
        <v>2890</v>
      </c>
      <c r="B2441" s="346" t="s">
        <v>206</v>
      </c>
      <c r="C2441" s="347">
        <v>1100</v>
      </c>
      <c r="D2441" s="348">
        <v>46388</v>
      </c>
      <c r="E2441" s="348">
        <v>46722</v>
      </c>
      <c r="F2441" s="346" t="s">
        <v>614</v>
      </c>
      <c r="G2441" s="349" t="s">
        <v>439</v>
      </c>
      <c r="H2441" s="350">
        <f t="shared" si="49"/>
        <v>13200</v>
      </c>
      <c r="I2441" s="120" t="str">
        <f>IF(OR(D2441&lt;Capa!$A$5,D2441&gt;Capa!$A$7,E2441&lt;Capa!$A$5,E2441&gt;Capa!$A$7,D2441&gt;E2441),"Erro","")</f>
        <v/>
      </c>
    </row>
    <row r="2442" spans="1:9" ht="20" hidden="1">
      <c r="A2442" s="345">
        <v>2891</v>
      </c>
      <c r="B2442" s="346" t="s">
        <v>206</v>
      </c>
      <c r="C2442" s="347">
        <v>550</v>
      </c>
      <c r="D2442" s="348">
        <v>46753</v>
      </c>
      <c r="E2442" s="348">
        <v>47058</v>
      </c>
      <c r="F2442" s="346" t="s">
        <v>614</v>
      </c>
      <c r="G2442" s="349" t="s">
        <v>439</v>
      </c>
      <c r="H2442" s="350">
        <f t="shared" si="49"/>
        <v>6050</v>
      </c>
      <c r="I2442" s="120" t="str">
        <f>IF(OR(D2442&lt;Capa!$A$5,D2442&gt;Capa!$A$7,E2442&lt;Capa!$A$5,E2442&gt;Capa!$A$7,D2442&gt;E2442),"Erro","")</f>
        <v/>
      </c>
    </row>
    <row r="2443" spans="1:9" ht="20" hidden="1">
      <c r="A2443" s="345">
        <v>2893</v>
      </c>
      <c r="B2443" s="346" t="s">
        <v>208</v>
      </c>
      <c r="C2443" s="347">
        <v>1000</v>
      </c>
      <c r="D2443" s="348">
        <v>45658</v>
      </c>
      <c r="E2443" s="348">
        <v>45992</v>
      </c>
      <c r="F2443" s="346" t="s">
        <v>614</v>
      </c>
      <c r="G2443" s="349" t="s">
        <v>439</v>
      </c>
      <c r="H2443" s="350">
        <f t="shared" si="49"/>
        <v>12000</v>
      </c>
      <c r="I2443" s="120" t="str">
        <f>IF(OR(D2443&lt;Capa!$A$5,D2443&gt;Capa!$A$7,E2443&lt;Capa!$A$5,E2443&gt;Capa!$A$7,D2443&gt;E2443),"Erro","")</f>
        <v/>
      </c>
    </row>
    <row r="2444" spans="1:9" ht="20" hidden="1">
      <c r="A2444" s="345">
        <v>2894</v>
      </c>
      <c r="B2444" s="346" t="s">
        <v>208</v>
      </c>
      <c r="C2444" s="347">
        <v>1000</v>
      </c>
      <c r="D2444" s="348">
        <v>46023</v>
      </c>
      <c r="E2444" s="348">
        <v>46357</v>
      </c>
      <c r="F2444" s="346" t="s">
        <v>614</v>
      </c>
      <c r="G2444" s="349" t="s">
        <v>439</v>
      </c>
      <c r="H2444" s="350">
        <f t="shared" si="49"/>
        <v>12000</v>
      </c>
      <c r="I2444" s="120" t="str">
        <f>IF(OR(D2444&lt;Capa!$A$5,D2444&gt;Capa!$A$7,E2444&lt;Capa!$A$5,E2444&gt;Capa!$A$7,D2444&gt;E2444),"Erro","")</f>
        <v/>
      </c>
    </row>
    <row r="2445" spans="1:9" ht="20" hidden="1">
      <c r="A2445" s="345">
        <v>2895</v>
      </c>
      <c r="B2445" s="346" t="s">
        <v>208</v>
      </c>
      <c r="C2445" s="347">
        <v>1000</v>
      </c>
      <c r="D2445" s="348">
        <v>46388</v>
      </c>
      <c r="E2445" s="348">
        <v>46722</v>
      </c>
      <c r="F2445" s="346" t="s">
        <v>614</v>
      </c>
      <c r="G2445" s="349" t="s">
        <v>439</v>
      </c>
      <c r="H2445" s="350">
        <f t="shared" si="49"/>
        <v>12000</v>
      </c>
      <c r="I2445" s="120" t="str">
        <f>IF(OR(D2445&lt;Capa!$A$5,D2445&gt;Capa!$A$7,E2445&lt;Capa!$A$5,E2445&gt;Capa!$A$7,D2445&gt;E2445),"Erro","")</f>
        <v/>
      </c>
    </row>
    <row r="2446" spans="1:9" ht="20" hidden="1">
      <c r="A2446" s="345">
        <v>2896</v>
      </c>
      <c r="B2446" s="346" t="s">
        <v>208</v>
      </c>
      <c r="C2446" s="347">
        <v>500</v>
      </c>
      <c r="D2446" s="348">
        <v>46753</v>
      </c>
      <c r="E2446" s="348">
        <v>47058</v>
      </c>
      <c r="F2446" s="346" t="s">
        <v>614</v>
      </c>
      <c r="G2446" s="349" t="s">
        <v>439</v>
      </c>
      <c r="H2446" s="350">
        <f t="shared" si="49"/>
        <v>5500</v>
      </c>
      <c r="I2446" s="120" t="str">
        <f>IF(OR(D2446&lt;Capa!$A$5,D2446&gt;Capa!$A$7,E2446&lt;Capa!$A$5,E2446&gt;Capa!$A$7,D2446&gt;E2446),"Erro","")</f>
        <v/>
      </c>
    </row>
    <row r="2447" spans="1:9" ht="20" hidden="1">
      <c r="A2447" s="345">
        <v>2898</v>
      </c>
      <c r="B2447" s="346" t="s">
        <v>210</v>
      </c>
      <c r="C2447" s="347">
        <v>60</v>
      </c>
      <c r="D2447" s="348">
        <v>45658</v>
      </c>
      <c r="E2447" s="348">
        <v>45992</v>
      </c>
      <c r="F2447" s="346" t="s">
        <v>614</v>
      </c>
      <c r="G2447" s="349" t="s">
        <v>439</v>
      </c>
      <c r="H2447" s="350">
        <f t="shared" si="49"/>
        <v>720</v>
      </c>
      <c r="I2447" s="120" t="str">
        <f>IF(OR(D2447&lt;Capa!$A$5,D2447&gt;Capa!$A$7,E2447&lt;Capa!$A$5,E2447&gt;Capa!$A$7,D2447&gt;E2447),"Erro","")</f>
        <v/>
      </c>
    </row>
    <row r="2448" spans="1:9" ht="20" hidden="1">
      <c r="A2448" s="345">
        <v>2899</v>
      </c>
      <c r="B2448" s="346" t="s">
        <v>210</v>
      </c>
      <c r="C2448" s="347">
        <v>60</v>
      </c>
      <c r="D2448" s="348">
        <v>46023</v>
      </c>
      <c r="E2448" s="348">
        <v>46357</v>
      </c>
      <c r="F2448" s="346" t="s">
        <v>614</v>
      </c>
      <c r="G2448" s="349" t="s">
        <v>439</v>
      </c>
      <c r="H2448" s="350">
        <f t="shared" si="49"/>
        <v>720</v>
      </c>
      <c r="I2448" s="120" t="str">
        <f>IF(OR(D2448&lt;Capa!$A$5,D2448&gt;Capa!$A$7,E2448&lt;Capa!$A$5,E2448&gt;Capa!$A$7,D2448&gt;E2448),"Erro","")</f>
        <v/>
      </c>
    </row>
    <row r="2449" spans="1:9" ht="20" hidden="1">
      <c r="A2449" s="345">
        <v>2900</v>
      </c>
      <c r="B2449" s="346" t="s">
        <v>210</v>
      </c>
      <c r="C2449" s="347">
        <v>60</v>
      </c>
      <c r="D2449" s="348">
        <v>46388</v>
      </c>
      <c r="E2449" s="348">
        <v>46722</v>
      </c>
      <c r="F2449" s="346" t="s">
        <v>614</v>
      </c>
      <c r="G2449" s="349" t="s">
        <v>439</v>
      </c>
      <c r="H2449" s="350">
        <f t="shared" si="49"/>
        <v>720</v>
      </c>
      <c r="I2449" s="120" t="str">
        <f>IF(OR(D2449&lt;Capa!$A$5,D2449&gt;Capa!$A$7,E2449&lt;Capa!$A$5,E2449&gt;Capa!$A$7,D2449&gt;E2449),"Erro","")</f>
        <v/>
      </c>
    </row>
    <row r="2450" spans="1:9" ht="20" hidden="1">
      <c r="A2450" s="345">
        <v>2901</v>
      </c>
      <c r="B2450" s="346" t="s">
        <v>210</v>
      </c>
      <c r="C2450" s="347">
        <v>49</v>
      </c>
      <c r="D2450" s="348">
        <v>46753</v>
      </c>
      <c r="E2450" s="348">
        <v>47058</v>
      </c>
      <c r="F2450" s="346" t="s">
        <v>614</v>
      </c>
      <c r="G2450" s="349" t="s">
        <v>439</v>
      </c>
      <c r="H2450" s="350">
        <f t="shared" si="49"/>
        <v>539</v>
      </c>
      <c r="I2450" s="120" t="str">
        <f>IF(OR(D2450&lt;Capa!$A$5,D2450&gt;Capa!$A$7,E2450&lt;Capa!$A$5,E2450&gt;Capa!$A$7,D2450&gt;E2450),"Erro","")</f>
        <v/>
      </c>
    </row>
    <row r="2451" spans="1:9" ht="20" hidden="1">
      <c r="A2451" s="345">
        <v>2903</v>
      </c>
      <c r="B2451" s="346" t="s">
        <v>214</v>
      </c>
      <c r="C2451" s="347">
        <v>140</v>
      </c>
      <c r="D2451" s="348">
        <v>45658</v>
      </c>
      <c r="E2451" s="348">
        <v>45992</v>
      </c>
      <c r="F2451" s="346" t="s">
        <v>614</v>
      </c>
      <c r="G2451" s="349" t="s">
        <v>439</v>
      </c>
      <c r="H2451" s="350">
        <f t="shared" si="49"/>
        <v>1680</v>
      </c>
      <c r="I2451" s="120" t="str">
        <f>IF(OR(D2451&lt;Capa!$A$5,D2451&gt;Capa!$A$7,E2451&lt;Capa!$A$5,E2451&gt;Capa!$A$7,D2451&gt;E2451),"Erro","")</f>
        <v/>
      </c>
    </row>
    <row r="2452" spans="1:9" ht="20" hidden="1">
      <c r="A2452" s="345">
        <v>2904</v>
      </c>
      <c r="B2452" s="346" t="s">
        <v>214</v>
      </c>
      <c r="C2452" s="347">
        <v>140</v>
      </c>
      <c r="D2452" s="348">
        <v>46023</v>
      </c>
      <c r="E2452" s="348">
        <v>46357</v>
      </c>
      <c r="F2452" s="346" t="s">
        <v>614</v>
      </c>
      <c r="G2452" s="349" t="s">
        <v>439</v>
      </c>
      <c r="H2452" s="350">
        <f t="shared" si="49"/>
        <v>1680</v>
      </c>
      <c r="I2452" s="120" t="str">
        <f>IF(OR(D2452&lt;Capa!$A$5,D2452&gt;Capa!$A$7,E2452&lt;Capa!$A$5,E2452&gt;Capa!$A$7,D2452&gt;E2452),"Erro","")</f>
        <v/>
      </c>
    </row>
    <row r="2453" spans="1:9" ht="20" hidden="1">
      <c r="A2453" s="345">
        <v>2905</v>
      </c>
      <c r="B2453" s="346" t="s">
        <v>214</v>
      </c>
      <c r="C2453" s="347">
        <v>140</v>
      </c>
      <c r="D2453" s="348">
        <v>46388</v>
      </c>
      <c r="E2453" s="348">
        <v>46722</v>
      </c>
      <c r="F2453" s="346" t="s">
        <v>614</v>
      </c>
      <c r="G2453" s="349" t="s">
        <v>439</v>
      </c>
      <c r="H2453" s="350">
        <f t="shared" si="49"/>
        <v>1680</v>
      </c>
      <c r="I2453" s="120" t="str">
        <f>IF(OR(D2453&lt;Capa!$A$5,D2453&gt;Capa!$A$7,E2453&lt;Capa!$A$5,E2453&gt;Capa!$A$7,D2453&gt;E2453),"Erro","")</f>
        <v/>
      </c>
    </row>
    <row r="2454" spans="1:9" ht="20" hidden="1">
      <c r="A2454" s="345">
        <v>2906</v>
      </c>
      <c r="B2454" s="346" t="s">
        <v>214</v>
      </c>
      <c r="C2454" s="347">
        <v>70</v>
      </c>
      <c r="D2454" s="348">
        <v>46753</v>
      </c>
      <c r="E2454" s="348">
        <v>47058</v>
      </c>
      <c r="F2454" s="346" t="s">
        <v>614</v>
      </c>
      <c r="G2454" s="349" t="s">
        <v>439</v>
      </c>
      <c r="H2454" s="350">
        <f t="shared" si="49"/>
        <v>770</v>
      </c>
      <c r="I2454" s="120" t="str">
        <f>IF(OR(D2454&lt;Capa!$A$5,D2454&gt;Capa!$A$7,E2454&lt;Capa!$A$5,E2454&gt;Capa!$A$7,D2454&gt;E2454),"Erro","")</f>
        <v/>
      </c>
    </row>
    <row r="2455" spans="1:9" ht="50" hidden="1">
      <c r="A2455" s="345">
        <v>2908</v>
      </c>
      <c r="B2455" s="346" t="s">
        <v>212</v>
      </c>
      <c r="C2455" s="347">
        <v>260</v>
      </c>
      <c r="D2455" s="348">
        <v>45658</v>
      </c>
      <c r="E2455" s="348">
        <v>45992</v>
      </c>
      <c r="F2455" s="346" t="s">
        <v>614</v>
      </c>
      <c r="G2455" s="349" t="s">
        <v>495</v>
      </c>
      <c r="H2455" s="350">
        <f t="shared" si="49"/>
        <v>3120</v>
      </c>
      <c r="I2455" s="120" t="str">
        <f>IF(OR(D2455&lt;Capa!$A$5,D2455&gt;Capa!$A$7,E2455&lt;Capa!$A$5,E2455&gt;Capa!$A$7,D2455&gt;E2455),"Erro","")</f>
        <v/>
      </c>
    </row>
    <row r="2456" spans="1:9" ht="50" hidden="1">
      <c r="A2456" s="345">
        <v>2909</v>
      </c>
      <c r="B2456" s="346" t="s">
        <v>212</v>
      </c>
      <c r="C2456" s="347">
        <v>260</v>
      </c>
      <c r="D2456" s="348">
        <v>46023</v>
      </c>
      <c r="E2456" s="348">
        <v>46357</v>
      </c>
      <c r="F2456" s="346" t="s">
        <v>614</v>
      </c>
      <c r="G2456" s="349" t="s">
        <v>495</v>
      </c>
      <c r="H2456" s="350">
        <f t="shared" si="49"/>
        <v>3120</v>
      </c>
      <c r="I2456" s="120" t="str">
        <f>IF(OR(D2456&lt;Capa!$A$5,D2456&gt;Capa!$A$7,E2456&lt;Capa!$A$5,E2456&gt;Capa!$A$7,D2456&gt;E2456),"Erro","")</f>
        <v/>
      </c>
    </row>
    <row r="2457" spans="1:9" ht="50" hidden="1">
      <c r="A2457" s="345">
        <v>2910</v>
      </c>
      <c r="B2457" s="346" t="s">
        <v>212</v>
      </c>
      <c r="C2457" s="347">
        <v>260</v>
      </c>
      <c r="D2457" s="348">
        <v>46388</v>
      </c>
      <c r="E2457" s="348">
        <v>46722</v>
      </c>
      <c r="F2457" s="346" t="s">
        <v>614</v>
      </c>
      <c r="G2457" s="349" t="s">
        <v>495</v>
      </c>
      <c r="H2457" s="350">
        <f t="shared" si="49"/>
        <v>3120</v>
      </c>
      <c r="I2457" s="120" t="str">
        <f>IF(OR(D2457&lt;Capa!$A$5,D2457&gt;Capa!$A$7,E2457&lt;Capa!$A$5,E2457&gt;Capa!$A$7,D2457&gt;E2457),"Erro","")</f>
        <v/>
      </c>
    </row>
    <row r="2458" spans="1:9" ht="50" hidden="1">
      <c r="A2458" s="345">
        <v>2911</v>
      </c>
      <c r="B2458" s="346" t="s">
        <v>212</v>
      </c>
      <c r="C2458" s="347">
        <v>220</v>
      </c>
      <c r="D2458" s="348">
        <v>46753</v>
      </c>
      <c r="E2458" s="348">
        <v>47058</v>
      </c>
      <c r="F2458" s="346" t="s">
        <v>614</v>
      </c>
      <c r="G2458" s="349" t="s">
        <v>495</v>
      </c>
      <c r="H2458" s="350">
        <f t="shared" si="49"/>
        <v>2420</v>
      </c>
      <c r="I2458" s="120" t="str">
        <f>IF(OR(D2458&lt;Capa!$A$5,D2458&gt;Capa!$A$7,E2458&lt;Capa!$A$5,E2458&gt;Capa!$A$7,D2458&gt;E2458),"Erro","")</f>
        <v/>
      </c>
    </row>
    <row r="2459" spans="1:9" ht="40" hidden="1">
      <c r="A2459" s="345">
        <v>2912</v>
      </c>
      <c r="B2459" s="346" t="s">
        <v>248</v>
      </c>
      <c r="C2459" s="347">
        <v>846</v>
      </c>
      <c r="D2459" s="348">
        <v>45658</v>
      </c>
      <c r="E2459" s="348">
        <v>45809</v>
      </c>
      <c r="F2459" s="346" t="s">
        <v>614</v>
      </c>
      <c r="G2459" s="349" t="s">
        <v>440</v>
      </c>
      <c r="H2459" s="350">
        <f t="shared" si="49"/>
        <v>5076</v>
      </c>
      <c r="I2459" s="120" t="str">
        <f>IF(OR(D2459&lt;Capa!$A$5,D2459&gt;Capa!$A$7,E2459&lt;Capa!$A$5,E2459&gt;Capa!$A$7,D2459&gt;E2459),"Erro","")</f>
        <v/>
      </c>
    </row>
    <row r="2460" spans="1:9" ht="40" hidden="1">
      <c r="A2460" s="345">
        <v>2913</v>
      </c>
      <c r="B2460" s="346" t="s">
        <v>248</v>
      </c>
      <c r="C2460" s="347">
        <v>846</v>
      </c>
      <c r="D2460" s="348">
        <v>46023</v>
      </c>
      <c r="E2460" s="348">
        <v>46174</v>
      </c>
      <c r="F2460" s="346" t="s">
        <v>614</v>
      </c>
      <c r="G2460" s="349" t="s">
        <v>440</v>
      </c>
      <c r="H2460" s="350">
        <f t="shared" si="49"/>
        <v>5076</v>
      </c>
      <c r="I2460" s="120" t="str">
        <f>IF(OR(D2460&lt;Capa!$A$5,D2460&gt;Capa!$A$7,E2460&lt;Capa!$A$5,E2460&gt;Capa!$A$7,D2460&gt;E2460),"Erro","")</f>
        <v/>
      </c>
    </row>
    <row r="2461" spans="1:9" ht="40" hidden="1">
      <c r="A2461" s="345">
        <v>2914</v>
      </c>
      <c r="B2461" s="346" t="s">
        <v>248</v>
      </c>
      <c r="C2461" s="347">
        <v>846</v>
      </c>
      <c r="D2461" s="348">
        <v>46388</v>
      </c>
      <c r="E2461" s="348">
        <v>46539</v>
      </c>
      <c r="F2461" s="346" t="s">
        <v>614</v>
      </c>
      <c r="G2461" s="349" t="s">
        <v>440</v>
      </c>
      <c r="H2461" s="350">
        <f t="shared" ref="H2461:H2511" si="50">IFERROR((DATEDIF(D2461,E2461,"M")+1)*C2461,0)</f>
        <v>5076</v>
      </c>
      <c r="I2461" s="120" t="str">
        <f>IF(OR(D2461&lt;Capa!$A$5,D2461&gt;Capa!$A$7,E2461&lt;Capa!$A$5,E2461&gt;Capa!$A$7,D2461&gt;E2461),"Erro","")</f>
        <v/>
      </c>
    </row>
    <row r="2462" spans="1:9" ht="40" hidden="1">
      <c r="A2462" s="345">
        <v>2915</v>
      </c>
      <c r="B2462" s="346" t="s">
        <v>248</v>
      </c>
      <c r="C2462" s="347">
        <v>500</v>
      </c>
      <c r="D2462" s="348">
        <v>46753</v>
      </c>
      <c r="E2462" s="348">
        <v>46905</v>
      </c>
      <c r="F2462" s="346" t="s">
        <v>614</v>
      </c>
      <c r="G2462" s="349" t="s">
        <v>440</v>
      </c>
      <c r="H2462" s="350">
        <f t="shared" si="50"/>
        <v>3000</v>
      </c>
      <c r="I2462" s="120" t="str">
        <f>IF(OR(D2462&lt;Capa!$A$5,D2462&gt;Capa!$A$7,E2462&lt;Capa!$A$5,E2462&gt;Capa!$A$7,D2462&gt;E2462),"Erro","")</f>
        <v/>
      </c>
    </row>
    <row r="2463" spans="1:9" ht="30" hidden="1">
      <c r="A2463" s="345">
        <v>2916</v>
      </c>
      <c r="B2463" s="346" t="s">
        <v>266</v>
      </c>
      <c r="C2463" s="347">
        <v>1500</v>
      </c>
      <c r="D2463" s="348">
        <v>45658</v>
      </c>
      <c r="E2463" s="348">
        <v>45658</v>
      </c>
      <c r="F2463" s="346" t="s">
        <v>614</v>
      </c>
      <c r="G2463" s="349" t="s">
        <v>441</v>
      </c>
      <c r="H2463" s="350">
        <f t="shared" si="50"/>
        <v>1500</v>
      </c>
      <c r="I2463" s="120" t="str">
        <f>IF(OR(D2463&lt;Capa!$A$5,D2463&gt;Capa!$A$7,E2463&lt;Capa!$A$5,E2463&gt;Capa!$A$7,D2463&gt;E2463),"Erro","")</f>
        <v/>
      </c>
    </row>
    <row r="2464" spans="1:9" ht="30" hidden="1">
      <c r="A2464" s="345">
        <v>2917</v>
      </c>
      <c r="B2464" s="346" t="s">
        <v>266</v>
      </c>
      <c r="C2464" s="347">
        <v>1500</v>
      </c>
      <c r="D2464" s="348">
        <v>46023</v>
      </c>
      <c r="E2464" s="348">
        <v>46023</v>
      </c>
      <c r="F2464" s="346" t="s">
        <v>614</v>
      </c>
      <c r="G2464" s="349" t="s">
        <v>441</v>
      </c>
      <c r="H2464" s="350">
        <f t="shared" si="50"/>
        <v>1500</v>
      </c>
      <c r="I2464" s="120" t="str">
        <f>IF(OR(D2464&lt;Capa!$A$5,D2464&gt;Capa!$A$7,E2464&lt;Capa!$A$5,E2464&gt;Capa!$A$7,D2464&gt;E2464),"Erro","")</f>
        <v/>
      </c>
    </row>
    <row r="2465" spans="1:9" ht="30" hidden="1">
      <c r="A2465" s="345">
        <v>2918</v>
      </c>
      <c r="B2465" s="346" t="s">
        <v>266</v>
      </c>
      <c r="C2465" s="347">
        <v>1500</v>
      </c>
      <c r="D2465" s="348">
        <v>46388</v>
      </c>
      <c r="E2465" s="348">
        <v>46388</v>
      </c>
      <c r="F2465" s="346" t="s">
        <v>614</v>
      </c>
      <c r="G2465" s="349" t="s">
        <v>441</v>
      </c>
      <c r="H2465" s="350">
        <f t="shared" si="50"/>
        <v>1500</v>
      </c>
      <c r="I2465" s="120" t="str">
        <f>IF(OR(D2465&lt;Capa!$A$5,D2465&gt;Capa!$A$7,E2465&lt;Capa!$A$5,E2465&gt;Capa!$A$7,D2465&gt;E2465),"Erro","")</f>
        <v/>
      </c>
    </row>
    <row r="2466" spans="1:9" ht="30" hidden="1">
      <c r="A2466" s="345">
        <v>2919</v>
      </c>
      <c r="B2466" s="346" t="s">
        <v>266</v>
      </c>
      <c r="C2466" s="347">
        <v>750</v>
      </c>
      <c r="D2466" s="348">
        <v>46753</v>
      </c>
      <c r="E2466" s="348">
        <v>46753</v>
      </c>
      <c r="F2466" s="346" t="s">
        <v>614</v>
      </c>
      <c r="G2466" s="349" t="s">
        <v>441</v>
      </c>
      <c r="H2466" s="350">
        <f t="shared" si="50"/>
        <v>750</v>
      </c>
      <c r="I2466" s="120" t="str">
        <f>IF(OR(D2466&lt;Capa!$A$5,D2466&gt;Capa!$A$7,E2466&lt;Capa!$A$5,E2466&gt;Capa!$A$7,D2466&gt;E2466),"Erro","")</f>
        <v/>
      </c>
    </row>
    <row r="2467" spans="1:9" hidden="1">
      <c r="A2467" s="345">
        <v>2921</v>
      </c>
      <c r="B2467" s="346" t="s">
        <v>274</v>
      </c>
      <c r="C2467" s="347">
        <v>850</v>
      </c>
      <c r="D2467" s="348">
        <v>45658</v>
      </c>
      <c r="E2467" s="348">
        <v>45992</v>
      </c>
      <c r="F2467" s="346" t="s">
        <v>614</v>
      </c>
      <c r="G2467" s="349" t="s">
        <v>442</v>
      </c>
      <c r="H2467" s="350">
        <f t="shared" si="50"/>
        <v>10200</v>
      </c>
      <c r="I2467" s="120" t="str">
        <f>IF(OR(D2467&lt;Capa!$A$5,D2467&gt;Capa!$A$7,E2467&lt;Capa!$A$5,E2467&gt;Capa!$A$7,D2467&gt;E2467),"Erro","")</f>
        <v/>
      </c>
    </row>
    <row r="2468" spans="1:9" hidden="1">
      <c r="A2468" s="345">
        <v>2922</v>
      </c>
      <c r="B2468" s="346" t="s">
        <v>274</v>
      </c>
      <c r="C2468" s="347">
        <v>850</v>
      </c>
      <c r="D2468" s="348">
        <v>46023</v>
      </c>
      <c r="E2468" s="348">
        <v>46357</v>
      </c>
      <c r="F2468" s="346" t="s">
        <v>614</v>
      </c>
      <c r="G2468" s="349" t="s">
        <v>442</v>
      </c>
      <c r="H2468" s="350">
        <f t="shared" si="50"/>
        <v>10200</v>
      </c>
      <c r="I2468" s="120" t="str">
        <f>IF(OR(D2468&lt;Capa!$A$5,D2468&gt;Capa!$A$7,E2468&lt;Capa!$A$5,E2468&gt;Capa!$A$7,D2468&gt;E2468),"Erro","")</f>
        <v/>
      </c>
    </row>
    <row r="2469" spans="1:9" hidden="1">
      <c r="A2469" s="345">
        <v>2923</v>
      </c>
      <c r="B2469" s="346" t="s">
        <v>274</v>
      </c>
      <c r="C2469" s="347">
        <v>850</v>
      </c>
      <c r="D2469" s="348">
        <v>46388</v>
      </c>
      <c r="E2469" s="348">
        <v>46722</v>
      </c>
      <c r="F2469" s="346" t="s">
        <v>614</v>
      </c>
      <c r="G2469" s="349" t="s">
        <v>442</v>
      </c>
      <c r="H2469" s="350">
        <f t="shared" si="50"/>
        <v>10200</v>
      </c>
      <c r="I2469" s="120" t="str">
        <f>IF(OR(D2469&lt;Capa!$A$5,D2469&gt;Capa!$A$7,E2469&lt;Capa!$A$5,E2469&gt;Capa!$A$7,D2469&gt;E2469),"Erro","")</f>
        <v/>
      </c>
    </row>
    <row r="2470" spans="1:9" hidden="1">
      <c r="A2470" s="345">
        <v>2924</v>
      </c>
      <c r="B2470" s="346" t="s">
        <v>274</v>
      </c>
      <c r="C2470" s="347">
        <v>450</v>
      </c>
      <c r="D2470" s="348">
        <v>46753</v>
      </c>
      <c r="E2470" s="348">
        <v>47058</v>
      </c>
      <c r="F2470" s="346" t="s">
        <v>614</v>
      </c>
      <c r="G2470" s="349" t="s">
        <v>442</v>
      </c>
      <c r="H2470" s="350">
        <f t="shared" si="50"/>
        <v>4950</v>
      </c>
      <c r="I2470" s="120" t="str">
        <f>IF(OR(D2470&lt;Capa!$A$5,D2470&gt;Capa!$A$7,E2470&lt;Capa!$A$5,E2470&gt;Capa!$A$7,D2470&gt;E2470),"Erro","")</f>
        <v/>
      </c>
    </row>
    <row r="2471" spans="1:9" ht="40" hidden="1">
      <c r="A2471" s="345">
        <v>2926</v>
      </c>
      <c r="B2471" s="346" t="s">
        <v>236</v>
      </c>
      <c r="C2471" s="347">
        <v>450</v>
      </c>
      <c r="D2471" s="348">
        <v>45658</v>
      </c>
      <c r="E2471" s="348">
        <v>45992</v>
      </c>
      <c r="F2471" s="346" t="s">
        <v>614</v>
      </c>
      <c r="G2471" s="349" t="s">
        <v>443</v>
      </c>
      <c r="H2471" s="350">
        <f t="shared" si="50"/>
        <v>5400</v>
      </c>
      <c r="I2471" s="120" t="str">
        <f>IF(OR(D2471&lt;Capa!$A$5,D2471&gt;Capa!$A$7,E2471&lt;Capa!$A$5,E2471&gt;Capa!$A$7,D2471&gt;E2471),"Erro","")</f>
        <v/>
      </c>
    </row>
    <row r="2472" spans="1:9" ht="40" hidden="1">
      <c r="A2472" s="345">
        <v>2927</v>
      </c>
      <c r="B2472" s="346" t="s">
        <v>236</v>
      </c>
      <c r="C2472" s="347">
        <v>450</v>
      </c>
      <c r="D2472" s="348">
        <v>46023</v>
      </c>
      <c r="E2472" s="348">
        <v>46357</v>
      </c>
      <c r="F2472" s="346" t="s">
        <v>614</v>
      </c>
      <c r="G2472" s="349" t="s">
        <v>443</v>
      </c>
      <c r="H2472" s="350">
        <f t="shared" si="50"/>
        <v>5400</v>
      </c>
      <c r="I2472" s="120" t="str">
        <f>IF(OR(D2472&lt;Capa!$A$5,D2472&gt;Capa!$A$7,E2472&lt;Capa!$A$5,E2472&gt;Capa!$A$7,D2472&gt;E2472),"Erro","")</f>
        <v/>
      </c>
    </row>
    <row r="2473" spans="1:9" ht="40" hidden="1">
      <c r="A2473" s="345">
        <v>2928</v>
      </c>
      <c r="B2473" s="346" t="s">
        <v>236</v>
      </c>
      <c r="C2473" s="347">
        <v>450</v>
      </c>
      <c r="D2473" s="348">
        <v>46388</v>
      </c>
      <c r="E2473" s="348">
        <v>46722</v>
      </c>
      <c r="F2473" s="346" t="s">
        <v>614</v>
      </c>
      <c r="G2473" s="349" t="s">
        <v>443</v>
      </c>
      <c r="H2473" s="350">
        <f t="shared" si="50"/>
        <v>5400</v>
      </c>
      <c r="I2473" s="120" t="str">
        <f>IF(OR(D2473&lt;Capa!$A$5,D2473&gt;Capa!$A$7,E2473&lt;Capa!$A$5,E2473&gt;Capa!$A$7,D2473&gt;E2473),"Erro","")</f>
        <v/>
      </c>
    </row>
    <row r="2474" spans="1:9" ht="40" hidden="1">
      <c r="A2474" s="345">
        <v>2929</v>
      </c>
      <c r="B2474" s="346" t="s">
        <v>236</v>
      </c>
      <c r="C2474" s="347">
        <v>200</v>
      </c>
      <c r="D2474" s="348">
        <v>46753</v>
      </c>
      <c r="E2474" s="348">
        <v>47058</v>
      </c>
      <c r="F2474" s="346" t="s">
        <v>614</v>
      </c>
      <c r="G2474" s="349" t="s">
        <v>443</v>
      </c>
      <c r="H2474" s="350">
        <f t="shared" si="50"/>
        <v>2200</v>
      </c>
      <c r="I2474" s="120" t="str">
        <f>IF(OR(D2474&lt;Capa!$A$5,D2474&gt;Capa!$A$7,E2474&lt;Capa!$A$5,E2474&gt;Capa!$A$7,D2474&gt;E2474),"Erro","")</f>
        <v/>
      </c>
    </row>
    <row r="2475" spans="1:9" ht="30" hidden="1">
      <c r="A2475" s="345">
        <v>2931</v>
      </c>
      <c r="B2475" s="346" t="s">
        <v>240</v>
      </c>
      <c r="C2475" s="347">
        <v>50</v>
      </c>
      <c r="D2475" s="348">
        <v>45658</v>
      </c>
      <c r="E2475" s="348">
        <v>45992</v>
      </c>
      <c r="F2475" s="346" t="s">
        <v>614</v>
      </c>
      <c r="G2475" s="349" t="s">
        <v>444</v>
      </c>
      <c r="H2475" s="350">
        <f t="shared" si="50"/>
        <v>600</v>
      </c>
      <c r="I2475" s="120" t="str">
        <f>IF(OR(D2475&lt;Capa!$A$5,D2475&gt;Capa!$A$7,E2475&lt;Capa!$A$5,E2475&gt;Capa!$A$7,D2475&gt;E2475),"Erro","")</f>
        <v/>
      </c>
    </row>
    <row r="2476" spans="1:9" ht="30" hidden="1">
      <c r="A2476" s="345">
        <v>2932</v>
      </c>
      <c r="B2476" s="346" t="s">
        <v>240</v>
      </c>
      <c r="C2476" s="347">
        <v>50</v>
      </c>
      <c r="D2476" s="348">
        <v>46023</v>
      </c>
      <c r="E2476" s="348">
        <v>46357</v>
      </c>
      <c r="F2476" s="346" t="s">
        <v>614</v>
      </c>
      <c r="G2476" s="349" t="s">
        <v>444</v>
      </c>
      <c r="H2476" s="350">
        <f t="shared" si="50"/>
        <v>600</v>
      </c>
      <c r="I2476" s="120" t="str">
        <f>IF(OR(D2476&lt;Capa!$A$5,D2476&gt;Capa!$A$7,E2476&lt;Capa!$A$5,E2476&gt;Capa!$A$7,D2476&gt;E2476),"Erro","")</f>
        <v/>
      </c>
    </row>
    <row r="2477" spans="1:9" ht="30" hidden="1">
      <c r="A2477" s="345">
        <v>2933</v>
      </c>
      <c r="B2477" s="346" t="s">
        <v>240</v>
      </c>
      <c r="C2477" s="347">
        <v>50</v>
      </c>
      <c r="D2477" s="348">
        <v>46388</v>
      </c>
      <c r="E2477" s="348">
        <v>46722</v>
      </c>
      <c r="F2477" s="346" t="s">
        <v>614</v>
      </c>
      <c r="G2477" s="349" t="s">
        <v>444</v>
      </c>
      <c r="H2477" s="350">
        <f t="shared" si="50"/>
        <v>600</v>
      </c>
      <c r="I2477" s="120" t="str">
        <f>IF(OR(D2477&lt;Capa!$A$5,D2477&gt;Capa!$A$7,E2477&lt;Capa!$A$5,E2477&gt;Capa!$A$7,D2477&gt;E2477),"Erro","")</f>
        <v/>
      </c>
    </row>
    <row r="2478" spans="1:9" ht="30" hidden="1">
      <c r="A2478" s="345">
        <v>2934</v>
      </c>
      <c r="B2478" s="346" t="s">
        <v>240</v>
      </c>
      <c r="C2478" s="347">
        <v>25</v>
      </c>
      <c r="D2478" s="348">
        <v>46753</v>
      </c>
      <c r="E2478" s="348">
        <v>47058</v>
      </c>
      <c r="F2478" s="346" t="s">
        <v>614</v>
      </c>
      <c r="G2478" s="349" t="s">
        <v>444</v>
      </c>
      <c r="H2478" s="350">
        <f t="shared" si="50"/>
        <v>275</v>
      </c>
      <c r="I2478" s="120" t="str">
        <f>IF(OR(D2478&lt;Capa!$A$5,D2478&gt;Capa!$A$7,E2478&lt;Capa!$A$5,E2478&gt;Capa!$A$7,D2478&gt;E2478),"Erro","")</f>
        <v/>
      </c>
    </row>
    <row r="2479" spans="1:9" ht="30" hidden="1">
      <c r="A2479" s="345">
        <v>2936</v>
      </c>
      <c r="B2479" s="346" t="s">
        <v>244</v>
      </c>
      <c r="C2479" s="347">
        <v>250</v>
      </c>
      <c r="D2479" s="348">
        <v>45658</v>
      </c>
      <c r="E2479" s="348">
        <v>45992</v>
      </c>
      <c r="F2479" s="346" t="s">
        <v>614</v>
      </c>
      <c r="G2479" s="349" t="s">
        <v>445</v>
      </c>
      <c r="H2479" s="350">
        <f t="shared" si="50"/>
        <v>3000</v>
      </c>
      <c r="I2479" s="120" t="str">
        <f>IF(OR(D2479&lt;Capa!$A$5,D2479&gt;Capa!$A$7,E2479&lt;Capa!$A$5,E2479&gt;Capa!$A$7,D2479&gt;E2479),"Erro","")</f>
        <v/>
      </c>
    </row>
    <row r="2480" spans="1:9" ht="30" hidden="1">
      <c r="A2480" s="345">
        <v>2937</v>
      </c>
      <c r="B2480" s="346" t="s">
        <v>244</v>
      </c>
      <c r="C2480" s="347">
        <v>250</v>
      </c>
      <c r="D2480" s="348">
        <v>46023</v>
      </c>
      <c r="E2480" s="348">
        <v>46357</v>
      </c>
      <c r="F2480" s="346" t="s">
        <v>614</v>
      </c>
      <c r="G2480" s="349" t="s">
        <v>445</v>
      </c>
      <c r="H2480" s="350">
        <f t="shared" si="50"/>
        <v>3000</v>
      </c>
      <c r="I2480" s="120" t="str">
        <f>IF(OR(D2480&lt;Capa!$A$5,D2480&gt;Capa!$A$7,E2480&lt;Capa!$A$5,E2480&gt;Capa!$A$7,D2480&gt;E2480),"Erro","")</f>
        <v/>
      </c>
    </row>
    <row r="2481" spans="1:9" ht="30" hidden="1">
      <c r="A2481" s="345">
        <v>2938</v>
      </c>
      <c r="B2481" s="346" t="s">
        <v>244</v>
      </c>
      <c r="C2481" s="347">
        <v>250</v>
      </c>
      <c r="D2481" s="348">
        <v>46388</v>
      </c>
      <c r="E2481" s="348">
        <v>46722</v>
      </c>
      <c r="F2481" s="346" t="s">
        <v>614</v>
      </c>
      <c r="G2481" s="349" t="s">
        <v>445</v>
      </c>
      <c r="H2481" s="350">
        <f t="shared" si="50"/>
        <v>3000</v>
      </c>
      <c r="I2481" s="120" t="str">
        <f>IF(OR(D2481&lt;Capa!$A$5,D2481&gt;Capa!$A$7,E2481&lt;Capa!$A$5,E2481&gt;Capa!$A$7,D2481&gt;E2481),"Erro","")</f>
        <v/>
      </c>
    </row>
    <row r="2482" spans="1:9" ht="30" hidden="1">
      <c r="A2482" s="345">
        <v>2939</v>
      </c>
      <c r="B2482" s="346" t="s">
        <v>244</v>
      </c>
      <c r="C2482" s="347">
        <v>125</v>
      </c>
      <c r="D2482" s="348">
        <v>46753</v>
      </c>
      <c r="E2482" s="348">
        <v>47058</v>
      </c>
      <c r="F2482" s="346" t="s">
        <v>614</v>
      </c>
      <c r="G2482" s="349" t="s">
        <v>445</v>
      </c>
      <c r="H2482" s="350">
        <f t="shared" si="50"/>
        <v>1375</v>
      </c>
      <c r="I2482" s="120" t="str">
        <f>IF(OR(D2482&lt;Capa!$A$5,D2482&gt;Capa!$A$7,E2482&lt;Capa!$A$5,E2482&gt;Capa!$A$7,D2482&gt;E2482),"Erro","")</f>
        <v/>
      </c>
    </row>
    <row r="2483" spans="1:9" ht="20" hidden="1">
      <c r="A2483" s="345">
        <v>2940</v>
      </c>
      <c r="B2483" s="346" t="s">
        <v>246</v>
      </c>
      <c r="C2483" s="347">
        <v>390</v>
      </c>
      <c r="D2483" s="348">
        <v>45658</v>
      </c>
      <c r="E2483" s="348">
        <v>45992</v>
      </c>
      <c r="F2483" s="346" t="s">
        <v>614</v>
      </c>
      <c r="G2483" s="349" t="s">
        <v>446</v>
      </c>
      <c r="H2483" s="350">
        <f t="shared" si="50"/>
        <v>4680</v>
      </c>
      <c r="I2483" s="120" t="str">
        <f>IF(OR(D2483&lt;Capa!$A$5,D2483&gt;Capa!$A$7,E2483&lt;Capa!$A$5,E2483&gt;Capa!$A$7,D2483&gt;E2483),"Erro","")</f>
        <v/>
      </c>
    </row>
    <row r="2484" spans="1:9" ht="20" hidden="1">
      <c r="A2484" s="345">
        <v>2941</v>
      </c>
      <c r="B2484" s="346" t="s">
        <v>246</v>
      </c>
      <c r="C2484" s="347">
        <v>390</v>
      </c>
      <c r="D2484" s="348">
        <v>46023</v>
      </c>
      <c r="E2484" s="348">
        <v>46357</v>
      </c>
      <c r="F2484" s="346" t="s">
        <v>614</v>
      </c>
      <c r="G2484" s="349" t="s">
        <v>446</v>
      </c>
      <c r="H2484" s="350">
        <f t="shared" si="50"/>
        <v>4680</v>
      </c>
      <c r="I2484" s="120" t="str">
        <f>IF(OR(D2484&lt;Capa!$A$5,D2484&gt;Capa!$A$7,E2484&lt;Capa!$A$5,E2484&gt;Capa!$A$7,D2484&gt;E2484),"Erro","")</f>
        <v/>
      </c>
    </row>
    <row r="2485" spans="1:9" ht="20" hidden="1">
      <c r="A2485" s="345">
        <v>2942</v>
      </c>
      <c r="B2485" s="346" t="s">
        <v>246</v>
      </c>
      <c r="C2485" s="347">
        <v>390</v>
      </c>
      <c r="D2485" s="348">
        <v>46388</v>
      </c>
      <c r="E2485" s="348">
        <v>46722</v>
      </c>
      <c r="F2485" s="346" t="s">
        <v>614</v>
      </c>
      <c r="G2485" s="349" t="s">
        <v>446</v>
      </c>
      <c r="H2485" s="350">
        <f t="shared" si="50"/>
        <v>4680</v>
      </c>
      <c r="I2485" s="120" t="str">
        <f>IF(OR(D2485&lt;Capa!$A$5,D2485&gt;Capa!$A$7,E2485&lt;Capa!$A$5,E2485&gt;Capa!$A$7,D2485&gt;E2485),"Erro","")</f>
        <v/>
      </c>
    </row>
    <row r="2486" spans="1:9" ht="20" hidden="1">
      <c r="A2486" s="345">
        <v>2943</v>
      </c>
      <c r="B2486" s="346" t="s">
        <v>246</v>
      </c>
      <c r="C2486" s="347">
        <v>190</v>
      </c>
      <c r="D2486" s="348">
        <v>46753</v>
      </c>
      <c r="E2486" s="348">
        <v>47058</v>
      </c>
      <c r="F2486" s="346" t="s">
        <v>614</v>
      </c>
      <c r="G2486" s="349" t="s">
        <v>446</v>
      </c>
      <c r="H2486" s="350">
        <f t="shared" si="50"/>
        <v>2090</v>
      </c>
      <c r="I2486" s="120" t="str">
        <f>IF(OR(D2486&lt;Capa!$A$5,D2486&gt;Capa!$A$7,E2486&lt;Capa!$A$5,E2486&gt;Capa!$A$7,D2486&gt;E2486),"Erro","")</f>
        <v/>
      </c>
    </row>
    <row r="2487" spans="1:9" ht="30" hidden="1">
      <c r="A2487" s="345">
        <v>2945</v>
      </c>
      <c r="B2487" s="346" t="s">
        <v>258</v>
      </c>
      <c r="C2487" s="347">
        <v>50</v>
      </c>
      <c r="D2487" s="348">
        <v>45658</v>
      </c>
      <c r="E2487" s="348">
        <v>45992</v>
      </c>
      <c r="F2487" s="346" t="s">
        <v>614</v>
      </c>
      <c r="G2487" s="349" t="s">
        <v>447</v>
      </c>
      <c r="H2487" s="350">
        <f t="shared" si="50"/>
        <v>600</v>
      </c>
      <c r="I2487" s="120" t="str">
        <f>IF(OR(D2487&lt;Capa!$A$5,D2487&gt;Capa!$A$7,E2487&lt;Capa!$A$5,E2487&gt;Capa!$A$7,D2487&gt;E2487),"Erro","")</f>
        <v/>
      </c>
    </row>
    <row r="2488" spans="1:9" ht="30" hidden="1">
      <c r="A2488" s="345">
        <v>2946</v>
      </c>
      <c r="B2488" s="346" t="s">
        <v>258</v>
      </c>
      <c r="C2488" s="347">
        <v>50</v>
      </c>
      <c r="D2488" s="348">
        <v>46023</v>
      </c>
      <c r="E2488" s="348">
        <v>46357</v>
      </c>
      <c r="F2488" s="346" t="s">
        <v>614</v>
      </c>
      <c r="G2488" s="349" t="s">
        <v>447</v>
      </c>
      <c r="H2488" s="350">
        <f t="shared" si="50"/>
        <v>600</v>
      </c>
      <c r="I2488" s="120" t="str">
        <f>IF(OR(D2488&lt;Capa!$A$5,D2488&gt;Capa!$A$7,E2488&lt;Capa!$A$5,E2488&gt;Capa!$A$7,D2488&gt;E2488),"Erro","")</f>
        <v/>
      </c>
    </row>
    <row r="2489" spans="1:9" ht="30" hidden="1">
      <c r="A2489" s="345">
        <v>2947</v>
      </c>
      <c r="B2489" s="346" t="s">
        <v>258</v>
      </c>
      <c r="C2489" s="347">
        <v>50</v>
      </c>
      <c r="D2489" s="348">
        <v>46388</v>
      </c>
      <c r="E2489" s="348">
        <v>46722</v>
      </c>
      <c r="F2489" s="346" t="s">
        <v>614</v>
      </c>
      <c r="G2489" s="349" t="s">
        <v>447</v>
      </c>
      <c r="H2489" s="350">
        <f t="shared" si="50"/>
        <v>600</v>
      </c>
      <c r="I2489" s="120" t="str">
        <f>IF(OR(D2489&lt;Capa!$A$5,D2489&gt;Capa!$A$7,E2489&lt;Capa!$A$5,E2489&gt;Capa!$A$7,D2489&gt;E2489),"Erro","")</f>
        <v/>
      </c>
    </row>
    <row r="2490" spans="1:9" ht="30" hidden="1">
      <c r="A2490" s="345">
        <v>2948</v>
      </c>
      <c r="B2490" s="346" t="s">
        <v>258</v>
      </c>
      <c r="C2490" s="347">
        <v>20</v>
      </c>
      <c r="D2490" s="348">
        <v>46753</v>
      </c>
      <c r="E2490" s="348">
        <v>47058</v>
      </c>
      <c r="F2490" s="346" t="s">
        <v>614</v>
      </c>
      <c r="G2490" s="349" t="s">
        <v>447</v>
      </c>
      <c r="H2490" s="350">
        <f t="shared" si="50"/>
        <v>220</v>
      </c>
      <c r="I2490" s="120" t="str">
        <f>IF(OR(D2490&lt;Capa!$A$5,D2490&gt;Capa!$A$7,E2490&lt;Capa!$A$5,E2490&gt;Capa!$A$7,D2490&gt;E2490),"Erro","")</f>
        <v/>
      </c>
    </row>
    <row r="2491" spans="1:9" ht="40" hidden="1">
      <c r="A2491" s="345">
        <v>2949</v>
      </c>
      <c r="B2491" s="346" t="s">
        <v>276</v>
      </c>
      <c r="C2491" s="347">
        <v>500</v>
      </c>
      <c r="D2491" s="348">
        <v>45658</v>
      </c>
      <c r="E2491" s="348">
        <v>45992</v>
      </c>
      <c r="F2491" s="346" t="s">
        <v>614</v>
      </c>
      <c r="G2491" s="349" t="s">
        <v>448</v>
      </c>
      <c r="H2491" s="350">
        <f t="shared" si="50"/>
        <v>6000</v>
      </c>
      <c r="I2491" s="120" t="str">
        <f>IF(OR(D2491&lt;Capa!$A$5,D2491&gt;Capa!$A$7,E2491&lt;Capa!$A$5,E2491&gt;Capa!$A$7,D2491&gt;E2491),"Erro","")</f>
        <v/>
      </c>
    </row>
    <row r="2492" spans="1:9" ht="40" hidden="1">
      <c r="A2492" s="345">
        <v>2950</v>
      </c>
      <c r="B2492" s="346" t="s">
        <v>276</v>
      </c>
      <c r="C2492" s="347">
        <v>500</v>
      </c>
      <c r="D2492" s="348">
        <v>46023</v>
      </c>
      <c r="E2492" s="348">
        <v>46357</v>
      </c>
      <c r="F2492" s="346" t="s">
        <v>614</v>
      </c>
      <c r="G2492" s="349" t="s">
        <v>448</v>
      </c>
      <c r="H2492" s="350">
        <f t="shared" si="50"/>
        <v>6000</v>
      </c>
      <c r="I2492" s="120" t="str">
        <f>IF(OR(D2492&lt;Capa!$A$5,D2492&gt;Capa!$A$7,E2492&lt;Capa!$A$5,E2492&gt;Capa!$A$7,D2492&gt;E2492),"Erro","")</f>
        <v/>
      </c>
    </row>
    <row r="2493" spans="1:9" ht="40" hidden="1">
      <c r="A2493" s="345">
        <v>2951</v>
      </c>
      <c r="B2493" s="346" t="s">
        <v>276</v>
      </c>
      <c r="C2493" s="347">
        <v>500</v>
      </c>
      <c r="D2493" s="348">
        <v>46388</v>
      </c>
      <c r="E2493" s="348">
        <v>46722</v>
      </c>
      <c r="F2493" s="346" t="s">
        <v>614</v>
      </c>
      <c r="G2493" s="349" t="s">
        <v>448</v>
      </c>
      <c r="H2493" s="350">
        <f t="shared" si="50"/>
        <v>6000</v>
      </c>
      <c r="I2493" s="120" t="str">
        <f>IF(OR(D2493&lt;Capa!$A$5,D2493&gt;Capa!$A$7,E2493&lt;Capa!$A$5,E2493&gt;Capa!$A$7,D2493&gt;E2493),"Erro","")</f>
        <v/>
      </c>
    </row>
    <row r="2494" spans="1:9" ht="40" hidden="1">
      <c r="A2494" s="345">
        <v>2952</v>
      </c>
      <c r="B2494" s="346" t="s">
        <v>276</v>
      </c>
      <c r="C2494" s="347">
        <v>250</v>
      </c>
      <c r="D2494" s="348">
        <v>46753</v>
      </c>
      <c r="E2494" s="348">
        <v>47058</v>
      </c>
      <c r="F2494" s="346" t="s">
        <v>614</v>
      </c>
      <c r="G2494" s="349" t="s">
        <v>448</v>
      </c>
      <c r="H2494" s="350">
        <f t="shared" si="50"/>
        <v>2750</v>
      </c>
      <c r="I2494" s="120" t="str">
        <f>IF(OR(D2494&lt;Capa!$A$5,D2494&gt;Capa!$A$7,E2494&lt;Capa!$A$5,E2494&gt;Capa!$A$7,D2494&gt;E2494),"Erro","")</f>
        <v/>
      </c>
    </row>
    <row r="2495" spans="1:9" ht="40">
      <c r="A2495" s="345">
        <v>2954</v>
      </c>
      <c r="B2495" s="346" t="s">
        <v>278</v>
      </c>
      <c r="C2495" s="347">
        <v>33000</v>
      </c>
      <c r="D2495" s="348">
        <v>45658</v>
      </c>
      <c r="E2495" s="348">
        <v>45992</v>
      </c>
      <c r="F2495" s="346" t="s">
        <v>614</v>
      </c>
      <c r="G2495" s="349" t="s">
        <v>449</v>
      </c>
      <c r="H2495" s="350">
        <f t="shared" si="50"/>
        <v>396000</v>
      </c>
      <c r="I2495" s="120" t="str">
        <f>IF(OR(D2495&lt;Capa!$A$5,D2495&gt;Capa!$A$7,E2495&lt;Capa!$A$5,E2495&gt;Capa!$A$7,D2495&gt;E2495),"Erro","")</f>
        <v/>
      </c>
    </row>
    <row r="2496" spans="1:9" ht="40">
      <c r="A2496" s="345">
        <v>2955</v>
      </c>
      <c r="B2496" s="346" t="s">
        <v>278</v>
      </c>
      <c r="C2496" s="347">
        <v>33000</v>
      </c>
      <c r="D2496" s="348">
        <v>46023</v>
      </c>
      <c r="E2496" s="348">
        <v>46357</v>
      </c>
      <c r="F2496" s="346" t="s">
        <v>614</v>
      </c>
      <c r="G2496" s="349" t="s">
        <v>449</v>
      </c>
      <c r="H2496" s="350">
        <f t="shared" si="50"/>
        <v>396000</v>
      </c>
      <c r="I2496" s="120" t="str">
        <f>IF(OR(D2496&lt;Capa!$A$5,D2496&gt;Capa!$A$7,E2496&lt;Capa!$A$5,E2496&gt;Capa!$A$7,D2496&gt;E2496),"Erro","")</f>
        <v/>
      </c>
    </row>
    <row r="2497" spans="1:9" ht="40">
      <c r="A2497" s="345">
        <v>2956</v>
      </c>
      <c r="B2497" s="346" t="s">
        <v>278</v>
      </c>
      <c r="C2497" s="347">
        <v>33000</v>
      </c>
      <c r="D2497" s="348">
        <v>46388</v>
      </c>
      <c r="E2497" s="348">
        <v>46722</v>
      </c>
      <c r="F2497" s="346" t="s">
        <v>614</v>
      </c>
      <c r="G2497" s="349" t="s">
        <v>449</v>
      </c>
      <c r="H2497" s="350">
        <f t="shared" si="50"/>
        <v>396000</v>
      </c>
      <c r="I2497" s="120" t="str">
        <f>IF(OR(D2497&lt;Capa!$A$5,D2497&gt;Capa!$A$7,E2497&lt;Capa!$A$5,E2497&gt;Capa!$A$7,D2497&gt;E2497),"Erro","")</f>
        <v/>
      </c>
    </row>
    <row r="2498" spans="1:9" ht="40">
      <c r="A2498" s="345">
        <v>2957</v>
      </c>
      <c r="B2498" s="346" t="s">
        <v>278</v>
      </c>
      <c r="C2498" s="347">
        <v>18500</v>
      </c>
      <c r="D2498" s="348">
        <v>46753</v>
      </c>
      <c r="E2498" s="348">
        <v>47058</v>
      </c>
      <c r="F2498" s="346" t="s">
        <v>614</v>
      </c>
      <c r="G2498" s="349" t="s">
        <v>449</v>
      </c>
      <c r="H2498" s="350">
        <f t="shared" si="50"/>
        <v>203500</v>
      </c>
      <c r="I2498" s="120" t="str">
        <f>IF(OR(D2498&lt;Capa!$A$5,D2498&gt;Capa!$A$7,E2498&lt;Capa!$A$5,E2498&gt;Capa!$A$7,D2498&gt;E2498),"Erro","")</f>
        <v/>
      </c>
    </row>
    <row r="2499" spans="1:9" ht="40" hidden="1">
      <c r="A2499" s="345">
        <v>2959</v>
      </c>
      <c r="B2499" s="346" t="s">
        <v>280</v>
      </c>
      <c r="C2499" s="347">
        <v>100</v>
      </c>
      <c r="D2499" s="348">
        <v>45658</v>
      </c>
      <c r="E2499" s="348">
        <v>45992</v>
      </c>
      <c r="F2499" s="346" t="s">
        <v>614</v>
      </c>
      <c r="G2499" s="349" t="s">
        <v>450</v>
      </c>
      <c r="H2499" s="350">
        <f t="shared" si="50"/>
        <v>1200</v>
      </c>
      <c r="I2499" s="120" t="str">
        <f>IF(OR(D2499&lt;Capa!$A$5,D2499&gt;Capa!$A$7,E2499&lt;Capa!$A$5,E2499&gt;Capa!$A$7,D2499&gt;E2499),"Erro","")</f>
        <v/>
      </c>
    </row>
    <row r="2500" spans="1:9" ht="40" hidden="1">
      <c r="A2500" s="345">
        <v>2960</v>
      </c>
      <c r="B2500" s="346" t="s">
        <v>280</v>
      </c>
      <c r="C2500" s="347">
        <v>100</v>
      </c>
      <c r="D2500" s="348">
        <v>46023</v>
      </c>
      <c r="E2500" s="348">
        <v>46357</v>
      </c>
      <c r="F2500" s="346" t="s">
        <v>614</v>
      </c>
      <c r="G2500" s="349" t="s">
        <v>450</v>
      </c>
      <c r="H2500" s="350">
        <f t="shared" si="50"/>
        <v>1200</v>
      </c>
      <c r="I2500" s="120" t="str">
        <f>IF(OR(D2500&lt;Capa!$A$5,D2500&gt;Capa!$A$7,E2500&lt;Capa!$A$5,E2500&gt;Capa!$A$7,D2500&gt;E2500),"Erro","")</f>
        <v/>
      </c>
    </row>
    <row r="2501" spans="1:9" ht="40" hidden="1">
      <c r="A2501" s="345">
        <v>2961</v>
      </c>
      <c r="B2501" s="346" t="s">
        <v>280</v>
      </c>
      <c r="C2501" s="347">
        <v>100</v>
      </c>
      <c r="D2501" s="348">
        <v>46388</v>
      </c>
      <c r="E2501" s="348">
        <v>46722</v>
      </c>
      <c r="F2501" s="346" t="s">
        <v>614</v>
      </c>
      <c r="G2501" s="349" t="s">
        <v>450</v>
      </c>
      <c r="H2501" s="350">
        <f t="shared" si="50"/>
        <v>1200</v>
      </c>
      <c r="I2501" s="120" t="str">
        <f>IF(OR(D2501&lt;Capa!$A$5,D2501&gt;Capa!$A$7,E2501&lt;Capa!$A$5,E2501&gt;Capa!$A$7,D2501&gt;E2501),"Erro","")</f>
        <v/>
      </c>
    </row>
    <row r="2502" spans="1:9" ht="40" hidden="1">
      <c r="A2502" s="345">
        <v>2962</v>
      </c>
      <c r="B2502" s="346" t="s">
        <v>280</v>
      </c>
      <c r="C2502" s="347">
        <v>50</v>
      </c>
      <c r="D2502" s="348">
        <v>46753</v>
      </c>
      <c r="E2502" s="348">
        <v>47058</v>
      </c>
      <c r="F2502" s="346" t="s">
        <v>614</v>
      </c>
      <c r="G2502" s="349" t="s">
        <v>450</v>
      </c>
      <c r="H2502" s="350">
        <f t="shared" si="50"/>
        <v>550</v>
      </c>
      <c r="I2502" s="120" t="str">
        <f>IF(OR(D2502&lt;Capa!$A$5,D2502&gt;Capa!$A$7,E2502&lt;Capa!$A$5,E2502&gt;Capa!$A$7,D2502&gt;E2502),"Erro","")</f>
        <v/>
      </c>
    </row>
    <row r="2503" spans="1:9" ht="40" hidden="1">
      <c r="A2503" s="345">
        <v>2964</v>
      </c>
      <c r="B2503" s="346" t="s">
        <v>282</v>
      </c>
      <c r="C2503" s="347">
        <v>450</v>
      </c>
      <c r="D2503" s="348">
        <v>45658</v>
      </c>
      <c r="E2503" s="348">
        <v>45992</v>
      </c>
      <c r="F2503" s="346" t="s">
        <v>614</v>
      </c>
      <c r="G2503" s="349" t="s">
        <v>451</v>
      </c>
      <c r="H2503" s="350">
        <f t="shared" si="50"/>
        <v>5400</v>
      </c>
      <c r="I2503" s="120" t="str">
        <f>IF(OR(D2503&lt;Capa!$A$5,D2503&gt;Capa!$A$7,E2503&lt;Capa!$A$5,E2503&gt;Capa!$A$7,D2503&gt;E2503),"Erro","")</f>
        <v/>
      </c>
    </row>
    <row r="2504" spans="1:9" ht="40" hidden="1">
      <c r="A2504" s="345">
        <v>2965</v>
      </c>
      <c r="B2504" s="346" t="s">
        <v>282</v>
      </c>
      <c r="C2504" s="347">
        <v>450</v>
      </c>
      <c r="D2504" s="348">
        <v>46023</v>
      </c>
      <c r="E2504" s="348">
        <v>46357</v>
      </c>
      <c r="F2504" s="346" t="s">
        <v>614</v>
      </c>
      <c r="G2504" s="349" t="s">
        <v>451</v>
      </c>
      <c r="H2504" s="350">
        <f t="shared" si="50"/>
        <v>5400</v>
      </c>
      <c r="I2504" s="120" t="str">
        <f>IF(OR(D2504&lt;Capa!$A$5,D2504&gt;Capa!$A$7,E2504&lt;Capa!$A$5,E2504&gt;Capa!$A$7,D2504&gt;E2504),"Erro","")</f>
        <v/>
      </c>
    </row>
    <row r="2505" spans="1:9" ht="40" hidden="1">
      <c r="A2505" s="345">
        <v>2966</v>
      </c>
      <c r="B2505" s="346" t="s">
        <v>282</v>
      </c>
      <c r="C2505" s="347">
        <v>450</v>
      </c>
      <c r="D2505" s="348">
        <v>46388</v>
      </c>
      <c r="E2505" s="348">
        <v>46722</v>
      </c>
      <c r="F2505" s="346" t="s">
        <v>614</v>
      </c>
      <c r="G2505" s="349" t="s">
        <v>451</v>
      </c>
      <c r="H2505" s="350">
        <f t="shared" si="50"/>
        <v>5400</v>
      </c>
      <c r="I2505" s="120" t="str">
        <f>IF(OR(D2505&lt;Capa!$A$5,D2505&gt;Capa!$A$7,E2505&lt;Capa!$A$5,E2505&gt;Capa!$A$7,D2505&gt;E2505),"Erro","")</f>
        <v/>
      </c>
    </row>
    <row r="2506" spans="1:9" ht="40" hidden="1">
      <c r="A2506" s="345">
        <v>2967</v>
      </c>
      <c r="B2506" s="346" t="s">
        <v>282</v>
      </c>
      <c r="C2506" s="347">
        <v>200</v>
      </c>
      <c r="D2506" s="348">
        <v>46753</v>
      </c>
      <c r="E2506" s="348">
        <v>47058</v>
      </c>
      <c r="F2506" s="346" t="s">
        <v>614</v>
      </c>
      <c r="G2506" s="349" t="s">
        <v>451</v>
      </c>
      <c r="H2506" s="350">
        <f t="shared" si="50"/>
        <v>2200</v>
      </c>
      <c r="I2506" s="120" t="str">
        <f>IF(OR(D2506&lt;Capa!$A$5,D2506&gt;Capa!$A$7,E2506&lt;Capa!$A$5,E2506&gt;Capa!$A$7,D2506&gt;E2506),"Erro","")</f>
        <v/>
      </c>
    </row>
    <row r="2507" spans="1:9" ht="40" hidden="1">
      <c r="A2507" s="345">
        <v>2969</v>
      </c>
      <c r="B2507" s="346" t="s">
        <v>284</v>
      </c>
      <c r="C2507" s="347">
        <v>950</v>
      </c>
      <c r="D2507" s="348">
        <v>45658</v>
      </c>
      <c r="E2507" s="348">
        <v>45992</v>
      </c>
      <c r="F2507" s="346" t="s">
        <v>614</v>
      </c>
      <c r="G2507" s="349" t="s">
        <v>451</v>
      </c>
      <c r="H2507" s="350">
        <f t="shared" si="50"/>
        <v>11400</v>
      </c>
      <c r="I2507" s="120" t="str">
        <f>IF(OR(D2507&lt;Capa!$A$5,D2507&gt;Capa!$A$7,E2507&lt;Capa!$A$5,E2507&gt;Capa!$A$7,D2507&gt;E2507),"Erro","")</f>
        <v/>
      </c>
    </row>
    <row r="2508" spans="1:9" ht="40" hidden="1">
      <c r="A2508" s="345">
        <v>2970</v>
      </c>
      <c r="B2508" s="346" t="s">
        <v>284</v>
      </c>
      <c r="C2508" s="347">
        <v>950</v>
      </c>
      <c r="D2508" s="348">
        <v>46023</v>
      </c>
      <c r="E2508" s="348">
        <v>46357</v>
      </c>
      <c r="F2508" s="346" t="s">
        <v>614</v>
      </c>
      <c r="G2508" s="349" t="s">
        <v>451</v>
      </c>
      <c r="H2508" s="350">
        <f t="shared" si="50"/>
        <v>11400</v>
      </c>
      <c r="I2508" s="120" t="str">
        <f>IF(OR(D2508&lt;Capa!$A$5,D2508&gt;Capa!$A$7,E2508&lt;Capa!$A$5,E2508&gt;Capa!$A$7,D2508&gt;E2508),"Erro","")</f>
        <v/>
      </c>
    </row>
    <row r="2509" spans="1:9" ht="40" hidden="1">
      <c r="A2509" s="345">
        <v>2971</v>
      </c>
      <c r="B2509" s="346" t="s">
        <v>284</v>
      </c>
      <c r="C2509" s="347">
        <v>950</v>
      </c>
      <c r="D2509" s="348">
        <v>46388</v>
      </c>
      <c r="E2509" s="348">
        <v>46722</v>
      </c>
      <c r="F2509" s="346" t="s">
        <v>614</v>
      </c>
      <c r="G2509" s="349" t="s">
        <v>451</v>
      </c>
      <c r="H2509" s="350">
        <f t="shared" si="50"/>
        <v>11400</v>
      </c>
      <c r="I2509" s="120" t="str">
        <f>IF(OR(D2509&lt;Capa!$A$5,D2509&gt;Capa!$A$7,E2509&lt;Capa!$A$5,E2509&gt;Capa!$A$7,D2509&gt;E2509),"Erro","")</f>
        <v/>
      </c>
    </row>
    <row r="2510" spans="1:9" ht="40" hidden="1">
      <c r="A2510" s="345">
        <v>2972</v>
      </c>
      <c r="B2510" s="346" t="s">
        <v>284</v>
      </c>
      <c r="C2510" s="347">
        <v>400</v>
      </c>
      <c r="D2510" s="348">
        <v>46753</v>
      </c>
      <c r="E2510" s="348">
        <v>47058</v>
      </c>
      <c r="F2510" s="346" t="s">
        <v>614</v>
      </c>
      <c r="G2510" s="349" t="s">
        <v>451</v>
      </c>
      <c r="H2510" s="350">
        <f t="shared" si="50"/>
        <v>4400</v>
      </c>
      <c r="I2510" s="120" t="str">
        <f>IF(OR(D2510&lt;Capa!$A$5,D2510&gt;Capa!$A$7,E2510&lt;Capa!$A$5,E2510&gt;Capa!$A$7,D2510&gt;E2510),"Erro","")</f>
        <v/>
      </c>
    </row>
    <row r="2511" spans="1:9" ht="40" hidden="1">
      <c r="A2511" s="345">
        <v>2974</v>
      </c>
      <c r="B2511" s="346" t="s">
        <v>286</v>
      </c>
      <c r="C2511" s="347">
        <v>1000</v>
      </c>
      <c r="D2511" s="348">
        <v>45658</v>
      </c>
      <c r="E2511" s="348">
        <v>45992</v>
      </c>
      <c r="F2511" s="346" t="s">
        <v>614</v>
      </c>
      <c r="G2511" s="349" t="s">
        <v>451</v>
      </c>
      <c r="H2511" s="350">
        <f t="shared" si="50"/>
        <v>12000</v>
      </c>
      <c r="I2511" s="120" t="str">
        <f>IF(OR(D2511&lt;Capa!$A$5,D2511&gt;Capa!$A$7,E2511&lt;Capa!$A$5,E2511&gt;Capa!$A$7,D2511&gt;E2511),"Erro","")</f>
        <v/>
      </c>
    </row>
    <row r="2512" spans="1:9" ht="40" hidden="1">
      <c r="A2512" s="345">
        <v>2975</v>
      </c>
      <c r="B2512" s="346" t="s">
        <v>286</v>
      </c>
      <c r="C2512" s="347">
        <v>1000</v>
      </c>
      <c r="D2512" s="348">
        <v>46023</v>
      </c>
      <c r="E2512" s="348">
        <v>46357</v>
      </c>
      <c r="F2512" s="346" t="s">
        <v>614</v>
      </c>
      <c r="G2512" s="349" t="s">
        <v>451</v>
      </c>
      <c r="H2512" s="350">
        <f t="shared" ref="H2512:H2558" si="51">IFERROR((DATEDIF(D2512,E2512,"M")+1)*C2512,0)</f>
        <v>12000</v>
      </c>
      <c r="I2512" s="120" t="str">
        <f>IF(OR(D2512&lt;Capa!$A$5,D2512&gt;Capa!$A$7,E2512&lt;Capa!$A$5,E2512&gt;Capa!$A$7,D2512&gt;E2512),"Erro","")</f>
        <v/>
      </c>
    </row>
    <row r="2513" spans="1:9" ht="40" hidden="1">
      <c r="A2513" s="345">
        <v>2976</v>
      </c>
      <c r="B2513" s="346" t="s">
        <v>286</v>
      </c>
      <c r="C2513" s="347">
        <v>1000</v>
      </c>
      <c r="D2513" s="348">
        <v>46388</v>
      </c>
      <c r="E2513" s="348">
        <v>46722</v>
      </c>
      <c r="F2513" s="346" t="s">
        <v>614</v>
      </c>
      <c r="G2513" s="349" t="s">
        <v>451</v>
      </c>
      <c r="H2513" s="350">
        <f t="shared" si="51"/>
        <v>12000</v>
      </c>
      <c r="I2513" s="120" t="str">
        <f>IF(OR(D2513&lt;Capa!$A$5,D2513&gt;Capa!$A$7,E2513&lt;Capa!$A$5,E2513&gt;Capa!$A$7,D2513&gt;E2513),"Erro","")</f>
        <v/>
      </c>
    </row>
    <row r="2514" spans="1:9" ht="40" hidden="1">
      <c r="A2514" s="345">
        <v>2977</v>
      </c>
      <c r="B2514" s="346" t="s">
        <v>286</v>
      </c>
      <c r="C2514" s="347">
        <v>500</v>
      </c>
      <c r="D2514" s="348">
        <v>46753</v>
      </c>
      <c r="E2514" s="348">
        <v>47058</v>
      </c>
      <c r="F2514" s="346" t="s">
        <v>614</v>
      </c>
      <c r="G2514" s="349" t="s">
        <v>451</v>
      </c>
      <c r="H2514" s="350">
        <f t="shared" si="51"/>
        <v>5500</v>
      </c>
      <c r="I2514" s="120" t="str">
        <f>IF(OR(D2514&lt;Capa!$A$5,D2514&gt;Capa!$A$7,E2514&lt;Capa!$A$5,E2514&gt;Capa!$A$7,D2514&gt;E2514),"Erro","")</f>
        <v/>
      </c>
    </row>
    <row r="2515" spans="1:9" ht="30" hidden="1">
      <c r="A2515" s="345">
        <v>2979</v>
      </c>
      <c r="B2515" s="346" t="s">
        <v>288</v>
      </c>
      <c r="C2515" s="347">
        <v>200</v>
      </c>
      <c r="D2515" s="348">
        <v>45658</v>
      </c>
      <c r="E2515" s="348">
        <v>45992</v>
      </c>
      <c r="F2515" s="346" t="s">
        <v>614</v>
      </c>
      <c r="G2515" s="349" t="s">
        <v>452</v>
      </c>
      <c r="H2515" s="350">
        <f t="shared" si="51"/>
        <v>2400</v>
      </c>
      <c r="I2515" s="120" t="str">
        <f>IF(OR(D2515&lt;Capa!$A$5,D2515&gt;Capa!$A$7,E2515&lt;Capa!$A$5,E2515&gt;Capa!$A$7,D2515&gt;E2515),"Erro","")</f>
        <v/>
      </c>
    </row>
    <row r="2516" spans="1:9" ht="30" hidden="1">
      <c r="A2516" s="345">
        <v>2980</v>
      </c>
      <c r="B2516" s="346" t="s">
        <v>288</v>
      </c>
      <c r="C2516" s="347">
        <v>200</v>
      </c>
      <c r="D2516" s="348">
        <v>46023</v>
      </c>
      <c r="E2516" s="348">
        <v>46357</v>
      </c>
      <c r="F2516" s="346" t="s">
        <v>614</v>
      </c>
      <c r="G2516" s="349" t="s">
        <v>452</v>
      </c>
      <c r="H2516" s="350">
        <f t="shared" si="51"/>
        <v>2400</v>
      </c>
      <c r="I2516" s="120" t="str">
        <f>IF(OR(D2516&lt;Capa!$A$5,D2516&gt;Capa!$A$7,E2516&lt;Capa!$A$5,E2516&gt;Capa!$A$7,D2516&gt;E2516),"Erro","")</f>
        <v/>
      </c>
    </row>
    <row r="2517" spans="1:9" ht="30" hidden="1">
      <c r="A2517" s="345">
        <v>2981</v>
      </c>
      <c r="B2517" s="346" t="s">
        <v>288</v>
      </c>
      <c r="C2517" s="347">
        <v>200</v>
      </c>
      <c r="D2517" s="348">
        <v>46388</v>
      </c>
      <c r="E2517" s="348">
        <v>46722</v>
      </c>
      <c r="F2517" s="346" t="s">
        <v>614</v>
      </c>
      <c r="G2517" s="349" t="s">
        <v>452</v>
      </c>
      <c r="H2517" s="350">
        <f t="shared" si="51"/>
        <v>2400</v>
      </c>
      <c r="I2517" s="120" t="str">
        <f>IF(OR(D2517&lt;Capa!$A$5,D2517&gt;Capa!$A$7,E2517&lt;Capa!$A$5,E2517&gt;Capa!$A$7,D2517&gt;E2517),"Erro","")</f>
        <v/>
      </c>
    </row>
    <row r="2518" spans="1:9" ht="30" hidden="1">
      <c r="A2518" s="345">
        <v>2982</v>
      </c>
      <c r="B2518" s="346" t="s">
        <v>288</v>
      </c>
      <c r="C2518" s="347">
        <v>100</v>
      </c>
      <c r="D2518" s="348">
        <v>46753</v>
      </c>
      <c r="E2518" s="348">
        <v>47058</v>
      </c>
      <c r="F2518" s="346" t="s">
        <v>614</v>
      </c>
      <c r="G2518" s="349" t="s">
        <v>452</v>
      </c>
      <c r="H2518" s="350">
        <f t="shared" si="51"/>
        <v>1100</v>
      </c>
      <c r="I2518" s="120" t="str">
        <f>IF(OR(D2518&lt;Capa!$A$5,D2518&gt;Capa!$A$7,E2518&lt;Capa!$A$5,E2518&gt;Capa!$A$7,D2518&gt;E2518),"Erro","")</f>
        <v/>
      </c>
    </row>
    <row r="2519" spans="1:9" ht="30" hidden="1">
      <c r="A2519" s="345">
        <v>2984</v>
      </c>
      <c r="B2519" s="346" t="s">
        <v>294</v>
      </c>
      <c r="C2519" s="347">
        <v>2000</v>
      </c>
      <c r="D2519" s="348">
        <v>45658</v>
      </c>
      <c r="E2519" s="348">
        <v>45992</v>
      </c>
      <c r="F2519" s="346" t="s">
        <v>614</v>
      </c>
      <c r="G2519" s="349" t="s">
        <v>453</v>
      </c>
      <c r="H2519" s="350">
        <f t="shared" si="51"/>
        <v>24000</v>
      </c>
      <c r="I2519" s="120" t="str">
        <f>IF(OR(D2519&lt;Capa!$A$5,D2519&gt;Capa!$A$7,E2519&lt;Capa!$A$5,E2519&gt;Capa!$A$7,D2519&gt;E2519),"Erro","")</f>
        <v/>
      </c>
    </row>
    <row r="2520" spans="1:9" ht="30" hidden="1">
      <c r="A2520" s="345">
        <v>2985</v>
      </c>
      <c r="B2520" s="346" t="s">
        <v>294</v>
      </c>
      <c r="C2520" s="347">
        <v>2000</v>
      </c>
      <c r="D2520" s="348">
        <v>46023</v>
      </c>
      <c r="E2520" s="348">
        <v>46357</v>
      </c>
      <c r="F2520" s="346" t="s">
        <v>614</v>
      </c>
      <c r="G2520" s="349" t="s">
        <v>453</v>
      </c>
      <c r="H2520" s="350">
        <f t="shared" si="51"/>
        <v>24000</v>
      </c>
      <c r="I2520" s="120" t="str">
        <f>IF(OR(D2520&lt;Capa!$A$5,D2520&gt;Capa!$A$7,E2520&lt;Capa!$A$5,E2520&gt;Capa!$A$7,D2520&gt;E2520),"Erro","")</f>
        <v/>
      </c>
    </row>
    <row r="2521" spans="1:9" ht="30" hidden="1">
      <c r="A2521" s="345">
        <v>2986</v>
      </c>
      <c r="B2521" s="346" t="s">
        <v>294</v>
      </c>
      <c r="C2521" s="347">
        <v>2000</v>
      </c>
      <c r="D2521" s="348">
        <v>46388</v>
      </c>
      <c r="E2521" s="348">
        <v>46722</v>
      </c>
      <c r="F2521" s="346" t="s">
        <v>614</v>
      </c>
      <c r="G2521" s="349" t="s">
        <v>453</v>
      </c>
      <c r="H2521" s="350">
        <f t="shared" si="51"/>
        <v>24000</v>
      </c>
      <c r="I2521" s="120" t="str">
        <f>IF(OR(D2521&lt;Capa!$A$5,D2521&gt;Capa!$A$7,E2521&lt;Capa!$A$5,E2521&gt;Capa!$A$7,D2521&gt;E2521),"Erro","")</f>
        <v/>
      </c>
    </row>
    <row r="2522" spans="1:9" ht="30" hidden="1">
      <c r="A2522" s="345">
        <v>2987</v>
      </c>
      <c r="B2522" s="346" t="s">
        <v>294</v>
      </c>
      <c r="C2522" s="347">
        <v>2000</v>
      </c>
      <c r="D2522" s="348">
        <v>46753</v>
      </c>
      <c r="E2522" s="348">
        <v>47058</v>
      </c>
      <c r="F2522" s="346" t="s">
        <v>614</v>
      </c>
      <c r="G2522" s="349" t="s">
        <v>453</v>
      </c>
      <c r="H2522" s="350">
        <f t="shared" si="51"/>
        <v>22000</v>
      </c>
      <c r="I2522" s="120" t="str">
        <f>IF(OR(D2522&lt;Capa!$A$5,D2522&gt;Capa!$A$7,E2522&lt;Capa!$A$5,E2522&gt;Capa!$A$7,D2522&gt;E2522),"Erro","")</f>
        <v/>
      </c>
    </row>
    <row r="2523" spans="1:9" ht="20" hidden="1">
      <c r="A2523" s="345">
        <v>2989</v>
      </c>
      <c r="B2523" s="346" t="s">
        <v>302</v>
      </c>
      <c r="C2523" s="347">
        <v>100</v>
      </c>
      <c r="D2523" s="348">
        <v>45658</v>
      </c>
      <c r="E2523" s="348">
        <v>45992</v>
      </c>
      <c r="F2523" s="346" t="s">
        <v>614</v>
      </c>
      <c r="G2523" s="349" t="s">
        <v>454</v>
      </c>
      <c r="H2523" s="350">
        <f t="shared" si="51"/>
        <v>1200</v>
      </c>
      <c r="I2523" s="120" t="str">
        <f>IF(OR(D2523&lt;Capa!$A$5,D2523&gt;Capa!$A$7,E2523&lt;Capa!$A$5,E2523&gt;Capa!$A$7,D2523&gt;E2523),"Erro","")</f>
        <v/>
      </c>
    </row>
    <row r="2524" spans="1:9" ht="20" hidden="1">
      <c r="A2524" s="345">
        <v>2990</v>
      </c>
      <c r="B2524" s="346" t="s">
        <v>302</v>
      </c>
      <c r="C2524" s="347">
        <v>100</v>
      </c>
      <c r="D2524" s="348">
        <v>46023</v>
      </c>
      <c r="E2524" s="348">
        <v>46357</v>
      </c>
      <c r="F2524" s="346" t="s">
        <v>614</v>
      </c>
      <c r="G2524" s="349" t="s">
        <v>454</v>
      </c>
      <c r="H2524" s="350">
        <f t="shared" si="51"/>
        <v>1200</v>
      </c>
      <c r="I2524" s="120" t="str">
        <f>IF(OR(D2524&lt;Capa!$A$5,D2524&gt;Capa!$A$7,E2524&lt;Capa!$A$5,E2524&gt;Capa!$A$7,D2524&gt;E2524),"Erro","")</f>
        <v/>
      </c>
    </row>
    <row r="2525" spans="1:9" ht="20" hidden="1">
      <c r="A2525" s="345">
        <v>2991</v>
      </c>
      <c r="B2525" s="346" t="s">
        <v>302</v>
      </c>
      <c r="C2525" s="347">
        <v>100</v>
      </c>
      <c r="D2525" s="348">
        <v>46388</v>
      </c>
      <c r="E2525" s="348">
        <v>46722</v>
      </c>
      <c r="F2525" s="346" t="s">
        <v>614</v>
      </c>
      <c r="G2525" s="349" t="s">
        <v>454</v>
      </c>
      <c r="H2525" s="350">
        <f t="shared" si="51"/>
        <v>1200</v>
      </c>
      <c r="I2525" s="120" t="str">
        <f>IF(OR(D2525&lt;Capa!$A$5,D2525&gt;Capa!$A$7,E2525&lt;Capa!$A$5,E2525&gt;Capa!$A$7,D2525&gt;E2525),"Erro","")</f>
        <v/>
      </c>
    </row>
    <row r="2526" spans="1:9" ht="20" hidden="1">
      <c r="A2526" s="345">
        <v>2992</v>
      </c>
      <c r="B2526" s="346" t="s">
        <v>302</v>
      </c>
      <c r="C2526" s="347">
        <v>50</v>
      </c>
      <c r="D2526" s="348">
        <v>46753</v>
      </c>
      <c r="E2526" s="348">
        <v>47058</v>
      </c>
      <c r="F2526" s="346" t="s">
        <v>614</v>
      </c>
      <c r="G2526" s="349" t="s">
        <v>454</v>
      </c>
      <c r="H2526" s="350">
        <f t="shared" si="51"/>
        <v>550</v>
      </c>
      <c r="I2526" s="120" t="str">
        <f>IF(OR(D2526&lt;Capa!$A$5,D2526&gt;Capa!$A$7,E2526&lt;Capa!$A$5,E2526&gt;Capa!$A$7,D2526&gt;E2526),"Erro","")</f>
        <v/>
      </c>
    </row>
    <row r="2527" spans="1:9" ht="30" hidden="1">
      <c r="A2527" s="345">
        <v>2994</v>
      </c>
      <c r="B2527" s="346" t="s">
        <v>304</v>
      </c>
      <c r="C2527" s="347">
        <v>1000</v>
      </c>
      <c r="D2527" s="348">
        <v>45658</v>
      </c>
      <c r="E2527" s="348">
        <v>45992</v>
      </c>
      <c r="F2527" s="346" t="s">
        <v>614</v>
      </c>
      <c r="G2527" s="349" t="s">
        <v>455</v>
      </c>
      <c r="H2527" s="350">
        <f t="shared" si="51"/>
        <v>12000</v>
      </c>
      <c r="I2527" s="120" t="str">
        <f>IF(OR(D2527&lt;Capa!$A$5,D2527&gt;Capa!$A$7,E2527&lt;Capa!$A$5,E2527&gt;Capa!$A$7,D2527&gt;E2527),"Erro","")</f>
        <v/>
      </c>
    </row>
    <row r="2528" spans="1:9" ht="30" hidden="1">
      <c r="A2528" s="345">
        <v>2995</v>
      </c>
      <c r="B2528" s="346" t="s">
        <v>304</v>
      </c>
      <c r="C2528" s="347">
        <v>1000</v>
      </c>
      <c r="D2528" s="348">
        <v>46023</v>
      </c>
      <c r="E2528" s="348">
        <v>46357</v>
      </c>
      <c r="F2528" s="346" t="s">
        <v>614</v>
      </c>
      <c r="G2528" s="349" t="s">
        <v>455</v>
      </c>
      <c r="H2528" s="350">
        <f t="shared" si="51"/>
        <v>12000</v>
      </c>
      <c r="I2528" s="120" t="str">
        <f>IF(OR(D2528&lt;Capa!$A$5,D2528&gt;Capa!$A$7,E2528&lt;Capa!$A$5,E2528&gt;Capa!$A$7,D2528&gt;E2528),"Erro","")</f>
        <v/>
      </c>
    </row>
    <row r="2529" spans="1:9" ht="30" hidden="1">
      <c r="A2529" s="345">
        <v>2996</v>
      </c>
      <c r="B2529" s="346" t="s">
        <v>304</v>
      </c>
      <c r="C2529" s="347">
        <v>1000</v>
      </c>
      <c r="D2529" s="348">
        <v>46388</v>
      </c>
      <c r="E2529" s="348">
        <v>46722</v>
      </c>
      <c r="F2529" s="346" t="s">
        <v>614</v>
      </c>
      <c r="G2529" s="349" t="s">
        <v>455</v>
      </c>
      <c r="H2529" s="350">
        <f t="shared" si="51"/>
        <v>12000</v>
      </c>
      <c r="I2529" s="120" t="str">
        <f>IF(OR(D2529&lt;Capa!$A$5,D2529&gt;Capa!$A$7,E2529&lt;Capa!$A$5,E2529&gt;Capa!$A$7,D2529&gt;E2529),"Erro","")</f>
        <v/>
      </c>
    </row>
    <row r="2530" spans="1:9" ht="30" hidden="1">
      <c r="A2530" s="345">
        <v>2997</v>
      </c>
      <c r="B2530" s="346" t="s">
        <v>304</v>
      </c>
      <c r="C2530" s="347">
        <v>500</v>
      </c>
      <c r="D2530" s="348">
        <v>46753</v>
      </c>
      <c r="E2530" s="348">
        <v>47058</v>
      </c>
      <c r="F2530" s="346" t="s">
        <v>614</v>
      </c>
      <c r="G2530" s="349" t="s">
        <v>455</v>
      </c>
      <c r="H2530" s="350">
        <f t="shared" si="51"/>
        <v>5500</v>
      </c>
      <c r="I2530" s="120" t="str">
        <f>IF(OR(D2530&lt;Capa!$A$5,D2530&gt;Capa!$A$7,E2530&lt;Capa!$A$5,E2530&gt;Capa!$A$7,D2530&gt;E2530),"Erro","")</f>
        <v/>
      </c>
    </row>
    <row r="2531" spans="1:9" ht="30" hidden="1">
      <c r="A2531" s="345">
        <v>2998</v>
      </c>
      <c r="B2531" s="346" t="s">
        <v>312</v>
      </c>
      <c r="C2531" s="347">
        <v>200</v>
      </c>
      <c r="D2531" s="348">
        <v>45658</v>
      </c>
      <c r="E2531" s="348">
        <v>45992</v>
      </c>
      <c r="F2531" s="346" t="s">
        <v>614</v>
      </c>
      <c r="G2531" s="349" t="s">
        <v>571</v>
      </c>
      <c r="H2531" s="350">
        <f t="shared" si="51"/>
        <v>2400</v>
      </c>
      <c r="I2531" s="120" t="str">
        <f>IF(OR(D2531&lt;Capa!$A$5,D2531&gt;Capa!$A$7,E2531&lt;Capa!$A$5,E2531&gt;Capa!$A$7,D2531&gt;E2531),"Erro","")</f>
        <v/>
      </c>
    </row>
    <row r="2532" spans="1:9" ht="30" hidden="1">
      <c r="A2532" s="345">
        <v>2999</v>
      </c>
      <c r="B2532" s="346" t="s">
        <v>312</v>
      </c>
      <c r="C2532" s="347">
        <v>200</v>
      </c>
      <c r="D2532" s="348">
        <v>46023</v>
      </c>
      <c r="E2532" s="348">
        <v>46357</v>
      </c>
      <c r="F2532" s="346" t="s">
        <v>614</v>
      </c>
      <c r="G2532" s="349" t="s">
        <v>571</v>
      </c>
      <c r="H2532" s="350">
        <f t="shared" si="51"/>
        <v>2400</v>
      </c>
      <c r="I2532" s="120" t="str">
        <f>IF(OR(D2532&lt;Capa!$A$5,D2532&gt;Capa!$A$7,E2532&lt;Capa!$A$5,E2532&gt;Capa!$A$7,D2532&gt;E2532),"Erro","")</f>
        <v/>
      </c>
    </row>
    <row r="2533" spans="1:9" ht="30" hidden="1">
      <c r="A2533" s="345">
        <v>3000</v>
      </c>
      <c r="B2533" s="346" t="s">
        <v>312</v>
      </c>
      <c r="C2533" s="347">
        <v>200</v>
      </c>
      <c r="D2533" s="348">
        <v>46388</v>
      </c>
      <c r="E2533" s="348">
        <v>46722</v>
      </c>
      <c r="F2533" s="346" t="s">
        <v>614</v>
      </c>
      <c r="G2533" s="349" t="s">
        <v>571</v>
      </c>
      <c r="H2533" s="350">
        <f t="shared" si="51"/>
        <v>2400</v>
      </c>
      <c r="I2533" s="120" t="str">
        <f>IF(OR(D2533&lt;Capa!$A$5,D2533&gt;Capa!$A$7,E2533&lt;Capa!$A$5,E2533&gt;Capa!$A$7,D2533&gt;E2533),"Erro","")</f>
        <v/>
      </c>
    </row>
    <row r="2534" spans="1:9" ht="30" hidden="1">
      <c r="A2534" s="345">
        <v>3001</v>
      </c>
      <c r="B2534" s="346" t="s">
        <v>312</v>
      </c>
      <c r="C2534" s="347">
        <v>100</v>
      </c>
      <c r="D2534" s="348">
        <v>46753</v>
      </c>
      <c r="E2534" s="348">
        <v>47058</v>
      </c>
      <c r="F2534" s="346" t="s">
        <v>614</v>
      </c>
      <c r="G2534" s="349" t="s">
        <v>571</v>
      </c>
      <c r="H2534" s="350">
        <f t="shared" si="51"/>
        <v>1100</v>
      </c>
      <c r="I2534" s="120" t="str">
        <f>IF(OR(D2534&lt;Capa!$A$5,D2534&gt;Capa!$A$7,E2534&lt;Capa!$A$5,E2534&gt;Capa!$A$7,D2534&gt;E2534),"Erro","")</f>
        <v/>
      </c>
    </row>
    <row r="2535" spans="1:9" ht="50" hidden="1">
      <c r="A2535" s="345">
        <v>3003</v>
      </c>
      <c r="B2535" s="346" t="s">
        <v>316</v>
      </c>
      <c r="C2535" s="347">
        <v>800</v>
      </c>
      <c r="D2535" s="348">
        <v>45658</v>
      </c>
      <c r="E2535" s="348">
        <v>45992</v>
      </c>
      <c r="F2535" s="346" t="s">
        <v>614</v>
      </c>
      <c r="G2535" s="349" t="s">
        <v>741</v>
      </c>
      <c r="H2535" s="350">
        <f t="shared" si="51"/>
        <v>9600</v>
      </c>
      <c r="I2535" s="120" t="str">
        <f>IF(OR(D2535&lt;Capa!$A$5,D2535&gt;Capa!$A$7,E2535&lt;Capa!$A$5,E2535&gt;Capa!$A$7,D2535&gt;E2535),"Erro","")</f>
        <v/>
      </c>
    </row>
    <row r="2536" spans="1:9" ht="50" hidden="1">
      <c r="A2536" s="345">
        <v>3004</v>
      </c>
      <c r="B2536" s="346" t="s">
        <v>316</v>
      </c>
      <c r="C2536" s="347">
        <v>800</v>
      </c>
      <c r="D2536" s="348">
        <v>46023</v>
      </c>
      <c r="E2536" s="348">
        <v>46357</v>
      </c>
      <c r="F2536" s="346" t="s">
        <v>614</v>
      </c>
      <c r="G2536" s="349" t="s">
        <v>741</v>
      </c>
      <c r="H2536" s="350">
        <f t="shared" si="51"/>
        <v>9600</v>
      </c>
      <c r="I2536" s="120" t="str">
        <f>IF(OR(D2536&lt;Capa!$A$5,D2536&gt;Capa!$A$7,E2536&lt;Capa!$A$5,E2536&gt;Capa!$A$7,D2536&gt;E2536),"Erro","")</f>
        <v/>
      </c>
    </row>
    <row r="2537" spans="1:9" ht="50" hidden="1">
      <c r="A2537" s="345">
        <v>3005</v>
      </c>
      <c r="B2537" s="346" t="s">
        <v>316</v>
      </c>
      <c r="C2537" s="347">
        <v>800</v>
      </c>
      <c r="D2537" s="348">
        <v>46388</v>
      </c>
      <c r="E2537" s="348">
        <v>46722</v>
      </c>
      <c r="F2537" s="346" t="s">
        <v>614</v>
      </c>
      <c r="G2537" s="349" t="s">
        <v>741</v>
      </c>
      <c r="H2537" s="350">
        <f t="shared" si="51"/>
        <v>9600</v>
      </c>
      <c r="I2537" s="120" t="str">
        <f>IF(OR(D2537&lt;Capa!$A$5,D2537&gt;Capa!$A$7,E2537&lt;Capa!$A$5,E2537&gt;Capa!$A$7,D2537&gt;E2537),"Erro","")</f>
        <v/>
      </c>
    </row>
    <row r="2538" spans="1:9" ht="50" hidden="1">
      <c r="A2538" s="345">
        <v>3006</v>
      </c>
      <c r="B2538" s="346" t="s">
        <v>316</v>
      </c>
      <c r="C2538" s="347">
        <v>400</v>
      </c>
      <c r="D2538" s="348">
        <v>46753</v>
      </c>
      <c r="E2538" s="348">
        <v>47058</v>
      </c>
      <c r="F2538" s="346" t="s">
        <v>614</v>
      </c>
      <c r="G2538" s="349" t="s">
        <v>741</v>
      </c>
      <c r="H2538" s="350">
        <f t="shared" si="51"/>
        <v>4400</v>
      </c>
      <c r="I2538" s="120" t="str">
        <f>IF(OR(D2538&lt;Capa!$A$5,D2538&gt;Capa!$A$7,E2538&lt;Capa!$A$5,E2538&gt;Capa!$A$7,D2538&gt;E2538),"Erro","")</f>
        <v/>
      </c>
    </row>
    <row r="2539" spans="1:9" ht="50" hidden="1">
      <c r="A2539" s="345">
        <v>3008</v>
      </c>
      <c r="B2539" s="346" t="s">
        <v>318</v>
      </c>
      <c r="C2539" s="347">
        <v>1000</v>
      </c>
      <c r="D2539" s="348">
        <v>45658</v>
      </c>
      <c r="E2539" s="348">
        <v>45992</v>
      </c>
      <c r="F2539" s="346" t="s">
        <v>614</v>
      </c>
      <c r="G2539" s="349" t="s">
        <v>572</v>
      </c>
      <c r="H2539" s="350">
        <f t="shared" si="51"/>
        <v>12000</v>
      </c>
      <c r="I2539" s="120" t="str">
        <f>IF(OR(D2539&lt;Capa!$A$5,D2539&gt;Capa!$A$7,E2539&lt;Capa!$A$5,E2539&gt;Capa!$A$7,D2539&gt;E2539),"Erro","")</f>
        <v/>
      </c>
    </row>
    <row r="2540" spans="1:9" ht="50" hidden="1">
      <c r="A2540" s="345">
        <v>3009</v>
      </c>
      <c r="B2540" s="346" t="s">
        <v>318</v>
      </c>
      <c r="C2540" s="347">
        <v>1000</v>
      </c>
      <c r="D2540" s="348">
        <v>46023</v>
      </c>
      <c r="E2540" s="348">
        <v>46357</v>
      </c>
      <c r="F2540" s="346" t="s">
        <v>614</v>
      </c>
      <c r="G2540" s="349" t="s">
        <v>572</v>
      </c>
      <c r="H2540" s="350">
        <f t="shared" si="51"/>
        <v>12000</v>
      </c>
      <c r="I2540" s="120" t="str">
        <f>IF(OR(D2540&lt;Capa!$A$5,D2540&gt;Capa!$A$7,E2540&lt;Capa!$A$5,E2540&gt;Capa!$A$7,D2540&gt;E2540),"Erro","")</f>
        <v/>
      </c>
    </row>
    <row r="2541" spans="1:9" ht="50" hidden="1">
      <c r="A2541" s="345">
        <v>3010</v>
      </c>
      <c r="B2541" s="346" t="s">
        <v>318</v>
      </c>
      <c r="C2541" s="347">
        <v>1000</v>
      </c>
      <c r="D2541" s="348">
        <v>46388</v>
      </c>
      <c r="E2541" s="348">
        <v>46722</v>
      </c>
      <c r="F2541" s="346" t="s">
        <v>614</v>
      </c>
      <c r="G2541" s="349" t="s">
        <v>572</v>
      </c>
      <c r="H2541" s="350">
        <f t="shared" si="51"/>
        <v>12000</v>
      </c>
      <c r="I2541" s="120" t="str">
        <f>IF(OR(D2541&lt;Capa!$A$5,D2541&gt;Capa!$A$7,E2541&lt;Capa!$A$5,E2541&gt;Capa!$A$7,D2541&gt;E2541),"Erro","")</f>
        <v/>
      </c>
    </row>
    <row r="2542" spans="1:9" ht="50" hidden="1">
      <c r="A2542" s="345">
        <v>3011</v>
      </c>
      <c r="B2542" s="346" t="s">
        <v>318</v>
      </c>
      <c r="C2542" s="347">
        <v>200</v>
      </c>
      <c r="D2542" s="348">
        <v>46753</v>
      </c>
      <c r="E2542" s="348">
        <v>47058</v>
      </c>
      <c r="F2542" s="346" t="s">
        <v>614</v>
      </c>
      <c r="G2542" s="349" t="s">
        <v>572</v>
      </c>
      <c r="H2542" s="350">
        <f t="shared" si="51"/>
        <v>2200</v>
      </c>
      <c r="I2542" s="120" t="str">
        <f>IF(OR(D2542&lt;Capa!$A$5,D2542&gt;Capa!$A$7,E2542&lt;Capa!$A$5,E2542&gt;Capa!$A$7,D2542&gt;E2542),"Erro","")</f>
        <v/>
      </c>
    </row>
    <row r="2543" spans="1:9" ht="50" hidden="1">
      <c r="A2543" s="345">
        <v>3013</v>
      </c>
      <c r="B2543" s="346" t="s">
        <v>318</v>
      </c>
      <c r="C2543" s="347">
        <v>700</v>
      </c>
      <c r="D2543" s="348">
        <v>45658</v>
      </c>
      <c r="E2543" s="348">
        <v>45992</v>
      </c>
      <c r="F2543" s="346" t="s">
        <v>614</v>
      </c>
      <c r="G2543" s="349" t="s">
        <v>456</v>
      </c>
      <c r="H2543" s="350">
        <f t="shared" si="51"/>
        <v>8400</v>
      </c>
      <c r="I2543" s="120" t="str">
        <f>IF(OR(D2543&lt;Capa!$A$5,D2543&gt;Capa!$A$7,E2543&lt;Capa!$A$5,E2543&gt;Capa!$A$7,D2543&gt;E2543),"Erro","")</f>
        <v/>
      </c>
    </row>
    <row r="2544" spans="1:9" ht="50" hidden="1">
      <c r="A2544" s="345">
        <v>3014</v>
      </c>
      <c r="B2544" s="346" t="s">
        <v>318</v>
      </c>
      <c r="C2544" s="347">
        <v>700</v>
      </c>
      <c r="D2544" s="348">
        <v>46023</v>
      </c>
      <c r="E2544" s="348">
        <v>46357</v>
      </c>
      <c r="F2544" s="346" t="s">
        <v>614</v>
      </c>
      <c r="G2544" s="349" t="s">
        <v>456</v>
      </c>
      <c r="H2544" s="350">
        <f t="shared" si="51"/>
        <v>8400</v>
      </c>
      <c r="I2544" s="120" t="str">
        <f>IF(OR(D2544&lt;Capa!$A$5,D2544&gt;Capa!$A$7,E2544&lt;Capa!$A$5,E2544&gt;Capa!$A$7,D2544&gt;E2544),"Erro","")</f>
        <v/>
      </c>
    </row>
    <row r="2545" spans="1:9" ht="50" hidden="1">
      <c r="A2545" s="345">
        <v>3015</v>
      </c>
      <c r="B2545" s="346" t="s">
        <v>318</v>
      </c>
      <c r="C2545" s="347">
        <v>700</v>
      </c>
      <c r="D2545" s="348">
        <v>46388</v>
      </c>
      <c r="E2545" s="348">
        <v>46722</v>
      </c>
      <c r="F2545" s="346" t="s">
        <v>614</v>
      </c>
      <c r="G2545" s="349" t="s">
        <v>456</v>
      </c>
      <c r="H2545" s="350">
        <f t="shared" si="51"/>
        <v>8400</v>
      </c>
      <c r="I2545" s="120" t="str">
        <f>IF(OR(D2545&lt;Capa!$A$5,D2545&gt;Capa!$A$7,E2545&lt;Capa!$A$5,E2545&gt;Capa!$A$7,D2545&gt;E2545),"Erro","")</f>
        <v/>
      </c>
    </row>
    <row r="2546" spans="1:9" ht="50" hidden="1">
      <c r="A2546" s="345">
        <v>3016</v>
      </c>
      <c r="B2546" s="346" t="s">
        <v>318</v>
      </c>
      <c r="C2546" s="347">
        <v>200</v>
      </c>
      <c r="D2546" s="348">
        <v>46753</v>
      </c>
      <c r="E2546" s="348">
        <v>47058</v>
      </c>
      <c r="F2546" s="346" t="s">
        <v>614</v>
      </c>
      <c r="G2546" s="349" t="s">
        <v>456</v>
      </c>
      <c r="H2546" s="350">
        <f t="shared" si="51"/>
        <v>2200</v>
      </c>
      <c r="I2546" s="120" t="str">
        <f>IF(OR(D2546&lt;Capa!$A$5,D2546&gt;Capa!$A$7,E2546&lt;Capa!$A$5,E2546&gt;Capa!$A$7,D2546&gt;E2546),"Erro","")</f>
        <v/>
      </c>
    </row>
    <row r="2547" spans="1:9" ht="20" hidden="1">
      <c r="A2547" s="345">
        <v>3018</v>
      </c>
      <c r="B2547" s="346" t="s">
        <v>298</v>
      </c>
      <c r="C2547" s="347">
        <v>2450</v>
      </c>
      <c r="D2547" s="348">
        <v>45658</v>
      </c>
      <c r="E2547" s="348">
        <v>45992</v>
      </c>
      <c r="F2547" s="346" t="s">
        <v>614</v>
      </c>
      <c r="G2547" s="349" t="s">
        <v>457</v>
      </c>
      <c r="H2547" s="350">
        <f t="shared" si="51"/>
        <v>29400</v>
      </c>
      <c r="I2547" s="120" t="str">
        <f>IF(OR(D2547&lt;Capa!$A$5,D2547&gt;Capa!$A$7,E2547&lt;Capa!$A$5,E2547&gt;Capa!$A$7,D2547&gt;E2547),"Erro","")</f>
        <v/>
      </c>
    </row>
    <row r="2548" spans="1:9" ht="20" hidden="1">
      <c r="A2548" s="345">
        <v>3019</v>
      </c>
      <c r="B2548" s="346" t="s">
        <v>298</v>
      </c>
      <c r="C2548" s="347">
        <v>2450</v>
      </c>
      <c r="D2548" s="348">
        <v>46023</v>
      </c>
      <c r="E2548" s="348">
        <v>46357</v>
      </c>
      <c r="F2548" s="346" t="s">
        <v>614</v>
      </c>
      <c r="G2548" s="349" t="s">
        <v>457</v>
      </c>
      <c r="H2548" s="350">
        <f t="shared" si="51"/>
        <v>29400</v>
      </c>
      <c r="I2548" s="120" t="str">
        <f>IF(OR(D2548&lt;Capa!$A$5,D2548&gt;Capa!$A$7,E2548&lt;Capa!$A$5,E2548&gt;Capa!$A$7,D2548&gt;E2548),"Erro","")</f>
        <v/>
      </c>
    </row>
    <row r="2549" spans="1:9" ht="20" hidden="1">
      <c r="A2549" s="345">
        <v>3020</v>
      </c>
      <c r="B2549" s="346" t="s">
        <v>298</v>
      </c>
      <c r="C2549" s="347">
        <v>2450</v>
      </c>
      <c r="D2549" s="348">
        <v>46388</v>
      </c>
      <c r="E2549" s="348">
        <v>46722</v>
      </c>
      <c r="F2549" s="346" t="s">
        <v>614</v>
      </c>
      <c r="G2549" s="349" t="s">
        <v>457</v>
      </c>
      <c r="H2549" s="350">
        <f t="shared" si="51"/>
        <v>29400</v>
      </c>
      <c r="I2549" s="120" t="str">
        <f>IF(OR(D2549&lt;Capa!$A$5,D2549&gt;Capa!$A$7,E2549&lt;Capa!$A$5,E2549&gt;Capa!$A$7,D2549&gt;E2549),"Erro","")</f>
        <v/>
      </c>
    </row>
    <row r="2550" spans="1:9" ht="20" hidden="1">
      <c r="A2550" s="345">
        <v>3021</v>
      </c>
      <c r="B2550" s="346" t="s">
        <v>298</v>
      </c>
      <c r="C2550" s="347">
        <v>1250</v>
      </c>
      <c r="D2550" s="348">
        <v>46753</v>
      </c>
      <c r="E2550" s="348">
        <v>47058</v>
      </c>
      <c r="F2550" s="346" t="s">
        <v>614</v>
      </c>
      <c r="G2550" s="349" t="s">
        <v>457</v>
      </c>
      <c r="H2550" s="350">
        <f t="shared" si="51"/>
        <v>13750</v>
      </c>
      <c r="I2550" s="120" t="str">
        <f>IF(OR(D2550&lt;Capa!$A$5,D2550&gt;Capa!$A$7,E2550&lt;Capa!$A$5,E2550&gt;Capa!$A$7,D2550&gt;E2550),"Erro","")</f>
        <v/>
      </c>
    </row>
    <row r="2551" spans="1:9" ht="30" hidden="1">
      <c r="A2551" s="345">
        <v>3022</v>
      </c>
      <c r="B2551" s="346" t="s">
        <v>238</v>
      </c>
      <c r="C2551" s="347">
        <v>480</v>
      </c>
      <c r="D2551" s="348">
        <v>45658</v>
      </c>
      <c r="E2551" s="348">
        <v>45992</v>
      </c>
      <c r="F2551" s="346" t="s">
        <v>614</v>
      </c>
      <c r="G2551" s="349" t="s">
        <v>458</v>
      </c>
      <c r="H2551" s="350">
        <f t="shared" si="51"/>
        <v>5760</v>
      </c>
      <c r="I2551" s="120" t="str">
        <f>IF(OR(D2551&lt;Capa!$A$5,D2551&gt;Capa!$A$7,E2551&lt;Capa!$A$5,E2551&gt;Capa!$A$7,D2551&gt;E2551),"Erro","")</f>
        <v/>
      </c>
    </row>
    <row r="2552" spans="1:9" ht="30" hidden="1">
      <c r="A2552" s="345">
        <v>3023</v>
      </c>
      <c r="B2552" s="346" t="s">
        <v>238</v>
      </c>
      <c r="C2552" s="347">
        <v>480</v>
      </c>
      <c r="D2552" s="348">
        <v>46023</v>
      </c>
      <c r="E2552" s="348">
        <v>46357</v>
      </c>
      <c r="F2552" s="346" t="s">
        <v>614</v>
      </c>
      <c r="G2552" s="349" t="s">
        <v>458</v>
      </c>
      <c r="H2552" s="350">
        <f t="shared" si="51"/>
        <v>5760</v>
      </c>
      <c r="I2552" s="120" t="str">
        <f>IF(OR(D2552&lt;Capa!$A$5,D2552&gt;Capa!$A$7,E2552&lt;Capa!$A$5,E2552&gt;Capa!$A$7,D2552&gt;E2552),"Erro","")</f>
        <v/>
      </c>
    </row>
    <row r="2553" spans="1:9" ht="30" hidden="1">
      <c r="A2553" s="345">
        <v>3024</v>
      </c>
      <c r="B2553" s="346" t="s">
        <v>238</v>
      </c>
      <c r="C2553" s="347">
        <v>480</v>
      </c>
      <c r="D2553" s="348">
        <v>46388</v>
      </c>
      <c r="E2553" s="348">
        <v>46722</v>
      </c>
      <c r="F2553" s="346" t="s">
        <v>614</v>
      </c>
      <c r="G2553" s="349" t="s">
        <v>458</v>
      </c>
      <c r="H2553" s="350">
        <f t="shared" si="51"/>
        <v>5760</v>
      </c>
      <c r="I2553" s="120" t="str">
        <f>IF(OR(D2553&lt;Capa!$A$5,D2553&gt;Capa!$A$7,E2553&lt;Capa!$A$5,E2553&gt;Capa!$A$7,D2553&gt;E2553),"Erro","")</f>
        <v/>
      </c>
    </row>
    <row r="2554" spans="1:9" ht="30" hidden="1">
      <c r="A2554" s="345">
        <v>3025</v>
      </c>
      <c r="B2554" s="346" t="s">
        <v>238</v>
      </c>
      <c r="C2554" s="347">
        <v>240</v>
      </c>
      <c r="D2554" s="348">
        <v>46753</v>
      </c>
      <c r="E2554" s="348">
        <v>47058</v>
      </c>
      <c r="F2554" s="346" t="s">
        <v>614</v>
      </c>
      <c r="G2554" s="349" t="s">
        <v>458</v>
      </c>
      <c r="H2554" s="350">
        <f t="shared" si="51"/>
        <v>2640</v>
      </c>
      <c r="I2554" s="120" t="str">
        <f>IF(OR(D2554&lt;Capa!$A$5,D2554&gt;Capa!$A$7,E2554&lt;Capa!$A$5,E2554&gt;Capa!$A$7,D2554&gt;E2554),"Erro","")</f>
        <v/>
      </c>
    </row>
    <row r="2555" spans="1:9" ht="40" hidden="1">
      <c r="A2555" s="345">
        <v>3027</v>
      </c>
      <c r="B2555" s="346" t="s">
        <v>252</v>
      </c>
      <c r="C2555" s="347">
        <v>8000</v>
      </c>
      <c r="D2555" s="348">
        <v>45658</v>
      </c>
      <c r="E2555" s="348">
        <v>45992</v>
      </c>
      <c r="F2555" s="346" t="s">
        <v>614</v>
      </c>
      <c r="G2555" s="349" t="s">
        <v>459</v>
      </c>
      <c r="H2555" s="350">
        <f t="shared" si="51"/>
        <v>96000</v>
      </c>
      <c r="I2555" s="120" t="str">
        <f>IF(OR(D2555&lt;Capa!$A$5,D2555&gt;Capa!$A$7,E2555&lt;Capa!$A$5,E2555&gt;Capa!$A$7,D2555&gt;E2555),"Erro","")</f>
        <v/>
      </c>
    </row>
    <row r="2556" spans="1:9" ht="40" hidden="1">
      <c r="A2556" s="345">
        <v>3028</v>
      </c>
      <c r="B2556" s="346" t="s">
        <v>252</v>
      </c>
      <c r="C2556" s="347">
        <v>8000</v>
      </c>
      <c r="D2556" s="348">
        <v>46023</v>
      </c>
      <c r="E2556" s="348">
        <v>46357</v>
      </c>
      <c r="F2556" s="346" t="s">
        <v>614</v>
      </c>
      <c r="G2556" s="349" t="s">
        <v>459</v>
      </c>
      <c r="H2556" s="350">
        <f t="shared" si="51"/>
        <v>96000</v>
      </c>
      <c r="I2556" s="120" t="str">
        <f>IF(OR(D2556&lt;Capa!$A$5,D2556&gt;Capa!$A$7,E2556&lt;Capa!$A$5,E2556&gt;Capa!$A$7,D2556&gt;E2556),"Erro","")</f>
        <v/>
      </c>
    </row>
    <row r="2557" spans="1:9" ht="40" hidden="1">
      <c r="A2557" s="345">
        <v>3029</v>
      </c>
      <c r="B2557" s="346" t="s">
        <v>252</v>
      </c>
      <c r="C2557" s="347">
        <v>8000</v>
      </c>
      <c r="D2557" s="348">
        <v>46388</v>
      </c>
      <c r="E2557" s="348">
        <v>46722</v>
      </c>
      <c r="F2557" s="346" t="s">
        <v>614</v>
      </c>
      <c r="G2557" s="349" t="s">
        <v>459</v>
      </c>
      <c r="H2557" s="350">
        <f t="shared" si="51"/>
        <v>96000</v>
      </c>
      <c r="I2557" s="120" t="str">
        <f>IF(OR(D2557&lt;Capa!$A$5,D2557&gt;Capa!$A$7,E2557&lt;Capa!$A$5,E2557&gt;Capa!$A$7,D2557&gt;E2557),"Erro","")</f>
        <v/>
      </c>
    </row>
    <row r="2558" spans="1:9" ht="40" hidden="1">
      <c r="A2558" s="345">
        <v>3030</v>
      </c>
      <c r="B2558" s="346" t="s">
        <v>252</v>
      </c>
      <c r="C2558" s="347">
        <v>4000</v>
      </c>
      <c r="D2558" s="348">
        <v>46753</v>
      </c>
      <c r="E2558" s="348">
        <v>47058</v>
      </c>
      <c r="F2558" s="346" t="s">
        <v>614</v>
      </c>
      <c r="G2558" s="349" t="s">
        <v>459</v>
      </c>
      <c r="H2558" s="350">
        <f t="shared" si="51"/>
        <v>44000</v>
      </c>
      <c r="I2558" s="120" t="str">
        <f>IF(OR(D2558&lt;Capa!$A$5,D2558&gt;Capa!$A$7,E2558&lt;Capa!$A$5,E2558&gt;Capa!$A$7,D2558&gt;E2558),"Erro","")</f>
        <v/>
      </c>
    </row>
    <row r="2559" spans="1:9" ht="30" hidden="1">
      <c r="A2559" s="345">
        <v>3033</v>
      </c>
      <c r="B2559" s="346" t="s">
        <v>621</v>
      </c>
      <c r="C2559" s="347">
        <v>2000</v>
      </c>
      <c r="D2559" s="348">
        <v>46023</v>
      </c>
      <c r="E2559" s="348">
        <v>46023</v>
      </c>
      <c r="F2559" s="346" t="s">
        <v>614</v>
      </c>
      <c r="G2559" s="349" t="s">
        <v>595</v>
      </c>
      <c r="H2559" s="350">
        <f t="shared" ref="H2559:H2560" si="52">IFERROR((DATEDIF(D2559,E2559,"M")+1)*C2559,0)</f>
        <v>2000</v>
      </c>
      <c r="I2559" s="120" t="str">
        <f>IF(OR(D2559&lt;Capa!$A$5,D2559&gt;Capa!$A$7,E2559&lt;Capa!$A$5,E2559&gt;Capa!$A$7,D2559&gt;E2559),"Erro","")</f>
        <v/>
      </c>
    </row>
    <row r="2560" spans="1:9" ht="30" hidden="1">
      <c r="A2560" s="345">
        <v>3034</v>
      </c>
      <c r="B2560" s="346" t="s">
        <v>621</v>
      </c>
      <c r="C2560" s="347">
        <v>2000</v>
      </c>
      <c r="D2560" s="348">
        <v>46753</v>
      </c>
      <c r="E2560" s="348">
        <v>46753</v>
      </c>
      <c r="F2560" s="346" t="s">
        <v>614</v>
      </c>
      <c r="G2560" s="349" t="s">
        <v>595</v>
      </c>
      <c r="H2560" s="350">
        <f t="shared" si="52"/>
        <v>2000</v>
      </c>
      <c r="I2560" s="120" t="str">
        <f>IF(OR(D2560&lt;Capa!$A$5,D2560&gt;Capa!$A$7,E2560&lt;Capa!$A$5,E2560&gt;Capa!$A$7,D2560&gt;E2560),"Erro","")</f>
        <v/>
      </c>
    </row>
    <row r="2561" spans="1:9" ht="20" hidden="1">
      <c r="A2561" s="345">
        <v>3035</v>
      </c>
      <c r="B2561" s="346" t="s">
        <v>620</v>
      </c>
      <c r="C2561" s="347">
        <v>110</v>
      </c>
      <c r="D2561" s="348">
        <v>45658</v>
      </c>
      <c r="E2561" s="348">
        <v>47058</v>
      </c>
      <c r="F2561" s="346" t="s">
        <v>614</v>
      </c>
      <c r="G2561" s="349" t="s">
        <v>662</v>
      </c>
      <c r="H2561" s="350">
        <f t="shared" ref="H2561:H2617" si="53">IFERROR((DATEDIF(D2561,E2561,"M")+1)*C2561,0)</f>
        <v>5170</v>
      </c>
      <c r="I2561" s="120" t="str">
        <f>IF(OR(D2561&lt;Capa!$A$5,D2561&gt;Capa!$A$7,E2561&lt;Capa!$A$5,E2561&gt;Capa!$A$7,D2561&gt;E2561),"Erro","")</f>
        <v/>
      </c>
    </row>
    <row r="2562" spans="1:9" ht="20" hidden="1">
      <c r="A2562" s="345">
        <v>3037</v>
      </c>
      <c r="B2562" s="346" t="s">
        <v>622</v>
      </c>
      <c r="C2562" s="347">
        <v>850</v>
      </c>
      <c r="D2562" s="348">
        <v>45658</v>
      </c>
      <c r="E2562" s="348">
        <v>47058</v>
      </c>
      <c r="F2562" s="346" t="s">
        <v>614</v>
      </c>
      <c r="G2562" s="349" t="s">
        <v>664</v>
      </c>
      <c r="H2562" s="350">
        <f t="shared" si="53"/>
        <v>39950</v>
      </c>
      <c r="I2562" s="120" t="str">
        <f>IF(OR(D2562&lt;Capa!$A$5,D2562&gt;Capa!$A$7,E2562&lt;Capa!$A$5,E2562&gt;Capa!$A$7,D2562&gt;E2562),"Erro","")</f>
        <v/>
      </c>
    </row>
    <row r="2563" spans="1:9" ht="30" hidden="1">
      <c r="A2563" s="345">
        <v>3038</v>
      </c>
      <c r="B2563" s="346" t="s">
        <v>619</v>
      </c>
      <c r="C2563" s="347">
        <v>70</v>
      </c>
      <c r="D2563" s="348">
        <v>45658</v>
      </c>
      <c r="E2563" s="348">
        <v>47058</v>
      </c>
      <c r="F2563" s="346" t="s">
        <v>614</v>
      </c>
      <c r="G2563" s="349" t="s">
        <v>639</v>
      </c>
      <c r="H2563" s="350">
        <f t="shared" si="53"/>
        <v>3290</v>
      </c>
      <c r="I2563" s="120" t="str">
        <f>IF(OR(D2563&lt;Capa!$A$5,D2563&gt;Capa!$A$7,E2563&lt;Capa!$A$5,E2563&gt;Capa!$A$7,D2563&gt;E2563),"Erro","")</f>
        <v/>
      </c>
    </row>
    <row r="2564" spans="1:9" ht="30" hidden="1">
      <c r="A2564" s="345">
        <v>3039</v>
      </c>
      <c r="B2564" s="346" t="s">
        <v>617</v>
      </c>
      <c r="C2564" s="347">
        <v>200</v>
      </c>
      <c r="D2564" s="348">
        <v>45658</v>
      </c>
      <c r="E2564" s="348">
        <v>47058</v>
      </c>
      <c r="F2564" s="346" t="s">
        <v>614</v>
      </c>
      <c r="G2564" s="349" t="s">
        <v>639</v>
      </c>
      <c r="H2564" s="350">
        <f t="shared" si="53"/>
        <v>9400</v>
      </c>
      <c r="I2564" s="120" t="str">
        <f>IF(OR(D2564&lt;Capa!$A$5,D2564&gt;Capa!$A$7,E2564&lt;Capa!$A$5,E2564&gt;Capa!$A$7,D2564&gt;E2564),"Erro","")</f>
        <v/>
      </c>
    </row>
    <row r="2565" spans="1:9" ht="20" hidden="1">
      <c r="A2565" s="345">
        <v>3040</v>
      </c>
      <c r="B2565" s="346" t="s">
        <v>618</v>
      </c>
      <c r="C2565" s="347">
        <v>2500</v>
      </c>
      <c r="D2565" s="348">
        <v>45658</v>
      </c>
      <c r="E2565" s="348">
        <v>47058</v>
      </c>
      <c r="F2565" s="346" t="s">
        <v>614</v>
      </c>
      <c r="G2565" s="349" t="s">
        <v>657</v>
      </c>
      <c r="H2565" s="350">
        <f t="shared" si="53"/>
        <v>117500</v>
      </c>
      <c r="I2565" s="120" t="str">
        <f>IF(OR(D2565&lt;Capa!$A$5,D2565&gt;Capa!$A$7,E2565&lt;Capa!$A$5,E2565&gt;Capa!$A$7,D2565&gt;E2565),"Erro","")</f>
        <v/>
      </c>
    </row>
    <row r="2566" spans="1:9" ht="30" hidden="1">
      <c r="A2566" s="345">
        <v>3042</v>
      </c>
      <c r="B2566" s="346" t="s">
        <v>623</v>
      </c>
      <c r="C2566" s="347">
        <v>650</v>
      </c>
      <c r="D2566" s="348">
        <v>45658</v>
      </c>
      <c r="E2566" s="348">
        <v>46784</v>
      </c>
      <c r="F2566" s="346" t="s">
        <v>614</v>
      </c>
      <c r="G2566" s="349" t="s">
        <v>658</v>
      </c>
      <c r="H2566" s="350">
        <f t="shared" si="53"/>
        <v>24700</v>
      </c>
      <c r="I2566" s="120" t="str">
        <f>IF(OR(D2566&lt;Capa!$A$5,D2566&gt;Capa!$A$7,E2566&lt;Capa!$A$5,E2566&gt;Capa!$A$7,D2566&gt;E2566),"Erro","")</f>
        <v/>
      </c>
    </row>
    <row r="2567" spans="1:9" ht="20" hidden="1">
      <c r="A2567" s="345">
        <v>3043</v>
      </c>
      <c r="B2567" s="346" t="s">
        <v>625</v>
      </c>
      <c r="C2567" s="347">
        <v>90</v>
      </c>
      <c r="D2567" s="348">
        <v>45658</v>
      </c>
      <c r="E2567" s="348">
        <v>47058</v>
      </c>
      <c r="F2567" s="346" t="s">
        <v>614</v>
      </c>
      <c r="G2567" s="349" t="s">
        <v>659</v>
      </c>
      <c r="H2567" s="350">
        <f t="shared" si="53"/>
        <v>4230</v>
      </c>
      <c r="I2567" s="120" t="str">
        <f>IF(OR(D2567&lt;Capa!$A$5,D2567&gt;Capa!$A$7,E2567&lt;Capa!$A$5,E2567&gt;Capa!$A$7,D2567&gt;E2567),"Erro","")</f>
        <v/>
      </c>
    </row>
    <row r="2568" spans="1:9" ht="20" hidden="1">
      <c r="A2568" s="345">
        <v>3044</v>
      </c>
      <c r="B2568" s="346" t="s">
        <v>627</v>
      </c>
      <c r="C2568" s="347">
        <v>50</v>
      </c>
      <c r="D2568" s="348">
        <v>45658</v>
      </c>
      <c r="E2568" s="348">
        <v>47058</v>
      </c>
      <c r="F2568" s="346" t="s">
        <v>614</v>
      </c>
      <c r="G2568" s="349" t="s">
        <v>661</v>
      </c>
      <c r="H2568" s="350">
        <f t="shared" si="53"/>
        <v>2350</v>
      </c>
      <c r="I2568" s="120" t="str">
        <f>IF(OR(D2568&lt;Capa!$A$5,D2568&gt;Capa!$A$7,E2568&lt;Capa!$A$5,E2568&gt;Capa!$A$7,D2568&gt;E2568),"Erro","")</f>
        <v/>
      </c>
    </row>
    <row r="2569" spans="1:9" ht="30" hidden="1">
      <c r="A2569" s="345">
        <v>3045</v>
      </c>
      <c r="B2569" s="346" t="s">
        <v>626</v>
      </c>
      <c r="C2569" s="347">
        <v>350</v>
      </c>
      <c r="D2569" s="348">
        <v>45658</v>
      </c>
      <c r="E2569" s="348">
        <v>47058</v>
      </c>
      <c r="F2569" s="346" t="s">
        <v>614</v>
      </c>
      <c r="G2569" s="349" t="s">
        <v>660</v>
      </c>
      <c r="H2569" s="350">
        <f t="shared" si="53"/>
        <v>16450</v>
      </c>
      <c r="I2569" s="120" t="str">
        <f>IF(OR(D2569&lt;Capa!$A$5,D2569&gt;Capa!$A$7,E2569&lt;Capa!$A$5,E2569&gt;Capa!$A$7,D2569&gt;E2569),"Erro","")</f>
        <v/>
      </c>
    </row>
    <row r="2570" spans="1:9" ht="20" hidden="1">
      <c r="A2570" s="345">
        <v>3047</v>
      </c>
      <c r="B2570" s="346" t="s">
        <v>198</v>
      </c>
      <c r="C2570" s="347">
        <v>11550</v>
      </c>
      <c r="D2570" s="348">
        <v>45658</v>
      </c>
      <c r="E2570" s="348">
        <v>45992</v>
      </c>
      <c r="F2570" s="346" t="s">
        <v>615</v>
      </c>
      <c r="G2570" s="349" t="s">
        <v>437</v>
      </c>
      <c r="H2570" s="350">
        <f t="shared" si="53"/>
        <v>138600</v>
      </c>
      <c r="I2570" s="120" t="str">
        <f>IF(OR(D2570&lt;Capa!$A$5,D2570&gt;Capa!$A$7,E2570&lt;Capa!$A$5,E2570&gt;Capa!$A$7,D2570&gt;E2570),"Erro","")</f>
        <v/>
      </c>
    </row>
    <row r="2571" spans="1:9" ht="20" hidden="1">
      <c r="A2571" s="345">
        <v>3048</v>
      </c>
      <c r="B2571" s="346" t="s">
        <v>198</v>
      </c>
      <c r="C2571" s="347">
        <v>12127.5</v>
      </c>
      <c r="D2571" s="348">
        <v>46023</v>
      </c>
      <c r="E2571" s="348">
        <v>46357</v>
      </c>
      <c r="F2571" s="346" t="s">
        <v>615</v>
      </c>
      <c r="G2571" s="349" t="s">
        <v>437</v>
      </c>
      <c r="H2571" s="350">
        <f t="shared" si="53"/>
        <v>145530</v>
      </c>
      <c r="I2571" s="120" t="str">
        <f>IF(OR(D2571&lt;Capa!$A$5,D2571&gt;Capa!$A$7,E2571&lt;Capa!$A$5,E2571&gt;Capa!$A$7,D2571&gt;E2571),"Erro","")</f>
        <v/>
      </c>
    </row>
    <row r="2572" spans="1:9" ht="20" hidden="1">
      <c r="A2572" s="345">
        <v>3049</v>
      </c>
      <c r="B2572" s="346" t="s">
        <v>198</v>
      </c>
      <c r="C2572" s="347">
        <v>12733.875</v>
      </c>
      <c r="D2572" s="348">
        <v>46388</v>
      </c>
      <c r="E2572" s="348">
        <v>46722</v>
      </c>
      <c r="F2572" s="346" t="s">
        <v>615</v>
      </c>
      <c r="G2572" s="349" t="s">
        <v>437</v>
      </c>
      <c r="H2572" s="350">
        <f t="shared" si="53"/>
        <v>152806.5</v>
      </c>
      <c r="I2572" s="120" t="str">
        <f>IF(OR(D2572&lt;Capa!$A$5,D2572&gt;Capa!$A$7,E2572&lt;Capa!$A$5,E2572&gt;Capa!$A$7,D2572&gt;E2572),"Erro","")</f>
        <v/>
      </c>
    </row>
    <row r="2573" spans="1:9" ht="20" hidden="1">
      <c r="A2573" s="345">
        <v>3050</v>
      </c>
      <c r="B2573" s="346" t="s">
        <v>198</v>
      </c>
      <c r="C2573" s="347">
        <v>5500</v>
      </c>
      <c r="D2573" s="348">
        <v>46753</v>
      </c>
      <c r="E2573" s="348">
        <v>47058</v>
      </c>
      <c r="F2573" s="346" t="s">
        <v>615</v>
      </c>
      <c r="G2573" s="349" t="s">
        <v>437</v>
      </c>
      <c r="H2573" s="350">
        <f t="shared" si="53"/>
        <v>60500</v>
      </c>
      <c r="I2573" s="120" t="str">
        <f>IF(OR(D2573&lt;Capa!$A$5,D2573&gt;Capa!$A$7,E2573&lt;Capa!$A$5,E2573&gt;Capa!$A$7,D2573&gt;E2573),"Erro","")</f>
        <v/>
      </c>
    </row>
    <row r="2574" spans="1:9" ht="20" hidden="1">
      <c r="A2574" s="345">
        <v>3051</v>
      </c>
      <c r="B2574" s="346" t="s">
        <v>202</v>
      </c>
      <c r="C2574" s="347">
        <v>1500</v>
      </c>
      <c r="D2574" s="348">
        <v>45658</v>
      </c>
      <c r="E2574" s="348">
        <v>45717</v>
      </c>
      <c r="F2574" s="346" t="s">
        <v>615</v>
      </c>
      <c r="G2574" s="349" t="s">
        <v>438</v>
      </c>
      <c r="H2574" s="350">
        <f t="shared" si="53"/>
        <v>4500</v>
      </c>
      <c r="I2574" s="120" t="str">
        <f>IF(OR(D2574&lt;Capa!$A$5,D2574&gt;Capa!$A$7,E2574&lt;Capa!$A$5,E2574&gt;Capa!$A$7,D2574&gt;E2574),"Erro","")</f>
        <v/>
      </c>
    </row>
    <row r="2575" spans="1:9" ht="20" hidden="1">
      <c r="A2575" s="345">
        <v>3052</v>
      </c>
      <c r="B2575" s="346" t="s">
        <v>202</v>
      </c>
      <c r="C2575" s="347">
        <v>1300</v>
      </c>
      <c r="D2575" s="348">
        <v>46023</v>
      </c>
      <c r="E2575" s="348">
        <v>46082</v>
      </c>
      <c r="F2575" s="346" t="s">
        <v>615</v>
      </c>
      <c r="G2575" s="349" t="s">
        <v>438</v>
      </c>
      <c r="H2575" s="350">
        <f t="shared" si="53"/>
        <v>3900</v>
      </c>
      <c r="I2575" s="120" t="str">
        <f>IF(OR(D2575&lt;Capa!$A$5,D2575&gt;Capa!$A$7,E2575&lt;Capa!$A$5,E2575&gt;Capa!$A$7,D2575&gt;E2575),"Erro","")</f>
        <v/>
      </c>
    </row>
    <row r="2576" spans="1:9" ht="20" hidden="1">
      <c r="A2576" s="345">
        <v>3053</v>
      </c>
      <c r="B2576" s="346" t="s">
        <v>202</v>
      </c>
      <c r="C2576" s="347">
        <v>1300</v>
      </c>
      <c r="D2576" s="348">
        <v>46388</v>
      </c>
      <c r="E2576" s="348">
        <v>46447</v>
      </c>
      <c r="F2576" s="346" t="s">
        <v>615</v>
      </c>
      <c r="G2576" s="349" t="s">
        <v>438</v>
      </c>
      <c r="H2576" s="350">
        <f t="shared" si="53"/>
        <v>3900</v>
      </c>
      <c r="I2576" s="120" t="str">
        <f>IF(OR(D2576&lt;Capa!$A$5,D2576&gt;Capa!$A$7,E2576&lt;Capa!$A$5,E2576&gt;Capa!$A$7,D2576&gt;E2576),"Erro","")</f>
        <v/>
      </c>
    </row>
    <row r="2577" spans="1:9" ht="20" hidden="1">
      <c r="A2577" s="345">
        <v>3054</v>
      </c>
      <c r="B2577" s="346" t="s">
        <v>202</v>
      </c>
      <c r="C2577" s="347">
        <v>750</v>
      </c>
      <c r="D2577" s="348">
        <v>46753</v>
      </c>
      <c r="E2577" s="348">
        <v>46813</v>
      </c>
      <c r="F2577" s="346" t="s">
        <v>615</v>
      </c>
      <c r="G2577" s="349" t="s">
        <v>438</v>
      </c>
      <c r="H2577" s="350">
        <f t="shared" si="53"/>
        <v>2250</v>
      </c>
      <c r="I2577" s="120" t="str">
        <f>IF(OR(D2577&lt;Capa!$A$5,D2577&gt;Capa!$A$7,E2577&lt;Capa!$A$5,E2577&gt;Capa!$A$7,D2577&gt;E2577),"Erro","")</f>
        <v/>
      </c>
    </row>
    <row r="2578" spans="1:9" ht="20" hidden="1">
      <c r="A2578" s="345">
        <v>3055</v>
      </c>
      <c r="B2578" s="346" t="s">
        <v>204</v>
      </c>
      <c r="C2578" s="347">
        <v>1250</v>
      </c>
      <c r="D2578" s="348">
        <v>45658</v>
      </c>
      <c r="E2578" s="348">
        <v>45839</v>
      </c>
      <c r="F2578" s="346" t="s">
        <v>615</v>
      </c>
      <c r="G2578" s="349" t="s">
        <v>438</v>
      </c>
      <c r="H2578" s="350">
        <f t="shared" si="53"/>
        <v>8750</v>
      </c>
      <c r="I2578" s="120" t="str">
        <f>IF(OR(D2578&lt;Capa!$A$5,D2578&gt;Capa!$A$7,E2578&lt;Capa!$A$5,E2578&gt;Capa!$A$7,D2578&gt;E2578),"Erro","")</f>
        <v/>
      </c>
    </row>
    <row r="2579" spans="1:9" ht="20" hidden="1">
      <c r="A2579" s="345">
        <v>3056</v>
      </c>
      <c r="B2579" s="346" t="s">
        <v>204</v>
      </c>
      <c r="C2579" s="347">
        <v>1250</v>
      </c>
      <c r="D2579" s="348">
        <v>46023</v>
      </c>
      <c r="E2579" s="348">
        <v>46204</v>
      </c>
      <c r="F2579" s="346" t="s">
        <v>615</v>
      </c>
      <c r="G2579" s="349" t="s">
        <v>438</v>
      </c>
      <c r="H2579" s="350">
        <f t="shared" si="53"/>
        <v>8750</v>
      </c>
      <c r="I2579" s="120" t="str">
        <f>IF(OR(D2579&lt;Capa!$A$5,D2579&gt;Capa!$A$7,E2579&lt;Capa!$A$5,E2579&gt;Capa!$A$7,D2579&gt;E2579),"Erro","")</f>
        <v/>
      </c>
    </row>
    <row r="2580" spans="1:9" ht="20" hidden="1">
      <c r="A2580" s="345">
        <v>3057</v>
      </c>
      <c r="B2580" s="346" t="s">
        <v>204</v>
      </c>
      <c r="C2580" s="347">
        <v>1250</v>
      </c>
      <c r="D2580" s="348">
        <v>46388</v>
      </c>
      <c r="E2580" s="348">
        <v>46569</v>
      </c>
      <c r="F2580" s="346" t="s">
        <v>615</v>
      </c>
      <c r="G2580" s="349" t="s">
        <v>438</v>
      </c>
      <c r="H2580" s="350">
        <f t="shared" si="53"/>
        <v>8750</v>
      </c>
      <c r="I2580" s="120" t="str">
        <f>IF(OR(D2580&lt;Capa!$A$5,D2580&gt;Capa!$A$7,E2580&lt;Capa!$A$5,E2580&gt;Capa!$A$7,D2580&gt;E2580),"Erro","")</f>
        <v/>
      </c>
    </row>
    <row r="2581" spans="1:9" ht="20" hidden="1">
      <c r="A2581" s="345">
        <v>3058</v>
      </c>
      <c r="B2581" s="346" t="s">
        <v>204</v>
      </c>
      <c r="C2581" s="347">
        <v>780</v>
      </c>
      <c r="D2581" s="348">
        <v>46753</v>
      </c>
      <c r="E2581" s="348">
        <v>46935</v>
      </c>
      <c r="F2581" s="346" t="s">
        <v>615</v>
      </c>
      <c r="G2581" s="349" t="s">
        <v>438</v>
      </c>
      <c r="H2581" s="350">
        <f t="shared" si="53"/>
        <v>5460</v>
      </c>
      <c r="I2581" s="120" t="str">
        <f>IF(OR(D2581&lt;Capa!$A$5,D2581&gt;Capa!$A$7,E2581&lt;Capa!$A$5,E2581&gt;Capa!$A$7,D2581&gt;E2581),"Erro","")</f>
        <v/>
      </c>
    </row>
    <row r="2582" spans="1:9" ht="20" hidden="1">
      <c r="A2582" s="345">
        <v>3060</v>
      </c>
      <c r="B2582" s="346" t="s">
        <v>206</v>
      </c>
      <c r="C2582" s="347">
        <v>1200</v>
      </c>
      <c r="D2582" s="348">
        <v>45658</v>
      </c>
      <c r="E2582" s="348">
        <v>45992</v>
      </c>
      <c r="F2582" s="346" t="s">
        <v>615</v>
      </c>
      <c r="G2582" s="349" t="s">
        <v>439</v>
      </c>
      <c r="H2582" s="350">
        <f t="shared" si="53"/>
        <v>14400</v>
      </c>
      <c r="I2582" s="120" t="str">
        <f>IF(OR(D2582&lt;Capa!$A$5,D2582&gt;Capa!$A$7,E2582&lt;Capa!$A$5,E2582&gt;Capa!$A$7,D2582&gt;E2582),"Erro","")</f>
        <v/>
      </c>
    </row>
    <row r="2583" spans="1:9" ht="20" hidden="1">
      <c r="A2583" s="345">
        <v>3061</v>
      </c>
      <c r="B2583" s="346" t="s">
        <v>206</v>
      </c>
      <c r="C2583" s="347">
        <v>1200</v>
      </c>
      <c r="D2583" s="348">
        <v>46023</v>
      </c>
      <c r="E2583" s="348">
        <v>46357</v>
      </c>
      <c r="F2583" s="346" t="s">
        <v>615</v>
      </c>
      <c r="G2583" s="349" t="s">
        <v>439</v>
      </c>
      <c r="H2583" s="350">
        <f t="shared" si="53"/>
        <v>14400</v>
      </c>
      <c r="I2583" s="120" t="str">
        <f>IF(OR(D2583&lt;Capa!$A$5,D2583&gt;Capa!$A$7,E2583&lt;Capa!$A$5,E2583&gt;Capa!$A$7,D2583&gt;E2583),"Erro","")</f>
        <v/>
      </c>
    </row>
    <row r="2584" spans="1:9" ht="20" hidden="1">
      <c r="A2584" s="345">
        <v>3062</v>
      </c>
      <c r="B2584" s="346" t="s">
        <v>206</v>
      </c>
      <c r="C2584" s="347">
        <v>1200</v>
      </c>
      <c r="D2584" s="348">
        <v>46388</v>
      </c>
      <c r="E2584" s="348">
        <v>46722</v>
      </c>
      <c r="F2584" s="346" t="s">
        <v>615</v>
      </c>
      <c r="G2584" s="349" t="s">
        <v>439</v>
      </c>
      <c r="H2584" s="350">
        <f t="shared" si="53"/>
        <v>14400</v>
      </c>
      <c r="I2584" s="120" t="str">
        <f>IF(OR(D2584&lt;Capa!$A$5,D2584&gt;Capa!$A$7,E2584&lt;Capa!$A$5,E2584&gt;Capa!$A$7,D2584&gt;E2584),"Erro","")</f>
        <v/>
      </c>
    </row>
    <row r="2585" spans="1:9" ht="20" hidden="1">
      <c r="A2585" s="345">
        <v>3063</v>
      </c>
      <c r="B2585" s="346" t="s">
        <v>206</v>
      </c>
      <c r="C2585" s="347">
        <v>600</v>
      </c>
      <c r="D2585" s="348">
        <v>46753</v>
      </c>
      <c r="E2585" s="348">
        <v>47058</v>
      </c>
      <c r="F2585" s="346" t="s">
        <v>615</v>
      </c>
      <c r="G2585" s="349" t="s">
        <v>439</v>
      </c>
      <c r="H2585" s="350">
        <f t="shared" si="53"/>
        <v>6600</v>
      </c>
      <c r="I2585" s="120" t="str">
        <f>IF(OR(D2585&lt;Capa!$A$5,D2585&gt;Capa!$A$7,E2585&lt;Capa!$A$5,E2585&gt;Capa!$A$7,D2585&gt;E2585),"Erro","")</f>
        <v/>
      </c>
    </row>
    <row r="2586" spans="1:9" ht="20" hidden="1">
      <c r="A2586" s="345">
        <v>3065</v>
      </c>
      <c r="B2586" s="346" t="s">
        <v>208</v>
      </c>
      <c r="C2586" s="347">
        <v>1500</v>
      </c>
      <c r="D2586" s="348">
        <v>45658</v>
      </c>
      <c r="E2586" s="348">
        <v>45992</v>
      </c>
      <c r="F2586" s="346" t="s">
        <v>615</v>
      </c>
      <c r="G2586" s="349" t="s">
        <v>439</v>
      </c>
      <c r="H2586" s="350">
        <f t="shared" si="53"/>
        <v>18000</v>
      </c>
      <c r="I2586" s="120" t="str">
        <f>IF(OR(D2586&lt;Capa!$A$5,D2586&gt;Capa!$A$7,E2586&lt;Capa!$A$5,E2586&gt;Capa!$A$7,D2586&gt;E2586),"Erro","")</f>
        <v/>
      </c>
    </row>
    <row r="2587" spans="1:9" ht="20" hidden="1">
      <c r="A2587" s="345">
        <v>3066</v>
      </c>
      <c r="B2587" s="346" t="s">
        <v>208</v>
      </c>
      <c r="C2587" s="347">
        <v>1500</v>
      </c>
      <c r="D2587" s="348">
        <v>46023</v>
      </c>
      <c r="E2587" s="348">
        <v>46357</v>
      </c>
      <c r="F2587" s="346" t="s">
        <v>615</v>
      </c>
      <c r="G2587" s="349" t="s">
        <v>439</v>
      </c>
      <c r="H2587" s="350">
        <f t="shared" si="53"/>
        <v>18000</v>
      </c>
      <c r="I2587" s="120" t="str">
        <f>IF(OR(D2587&lt;Capa!$A$5,D2587&gt;Capa!$A$7,E2587&lt;Capa!$A$5,E2587&gt;Capa!$A$7,D2587&gt;E2587),"Erro","")</f>
        <v/>
      </c>
    </row>
    <row r="2588" spans="1:9" ht="20" hidden="1">
      <c r="A2588" s="345">
        <v>3067</v>
      </c>
      <c r="B2588" s="346" t="s">
        <v>208</v>
      </c>
      <c r="C2588" s="347">
        <v>1500</v>
      </c>
      <c r="D2588" s="348">
        <v>46388</v>
      </c>
      <c r="E2588" s="348">
        <v>46722</v>
      </c>
      <c r="F2588" s="346" t="s">
        <v>615</v>
      </c>
      <c r="G2588" s="349" t="s">
        <v>439</v>
      </c>
      <c r="H2588" s="350">
        <f t="shared" si="53"/>
        <v>18000</v>
      </c>
      <c r="I2588" s="120" t="str">
        <f>IF(OR(D2588&lt;Capa!$A$5,D2588&gt;Capa!$A$7,E2588&lt;Capa!$A$5,E2588&gt;Capa!$A$7,D2588&gt;E2588),"Erro","")</f>
        <v/>
      </c>
    </row>
    <row r="2589" spans="1:9" ht="20" hidden="1">
      <c r="A2589" s="345">
        <v>3068</v>
      </c>
      <c r="B2589" s="346" t="s">
        <v>208</v>
      </c>
      <c r="C2589" s="347">
        <v>750</v>
      </c>
      <c r="D2589" s="348">
        <v>46753</v>
      </c>
      <c r="E2589" s="348">
        <v>47058</v>
      </c>
      <c r="F2589" s="346" t="s">
        <v>615</v>
      </c>
      <c r="G2589" s="349" t="s">
        <v>439</v>
      </c>
      <c r="H2589" s="350">
        <f t="shared" si="53"/>
        <v>8250</v>
      </c>
      <c r="I2589" s="120" t="str">
        <f>IF(OR(D2589&lt;Capa!$A$5,D2589&gt;Capa!$A$7,E2589&lt;Capa!$A$5,E2589&gt;Capa!$A$7,D2589&gt;E2589),"Erro","")</f>
        <v/>
      </c>
    </row>
    <row r="2590" spans="1:9" ht="20" hidden="1">
      <c r="A2590" s="345">
        <v>3070</v>
      </c>
      <c r="B2590" s="346" t="s">
        <v>210</v>
      </c>
      <c r="C2590" s="347">
        <v>60</v>
      </c>
      <c r="D2590" s="348">
        <v>45658</v>
      </c>
      <c r="E2590" s="348">
        <v>45992</v>
      </c>
      <c r="F2590" s="346" t="s">
        <v>615</v>
      </c>
      <c r="G2590" s="349" t="s">
        <v>439</v>
      </c>
      <c r="H2590" s="350">
        <f t="shared" si="53"/>
        <v>720</v>
      </c>
      <c r="I2590" s="120" t="str">
        <f>IF(OR(D2590&lt;Capa!$A$5,D2590&gt;Capa!$A$7,E2590&lt;Capa!$A$5,E2590&gt;Capa!$A$7,D2590&gt;E2590),"Erro","")</f>
        <v/>
      </c>
    </row>
    <row r="2591" spans="1:9" ht="20" hidden="1">
      <c r="A2591" s="345">
        <v>3071</v>
      </c>
      <c r="B2591" s="346" t="s">
        <v>210</v>
      </c>
      <c r="C2591" s="347">
        <v>60</v>
      </c>
      <c r="D2591" s="348">
        <v>46023</v>
      </c>
      <c r="E2591" s="348">
        <v>46357</v>
      </c>
      <c r="F2591" s="346" t="s">
        <v>615</v>
      </c>
      <c r="G2591" s="349" t="s">
        <v>439</v>
      </c>
      <c r="H2591" s="350">
        <f t="shared" si="53"/>
        <v>720</v>
      </c>
      <c r="I2591" s="120" t="str">
        <f>IF(OR(D2591&lt;Capa!$A$5,D2591&gt;Capa!$A$7,E2591&lt;Capa!$A$5,E2591&gt;Capa!$A$7,D2591&gt;E2591),"Erro","")</f>
        <v/>
      </c>
    </row>
    <row r="2592" spans="1:9" ht="20" hidden="1">
      <c r="A2592" s="345">
        <v>3072</v>
      </c>
      <c r="B2592" s="346" t="s">
        <v>210</v>
      </c>
      <c r="C2592" s="347">
        <v>60</v>
      </c>
      <c r="D2592" s="348">
        <v>46388</v>
      </c>
      <c r="E2592" s="348">
        <v>46722</v>
      </c>
      <c r="F2592" s="346" t="s">
        <v>615</v>
      </c>
      <c r="G2592" s="349" t="s">
        <v>439</v>
      </c>
      <c r="H2592" s="350">
        <f t="shared" si="53"/>
        <v>720</v>
      </c>
      <c r="I2592" s="120" t="str">
        <f>IF(OR(D2592&lt;Capa!$A$5,D2592&gt;Capa!$A$7,E2592&lt;Capa!$A$5,E2592&gt;Capa!$A$7,D2592&gt;E2592),"Erro","")</f>
        <v/>
      </c>
    </row>
    <row r="2593" spans="1:9" ht="20" hidden="1">
      <c r="A2593" s="345">
        <v>3073</v>
      </c>
      <c r="B2593" s="346" t="s">
        <v>210</v>
      </c>
      <c r="C2593" s="347">
        <v>49</v>
      </c>
      <c r="D2593" s="348">
        <v>46753</v>
      </c>
      <c r="E2593" s="348">
        <v>47058</v>
      </c>
      <c r="F2593" s="346" t="s">
        <v>615</v>
      </c>
      <c r="G2593" s="349" t="s">
        <v>439</v>
      </c>
      <c r="H2593" s="350">
        <f t="shared" si="53"/>
        <v>539</v>
      </c>
      <c r="I2593" s="120" t="str">
        <f>IF(OR(D2593&lt;Capa!$A$5,D2593&gt;Capa!$A$7,E2593&lt;Capa!$A$5,E2593&gt;Capa!$A$7,D2593&gt;E2593),"Erro","")</f>
        <v/>
      </c>
    </row>
    <row r="2594" spans="1:9" ht="20" hidden="1">
      <c r="A2594" s="345">
        <v>3075</v>
      </c>
      <c r="B2594" s="346" t="s">
        <v>214</v>
      </c>
      <c r="C2594" s="347">
        <v>140</v>
      </c>
      <c r="D2594" s="348">
        <v>45658</v>
      </c>
      <c r="E2594" s="348">
        <v>45992</v>
      </c>
      <c r="F2594" s="346" t="s">
        <v>615</v>
      </c>
      <c r="G2594" s="349" t="s">
        <v>439</v>
      </c>
      <c r="H2594" s="350">
        <f t="shared" si="53"/>
        <v>1680</v>
      </c>
      <c r="I2594" s="120" t="str">
        <f>IF(OR(D2594&lt;Capa!$A$5,D2594&gt;Capa!$A$7,E2594&lt;Capa!$A$5,E2594&gt;Capa!$A$7,D2594&gt;E2594),"Erro","")</f>
        <v/>
      </c>
    </row>
    <row r="2595" spans="1:9" ht="20" hidden="1">
      <c r="A2595" s="345">
        <v>3076</v>
      </c>
      <c r="B2595" s="346" t="s">
        <v>214</v>
      </c>
      <c r="C2595" s="347">
        <v>140</v>
      </c>
      <c r="D2595" s="348">
        <v>46023</v>
      </c>
      <c r="E2595" s="348">
        <v>46357</v>
      </c>
      <c r="F2595" s="346" t="s">
        <v>615</v>
      </c>
      <c r="G2595" s="349" t="s">
        <v>439</v>
      </c>
      <c r="H2595" s="350">
        <f t="shared" si="53"/>
        <v>1680</v>
      </c>
      <c r="I2595" s="120" t="str">
        <f>IF(OR(D2595&lt;Capa!$A$5,D2595&gt;Capa!$A$7,E2595&lt;Capa!$A$5,E2595&gt;Capa!$A$7,D2595&gt;E2595),"Erro","")</f>
        <v/>
      </c>
    </row>
    <row r="2596" spans="1:9" ht="20" hidden="1">
      <c r="A2596" s="345">
        <v>3077</v>
      </c>
      <c r="B2596" s="346" t="s">
        <v>214</v>
      </c>
      <c r="C2596" s="347">
        <v>140</v>
      </c>
      <c r="D2596" s="348">
        <v>46388</v>
      </c>
      <c r="E2596" s="348">
        <v>46722</v>
      </c>
      <c r="F2596" s="346" t="s">
        <v>615</v>
      </c>
      <c r="G2596" s="349" t="s">
        <v>439</v>
      </c>
      <c r="H2596" s="350">
        <f t="shared" si="53"/>
        <v>1680</v>
      </c>
      <c r="I2596" s="120" t="str">
        <f>IF(OR(D2596&lt;Capa!$A$5,D2596&gt;Capa!$A$7,E2596&lt;Capa!$A$5,E2596&gt;Capa!$A$7,D2596&gt;E2596),"Erro","")</f>
        <v/>
      </c>
    </row>
    <row r="2597" spans="1:9" ht="20" hidden="1">
      <c r="A2597" s="345">
        <v>3078</v>
      </c>
      <c r="B2597" s="346" t="s">
        <v>214</v>
      </c>
      <c r="C2597" s="347">
        <v>70</v>
      </c>
      <c r="D2597" s="348">
        <v>46753</v>
      </c>
      <c r="E2597" s="348">
        <v>47058</v>
      </c>
      <c r="F2597" s="346" t="s">
        <v>615</v>
      </c>
      <c r="G2597" s="349" t="s">
        <v>439</v>
      </c>
      <c r="H2597" s="350">
        <f t="shared" si="53"/>
        <v>770</v>
      </c>
      <c r="I2597" s="120" t="str">
        <f>IF(OR(D2597&lt;Capa!$A$5,D2597&gt;Capa!$A$7,E2597&lt;Capa!$A$5,E2597&gt;Capa!$A$7,D2597&gt;E2597),"Erro","")</f>
        <v/>
      </c>
    </row>
    <row r="2598" spans="1:9" ht="50" hidden="1">
      <c r="A2598" s="345">
        <v>3080</v>
      </c>
      <c r="B2598" s="346" t="s">
        <v>212</v>
      </c>
      <c r="C2598" s="347">
        <v>260</v>
      </c>
      <c r="D2598" s="348">
        <v>45658</v>
      </c>
      <c r="E2598" s="348">
        <v>45992</v>
      </c>
      <c r="F2598" s="346" t="s">
        <v>615</v>
      </c>
      <c r="G2598" s="349" t="s">
        <v>495</v>
      </c>
      <c r="H2598" s="350">
        <f t="shared" si="53"/>
        <v>3120</v>
      </c>
      <c r="I2598" s="120" t="str">
        <f>IF(OR(D2598&lt;Capa!$A$5,D2598&gt;Capa!$A$7,E2598&lt;Capa!$A$5,E2598&gt;Capa!$A$7,D2598&gt;E2598),"Erro","")</f>
        <v/>
      </c>
    </row>
    <row r="2599" spans="1:9" ht="50" hidden="1">
      <c r="A2599" s="345">
        <v>3081</v>
      </c>
      <c r="B2599" s="346" t="s">
        <v>212</v>
      </c>
      <c r="C2599" s="347">
        <v>260</v>
      </c>
      <c r="D2599" s="348">
        <v>46023</v>
      </c>
      <c r="E2599" s="348">
        <v>46357</v>
      </c>
      <c r="F2599" s="346" t="s">
        <v>615</v>
      </c>
      <c r="G2599" s="349" t="s">
        <v>495</v>
      </c>
      <c r="H2599" s="350">
        <f t="shared" si="53"/>
        <v>3120</v>
      </c>
      <c r="I2599" s="120" t="str">
        <f>IF(OR(D2599&lt;Capa!$A$5,D2599&gt;Capa!$A$7,E2599&lt;Capa!$A$5,E2599&gt;Capa!$A$7,D2599&gt;E2599),"Erro","")</f>
        <v/>
      </c>
    </row>
    <row r="2600" spans="1:9" ht="50" hidden="1">
      <c r="A2600" s="345">
        <v>3082</v>
      </c>
      <c r="B2600" s="346" t="s">
        <v>212</v>
      </c>
      <c r="C2600" s="347">
        <v>260</v>
      </c>
      <c r="D2600" s="348">
        <v>46388</v>
      </c>
      <c r="E2600" s="348">
        <v>46722</v>
      </c>
      <c r="F2600" s="346" t="s">
        <v>615</v>
      </c>
      <c r="G2600" s="349" t="s">
        <v>495</v>
      </c>
      <c r="H2600" s="350">
        <f t="shared" si="53"/>
        <v>3120</v>
      </c>
      <c r="I2600" s="120" t="str">
        <f>IF(OR(D2600&lt;Capa!$A$5,D2600&gt;Capa!$A$7,E2600&lt;Capa!$A$5,E2600&gt;Capa!$A$7,D2600&gt;E2600),"Erro","")</f>
        <v/>
      </c>
    </row>
    <row r="2601" spans="1:9" ht="50" hidden="1">
      <c r="A2601" s="345">
        <v>3083</v>
      </c>
      <c r="B2601" s="346" t="s">
        <v>212</v>
      </c>
      <c r="C2601" s="347">
        <v>220</v>
      </c>
      <c r="D2601" s="348">
        <v>46753</v>
      </c>
      <c r="E2601" s="348">
        <v>47058</v>
      </c>
      <c r="F2601" s="346" t="s">
        <v>615</v>
      </c>
      <c r="G2601" s="349" t="s">
        <v>495</v>
      </c>
      <c r="H2601" s="350">
        <f t="shared" si="53"/>
        <v>2420</v>
      </c>
      <c r="I2601" s="120" t="str">
        <f>IF(OR(D2601&lt;Capa!$A$5,D2601&gt;Capa!$A$7,E2601&lt;Capa!$A$5,E2601&gt;Capa!$A$7,D2601&gt;E2601),"Erro","")</f>
        <v/>
      </c>
    </row>
    <row r="2602" spans="1:9" ht="40" hidden="1">
      <c r="A2602" s="345">
        <v>3084</v>
      </c>
      <c r="B2602" s="346" t="s">
        <v>248</v>
      </c>
      <c r="C2602" s="347">
        <v>846</v>
      </c>
      <c r="D2602" s="348">
        <v>45658</v>
      </c>
      <c r="E2602" s="348">
        <v>45809</v>
      </c>
      <c r="F2602" s="346" t="s">
        <v>615</v>
      </c>
      <c r="G2602" s="349" t="s">
        <v>440</v>
      </c>
      <c r="H2602" s="350">
        <f t="shared" si="53"/>
        <v>5076</v>
      </c>
      <c r="I2602" s="120" t="str">
        <f>IF(OR(D2602&lt;Capa!$A$5,D2602&gt;Capa!$A$7,E2602&lt;Capa!$A$5,E2602&gt;Capa!$A$7,D2602&gt;E2602),"Erro","")</f>
        <v/>
      </c>
    </row>
    <row r="2603" spans="1:9" ht="40" hidden="1">
      <c r="A2603" s="345">
        <v>3085</v>
      </c>
      <c r="B2603" s="346" t="s">
        <v>248</v>
      </c>
      <c r="C2603" s="347">
        <v>846</v>
      </c>
      <c r="D2603" s="348">
        <v>46023</v>
      </c>
      <c r="E2603" s="348">
        <v>46174</v>
      </c>
      <c r="F2603" s="346" t="s">
        <v>615</v>
      </c>
      <c r="G2603" s="349" t="s">
        <v>440</v>
      </c>
      <c r="H2603" s="350">
        <f t="shared" si="53"/>
        <v>5076</v>
      </c>
      <c r="I2603" s="120" t="str">
        <f>IF(OR(D2603&lt;Capa!$A$5,D2603&gt;Capa!$A$7,E2603&lt;Capa!$A$5,E2603&gt;Capa!$A$7,D2603&gt;E2603),"Erro","")</f>
        <v/>
      </c>
    </row>
    <row r="2604" spans="1:9" ht="40" hidden="1">
      <c r="A2604" s="345">
        <v>3086</v>
      </c>
      <c r="B2604" s="346" t="s">
        <v>248</v>
      </c>
      <c r="C2604" s="347">
        <v>846</v>
      </c>
      <c r="D2604" s="348">
        <v>46388</v>
      </c>
      <c r="E2604" s="348">
        <v>46539</v>
      </c>
      <c r="F2604" s="346" t="s">
        <v>615</v>
      </c>
      <c r="G2604" s="349" t="s">
        <v>440</v>
      </c>
      <c r="H2604" s="350">
        <f t="shared" si="53"/>
        <v>5076</v>
      </c>
      <c r="I2604" s="120" t="str">
        <f>IF(OR(D2604&lt;Capa!$A$5,D2604&gt;Capa!$A$7,E2604&lt;Capa!$A$5,E2604&gt;Capa!$A$7,D2604&gt;E2604),"Erro","")</f>
        <v/>
      </c>
    </row>
    <row r="2605" spans="1:9" ht="40" hidden="1">
      <c r="A2605" s="345">
        <v>3087</v>
      </c>
      <c r="B2605" s="346" t="s">
        <v>248</v>
      </c>
      <c r="C2605" s="347">
        <v>500</v>
      </c>
      <c r="D2605" s="348">
        <v>46753</v>
      </c>
      <c r="E2605" s="348">
        <v>46905</v>
      </c>
      <c r="F2605" s="346" t="s">
        <v>615</v>
      </c>
      <c r="G2605" s="349" t="s">
        <v>440</v>
      </c>
      <c r="H2605" s="350">
        <f t="shared" si="53"/>
        <v>3000</v>
      </c>
      <c r="I2605" s="120" t="str">
        <f>IF(OR(D2605&lt;Capa!$A$5,D2605&gt;Capa!$A$7,E2605&lt;Capa!$A$5,E2605&gt;Capa!$A$7,D2605&gt;E2605),"Erro","")</f>
        <v/>
      </c>
    </row>
    <row r="2606" spans="1:9" ht="30" hidden="1">
      <c r="A2606" s="345">
        <v>3088</v>
      </c>
      <c r="B2606" s="346" t="s">
        <v>266</v>
      </c>
      <c r="C2606" s="347">
        <v>1500</v>
      </c>
      <c r="D2606" s="348">
        <v>45658</v>
      </c>
      <c r="E2606" s="348">
        <v>45658</v>
      </c>
      <c r="F2606" s="346" t="s">
        <v>615</v>
      </c>
      <c r="G2606" s="349" t="s">
        <v>441</v>
      </c>
      <c r="H2606" s="350">
        <f t="shared" si="53"/>
        <v>1500</v>
      </c>
      <c r="I2606" s="120" t="str">
        <f>IF(OR(D2606&lt;Capa!$A$5,D2606&gt;Capa!$A$7,E2606&lt;Capa!$A$5,E2606&gt;Capa!$A$7,D2606&gt;E2606),"Erro","")</f>
        <v/>
      </c>
    </row>
    <row r="2607" spans="1:9" ht="30" hidden="1">
      <c r="A2607" s="345">
        <v>3089</v>
      </c>
      <c r="B2607" s="346" t="s">
        <v>266</v>
      </c>
      <c r="C2607" s="347">
        <v>1500</v>
      </c>
      <c r="D2607" s="348">
        <v>46023</v>
      </c>
      <c r="E2607" s="348">
        <v>46023</v>
      </c>
      <c r="F2607" s="346" t="s">
        <v>615</v>
      </c>
      <c r="G2607" s="349" t="s">
        <v>441</v>
      </c>
      <c r="H2607" s="350">
        <f t="shared" si="53"/>
        <v>1500</v>
      </c>
      <c r="I2607" s="120" t="str">
        <f>IF(OR(D2607&lt;Capa!$A$5,D2607&gt;Capa!$A$7,E2607&lt;Capa!$A$5,E2607&gt;Capa!$A$7,D2607&gt;E2607),"Erro","")</f>
        <v/>
      </c>
    </row>
    <row r="2608" spans="1:9" ht="30" hidden="1">
      <c r="A2608" s="345">
        <v>3090</v>
      </c>
      <c r="B2608" s="346" t="s">
        <v>266</v>
      </c>
      <c r="C2608" s="347">
        <v>1500</v>
      </c>
      <c r="D2608" s="348">
        <v>46388</v>
      </c>
      <c r="E2608" s="348">
        <v>46388</v>
      </c>
      <c r="F2608" s="346" t="s">
        <v>615</v>
      </c>
      <c r="G2608" s="349" t="s">
        <v>441</v>
      </c>
      <c r="H2608" s="350">
        <f t="shared" si="53"/>
        <v>1500</v>
      </c>
      <c r="I2608" s="120" t="str">
        <f>IF(OR(D2608&lt;Capa!$A$5,D2608&gt;Capa!$A$7,E2608&lt;Capa!$A$5,E2608&gt;Capa!$A$7,D2608&gt;E2608),"Erro","")</f>
        <v/>
      </c>
    </row>
    <row r="2609" spans="1:9" ht="30" hidden="1">
      <c r="A2609" s="345">
        <v>3091</v>
      </c>
      <c r="B2609" s="346" t="s">
        <v>266</v>
      </c>
      <c r="C2609" s="347">
        <v>750</v>
      </c>
      <c r="D2609" s="348">
        <v>46753</v>
      </c>
      <c r="E2609" s="348">
        <v>46753</v>
      </c>
      <c r="F2609" s="346" t="s">
        <v>615</v>
      </c>
      <c r="G2609" s="349" t="s">
        <v>441</v>
      </c>
      <c r="H2609" s="350">
        <f t="shared" si="53"/>
        <v>750</v>
      </c>
      <c r="I2609" s="120" t="str">
        <f>IF(OR(D2609&lt;Capa!$A$5,D2609&gt;Capa!$A$7,E2609&lt;Capa!$A$5,E2609&gt;Capa!$A$7,D2609&gt;E2609),"Erro","")</f>
        <v/>
      </c>
    </row>
    <row r="2610" spans="1:9" hidden="1">
      <c r="A2610" s="345">
        <v>3093</v>
      </c>
      <c r="B2610" s="346" t="s">
        <v>274</v>
      </c>
      <c r="C2610" s="347">
        <v>850</v>
      </c>
      <c r="D2610" s="348">
        <v>45658</v>
      </c>
      <c r="E2610" s="348">
        <v>45992</v>
      </c>
      <c r="F2610" s="346" t="s">
        <v>615</v>
      </c>
      <c r="G2610" s="349" t="s">
        <v>442</v>
      </c>
      <c r="H2610" s="350">
        <f t="shared" si="53"/>
        <v>10200</v>
      </c>
      <c r="I2610" s="120" t="str">
        <f>IF(OR(D2610&lt;Capa!$A$5,D2610&gt;Capa!$A$7,E2610&lt;Capa!$A$5,E2610&gt;Capa!$A$7,D2610&gt;E2610),"Erro","")</f>
        <v/>
      </c>
    </row>
    <row r="2611" spans="1:9" hidden="1">
      <c r="A2611" s="345">
        <v>3094</v>
      </c>
      <c r="B2611" s="346" t="s">
        <v>274</v>
      </c>
      <c r="C2611" s="347">
        <v>850</v>
      </c>
      <c r="D2611" s="348">
        <v>46023</v>
      </c>
      <c r="E2611" s="348">
        <v>46357</v>
      </c>
      <c r="F2611" s="346" t="s">
        <v>615</v>
      </c>
      <c r="G2611" s="349" t="s">
        <v>442</v>
      </c>
      <c r="H2611" s="350">
        <f t="shared" si="53"/>
        <v>10200</v>
      </c>
      <c r="I2611" s="120" t="str">
        <f>IF(OR(D2611&lt;Capa!$A$5,D2611&gt;Capa!$A$7,E2611&lt;Capa!$A$5,E2611&gt;Capa!$A$7,D2611&gt;E2611),"Erro","")</f>
        <v/>
      </c>
    </row>
    <row r="2612" spans="1:9" hidden="1">
      <c r="A2612" s="345">
        <v>3095</v>
      </c>
      <c r="B2612" s="346" t="s">
        <v>274</v>
      </c>
      <c r="C2612" s="347">
        <v>850</v>
      </c>
      <c r="D2612" s="348">
        <v>46388</v>
      </c>
      <c r="E2612" s="348">
        <v>46722</v>
      </c>
      <c r="F2612" s="346" t="s">
        <v>615</v>
      </c>
      <c r="G2612" s="349" t="s">
        <v>442</v>
      </c>
      <c r="H2612" s="350">
        <f t="shared" si="53"/>
        <v>10200</v>
      </c>
      <c r="I2612" s="120" t="str">
        <f>IF(OR(D2612&lt;Capa!$A$5,D2612&gt;Capa!$A$7,E2612&lt;Capa!$A$5,E2612&gt;Capa!$A$7,D2612&gt;E2612),"Erro","")</f>
        <v/>
      </c>
    </row>
    <row r="2613" spans="1:9" hidden="1">
      <c r="A2613" s="345">
        <v>3096</v>
      </c>
      <c r="B2613" s="346" t="s">
        <v>274</v>
      </c>
      <c r="C2613" s="347">
        <v>450</v>
      </c>
      <c r="D2613" s="348">
        <v>46753</v>
      </c>
      <c r="E2613" s="348">
        <v>47058</v>
      </c>
      <c r="F2613" s="346" t="s">
        <v>615</v>
      </c>
      <c r="G2613" s="349" t="s">
        <v>442</v>
      </c>
      <c r="H2613" s="350">
        <f t="shared" si="53"/>
        <v>4950</v>
      </c>
      <c r="I2613" s="120" t="str">
        <f>IF(OR(D2613&lt;Capa!$A$5,D2613&gt;Capa!$A$7,E2613&lt;Capa!$A$5,E2613&gt;Capa!$A$7,D2613&gt;E2613),"Erro","")</f>
        <v/>
      </c>
    </row>
    <row r="2614" spans="1:9" ht="40" hidden="1">
      <c r="A2614" s="345">
        <v>3098</v>
      </c>
      <c r="B2614" s="346" t="s">
        <v>236</v>
      </c>
      <c r="C2614" s="347">
        <v>450</v>
      </c>
      <c r="D2614" s="348">
        <v>45658</v>
      </c>
      <c r="E2614" s="348">
        <v>45992</v>
      </c>
      <c r="F2614" s="346" t="s">
        <v>615</v>
      </c>
      <c r="G2614" s="349" t="s">
        <v>443</v>
      </c>
      <c r="H2614" s="350">
        <f t="shared" si="53"/>
        <v>5400</v>
      </c>
      <c r="I2614" s="120" t="str">
        <f>IF(OR(D2614&lt;Capa!$A$5,D2614&gt;Capa!$A$7,E2614&lt;Capa!$A$5,E2614&gt;Capa!$A$7,D2614&gt;E2614),"Erro","")</f>
        <v/>
      </c>
    </row>
    <row r="2615" spans="1:9" ht="40" hidden="1">
      <c r="A2615" s="345">
        <v>3099</v>
      </c>
      <c r="B2615" s="346" t="s">
        <v>236</v>
      </c>
      <c r="C2615" s="347">
        <v>450</v>
      </c>
      <c r="D2615" s="348">
        <v>46023</v>
      </c>
      <c r="E2615" s="348">
        <v>46357</v>
      </c>
      <c r="F2615" s="346" t="s">
        <v>615</v>
      </c>
      <c r="G2615" s="349" t="s">
        <v>443</v>
      </c>
      <c r="H2615" s="350">
        <f t="shared" si="53"/>
        <v>5400</v>
      </c>
      <c r="I2615" s="120" t="str">
        <f>IF(OR(D2615&lt;Capa!$A$5,D2615&gt;Capa!$A$7,E2615&lt;Capa!$A$5,E2615&gt;Capa!$A$7,D2615&gt;E2615),"Erro","")</f>
        <v/>
      </c>
    </row>
    <row r="2616" spans="1:9" ht="40" hidden="1">
      <c r="A2616" s="345">
        <v>3100</v>
      </c>
      <c r="B2616" s="346" t="s">
        <v>236</v>
      </c>
      <c r="C2616" s="347">
        <v>450</v>
      </c>
      <c r="D2616" s="348">
        <v>46388</v>
      </c>
      <c r="E2616" s="348">
        <v>46722</v>
      </c>
      <c r="F2616" s="346" t="s">
        <v>615</v>
      </c>
      <c r="G2616" s="349" t="s">
        <v>443</v>
      </c>
      <c r="H2616" s="350">
        <f t="shared" si="53"/>
        <v>5400</v>
      </c>
      <c r="I2616" s="120" t="str">
        <f>IF(OR(D2616&lt;Capa!$A$5,D2616&gt;Capa!$A$7,E2616&lt;Capa!$A$5,E2616&gt;Capa!$A$7,D2616&gt;E2616),"Erro","")</f>
        <v/>
      </c>
    </row>
    <row r="2617" spans="1:9" ht="40" hidden="1">
      <c r="A2617" s="345">
        <v>3101</v>
      </c>
      <c r="B2617" s="346" t="s">
        <v>236</v>
      </c>
      <c r="C2617" s="347">
        <v>200</v>
      </c>
      <c r="D2617" s="348">
        <v>46753</v>
      </c>
      <c r="E2617" s="348">
        <v>47058</v>
      </c>
      <c r="F2617" s="346" t="s">
        <v>615</v>
      </c>
      <c r="G2617" s="349" t="s">
        <v>443</v>
      </c>
      <c r="H2617" s="350">
        <f t="shared" si="53"/>
        <v>2200</v>
      </c>
      <c r="I2617" s="120" t="str">
        <f>IF(OR(D2617&lt;Capa!$A$5,D2617&gt;Capa!$A$7,E2617&lt;Capa!$A$5,E2617&gt;Capa!$A$7,D2617&gt;E2617),"Erro","")</f>
        <v/>
      </c>
    </row>
    <row r="2618" spans="1:9" ht="30" hidden="1">
      <c r="A2618" s="345">
        <v>3103</v>
      </c>
      <c r="B2618" s="346" t="s">
        <v>240</v>
      </c>
      <c r="C2618" s="347">
        <v>50</v>
      </c>
      <c r="D2618" s="348">
        <v>45658</v>
      </c>
      <c r="E2618" s="348">
        <v>45992</v>
      </c>
      <c r="F2618" s="346" t="s">
        <v>615</v>
      </c>
      <c r="G2618" s="349" t="s">
        <v>444</v>
      </c>
      <c r="H2618" s="350">
        <f t="shared" ref="H2618:H2668" si="54">IFERROR((DATEDIF(D2618,E2618,"M")+1)*C2618,0)</f>
        <v>600</v>
      </c>
      <c r="I2618" s="120" t="str">
        <f>IF(OR(D2618&lt;Capa!$A$5,D2618&gt;Capa!$A$7,E2618&lt;Capa!$A$5,E2618&gt;Capa!$A$7,D2618&gt;E2618),"Erro","")</f>
        <v/>
      </c>
    </row>
    <row r="2619" spans="1:9" ht="30" hidden="1">
      <c r="A2619" s="345">
        <v>3104</v>
      </c>
      <c r="B2619" s="346" t="s">
        <v>240</v>
      </c>
      <c r="C2619" s="347">
        <v>50</v>
      </c>
      <c r="D2619" s="348">
        <v>46023</v>
      </c>
      <c r="E2619" s="348">
        <v>46357</v>
      </c>
      <c r="F2619" s="346" t="s">
        <v>615</v>
      </c>
      <c r="G2619" s="349" t="s">
        <v>444</v>
      </c>
      <c r="H2619" s="350">
        <f t="shared" si="54"/>
        <v>600</v>
      </c>
      <c r="I2619" s="120" t="str">
        <f>IF(OR(D2619&lt;Capa!$A$5,D2619&gt;Capa!$A$7,E2619&lt;Capa!$A$5,E2619&gt;Capa!$A$7,D2619&gt;E2619),"Erro","")</f>
        <v/>
      </c>
    </row>
    <row r="2620" spans="1:9" ht="30" hidden="1">
      <c r="A2620" s="345">
        <v>3105</v>
      </c>
      <c r="B2620" s="346" t="s">
        <v>240</v>
      </c>
      <c r="C2620" s="347">
        <v>50</v>
      </c>
      <c r="D2620" s="348">
        <v>46388</v>
      </c>
      <c r="E2620" s="348">
        <v>46722</v>
      </c>
      <c r="F2620" s="346" t="s">
        <v>615</v>
      </c>
      <c r="G2620" s="349" t="s">
        <v>444</v>
      </c>
      <c r="H2620" s="350">
        <f t="shared" si="54"/>
        <v>600</v>
      </c>
      <c r="I2620" s="120" t="str">
        <f>IF(OR(D2620&lt;Capa!$A$5,D2620&gt;Capa!$A$7,E2620&lt;Capa!$A$5,E2620&gt;Capa!$A$7,D2620&gt;E2620),"Erro","")</f>
        <v/>
      </c>
    </row>
    <row r="2621" spans="1:9" ht="30" hidden="1">
      <c r="A2621" s="345">
        <v>3106</v>
      </c>
      <c r="B2621" s="346" t="s">
        <v>240</v>
      </c>
      <c r="C2621" s="347">
        <v>25</v>
      </c>
      <c r="D2621" s="348">
        <v>46753</v>
      </c>
      <c r="E2621" s="348">
        <v>47058</v>
      </c>
      <c r="F2621" s="346" t="s">
        <v>615</v>
      </c>
      <c r="G2621" s="349" t="s">
        <v>444</v>
      </c>
      <c r="H2621" s="350">
        <f t="shared" si="54"/>
        <v>275</v>
      </c>
      <c r="I2621" s="120" t="str">
        <f>IF(OR(D2621&lt;Capa!$A$5,D2621&gt;Capa!$A$7,E2621&lt;Capa!$A$5,E2621&gt;Capa!$A$7,D2621&gt;E2621),"Erro","")</f>
        <v/>
      </c>
    </row>
    <row r="2622" spans="1:9" ht="30" hidden="1">
      <c r="A2622" s="345">
        <v>3108</v>
      </c>
      <c r="B2622" s="346" t="s">
        <v>244</v>
      </c>
      <c r="C2622" s="347">
        <v>250</v>
      </c>
      <c r="D2622" s="348">
        <v>45658</v>
      </c>
      <c r="E2622" s="348">
        <v>45992</v>
      </c>
      <c r="F2622" s="346" t="s">
        <v>615</v>
      </c>
      <c r="G2622" s="349" t="s">
        <v>445</v>
      </c>
      <c r="H2622" s="350">
        <f t="shared" si="54"/>
        <v>3000</v>
      </c>
      <c r="I2622" s="120" t="str">
        <f>IF(OR(D2622&lt;Capa!$A$5,D2622&gt;Capa!$A$7,E2622&lt;Capa!$A$5,E2622&gt;Capa!$A$7,D2622&gt;E2622),"Erro","")</f>
        <v/>
      </c>
    </row>
    <row r="2623" spans="1:9" ht="30" hidden="1">
      <c r="A2623" s="345">
        <v>3109</v>
      </c>
      <c r="B2623" s="346" t="s">
        <v>244</v>
      </c>
      <c r="C2623" s="347">
        <v>250</v>
      </c>
      <c r="D2623" s="348">
        <v>46023</v>
      </c>
      <c r="E2623" s="348">
        <v>46357</v>
      </c>
      <c r="F2623" s="346" t="s">
        <v>615</v>
      </c>
      <c r="G2623" s="349" t="s">
        <v>445</v>
      </c>
      <c r="H2623" s="350">
        <f t="shared" si="54"/>
        <v>3000</v>
      </c>
      <c r="I2623" s="120" t="str">
        <f>IF(OR(D2623&lt;Capa!$A$5,D2623&gt;Capa!$A$7,E2623&lt;Capa!$A$5,E2623&gt;Capa!$A$7,D2623&gt;E2623),"Erro","")</f>
        <v/>
      </c>
    </row>
    <row r="2624" spans="1:9" ht="30" hidden="1">
      <c r="A2624" s="345">
        <v>3110</v>
      </c>
      <c r="B2624" s="346" t="s">
        <v>244</v>
      </c>
      <c r="C2624" s="347">
        <v>250</v>
      </c>
      <c r="D2624" s="348">
        <v>46388</v>
      </c>
      <c r="E2624" s="348">
        <v>46722</v>
      </c>
      <c r="F2624" s="346" t="s">
        <v>615</v>
      </c>
      <c r="G2624" s="349" t="s">
        <v>445</v>
      </c>
      <c r="H2624" s="350">
        <f t="shared" si="54"/>
        <v>3000</v>
      </c>
      <c r="I2624" s="120" t="str">
        <f>IF(OR(D2624&lt;Capa!$A$5,D2624&gt;Capa!$A$7,E2624&lt;Capa!$A$5,E2624&gt;Capa!$A$7,D2624&gt;E2624),"Erro","")</f>
        <v/>
      </c>
    </row>
    <row r="2625" spans="1:9" ht="30" hidden="1">
      <c r="A2625" s="345">
        <v>3111</v>
      </c>
      <c r="B2625" s="346" t="s">
        <v>244</v>
      </c>
      <c r="C2625" s="347">
        <v>125</v>
      </c>
      <c r="D2625" s="348">
        <v>46753</v>
      </c>
      <c r="E2625" s="348">
        <v>47058</v>
      </c>
      <c r="F2625" s="346" t="s">
        <v>615</v>
      </c>
      <c r="G2625" s="349" t="s">
        <v>445</v>
      </c>
      <c r="H2625" s="350">
        <f t="shared" si="54"/>
        <v>1375</v>
      </c>
      <c r="I2625" s="120" t="str">
        <f>IF(OR(D2625&lt;Capa!$A$5,D2625&gt;Capa!$A$7,E2625&lt;Capa!$A$5,E2625&gt;Capa!$A$7,D2625&gt;E2625),"Erro","")</f>
        <v/>
      </c>
    </row>
    <row r="2626" spans="1:9" ht="20" hidden="1">
      <c r="A2626" s="345">
        <v>3112</v>
      </c>
      <c r="B2626" s="346" t="s">
        <v>246</v>
      </c>
      <c r="C2626" s="347">
        <v>390</v>
      </c>
      <c r="D2626" s="348">
        <v>45658</v>
      </c>
      <c r="E2626" s="348">
        <v>45992</v>
      </c>
      <c r="F2626" s="346" t="s">
        <v>615</v>
      </c>
      <c r="G2626" s="349" t="s">
        <v>446</v>
      </c>
      <c r="H2626" s="350">
        <f t="shared" si="54"/>
        <v>4680</v>
      </c>
      <c r="I2626" s="120" t="str">
        <f>IF(OR(D2626&lt;Capa!$A$5,D2626&gt;Capa!$A$7,E2626&lt;Capa!$A$5,E2626&gt;Capa!$A$7,D2626&gt;E2626),"Erro","")</f>
        <v/>
      </c>
    </row>
    <row r="2627" spans="1:9" ht="20" hidden="1">
      <c r="A2627" s="345">
        <v>3113</v>
      </c>
      <c r="B2627" s="346" t="s">
        <v>246</v>
      </c>
      <c r="C2627" s="347">
        <v>390</v>
      </c>
      <c r="D2627" s="348">
        <v>46023</v>
      </c>
      <c r="E2627" s="348">
        <v>46357</v>
      </c>
      <c r="F2627" s="346" t="s">
        <v>615</v>
      </c>
      <c r="G2627" s="349" t="s">
        <v>446</v>
      </c>
      <c r="H2627" s="350">
        <f t="shared" si="54"/>
        <v>4680</v>
      </c>
      <c r="I2627" s="120" t="str">
        <f>IF(OR(D2627&lt;Capa!$A$5,D2627&gt;Capa!$A$7,E2627&lt;Capa!$A$5,E2627&gt;Capa!$A$7,D2627&gt;E2627),"Erro","")</f>
        <v/>
      </c>
    </row>
    <row r="2628" spans="1:9" ht="20" hidden="1">
      <c r="A2628" s="345">
        <v>3114</v>
      </c>
      <c r="B2628" s="346" t="s">
        <v>246</v>
      </c>
      <c r="C2628" s="347">
        <v>390</v>
      </c>
      <c r="D2628" s="348">
        <v>46388</v>
      </c>
      <c r="E2628" s="348">
        <v>46722</v>
      </c>
      <c r="F2628" s="346" t="s">
        <v>615</v>
      </c>
      <c r="G2628" s="349" t="s">
        <v>446</v>
      </c>
      <c r="H2628" s="350">
        <f t="shared" si="54"/>
        <v>4680</v>
      </c>
      <c r="I2628" s="120" t="str">
        <f>IF(OR(D2628&lt;Capa!$A$5,D2628&gt;Capa!$A$7,E2628&lt;Capa!$A$5,E2628&gt;Capa!$A$7,D2628&gt;E2628),"Erro","")</f>
        <v/>
      </c>
    </row>
    <row r="2629" spans="1:9" ht="20" hidden="1">
      <c r="A2629" s="345">
        <v>3115</v>
      </c>
      <c r="B2629" s="346" t="s">
        <v>246</v>
      </c>
      <c r="C2629" s="347">
        <v>190</v>
      </c>
      <c r="D2629" s="348">
        <v>46753</v>
      </c>
      <c r="E2629" s="348">
        <v>47058</v>
      </c>
      <c r="F2629" s="346" t="s">
        <v>615</v>
      </c>
      <c r="G2629" s="349" t="s">
        <v>446</v>
      </c>
      <c r="H2629" s="350">
        <f t="shared" si="54"/>
        <v>2090</v>
      </c>
      <c r="I2629" s="120" t="str">
        <f>IF(OR(D2629&lt;Capa!$A$5,D2629&gt;Capa!$A$7,E2629&lt;Capa!$A$5,E2629&gt;Capa!$A$7,D2629&gt;E2629),"Erro","")</f>
        <v/>
      </c>
    </row>
    <row r="2630" spans="1:9" ht="30" hidden="1">
      <c r="A2630" s="345">
        <v>3117</v>
      </c>
      <c r="B2630" s="346" t="s">
        <v>258</v>
      </c>
      <c r="C2630" s="347">
        <v>50</v>
      </c>
      <c r="D2630" s="348">
        <v>45658</v>
      </c>
      <c r="E2630" s="348">
        <v>45992</v>
      </c>
      <c r="F2630" s="346" t="s">
        <v>615</v>
      </c>
      <c r="G2630" s="349" t="s">
        <v>447</v>
      </c>
      <c r="H2630" s="350">
        <f t="shared" si="54"/>
        <v>600</v>
      </c>
      <c r="I2630" s="120" t="str">
        <f>IF(OR(D2630&lt;Capa!$A$5,D2630&gt;Capa!$A$7,E2630&lt;Capa!$A$5,E2630&gt;Capa!$A$7,D2630&gt;E2630),"Erro","")</f>
        <v/>
      </c>
    </row>
    <row r="2631" spans="1:9" ht="30" hidden="1">
      <c r="A2631" s="345">
        <v>3118</v>
      </c>
      <c r="B2631" s="346" t="s">
        <v>258</v>
      </c>
      <c r="C2631" s="347">
        <v>50</v>
      </c>
      <c r="D2631" s="348">
        <v>46023</v>
      </c>
      <c r="E2631" s="348">
        <v>46357</v>
      </c>
      <c r="F2631" s="346" t="s">
        <v>615</v>
      </c>
      <c r="G2631" s="349" t="s">
        <v>447</v>
      </c>
      <c r="H2631" s="350">
        <f t="shared" si="54"/>
        <v>600</v>
      </c>
      <c r="I2631" s="120" t="str">
        <f>IF(OR(D2631&lt;Capa!$A$5,D2631&gt;Capa!$A$7,E2631&lt;Capa!$A$5,E2631&gt;Capa!$A$7,D2631&gt;E2631),"Erro","")</f>
        <v/>
      </c>
    </row>
    <row r="2632" spans="1:9" ht="30" hidden="1">
      <c r="A2632" s="345">
        <v>3119</v>
      </c>
      <c r="B2632" s="346" t="s">
        <v>258</v>
      </c>
      <c r="C2632" s="347">
        <v>50</v>
      </c>
      <c r="D2632" s="348">
        <v>46388</v>
      </c>
      <c r="E2632" s="348">
        <v>46722</v>
      </c>
      <c r="F2632" s="346" t="s">
        <v>615</v>
      </c>
      <c r="G2632" s="349" t="s">
        <v>447</v>
      </c>
      <c r="H2632" s="350">
        <f t="shared" si="54"/>
        <v>600</v>
      </c>
      <c r="I2632" s="120" t="str">
        <f>IF(OR(D2632&lt;Capa!$A$5,D2632&gt;Capa!$A$7,E2632&lt;Capa!$A$5,E2632&gt;Capa!$A$7,D2632&gt;E2632),"Erro","")</f>
        <v/>
      </c>
    </row>
    <row r="2633" spans="1:9" ht="30" hidden="1">
      <c r="A2633" s="345">
        <v>3120</v>
      </c>
      <c r="B2633" s="346" t="s">
        <v>258</v>
      </c>
      <c r="C2633" s="347">
        <v>20</v>
      </c>
      <c r="D2633" s="348">
        <v>46753</v>
      </c>
      <c r="E2633" s="348">
        <v>47058</v>
      </c>
      <c r="F2633" s="346" t="s">
        <v>615</v>
      </c>
      <c r="G2633" s="349" t="s">
        <v>447</v>
      </c>
      <c r="H2633" s="350">
        <f t="shared" si="54"/>
        <v>220</v>
      </c>
      <c r="I2633" s="120" t="str">
        <f>IF(OR(D2633&lt;Capa!$A$5,D2633&gt;Capa!$A$7,E2633&lt;Capa!$A$5,E2633&gt;Capa!$A$7,D2633&gt;E2633),"Erro","")</f>
        <v/>
      </c>
    </row>
    <row r="2634" spans="1:9" ht="40" hidden="1">
      <c r="A2634" s="345">
        <v>3121</v>
      </c>
      <c r="B2634" s="346" t="s">
        <v>276</v>
      </c>
      <c r="C2634" s="347">
        <v>500</v>
      </c>
      <c r="D2634" s="348">
        <v>45658</v>
      </c>
      <c r="E2634" s="348">
        <v>45992</v>
      </c>
      <c r="F2634" s="346" t="s">
        <v>615</v>
      </c>
      <c r="G2634" s="349" t="s">
        <v>448</v>
      </c>
      <c r="H2634" s="350">
        <f t="shared" si="54"/>
        <v>6000</v>
      </c>
      <c r="I2634" s="120" t="str">
        <f>IF(OR(D2634&lt;Capa!$A$5,D2634&gt;Capa!$A$7,E2634&lt;Capa!$A$5,E2634&gt;Capa!$A$7,D2634&gt;E2634),"Erro","")</f>
        <v/>
      </c>
    </row>
    <row r="2635" spans="1:9" ht="40" hidden="1">
      <c r="A2635" s="345">
        <v>3122</v>
      </c>
      <c r="B2635" s="346" t="s">
        <v>276</v>
      </c>
      <c r="C2635" s="347">
        <v>500</v>
      </c>
      <c r="D2635" s="348">
        <v>46023</v>
      </c>
      <c r="E2635" s="348">
        <v>46357</v>
      </c>
      <c r="F2635" s="346" t="s">
        <v>615</v>
      </c>
      <c r="G2635" s="349" t="s">
        <v>448</v>
      </c>
      <c r="H2635" s="350">
        <f t="shared" si="54"/>
        <v>6000</v>
      </c>
      <c r="I2635" s="120" t="str">
        <f>IF(OR(D2635&lt;Capa!$A$5,D2635&gt;Capa!$A$7,E2635&lt;Capa!$A$5,E2635&gt;Capa!$A$7,D2635&gt;E2635),"Erro","")</f>
        <v/>
      </c>
    </row>
    <row r="2636" spans="1:9" ht="40" hidden="1">
      <c r="A2636" s="345">
        <v>3123</v>
      </c>
      <c r="B2636" s="346" t="s">
        <v>276</v>
      </c>
      <c r="C2636" s="347">
        <v>500</v>
      </c>
      <c r="D2636" s="348">
        <v>46388</v>
      </c>
      <c r="E2636" s="348">
        <v>46722</v>
      </c>
      <c r="F2636" s="346" t="s">
        <v>615</v>
      </c>
      <c r="G2636" s="349" t="s">
        <v>448</v>
      </c>
      <c r="H2636" s="350">
        <f t="shared" si="54"/>
        <v>6000</v>
      </c>
      <c r="I2636" s="120" t="str">
        <f>IF(OR(D2636&lt;Capa!$A$5,D2636&gt;Capa!$A$7,E2636&lt;Capa!$A$5,E2636&gt;Capa!$A$7,D2636&gt;E2636),"Erro","")</f>
        <v/>
      </c>
    </row>
    <row r="2637" spans="1:9" ht="40" hidden="1">
      <c r="A2637" s="345">
        <v>3124</v>
      </c>
      <c r="B2637" s="346" t="s">
        <v>276</v>
      </c>
      <c r="C2637" s="347">
        <v>250</v>
      </c>
      <c r="D2637" s="348">
        <v>46753</v>
      </c>
      <c r="E2637" s="348">
        <v>47058</v>
      </c>
      <c r="F2637" s="346" t="s">
        <v>615</v>
      </c>
      <c r="G2637" s="349" t="s">
        <v>448</v>
      </c>
      <c r="H2637" s="350">
        <f t="shared" si="54"/>
        <v>2750</v>
      </c>
      <c r="I2637" s="120" t="str">
        <f>IF(OR(D2637&lt;Capa!$A$5,D2637&gt;Capa!$A$7,E2637&lt;Capa!$A$5,E2637&gt;Capa!$A$7,D2637&gt;E2637),"Erro","")</f>
        <v/>
      </c>
    </row>
    <row r="2638" spans="1:9" ht="40">
      <c r="A2638" s="345">
        <v>3126</v>
      </c>
      <c r="B2638" s="346" t="s">
        <v>278</v>
      </c>
      <c r="C2638" s="347">
        <v>33000</v>
      </c>
      <c r="D2638" s="348">
        <v>45658</v>
      </c>
      <c r="E2638" s="348">
        <v>45992</v>
      </c>
      <c r="F2638" s="346" t="s">
        <v>615</v>
      </c>
      <c r="G2638" s="349" t="s">
        <v>449</v>
      </c>
      <c r="H2638" s="350">
        <f t="shared" si="54"/>
        <v>396000</v>
      </c>
      <c r="I2638" s="120" t="str">
        <f>IF(OR(D2638&lt;Capa!$A$5,D2638&gt;Capa!$A$7,E2638&lt;Capa!$A$5,E2638&gt;Capa!$A$7,D2638&gt;E2638),"Erro","")</f>
        <v/>
      </c>
    </row>
    <row r="2639" spans="1:9" ht="40">
      <c r="A2639" s="345">
        <v>3127</v>
      </c>
      <c r="B2639" s="346" t="s">
        <v>278</v>
      </c>
      <c r="C2639" s="347">
        <v>3300</v>
      </c>
      <c r="D2639" s="348">
        <v>46023</v>
      </c>
      <c r="E2639" s="348">
        <v>46357</v>
      </c>
      <c r="F2639" s="346" t="s">
        <v>615</v>
      </c>
      <c r="G2639" s="349" t="s">
        <v>449</v>
      </c>
      <c r="H2639" s="350">
        <f t="shared" si="54"/>
        <v>39600</v>
      </c>
      <c r="I2639" s="120" t="str">
        <f>IF(OR(D2639&lt;Capa!$A$5,D2639&gt;Capa!$A$7,E2639&lt;Capa!$A$5,E2639&gt;Capa!$A$7,D2639&gt;E2639),"Erro","")</f>
        <v/>
      </c>
    </row>
    <row r="2640" spans="1:9" ht="40">
      <c r="A2640" s="345">
        <v>3128</v>
      </c>
      <c r="B2640" s="346" t="s">
        <v>278</v>
      </c>
      <c r="C2640" s="347">
        <v>33000</v>
      </c>
      <c r="D2640" s="348">
        <v>46388</v>
      </c>
      <c r="E2640" s="348">
        <v>46722</v>
      </c>
      <c r="F2640" s="346" t="s">
        <v>615</v>
      </c>
      <c r="G2640" s="349" t="s">
        <v>449</v>
      </c>
      <c r="H2640" s="350">
        <f t="shared" si="54"/>
        <v>396000</v>
      </c>
      <c r="I2640" s="120" t="str">
        <f>IF(OR(D2640&lt;Capa!$A$5,D2640&gt;Capa!$A$7,E2640&lt;Capa!$A$5,E2640&gt;Capa!$A$7,D2640&gt;E2640),"Erro","")</f>
        <v/>
      </c>
    </row>
    <row r="2641" spans="1:9" ht="40">
      <c r="A2641" s="345">
        <v>3129</v>
      </c>
      <c r="B2641" s="346" t="s">
        <v>278</v>
      </c>
      <c r="C2641" s="347">
        <v>18500</v>
      </c>
      <c r="D2641" s="348">
        <v>46753</v>
      </c>
      <c r="E2641" s="348">
        <v>47058</v>
      </c>
      <c r="F2641" s="346" t="s">
        <v>615</v>
      </c>
      <c r="G2641" s="349" t="s">
        <v>449</v>
      </c>
      <c r="H2641" s="350">
        <f t="shared" si="54"/>
        <v>203500</v>
      </c>
      <c r="I2641" s="120" t="str">
        <f>IF(OR(D2641&lt;Capa!$A$5,D2641&gt;Capa!$A$7,E2641&lt;Capa!$A$5,E2641&gt;Capa!$A$7,D2641&gt;E2641),"Erro","")</f>
        <v/>
      </c>
    </row>
    <row r="2642" spans="1:9" ht="40" hidden="1">
      <c r="A2642" s="345">
        <v>3131</v>
      </c>
      <c r="B2642" s="346" t="s">
        <v>280</v>
      </c>
      <c r="C2642" s="347">
        <v>100</v>
      </c>
      <c r="D2642" s="348">
        <v>45658</v>
      </c>
      <c r="E2642" s="348">
        <v>45992</v>
      </c>
      <c r="F2642" s="346" t="s">
        <v>615</v>
      </c>
      <c r="G2642" s="349" t="s">
        <v>450</v>
      </c>
      <c r="H2642" s="350">
        <f t="shared" si="54"/>
        <v>1200</v>
      </c>
      <c r="I2642" s="120" t="str">
        <f>IF(OR(D2642&lt;Capa!$A$5,D2642&gt;Capa!$A$7,E2642&lt;Capa!$A$5,E2642&gt;Capa!$A$7,D2642&gt;E2642),"Erro","")</f>
        <v/>
      </c>
    </row>
    <row r="2643" spans="1:9" ht="40" hidden="1">
      <c r="A2643" s="345">
        <v>3132</v>
      </c>
      <c r="B2643" s="346" t="s">
        <v>280</v>
      </c>
      <c r="C2643" s="347">
        <v>100</v>
      </c>
      <c r="D2643" s="348">
        <v>46023</v>
      </c>
      <c r="E2643" s="348">
        <v>46357</v>
      </c>
      <c r="F2643" s="346" t="s">
        <v>615</v>
      </c>
      <c r="G2643" s="349" t="s">
        <v>450</v>
      </c>
      <c r="H2643" s="350">
        <f t="shared" si="54"/>
        <v>1200</v>
      </c>
      <c r="I2643" s="120" t="str">
        <f>IF(OR(D2643&lt;Capa!$A$5,D2643&gt;Capa!$A$7,E2643&lt;Capa!$A$5,E2643&gt;Capa!$A$7,D2643&gt;E2643),"Erro","")</f>
        <v/>
      </c>
    </row>
    <row r="2644" spans="1:9" ht="40" hidden="1">
      <c r="A2644" s="345">
        <v>3133</v>
      </c>
      <c r="B2644" s="346" t="s">
        <v>280</v>
      </c>
      <c r="C2644" s="347">
        <v>100</v>
      </c>
      <c r="D2644" s="348">
        <v>46388</v>
      </c>
      <c r="E2644" s="348">
        <v>46722</v>
      </c>
      <c r="F2644" s="346" t="s">
        <v>615</v>
      </c>
      <c r="G2644" s="349" t="s">
        <v>450</v>
      </c>
      <c r="H2644" s="350">
        <f t="shared" si="54"/>
        <v>1200</v>
      </c>
      <c r="I2644" s="120" t="str">
        <f>IF(OR(D2644&lt;Capa!$A$5,D2644&gt;Capa!$A$7,E2644&lt;Capa!$A$5,E2644&gt;Capa!$A$7,D2644&gt;E2644),"Erro","")</f>
        <v/>
      </c>
    </row>
    <row r="2645" spans="1:9" ht="40" hidden="1">
      <c r="A2645" s="345">
        <v>3134</v>
      </c>
      <c r="B2645" s="346" t="s">
        <v>280</v>
      </c>
      <c r="C2645" s="347">
        <v>50</v>
      </c>
      <c r="D2645" s="348">
        <v>46388</v>
      </c>
      <c r="E2645" s="348">
        <v>47058</v>
      </c>
      <c r="F2645" s="346" t="s">
        <v>615</v>
      </c>
      <c r="G2645" s="349" t="s">
        <v>450</v>
      </c>
      <c r="H2645" s="350">
        <f t="shared" si="54"/>
        <v>1150</v>
      </c>
      <c r="I2645" s="120" t="str">
        <f>IF(OR(D2645&lt;Capa!$A$5,D2645&gt;Capa!$A$7,E2645&lt;Capa!$A$5,E2645&gt;Capa!$A$7,D2645&gt;E2645),"Erro","")</f>
        <v/>
      </c>
    </row>
    <row r="2646" spans="1:9" ht="40" hidden="1">
      <c r="A2646" s="345">
        <v>3136</v>
      </c>
      <c r="B2646" s="346" t="s">
        <v>282</v>
      </c>
      <c r="C2646" s="347">
        <v>450</v>
      </c>
      <c r="D2646" s="348">
        <v>45658</v>
      </c>
      <c r="E2646" s="348">
        <v>45992</v>
      </c>
      <c r="F2646" s="346" t="s">
        <v>615</v>
      </c>
      <c r="G2646" s="349" t="s">
        <v>451</v>
      </c>
      <c r="H2646" s="350">
        <f t="shared" si="54"/>
        <v>5400</v>
      </c>
      <c r="I2646" s="120" t="str">
        <f>IF(OR(D2646&lt;Capa!$A$5,D2646&gt;Capa!$A$7,E2646&lt;Capa!$A$5,E2646&gt;Capa!$A$7,D2646&gt;E2646),"Erro","")</f>
        <v/>
      </c>
    </row>
    <row r="2647" spans="1:9" ht="40" hidden="1">
      <c r="A2647" s="345">
        <v>3137</v>
      </c>
      <c r="B2647" s="346" t="s">
        <v>282</v>
      </c>
      <c r="C2647" s="347">
        <v>450</v>
      </c>
      <c r="D2647" s="348">
        <v>46023</v>
      </c>
      <c r="E2647" s="348">
        <v>46357</v>
      </c>
      <c r="F2647" s="346" t="s">
        <v>615</v>
      </c>
      <c r="G2647" s="349" t="s">
        <v>451</v>
      </c>
      <c r="H2647" s="350">
        <f t="shared" si="54"/>
        <v>5400</v>
      </c>
      <c r="I2647" s="120" t="str">
        <f>IF(OR(D2647&lt;Capa!$A$5,D2647&gt;Capa!$A$7,E2647&lt;Capa!$A$5,E2647&gt;Capa!$A$7,D2647&gt;E2647),"Erro","")</f>
        <v/>
      </c>
    </row>
    <row r="2648" spans="1:9" ht="40" hidden="1">
      <c r="A2648" s="345">
        <v>3138</v>
      </c>
      <c r="B2648" s="346" t="s">
        <v>282</v>
      </c>
      <c r="C2648" s="347">
        <v>450</v>
      </c>
      <c r="D2648" s="348">
        <v>46388</v>
      </c>
      <c r="E2648" s="348">
        <v>46722</v>
      </c>
      <c r="F2648" s="346" t="s">
        <v>615</v>
      </c>
      <c r="G2648" s="349" t="s">
        <v>451</v>
      </c>
      <c r="H2648" s="350">
        <f t="shared" si="54"/>
        <v>5400</v>
      </c>
      <c r="I2648" s="120" t="str">
        <f>IF(OR(D2648&lt;Capa!$A$5,D2648&gt;Capa!$A$7,E2648&lt;Capa!$A$5,E2648&gt;Capa!$A$7,D2648&gt;E2648),"Erro","")</f>
        <v/>
      </c>
    </row>
    <row r="2649" spans="1:9" ht="40" hidden="1">
      <c r="A2649" s="345">
        <v>3139</v>
      </c>
      <c r="B2649" s="346" t="s">
        <v>282</v>
      </c>
      <c r="C2649" s="347">
        <v>200</v>
      </c>
      <c r="D2649" s="348">
        <v>46388</v>
      </c>
      <c r="E2649" s="348">
        <v>47058</v>
      </c>
      <c r="F2649" s="346" t="s">
        <v>615</v>
      </c>
      <c r="G2649" s="349" t="s">
        <v>451</v>
      </c>
      <c r="H2649" s="350">
        <f t="shared" si="54"/>
        <v>4600</v>
      </c>
      <c r="I2649" s="120" t="str">
        <f>IF(OR(D2649&lt;Capa!$A$5,D2649&gt;Capa!$A$7,E2649&lt;Capa!$A$5,E2649&gt;Capa!$A$7,D2649&gt;E2649),"Erro","")</f>
        <v/>
      </c>
    </row>
    <row r="2650" spans="1:9" ht="40" hidden="1">
      <c r="A2650" s="345">
        <v>3141</v>
      </c>
      <c r="B2650" s="346" t="s">
        <v>284</v>
      </c>
      <c r="C2650" s="347">
        <v>950</v>
      </c>
      <c r="D2650" s="348">
        <v>45658</v>
      </c>
      <c r="E2650" s="348">
        <v>45992</v>
      </c>
      <c r="F2650" s="346" t="s">
        <v>615</v>
      </c>
      <c r="G2650" s="349" t="s">
        <v>451</v>
      </c>
      <c r="H2650" s="350">
        <f t="shared" si="54"/>
        <v>11400</v>
      </c>
      <c r="I2650" s="120" t="str">
        <f>IF(OR(D2650&lt;Capa!$A$5,D2650&gt;Capa!$A$7,E2650&lt;Capa!$A$5,E2650&gt;Capa!$A$7,D2650&gt;E2650),"Erro","")</f>
        <v/>
      </c>
    </row>
    <row r="2651" spans="1:9" ht="40" hidden="1">
      <c r="A2651" s="345">
        <v>3142</v>
      </c>
      <c r="B2651" s="346" t="s">
        <v>284</v>
      </c>
      <c r="C2651" s="347">
        <v>950</v>
      </c>
      <c r="D2651" s="348">
        <v>46023</v>
      </c>
      <c r="E2651" s="348">
        <v>46357</v>
      </c>
      <c r="F2651" s="346" t="s">
        <v>615</v>
      </c>
      <c r="G2651" s="349" t="s">
        <v>451</v>
      </c>
      <c r="H2651" s="350">
        <f t="shared" si="54"/>
        <v>11400</v>
      </c>
      <c r="I2651" s="120" t="str">
        <f>IF(OR(D2651&lt;Capa!$A$5,D2651&gt;Capa!$A$7,E2651&lt;Capa!$A$5,E2651&gt;Capa!$A$7,D2651&gt;E2651),"Erro","")</f>
        <v/>
      </c>
    </row>
    <row r="2652" spans="1:9" ht="40" hidden="1">
      <c r="A2652" s="345">
        <v>3143</v>
      </c>
      <c r="B2652" s="346" t="s">
        <v>284</v>
      </c>
      <c r="C2652" s="347">
        <v>950</v>
      </c>
      <c r="D2652" s="348">
        <v>46388</v>
      </c>
      <c r="E2652" s="348">
        <v>46722</v>
      </c>
      <c r="F2652" s="346" t="s">
        <v>615</v>
      </c>
      <c r="G2652" s="349" t="s">
        <v>451</v>
      </c>
      <c r="H2652" s="350">
        <f t="shared" si="54"/>
        <v>11400</v>
      </c>
      <c r="I2652" s="120" t="str">
        <f>IF(OR(D2652&lt;Capa!$A$5,D2652&gt;Capa!$A$7,E2652&lt;Capa!$A$5,E2652&gt;Capa!$A$7,D2652&gt;E2652),"Erro","")</f>
        <v/>
      </c>
    </row>
    <row r="2653" spans="1:9" ht="40" hidden="1">
      <c r="A2653" s="345">
        <v>3144</v>
      </c>
      <c r="B2653" s="346" t="s">
        <v>284</v>
      </c>
      <c r="C2653" s="347">
        <v>400</v>
      </c>
      <c r="D2653" s="348">
        <v>46388</v>
      </c>
      <c r="E2653" s="348">
        <v>47058</v>
      </c>
      <c r="F2653" s="346" t="s">
        <v>615</v>
      </c>
      <c r="G2653" s="349" t="s">
        <v>451</v>
      </c>
      <c r="H2653" s="350">
        <f t="shared" si="54"/>
        <v>9200</v>
      </c>
      <c r="I2653" s="120" t="str">
        <f>IF(OR(D2653&lt;Capa!$A$5,D2653&gt;Capa!$A$7,E2653&lt;Capa!$A$5,E2653&gt;Capa!$A$7,D2653&gt;E2653),"Erro","")</f>
        <v/>
      </c>
    </row>
    <row r="2654" spans="1:9" ht="40" hidden="1">
      <c r="A2654" s="345">
        <v>3146</v>
      </c>
      <c r="B2654" s="346" t="s">
        <v>286</v>
      </c>
      <c r="C2654" s="347">
        <v>1000</v>
      </c>
      <c r="D2654" s="348">
        <v>45658</v>
      </c>
      <c r="E2654" s="348">
        <v>45992</v>
      </c>
      <c r="F2654" s="346" t="s">
        <v>615</v>
      </c>
      <c r="G2654" s="349" t="s">
        <v>451</v>
      </c>
      <c r="H2654" s="350">
        <f t="shared" si="54"/>
        <v>12000</v>
      </c>
      <c r="I2654" s="120" t="str">
        <f>IF(OR(D2654&lt;Capa!$A$5,D2654&gt;Capa!$A$7,E2654&lt;Capa!$A$5,E2654&gt;Capa!$A$7,D2654&gt;E2654),"Erro","")</f>
        <v/>
      </c>
    </row>
    <row r="2655" spans="1:9" ht="40" hidden="1">
      <c r="A2655" s="345">
        <v>3147</v>
      </c>
      <c r="B2655" s="346" t="s">
        <v>286</v>
      </c>
      <c r="C2655" s="347">
        <v>1000</v>
      </c>
      <c r="D2655" s="348">
        <v>46023</v>
      </c>
      <c r="E2655" s="348">
        <v>46357</v>
      </c>
      <c r="F2655" s="346" t="s">
        <v>615</v>
      </c>
      <c r="G2655" s="349" t="s">
        <v>451</v>
      </c>
      <c r="H2655" s="350">
        <f t="shared" si="54"/>
        <v>12000</v>
      </c>
      <c r="I2655" s="120" t="str">
        <f>IF(OR(D2655&lt;Capa!$A$5,D2655&gt;Capa!$A$7,E2655&lt;Capa!$A$5,E2655&gt;Capa!$A$7,D2655&gt;E2655),"Erro","")</f>
        <v/>
      </c>
    </row>
    <row r="2656" spans="1:9" ht="40" hidden="1">
      <c r="A2656" s="345">
        <v>3148</v>
      </c>
      <c r="B2656" s="346" t="s">
        <v>286</v>
      </c>
      <c r="C2656" s="347">
        <v>1000</v>
      </c>
      <c r="D2656" s="348">
        <v>46388</v>
      </c>
      <c r="E2656" s="348">
        <v>46722</v>
      </c>
      <c r="F2656" s="346" t="s">
        <v>615</v>
      </c>
      <c r="G2656" s="349" t="s">
        <v>451</v>
      </c>
      <c r="H2656" s="350">
        <f t="shared" si="54"/>
        <v>12000</v>
      </c>
      <c r="I2656" s="120" t="str">
        <f>IF(OR(D2656&lt;Capa!$A$5,D2656&gt;Capa!$A$7,E2656&lt;Capa!$A$5,E2656&gt;Capa!$A$7,D2656&gt;E2656),"Erro","")</f>
        <v/>
      </c>
    </row>
    <row r="2657" spans="1:9" ht="40" hidden="1">
      <c r="A2657" s="345">
        <v>3149</v>
      </c>
      <c r="B2657" s="346" t="s">
        <v>286</v>
      </c>
      <c r="C2657" s="347">
        <v>500</v>
      </c>
      <c r="D2657" s="348">
        <v>46388</v>
      </c>
      <c r="E2657" s="348">
        <v>47058</v>
      </c>
      <c r="F2657" s="346" t="s">
        <v>615</v>
      </c>
      <c r="G2657" s="349" t="s">
        <v>451</v>
      </c>
      <c r="H2657" s="350">
        <f t="shared" si="54"/>
        <v>11500</v>
      </c>
      <c r="I2657" s="120" t="str">
        <f>IF(OR(D2657&lt;Capa!$A$5,D2657&gt;Capa!$A$7,E2657&lt;Capa!$A$5,E2657&gt;Capa!$A$7,D2657&gt;E2657),"Erro","")</f>
        <v/>
      </c>
    </row>
    <row r="2658" spans="1:9" ht="30" hidden="1">
      <c r="A2658" s="345">
        <v>3151</v>
      </c>
      <c r="B2658" s="346" t="s">
        <v>288</v>
      </c>
      <c r="C2658" s="347">
        <v>200</v>
      </c>
      <c r="D2658" s="348">
        <v>45658</v>
      </c>
      <c r="E2658" s="348">
        <v>45992</v>
      </c>
      <c r="F2658" s="346" t="s">
        <v>615</v>
      </c>
      <c r="G2658" s="349" t="s">
        <v>452</v>
      </c>
      <c r="H2658" s="350">
        <f t="shared" si="54"/>
        <v>2400</v>
      </c>
      <c r="I2658" s="120" t="str">
        <f>IF(OR(D2658&lt;Capa!$A$5,D2658&gt;Capa!$A$7,E2658&lt;Capa!$A$5,E2658&gt;Capa!$A$7,D2658&gt;E2658),"Erro","")</f>
        <v/>
      </c>
    </row>
    <row r="2659" spans="1:9" ht="30" hidden="1">
      <c r="A2659" s="345">
        <v>3152</v>
      </c>
      <c r="B2659" s="346" t="s">
        <v>288</v>
      </c>
      <c r="C2659" s="347">
        <v>200</v>
      </c>
      <c r="D2659" s="348">
        <v>46023</v>
      </c>
      <c r="E2659" s="348">
        <v>46357</v>
      </c>
      <c r="F2659" s="346" t="s">
        <v>615</v>
      </c>
      <c r="G2659" s="349" t="s">
        <v>452</v>
      </c>
      <c r="H2659" s="350">
        <f t="shared" si="54"/>
        <v>2400</v>
      </c>
      <c r="I2659" s="120" t="str">
        <f>IF(OR(D2659&lt;Capa!$A$5,D2659&gt;Capa!$A$7,E2659&lt;Capa!$A$5,E2659&gt;Capa!$A$7,D2659&gt;E2659),"Erro","")</f>
        <v/>
      </c>
    </row>
    <row r="2660" spans="1:9" ht="30" hidden="1">
      <c r="A2660" s="345">
        <v>3153</v>
      </c>
      <c r="B2660" s="346" t="s">
        <v>288</v>
      </c>
      <c r="C2660" s="347">
        <v>200</v>
      </c>
      <c r="D2660" s="348">
        <v>46388</v>
      </c>
      <c r="E2660" s="348">
        <v>46722</v>
      </c>
      <c r="F2660" s="346" t="s">
        <v>615</v>
      </c>
      <c r="G2660" s="349" t="s">
        <v>452</v>
      </c>
      <c r="H2660" s="350">
        <f t="shared" si="54"/>
        <v>2400</v>
      </c>
      <c r="I2660" s="120" t="str">
        <f>IF(OR(D2660&lt;Capa!$A$5,D2660&gt;Capa!$A$7,E2660&lt;Capa!$A$5,E2660&gt;Capa!$A$7,D2660&gt;E2660),"Erro","")</f>
        <v/>
      </c>
    </row>
    <row r="2661" spans="1:9" ht="30" hidden="1">
      <c r="A2661" s="345">
        <v>3154</v>
      </c>
      <c r="B2661" s="346" t="s">
        <v>288</v>
      </c>
      <c r="C2661" s="347">
        <v>100</v>
      </c>
      <c r="D2661" s="348">
        <v>46388</v>
      </c>
      <c r="E2661" s="348">
        <v>47058</v>
      </c>
      <c r="F2661" s="346" t="s">
        <v>615</v>
      </c>
      <c r="G2661" s="349" t="s">
        <v>452</v>
      </c>
      <c r="H2661" s="350">
        <f t="shared" si="54"/>
        <v>2300</v>
      </c>
      <c r="I2661" s="120" t="str">
        <f>IF(OR(D2661&lt;Capa!$A$5,D2661&gt;Capa!$A$7,E2661&lt;Capa!$A$5,E2661&gt;Capa!$A$7,D2661&gt;E2661),"Erro","")</f>
        <v/>
      </c>
    </row>
    <row r="2662" spans="1:9" ht="30" hidden="1">
      <c r="A2662" s="345">
        <v>3156</v>
      </c>
      <c r="B2662" s="346" t="s">
        <v>294</v>
      </c>
      <c r="C2662" s="347">
        <v>1500</v>
      </c>
      <c r="D2662" s="348">
        <v>45658</v>
      </c>
      <c r="E2662" s="348">
        <v>45992</v>
      </c>
      <c r="F2662" s="346" t="s">
        <v>615</v>
      </c>
      <c r="G2662" s="349" t="s">
        <v>453</v>
      </c>
      <c r="H2662" s="350">
        <f t="shared" si="54"/>
        <v>18000</v>
      </c>
      <c r="I2662" s="120" t="str">
        <f>IF(OR(D2662&lt;Capa!$A$5,D2662&gt;Capa!$A$7,E2662&lt;Capa!$A$5,E2662&gt;Capa!$A$7,D2662&gt;E2662),"Erro","")</f>
        <v/>
      </c>
    </row>
    <row r="2663" spans="1:9" ht="30" hidden="1">
      <c r="A2663" s="345">
        <v>3157</v>
      </c>
      <c r="B2663" s="346" t="s">
        <v>294</v>
      </c>
      <c r="C2663" s="347">
        <v>1500</v>
      </c>
      <c r="D2663" s="348">
        <v>46023</v>
      </c>
      <c r="E2663" s="348">
        <v>46357</v>
      </c>
      <c r="F2663" s="346" t="s">
        <v>615</v>
      </c>
      <c r="G2663" s="349" t="s">
        <v>453</v>
      </c>
      <c r="H2663" s="350">
        <f t="shared" si="54"/>
        <v>18000</v>
      </c>
      <c r="I2663" s="120" t="str">
        <f>IF(OR(D2663&lt;Capa!$A$5,D2663&gt;Capa!$A$7,E2663&lt;Capa!$A$5,E2663&gt;Capa!$A$7,D2663&gt;E2663),"Erro","")</f>
        <v/>
      </c>
    </row>
    <row r="2664" spans="1:9" ht="30" hidden="1">
      <c r="A2664" s="345">
        <v>3158</v>
      </c>
      <c r="B2664" s="346" t="s">
        <v>294</v>
      </c>
      <c r="C2664" s="347">
        <v>1500</v>
      </c>
      <c r="D2664" s="348">
        <v>46388</v>
      </c>
      <c r="E2664" s="348">
        <v>46722</v>
      </c>
      <c r="F2664" s="346" t="s">
        <v>615</v>
      </c>
      <c r="G2664" s="349" t="s">
        <v>453</v>
      </c>
      <c r="H2664" s="350">
        <f t="shared" si="54"/>
        <v>18000</v>
      </c>
      <c r="I2664" s="120" t="str">
        <f>IF(OR(D2664&lt;Capa!$A$5,D2664&gt;Capa!$A$7,E2664&lt;Capa!$A$5,E2664&gt;Capa!$A$7,D2664&gt;E2664),"Erro","")</f>
        <v/>
      </c>
    </row>
    <row r="2665" spans="1:9" ht="30" hidden="1">
      <c r="A2665" s="345">
        <v>3159</v>
      </c>
      <c r="B2665" s="346" t="s">
        <v>294</v>
      </c>
      <c r="C2665" s="347">
        <v>1500</v>
      </c>
      <c r="D2665" s="348">
        <v>46388</v>
      </c>
      <c r="E2665" s="348">
        <v>47058</v>
      </c>
      <c r="F2665" s="346" t="s">
        <v>615</v>
      </c>
      <c r="G2665" s="349" t="s">
        <v>453</v>
      </c>
      <c r="H2665" s="350">
        <f t="shared" si="54"/>
        <v>34500</v>
      </c>
      <c r="I2665" s="120" t="str">
        <f>IF(OR(D2665&lt;Capa!$A$5,D2665&gt;Capa!$A$7,E2665&lt;Capa!$A$5,E2665&gt;Capa!$A$7,D2665&gt;E2665),"Erro","")</f>
        <v/>
      </c>
    </row>
    <row r="2666" spans="1:9" ht="20" hidden="1">
      <c r="A2666" s="345">
        <v>3161</v>
      </c>
      <c r="B2666" s="346" t="s">
        <v>302</v>
      </c>
      <c r="C2666" s="347">
        <v>100</v>
      </c>
      <c r="D2666" s="348">
        <v>45658</v>
      </c>
      <c r="E2666" s="348">
        <v>45992</v>
      </c>
      <c r="F2666" s="346" t="s">
        <v>615</v>
      </c>
      <c r="G2666" s="349" t="s">
        <v>454</v>
      </c>
      <c r="H2666" s="350">
        <f t="shared" si="54"/>
        <v>1200</v>
      </c>
      <c r="I2666" s="120" t="str">
        <f>IF(OR(D2666&lt;Capa!$A$5,D2666&gt;Capa!$A$7,E2666&lt;Capa!$A$5,E2666&gt;Capa!$A$7,D2666&gt;E2666),"Erro","")</f>
        <v/>
      </c>
    </row>
    <row r="2667" spans="1:9" ht="20" hidden="1">
      <c r="A2667" s="345">
        <v>3162</v>
      </c>
      <c r="B2667" s="346" t="s">
        <v>302</v>
      </c>
      <c r="C2667" s="347">
        <v>100</v>
      </c>
      <c r="D2667" s="348">
        <v>46023</v>
      </c>
      <c r="E2667" s="348">
        <v>46357</v>
      </c>
      <c r="F2667" s="346" t="s">
        <v>615</v>
      </c>
      <c r="G2667" s="349" t="s">
        <v>454</v>
      </c>
      <c r="H2667" s="350">
        <f t="shared" si="54"/>
        <v>1200</v>
      </c>
      <c r="I2667" s="120" t="str">
        <f>IF(OR(D2667&lt;Capa!$A$5,D2667&gt;Capa!$A$7,E2667&lt;Capa!$A$5,E2667&gt;Capa!$A$7,D2667&gt;E2667),"Erro","")</f>
        <v/>
      </c>
    </row>
    <row r="2668" spans="1:9" ht="20" hidden="1">
      <c r="A2668" s="345">
        <v>3163</v>
      </c>
      <c r="B2668" s="346" t="s">
        <v>302</v>
      </c>
      <c r="C2668" s="347">
        <v>100</v>
      </c>
      <c r="D2668" s="348">
        <v>46388</v>
      </c>
      <c r="E2668" s="348">
        <v>46722</v>
      </c>
      <c r="F2668" s="346" t="s">
        <v>615</v>
      </c>
      <c r="G2668" s="349" t="s">
        <v>454</v>
      </c>
      <c r="H2668" s="350">
        <f t="shared" si="54"/>
        <v>1200</v>
      </c>
      <c r="I2668" s="120" t="str">
        <f>IF(OR(D2668&lt;Capa!$A$5,D2668&gt;Capa!$A$7,E2668&lt;Capa!$A$5,E2668&gt;Capa!$A$7,D2668&gt;E2668),"Erro","")</f>
        <v/>
      </c>
    </row>
    <row r="2669" spans="1:9" ht="20" hidden="1">
      <c r="A2669" s="345">
        <v>3164</v>
      </c>
      <c r="B2669" s="346" t="s">
        <v>302</v>
      </c>
      <c r="C2669" s="347">
        <v>50</v>
      </c>
      <c r="D2669" s="348">
        <v>46753</v>
      </c>
      <c r="E2669" s="348">
        <v>47058</v>
      </c>
      <c r="F2669" s="346" t="s">
        <v>615</v>
      </c>
      <c r="G2669" s="349" t="s">
        <v>454</v>
      </c>
      <c r="H2669" s="350">
        <f t="shared" ref="H2669:H2722" si="55">IFERROR((DATEDIF(D2669,E2669,"M")+1)*C2669,0)</f>
        <v>550</v>
      </c>
      <c r="I2669" s="120" t="str">
        <f>IF(OR(D2669&lt;Capa!$A$5,D2669&gt;Capa!$A$7,E2669&lt;Capa!$A$5,E2669&gt;Capa!$A$7,D2669&gt;E2669),"Erro","")</f>
        <v/>
      </c>
    </row>
    <row r="2670" spans="1:9" ht="30" hidden="1">
      <c r="A2670" s="345">
        <v>3166</v>
      </c>
      <c r="B2670" s="346" t="s">
        <v>304</v>
      </c>
      <c r="C2670" s="347">
        <v>1000</v>
      </c>
      <c r="D2670" s="348">
        <v>45658</v>
      </c>
      <c r="E2670" s="348">
        <v>45992</v>
      </c>
      <c r="F2670" s="346" t="s">
        <v>615</v>
      </c>
      <c r="G2670" s="349" t="s">
        <v>455</v>
      </c>
      <c r="H2670" s="350">
        <f t="shared" si="55"/>
        <v>12000</v>
      </c>
      <c r="I2670" s="120" t="str">
        <f>IF(OR(D2670&lt;Capa!$A$5,D2670&gt;Capa!$A$7,E2670&lt;Capa!$A$5,E2670&gt;Capa!$A$7,D2670&gt;E2670),"Erro","")</f>
        <v/>
      </c>
    </row>
    <row r="2671" spans="1:9" ht="30" hidden="1">
      <c r="A2671" s="345">
        <v>3167</v>
      </c>
      <c r="B2671" s="346" t="s">
        <v>304</v>
      </c>
      <c r="C2671" s="347">
        <v>1000</v>
      </c>
      <c r="D2671" s="348">
        <v>46023</v>
      </c>
      <c r="E2671" s="348">
        <v>46357</v>
      </c>
      <c r="F2671" s="346" t="s">
        <v>615</v>
      </c>
      <c r="G2671" s="349" t="s">
        <v>455</v>
      </c>
      <c r="H2671" s="350">
        <f t="shared" si="55"/>
        <v>12000</v>
      </c>
      <c r="I2671" s="120" t="str">
        <f>IF(OR(D2671&lt;Capa!$A$5,D2671&gt;Capa!$A$7,E2671&lt;Capa!$A$5,E2671&gt;Capa!$A$7,D2671&gt;E2671),"Erro","")</f>
        <v/>
      </c>
    </row>
    <row r="2672" spans="1:9" ht="30" hidden="1">
      <c r="A2672" s="345">
        <v>3168</v>
      </c>
      <c r="B2672" s="346" t="s">
        <v>304</v>
      </c>
      <c r="C2672" s="347">
        <v>1000</v>
      </c>
      <c r="D2672" s="348">
        <v>46388</v>
      </c>
      <c r="E2672" s="348">
        <v>46722</v>
      </c>
      <c r="F2672" s="346" t="s">
        <v>615</v>
      </c>
      <c r="G2672" s="349" t="s">
        <v>455</v>
      </c>
      <c r="H2672" s="350">
        <f t="shared" si="55"/>
        <v>12000</v>
      </c>
      <c r="I2672" s="120" t="str">
        <f>IF(OR(D2672&lt;Capa!$A$5,D2672&gt;Capa!$A$7,E2672&lt;Capa!$A$5,E2672&gt;Capa!$A$7,D2672&gt;E2672),"Erro","")</f>
        <v/>
      </c>
    </row>
    <row r="2673" spans="1:9" ht="30" hidden="1">
      <c r="A2673" s="345">
        <v>3169</v>
      </c>
      <c r="B2673" s="346" t="s">
        <v>304</v>
      </c>
      <c r="C2673" s="347">
        <v>500</v>
      </c>
      <c r="D2673" s="348">
        <v>46753</v>
      </c>
      <c r="E2673" s="348">
        <v>47058</v>
      </c>
      <c r="F2673" s="346" t="s">
        <v>615</v>
      </c>
      <c r="G2673" s="349" t="s">
        <v>455</v>
      </c>
      <c r="H2673" s="350">
        <f t="shared" si="55"/>
        <v>5500</v>
      </c>
      <c r="I2673" s="120" t="str">
        <f>IF(OR(D2673&lt;Capa!$A$5,D2673&gt;Capa!$A$7,E2673&lt;Capa!$A$5,E2673&gt;Capa!$A$7,D2673&gt;E2673),"Erro","")</f>
        <v/>
      </c>
    </row>
    <row r="2674" spans="1:9" ht="30" hidden="1">
      <c r="A2674" s="345">
        <v>3170</v>
      </c>
      <c r="B2674" s="346" t="s">
        <v>312</v>
      </c>
      <c r="C2674" s="347">
        <v>200</v>
      </c>
      <c r="D2674" s="348">
        <v>45658</v>
      </c>
      <c r="E2674" s="348">
        <v>45992</v>
      </c>
      <c r="F2674" s="346" t="s">
        <v>615</v>
      </c>
      <c r="G2674" s="349" t="s">
        <v>571</v>
      </c>
      <c r="H2674" s="350">
        <f t="shared" si="55"/>
        <v>2400</v>
      </c>
      <c r="I2674" s="120" t="str">
        <f>IF(OR(D2674&lt;Capa!$A$5,D2674&gt;Capa!$A$7,E2674&lt;Capa!$A$5,E2674&gt;Capa!$A$7,D2674&gt;E2674),"Erro","")</f>
        <v/>
      </c>
    </row>
    <row r="2675" spans="1:9" ht="30" hidden="1">
      <c r="A2675" s="345">
        <v>3171</v>
      </c>
      <c r="B2675" s="346" t="s">
        <v>312</v>
      </c>
      <c r="C2675" s="347">
        <v>200</v>
      </c>
      <c r="D2675" s="348">
        <v>46023</v>
      </c>
      <c r="E2675" s="348">
        <v>46357</v>
      </c>
      <c r="F2675" s="346" t="s">
        <v>615</v>
      </c>
      <c r="G2675" s="349" t="s">
        <v>571</v>
      </c>
      <c r="H2675" s="350">
        <f t="shared" si="55"/>
        <v>2400</v>
      </c>
      <c r="I2675" s="120" t="str">
        <f>IF(OR(D2675&lt;Capa!$A$5,D2675&gt;Capa!$A$7,E2675&lt;Capa!$A$5,E2675&gt;Capa!$A$7,D2675&gt;E2675),"Erro","")</f>
        <v/>
      </c>
    </row>
    <row r="2676" spans="1:9" ht="30" hidden="1">
      <c r="A2676" s="345">
        <v>3172</v>
      </c>
      <c r="B2676" s="346" t="s">
        <v>312</v>
      </c>
      <c r="C2676" s="347">
        <v>200</v>
      </c>
      <c r="D2676" s="348">
        <v>46388</v>
      </c>
      <c r="E2676" s="348">
        <v>46722</v>
      </c>
      <c r="F2676" s="346" t="s">
        <v>615</v>
      </c>
      <c r="G2676" s="349" t="s">
        <v>571</v>
      </c>
      <c r="H2676" s="350">
        <f t="shared" si="55"/>
        <v>2400</v>
      </c>
      <c r="I2676" s="120" t="str">
        <f>IF(OR(D2676&lt;Capa!$A$5,D2676&gt;Capa!$A$7,E2676&lt;Capa!$A$5,E2676&gt;Capa!$A$7,D2676&gt;E2676),"Erro","")</f>
        <v/>
      </c>
    </row>
    <row r="2677" spans="1:9" ht="30" hidden="1">
      <c r="A2677" s="345">
        <v>3173</v>
      </c>
      <c r="B2677" s="346" t="s">
        <v>312</v>
      </c>
      <c r="C2677" s="347">
        <v>100</v>
      </c>
      <c r="D2677" s="348">
        <v>46388</v>
      </c>
      <c r="E2677" s="348">
        <v>47058</v>
      </c>
      <c r="F2677" s="346" t="s">
        <v>615</v>
      </c>
      <c r="G2677" s="349" t="s">
        <v>571</v>
      </c>
      <c r="H2677" s="350">
        <f t="shared" si="55"/>
        <v>2300</v>
      </c>
      <c r="I2677" s="120" t="str">
        <f>IF(OR(D2677&lt;Capa!$A$5,D2677&gt;Capa!$A$7,E2677&lt;Capa!$A$5,E2677&gt;Capa!$A$7,D2677&gt;E2677),"Erro","")</f>
        <v/>
      </c>
    </row>
    <row r="2678" spans="1:9" ht="50" hidden="1">
      <c r="A2678" s="345">
        <v>3175</v>
      </c>
      <c r="B2678" s="346" t="s">
        <v>316</v>
      </c>
      <c r="C2678" s="347">
        <v>800</v>
      </c>
      <c r="D2678" s="348">
        <v>45658</v>
      </c>
      <c r="E2678" s="348">
        <v>45992</v>
      </c>
      <c r="F2678" s="346" t="s">
        <v>615</v>
      </c>
      <c r="G2678" s="349" t="s">
        <v>741</v>
      </c>
      <c r="H2678" s="350">
        <f t="shared" si="55"/>
        <v>9600</v>
      </c>
      <c r="I2678" s="120" t="str">
        <f>IF(OR(D2678&lt;Capa!$A$5,D2678&gt;Capa!$A$7,E2678&lt;Capa!$A$5,E2678&gt;Capa!$A$7,D2678&gt;E2678),"Erro","")</f>
        <v/>
      </c>
    </row>
    <row r="2679" spans="1:9" ht="50" hidden="1">
      <c r="A2679" s="345">
        <v>3176</v>
      </c>
      <c r="B2679" s="346" t="s">
        <v>316</v>
      </c>
      <c r="C2679" s="347">
        <v>800</v>
      </c>
      <c r="D2679" s="348">
        <v>46023</v>
      </c>
      <c r="E2679" s="348">
        <v>46357</v>
      </c>
      <c r="F2679" s="346" t="s">
        <v>615</v>
      </c>
      <c r="G2679" s="349" t="s">
        <v>741</v>
      </c>
      <c r="H2679" s="350">
        <f t="shared" si="55"/>
        <v>9600</v>
      </c>
      <c r="I2679" s="120" t="str">
        <f>IF(OR(D2679&lt;Capa!$A$5,D2679&gt;Capa!$A$7,E2679&lt;Capa!$A$5,E2679&gt;Capa!$A$7,D2679&gt;E2679),"Erro","")</f>
        <v/>
      </c>
    </row>
    <row r="2680" spans="1:9" ht="50" hidden="1">
      <c r="A2680" s="345">
        <v>3177</v>
      </c>
      <c r="B2680" s="346" t="s">
        <v>316</v>
      </c>
      <c r="C2680" s="347">
        <v>800</v>
      </c>
      <c r="D2680" s="348">
        <v>46388</v>
      </c>
      <c r="E2680" s="348">
        <v>46722</v>
      </c>
      <c r="F2680" s="346" t="s">
        <v>615</v>
      </c>
      <c r="G2680" s="349" t="s">
        <v>741</v>
      </c>
      <c r="H2680" s="350">
        <f t="shared" si="55"/>
        <v>9600</v>
      </c>
      <c r="I2680" s="120" t="str">
        <f>IF(OR(D2680&lt;Capa!$A$5,D2680&gt;Capa!$A$7,E2680&lt;Capa!$A$5,E2680&gt;Capa!$A$7,D2680&gt;E2680),"Erro","")</f>
        <v/>
      </c>
    </row>
    <row r="2681" spans="1:9" ht="50" hidden="1">
      <c r="A2681" s="345">
        <v>3178</v>
      </c>
      <c r="B2681" s="346" t="s">
        <v>316</v>
      </c>
      <c r="C2681" s="347">
        <v>400</v>
      </c>
      <c r="D2681" s="348">
        <v>46388</v>
      </c>
      <c r="E2681" s="348">
        <v>47058</v>
      </c>
      <c r="F2681" s="346" t="s">
        <v>615</v>
      </c>
      <c r="G2681" s="349" t="s">
        <v>741</v>
      </c>
      <c r="H2681" s="350">
        <f t="shared" si="55"/>
        <v>9200</v>
      </c>
      <c r="I2681" s="120" t="str">
        <f>IF(OR(D2681&lt;Capa!$A$5,D2681&gt;Capa!$A$7,E2681&lt;Capa!$A$5,E2681&gt;Capa!$A$7,D2681&gt;E2681),"Erro","")</f>
        <v/>
      </c>
    </row>
    <row r="2682" spans="1:9" ht="50" hidden="1">
      <c r="A2682" s="345">
        <v>3180</v>
      </c>
      <c r="B2682" s="346" t="s">
        <v>318</v>
      </c>
      <c r="C2682" s="347">
        <v>1000</v>
      </c>
      <c r="D2682" s="348">
        <v>45658</v>
      </c>
      <c r="E2682" s="348">
        <v>45992</v>
      </c>
      <c r="F2682" s="346" t="s">
        <v>615</v>
      </c>
      <c r="G2682" s="349" t="s">
        <v>572</v>
      </c>
      <c r="H2682" s="350">
        <f t="shared" si="55"/>
        <v>12000</v>
      </c>
      <c r="I2682" s="120" t="str">
        <f>IF(OR(D2682&lt;Capa!$A$5,D2682&gt;Capa!$A$7,E2682&lt;Capa!$A$5,E2682&gt;Capa!$A$7,D2682&gt;E2682),"Erro","")</f>
        <v/>
      </c>
    </row>
    <row r="2683" spans="1:9" ht="50" hidden="1">
      <c r="A2683" s="345">
        <v>3181</v>
      </c>
      <c r="B2683" s="346" t="s">
        <v>318</v>
      </c>
      <c r="C2683" s="347">
        <v>1000</v>
      </c>
      <c r="D2683" s="348">
        <v>46023</v>
      </c>
      <c r="E2683" s="348">
        <v>46357</v>
      </c>
      <c r="F2683" s="346" t="s">
        <v>615</v>
      </c>
      <c r="G2683" s="349" t="s">
        <v>572</v>
      </c>
      <c r="H2683" s="350">
        <f t="shared" si="55"/>
        <v>12000</v>
      </c>
      <c r="I2683" s="120" t="str">
        <f>IF(OR(D2683&lt;Capa!$A$5,D2683&gt;Capa!$A$7,E2683&lt;Capa!$A$5,E2683&gt;Capa!$A$7,D2683&gt;E2683),"Erro","")</f>
        <v/>
      </c>
    </row>
    <row r="2684" spans="1:9" ht="50" hidden="1">
      <c r="A2684" s="345">
        <v>3182</v>
      </c>
      <c r="B2684" s="346" t="s">
        <v>318</v>
      </c>
      <c r="C2684" s="347">
        <v>1000</v>
      </c>
      <c r="D2684" s="348">
        <v>46388</v>
      </c>
      <c r="E2684" s="348">
        <v>46722</v>
      </c>
      <c r="F2684" s="346" t="s">
        <v>615</v>
      </c>
      <c r="G2684" s="349" t="s">
        <v>572</v>
      </c>
      <c r="H2684" s="350">
        <f t="shared" si="55"/>
        <v>12000</v>
      </c>
      <c r="I2684" s="120" t="str">
        <f>IF(OR(D2684&lt;Capa!$A$5,D2684&gt;Capa!$A$7,E2684&lt;Capa!$A$5,E2684&gt;Capa!$A$7,D2684&gt;E2684),"Erro","")</f>
        <v/>
      </c>
    </row>
    <row r="2685" spans="1:9" ht="50" hidden="1">
      <c r="A2685" s="345">
        <v>3183</v>
      </c>
      <c r="B2685" s="346" t="s">
        <v>318</v>
      </c>
      <c r="C2685" s="347">
        <v>200</v>
      </c>
      <c r="D2685" s="348">
        <v>46753</v>
      </c>
      <c r="E2685" s="348">
        <v>47058</v>
      </c>
      <c r="F2685" s="346" t="s">
        <v>615</v>
      </c>
      <c r="G2685" s="349" t="s">
        <v>572</v>
      </c>
      <c r="H2685" s="350">
        <f t="shared" si="55"/>
        <v>2200</v>
      </c>
      <c r="I2685" s="120" t="str">
        <f>IF(OR(D2685&lt;Capa!$A$5,D2685&gt;Capa!$A$7,E2685&lt;Capa!$A$5,E2685&gt;Capa!$A$7,D2685&gt;E2685),"Erro","")</f>
        <v/>
      </c>
    </row>
    <row r="2686" spans="1:9" ht="50" hidden="1">
      <c r="A2686" s="345">
        <v>3185</v>
      </c>
      <c r="B2686" s="346" t="s">
        <v>318</v>
      </c>
      <c r="C2686" s="347">
        <v>700</v>
      </c>
      <c r="D2686" s="348">
        <v>45658</v>
      </c>
      <c r="E2686" s="348">
        <v>45992</v>
      </c>
      <c r="F2686" s="346" t="s">
        <v>615</v>
      </c>
      <c r="G2686" s="349" t="s">
        <v>456</v>
      </c>
      <c r="H2686" s="350">
        <f t="shared" si="55"/>
        <v>8400</v>
      </c>
      <c r="I2686" s="120" t="str">
        <f>IF(OR(D2686&lt;Capa!$A$5,D2686&gt;Capa!$A$7,E2686&lt;Capa!$A$5,E2686&gt;Capa!$A$7,D2686&gt;E2686),"Erro","")</f>
        <v/>
      </c>
    </row>
    <row r="2687" spans="1:9" ht="50" hidden="1">
      <c r="A2687" s="345">
        <v>3186</v>
      </c>
      <c r="B2687" s="346" t="s">
        <v>318</v>
      </c>
      <c r="C2687" s="347">
        <v>700</v>
      </c>
      <c r="D2687" s="348">
        <v>46023</v>
      </c>
      <c r="E2687" s="348">
        <v>46357</v>
      </c>
      <c r="F2687" s="346" t="s">
        <v>615</v>
      </c>
      <c r="G2687" s="349" t="s">
        <v>456</v>
      </c>
      <c r="H2687" s="350">
        <f t="shared" si="55"/>
        <v>8400</v>
      </c>
      <c r="I2687" s="120" t="str">
        <f>IF(OR(D2687&lt;Capa!$A$5,D2687&gt;Capa!$A$7,E2687&lt;Capa!$A$5,E2687&gt;Capa!$A$7,D2687&gt;E2687),"Erro","")</f>
        <v/>
      </c>
    </row>
    <row r="2688" spans="1:9" ht="50" hidden="1">
      <c r="A2688" s="345">
        <v>3187</v>
      </c>
      <c r="B2688" s="346" t="s">
        <v>318</v>
      </c>
      <c r="C2688" s="347">
        <v>700</v>
      </c>
      <c r="D2688" s="348">
        <v>46388</v>
      </c>
      <c r="E2688" s="348">
        <v>46722</v>
      </c>
      <c r="F2688" s="346" t="s">
        <v>615</v>
      </c>
      <c r="G2688" s="349" t="s">
        <v>456</v>
      </c>
      <c r="H2688" s="350">
        <f t="shared" si="55"/>
        <v>8400</v>
      </c>
      <c r="I2688" s="120" t="str">
        <f>IF(OR(D2688&lt;Capa!$A$5,D2688&gt;Capa!$A$7,E2688&lt;Capa!$A$5,E2688&gt;Capa!$A$7,D2688&gt;E2688),"Erro","")</f>
        <v/>
      </c>
    </row>
    <row r="2689" spans="1:9" ht="50" hidden="1">
      <c r="A2689" s="345">
        <v>3188</v>
      </c>
      <c r="B2689" s="346" t="s">
        <v>318</v>
      </c>
      <c r="C2689" s="347">
        <v>250</v>
      </c>
      <c r="D2689" s="348">
        <v>46753</v>
      </c>
      <c r="E2689" s="348">
        <v>47058</v>
      </c>
      <c r="F2689" s="346" t="s">
        <v>615</v>
      </c>
      <c r="G2689" s="349" t="s">
        <v>456</v>
      </c>
      <c r="H2689" s="350">
        <f t="shared" si="55"/>
        <v>2750</v>
      </c>
      <c r="I2689" s="120" t="str">
        <f>IF(OR(D2689&lt;Capa!$A$5,D2689&gt;Capa!$A$7,E2689&lt;Capa!$A$5,E2689&gt;Capa!$A$7,D2689&gt;E2689),"Erro","")</f>
        <v/>
      </c>
    </row>
    <row r="2690" spans="1:9" ht="20" hidden="1">
      <c r="A2690" s="345">
        <v>3190</v>
      </c>
      <c r="B2690" s="346" t="s">
        <v>298</v>
      </c>
      <c r="C2690" s="347">
        <v>2450</v>
      </c>
      <c r="D2690" s="348">
        <v>45658</v>
      </c>
      <c r="E2690" s="348">
        <v>45992</v>
      </c>
      <c r="F2690" s="346" t="s">
        <v>615</v>
      </c>
      <c r="G2690" s="349" t="s">
        <v>457</v>
      </c>
      <c r="H2690" s="350">
        <f t="shared" si="55"/>
        <v>29400</v>
      </c>
      <c r="I2690" s="120" t="str">
        <f>IF(OR(D2690&lt;Capa!$A$5,D2690&gt;Capa!$A$7,E2690&lt;Capa!$A$5,E2690&gt;Capa!$A$7,D2690&gt;E2690),"Erro","")</f>
        <v/>
      </c>
    </row>
    <row r="2691" spans="1:9" ht="20" hidden="1">
      <c r="A2691" s="345">
        <v>3191</v>
      </c>
      <c r="B2691" s="346" t="s">
        <v>298</v>
      </c>
      <c r="C2691" s="347">
        <v>2450</v>
      </c>
      <c r="D2691" s="348">
        <v>46023</v>
      </c>
      <c r="E2691" s="348">
        <v>46357</v>
      </c>
      <c r="F2691" s="346" t="s">
        <v>615</v>
      </c>
      <c r="G2691" s="349" t="s">
        <v>457</v>
      </c>
      <c r="H2691" s="350">
        <f t="shared" si="55"/>
        <v>29400</v>
      </c>
      <c r="I2691" s="120" t="str">
        <f>IF(OR(D2691&lt;Capa!$A$5,D2691&gt;Capa!$A$7,E2691&lt;Capa!$A$5,E2691&gt;Capa!$A$7,D2691&gt;E2691),"Erro","")</f>
        <v/>
      </c>
    </row>
    <row r="2692" spans="1:9" ht="20" hidden="1">
      <c r="A2692" s="345">
        <v>3192</v>
      </c>
      <c r="B2692" s="346" t="s">
        <v>298</v>
      </c>
      <c r="C2692" s="347">
        <v>2450</v>
      </c>
      <c r="D2692" s="348">
        <v>46388</v>
      </c>
      <c r="E2692" s="348">
        <v>46722</v>
      </c>
      <c r="F2692" s="346" t="s">
        <v>615</v>
      </c>
      <c r="G2692" s="349" t="s">
        <v>457</v>
      </c>
      <c r="H2692" s="350">
        <f t="shared" si="55"/>
        <v>29400</v>
      </c>
      <c r="I2692" s="120" t="str">
        <f>IF(OR(D2692&lt;Capa!$A$5,D2692&gt;Capa!$A$7,E2692&lt;Capa!$A$5,E2692&gt;Capa!$A$7,D2692&gt;E2692),"Erro","")</f>
        <v/>
      </c>
    </row>
    <row r="2693" spans="1:9" ht="20" hidden="1">
      <c r="A2693" s="345">
        <v>3193</v>
      </c>
      <c r="B2693" s="346" t="s">
        <v>298</v>
      </c>
      <c r="C2693" s="347">
        <v>1250</v>
      </c>
      <c r="D2693" s="348">
        <v>46388</v>
      </c>
      <c r="E2693" s="348">
        <v>47058</v>
      </c>
      <c r="F2693" s="346" t="s">
        <v>615</v>
      </c>
      <c r="G2693" s="349" t="s">
        <v>457</v>
      </c>
      <c r="H2693" s="350">
        <f t="shared" si="55"/>
        <v>28750</v>
      </c>
      <c r="I2693" s="120" t="str">
        <f>IF(OR(D2693&lt;Capa!$A$5,D2693&gt;Capa!$A$7,E2693&lt;Capa!$A$5,E2693&gt;Capa!$A$7,D2693&gt;E2693),"Erro","")</f>
        <v/>
      </c>
    </row>
    <row r="2694" spans="1:9" ht="30" hidden="1">
      <c r="A2694" s="345">
        <v>3194</v>
      </c>
      <c r="B2694" s="346" t="s">
        <v>238</v>
      </c>
      <c r="C2694" s="347">
        <v>480</v>
      </c>
      <c r="D2694" s="348">
        <v>45658</v>
      </c>
      <c r="E2694" s="348">
        <v>45992</v>
      </c>
      <c r="F2694" s="346" t="s">
        <v>615</v>
      </c>
      <c r="G2694" s="349" t="s">
        <v>458</v>
      </c>
      <c r="H2694" s="350">
        <f t="shared" si="55"/>
        <v>5760</v>
      </c>
      <c r="I2694" s="120" t="str">
        <f>IF(OR(D2694&lt;Capa!$A$5,D2694&gt;Capa!$A$7,E2694&lt;Capa!$A$5,E2694&gt;Capa!$A$7,D2694&gt;E2694),"Erro","")</f>
        <v/>
      </c>
    </row>
    <row r="2695" spans="1:9" ht="30" hidden="1">
      <c r="A2695" s="345">
        <v>3195</v>
      </c>
      <c r="B2695" s="346" t="s">
        <v>238</v>
      </c>
      <c r="C2695" s="347">
        <v>480</v>
      </c>
      <c r="D2695" s="348">
        <v>46023</v>
      </c>
      <c r="E2695" s="348">
        <v>46357</v>
      </c>
      <c r="F2695" s="346" t="s">
        <v>615</v>
      </c>
      <c r="G2695" s="349" t="s">
        <v>458</v>
      </c>
      <c r="H2695" s="350">
        <f t="shared" si="55"/>
        <v>5760</v>
      </c>
      <c r="I2695" s="120" t="str">
        <f>IF(OR(D2695&lt;Capa!$A$5,D2695&gt;Capa!$A$7,E2695&lt;Capa!$A$5,E2695&gt;Capa!$A$7,D2695&gt;E2695),"Erro","")</f>
        <v/>
      </c>
    </row>
    <row r="2696" spans="1:9" ht="30" hidden="1">
      <c r="A2696" s="345">
        <v>3196</v>
      </c>
      <c r="B2696" s="346" t="s">
        <v>238</v>
      </c>
      <c r="C2696" s="347">
        <v>480</v>
      </c>
      <c r="D2696" s="348">
        <v>46388</v>
      </c>
      <c r="E2696" s="348">
        <v>46722</v>
      </c>
      <c r="F2696" s="346" t="s">
        <v>615</v>
      </c>
      <c r="G2696" s="349" t="s">
        <v>458</v>
      </c>
      <c r="H2696" s="350">
        <f t="shared" si="55"/>
        <v>5760</v>
      </c>
      <c r="I2696" s="120" t="str">
        <f>IF(OR(D2696&lt;Capa!$A$5,D2696&gt;Capa!$A$7,E2696&lt;Capa!$A$5,E2696&gt;Capa!$A$7,D2696&gt;E2696),"Erro","")</f>
        <v/>
      </c>
    </row>
    <row r="2697" spans="1:9" ht="30" hidden="1">
      <c r="A2697" s="345">
        <v>3197</v>
      </c>
      <c r="B2697" s="346" t="s">
        <v>238</v>
      </c>
      <c r="C2697" s="347">
        <v>240</v>
      </c>
      <c r="D2697" s="348">
        <v>46388</v>
      </c>
      <c r="E2697" s="348">
        <v>47058</v>
      </c>
      <c r="F2697" s="346" t="s">
        <v>615</v>
      </c>
      <c r="G2697" s="349" t="s">
        <v>458</v>
      </c>
      <c r="H2697" s="350">
        <f t="shared" si="55"/>
        <v>5520</v>
      </c>
      <c r="I2697" s="120" t="str">
        <f>IF(OR(D2697&lt;Capa!$A$5,D2697&gt;Capa!$A$7,E2697&lt;Capa!$A$5,E2697&gt;Capa!$A$7,D2697&gt;E2697),"Erro","")</f>
        <v/>
      </c>
    </row>
    <row r="2698" spans="1:9" ht="40" hidden="1">
      <c r="A2698" s="345">
        <v>3199</v>
      </c>
      <c r="B2698" s="346" t="s">
        <v>252</v>
      </c>
      <c r="C2698" s="347">
        <v>8000</v>
      </c>
      <c r="D2698" s="348">
        <v>45658</v>
      </c>
      <c r="E2698" s="348">
        <v>45992</v>
      </c>
      <c r="F2698" s="346" t="s">
        <v>615</v>
      </c>
      <c r="G2698" s="349" t="s">
        <v>459</v>
      </c>
      <c r="H2698" s="350">
        <f t="shared" si="55"/>
        <v>96000</v>
      </c>
      <c r="I2698" s="120" t="str">
        <f>IF(OR(D2698&lt;Capa!$A$5,D2698&gt;Capa!$A$7,E2698&lt;Capa!$A$5,E2698&gt;Capa!$A$7,D2698&gt;E2698),"Erro","")</f>
        <v/>
      </c>
    </row>
    <row r="2699" spans="1:9" ht="40" hidden="1">
      <c r="A2699" s="345">
        <v>3200</v>
      </c>
      <c r="B2699" s="346" t="s">
        <v>252</v>
      </c>
      <c r="C2699" s="347">
        <v>8000</v>
      </c>
      <c r="D2699" s="348">
        <v>46023</v>
      </c>
      <c r="E2699" s="348">
        <v>46357</v>
      </c>
      <c r="F2699" s="346" t="s">
        <v>615</v>
      </c>
      <c r="G2699" s="349" t="s">
        <v>459</v>
      </c>
      <c r="H2699" s="350">
        <f t="shared" si="55"/>
        <v>96000</v>
      </c>
      <c r="I2699" s="120" t="str">
        <f>IF(OR(D2699&lt;Capa!$A$5,D2699&gt;Capa!$A$7,E2699&lt;Capa!$A$5,E2699&gt;Capa!$A$7,D2699&gt;E2699),"Erro","")</f>
        <v/>
      </c>
    </row>
    <row r="2700" spans="1:9" ht="40" hidden="1">
      <c r="A2700" s="345">
        <v>3201</v>
      </c>
      <c r="B2700" s="346" t="s">
        <v>252</v>
      </c>
      <c r="C2700" s="347">
        <v>8000</v>
      </c>
      <c r="D2700" s="348">
        <v>46388</v>
      </c>
      <c r="E2700" s="348">
        <v>46722</v>
      </c>
      <c r="F2700" s="346" t="s">
        <v>615</v>
      </c>
      <c r="G2700" s="349" t="s">
        <v>459</v>
      </c>
      <c r="H2700" s="350">
        <f t="shared" si="55"/>
        <v>96000</v>
      </c>
      <c r="I2700" s="120" t="str">
        <f>IF(OR(D2700&lt;Capa!$A$5,D2700&gt;Capa!$A$7,E2700&lt;Capa!$A$5,E2700&gt;Capa!$A$7,D2700&gt;E2700),"Erro","")</f>
        <v/>
      </c>
    </row>
    <row r="2701" spans="1:9" ht="40" hidden="1">
      <c r="A2701" s="345">
        <v>3202</v>
      </c>
      <c r="B2701" s="346" t="s">
        <v>252</v>
      </c>
      <c r="C2701" s="347">
        <v>4000</v>
      </c>
      <c r="D2701" s="348">
        <v>46388</v>
      </c>
      <c r="E2701" s="348">
        <v>47058</v>
      </c>
      <c r="F2701" s="346" t="s">
        <v>615</v>
      </c>
      <c r="G2701" s="349" t="s">
        <v>459</v>
      </c>
      <c r="H2701" s="350">
        <f t="shared" si="55"/>
        <v>92000</v>
      </c>
      <c r="I2701" s="120" t="str">
        <f>IF(OR(D2701&lt;Capa!$A$5,D2701&gt;Capa!$A$7,E2701&lt;Capa!$A$5,E2701&gt;Capa!$A$7,D2701&gt;E2701),"Erro","")</f>
        <v/>
      </c>
    </row>
    <row r="2702" spans="1:9" ht="30" hidden="1">
      <c r="A2702" s="345">
        <v>3205</v>
      </c>
      <c r="B2702" s="346" t="s">
        <v>621</v>
      </c>
      <c r="C2702" s="347">
        <v>2000</v>
      </c>
      <c r="D2702" s="348">
        <v>46023</v>
      </c>
      <c r="E2702" s="348">
        <v>46023</v>
      </c>
      <c r="F2702" s="346" t="s">
        <v>615</v>
      </c>
      <c r="G2702" s="349" t="s">
        <v>595</v>
      </c>
      <c r="H2702" s="350">
        <f t="shared" si="55"/>
        <v>2000</v>
      </c>
      <c r="I2702" s="120" t="str">
        <f>IF(OR(D2702&lt;Capa!$A$5,D2702&gt;Capa!$A$7,E2702&lt;Capa!$A$5,E2702&gt;Capa!$A$7,D2702&gt;E2702),"Erro","")</f>
        <v/>
      </c>
    </row>
    <row r="2703" spans="1:9" ht="30" hidden="1">
      <c r="A2703" s="345">
        <v>3206</v>
      </c>
      <c r="B2703" s="346" t="s">
        <v>621</v>
      </c>
      <c r="C2703" s="347">
        <v>2000</v>
      </c>
      <c r="D2703" s="348">
        <v>46753</v>
      </c>
      <c r="E2703" s="348">
        <v>46753</v>
      </c>
      <c r="F2703" s="346" t="s">
        <v>615</v>
      </c>
      <c r="G2703" s="349" t="s">
        <v>595</v>
      </c>
      <c r="H2703" s="350">
        <f t="shared" si="55"/>
        <v>2000</v>
      </c>
      <c r="I2703" s="120" t="str">
        <f>IF(OR(D2703&lt;Capa!$A$5,D2703&gt;Capa!$A$7,E2703&lt;Capa!$A$5,E2703&gt;Capa!$A$7,D2703&gt;E2703),"Erro","")</f>
        <v/>
      </c>
    </row>
    <row r="2704" spans="1:9" ht="20" hidden="1">
      <c r="A2704" s="345">
        <v>3207</v>
      </c>
      <c r="B2704" s="346" t="s">
        <v>620</v>
      </c>
      <c r="C2704" s="347">
        <v>110</v>
      </c>
      <c r="D2704" s="348">
        <v>45658</v>
      </c>
      <c r="E2704" s="348">
        <v>47058</v>
      </c>
      <c r="F2704" s="346" t="s">
        <v>615</v>
      </c>
      <c r="G2704" s="349" t="s">
        <v>662</v>
      </c>
      <c r="H2704" s="350">
        <f t="shared" si="55"/>
        <v>5170</v>
      </c>
      <c r="I2704" s="120" t="str">
        <f>IF(OR(D2704&lt;Capa!$A$5,D2704&gt;Capa!$A$7,E2704&lt;Capa!$A$5,E2704&gt;Capa!$A$7,D2704&gt;E2704),"Erro","")</f>
        <v/>
      </c>
    </row>
    <row r="2705" spans="1:9" ht="20" hidden="1">
      <c r="A2705" s="345">
        <v>3209</v>
      </c>
      <c r="B2705" s="346" t="s">
        <v>622</v>
      </c>
      <c r="C2705" s="347">
        <v>850</v>
      </c>
      <c r="D2705" s="348">
        <v>45658</v>
      </c>
      <c r="E2705" s="348">
        <v>47058</v>
      </c>
      <c r="F2705" s="346" t="s">
        <v>615</v>
      </c>
      <c r="G2705" s="349" t="s">
        <v>664</v>
      </c>
      <c r="H2705" s="350">
        <f t="shared" si="55"/>
        <v>39950</v>
      </c>
      <c r="I2705" s="120" t="str">
        <f>IF(OR(D2705&lt;Capa!$A$5,D2705&gt;Capa!$A$7,E2705&lt;Capa!$A$5,E2705&gt;Capa!$A$7,D2705&gt;E2705),"Erro","")</f>
        <v/>
      </c>
    </row>
    <row r="2706" spans="1:9" ht="30" hidden="1">
      <c r="A2706" s="345">
        <v>3210</v>
      </c>
      <c r="B2706" s="346" t="s">
        <v>617</v>
      </c>
      <c r="C2706" s="347">
        <v>200</v>
      </c>
      <c r="D2706" s="348">
        <v>45658</v>
      </c>
      <c r="E2706" s="348">
        <v>47058</v>
      </c>
      <c r="F2706" s="346" t="s">
        <v>615</v>
      </c>
      <c r="G2706" s="349" t="s">
        <v>639</v>
      </c>
      <c r="H2706" s="350">
        <f t="shared" si="55"/>
        <v>9400</v>
      </c>
      <c r="I2706" s="120" t="str">
        <f>IF(OR(D2706&lt;Capa!$A$5,D2706&gt;Capa!$A$7,E2706&lt;Capa!$A$5,E2706&gt;Capa!$A$7,D2706&gt;E2706),"Erro","")</f>
        <v/>
      </c>
    </row>
    <row r="2707" spans="1:9" ht="20" hidden="1">
      <c r="A2707" s="345">
        <v>3211</v>
      </c>
      <c r="B2707" s="346" t="s">
        <v>618</v>
      </c>
      <c r="C2707" s="347">
        <v>2500</v>
      </c>
      <c r="D2707" s="348">
        <v>45658</v>
      </c>
      <c r="E2707" s="348">
        <v>47058</v>
      </c>
      <c r="F2707" s="346" t="s">
        <v>615</v>
      </c>
      <c r="G2707" s="349" t="s">
        <v>657</v>
      </c>
      <c r="H2707" s="350">
        <f t="shared" si="55"/>
        <v>117500</v>
      </c>
      <c r="I2707" s="120" t="str">
        <f>IF(OR(D2707&lt;Capa!$A$5,D2707&gt;Capa!$A$7,E2707&lt;Capa!$A$5,E2707&gt;Capa!$A$7,D2707&gt;E2707),"Erro","")</f>
        <v/>
      </c>
    </row>
    <row r="2708" spans="1:9" ht="30" hidden="1">
      <c r="A2708" s="345">
        <v>3213</v>
      </c>
      <c r="B2708" s="346" t="s">
        <v>623</v>
      </c>
      <c r="C2708" s="347">
        <v>650</v>
      </c>
      <c r="D2708" s="348">
        <v>45658</v>
      </c>
      <c r="E2708" s="348">
        <v>46784</v>
      </c>
      <c r="F2708" s="346" t="s">
        <v>615</v>
      </c>
      <c r="G2708" s="349" t="s">
        <v>658</v>
      </c>
      <c r="H2708" s="350">
        <f t="shared" si="55"/>
        <v>24700</v>
      </c>
      <c r="I2708" s="120" t="str">
        <f>IF(OR(D2708&lt;Capa!$A$5,D2708&gt;Capa!$A$7,E2708&lt;Capa!$A$5,E2708&gt;Capa!$A$7,D2708&gt;E2708),"Erro","")</f>
        <v/>
      </c>
    </row>
    <row r="2709" spans="1:9" ht="20" hidden="1">
      <c r="A2709" s="345">
        <v>3214</v>
      </c>
      <c r="B2709" s="346" t="s">
        <v>625</v>
      </c>
      <c r="C2709" s="347">
        <v>90</v>
      </c>
      <c r="D2709" s="348">
        <v>45658</v>
      </c>
      <c r="E2709" s="348">
        <v>47058</v>
      </c>
      <c r="F2709" s="346" t="s">
        <v>615</v>
      </c>
      <c r="G2709" s="349" t="s">
        <v>659</v>
      </c>
      <c r="H2709" s="350">
        <f t="shared" si="55"/>
        <v>4230</v>
      </c>
      <c r="I2709" s="120" t="str">
        <f>IF(OR(D2709&lt;Capa!$A$5,D2709&gt;Capa!$A$7,E2709&lt;Capa!$A$5,E2709&gt;Capa!$A$7,D2709&gt;E2709),"Erro","")</f>
        <v/>
      </c>
    </row>
    <row r="2710" spans="1:9" ht="20" hidden="1">
      <c r="A2710" s="345">
        <v>3215</v>
      </c>
      <c r="B2710" s="346" t="s">
        <v>627</v>
      </c>
      <c r="C2710" s="347">
        <v>50</v>
      </c>
      <c r="D2710" s="348">
        <v>45658</v>
      </c>
      <c r="E2710" s="348">
        <v>47058</v>
      </c>
      <c r="F2710" s="346" t="s">
        <v>615</v>
      </c>
      <c r="G2710" s="349" t="s">
        <v>661</v>
      </c>
      <c r="H2710" s="350">
        <f t="shared" si="55"/>
        <v>2350</v>
      </c>
      <c r="I2710" s="120" t="str">
        <f>IF(OR(D2710&lt;Capa!$A$5,D2710&gt;Capa!$A$7,E2710&lt;Capa!$A$5,E2710&gt;Capa!$A$7,D2710&gt;E2710),"Erro","")</f>
        <v/>
      </c>
    </row>
    <row r="2711" spans="1:9" ht="30" hidden="1">
      <c r="A2711" s="345">
        <v>3216</v>
      </c>
      <c r="B2711" s="346" t="s">
        <v>626</v>
      </c>
      <c r="C2711" s="347">
        <v>350</v>
      </c>
      <c r="D2711" s="348">
        <v>45658</v>
      </c>
      <c r="E2711" s="348">
        <v>47058</v>
      </c>
      <c r="F2711" s="346" t="s">
        <v>615</v>
      </c>
      <c r="G2711" s="349" t="s">
        <v>660</v>
      </c>
      <c r="H2711" s="350">
        <f t="shared" si="55"/>
        <v>16450</v>
      </c>
      <c r="I2711" s="120" t="str">
        <f>IF(OR(D2711&lt;Capa!$A$5,D2711&gt;Capa!$A$7,E2711&lt;Capa!$A$5,E2711&gt;Capa!$A$7,D2711&gt;E2711),"Erro","")</f>
        <v/>
      </c>
    </row>
    <row r="2712" spans="1:9" ht="30" hidden="1">
      <c r="A2712" s="345">
        <v>3217</v>
      </c>
      <c r="B2712" s="346" t="s">
        <v>619</v>
      </c>
      <c r="C2712" s="347">
        <v>70</v>
      </c>
      <c r="D2712" s="348">
        <v>45658</v>
      </c>
      <c r="E2712" s="348">
        <v>47058</v>
      </c>
      <c r="F2712" s="346" t="s">
        <v>615</v>
      </c>
      <c r="G2712" s="349" t="s">
        <v>663</v>
      </c>
      <c r="H2712" s="350">
        <f t="shared" si="55"/>
        <v>3290</v>
      </c>
      <c r="I2712" s="120" t="str">
        <f>IF(OR(D2712&lt;Capa!$A$5,D2712&gt;Capa!$A$7,E2712&lt;Capa!$A$5,E2712&gt;Capa!$A$7,D2712&gt;E2712),"Erro","")</f>
        <v/>
      </c>
    </row>
    <row r="2713" spans="1:9" ht="20" hidden="1">
      <c r="A2713" s="345">
        <v>3219</v>
      </c>
      <c r="B2713" s="346" t="s">
        <v>198</v>
      </c>
      <c r="C2713" s="347">
        <v>5565</v>
      </c>
      <c r="D2713" s="348">
        <v>45658</v>
      </c>
      <c r="E2713" s="348">
        <v>45992</v>
      </c>
      <c r="F2713" s="346" t="s">
        <v>616</v>
      </c>
      <c r="G2713" s="349" t="s">
        <v>437</v>
      </c>
      <c r="H2713" s="350">
        <f t="shared" si="55"/>
        <v>66780</v>
      </c>
      <c r="I2713" s="120" t="str">
        <f>IF(OR(D2713&lt;Capa!$A$5,D2713&gt;Capa!$A$7,E2713&lt;Capa!$A$5,E2713&gt;Capa!$A$7,D2713&gt;E2713),"Erro","")</f>
        <v/>
      </c>
    </row>
    <row r="2714" spans="1:9" ht="20" hidden="1">
      <c r="A2714" s="345">
        <v>3220</v>
      </c>
      <c r="B2714" s="346" t="s">
        <v>198</v>
      </c>
      <c r="C2714" s="347">
        <v>5843.25</v>
      </c>
      <c r="D2714" s="348">
        <v>46023</v>
      </c>
      <c r="E2714" s="348">
        <v>46357</v>
      </c>
      <c r="F2714" s="346" t="s">
        <v>616</v>
      </c>
      <c r="G2714" s="349" t="s">
        <v>437</v>
      </c>
      <c r="H2714" s="350">
        <f t="shared" si="55"/>
        <v>70119</v>
      </c>
      <c r="I2714" s="120" t="str">
        <f>IF(OR(D2714&lt;Capa!$A$5,D2714&gt;Capa!$A$7,E2714&lt;Capa!$A$5,E2714&gt;Capa!$A$7,D2714&gt;E2714),"Erro","")</f>
        <v/>
      </c>
    </row>
    <row r="2715" spans="1:9" ht="20" hidden="1">
      <c r="A2715" s="345">
        <v>3221</v>
      </c>
      <c r="B2715" s="346" t="s">
        <v>198</v>
      </c>
      <c r="C2715" s="347">
        <v>6135.4125000000004</v>
      </c>
      <c r="D2715" s="348">
        <v>46388</v>
      </c>
      <c r="E2715" s="348">
        <v>46722</v>
      </c>
      <c r="F2715" s="346" t="s">
        <v>616</v>
      </c>
      <c r="G2715" s="349" t="s">
        <v>437</v>
      </c>
      <c r="H2715" s="350">
        <f t="shared" si="55"/>
        <v>73624.950000000012</v>
      </c>
      <c r="I2715" s="120" t="str">
        <f>IF(OR(D2715&lt;Capa!$A$5,D2715&gt;Capa!$A$7,E2715&lt;Capa!$A$5,E2715&gt;Capa!$A$7,D2715&gt;E2715),"Erro","")</f>
        <v/>
      </c>
    </row>
    <row r="2716" spans="1:9" ht="20" hidden="1">
      <c r="A2716" s="345">
        <v>3222</v>
      </c>
      <c r="B2716" s="346" t="s">
        <v>198</v>
      </c>
      <c r="C2716" s="347">
        <v>2000</v>
      </c>
      <c r="D2716" s="348">
        <v>46753</v>
      </c>
      <c r="E2716" s="348">
        <v>47058</v>
      </c>
      <c r="F2716" s="346" t="s">
        <v>616</v>
      </c>
      <c r="G2716" s="349" t="s">
        <v>437</v>
      </c>
      <c r="H2716" s="350">
        <f t="shared" si="55"/>
        <v>22000</v>
      </c>
      <c r="I2716" s="120" t="str">
        <f>IF(OR(D2716&lt;Capa!$A$5,D2716&gt;Capa!$A$7,E2716&lt;Capa!$A$5,E2716&gt;Capa!$A$7,D2716&gt;E2716),"Erro","")</f>
        <v/>
      </c>
    </row>
    <row r="2717" spans="1:9" ht="20" hidden="1">
      <c r="A2717" s="345">
        <v>3223</v>
      </c>
      <c r="B2717" s="346" t="s">
        <v>202</v>
      </c>
      <c r="C2717" s="347">
        <v>1500</v>
      </c>
      <c r="D2717" s="348">
        <v>45658</v>
      </c>
      <c r="E2717" s="348">
        <v>45717</v>
      </c>
      <c r="F2717" s="346" t="s">
        <v>616</v>
      </c>
      <c r="G2717" s="349" t="s">
        <v>438</v>
      </c>
      <c r="H2717" s="350">
        <f t="shared" si="55"/>
        <v>4500</v>
      </c>
      <c r="I2717" s="120" t="str">
        <f>IF(OR(D2717&lt;Capa!$A$5,D2717&gt;Capa!$A$7,E2717&lt;Capa!$A$5,E2717&gt;Capa!$A$7,D2717&gt;E2717),"Erro","")</f>
        <v/>
      </c>
    </row>
    <row r="2718" spans="1:9" ht="20" hidden="1">
      <c r="A2718" s="345">
        <v>3224</v>
      </c>
      <c r="B2718" s="346" t="s">
        <v>202</v>
      </c>
      <c r="C2718" s="347">
        <v>1300</v>
      </c>
      <c r="D2718" s="348">
        <v>46023</v>
      </c>
      <c r="E2718" s="348">
        <v>46082</v>
      </c>
      <c r="F2718" s="346" t="s">
        <v>616</v>
      </c>
      <c r="G2718" s="349" t="s">
        <v>438</v>
      </c>
      <c r="H2718" s="350">
        <f t="shared" si="55"/>
        <v>3900</v>
      </c>
      <c r="I2718" s="120" t="str">
        <f>IF(OR(D2718&lt;Capa!$A$5,D2718&gt;Capa!$A$7,E2718&lt;Capa!$A$5,E2718&gt;Capa!$A$7,D2718&gt;E2718),"Erro","")</f>
        <v/>
      </c>
    </row>
    <row r="2719" spans="1:9" ht="20" hidden="1">
      <c r="A2719" s="345">
        <v>3225</v>
      </c>
      <c r="B2719" s="346" t="s">
        <v>202</v>
      </c>
      <c r="C2719" s="347">
        <v>1300</v>
      </c>
      <c r="D2719" s="348">
        <v>46388</v>
      </c>
      <c r="E2719" s="348">
        <v>46447</v>
      </c>
      <c r="F2719" s="346" t="s">
        <v>616</v>
      </c>
      <c r="G2719" s="349" t="s">
        <v>438</v>
      </c>
      <c r="H2719" s="350">
        <f t="shared" si="55"/>
        <v>3900</v>
      </c>
      <c r="I2719" s="120" t="str">
        <f>IF(OR(D2719&lt;Capa!$A$5,D2719&gt;Capa!$A$7,E2719&lt;Capa!$A$5,E2719&gt;Capa!$A$7,D2719&gt;E2719),"Erro","")</f>
        <v/>
      </c>
    </row>
    <row r="2720" spans="1:9" ht="20" hidden="1">
      <c r="A2720" s="345">
        <v>3226</v>
      </c>
      <c r="B2720" s="346" t="s">
        <v>202</v>
      </c>
      <c r="C2720" s="347">
        <v>750</v>
      </c>
      <c r="D2720" s="348">
        <v>46753</v>
      </c>
      <c r="E2720" s="348">
        <v>46813</v>
      </c>
      <c r="F2720" s="346" t="s">
        <v>616</v>
      </c>
      <c r="G2720" s="349" t="s">
        <v>438</v>
      </c>
      <c r="H2720" s="350">
        <f t="shared" si="55"/>
        <v>2250</v>
      </c>
      <c r="I2720" s="120" t="str">
        <f>IF(OR(D2720&lt;Capa!$A$5,D2720&gt;Capa!$A$7,E2720&lt;Capa!$A$5,E2720&gt;Capa!$A$7,D2720&gt;E2720),"Erro","")</f>
        <v/>
      </c>
    </row>
    <row r="2721" spans="1:9" ht="20" hidden="1">
      <c r="A2721" s="345">
        <v>3227</v>
      </c>
      <c r="B2721" s="346" t="s">
        <v>204</v>
      </c>
      <c r="C2721" s="347">
        <v>1250</v>
      </c>
      <c r="D2721" s="348">
        <v>45658</v>
      </c>
      <c r="E2721" s="348">
        <v>45748</v>
      </c>
      <c r="F2721" s="346" t="s">
        <v>616</v>
      </c>
      <c r="G2721" s="349" t="s">
        <v>438</v>
      </c>
      <c r="H2721" s="350">
        <f t="shared" si="55"/>
        <v>5000</v>
      </c>
      <c r="I2721" s="120" t="str">
        <f>IF(OR(D2721&lt;Capa!$A$5,D2721&gt;Capa!$A$7,E2721&lt;Capa!$A$5,E2721&gt;Capa!$A$7,D2721&gt;E2721),"Erro","")</f>
        <v/>
      </c>
    </row>
    <row r="2722" spans="1:9" ht="20" hidden="1">
      <c r="A2722" s="345">
        <v>3228</v>
      </c>
      <c r="B2722" s="346" t="s">
        <v>204</v>
      </c>
      <c r="C2722" s="347">
        <v>1250</v>
      </c>
      <c r="D2722" s="348">
        <v>46023</v>
      </c>
      <c r="E2722" s="348">
        <v>46113</v>
      </c>
      <c r="F2722" s="346" t="s">
        <v>616</v>
      </c>
      <c r="G2722" s="349" t="s">
        <v>438</v>
      </c>
      <c r="H2722" s="350">
        <f t="shared" si="55"/>
        <v>5000</v>
      </c>
      <c r="I2722" s="120" t="str">
        <f>IF(OR(D2722&lt;Capa!$A$5,D2722&gt;Capa!$A$7,E2722&lt;Capa!$A$5,E2722&gt;Capa!$A$7,D2722&gt;E2722),"Erro","")</f>
        <v/>
      </c>
    </row>
    <row r="2723" spans="1:9" ht="20" hidden="1">
      <c r="A2723" s="345">
        <v>3229</v>
      </c>
      <c r="B2723" s="346" t="s">
        <v>204</v>
      </c>
      <c r="C2723" s="347">
        <v>1250</v>
      </c>
      <c r="D2723" s="348">
        <v>46388</v>
      </c>
      <c r="E2723" s="348">
        <v>46478</v>
      </c>
      <c r="F2723" s="346" t="s">
        <v>616</v>
      </c>
      <c r="G2723" s="349" t="s">
        <v>438</v>
      </c>
      <c r="H2723" s="350">
        <f t="shared" ref="H2723:H2773" si="56">IFERROR((DATEDIF(D2723,E2723,"M")+1)*C2723,0)</f>
        <v>5000</v>
      </c>
      <c r="I2723" s="120" t="str">
        <f>IF(OR(D2723&lt;Capa!$A$5,D2723&gt;Capa!$A$7,E2723&lt;Capa!$A$5,E2723&gt;Capa!$A$7,D2723&gt;E2723),"Erro","")</f>
        <v/>
      </c>
    </row>
    <row r="2724" spans="1:9" ht="20" hidden="1">
      <c r="A2724" s="345">
        <v>3230</v>
      </c>
      <c r="B2724" s="346" t="s">
        <v>204</v>
      </c>
      <c r="C2724" s="347">
        <v>780</v>
      </c>
      <c r="D2724" s="348">
        <v>46753</v>
      </c>
      <c r="E2724" s="348">
        <v>46844</v>
      </c>
      <c r="F2724" s="346" t="s">
        <v>616</v>
      </c>
      <c r="G2724" s="349" t="s">
        <v>438</v>
      </c>
      <c r="H2724" s="350">
        <f t="shared" si="56"/>
        <v>3120</v>
      </c>
      <c r="I2724" s="120" t="str">
        <f>IF(OR(D2724&lt;Capa!$A$5,D2724&gt;Capa!$A$7,E2724&lt;Capa!$A$5,E2724&gt;Capa!$A$7,D2724&gt;E2724),"Erro","")</f>
        <v/>
      </c>
    </row>
    <row r="2725" spans="1:9" ht="20" hidden="1">
      <c r="A2725" s="345">
        <v>3232</v>
      </c>
      <c r="B2725" s="346" t="s">
        <v>206</v>
      </c>
      <c r="C2725" s="347">
        <v>1100</v>
      </c>
      <c r="D2725" s="348">
        <v>45658</v>
      </c>
      <c r="E2725" s="348">
        <v>45992</v>
      </c>
      <c r="F2725" s="346" t="s">
        <v>616</v>
      </c>
      <c r="G2725" s="349" t="s">
        <v>439</v>
      </c>
      <c r="H2725" s="350">
        <f t="shared" si="56"/>
        <v>13200</v>
      </c>
      <c r="I2725" s="120" t="str">
        <f>IF(OR(D2725&lt;Capa!$A$5,D2725&gt;Capa!$A$7,E2725&lt;Capa!$A$5,E2725&gt;Capa!$A$7,D2725&gt;E2725),"Erro","")</f>
        <v/>
      </c>
    </row>
    <row r="2726" spans="1:9" ht="20" hidden="1">
      <c r="A2726" s="345">
        <v>3233</v>
      </c>
      <c r="B2726" s="346" t="s">
        <v>206</v>
      </c>
      <c r="C2726" s="347">
        <v>1100</v>
      </c>
      <c r="D2726" s="348">
        <v>46023</v>
      </c>
      <c r="E2726" s="348">
        <v>46357</v>
      </c>
      <c r="F2726" s="346" t="s">
        <v>616</v>
      </c>
      <c r="G2726" s="349" t="s">
        <v>439</v>
      </c>
      <c r="H2726" s="350">
        <f t="shared" si="56"/>
        <v>13200</v>
      </c>
      <c r="I2726" s="120" t="str">
        <f>IF(OR(D2726&lt;Capa!$A$5,D2726&gt;Capa!$A$7,E2726&lt;Capa!$A$5,E2726&gt;Capa!$A$7,D2726&gt;E2726),"Erro","")</f>
        <v/>
      </c>
    </row>
    <row r="2727" spans="1:9" ht="20" hidden="1">
      <c r="A2727" s="345">
        <v>3234</v>
      </c>
      <c r="B2727" s="346" t="s">
        <v>206</v>
      </c>
      <c r="C2727" s="347">
        <v>1100</v>
      </c>
      <c r="D2727" s="348">
        <v>46388</v>
      </c>
      <c r="E2727" s="348">
        <v>46722</v>
      </c>
      <c r="F2727" s="346" t="s">
        <v>616</v>
      </c>
      <c r="G2727" s="349" t="s">
        <v>439</v>
      </c>
      <c r="H2727" s="350">
        <f t="shared" si="56"/>
        <v>13200</v>
      </c>
      <c r="I2727" s="120" t="str">
        <f>IF(OR(D2727&lt;Capa!$A$5,D2727&gt;Capa!$A$7,E2727&lt;Capa!$A$5,E2727&gt;Capa!$A$7,D2727&gt;E2727),"Erro","")</f>
        <v/>
      </c>
    </row>
    <row r="2728" spans="1:9" ht="20" hidden="1">
      <c r="A2728" s="345">
        <v>3235</v>
      </c>
      <c r="B2728" s="346" t="s">
        <v>206</v>
      </c>
      <c r="C2728" s="347">
        <v>550</v>
      </c>
      <c r="D2728" s="348">
        <v>46753</v>
      </c>
      <c r="E2728" s="348">
        <v>47058</v>
      </c>
      <c r="F2728" s="346" t="s">
        <v>616</v>
      </c>
      <c r="G2728" s="349" t="s">
        <v>439</v>
      </c>
      <c r="H2728" s="350">
        <f t="shared" si="56"/>
        <v>6050</v>
      </c>
      <c r="I2728" s="120" t="str">
        <f>IF(OR(D2728&lt;Capa!$A$5,D2728&gt;Capa!$A$7,E2728&lt;Capa!$A$5,E2728&gt;Capa!$A$7,D2728&gt;E2728),"Erro","")</f>
        <v/>
      </c>
    </row>
    <row r="2729" spans="1:9" ht="20" hidden="1">
      <c r="A2729" s="345">
        <v>3237</v>
      </c>
      <c r="B2729" s="346" t="s">
        <v>208</v>
      </c>
      <c r="C2729" s="347">
        <v>1500</v>
      </c>
      <c r="D2729" s="348">
        <v>45658</v>
      </c>
      <c r="E2729" s="348">
        <v>45992</v>
      </c>
      <c r="F2729" s="346" t="s">
        <v>616</v>
      </c>
      <c r="G2729" s="349" t="s">
        <v>439</v>
      </c>
      <c r="H2729" s="350">
        <f t="shared" si="56"/>
        <v>18000</v>
      </c>
      <c r="I2729" s="120" t="str">
        <f>IF(OR(D2729&lt;Capa!$A$5,D2729&gt;Capa!$A$7,E2729&lt;Capa!$A$5,E2729&gt;Capa!$A$7,D2729&gt;E2729),"Erro","")</f>
        <v/>
      </c>
    </row>
    <row r="2730" spans="1:9" ht="20" hidden="1">
      <c r="A2730" s="345">
        <v>3238</v>
      </c>
      <c r="B2730" s="346" t="s">
        <v>208</v>
      </c>
      <c r="C2730" s="347">
        <v>1500</v>
      </c>
      <c r="D2730" s="348">
        <v>46023</v>
      </c>
      <c r="E2730" s="348">
        <v>46357</v>
      </c>
      <c r="F2730" s="346" t="s">
        <v>616</v>
      </c>
      <c r="G2730" s="349" t="s">
        <v>439</v>
      </c>
      <c r="H2730" s="350">
        <f t="shared" si="56"/>
        <v>18000</v>
      </c>
      <c r="I2730" s="120" t="str">
        <f>IF(OR(D2730&lt;Capa!$A$5,D2730&gt;Capa!$A$7,E2730&lt;Capa!$A$5,E2730&gt;Capa!$A$7,D2730&gt;E2730),"Erro","")</f>
        <v/>
      </c>
    </row>
    <row r="2731" spans="1:9" ht="20" hidden="1">
      <c r="A2731" s="345">
        <v>3239</v>
      </c>
      <c r="B2731" s="346" t="s">
        <v>208</v>
      </c>
      <c r="C2731" s="347">
        <v>1500</v>
      </c>
      <c r="D2731" s="348">
        <v>46388</v>
      </c>
      <c r="E2731" s="348">
        <v>46722</v>
      </c>
      <c r="F2731" s="346" t="s">
        <v>616</v>
      </c>
      <c r="G2731" s="349" t="s">
        <v>439</v>
      </c>
      <c r="H2731" s="350">
        <f t="shared" si="56"/>
        <v>18000</v>
      </c>
      <c r="I2731" s="120" t="str">
        <f>IF(OR(D2731&lt;Capa!$A$5,D2731&gt;Capa!$A$7,E2731&lt;Capa!$A$5,E2731&gt;Capa!$A$7,D2731&gt;E2731),"Erro","")</f>
        <v/>
      </c>
    </row>
    <row r="2732" spans="1:9" ht="20" hidden="1">
      <c r="A2732" s="345">
        <v>3240</v>
      </c>
      <c r="B2732" s="346" t="s">
        <v>208</v>
      </c>
      <c r="C2732" s="347">
        <v>750</v>
      </c>
      <c r="D2732" s="348">
        <v>46753</v>
      </c>
      <c r="E2732" s="348">
        <v>47058</v>
      </c>
      <c r="F2732" s="346" t="s">
        <v>616</v>
      </c>
      <c r="G2732" s="349" t="s">
        <v>439</v>
      </c>
      <c r="H2732" s="350">
        <f t="shared" si="56"/>
        <v>8250</v>
      </c>
      <c r="I2732" s="120" t="str">
        <f>IF(OR(D2732&lt;Capa!$A$5,D2732&gt;Capa!$A$7,E2732&lt;Capa!$A$5,E2732&gt;Capa!$A$7,D2732&gt;E2732),"Erro","")</f>
        <v/>
      </c>
    </row>
    <row r="2733" spans="1:9" ht="20" hidden="1">
      <c r="A2733" s="345">
        <v>3242</v>
      </c>
      <c r="B2733" s="346" t="s">
        <v>210</v>
      </c>
      <c r="C2733" s="347">
        <v>60</v>
      </c>
      <c r="D2733" s="348">
        <v>45658</v>
      </c>
      <c r="E2733" s="348">
        <v>45992</v>
      </c>
      <c r="F2733" s="346" t="s">
        <v>616</v>
      </c>
      <c r="G2733" s="349" t="s">
        <v>439</v>
      </c>
      <c r="H2733" s="350">
        <f t="shared" si="56"/>
        <v>720</v>
      </c>
      <c r="I2733" s="120" t="str">
        <f>IF(OR(D2733&lt;Capa!$A$5,D2733&gt;Capa!$A$7,E2733&lt;Capa!$A$5,E2733&gt;Capa!$A$7,D2733&gt;E2733),"Erro","")</f>
        <v/>
      </c>
    </row>
    <row r="2734" spans="1:9" ht="20" hidden="1">
      <c r="A2734" s="345">
        <v>3243</v>
      </c>
      <c r="B2734" s="346" t="s">
        <v>210</v>
      </c>
      <c r="C2734" s="347">
        <v>60</v>
      </c>
      <c r="D2734" s="348">
        <v>46023</v>
      </c>
      <c r="E2734" s="348">
        <v>46357</v>
      </c>
      <c r="F2734" s="346" t="s">
        <v>616</v>
      </c>
      <c r="G2734" s="349" t="s">
        <v>439</v>
      </c>
      <c r="H2734" s="350">
        <f t="shared" si="56"/>
        <v>720</v>
      </c>
      <c r="I2734" s="120" t="str">
        <f>IF(OR(D2734&lt;Capa!$A$5,D2734&gt;Capa!$A$7,E2734&lt;Capa!$A$5,E2734&gt;Capa!$A$7,D2734&gt;E2734),"Erro","")</f>
        <v/>
      </c>
    </row>
    <row r="2735" spans="1:9" ht="20" hidden="1">
      <c r="A2735" s="345">
        <v>3244</v>
      </c>
      <c r="B2735" s="346" t="s">
        <v>210</v>
      </c>
      <c r="C2735" s="347">
        <v>60</v>
      </c>
      <c r="D2735" s="348">
        <v>46388</v>
      </c>
      <c r="E2735" s="348">
        <v>46722</v>
      </c>
      <c r="F2735" s="346" t="s">
        <v>616</v>
      </c>
      <c r="G2735" s="349" t="s">
        <v>439</v>
      </c>
      <c r="H2735" s="350">
        <f t="shared" si="56"/>
        <v>720</v>
      </c>
      <c r="I2735" s="120" t="str">
        <f>IF(OR(D2735&lt;Capa!$A$5,D2735&gt;Capa!$A$7,E2735&lt;Capa!$A$5,E2735&gt;Capa!$A$7,D2735&gt;E2735),"Erro","")</f>
        <v/>
      </c>
    </row>
    <row r="2736" spans="1:9" ht="20" hidden="1">
      <c r="A2736" s="345">
        <v>3245</v>
      </c>
      <c r="B2736" s="346" t="s">
        <v>210</v>
      </c>
      <c r="C2736" s="347">
        <v>49</v>
      </c>
      <c r="D2736" s="348">
        <v>46753</v>
      </c>
      <c r="E2736" s="348">
        <v>47058</v>
      </c>
      <c r="F2736" s="346" t="s">
        <v>616</v>
      </c>
      <c r="G2736" s="349" t="s">
        <v>439</v>
      </c>
      <c r="H2736" s="350">
        <f t="shared" si="56"/>
        <v>539</v>
      </c>
      <c r="I2736" s="120" t="str">
        <f>IF(OR(D2736&lt;Capa!$A$5,D2736&gt;Capa!$A$7,E2736&lt;Capa!$A$5,E2736&gt;Capa!$A$7,D2736&gt;E2736),"Erro","")</f>
        <v/>
      </c>
    </row>
    <row r="2737" spans="1:9" ht="20" hidden="1">
      <c r="A2737" s="345">
        <v>3247</v>
      </c>
      <c r="B2737" s="346" t="s">
        <v>214</v>
      </c>
      <c r="C2737" s="347">
        <v>140</v>
      </c>
      <c r="D2737" s="348">
        <v>45658</v>
      </c>
      <c r="E2737" s="348">
        <v>45992</v>
      </c>
      <c r="F2737" s="346" t="s">
        <v>616</v>
      </c>
      <c r="G2737" s="349" t="s">
        <v>439</v>
      </c>
      <c r="H2737" s="350">
        <f t="shared" si="56"/>
        <v>1680</v>
      </c>
      <c r="I2737" s="120" t="str">
        <f>IF(OR(D2737&lt;Capa!$A$5,D2737&gt;Capa!$A$7,E2737&lt;Capa!$A$5,E2737&gt;Capa!$A$7,D2737&gt;E2737),"Erro","")</f>
        <v/>
      </c>
    </row>
    <row r="2738" spans="1:9" ht="20" hidden="1">
      <c r="A2738" s="345">
        <v>3248</v>
      </c>
      <c r="B2738" s="346" t="s">
        <v>214</v>
      </c>
      <c r="C2738" s="347">
        <v>140</v>
      </c>
      <c r="D2738" s="348">
        <v>46023</v>
      </c>
      <c r="E2738" s="348">
        <v>46357</v>
      </c>
      <c r="F2738" s="346" t="s">
        <v>616</v>
      </c>
      <c r="G2738" s="349" t="s">
        <v>439</v>
      </c>
      <c r="H2738" s="350">
        <f t="shared" si="56"/>
        <v>1680</v>
      </c>
      <c r="I2738" s="120" t="str">
        <f>IF(OR(D2738&lt;Capa!$A$5,D2738&gt;Capa!$A$7,E2738&lt;Capa!$A$5,E2738&gt;Capa!$A$7,D2738&gt;E2738),"Erro","")</f>
        <v/>
      </c>
    </row>
    <row r="2739" spans="1:9" ht="20" hidden="1">
      <c r="A2739" s="345">
        <v>3249</v>
      </c>
      <c r="B2739" s="346" t="s">
        <v>214</v>
      </c>
      <c r="C2739" s="347">
        <v>140</v>
      </c>
      <c r="D2739" s="348">
        <v>46388</v>
      </c>
      <c r="E2739" s="348">
        <v>46722</v>
      </c>
      <c r="F2739" s="346" t="s">
        <v>616</v>
      </c>
      <c r="G2739" s="349" t="s">
        <v>439</v>
      </c>
      <c r="H2739" s="350">
        <f t="shared" si="56"/>
        <v>1680</v>
      </c>
      <c r="I2739" s="120" t="str">
        <f>IF(OR(D2739&lt;Capa!$A$5,D2739&gt;Capa!$A$7,E2739&lt;Capa!$A$5,E2739&gt;Capa!$A$7,D2739&gt;E2739),"Erro","")</f>
        <v/>
      </c>
    </row>
    <row r="2740" spans="1:9" ht="20" hidden="1">
      <c r="A2740" s="345">
        <v>3250</v>
      </c>
      <c r="B2740" s="346" t="s">
        <v>214</v>
      </c>
      <c r="C2740" s="347">
        <v>70</v>
      </c>
      <c r="D2740" s="348">
        <v>46753</v>
      </c>
      <c r="E2740" s="348">
        <v>47058</v>
      </c>
      <c r="F2740" s="346" t="s">
        <v>616</v>
      </c>
      <c r="G2740" s="349" t="s">
        <v>439</v>
      </c>
      <c r="H2740" s="350">
        <f t="shared" si="56"/>
        <v>770</v>
      </c>
      <c r="I2740" s="120" t="str">
        <f>IF(OR(D2740&lt;Capa!$A$5,D2740&gt;Capa!$A$7,E2740&lt;Capa!$A$5,E2740&gt;Capa!$A$7,D2740&gt;E2740),"Erro","")</f>
        <v/>
      </c>
    </row>
    <row r="2741" spans="1:9" ht="50" hidden="1">
      <c r="A2741" s="345">
        <v>3252</v>
      </c>
      <c r="B2741" s="346" t="s">
        <v>212</v>
      </c>
      <c r="C2741" s="347">
        <v>260</v>
      </c>
      <c r="D2741" s="348">
        <v>45658</v>
      </c>
      <c r="E2741" s="348">
        <v>45992</v>
      </c>
      <c r="F2741" s="346" t="s">
        <v>616</v>
      </c>
      <c r="G2741" s="349" t="s">
        <v>495</v>
      </c>
      <c r="H2741" s="350">
        <f t="shared" si="56"/>
        <v>3120</v>
      </c>
      <c r="I2741" s="120" t="str">
        <f>IF(OR(D2741&lt;Capa!$A$5,D2741&gt;Capa!$A$7,E2741&lt;Capa!$A$5,E2741&gt;Capa!$A$7,D2741&gt;E2741),"Erro","")</f>
        <v/>
      </c>
    </row>
    <row r="2742" spans="1:9" ht="50" hidden="1">
      <c r="A2742" s="345">
        <v>3253</v>
      </c>
      <c r="B2742" s="346" t="s">
        <v>212</v>
      </c>
      <c r="C2742" s="347">
        <v>260</v>
      </c>
      <c r="D2742" s="348">
        <v>46023</v>
      </c>
      <c r="E2742" s="348">
        <v>46357</v>
      </c>
      <c r="F2742" s="346" t="s">
        <v>616</v>
      </c>
      <c r="G2742" s="349" t="s">
        <v>495</v>
      </c>
      <c r="H2742" s="350">
        <f t="shared" si="56"/>
        <v>3120</v>
      </c>
      <c r="I2742" s="120" t="str">
        <f>IF(OR(D2742&lt;Capa!$A$5,D2742&gt;Capa!$A$7,E2742&lt;Capa!$A$5,E2742&gt;Capa!$A$7,D2742&gt;E2742),"Erro","")</f>
        <v/>
      </c>
    </row>
    <row r="2743" spans="1:9" ht="50" hidden="1">
      <c r="A2743" s="345">
        <v>3254</v>
      </c>
      <c r="B2743" s="346" t="s">
        <v>212</v>
      </c>
      <c r="C2743" s="347">
        <v>260</v>
      </c>
      <c r="D2743" s="348">
        <v>46388</v>
      </c>
      <c r="E2743" s="348">
        <v>46722</v>
      </c>
      <c r="F2743" s="346" t="s">
        <v>616</v>
      </c>
      <c r="G2743" s="349" t="s">
        <v>495</v>
      </c>
      <c r="H2743" s="350">
        <f t="shared" si="56"/>
        <v>3120</v>
      </c>
      <c r="I2743" s="120" t="str">
        <f>IF(OR(D2743&lt;Capa!$A$5,D2743&gt;Capa!$A$7,E2743&lt;Capa!$A$5,E2743&gt;Capa!$A$7,D2743&gt;E2743),"Erro","")</f>
        <v/>
      </c>
    </row>
    <row r="2744" spans="1:9" ht="50" hidden="1">
      <c r="A2744" s="345">
        <v>3255</v>
      </c>
      <c r="B2744" s="346" t="s">
        <v>212</v>
      </c>
      <c r="C2744" s="347">
        <v>220</v>
      </c>
      <c r="D2744" s="348">
        <v>46753</v>
      </c>
      <c r="E2744" s="348">
        <v>47058</v>
      </c>
      <c r="F2744" s="346" t="s">
        <v>616</v>
      </c>
      <c r="G2744" s="349" t="s">
        <v>495</v>
      </c>
      <c r="H2744" s="350">
        <f t="shared" si="56"/>
        <v>2420</v>
      </c>
      <c r="I2744" s="120" t="str">
        <f>IF(OR(D2744&lt;Capa!$A$5,D2744&gt;Capa!$A$7,E2744&lt;Capa!$A$5,E2744&gt;Capa!$A$7,D2744&gt;E2744),"Erro","")</f>
        <v/>
      </c>
    </row>
    <row r="2745" spans="1:9" ht="40" hidden="1">
      <c r="A2745" s="345">
        <v>3256</v>
      </c>
      <c r="B2745" s="346" t="s">
        <v>248</v>
      </c>
      <c r="C2745" s="347">
        <v>846</v>
      </c>
      <c r="D2745" s="348">
        <v>45658</v>
      </c>
      <c r="E2745" s="348">
        <v>45809</v>
      </c>
      <c r="F2745" s="346" t="s">
        <v>616</v>
      </c>
      <c r="G2745" s="349" t="s">
        <v>440</v>
      </c>
      <c r="H2745" s="350">
        <f t="shared" si="56"/>
        <v>5076</v>
      </c>
      <c r="I2745" s="120" t="str">
        <f>IF(OR(D2745&lt;Capa!$A$5,D2745&gt;Capa!$A$7,E2745&lt;Capa!$A$5,E2745&gt;Capa!$A$7,D2745&gt;E2745),"Erro","")</f>
        <v/>
      </c>
    </row>
    <row r="2746" spans="1:9" ht="40" hidden="1">
      <c r="A2746" s="345">
        <v>3257</v>
      </c>
      <c r="B2746" s="346" t="s">
        <v>248</v>
      </c>
      <c r="C2746" s="347">
        <v>846</v>
      </c>
      <c r="D2746" s="348">
        <v>45962</v>
      </c>
      <c r="E2746" s="348">
        <v>46174</v>
      </c>
      <c r="F2746" s="346" t="s">
        <v>616</v>
      </c>
      <c r="G2746" s="349" t="s">
        <v>440</v>
      </c>
      <c r="H2746" s="350">
        <f t="shared" si="56"/>
        <v>6768</v>
      </c>
      <c r="I2746" s="120" t="str">
        <f>IF(OR(D2746&lt;Capa!$A$5,D2746&gt;Capa!$A$7,E2746&lt;Capa!$A$5,E2746&gt;Capa!$A$7,D2746&gt;E2746),"Erro","")</f>
        <v/>
      </c>
    </row>
    <row r="2747" spans="1:9" ht="40" hidden="1">
      <c r="A2747" s="345">
        <v>3258</v>
      </c>
      <c r="B2747" s="346" t="s">
        <v>248</v>
      </c>
      <c r="C2747" s="347">
        <v>846</v>
      </c>
      <c r="D2747" s="348">
        <v>46327</v>
      </c>
      <c r="E2747" s="348">
        <v>46539</v>
      </c>
      <c r="F2747" s="346" t="s">
        <v>616</v>
      </c>
      <c r="G2747" s="349" t="s">
        <v>440</v>
      </c>
      <c r="H2747" s="350">
        <f t="shared" si="56"/>
        <v>6768</v>
      </c>
      <c r="I2747" s="120" t="str">
        <f>IF(OR(D2747&lt;Capa!$A$5,D2747&gt;Capa!$A$7,E2747&lt;Capa!$A$5,E2747&gt;Capa!$A$7,D2747&gt;E2747),"Erro","")</f>
        <v/>
      </c>
    </row>
    <row r="2748" spans="1:9" ht="40" hidden="1">
      <c r="A2748" s="345">
        <v>3259</v>
      </c>
      <c r="B2748" s="346" t="s">
        <v>248</v>
      </c>
      <c r="C2748" s="347">
        <v>500</v>
      </c>
      <c r="D2748" s="348">
        <v>46692</v>
      </c>
      <c r="E2748" s="348">
        <v>46905</v>
      </c>
      <c r="F2748" s="346" t="s">
        <v>616</v>
      </c>
      <c r="G2748" s="349" t="s">
        <v>440</v>
      </c>
      <c r="H2748" s="350">
        <f t="shared" si="56"/>
        <v>4000</v>
      </c>
      <c r="I2748" s="120" t="str">
        <f>IF(OR(D2748&lt;Capa!$A$5,D2748&gt;Capa!$A$7,E2748&lt;Capa!$A$5,E2748&gt;Capa!$A$7,D2748&gt;E2748),"Erro","")</f>
        <v/>
      </c>
    </row>
    <row r="2749" spans="1:9" ht="30" hidden="1">
      <c r="A2749" s="345">
        <v>3260</v>
      </c>
      <c r="B2749" s="346" t="s">
        <v>266</v>
      </c>
      <c r="C2749" s="347">
        <v>1500</v>
      </c>
      <c r="D2749" s="348">
        <v>45658</v>
      </c>
      <c r="E2749" s="348">
        <v>45658</v>
      </c>
      <c r="F2749" s="346" t="s">
        <v>616</v>
      </c>
      <c r="G2749" s="349" t="s">
        <v>441</v>
      </c>
      <c r="H2749" s="350">
        <f t="shared" si="56"/>
        <v>1500</v>
      </c>
      <c r="I2749" s="120" t="str">
        <f>IF(OR(D2749&lt;Capa!$A$5,D2749&gt;Capa!$A$7,E2749&lt;Capa!$A$5,E2749&gt;Capa!$A$7,D2749&gt;E2749),"Erro","")</f>
        <v/>
      </c>
    </row>
    <row r="2750" spans="1:9" ht="30" hidden="1">
      <c r="A2750" s="345">
        <v>3261</v>
      </c>
      <c r="B2750" s="346" t="s">
        <v>266</v>
      </c>
      <c r="C2750" s="347">
        <v>1500</v>
      </c>
      <c r="D2750" s="348">
        <v>46023</v>
      </c>
      <c r="E2750" s="348">
        <v>46023</v>
      </c>
      <c r="F2750" s="346" t="s">
        <v>616</v>
      </c>
      <c r="G2750" s="349" t="s">
        <v>441</v>
      </c>
      <c r="H2750" s="350">
        <f t="shared" si="56"/>
        <v>1500</v>
      </c>
      <c r="I2750" s="120" t="str">
        <f>IF(OR(D2750&lt;Capa!$A$5,D2750&gt;Capa!$A$7,E2750&lt;Capa!$A$5,E2750&gt;Capa!$A$7,D2750&gt;E2750),"Erro","")</f>
        <v/>
      </c>
    </row>
    <row r="2751" spans="1:9" ht="30" hidden="1">
      <c r="A2751" s="345">
        <v>3262</v>
      </c>
      <c r="B2751" s="346" t="s">
        <v>266</v>
      </c>
      <c r="C2751" s="347">
        <v>1500</v>
      </c>
      <c r="D2751" s="348">
        <v>46388</v>
      </c>
      <c r="E2751" s="348">
        <v>46388</v>
      </c>
      <c r="F2751" s="346" t="s">
        <v>616</v>
      </c>
      <c r="G2751" s="349" t="s">
        <v>441</v>
      </c>
      <c r="H2751" s="350">
        <f t="shared" si="56"/>
        <v>1500</v>
      </c>
      <c r="I2751" s="120" t="str">
        <f>IF(OR(D2751&lt;Capa!$A$5,D2751&gt;Capa!$A$7,E2751&lt;Capa!$A$5,E2751&gt;Capa!$A$7,D2751&gt;E2751),"Erro","")</f>
        <v/>
      </c>
    </row>
    <row r="2752" spans="1:9" ht="30" hidden="1">
      <c r="A2752" s="345">
        <v>3263</v>
      </c>
      <c r="B2752" s="346" t="s">
        <v>266</v>
      </c>
      <c r="C2752" s="347">
        <v>750</v>
      </c>
      <c r="D2752" s="348">
        <v>46753</v>
      </c>
      <c r="E2752" s="348">
        <v>46753</v>
      </c>
      <c r="F2752" s="346" t="s">
        <v>616</v>
      </c>
      <c r="G2752" s="349" t="s">
        <v>441</v>
      </c>
      <c r="H2752" s="350">
        <f t="shared" si="56"/>
        <v>750</v>
      </c>
      <c r="I2752" s="120" t="str">
        <f>IF(OR(D2752&lt;Capa!$A$5,D2752&gt;Capa!$A$7,E2752&lt;Capa!$A$5,E2752&gt;Capa!$A$7,D2752&gt;E2752),"Erro","")</f>
        <v/>
      </c>
    </row>
    <row r="2753" spans="1:9" hidden="1">
      <c r="A2753" s="345">
        <v>3265</v>
      </c>
      <c r="B2753" s="346" t="s">
        <v>274</v>
      </c>
      <c r="C2753" s="347">
        <v>850</v>
      </c>
      <c r="D2753" s="348">
        <v>45658</v>
      </c>
      <c r="E2753" s="348">
        <v>45992</v>
      </c>
      <c r="F2753" s="346" t="s">
        <v>616</v>
      </c>
      <c r="G2753" s="349" t="s">
        <v>442</v>
      </c>
      <c r="H2753" s="350">
        <f t="shared" si="56"/>
        <v>10200</v>
      </c>
      <c r="I2753" s="120" t="str">
        <f>IF(OR(D2753&lt;Capa!$A$5,D2753&gt;Capa!$A$7,E2753&lt;Capa!$A$5,E2753&gt;Capa!$A$7,D2753&gt;E2753),"Erro","")</f>
        <v/>
      </c>
    </row>
    <row r="2754" spans="1:9" hidden="1">
      <c r="A2754" s="345">
        <v>3266</v>
      </c>
      <c r="B2754" s="346" t="s">
        <v>274</v>
      </c>
      <c r="C2754" s="347">
        <v>850</v>
      </c>
      <c r="D2754" s="348">
        <v>46023</v>
      </c>
      <c r="E2754" s="348">
        <v>46357</v>
      </c>
      <c r="F2754" s="346" t="s">
        <v>616</v>
      </c>
      <c r="G2754" s="349" t="s">
        <v>442</v>
      </c>
      <c r="H2754" s="350">
        <f t="shared" si="56"/>
        <v>10200</v>
      </c>
      <c r="I2754" s="120" t="str">
        <f>IF(OR(D2754&lt;Capa!$A$5,D2754&gt;Capa!$A$7,E2754&lt;Capa!$A$5,E2754&gt;Capa!$A$7,D2754&gt;E2754),"Erro","")</f>
        <v/>
      </c>
    </row>
    <row r="2755" spans="1:9" hidden="1">
      <c r="A2755" s="345">
        <v>3267</v>
      </c>
      <c r="B2755" s="346" t="s">
        <v>274</v>
      </c>
      <c r="C2755" s="347">
        <v>850</v>
      </c>
      <c r="D2755" s="348">
        <v>46388</v>
      </c>
      <c r="E2755" s="348">
        <v>46722</v>
      </c>
      <c r="F2755" s="346" t="s">
        <v>616</v>
      </c>
      <c r="G2755" s="349" t="s">
        <v>442</v>
      </c>
      <c r="H2755" s="350">
        <f t="shared" si="56"/>
        <v>10200</v>
      </c>
      <c r="I2755" s="120" t="str">
        <f>IF(OR(D2755&lt;Capa!$A$5,D2755&gt;Capa!$A$7,E2755&lt;Capa!$A$5,E2755&gt;Capa!$A$7,D2755&gt;E2755),"Erro","")</f>
        <v/>
      </c>
    </row>
    <row r="2756" spans="1:9" hidden="1">
      <c r="A2756" s="345">
        <v>3268</v>
      </c>
      <c r="B2756" s="346" t="s">
        <v>274</v>
      </c>
      <c r="C2756" s="347">
        <v>450</v>
      </c>
      <c r="D2756" s="348">
        <v>46753</v>
      </c>
      <c r="E2756" s="348">
        <v>47058</v>
      </c>
      <c r="F2756" s="346" t="s">
        <v>616</v>
      </c>
      <c r="G2756" s="349" t="s">
        <v>442</v>
      </c>
      <c r="H2756" s="350">
        <f t="shared" si="56"/>
        <v>4950</v>
      </c>
      <c r="I2756" s="120" t="str">
        <f>IF(OR(D2756&lt;Capa!$A$5,D2756&gt;Capa!$A$7,E2756&lt;Capa!$A$5,E2756&gt;Capa!$A$7,D2756&gt;E2756),"Erro","")</f>
        <v/>
      </c>
    </row>
    <row r="2757" spans="1:9" ht="40" hidden="1">
      <c r="A2757" s="345">
        <v>3270</v>
      </c>
      <c r="B2757" s="346" t="s">
        <v>236</v>
      </c>
      <c r="C2757" s="347">
        <v>450</v>
      </c>
      <c r="D2757" s="348">
        <v>45658</v>
      </c>
      <c r="E2757" s="348">
        <v>45992</v>
      </c>
      <c r="F2757" s="346" t="s">
        <v>616</v>
      </c>
      <c r="G2757" s="349" t="s">
        <v>443</v>
      </c>
      <c r="H2757" s="350">
        <f t="shared" si="56"/>
        <v>5400</v>
      </c>
      <c r="I2757" s="120" t="str">
        <f>IF(OR(D2757&lt;Capa!$A$5,D2757&gt;Capa!$A$7,E2757&lt;Capa!$A$5,E2757&gt;Capa!$A$7,D2757&gt;E2757),"Erro","")</f>
        <v/>
      </c>
    </row>
    <row r="2758" spans="1:9" ht="40" hidden="1">
      <c r="A2758" s="345">
        <v>3271</v>
      </c>
      <c r="B2758" s="346" t="s">
        <v>236</v>
      </c>
      <c r="C2758" s="347">
        <v>450</v>
      </c>
      <c r="D2758" s="348">
        <v>46023</v>
      </c>
      <c r="E2758" s="348">
        <v>46357</v>
      </c>
      <c r="F2758" s="346" t="s">
        <v>616</v>
      </c>
      <c r="G2758" s="349" t="s">
        <v>443</v>
      </c>
      <c r="H2758" s="350">
        <f t="shared" si="56"/>
        <v>5400</v>
      </c>
      <c r="I2758" s="120" t="str">
        <f>IF(OR(D2758&lt;Capa!$A$5,D2758&gt;Capa!$A$7,E2758&lt;Capa!$A$5,E2758&gt;Capa!$A$7,D2758&gt;E2758),"Erro","")</f>
        <v/>
      </c>
    </row>
    <row r="2759" spans="1:9" ht="40" hidden="1">
      <c r="A2759" s="345">
        <v>3272</v>
      </c>
      <c r="B2759" s="346" t="s">
        <v>236</v>
      </c>
      <c r="C2759" s="347">
        <v>450</v>
      </c>
      <c r="D2759" s="348">
        <v>46388</v>
      </c>
      <c r="E2759" s="348">
        <v>46722</v>
      </c>
      <c r="F2759" s="346" t="s">
        <v>616</v>
      </c>
      <c r="G2759" s="349" t="s">
        <v>443</v>
      </c>
      <c r="H2759" s="350">
        <f t="shared" si="56"/>
        <v>5400</v>
      </c>
      <c r="I2759" s="120" t="str">
        <f>IF(OR(D2759&lt;Capa!$A$5,D2759&gt;Capa!$A$7,E2759&lt;Capa!$A$5,E2759&gt;Capa!$A$7,D2759&gt;E2759),"Erro","")</f>
        <v/>
      </c>
    </row>
    <row r="2760" spans="1:9" ht="40" hidden="1">
      <c r="A2760" s="345">
        <v>3273</v>
      </c>
      <c r="B2760" s="346" t="s">
        <v>236</v>
      </c>
      <c r="C2760" s="347">
        <v>200</v>
      </c>
      <c r="D2760" s="348">
        <v>46753</v>
      </c>
      <c r="E2760" s="348">
        <v>47058</v>
      </c>
      <c r="F2760" s="346" t="s">
        <v>616</v>
      </c>
      <c r="G2760" s="349" t="s">
        <v>443</v>
      </c>
      <c r="H2760" s="350">
        <f t="shared" si="56"/>
        <v>2200</v>
      </c>
      <c r="I2760" s="120" t="str">
        <f>IF(OR(D2760&lt;Capa!$A$5,D2760&gt;Capa!$A$7,E2760&lt;Capa!$A$5,E2760&gt;Capa!$A$7,D2760&gt;E2760),"Erro","")</f>
        <v/>
      </c>
    </row>
    <row r="2761" spans="1:9" ht="30" hidden="1">
      <c r="A2761" s="345">
        <v>3275</v>
      </c>
      <c r="B2761" s="346" t="s">
        <v>240</v>
      </c>
      <c r="C2761" s="347">
        <v>50</v>
      </c>
      <c r="D2761" s="348">
        <v>45658</v>
      </c>
      <c r="E2761" s="348">
        <v>45992</v>
      </c>
      <c r="F2761" s="346" t="s">
        <v>616</v>
      </c>
      <c r="G2761" s="349" t="s">
        <v>444</v>
      </c>
      <c r="H2761" s="350">
        <f t="shared" si="56"/>
        <v>600</v>
      </c>
      <c r="I2761" s="120" t="str">
        <f>IF(OR(D2761&lt;Capa!$A$5,D2761&gt;Capa!$A$7,E2761&lt;Capa!$A$5,E2761&gt;Capa!$A$7,D2761&gt;E2761),"Erro","")</f>
        <v/>
      </c>
    </row>
    <row r="2762" spans="1:9" ht="30" hidden="1">
      <c r="A2762" s="345">
        <v>3276</v>
      </c>
      <c r="B2762" s="346" t="s">
        <v>240</v>
      </c>
      <c r="C2762" s="347">
        <v>50</v>
      </c>
      <c r="D2762" s="348">
        <v>46023</v>
      </c>
      <c r="E2762" s="348">
        <v>46357</v>
      </c>
      <c r="F2762" s="346" t="s">
        <v>616</v>
      </c>
      <c r="G2762" s="349" t="s">
        <v>444</v>
      </c>
      <c r="H2762" s="350">
        <f t="shared" si="56"/>
        <v>600</v>
      </c>
      <c r="I2762" s="120" t="str">
        <f>IF(OR(D2762&lt;Capa!$A$5,D2762&gt;Capa!$A$7,E2762&lt;Capa!$A$5,E2762&gt;Capa!$A$7,D2762&gt;E2762),"Erro","")</f>
        <v/>
      </c>
    </row>
    <row r="2763" spans="1:9" ht="30" hidden="1">
      <c r="A2763" s="345">
        <v>3277</v>
      </c>
      <c r="B2763" s="346" t="s">
        <v>240</v>
      </c>
      <c r="C2763" s="347">
        <v>50</v>
      </c>
      <c r="D2763" s="348">
        <v>46388</v>
      </c>
      <c r="E2763" s="348">
        <v>46722</v>
      </c>
      <c r="F2763" s="346" t="s">
        <v>616</v>
      </c>
      <c r="G2763" s="349" t="s">
        <v>444</v>
      </c>
      <c r="H2763" s="350">
        <f t="shared" si="56"/>
        <v>600</v>
      </c>
      <c r="I2763" s="120" t="str">
        <f>IF(OR(D2763&lt;Capa!$A$5,D2763&gt;Capa!$A$7,E2763&lt;Capa!$A$5,E2763&gt;Capa!$A$7,D2763&gt;E2763),"Erro","")</f>
        <v/>
      </c>
    </row>
    <row r="2764" spans="1:9" ht="30" hidden="1">
      <c r="A2764" s="345">
        <v>3278</v>
      </c>
      <c r="B2764" s="346" t="s">
        <v>240</v>
      </c>
      <c r="C2764" s="347">
        <v>25</v>
      </c>
      <c r="D2764" s="348">
        <v>46753</v>
      </c>
      <c r="E2764" s="348">
        <v>47058</v>
      </c>
      <c r="F2764" s="346" t="s">
        <v>616</v>
      </c>
      <c r="G2764" s="349" t="s">
        <v>444</v>
      </c>
      <c r="H2764" s="350">
        <f t="shared" si="56"/>
        <v>275</v>
      </c>
      <c r="I2764" s="120" t="str">
        <f>IF(OR(D2764&lt;Capa!$A$5,D2764&gt;Capa!$A$7,E2764&lt;Capa!$A$5,E2764&gt;Capa!$A$7,D2764&gt;E2764),"Erro","")</f>
        <v/>
      </c>
    </row>
    <row r="2765" spans="1:9" ht="30" hidden="1">
      <c r="A2765" s="345">
        <v>3280</v>
      </c>
      <c r="B2765" s="346" t="s">
        <v>244</v>
      </c>
      <c r="C2765" s="347">
        <v>250</v>
      </c>
      <c r="D2765" s="348">
        <v>45658</v>
      </c>
      <c r="E2765" s="348">
        <v>45992</v>
      </c>
      <c r="F2765" s="346" t="s">
        <v>616</v>
      </c>
      <c r="G2765" s="349" t="s">
        <v>445</v>
      </c>
      <c r="H2765" s="350">
        <f t="shared" si="56"/>
        <v>3000</v>
      </c>
      <c r="I2765" s="120" t="str">
        <f>IF(OR(D2765&lt;Capa!$A$5,D2765&gt;Capa!$A$7,E2765&lt;Capa!$A$5,E2765&gt;Capa!$A$7,D2765&gt;E2765),"Erro","")</f>
        <v/>
      </c>
    </row>
    <row r="2766" spans="1:9" ht="30" hidden="1">
      <c r="A2766" s="345">
        <v>3281</v>
      </c>
      <c r="B2766" s="346" t="s">
        <v>244</v>
      </c>
      <c r="C2766" s="347">
        <v>250</v>
      </c>
      <c r="D2766" s="348">
        <v>46023</v>
      </c>
      <c r="E2766" s="348">
        <v>46357</v>
      </c>
      <c r="F2766" s="346" t="s">
        <v>616</v>
      </c>
      <c r="G2766" s="349" t="s">
        <v>445</v>
      </c>
      <c r="H2766" s="350">
        <f t="shared" si="56"/>
        <v>3000</v>
      </c>
      <c r="I2766" s="120" t="str">
        <f>IF(OR(D2766&lt;Capa!$A$5,D2766&gt;Capa!$A$7,E2766&lt;Capa!$A$5,E2766&gt;Capa!$A$7,D2766&gt;E2766),"Erro","")</f>
        <v/>
      </c>
    </row>
    <row r="2767" spans="1:9" ht="30" hidden="1">
      <c r="A2767" s="345">
        <v>3282</v>
      </c>
      <c r="B2767" s="346" t="s">
        <v>244</v>
      </c>
      <c r="C2767" s="347">
        <v>250</v>
      </c>
      <c r="D2767" s="348">
        <v>46388</v>
      </c>
      <c r="E2767" s="348">
        <v>46722</v>
      </c>
      <c r="F2767" s="346" t="s">
        <v>616</v>
      </c>
      <c r="G2767" s="349" t="s">
        <v>445</v>
      </c>
      <c r="H2767" s="350">
        <f t="shared" si="56"/>
        <v>3000</v>
      </c>
      <c r="I2767" s="120" t="str">
        <f>IF(OR(D2767&lt;Capa!$A$5,D2767&gt;Capa!$A$7,E2767&lt;Capa!$A$5,E2767&gt;Capa!$A$7,D2767&gt;E2767),"Erro","")</f>
        <v/>
      </c>
    </row>
    <row r="2768" spans="1:9" ht="30" hidden="1">
      <c r="A2768" s="345">
        <v>3283</v>
      </c>
      <c r="B2768" s="346" t="s">
        <v>244</v>
      </c>
      <c r="C2768" s="347">
        <v>125</v>
      </c>
      <c r="D2768" s="348">
        <v>46753</v>
      </c>
      <c r="E2768" s="348">
        <v>47058</v>
      </c>
      <c r="F2768" s="346" t="s">
        <v>616</v>
      </c>
      <c r="G2768" s="349" t="s">
        <v>445</v>
      </c>
      <c r="H2768" s="350">
        <f t="shared" si="56"/>
        <v>1375</v>
      </c>
      <c r="I2768" s="120" t="str">
        <f>IF(OR(D2768&lt;Capa!$A$5,D2768&gt;Capa!$A$7,E2768&lt;Capa!$A$5,E2768&gt;Capa!$A$7,D2768&gt;E2768),"Erro","")</f>
        <v/>
      </c>
    </row>
    <row r="2769" spans="1:9" ht="20" hidden="1">
      <c r="A2769" s="345">
        <v>3284</v>
      </c>
      <c r="B2769" s="346" t="s">
        <v>246</v>
      </c>
      <c r="C2769" s="347">
        <v>390</v>
      </c>
      <c r="D2769" s="348">
        <v>45658</v>
      </c>
      <c r="E2769" s="348">
        <v>45992</v>
      </c>
      <c r="F2769" s="346" t="s">
        <v>616</v>
      </c>
      <c r="G2769" s="349" t="s">
        <v>446</v>
      </c>
      <c r="H2769" s="350">
        <f t="shared" si="56"/>
        <v>4680</v>
      </c>
      <c r="I2769" s="120" t="str">
        <f>IF(OR(D2769&lt;Capa!$A$5,D2769&gt;Capa!$A$7,E2769&lt;Capa!$A$5,E2769&gt;Capa!$A$7,D2769&gt;E2769),"Erro","")</f>
        <v/>
      </c>
    </row>
    <row r="2770" spans="1:9" ht="20" hidden="1">
      <c r="A2770" s="345">
        <v>3285</v>
      </c>
      <c r="B2770" s="346" t="s">
        <v>246</v>
      </c>
      <c r="C2770" s="347">
        <v>390</v>
      </c>
      <c r="D2770" s="348">
        <v>46023</v>
      </c>
      <c r="E2770" s="348">
        <v>46357</v>
      </c>
      <c r="F2770" s="346" t="s">
        <v>616</v>
      </c>
      <c r="G2770" s="349" t="s">
        <v>446</v>
      </c>
      <c r="H2770" s="350">
        <f t="shared" si="56"/>
        <v>4680</v>
      </c>
      <c r="I2770" s="120" t="str">
        <f>IF(OR(D2770&lt;Capa!$A$5,D2770&gt;Capa!$A$7,E2770&lt;Capa!$A$5,E2770&gt;Capa!$A$7,D2770&gt;E2770),"Erro","")</f>
        <v/>
      </c>
    </row>
    <row r="2771" spans="1:9" ht="20" hidden="1">
      <c r="A2771" s="345">
        <v>3286</v>
      </c>
      <c r="B2771" s="346" t="s">
        <v>246</v>
      </c>
      <c r="C2771" s="347">
        <v>390</v>
      </c>
      <c r="D2771" s="348">
        <v>46388</v>
      </c>
      <c r="E2771" s="348">
        <v>46722</v>
      </c>
      <c r="F2771" s="346" t="s">
        <v>616</v>
      </c>
      <c r="G2771" s="349" t="s">
        <v>446</v>
      </c>
      <c r="H2771" s="350">
        <f t="shared" si="56"/>
        <v>4680</v>
      </c>
      <c r="I2771" s="120" t="str">
        <f>IF(OR(D2771&lt;Capa!$A$5,D2771&gt;Capa!$A$7,E2771&lt;Capa!$A$5,E2771&gt;Capa!$A$7,D2771&gt;E2771),"Erro","")</f>
        <v/>
      </c>
    </row>
    <row r="2772" spans="1:9" ht="20" hidden="1">
      <c r="A2772" s="345">
        <v>3287</v>
      </c>
      <c r="B2772" s="346" t="s">
        <v>246</v>
      </c>
      <c r="C2772" s="347">
        <v>190</v>
      </c>
      <c r="D2772" s="348">
        <v>46753</v>
      </c>
      <c r="E2772" s="348">
        <v>47058</v>
      </c>
      <c r="F2772" s="346" t="s">
        <v>616</v>
      </c>
      <c r="G2772" s="349" t="s">
        <v>446</v>
      </c>
      <c r="H2772" s="350">
        <f t="shared" si="56"/>
        <v>2090</v>
      </c>
      <c r="I2772" s="120" t="str">
        <f>IF(OR(D2772&lt;Capa!$A$5,D2772&gt;Capa!$A$7,E2772&lt;Capa!$A$5,E2772&gt;Capa!$A$7,D2772&gt;E2772),"Erro","")</f>
        <v/>
      </c>
    </row>
    <row r="2773" spans="1:9" ht="30" hidden="1">
      <c r="A2773" s="345">
        <v>3289</v>
      </c>
      <c r="B2773" s="346" t="s">
        <v>258</v>
      </c>
      <c r="C2773" s="347">
        <v>50</v>
      </c>
      <c r="D2773" s="348">
        <v>45658</v>
      </c>
      <c r="E2773" s="348">
        <v>45992</v>
      </c>
      <c r="F2773" s="346" t="s">
        <v>616</v>
      </c>
      <c r="G2773" s="349" t="s">
        <v>447</v>
      </c>
      <c r="H2773" s="350">
        <f t="shared" si="56"/>
        <v>600</v>
      </c>
      <c r="I2773" s="120" t="str">
        <f>IF(OR(D2773&lt;Capa!$A$5,D2773&gt;Capa!$A$7,E2773&lt;Capa!$A$5,E2773&gt;Capa!$A$7,D2773&gt;E2773),"Erro","")</f>
        <v/>
      </c>
    </row>
    <row r="2774" spans="1:9" ht="30" hidden="1">
      <c r="A2774" s="345">
        <v>3290</v>
      </c>
      <c r="B2774" s="346" t="s">
        <v>258</v>
      </c>
      <c r="C2774" s="347">
        <v>50</v>
      </c>
      <c r="D2774" s="348">
        <v>46023</v>
      </c>
      <c r="E2774" s="348">
        <v>46357</v>
      </c>
      <c r="F2774" s="346" t="s">
        <v>616</v>
      </c>
      <c r="G2774" s="349" t="s">
        <v>447</v>
      </c>
      <c r="H2774" s="350">
        <f t="shared" ref="H2774:H2816" si="57">IFERROR((DATEDIF(D2774,E2774,"M")+1)*C2774,0)</f>
        <v>600</v>
      </c>
      <c r="I2774" s="120" t="str">
        <f>IF(OR(D2774&lt;Capa!$A$5,D2774&gt;Capa!$A$7,E2774&lt;Capa!$A$5,E2774&gt;Capa!$A$7,D2774&gt;E2774),"Erro","")</f>
        <v/>
      </c>
    </row>
    <row r="2775" spans="1:9" ht="30" hidden="1">
      <c r="A2775" s="345">
        <v>3291</v>
      </c>
      <c r="B2775" s="346" t="s">
        <v>258</v>
      </c>
      <c r="C2775" s="347">
        <v>50</v>
      </c>
      <c r="D2775" s="348">
        <v>46388</v>
      </c>
      <c r="E2775" s="348">
        <v>46722</v>
      </c>
      <c r="F2775" s="346" t="s">
        <v>616</v>
      </c>
      <c r="G2775" s="349" t="s">
        <v>447</v>
      </c>
      <c r="H2775" s="350">
        <f t="shared" si="57"/>
        <v>600</v>
      </c>
      <c r="I2775" s="120" t="str">
        <f>IF(OR(D2775&lt;Capa!$A$5,D2775&gt;Capa!$A$7,E2775&lt;Capa!$A$5,E2775&gt;Capa!$A$7,D2775&gt;E2775),"Erro","")</f>
        <v/>
      </c>
    </row>
    <row r="2776" spans="1:9" ht="30" hidden="1">
      <c r="A2776" s="345">
        <v>3292</v>
      </c>
      <c r="B2776" s="346" t="s">
        <v>258</v>
      </c>
      <c r="C2776" s="347">
        <v>20</v>
      </c>
      <c r="D2776" s="348">
        <v>46753</v>
      </c>
      <c r="E2776" s="348">
        <v>47058</v>
      </c>
      <c r="F2776" s="346" t="s">
        <v>616</v>
      </c>
      <c r="G2776" s="349" t="s">
        <v>447</v>
      </c>
      <c r="H2776" s="350">
        <f t="shared" si="57"/>
        <v>220</v>
      </c>
      <c r="I2776" s="120" t="str">
        <f>IF(OR(D2776&lt;Capa!$A$5,D2776&gt;Capa!$A$7,E2776&lt;Capa!$A$5,E2776&gt;Capa!$A$7,D2776&gt;E2776),"Erro","")</f>
        <v/>
      </c>
    </row>
    <row r="2777" spans="1:9" ht="40" hidden="1">
      <c r="A2777" s="345">
        <v>3293</v>
      </c>
      <c r="B2777" s="346" t="s">
        <v>276</v>
      </c>
      <c r="C2777" s="347">
        <v>500</v>
      </c>
      <c r="D2777" s="348">
        <v>45658</v>
      </c>
      <c r="E2777" s="348">
        <v>45992</v>
      </c>
      <c r="F2777" s="346" t="s">
        <v>616</v>
      </c>
      <c r="G2777" s="349" t="s">
        <v>448</v>
      </c>
      <c r="H2777" s="350">
        <f t="shared" si="57"/>
        <v>6000</v>
      </c>
      <c r="I2777" s="120" t="str">
        <f>IF(OR(D2777&lt;Capa!$A$5,D2777&gt;Capa!$A$7,E2777&lt;Capa!$A$5,E2777&gt;Capa!$A$7,D2777&gt;E2777),"Erro","")</f>
        <v/>
      </c>
    </row>
    <row r="2778" spans="1:9" ht="40" hidden="1">
      <c r="A2778" s="345">
        <v>3294</v>
      </c>
      <c r="B2778" s="346" t="s">
        <v>276</v>
      </c>
      <c r="C2778" s="347">
        <v>500</v>
      </c>
      <c r="D2778" s="348">
        <v>46023</v>
      </c>
      <c r="E2778" s="348">
        <v>46357</v>
      </c>
      <c r="F2778" s="346" t="s">
        <v>616</v>
      </c>
      <c r="G2778" s="349" t="s">
        <v>448</v>
      </c>
      <c r="H2778" s="350">
        <f t="shared" si="57"/>
        <v>6000</v>
      </c>
      <c r="I2778" s="120" t="str">
        <f>IF(OR(D2778&lt;Capa!$A$5,D2778&gt;Capa!$A$7,E2778&lt;Capa!$A$5,E2778&gt;Capa!$A$7,D2778&gt;E2778),"Erro","")</f>
        <v/>
      </c>
    </row>
    <row r="2779" spans="1:9" ht="40" hidden="1">
      <c r="A2779" s="345">
        <v>3295</v>
      </c>
      <c r="B2779" s="346" t="s">
        <v>276</v>
      </c>
      <c r="C2779" s="347">
        <v>500</v>
      </c>
      <c r="D2779" s="348">
        <v>46388</v>
      </c>
      <c r="E2779" s="348">
        <v>46722</v>
      </c>
      <c r="F2779" s="346" t="s">
        <v>616</v>
      </c>
      <c r="G2779" s="349" t="s">
        <v>448</v>
      </c>
      <c r="H2779" s="350">
        <f t="shared" si="57"/>
        <v>6000</v>
      </c>
      <c r="I2779" s="120" t="str">
        <f>IF(OR(D2779&lt;Capa!$A$5,D2779&gt;Capa!$A$7,E2779&lt;Capa!$A$5,E2779&gt;Capa!$A$7,D2779&gt;E2779),"Erro","")</f>
        <v/>
      </c>
    </row>
    <row r="2780" spans="1:9" ht="40" hidden="1">
      <c r="A2780" s="345">
        <v>3296</v>
      </c>
      <c r="B2780" s="346" t="s">
        <v>276</v>
      </c>
      <c r="C2780" s="347">
        <v>250</v>
      </c>
      <c r="D2780" s="348">
        <v>46753</v>
      </c>
      <c r="E2780" s="348">
        <v>47058</v>
      </c>
      <c r="F2780" s="346" t="s">
        <v>616</v>
      </c>
      <c r="G2780" s="349" t="s">
        <v>448</v>
      </c>
      <c r="H2780" s="350">
        <f t="shared" si="57"/>
        <v>2750</v>
      </c>
      <c r="I2780" s="120" t="str">
        <f>IF(OR(D2780&lt;Capa!$A$5,D2780&gt;Capa!$A$7,E2780&lt;Capa!$A$5,E2780&gt;Capa!$A$7,D2780&gt;E2780),"Erro","")</f>
        <v/>
      </c>
    </row>
    <row r="2781" spans="1:9" ht="40">
      <c r="A2781" s="345">
        <v>3298</v>
      </c>
      <c r="B2781" s="346" t="s">
        <v>278</v>
      </c>
      <c r="C2781" s="347">
        <v>33000</v>
      </c>
      <c r="D2781" s="348">
        <v>45658</v>
      </c>
      <c r="E2781" s="348">
        <v>45992</v>
      </c>
      <c r="F2781" s="346" t="s">
        <v>616</v>
      </c>
      <c r="G2781" s="349" t="s">
        <v>449</v>
      </c>
      <c r="H2781" s="350">
        <f t="shared" si="57"/>
        <v>396000</v>
      </c>
      <c r="I2781" s="120" t="str">
        <f>IF(OR(D2781&lt;Capa!$A$5,D2781&gt;Capa!$A$7,E2781&lt;Capa!$A$5,E2781&gt;Capa!$A$7,D2781&gt;E2781),"Erro","")</f>
        <v/>
      </c>
    </row>
    <row r="2782" spans="1:9" ht="40">
      <c r="A2782" s="345">
        <v>3299</v>
      </c>
      <c r="B2782" s="346" t="s">
        <v>278</v>
      </c>
      <c r="C2782" s="347">
        <v>33000</v>
      </c>
      <c r="D2782" s="348">
        <v>46023</v>
      </c>
      <c r="E2782" s="348">
        <v>46357</v>
      </c>
      <c r="F2782" s="346" t="s">
        <v>616</v>
      </c>
      <c r="G2782" s="349" t="s">
        <v>449</v>
      </c>
      <c r="H2782" s="350">
        <f t="shared" si="57"/>
        <v>396000</v>
      </c>
      <c r="I2782" s="120" t="str">
        <f>IF(OR(D2782&lt;Capa!$A$5,D2782&gt;Capa!$A$7,E2782&lt;Capa!$A$5,E2782&gt;Capa!$A$7,D2782&gt;E2782),"Erro","")</f>
        <v/>
      </c>
    </row>
    <row r="2783" spans="1:9" ht="40">
      <c r="A2783" s="345">
        <v>3300</v>
      </c>
      <c r="B2783" s="346" t="s">
        <v>278</v>
      </c>
      <c r="C2783" s="347">
        <v>33000</v>
      </c>
      <c r="D2783" s="348">
        <v>46388</v>
      </c>
      <c r="E2783" s="348">
        <v>46722</v>
      </c>
      <c r="F2783" s="346" t="s">
        <v>616</v>
      </c>
      <c r="G2783" s="349" t="s">
        <v>449</v>
      </c>
      <c r="H2783" s="350">
        <f t="shared" si="57"/>
        <v>396000</v>
      </c>
      <c r="I2783" s="120" t="str">
        <f>IF(OR(D2783&lt;Capa!$A$5,D2783&gt;Capa!$A$7,E2783&lt;Capa!$A$5,E2783&gt;Capa!$A$7,D2783&gt;E2783),"Erro","")</f>
        <v/>
      </c>
    </row>
    <row r="2784" spans="1:9" ht="40">
      <c r="A2784" s="345">
        <v>3301</v>
      </c>
      <c r="B2784" s="346" t="s">
        <v>278</v>
      </c>
      <c r="C2784" s="347">
        <v>18500</v>
      </c>
      <c r="D2784" s="348">
        <v>46753</v>
      </c>
      <c r="E2784" s="348">
        <v>47058</v>
      </c>
      <c r="F2784" s="346" t="s">
        <v>616</v>
      </c>
      <c r="G2784" s="349" t="s">
        <v>449</v>
      </c>
      <c r="H2784" s="350">
        <f t="shared" si="57"/>
        <v>203500</v>
      </c>
      <c r="I2784" s="120" t="str">
        <f>IF(OR(D2784&lt;Capa!$A$5,D2784&gt;Capa!$A$7,E2784&lt;Capa!$A$5,E2784&gt;Capa!$A$7,D2784&gt;E2784),"Erro","")</f>
        <v/>
      </c>
    </row>
    <row r="2785" spans="1:9" ht="40" hidden="1">
      <c r="A2785" s="345">
        <v>3303</v>
      </c>
      <c r="B2785" s="346" t="s">
        <v>280</v>
      </c>
      <c r="C2785" s="347">
        <v>100</v>
      </c>
      <c r="D2785" s="348">
        <v>45658</v>
      </c>
      <c r="E2785" s="348">
        <v>45992</v>
      </c>
      <c r="F2785" s="346" t="s">
        <v>616</v>
      </c>
      <c r="G2785" s="349" t="s">
        <v>450</v>
      </c>
      <c r="H2785" s="350">
        <f t="shared" si="57"/>
        <v>1200</v>
      </c>
      <c r="I2785" s="120" t="str">
        <f>IF(OR(D2785&lt;Capa!$A$5,D2785&gt;Capa!$A$7,E2785&lt;Capa!$A$5,E2785&gt;Capa!$A$7,D2785&gt;E2785),"Erro","")</f>
        <v/>
      </c>
    </row>
    <row r="2786" spans="1:9" ht="40" hidden="1">
      <c r="A2786" s="345">
        <v>3304</v>
      </c>
      <c r="B2786" s="346" t="s">
        <v>280</v>
      </c>
      <c r="C2786" s="347">
        <v>100</v>
      </c>
      <c r="D2786" s="348">
        <v>46023</v>
      </c>
      <c r="E2786" s="348">
        <v>46357</v>
      </c>
      <c r="F2786" s="346" t="s">
        <v>616</v>
      </c>
      <c r="G2786" s="349" t="s">
        <v>450</v>
      </c>
      <c r="H2786" s="350">
        <f t="shared" si="57"/>
        <v>1200</v>
      </c>
      <c r="I2786" s="120" t="str">
        <f>IF(OR(D2786&lt;Capa!$A$5,D2786&gt;Capa!$A$7,E2786&lt;Capa!$A$5,E2786&gt;Capa!$A$7,D2786&gt;E2786),"Erro","")</f>
        <v/>
      </c>
    </row>
    <row r="2787" spans="1:9" ht="40" hidden="1">
      <c r="A2787" s="345">
        <v>3305</v>
      </c>
      <c r="B2787" s="346" t="s">
        <v>280</v>
      </c>
      <c r="C2787" s="347">
        <v>100</v>
      </c>
      <c r="D2787" s="348">
        <v>46388</v>
      </c>
      <c r="E2787" s="348">
        <v>46722</v>
      </c>
      <c r="F2787" s="346" t="s">
        <v>616</v>
      </c>
      <c r="G2787" s="349" t="s">
        <v>450</v>
      </c>
      <c r="H2787" s="350">
        <f t="shared" si="57"/>
        <v>1200</v>
      </c>
      <c r="I2787" s="120" t="str">
        <f>IF(OR(D2787&lt;Capa!$A$5,D2787&gt;Capa!$A$7,E2787&lt;Capa!$A$5,E2787&gt;Capa!$A$7,D2787&gt;E2787),"Erro","")</f>
        <v/>
      </c>
    </row>
    <row r="2788" spans="1:9" ht="40" hidden="1">
      <c r="A2788" s="345">
        <v>3306</v>
      </c>
      <c r="B2788" s="346" t="s">
        <v>280</v>
      </c>
      <c r="C2788" s="347">
        <v>50</v>
      </c>
      <c r="D2788" s="348">
        <v>46753</v>
      </c>
      <c r="E2788" s="348">
        <v>47058</v>
      </c>
      <c r="F2788" s="346" t="s">
        <v>616</v>
      </c>
      <c r="G2788" s="349" t="s">
        <v>450</v>
      </c>
      <c r="H2788" s="350">
        <f t="shared" si="57"/>
        <v>550</v>
      </c>
      <c r="I2788" s="120" t="str">
        <f>IF(OR(D2788&lt;Capa!$A$5,D2788&gt;Capa!$A$7,E2788&lt;Capa!$A$5,E2788&gt;Capa!$A$7,D2788&gt;E2788),"Erro","")</f>
        <v/>
      </c>
    </row>
    <row r="2789" spans="1:9" ht="40" hidden="1">
      <c r="A2789" s="345">
        <v>3308</v>
      </c>
      <c r="B2789" s="346" t="s">
        <v>282</v>
      </c>
      <c r="C2789" s="347">
        <v>450</v>
      </c>
      <c r="D2789" s="348">
        <v>45658</v>
      </c>
      <c r="E2789" s="348">
        <v>45992</v>
      </c>
      <c r="F2789" s="346" t="s">
        <v>616</v>
      </c>
      <c r="G2789" s="349" t="s">
        <v>451</v>
      </c>
      <c r="H2789" s="350">
        <f t="shared" si="57"/>
        <v>5400</v>
      </c>
      <c r="I2789" s="120" t="str">
        <f>IF(OR(D2789&lt;Capa!$A$5,D2789&gt;Capa!$A$7,E2789&lt;Capa!$A$5,E2789&gt;Capa!$A$7,D2789&gt;E2789),"Erro","")</f>
        <v/>
      </c>
    </row>
    <row r="2790" spans="1:9" ht="40" hidden="1">
      <c r="A2790" s="345">
        <v>3309</v>
      </c>
      <c r="B2790" s="346" t="s">
        <v>282</v>
      </c>
      <c r="C2790" s="347">
        <v>450</v>
      </c>
      <c r="D2790" s="348">
        <v>46023</v>
      </c>
      <c r="E2790" s="348">
        <v>46357</v>
      </c>
      <c r="F2790" s="346" t="s">
        <v>616</v>
      </c>
      <c r="G2790" s="349" t="s">
        <v>451</v>
      </c>
      <c r="H2790" s="350">
        <f t="shared" si="57"/>
        <v>5400</v>
      </c>
      <c r="I2790" s="120" t="str">
        <f>IF(OR(D2790&lt;Capa!$A$5,D2790&gt;Capa!$A$7,E2790&lt;Capa!$A$5,E2790&gt;Capa!$A$7,D2790&gt;E2790),"Erro","")</f>
        <v/>
      </c>
    </row>
    <row r="2791" spans="1:9" ht="40" hidden="1">
      <c r="A2791" s="345">
        <v>3310</v>
      </c>
      <c r="B2791" s="346" t="s">
        <v>282</v>
      </c>
      <c r="C2791" s="347">
        <v>450</v>
      </c>
      <c r="D2791" s="348">
        <v>46388</v>
      </c>
      <c r="E2791" s="348">
        <v>46722</v>
      </c>
      <c r="F2791" s="346" t="s">
        <v>616</v>
      </c>
      <c r="G2791" s="349" t="s">
        <v>451</v>
      </c>
      <c r="H2791" s="350">
        <f t="shared" si="57"/>
        <v>5400</v>
      </c>
      <c r="I2791" s="120" t="str">
        <f>IF(OR(D2791&lt;Capa!$A$5,D2791&gt;Capa!$A$7,E2791&lt;Capa!$A$5,E2791&gt;Capa!$A$7,D2791&gt;E2791),"Erro","")</f>
        <v/>
      </c>
    </row>
    <row r="2792" spans="1:9" ht="40" hidden="1">
      <c r="A2792" s="345">
        <v>3311</v>
      </c>
      <c r="B2792" s="346" t="s">
        <v>282</v>
      </c>
      <c r="C2792" s="347">
        <v>200</v>
      </c>
      <c r="D2792" s="348">
        <v>46753</v>
      </c>
      <c r="E2792" s="348">
        <v>47058</v>
      </c>
      <c r="F2792" s="346" t="s">
        <v>616</v>
      </c>
      <c r="G2792" s="349" t="s">
        <v>451</v>
      </c>
      <c r="H2792" s="350">
        <f t="shared" si="57"/>
        <v>2200</v>
      </c>
      <c r="I2792" s="120" t="str">
        <f>IF(OR(D2792&lt;Capa!$A$5,D2792&gt;Capa!$A$7,E2792&lt;Capa!$A$5,E2792&gt;Capa!$A$7,D2792&gt;E2792),"Erro","")</f>
        <v/>
      </c>
    </row>
    <row r="2793" spans="1:9" ht="40" hidden="1">
      <c r="A2793" s="345">
        <v>3313</v>
      </c>
      <c r="B2793" s="346" t="s">
        <v>284</v>
      </c>
      <c r="C2793" s="347">
        <v>950</v>
      </c>
      <c r="D2793" s="348">
        <v>45658</v>
      </c>
      <c r="E2793" s="348">
        <v>45992</v>
      </c>
      <c r="F2793" s="346" t="s">
        <v>616</v>
      </c>
      <c r="G2793" s="349" t="s">
        <v>451</v>
      </c>
      <c r="H2793" s="350">
        <f t="shared" si="57"/>
        <v>11400</v>
      </c>
      <c r="I2793" s="120" t="str">
        <f>IF(OR(D2793&lt;Capa!$A$5,D2793&gt;Capa!$A$7,E2793&lt;Capa!$A$5,E2793&gt;Capa!$A$7,D2793&gt;E2793),"Erro","")</f>
        <v/>
      </c>
    </row>
    <row r="2794" spans="1:9" ht="40" hidden="1">
      <c r="A2794" s="345">
        <v>3314</v>
      </c>
      <c r="B2794" s="346" t="s">
        <v>284</v>
      </c>
      <c r="C2794" s="347">
        <v>950</v>
      </c>
      <c r="D2794" s="348">
        <v>46023</v>
      </c>
      <c r="E2794" s="348">
        <v>46357</v>
      </c>
      <c r="F2794" s="346" t="s">
        <v>616</v>
      </c>
      <c r="G2794" s="349" t="s">
        <v>451</v>
      </c>
      <c r="H2794" s="350">
        <f t="shared" si="57"/>
        <v>11400</v>
      </c>
      <c r="I2794" s="120" t="str">
        <f>IF(OR(D2794&lt;Capa!$A$5,D2794&gt;Capa!$A$7,E2794&lt;Capa!$A$5,E2794&gt;Capa!$A$7,D2794&gt;E2794),"Erro","")</f>
        <v/>
      </c>
    </row>
    <row r="2795" spans="1:9" ht="40" hidden="1">
      <c r="A2795" s="345">
        <v>3315</v>
      </c>
      <c r="B2795" s="346" t="s">
        <v>284</v>
      </c>
      <c r="C2795" s="347">
        <v>950</v>
      </c>
      <c r="D2795" s="348">
        <v>46388</v>
      </c>
      <c r="E2795" s="348">
        <v>46722</v>
      </c>
      <c r="F2795" s="346" t="s">
        <v>616</v>
      </c>
      <c r="G2795" s="349" t="s">
        <v>451</v>
      </c>
      <c r="H2795" s="350">
        <f t="shared" si="57"/>
        <v>11400</v>
      </c>
      <c r="I2795" s="120" t="str">
        <f>IF(OR(D2795&lt;Capa!$A$5,D2795&gt;Capa!$A$7,E2795&lt;Capa!$A$5,E2795&gt;Capa!$A$7,D2795&gt;E2795),"Erro","")</f>
        <v/>
      </c>
    </row>
    <row r="2796" spans="1:9" ht="40" hidden="1">
      <c r="A2796" s="345">
        <v>3316</v>
      </c>
      <c r="B2796" s="346" t="s">
        <v>284</v>
      </c>
      <c r="C2796" s="347">
        <v>400</v>
      </c>
      <c r="D2796" s="348">
        <v>46753</v>
      </c>
      <c r="E2796" s="348">
        <v>47058</v>
      </c>
      <c r="F2796" s="346" t="s">
        <v>616</v>
      </c>
      <c r="G2796" s="349" t="s">
        <v>451</v>
      </c>
      <c r="H2796" s="350">
        <f t="shared" si="57"/>
        <v>4400</v>
      </c>
      <c r="I2796" s="120" t="str">
        <f>IF(OR(D2796&lt;Capa!$A$5,D2796&gt;Capa!$A$7,E2796&lt;Capa!$A$5,E2796&gt;Capa!$A$7,D2796&gt;E2796),"Erro","")</f>
        <v/>
      </c>
    </row>
    <row r="2797" spans="1:9" ht="40" hidden="1">
      <c r="A2797" s="345">
        <v>3318</v>
      </c>
      <c r="B2797" s="346" t="s">
        <v>286</v>
      </c>
      <c r="C2797" s="347">
        <v>1000</v>
      </c>
      <c r="D2797" s="348">
        <v>45658</v>
      </c>
      <c r="E2797" s="348">
        <v>45992</v>
      </c>
      <c r="F2797" s="346" t="s">
        <v>616</v>
      </c>
      <c r="G2797" s="349" t="s">
        <v>451</v>
      </c>
      <c r="H2797" s="350">
        <f t="shared" si="57"/>
        <v>12000</v>
      </c>
      <c r="I2797" s="120" t="str">
        <f>IF(OR(D2797&lt;Capa!$A$5,D2797&gt;Capa!$A$7,E2797&lt;Capa!$A$5,E2797&gt;Capa!$A$7,D2797&gt;E2797),"Erro","")</f>
        <v/>
      </c>
    </row>
    <row r="2798" spans="1:9" ht="40" hidden="1">
      <c r="A2798" s="345">
        <v>3319</v>
      </c>
      <c r="B2798" s="346" t="s">
        <v>286</v>
      </c>
      <c r="C2798" s="347">
        <v>1000</v>
      </c>
      <c r="D2798" s="348">
        <v>46023</v>
      </c>
      <c r="E2798" s="348">
        <v>46357</v>
      </c>
      <c r="F2798" s="346" t="s">
        <v>616</v>
      </c>
      <c r="G2798" s="349" t="s">
        <v>451</v>
      </c>
      <c r="H2798" s="350">
        <f t="shared" si="57"/>
        <v>12000</v>
      </c>
      <c r="I2798" s="120" t="str">
        <f>IF(OR(D2798&lt;Capa!$A$5,D2798&gt;Capa!$A$7,E2798&lt;Capa!$A$5,E2798&gt;Capa!$A$7,D2798&gt;E2798),"Erro","")</f>
        <v/>
      </c>
    </row>
    <row r="2799" spans="1:9" ht="40" hidden="1">
      <c r="A2799" s="345">
        <v>3320</v>
      </c>
      <c r="B2799" s="346" t="s">
        <v>286</v>
      </c>
      <c r="C2799" s="347">
        <v>1000</v>
      </c>
      <c r="D2799" s="348">
        <v>46388</v>
      </c>
      <c r="E2799" s="348">
        <v>46722</v>
      </c>
      <c r="F2799" s="346" t="s">
        <v>616</v>
      </c>
      <c r="G2799" s="349" t="s">
        <v>451</v>
      </c>
      <c r="H2799" s="350">
        <f t="shared" si="57"/>
        <v>12000</v>
      </c>
      <c r="I2799" s="120" t="str">
        <f>IF(OR(D2799&lt;Capa!$A$5,D2799&gt;Capa!$A$7,E2799&lt;Capa!$A$5,E2799&gt;Capa!$A$7,D2799&gt;E2799),"Erro","")</f>
        <v/>
      </c>
    </row>
    <row r="2800" spans="1:9" ht="40" hidden="1">
      <c r="A2800" s="345">
        <v>3321</v>
      </c>
      <c r="B2800" s="346" t="s">
        <v>286</v>
      </c>
      <c r="C2800" s="347">
        <v>500</v>
      </c>
      <c r="D2800" s="348">
        <v>46753</v>
      </c>
      <c r="E2800" s="348">
        <v>47058</v>
      </c>
      <c r="F2800" s="346" t="s">
        <v>616</v>
      </c>
      <c r="G2800" s="349" t="s">
        <v>451</v>
      </c>
      <c r="H2800" s="350">
        <f t="shared" si="57"/>
        <v>5500</v>
      </c>
      <c r="I2800" s="120" t="str">
        <f>IF(OR(D2800&lt;Capa!$A$5,D2800&gt;Capa!$A$7,E2800&lt;Capa!$A$5,E2800&gt;Capa!$A$7,D2800&gt;E2800),"Erro","")</f>
        <v/>
      </c>
    </row>
    <row r="2801" spans="1:9" ht="30" hidden="1">
      <c r="A2801" s="345">
        <v>3323</v>
      </c>
      <c r="B2801" s="346" t="s">
        <v>288</v>
      </c>
      <c r="C2801" s="347">
        <v>200</v>
      </c>
      <c r="D2801" s="348">
        <v>45658</v>
      </c>
      <c r="E2801" s="348">
        <v>45992</v>
      </c>
      <c r="F2801" s="346" t="s">
        <v>616</v>
      </c>
      <c r="G2801" s="349" t="s">
        <v>452</v>
      </c>
      <c r="H2801" s="350">
        <f t="shared" si="57"/>
        <v>2400</v>
      </c>
      <c r="I2801" s="120" t="str">
        <f>IF(OR(D2801&lt;Capa!$A$5,D2801&gt;Capa!$A$7,E2801&lt;Capa!$A$5,E2801&gt;Capa!$A$7,D2801&gt;E2801),"Erro","")</f>
        <v/>
      </c>
    </row>
    <row r="2802" spans="1:9" ht="30" hidden="1">
      <c r="A2802" s="345">
        <v>3324</v>
      </c>
      <c r="B2802" s="346" t="s">
        <v>288</v>
      </c>
      <c r="C2802" s="347">
        <v>200</v>
      </c>
      <c r="D2802" s="348">
        <v>46023</v>
      </c>
      <c r="E2802" s="348">
        <v>46357</v>
      </c>
      <c r="F2802" s="346" t="s">
        <v>616</v>
      </c>
      <c r="G2802" s="349" t="s">
        <v>452</v>
      </c>
      <c r="H2802" s="350">
        <f t="shared" si="57"/>
        <v>2400</v>
      </c>
      <c r="I2802" s="120" t="str">
        <f>IF(OR(D2802&lt;Capa!$A$5,D2802&gt;Capa!$A$7,E2802&lt;Capa!$A$5,E2802&gt;Capa!$A$7,D2802&gt;E2802),"Erro","")</f>
        <v/>
      </c>
    </row>
    <row r="2803" spans="1:9" ht="30" hidden="1">
      <c r="A2803" s="345">
        <v>3325</v>
      </c>
      <c r="B2803" s="346" t="s">
        <v>288</v>
      </c>
      <c r="C2803" s="347">
        <v>200</v>
      </c>
      <c r="D2803" s="348">
        <v>46388</v>
      </c>
      <c r="E2803" s="348">
        <v>46722</v>
      </c>
      <c r="F2803" s="346" t="s">
        <v>616</v>
      </c>
      <c r="G2803" s="349" t="s">
        <v>452</v>
      </c>
      <c r="H2803" s="350">
        <f t="shared" si="57"/>
        <v>2400</v>
      </c>
      <c r="I2803" s="120" t="str">
        <f>IF(OR(D2803&lt;Capa!$A$5,D2803&gt;Capa!$A$7,E2803&lt;Capa!$A$5,E2803&gt;Capa!$A$7,D2803&gt;E2803),"Erro","")</f>
        <v/>
      </c>
    </row>
    <row r="2804" spans="1:9" ht="30" hidden="1">
      <c r="A2804" s="345">
        <v>3326</v>
      </c>
      <c r="B2804" s="346" t="s">
        <v>288</v>
      </c>
      <c r="C2804" s="347">
        <v>100</v>
      </c>
      <c r="D2804" s="348">
        <v>46753</v>
      </c>
      <c r="E2804" s="348">
        <v>47058</v>
      </c>
      <c r="F2804" s="346" t="s">
        <v>616</v>
      </c>
      <c r="G2804" s="349" t="s">
        <v>452</v>
      </c>
      <c r="H2804" s="350">
        <f t="shared" si="57"/>
        <v>1100</v>
      </c>
      <c r="I2804" s="120" t="str">
        <f>IF(OR(D2804&lt;Capa!$A$5,D2804&gt;Capa!$A$7,E2804&lt;Capa!$A$5,E2804&gt;Capa!$A$7,D2804&gt;E2804),"Erro","")</f>
        <v/>
      </c>
    </row>
    <row r="2805" spans="1:9" ht="30" hidden="1">
      <c r="A2805" s="345">
        <v>3328</v>
      </c>
      <c r="B2805" s="346" t="s">
        <v>294</v>
      </c>
      <c r="C2805" s="347">
        <v>1500</v>
      </c>
      <c r="D2805" s="348">
        <v>45658</v>
      </c>
      <c r="E2805" s="348">
        <v>45992</v>
      </c>
      <c r="F2805" s="346" t="s">
        <v>616</v>
      </c>
      <c r="G2805" s="349" t="s">
        <v>453</v>
      </c>
      <c r="H2805" s="350">
        <f t="shared" si="57"/>
        <v>18000</v>
      </c>
      <c r="I2805" s="120" t="str">
        <f>IF(OR(D2805&lt;Capa!$A$5,D2805&gt;Capa!$A$7,E2805&lt;Capa!$A$5,E2805&gt;Capa!$A$7,D2805&gt;E2805),"Erro","")</f>
        <v/>
      </c>
    </row>
    <row r="2806" spans="1:9" ht="30" hidden="1">
      <c r="A2806" s="345">
        <v>3329</v>
      </c>
      <c r="B2806" s="346" t="s">
        <v>294</v>
      </c>
      <c r="C2806" s="347">
        <v>1500</v>
      </c>
      <c r="D2806" s="348">
        <v>46023</v>
      </c>
      <c r="E2806" s="348">
        <v>46357</v>
      </c>
      <c r="F2806" s="346" t="s">
        <v>616</v>
      </c>
      <c r="G2806" s="349" t="s">
        <v>453</v>
      </c>
      <c r="H2806" s="350">
        <f t="shared" si="57"/>
        <v>18000</v>
      </c>
      <c r="I2806" s="120" t="str">
        <f>IF(OR(D2806&lt;Capa!$A$5,D2806&gt;Capa!$A$7,E2806&lt;Capa!$A$5,E2806&gt;Capa!$A$7,D2806&gt;E2806),"Erro","")</f>
        <v/>
      </c>
    </row>
    <row r="2807" spans="1:9" ht="30" hidden="1">
      <c r="A2807" s="345">
        <v>3330</v>
      </c>
      <c r="B2807" s="346" t="s">
        <v>294</v>
      </c>
      <c r="C2807" s="347">
        <v>1500</v>
      </c>
      <c r="D2807" s="348">
        <v>46388</v>
      </c>
      <c r="E2807" s="348">
        <v>46722</v>
      </c>
      <c r="F2807" s="346" t="s">
        <v>616</v>
      </c>
      <c r="G2807" s="349" t="s">
        <v>453</v>
      </c>
      <c r="H2807" s="350">
        <f t="shared" si="57"/>
        <v>18000</v>
      </c>
      <c r="I2807" s="120" t="str">
        <f>IF(OR(D2807&lt;Capa!$A$5,D2807&gt;Capa!$A$7,E2807&lt;Capa!$A$5,E2807&gt;Capa!$A$7,D2807&gt;E2807),"Erro","")</f>
        <v/>
      </c>
    </row>
    <row r="2808" spans="1:9" ht="30" hidden="1">
      <c r="A2808" s="345">
        <v>3331</v>
      </c>
      <c r="B2808" s="346" t="s">
        <v>294</v>
      </c>
      <c r="C2808" s="347">
        <v>1500</v>
      </c>
      <c r="D2808" s="348">
        <v>46753</v>
      </c>
      <c r="E2808" s="348">
        <v>47058</v>
      </c>
      <c r="F2808" s="346" t="s">
        <v>616</v>
      </c>
      <c r="G2808" s="349" t="s">
        <v>453</v>
      </c>
      <c r="H2808" s="350">
        <f t="shared" si="57"/>
        <v>16500</v>
      </c>
      <c r="I2808" s="120" t="str">
        <f>IF(OR(D2808&lt;Capa!$A$5,D2808&gt;Capa!$A$7,E2808&lt;Capa!$A$5,E2808&gt;Capa!$A$7,D2808&gt;E2808),"Erro","")</f>
        <v/>
      </c>
    </row>
    <row r="2809" spans="1:9" ht="20" hidden="1">
      <c r="A2809" s="345">
        <v>3333</v>
      </c>
      <c r="B2809" s="346" t="s">
        <v>302</v>
      </c>
      <c r="C2809" s="347">
        <v>100</v>
      </c>
      <c r="D2809" s="348">
        <v>45658</v>
      </c>
      <c r="E2809" s="348">
        <v>45992</v>
      </c>
      <c r="F2809" s="346" t="s">
        <v>616</v>
      </c>
      <c r="G2809" s="349" t="s">
        <v>454</v>
      </c>
      <c r="H2809" s="350">
        <f t="shared" si="57"/>
        <v>1200</v>
      </c>
      <c r="I2809" s="120" t="str">
        <f>IF(OR(D2809&lt;Capa!$A$5,D2809&gt;Capa!$A$7,E2809&lt;Capa!$A$5,E2809&gt;Capa!$A$7,D2809&gt;E2809),"Erro","")</f>
        <v/>
      </c>
    </row>
    <row r="2810" spans="1:9" ht="20" hidden="1">
      <c r="A2810" s="345">
        <v>3334</v>
      </c>
      <c r="B2810" s="346" t="s">
        <v>302</v>
      </c>
      <c r="C2810" s="347">
        <v>100</v>
      </c>
      <c r="D2810" s="348">
        <v>46023</v>
      </c>
      <c r="E2810" s="348">
        <v>46357</v>
      </c>
      <c r="F2810" s="346" t="s">
        <v>616</v>
      </c>
      <c r="G2810" s="349" t="s">
        <v>454</v>
      </c>
      <c r="H2810" s="350">
        <f t="shared" si="57"/>
        <v>1200</v>
      </c>
      <c r="I2810" s="120" t="str">
        <f>IF(OR(D2810&lt;Capa!$A$5,D2810&gt;Capa!$A$7,E2810&lt;Capa!$A$5,E2810&gt;Capa!$A$7,D2810&gt;E2810),"Erro","")</f>
        <v/>
      </c>
    </row>
    <row r="2811" spans="1:9" ht="20" hidden="1">
      <c r="A2811" s="345">
        <v>3335</v>
      </c>
      <c r="B2811" s="346" t="s">
        <v>302</v>
      </c>
      <c r="C2811" s="347">
        <v>100</v>
      </c>
      <c r="D2811" s="348">
        <v>46388</v>
      </c>
      <c r="E2811" s="348">
        <v>46722</v>
      </c>
      <c r="F2811" s="346" t="s">
        <v>616</v>
      </c>
      <c r="G2811" s="349" t="s">
        <v>454</v>
      </c>
      <c r="H2811" s="350">
        <f t="shared" si="57"/>
        <v>1200</v>
      </c>
      <c r="I2811" s="120" t="str">
        <f>IF(OR(D2811&lt;Capa!$A$5,D2811&gt;Capa!$A$7,E2811&lt;Capa!$A$5,E2811&gt;Capa!$A$7,D2811&gt;E2811),"Erro","")</f>
        <v/>
      </c>
    </row>
    <row r="2812" spans="1:9" ht="20" hidden="1">
      <c r="A2812" s="345">
        <v>3336</v>
      </c>
      <c r="B2812" s="346" t="s">
        <v>302</v>
      </c>
      <c r="C2812" s="347">
        <v>50</v>
      </c>
      <c r="D2812" s="348">
        <v>46753</v>
      </c>
      <c r="E2812" s="348">
        <v>47058</v>
      </c>
      <c r="F2812" s="346" t="s">
        <v>616</v>
      </c>
      <c r="G2812" s="349" t="s">
        <v>454</v>
      </c>
      <c r="H2812" s="350">
        <f t="shared" si="57"/>
        <v>550</v>
      </c>
      <c r="I2812" s="120" t="str">
        <f>IF(OR(D2812&lt;Capa!$A$5,D2812&gt;Capa!$A$7,E2812&lt;Capa!$A$5,E2812&gt;Capa!$A$7,D2812&gt;E2812),"Erro","")</f>
        <v/>
      </c>
    </row>
    <row r="2813" spans="1:9" ht="30" hidden="1">
      <c r="A2813" s="345">
        <v>3338</v>
      </c>
      <c r="B2813" s="346" t="s">
        <v>304</v>
      </c>
      <c r="C2813" s="347">
        <v>1000</v>
      </c>
      <c r="D2813" s="348">
        <v>45658</v>
      </c>
      <c r="E2813" s="348">
        <v>45992</v>
      </c>
      <c r="F2813" s="346" t="s">
        <v>616</v>
      </c>
      <c r="G2813" s="349" t="s">
        <v>455</v>
      </c>
      <c r="H2813" s="350">
        <f t="shared" si="57"/>
        <v>12000</v>
      </c>
      <c r="I2813" s="120" t="str">
        <f>IF(OR(D2813&lt;Capa!$A$5,D2813&gt;Capa!$A$7,E2813&lt;Capa!$A$5,E2813&gt;Capa!$A$7,D2813&gt;E2813),"Erro","")</f>
        <v/>
      </c>
    </row>
    <row r="2814" spans="1:9" ht="30" hidden="1">
      <c r="A2814" s="345">
        <v>3339</v>
      </c>
      <c r="B2814" s="346" t="s">
        <v>304</v>
      </c>
      <c r="C2814" s="347">
        <v>1000</v>
      </c>
      <c r="D2814" s="348">
        <v>46023</v>
      </c>
      <c r="E2814" s="348">
        <v>46357</v>
      </c>
      <c r="F2814" s="346" t="s">
        <v>616</v>
      </c>
      <c r="G2814" s="349" t="s">
        <v>455</v>
      </c>
      <c r="H2814" s="350">
        <f t="shared" si="57"/>
        <v>12000</v>
      </c>
      <c r="I2814" s="120" t="str">
        <f>IF(OR(D2814&lt;Capa!$A$5,D2814&gt;Capa!$A$7,E2814&lt;Capa!$A$5,E2814&gt;Capa!$A$7,D2814&gt;E2814),"Erro","")</f>
        <v/>
      </c>
    </row>
    <row r="2815" spans="1:9" ht="30" hidden="1">
      <c r="A2815" s="345">
        <v>3340</v>
      </c>
      <c r="B2815" s="346" t="s">
        <v>304</v>
      </c>
      <c r="C2815" s="347">
        <v>1000</v>
      </c>
      <c r="D2815" s="348">
        <v>46388</v>
      </c>
      <c r="E2815" s="348">
        <v>46722</v>
      </c>
      <c r="F2815" s="346" t="s">
        <v>616</v>
      </c>
      <c r="G2815" s="349" t="s">
        <v>455</v>
      </c>
      <c r="H2815" s="350">
        <f t="shared" si="57"/>
        <v>12000</v>
      </c>
      <c r="I2815" s="120" t="str">
        <f>IF(OR(D2815&lt;Capa!$A$5,D2815&gt;Capa!$A$7,E2815&lt;Capa!$A$5,E2815&gt;Capa!$A$7,D2815&gt;E2815),"Erro","")</f>
        <v/>
      </c>
    </row>
    <row r="2816" spans="1:9" ht="30" hidden="1">
      <c r="A2816" s="345">
        <v>3341</v>
      </c>
      <c r="B2816" s="346" t="s">
        <v>304</v>
      </c>
      <c r="C2816" s="347">
        <v>500</v>
      </c>
      <c r="D2816" s="348">
        <v>46753</v>
      </c>
      <c r="E2816" s="348">
        <v>47058</v>
      </c>
      <c r="F2816" s="346" t="s">
        <v>616</v>
      </c>
      <c r="G2816" s="349" t="s">
        <v>455</v>
      </c>
      <c r="H2816" s="350">
        <f t="shared" si="57"/>
        <v>5500</v>
      </c>
      <c r="I2816" s="120" t="str">
        <f>IF(OR(D2816&lt;Capa!$A$5,D2816&gt;Capa!$A$7,E2816&lt;Capa!$A$5,E2816&gt;Capa!$A$7,D2816&gt;E2816),"Erro","")</f>
        <v/>
      </c>
    </row>
    <row r="2817" spans="1:9" ht="30" hidden="1">
      <c r="A2817" s="345">
        <v>3342</v>
      </c>
      <c r="B2817" s="346" t="s">
        <v>312</v>
      </c>
      <c r="C2817" s="347">
        <v>200</v>
      </c>
      <c r="D2817" s="348">
        <v>45658</v>
      </c>
      <c r="E2817" s="348">
        <v>45992</v>
      </c>
      <c r="F2817" s="346" t="s">
        <v>616</v>
      </c>
      <c r="G2817" s="349" t="s">
        <v>571</v>
      </c>
      <c r="H2817" s="350">
        <f t="shared" ref="H2817:H3019" si="58">IFERROR((DATEDIF(D2817,E2817,"M")+1)*C2817,0)</f>
        <v>2400</v>
      </c>
      <c r="I2817" s="120" t="str">
        <f>IF(OR(D2817&lt;Capa!$A$5,D2817&gt;Capa!$A$7,E2817&lt;Capa!$A$5,E2817&gt;Capa!$A$7,D2817&gt;E2817),"Erro","")</f>
        <v/>
      </c>
    </row>
    <row r="2818" spans="1:9" ht="30" hidden="1">
      <c r="A2818" s="345">
        <v>3343</v>
      </c>
      <c r="B2818" s="346" t="s">
        <v>312</v>
      </c>
      <c r="C2818" s="347">
        <v>200</v>
      </c>
      <c r="D2818" s="348">
        <v>46023</v>
      </c>
      <c r="E2818" s="348">
        <v>46357</v>
      </c>
      <c r="F2818" s="346" t="s">
        <v>616</v>
      </c>
      <c r="G2818" s="349" t="s">
        <v>571</v>
      </c>
      <c r="H2818" s="350">
        <f t="shared" si="58"/>
        <v>2400</v>
      </c>
      <c r="I2818" s="120" t="str">
        <f>IF(OR(D2818&lt;Capa!$A$5,D2818&gt;Capa!$A$7,E2818&lt;Capa!$A$5,E2818&gt;Capa!$A$7,D2818&gt;E2818),"Erro","")</f>
        <v/>
      </c>
    </row>
    <row r="2819" spans="1:9" ht="30" hidden="1">
      <c r="A2819" s="345">
        <v>3344</v>
      </c>
      <c r="B2819" s="346" t="s">
        <v>312</v>
      </c>
      <c r="C2819" s="347">
        <v>200</v>
      </c>
      <c r="D2819" s="348">
        <v>46388</v>
      </c>
      <c r="E2819" s="348">
        <v>46722</v>
      </c>
      <c r="F2819" s="346" t="s">
        <v>616</v>
      </c>
      <c r="G2819" s="349" t="s">
        <v>571</v>
      </c>
      <c r="H2819" s="350">
        <f t="shared" si="58"/>
        <v>2400</v>
      </c>
      <c r="I2819" s="120" t="str">
        <f>IF(OR(D2819&lt;Capa!$A$5,D2819&gt;Capa!$A$7,E2819&lt;Capa!$A$5,E2819&gt;Capa!$A$7,D2819&gt;E2819),"Erro","")</f>
        <v/>
      </c>
    </row>
    <row r="2820" spans="1:9" ht="30" hidden="1">
      <c r="A2820" s="345">
        <v>3345</v>
      </c>
      <c r="B2820" s="346" t="s">
        <v>312</v>
      </c>
      <c r="C2820" s="347">
        <v>100</v>
      </c>
      <c r="D2820" s="348">
        <v>46753</v>
      </c>
      <c r="E2820" s="348">
        <v>47058</v>
      </c>
      <c r="F2820" s="346" t="s">
        <v>616</v>
      </c>
      <c r="G2820" s="349" t="s">
        <v>571</v>
      </c>
      <c r="H2820" s="350">
        <f t="shared" si="58"/>
        <v>1100</v>
      </c>
      <c r="I2820" s="120" t="str">
        <f>IF(OR(D2820&lt;Capa!$A$5,D2820&gt;Capa!$A$7,E2820&lt;Capa!$A$5,E2820&gt;Capa!$A$7,D2820&gt;E2820),"Erro","")</f>
        <v/>
      </c>
    </row>
    <row r="2821" spans="1:9" ht="50" hidden="1">
      <c r="A2821" s="345">
        <v>3347</v>
      </c>
      <c r="B2821" s="346" t="s">
        <v>316</v>
      </c>
      <c r="C2821" s="347">
        <v>800</v>
      </c>
      <c r="D2821" s="348">
        <v>45658</v>
      </c>
      <c r="E2821" s="348">
        <v>45992</v>
      </c>
      <c r="F2821" s="346" t="s">
        <v>616</v>
      </c>
      <c r="G2821" s="349" t="s">
        <v>741</v>
      </c>
      <c r="H2821" s="350">
        <f t="shared" si="58"/>
        <v>9600</v>
      </c>
      <c r="I2821" s="120" t="str">
        <f>IF(OR(D2821&lt;Capa!$A$5,D2821&gt;Capa!$A$7,E2821&lt;Capa!$A$5,E2821&gt;Capa!$A$7,D2821&gt;E2821),"Erro","")</f>
        <v/>
      </c>
    </row>
    <row r="2822" spans="1:9" ht="50" hidden="1">
      <c r="A2822" s="345">
        <v>3348</v>
      </c>
      <c r="B2822" s="346" t="s">
        <v>316</v>
      </c>
      <c r="C2822" s="347">
        <v>800</v>
      </c>
      <c r="D2822" s="348">
        <v>46023</v>
      </c>
      <c r="E2822" s="348">
        <v>46357</v>
      </c>
      <c r="F2822" s="346" t="s">
        <v>616</v>
      </c>
      <c r="G2822" s="349" t="s">
        <v>741</v>
      </c>
      <c r="H2822" s="350">
        <f t="shared" si="58"/>
        <v>9600</v>
      </c>
      <c r="I2822" s="120" t="str">
        <f>IF(OR(D2822&lt;Capa!$A$5,D2822&gt;Capa!$A$7,E2822&lt;Capa!$A$5,E2822&gt;Capa!$A$7,D2822&gt;E2822),"Erro","")</f>
        <v/>
      </c>
    </row>
    <row r="2823" spans="1:9" ht="50" hidden="1">
      <c r="A2823" s="345">
        <v>3349</v>
      </c>
      <c r="B2823" s="346" t="s">
        <v>316</v>
      </c>
      <c r="C2823" s="347">
        <v>800</v>
      </c>
      <c r="D2823" s="348">
        <v>46388</v>
      </c>
      <c r="E2823" s="348">
        <v>46722</v>
      </c>
      <c r="F2823" s="346" t="s">
        <v>616</v>
      </c>
      <c r="G2823" s="349" t="s">
        <v>741</v>
      </c>
      <c r="H2823" s="350">
        <f t="shared" si="58"/>
        <v>9600</v>
      </c>
      <c r="I2823" s="120" t="str">
        <f>IF(OR(D2823&lt;Capa!$A$5,D2823&gt;Capa!$A$7,E2823&lt;Capa!$A$5,E2823&gt;Capa!$A$7,D2823&gt;E2823),"Erro","")</f>
        <v/>
      </c>
    </row>
    <row r="2824" spans="1:9" ht="50" hidden="1">
      <c r="A2824" s="345">
        <v>3350</v>
      </c>
      <c r="B2824" s="346" t="s">
        <v>316</v>
      </c>
      <c r="C2824" s="347">
        <v>400</v>
      </c>
      <c r="D2824" s="348">
        <v>46753</v>
      </c>
      <c r="E2824" s="348">
        <v>47058</v>
      </c>
      <c r="F2824" s="346" t="s">
        <v>616</v>
      </c>
      <c r="G2824" s="349" t="s">
        <v>741</v>
      </c>
      <c r="H2824" s="350">
        <f t="shared" si="58"/>
        <v>4400</v>
      </c>
      <c r="I2824" s="120" t="str">
        <f>IF(OR(D2824&lt;Capa!$A$5,D2824&gt;Capa!$A$7,E2824&lt;Capa!$A$5,E2824&gt;Capa!$A$7,D2824&gt;E2824),"Erro","")</f>
        <v/>
      </c>
    </row>
    <row r="2825" spans="1:9" ht="50" hidden="1">
      <c r="A2825" s="345">
        <v>3352</v>
      </c>
      <c r="B2825" s="346" t="s">
        <v>318</v>
      </c>
      <c r="C2825" s="347">
        <v>700</v>
      </c>
      <c r="D2825" s="348">
        <v>45658</v>
      </c>
      <c r="E2825" s="348">
        <v>45992</v>
      </c>
      <c r="F2825" s="346" t="s">
        <v>616</v>
      </c>
      <c r="G2825" s="349" t="s">
        <v>456</v>
      </c>
      <c r="H2825" s="350">
        <f t="shared" si="58"/>
        <v>8400</v>
      </c>
      <c r="I2825" s="120" t="str">
        <f>IF(OR(D2825&lt;Capa!$A$5,D2825&gt;Capa!$A$7,E2825&lt;Capa!$A$5,E2825&gt;Capa!$A$7,D2825&gt;E2825),"Erro","")</f>
        <v/>
      </c>
    </row>
    <row r="2826" spans="1:9" ht="50" hidden="1">
      <c r="A2826" s="345">
        <v>3353</v>
      </c>
      <c r="B2826" s="346" t="s">
        <v>318</v>
      </c>
      <c r="C2826" s="347">
        <v>700</v>
      </c>
      <c r="D2826" s="348">
        <v>46023</v>
      </c>
      <c r="E2826" s="348">
        <v>46357</v>
      </c>
      <c r="F2826" s="346" t="s">
        <v>616</v>
      </c>
      <c r="G2826" s="349" t="s">
        <v>456</v>
      </c>
      <c r="H2826" s="350">
        <f t="shared" si="58"/>
        <v>8400</v>
      </c>
      <c r="I2826" s="120" t="str">
        <f>IF(OR(D2826&lt;Capa!$A$5,D2826&gt;Capa!$A$7,E2826&lt;Capa!$A$5,E2826&gt;Capa!$A$7,D2826&gt;E2826),"Erro","")</f>
        <v/>
      </c>
    </row>
    <row r="2827" spans="1:9" ht="50" hidden="1">
      <c r="A2827" s="345">
        <v>3354</v>
      </c>
      <c r="B2827" s="346" t="s">
        <v>318</v>
      </c>
      <c r="C2827" s="347">
        <v>700</v>
      </c>
      <c r="D2827" s="348">
        <v>46388</v>
      </c>
      <c r="E2827" s="348">
        <v>46722</v>
      </c>
      <c r="F2827" s="346" t="s">
        <v>616</v>
      </c>
      <c r="G2827" s="349" t="s">
        <v>456</v>
      </c>
      <c r="H2827" s="350">
        <f t="shared" si="58"/>
        <v>8400</v>
      </c>
      <c r="I2827" s="120" t="str">
        <f>IF(OR(D2827&lt;Capa!$A$5,D2827&gt;Capa!$A$7,E2827&lt;Capa!$A$5,E2827&gt;Capa!$A$7,D2827&gt;E2827),"Erro","")</f>
        <v/>
      </c>
    </row>
    <row r="2828" spans="1:9" ht="50" hidden="1">
      <c r="A2828" s="345">
        <v>3355</v>
      </c>
      <c r="B2828" s="346" t="s">
        <v>318</v>
      </c>
      <c r="C2828" s="347">
        <v>250</v>
      </c>
      <c r="D2828" s="348">
        <v>46753</v>
      </c>
      <c r="E2828" s="348">
        <v>47058</v>
      </c>
      <c r="F2828" s="346" t="s">
        <v>616</v>
      </c>
      <c r="G2828" s="349" t="s">
        <v>456</v>
      </c>
      <c r="H2828" s="350">
        <f t="shared" si="58"/>
        <v>2750</v>
      </c>
      <c r="I2828" s="120" t="str">
        <f>IF(OR(D2828&lt;Capa!$A$5,D2828&gt;Capa!$A$7,E2828&lt;Capa!$A$5,E2828&gt;Capa!$A$7,D2828&gt;E2828),"Erro","")</f>
        <v/>
      </c>
    </row>
    <row r="2829" spans="1:9" ht="50" hidden="1">
      <c r="A2829" s="345">
        <v>3357</v>
      </c>
      <c r="B2829" s="346" t="s">
        <v>318</v>
      </c>
      <c r="C2829" s="347">
        <v>1000</v>
      </c>
      <c r="D2829" s="348">
        <v>45658</v>
      </c>
      <c r="E2829" s="348">
        <v>45992</v>
      </c>
      <c r="F2829" s="346" t="s">
        <v>616</v>
      </c>
      <c r="G2829" s="349" t="s">
        <v>572</v>
      </c>
      <c r="H2829" s="350">
        <f t="shared" si="58"/>
        <v>12000</v>
      </c>
      <c r="I2829" s="120" t="str">
        <f>IF(OR(D2829&lt;Capa!$A$5,D2829&gt;Capa!$A$7,E2829&lt;Capa!$A$5,E2829&gt;Capa!$A$7,D2829&gt;E2829),"Erro","")</f>
        <v/>
      </c>
    </row>
    <row r="2830" spans="1:9" ht="50" hidden="1">
      <c r="A2830" s="345">
        <v>3358</v>
      </c>
      <c r="B2830" s="346" t="s">
        <v>318</v>
      </c>
      <c r="C2830" s="347">
        <v>1000</v>
      </c>
      <c r="D2830" s="348">
        <v>46023</v>
      </c>
      <c r="E2830" s="348">
        <v>46357</v>
      </c>
      <c r="F2830" s="346" t="s">
        <v>616</v>
      </c>
      <c r="G2830" s="349" t="s">
        <v>572</v>
      </c>
      <c r="H2830" s="350">
        <f t="shared" si="58"/>
        <v>12000</v>
      </c>
      <c r="I2830" s="120" t="str">
        <f>IF(OR(D2830&lt;Capa!$A$5,D2830&gt;Capa!$A$7,E2830&lt;Capa!$A$5,E2830&gt;Capa!$A$7,D2830&gt;E2830),"Erro","")</f>
        <v/>
      </c>
    </row>
    <row r="2831" spans="1:9" ht="50" hidden="1">
      <c r="A2831" s="345">
        <v>3359</v>
      </c>
      <c r="B2831" s="346" t="s">
        <v>318</v>
      </c>
      <c r="C2831" s="347">
        <v>1000</v>
      </c>
      <c r="D2831" s="348">
        <v>46388</v>
      </c>
      <c r="E2831" s="348">
        <v>46722</v>
      </c>
      <c r="F2831" s="346" t="s">
        <v>616</v>
      </c>
      <c r="G2831" s="349" t="s">
        <v>572</v>
      </c>
      <c r="H2831" s="350">
        <f t="shared" si="58"/>
        <v>12000</v>
      </c>
      <c r="I2831" s="120" t="str">
        <f>IF(OR(D2831&lt;Capa!$A$5,D2831&gt;Capa!$A$7,E2831&lt;Capa!$A$5,E2831&gt;Capa!$A$7,D2831&gt;E2831),"Erro","")</f>
        <v/>
      </c>
    </row>
    <row r="2832" spans="1:9" ht="50" hidden="1">
      <c r="A2832" s="345">
        <v>3360</v>
      </c>
      <c r="B2832" s="346" t="s">
        <v>318</v>
      </c>
      <c r="C2832" s="347">
        <v>200</v>
      </c>
      <c r="D2832" s="348">
        <v>46753</v>
      </c>
      <c r="E2832" s="348">
        <v>47058</v>
      </c>
      <c r="F2832" s="346" t="s">
        <v>616</v>
      </c>
      <c r="G2832" s="349" t="s">
        <v>572</v>
      </c>
      <c r="H2832" s="350">
        <f t="shared" si="58"/>
        <v>2200</v>
      </c>
      <c r="I2832" s="120" t="str">
        <f>IF(OR(D2832&lt;Capa!$A$5,D2832&gt;Capa!$A$7,E2832&lt;Capa!$A$5,E2832&gt;Capa!$A$7,D2832&gt;E2832),"Erro","")</f>
        <v/>
      </c>
    </row>
    <row r="2833" spans="1:9" ht="20" hidden="1">
      <c r="A2833" s="345">
        <v>3362</v>
      </c>
      <c r="B2833" s="346" t="s">
        <v>298</v>
      </c>
      <c r="C2833" s="347">
        <v>2450</v>
      </c>
      <c r="D2833" s="348">
        <v>45658</v>
      </c>
      <c r="E2833" s="348">
        <v>45992</v>
      </c>
      <c r="F2833" s="346" t="s">
        <v>616</v>
      </c>
      <c r="G2833" s="349" t="s">
        <v>457</v>
      </c>
      <c r="H2833" s="350">
        <f t="shared" si="58"/>
        <v>29400</v>
      </c>
      <c r="I2833" s="120" t="str">
        <f>IF(OR(D2833&lt;Capa!$A$5,D2833&gt;Capa!$A$7,E2833&lt;Capa!$A$5,E2833&gt;Capa!$A$7,D2833&gt;E2833),"Erro","")</f>
        <v/>
      </c>
    </row>
    <row r="2834" spans="1:9" ht="20" hidden="1">
      <c r="A2834" s="345">
        <v>3363</v>
      </c>
      <c r="B2834" s="346" t="s">
        <v>298</v>
      </c>
      <c r="C2834" s="347">
        <v>2450</v>
      </c>
      <c r="D2834" s="348">
        <v>46023</v>
      </c>
      <c r="E2834" s="348">
        <v>46357</v>
      </c>
      <c r="F2834" s="346" t="s">
        <v>616</v>
      </c>
      <c r="G2834" s="349" t="s">
        <v>457</v>
      </c>
      <c r="H2834" s="350">
        <f t="shared" si="58"/>
        <v>29400</v>
      </c>
      <c r="I2834" s="120" t="str">
        <f>IF(OR(D2834&lt;Capa!$A$5,D2834&gt;Capa!$A$7,E2834&lt;Capa!$A$5,E2834&gt;Capa!$A$7,D2834&gt;E2834),"Erro","")</f>
        <v/>
      </c>
    </row>
    <row r="2835" spans="1:9" ht="20" hidden="1">
      <c r="A2835" s="345">
        <v>3364</v>
      </c>
      <c r="B2835" s="346" t="s">
        <v>298</v>
      </c>
      <c r="C2835" s="347">
        <v>2450</v>
      </c>
      <c r="D2835" s="348">
        <v>46388</v>
      </c>
      <c r="E2835" s="348">
        <v>46722</v>
      </c>
      <c r="F2835" s="346" t="s">
        <v>616</v>
      </c>
      <c r="G2835" s="349" t="s">
        <v>457</v>
      </c>
      <c r="H2835" s="350">
        <f t="shared" si="58"/>
        <v>29400</v>
      </c>
      <c r="I2835" s="120" t="str">
        <f>IF(OR(D2835&lt;Capa!$A$5,D2835&gt;Capa!$A$7,E2835&lt;Capa!$A$5,E2835&gt;Capa!$A$7,D2835&gt;E2835),"Erro","")</f>
        <v/>
      </c>
    </row>
    <row r="2836" spans="1:9" ht="20" hidden="1">
      <c r="A2836" s="345">
        <v>3365</v>
      </c>
      <c r="B2836" s="346" t="s">
        <v>298</v>
      </c>
      <c r="C2836" s="347">
        <v>1250</v>
      </c>
      <c r="D2836" s="348">
        <v>46753</v>
      </c>
      <c r="E2836" s="348">
        <v>47058</v>
      </c>
      <c r="F2836" s="346" t="s">
        <v>616</v>
      </c>
      <c r="G2836" s="349" t="s">
        <v>457</v>
      </c>
      <c r="H2836" s="350">
        <f t="shared" si="58"/>
        <v>13750</v>
      </c>
      <c r="I2836" s="120" t="str">
        <f>IF(OR(D2836&lt;Capa!$A$5,D2836&gt;Capa!$A$7,E2836&lt;Capa!$A$5,E2836&gt;Capa!$A$7,D2836&gt;E2836),"Erro","")</f>
        <v/>
      </c>
    </row>
    <row r="2837" spans="1:9" ht="30" hidden="1">
      <c r="A2837" s="345">
        <v>3366</v>
      </c>
      <c r="B2837" s="346" t="s">
        <v>238</v>
      </c>
      <c r="C2837" s="347">
        <v>480</v>
      </c>
      <c r="D2837" s="348">
        <v>45658</v>
      </c>
      <c r="E2837" s="348">
        <v>45992</v>
      </c>
      <c r="F2837" s="346" t="s">
        <v>616</v>
      </c>
      <c r="G2837" s="349" t="s">
        <v>458</v>
      </c>
      <c r="H2837" s="350">
        <f t="shared" si="58"/>
        <v>5760</v>
      </c>
      <c r="I2837" s="120" t="str">
        <f>IF(OR(D2837&lt;Capa!$A$5,D2837&gt;Capa!$A$7,E2837&lt;Capa!$A$5,E2837&gt;Capa!$A$7,D2837&gt;E2837),"Erro","")</f>
        <v/>
      </c>
    </row>
    <row r="2838" spans="1:9" ht="30" hidden="1">
      <c r="A2838" s="345">
        <v>3367</v>
      </c>
      <c r="B2838" s="346" t="s">
        <v>238</v>
      </c>
      <c r="C2838" s="347">
        <v>480</v>
      </c>
      <c r="D2838" s="348">
        <v>46023</v>
      </c>
      <c r="E2838" s="348">
        <v>46357</v>
      </c>
      <c r="F2838" s="346" t="s">
        <v>616</v>
      </c>
      <c r="G2838" s="349" t="s">
        <v>458</v>
      </c>
      <c r="H2838" s="350">
        <f t="shared" si="58"/>
        <v>5760</v>
      </c>
      <c r="I2838" s="120" t="str">
        <f>IF(OR(D2838&lt;Capa!$A$5,D2838&gt;Capa!$A$7,E2838&lt;Capa!$A$5,E2838&gt;Capa!$A$7,D2838&gt;E2838),"Erro","")</f>
        <v/>
      </c>
    </row>
    <row r="2839" spans="1:9" ht="30" hidden="1">
      <c r="A2839" s="345">
        <v>3368</v>
      </c>
      <c r="B2839" s="346" t="s">
        <v>238</v>
      </c>
      <c r="C2839" s="347">
        <v>480</v>
      </c>
      <c r="D2839" s="348">
        <v>46388</v>
      </c>
      <c r="E2839" s="348">
        <v>46722</v>
      </c>
      <c r="F2839" s="346" t="s">
        <v>616</v>
      </c>
      <c r="G2839" s="349" t="s">
        <v>458</v>
      </c>
      <c r="H2839" s="350">
        <f t="shared" si="58"/>
        <v>5760</v>
      </c>
      <c r="I2839" s="120" t="str">
        <f>IF(OR(D2839&lt;Capa!$A$5,D2839&gt;Capa!$A$7,E2839&lt;Capa!$A$5,E2839&gt;Capa!$A$7,D2839&gt;E2839),"Erro","")</f>
        <v/>
      </c>
    </row>
    <row r="2840" spans="1:9" ht="30" hidden="1">
      <c r="A2840" s="345">
        <v>3369</v>
      </c>
      <c r="B2840" s="346" t="s">
        <v>238</v>
      </c>
      <c r="C2840" s="347">
        <v>240</v>
      </c>
      <c r="D2840" s="348">
        <v>46753</v>
      </c>
      <c r="E2840" s="348">
        <v>47058</v>
      </c>
      <c r="F2840" s="346" t="s">
        <v>616</v>
      </c>
      <c r="G2840" s="349" t="s">
        <v>458</v>
      </c>
      <c r="H2840" s="350">
        <f t="shared" si="58"/>
        <v>2640</v>
      </c>
      <c r="I2840" s="120" t="str">
        <f>IF(OR(D2840&lt;Capa!$A$5,D2840&gt;Capa!$A$7,E2840&lt;Capa!$A$5,E2840&gt;Capa!$A$7,D2840&gt;E2840),"Erro","")</f>
        <v/>
      </c>
    </row>
    <row r="2841" spans="1:9" ht="40" hidden="1">
      <c r="A2841" s="345">
        <v>3371</v>
      </c>
      <c r="B2841" s="346" t="s">
        <v>252</v>
      </c>
      <c r="C2841" s="347">
        <v>8000</v>
      </c>
      <c r="D2841" s="348">
        <v>45658</v>
      </c>
      <c r="E2841" s="348">
        <v>45992</v>
      </c>
      <c r="F2841" s="346" t="s">
        <v>616</v>
      </c>
      <c r="G2841" s="349" t="s">
        <v>459</v>
      </c>
      <c r="H2841" s="350">
        <f t="shared" si="58"/>
        <v>96000</v>
      </c>
      <c r="I2841" s="120" t="str">
        <f>IF(OR(D2841&lt;Capa!$A$5,D2841&gt;Capa!$A$7,E2841&lt;Capa!$A$5,E2841&gt;Capa!$A$7,D2841&gt;E2841),"Erro","")</f>
        <v/>
      </c>
    </row>
    <row r="2842" spans="1:9" ht="40" hidden="1">
      <c r="A2842" s="345">
        <v>3372</v>
      </c>
      <c r="B2842" s="346" t="s">
        <v>252</v>
      </c>
      <c r="C2842" s="347">
        <v>8000</v>
      </c>
      <c r="D2842" s="348">
        <v>46023</v>
      </c>
      <c r="E2842" s="348">
        <v>46357</v>
      </c>
      <c r="F2842" s="346" t="s">
        <v>616</v>
      </c>
      <c r="G2842" s="349" t="s">
        <v>459</v>
      </c>
      <c r="H2842" s="350">
        <f t="shared" si="58"/>
        <v>96000</v>
      </c>
      <c r="I2842" s="120" t="str">
        <f>IF(OR(D2842&lt;Capa!$A$5,D2842&gt;Capa!$A$7,E2842&lt;Capa!$A$5,E2842&gt;Capa!$A$7,D2842&gt;E2842),"Erro","")</f>
        <v/>
      </c>
    </row>
    <row r="2843" spans="1:9" ht="40" hidden="1">
      <c r="A2843" s="345">
        <v>3373</v>
      </c>
      <c r="B2843" s="346" t="s">
        <v>252</v>
      </c>
      <c r="C2843" s="347">
        <v>8000</v>
      </c>
      <c r="D2843" s="348">
        <v>46388</v>
      </c>
      <c r="E2843" s="348">
        <v>46722</v>
      </c>
      <c r="F2843" s="346" t="s">
        <v>616</v>
      </c>
      <c r="G2843" s="349" t="s">
        <v>459</v>
      </c>
      <c r="H2843" s="350">
        <f t="shared" si="58"/>
        <v>96000</v>
      </c>
      <c r="I2843" s="120" t="str">
        <f>IF(OR(D2843&lt;Capa!$A$5,D2843&gt;Capa!$A$7,E2843&lt;Capa!$A$5,E2843&gt;Capa!$A$7,D2843&gt;E2843),"Erro","")</f>
        <v/>
      </c>
    </row>
    <row r="2844" spans="1:9" ht="40" hidden="1">
      <c r="A2844" s="345">
        <v>3374</v>
      </c>
      <c r="B2844" s="346" t="s">
        <v>252</v>
      </c>
      <c r="C2844" s="347">
        <v>4000</v>
      </c>
      <c r="D2844" s="348">
        <v>46753</v>
      </c>
      <c r="E2844" s="348">
        <v>47058</v>
      </c>
      <c r="F2844" s="346" t="s">
        <v>616</v>
      </c>
      <c r="G2844" s="349" t="s">
        <v>459</v>
      </c>
      <c r="H2844" s="350">
        <f t="shared" si="58"/>
        <v>44000</v>
      </c>
      <c r="I2844" s="120" t="str">
        <f>IF(OR(D2844&lt;Capa!$A$5,D2844&gt;Capa!$A$7,E2844&lt;Capa!$A$5,E2844&gt;Capa!$A$7,D2844&gt;E2844),"Erro","")</f>
        <v/>
      </c>
    </row>
    <row r="2845" spans="1:9" ht="30" hidden="1">
      <c r="A2845" s="345">
        <v>3377</v>
      </c>
      <c r="B2845" s="346" t="s">
        <v>621</v>
      </c>
      <c r="C2845" s="347">
        <v>2000</v>
      </c>
      <c r="D2845" s="348">
        <v>46023</v>
      </c>
      <c r="E2845" s="348">
        <v>46023</v>
      </c>
      <c r="F2845" s="346" t="s">
        <v>616</v>
      </c>
      <c r="G2845" s="349" t="s">
        <v>595</v>
      </c>
      <c r="H2845" s="350">
        <f t="shared" si="58"/>
        <v>2000</v>
      </c>
      <c r="I2845" s="120" t="str">
        <f>IF(OR(D2845&lt;Capa!$A$5,D2845&gt;Capa!$A$7,E2845&lt;Capa!$A$5,E2845&gt;Capa!$A$7,D2845&gt;E2845),"Erro","")</f>
        <v/>
      </c>
    </row>
    <row r="2846" spans="1:9" ht="30" hidden="1">
      <c r="A2846" s="345">
        <v>3378</v>
      </c>
      <c r="B2846" s="346" t="s">
        <v>621</v>
      </c>
      <c r="C2846" s="347">
        <v>2000</v>
      </c>
      <c r="D2846" s="348">
        <v>46753</v>
      </c>
      <c r="E2846" s="348">
        <v>46753</v>
      </c>
      <c r="F2846" s="346" t="s">
        <v>616</v>
      </c>
      <c r="G2846" s="349" t="s">
        <v>595</v>
      </c>
      <c r="H2846" s="350">
        <f t="shared" si="58"/>
        <v>2000</v>
      </c>
      <c r="I2846" s="120" t="str">
        <f>IF(OR(D2846&lt;Capa!$A$5,D2846&gt;Capa!$A$7,E2846&lt;Capa!$A$5,E2846&gt;Capa!$A$7,D2846&gt;E2846),"Erro","")</f>
        <v/>
      </c>
    </row>
    <row r="2847" spans="1:9" ht="20" hidden="1">
      <c r="A2847" s="345">
        <v>3379</v>
      </c>
      <c r="B2847" s="346" t="s">
        <v>620</v>
      </c>
      <c r="C2847" s="347">
        <v>110</v>
      </c>
      <c r="D2847" s="348">
        <v>45658</v>
      </c>
      <c r="E2847" s="348">
        <v>47058</v>
      </c>
      <c r="F2847" s="346" t="s">
        <v>616</v>
      </c>
      <c r="G2847" s="349" t="s">
        <v>662</v>
      </c>
      <c r="H2847" s="350">
        <f t="shared" si="58"/>
        <v>5170</v>
      </c>
      <c r="I2847" s="120" t="str">
        <f>IF(OR(D2847&lt;Capa!$A$5,D2847&gt;Capa!$A$7,E2847&lt;Capa!$A$5,E2847&gt;Capa!$A$7,D2847&gt;E2847),"Erro","")</f>
        <v/>
      </c>
    </row>
    <row r="2848" spans="1:9" ht="20" hidden="1">
      <c r="A2848" s="345">
        <v>3381</v>
      </c>
      <c r="B2848" s="346" t="s">
        <v>622</v>
      </c>
      <c r="C2848" s="347">
        <v>850</v>
      </c>
      <c r="D2848" s="348">
        <v>45658</v>
      </c>
      <c r="E2848" s="348">
        <v>47058</v>
      </c>
      <c r="F2848" s="346" t="s">
        <v>616</v>
      </c>
      <c r="G2848" s="349" t="s">
        <v>664</v>
      </c>
      <c r="H2848" s="350">
        <f t="shared" si="58"/>
        <v>39950</v>
      </c>
      <c r="I2848" s="120" t="str">
        <f>IF(OR(D2848&lt;Capa!$A$5,D2848&gt;Capa!$A$7,E2848&lt;Capa!$A$5,E2848&gt;Capa!$A$7,D2848&gt;E2848),"Erro","")</f>
        <v/>
      </c>
    </row>
    <row r="2849" spans="1:9" ht="30" hidden="1">
      <c r="A2849" s="345">
        <v>3382</v>
      </c>
      <c r="B2849" s="346" t="s">
        <v>617</v>
      </c>
      <c r="C2849" s="347">
        <v>200</v>
      </c>
      <c r="D2849" s="348">
        <v>45658</v>
      </c>
      <c r="E2849" s="348">
        <v>47058</v>
      </c>
      <c r="F2849" s="346" t="s">
        <v>616</v>
      </c>
      <c r="G2849" s="349" t="s">
        <v>639</v>
      </c>
      <c r="H2849" s="350">
        <f t="shared" si="58"/>
        <v>9400</v>
      </c>
      <c r="I2849" s="120" t="str">
        <f>IF(OR(D2849&lt;Capa!$A$5,D2849&gt;Capa!$A$7,E2849&lt;Capa!$A$5,E2849&gt;Capa!$A$7,D2849&gt;E2849),"Erro","")</f>
        <v/>
      </c>
    </row>
    <row r="2850" spans="1:9" ht="20" hidden="1">
      <c r="A2850" s="345">
        <v>3383</v>
      </c>
      <c r="B2850" s="346" t="s">
        <v>618</v>
      </c>
      <c r="C2850" s="347">
        <v>2500</v>
      </c>
      <c r="D2850" s="348">
        <v>45658</v>
      </c>
      <c r="E2850" s="348">
        <v>47058</v>
      </c>
      <c r="F2850" s="346" t="s">
        <v>616</v>
      </c>
      <c r="G2850" s="349" t="s">
        <v>657</v>
      </c>
      <c r="H2850" s="350">
        <f t="shared" si="58"/>
        <v>117500</v>
      </c>
      <c r="I2850" s="120" t="str">
        <f>IF(OR(D2850&lt;Capa!$A$5,D2850&gt;Capa!$A$7,E2850&lt;Capa!$A$5,E2850&gt;Capa!$A$7,D2850&gt;E2850),"Erro","")</f>
        <v/>
      </c>
    </row>
    <row r="2851" spans="1:9" ht="30" hidden="1">
      <c r="A2851" s="345">
        <v>3385</v>
      </c>
      <c r="B2851" s="346" t="s">
        <v>623</v>
      </c>
      <c r="C2851" s="347">
        <v>650</v>
      </c>
      <c r="D2851" s="348">
        <v>45658</v>
      </c>
      <c r="E2851" s="348">
        <v>46784</v>
      </c>
      <c r="F2851" s="346" t="s">
        <v>616</v>
      </c>
      <c r="G2851" s="349" t="s">
        <v>658</v>
      </c>
      <c r="H2851" s="350">
        <f t="shared" si="58"/>
        <v>24700</v>
      </c>
      <c r="I2851" s="120" t="str">
        <f>IF(OR(D2851&lt;Capa!$A$5,D2851&gt;Capa!$A$7,E2851&lt;Capa!$A$5,E2851&gt;Capa!$A$7,D2851&gt;E2851),"Erro","")</f>
        <v/>
      </c>
    </row>
    <row r="2852" spans="1:9" ht="20" hidden="1">
      <c r="A2852" s="345">
        <v>3386</v>
      </c>
      <c r="B2852" s="346" t="s">
        <v>625</v>
      </c>
      <c r="C2852" s="347">
        <v>90</v>
      </c>
      <c r="D2852" s="348">
        <v>45658</v>
      </c>
      <c r="E2852" s="348">
        <v>47058</v>
      </c>
      <c r="F2852" s="346" t="s">
        <v>616</v>
      </c>
      <c r="G2852" s="349" t="s">
        <v>659</v>
      </c>
      <c r="H2852" s="350">
        <f t="shared" si="58"/>
        <v>4230</v>
      </c>
      <c r="I2852" s="120" t="str">
        <f>IF(OR(D2852&lt;Capa!$A$5,D2852&gt;Capa!$A$7,E2852&lt;Capa!$A$5,E2852&gt;Capa!$A$7,D2852&gt;E2852),"Erro","")</f>
        <v/>
      </c>
    </row>
    <row r="2853" spans="1:9" ht="20" hidden="1">
      <c r="A2853" s="345">
        <v>3387</v>
      </c>
      <c r="B2853" s="346" t="s">
        <v>627</v>
      </c>
      <c r="C2853" s="347">
        <v>50</v>
      </c>
      <c r="D2853" s="348">
        <v>45658</v>
      </c>
      <c r="E2853" s="348">
        <v>47058</v>
      </c>
      <c r="F2853" s="346" t="s">
        <v>616</v>
      </c>
      <c r="G2853" s="349" t="s">
        <v>661</v>
      </c>
      <c r="H2853" s="350">
        <f t="shared" si="58"/>
        <v>2350</v>
      </c>
      <c r="I2853" s="120" t="str">
        <f>IF(OR(D2853&lt;Capa!$A$5,D2853&gt;Capa!$A$7,E2853&lt;Capa!$A$5,E2853&gt;Capa!$A$7,D2853&gt;E2853),"Erro","")</f>
        <v/>
      </c>
    </row>
    <row r="2854" spans="1:9" ht="30" hidden="1">
      <c r="A2854" s="345">
        <v>3388</v>
      </c>
      <c r="B2854" s="346" t="s">
        <v>626</v>
      </c>
      <c r="C2854" s="347">
        <v>350</v>
      </c>
      <c r="D2854" s="348">
        <v>45658</v>
      </c>
      <c r="E2854" s="348">
        <v>47058</v>
      </c>
      <c r="F2854" s="346" t="s">
        <v>616</v>
      </c>
      <c r="G2854" s="349" t="s">
        <v>660</v>
      </c>
      <c r="H2854" s="350">
        <f t="shared" si="58"/>
        <v>16450</v>
      </c>
      <c r="I2854" s="120" t="str">
        <f>IF(OR(D2854&lt;Capa!$A$5,D2854&gt;Capa!$A$7,E2854&lt;Capa!$A$5,E2854&gt;Capa!$A$7,D2854&gt;E2854),"Erro","")</f>
        <v/>
      </c>
    </row>
    <row r="2855" spans="1:9" ht="30" hidden="1">
      <c r="A2855" s="345">
        <v>3389</v>
      </c>
      <c r="B2855" s="346" t="s">
        <v>619</v>
      </c>
      <c r="C2855" s="347">
        <v>70</v>
      </c>
      <c r="D2855" s="348">
        <v>45658</v>
      </c>
      <c r="E2855" s="348">
        <v>47058</v>
      </c>
      <c r="F2855" s="346" t="s">
        <v>616</v>
      </c>
      <c r="G2855" s="349" t="s">
        <v>663</v>
      </c>
      <c r="H2855" s="350">
        <f t="shared" si="58"/>
        <v>3290</v>
      </c>
      <c r="I2855" s="120" t="str">
        <f>IF(OR(D2855&lt;Capa!$A$5,D2855&gt;Capa!$A$7,E2855&lt;Capa!$A$5,E2855&gt;Capa!$A$7,D2855&gt;E2855),"Erro","")</f>
        <v/>
      </c>
    </row>
    <row r="2856" spans="1:9" ht="20" hidden="1">
      <c r="A2856" s="345">
        <v>3390</v>
      </c>
      <c r="B2856" s="346" t="s">
        <v>198</v>
      </c>
      <c r="C2856" s="347">
        <v>10000</v>
      </c>
      <c r="D2856" s="348">
        <v>45839</v>
      </c>
      <c r="E2856" s="348">
        <v>45992</v>
      </c>
      <c r="F2856" s="346" t="s">
        <v>610</v>
      </c>
      <c r="G2856" s="349" t="s">
        <v>437</v>
      </c>
      <c r="H2856" s="350">
        <f t="shared" si="58"/>
        <v>60000</v>
      </c>
      <c r="I2856" s="120" t="str">
        <f>IF(OR(D2856&lt;Capa!$A$5,D2856&gt;Capa!$A$7,E2856&lt;Capa!$A$5,E2856&gt;Capa!$A$7,D2856&gt;E2856),"Erro","")</f>
        <v/>
      </c>
    </row>
    <row r="2857" spans="1:9" ht="20" hidden="1">
      <c r="A2857" s="345">
        <v>3391</v>
      </c>
      <c r="B2857" s="346" t="s">
        <v>198</v>
      </c>
      <c r="C2857" s="347">
        <v>10500</v>
      </c>
      <c r="D2857" s="348">
        <v>46023</v>
      </c>
      <c r="E2857" s="348">
        <v>46357</v>
      </c>
      <c r="F2857" s="346" t="s">
        <v>610</v>
      </c>
      <c r="G2857" s="349" t="s">
        <v>437</v>
      </c>
      <c r="H2857" s="350">
        <f t="shared" si="58"/>
        <v>126000</v>
      </c>
      <c r="I2857" s="120" t="str">
        <f>IF(OR(D2857&lt;Capa!$A$5,D2857&gt;Capa!$A$7,E2857&lt;Capa!$A$5,E2857&gt;Capa!$A$7,D2857&gt;E2857),"Erro","")</f>
        <v/>
      </c>
    </row>
    <row r="2858" spans="1:9" ht="20" hidden="1">
      <c r="A2858" s="345">
        <v>3392</v>
      </c>
      <c r="B2858" s="346" t="s">
        <v>198</v>
      </c>
      <c r="C2858" s="347">
        <v>11025</v>
      </c>
      <c r="D2858" s="348">
        <v>46388</v>
      </c>
      <c r="E2858" s="348">
        <v>46722</v>
      </c>
      <c r="F2858" s="346" t="s">
        <v>610</v>
      </c>
      <c r="G2858" s="349" t="s">
        <v>437</v>
      </c>
      <c r="H2858" s="350">
        <f t="shared" si="58"/>
        <v>132300</v>
      </c>
      <c r="I2858" s="120" t="str">
        <f>IF(OR(D2858&lt;Capa!$A$5,D2858&gt;Capa!$A$7,E2858&lt;Capa!$A$5,E2858&gt;Capa!$A$7,D2858&gt;E2858),"Erro","")</f>
        <v/>
      </c>
    </row>
    <row r="2859" spans="1:9" ht="20" hidden="1">
      <c r="A2859" s="345">
        <v>3393</v>
      </c>
      <c r="B2859" s="346" t="s">
        <v>198</v>
      </c>
      <c r="C2859" s="347">
        <v>3000</v>
      </c>
      <c r="D2859" s="348">
        <v>46753</v>
      </c>
      <c r="E2859" s="348">
        <v>47058</v>
      </c>
      <c r="F2859" s="346" t="s">
        <v>610</v>
      </c>
      <c r="G2859" s="349" t="s">
        <v>437</v>
      </c>
      <c r="H2859" s="350">
        <f t="shared" si="58"/>
        <v>33000</v>
      </c>
      <c r="I2859" s="120" t="str">
        <f>IF(OR(D2859&lt;Capa!$A$5,D2859&gt;Capa!$A$7,E2859&lt;Capa!$A$5,E2859&gt;Capa!$A$7,D2859&gt;E2859),"Erro","")</f>
        <v/>
      </c>
    </row>
    <row r="2860" spans="1:9" ht="20" hidden="1">
      <c r="A2860" s="345">
        <v>3394</v>
      </c>
      <c r="B2860" s="346" t="s">
        <v>202</v>
      </c>
      <c r="C2860" s="347">
        <v>1500</v>
      </c>
      <c r="D2860" s="348">
        <v>45839</v>
      </c>
      <c r="E2860" s="348">
        <v>45992</v>
      </c>
      <c r="F2860" s="346" t="s">
        <v>610</v>
      </c>
      <c r="G2860" s="349" t="s">
        <v>438</v>
      </c>
      <c r="H2860" s="350">
        <f t="shared" si="58"/>
        <v>9000</v>
      </c>
      <c r="I2860" s="120" t="str">
        <f>IF(OR(D2860&lt;Capa!$A$5,D2860&gt;Capa!$A$7,E2860&lt;Capa!$A$5,E2860&gt;Capa!$A$7,D2860&gt;E2860),"Erro","")</f>
        <v/>
      </c>
    </row>
    <row r="2861" spans="1:9" ht="20" hidden="1">
      <c r="A2861" s="345">
        <v>3395</v>
      </c>
      <c r="B2861" s="346" t="s">
        <v>202</v>
      </c>
      <c r="C2861" s="347">
        <v>1300</v>
      </c>
      <c r="D2861" s="348">
        <v>46023</v>
      </c>
      <c r="E2861" s="348">
        <v>46082</v>
      </c>
      <c r="F2861" s="346" t="s">
        <v>610</v>
      </c>
      <c r="G2861" s="349" t="s">
        <v>438</v>
      </c>
      <c r="H2861" s="350">
        <f t="shared" si="58"/>
        <v>3900</v>
      </c>
      <c r="I2861" s="120" t="str">
        <f>IF(OR(D2861&lt;Capa!$A$5,D2861&gt;Capa!$A$7,E2861&lt;Capa!$A$5,E2861&gt;Capa!$A$7,D2861&gt;E2861),"Erro","")</f>
        <v/>
      </c>
    </row>
    <row r="2862" spans="1:9" ht="20" hidden="1">
      <c r="A2862" s="345">
        <v>3396</v>
      </c>
      <c r="B2862" s="346" t="s">
        <v>202</v>
      </c>
      <c r="C2862" s="347">
        <v>1300</v>
      </c>
      <c r="D2862" s="348">
        <v>46388</v>
      </c>
      <c r="E2862" s="348">
        <v>46447</v>
      </c>
      <c r="F2862" s="346" t="s">
        <v>610</v>
      </c>
      <c r="G2862" s="349" t="s">
        <v>438</v>
      </c>
      <c r="H2862" s="350">
        <f t="shared" si="58"/>
        <v>3900</v>
      </c>
      <c r="I2862" s="120" t="str">
        <f>IF(OR(D2862&lt;Capa!$A$5,D2862&gt;Capa!$A$7,E2862&lt;Capa!$A$5,E2862&gt;Capa!$A$7,D2862&gt;E2862),"Erro","")</f>
        <v/>
      </c>
    </row>
    <row r="2863" spans="1:9" ht="20" hidden="1">
      <c r="A2863" s="345">
        <v>3397</v>
      </c>
      <c r="B2863" s="346" t="s">
        <v>202</v>
      </c>
      <c r="C2863" s="347">
        <v>750</v>
      </c>
      <c r="D2863" s="348">
        <v>46753</v>
      </c>
      <c r="E2863" s="348">
        <v>46813</v>
      </c>
      <c r="F2863" s="346" t="s">
        <v>610</v>
      </c>
      <c r="G2863" s="349" t="s">
        <v>438</v>
      </c>
      <c r="H2863" s="350">
        <f t="shared" si="58"/>
        <v>2250</v>
      </c>
      <c r="I2863" s="120" t="str">
        <f>IF(OR(D2863&lt;Capa!$A$5,D2863&gt;Capa!$A$7,E2863&lt;Capa!$A$5,E2863&gt;Capa!$A$7,D2863&gt;E2863),"Erro","")</f>
        <v/>
      </c>
    </row>
    <row r="2864" spans="1:9" ht="20" hidden="1">
      <c r="A2864" s="345">
        <v>3398</v>
      </c>
      <c r="B2864" s="346" t="s">
        <v>204</v>
      </c>
      <c r="C2864" s="347">
        <v>1250</v>
      </c>
      <c r="D2864" s="348">
        <v>45839</v>
      </c>
      <c r="E2864" s="348">
        <v>45992</v>
      </c>
      <c r="F2864" s="346" t="s">
        <v>610</v>
      </c>
      <c r="G2864" s="349" t="s">
        <v>438</v>
      </c>
      <c r="H2864" s="350">
        <f t="shared" si="58"/>
        <v>7500</v>
      </c>
      <c r="I2864" s="120" t="str">
        <f>IF(OR(D2864&lt;Capa!$A$5,D2864&gt;Capa!$A$7,E2864&lt;Capa!$A$5,E2864&gt;Capa!$A$7,D2864&gt;E2864),"Erro","")</f>
        <v/>
      </c>
    </row>
    <row r="2865" spans="1:9" ht="20" hidden="1">
      <c r="A2865" s="345">
        <v>3399</v>
      </c>
      <c r="B2865" s="346" t="s">
        <v>204</v>
      </c>
      <c r="C2865" s="347">
        <v>1250</v>
      </c>
      <c r="D2865" s="348">
        <v>46023</v>
      </c>
      <c r="E2865" s="348">
        <v>46204</v>
      </c>
      <c r="F2865" s="346" t="s">
        <v>610</v>
      </c>
      <c r="G2865" s="349" t="s">
        <v>438</v>
      </c>
      <c r="H2865" s="350">
        <f t="shared" si="58"/>
        <v>8750</v>
      </c>
      <c r="I2865" s="120" t="str">
        <f>IF(OR(D2865&lt;Capa!$A$5,D2865&gt;Capa!$A$7,E2865&lt;Capa!$A$5,E2865&gt;Capa!$A$7,D2865&gt;E2865),"Erro","")</f>
        <v/>
      </c>
    </row>
    <row r="2866" spans="1:9" ht="20" hidden="1">
      <c r="A2866" s="345">
        <v>3400</v>
      </c>
      <c r="B2866" s="346" t="s">
        <v>204</v>
      </c>
      <c r="C2866" s="347">
        <v>1250</v>
      </c>
      <c r="D2866" s="348">
        <v>46388</v>
      </c>
      <c r="E2866" s="348">
        <v>46569</v>
      </c>
      <c r="F2866" s="346" t="s">
        <v>610</v>
      </c>
      <c r="G2866" s="349" t="s">
        <v>438</v>
      </c>
      <c r="H2866" s="350">
        <f t="shared" si="58"/>
        <v>8750</v>
      </c>
      <c r="I2866" s="120" t="str">
        <f>IF(OR(D2866&lt;Capa!$A$5,D2866&gt;Capa!$A$7,E2866&lt;Capa!$A$5,E2866&gt;Capa!$A$7,D2866&gt;E2866),"Erro","")</f>
        <v/>
      </c>
    </row>
    <row r="2867" spans="1:9" ht="20" hidden="1">
      <c r="A2867" s="345">
        <v>3401</v>
      </c>
      <c r="B2867" s="346" t="s">
        <v>204</v>
      </c>
      <c r="C2867" s="347">
        <v>780</v>
      </c>
      <c r="D2867" s="348">
        <v>46753</v>
      </c>
      <c r="E2867" s="348">
        <v>46935</v>
      </c>
      <c r="F2867" s="346" t="s">
        <v>610</v>
      </c>
      <c r="G2867" s="349" t="s">
        <v>438</v>
      </c>
      <c r="H2867" s="350">
        <f t="shared" si="58"/>
        <v>5460</v>
      </c>
      <c r="I2867" s="120" t="str">
        <f>IF(OR(D2867&lt;Capa!$A$5,D2867&gt;Capa!$A$7,E2867&lt;Capa!$A$5,E2867&gt;Capa!$A$7,D2867&gt;E2867),"Erro","")</f>
        <v/>
      </c>
    </row>
    <row r="2868" spans="1:9" ht="20" hidden="1">
      <c r="A2868" s="345">
        <v>3402</v>
      </c>
      <c r="B2868" s="346" t="s">
        <v>206</v>
      </c>
      <c r="C2868" s="347">
        <v>1200</v>
      </c>
      <c r="D2868" s="348">
        <v>45839</v>
      </c>
      <c r="E2868" s="348">
        <v>45992</v>
      </c>
      <c r="F2868" s="346" t="s">
        <v>610</v>
      </c>
      <c r="G2868" s="349" t="s">
        <v>439</v>
      </c>
      <c r="H2868" s="350">
        <f t="shared" si="58"/>
        <v>7200</v>
      </c>
      <c r="I2868" s="120" t="str">
        <f>IF(OR(D2868&lt;Capa!$A$5,D2868&gt;Capa!$A$7,E2868&lt;Capa!$A$5,E2868&gt;Capa!$A$7,D2868&gt;E2868),"Erro","")</f>
        <v/>
      </c>
    </row>
    <row r="2869" spans="1:9" ht="20" hidden="1">
      <c r="A2869" s="345">
        <v>3403</v>
      </c>
      <c r="B2869" s="346" t="s">
        <v>206</v>
      </c>
      <c r="C2869" s="347">
        <v>1200</v>
      </c>
      <c r="D2869" s="348">
        <v>46023</v>
      </c>
      <c r="E2869" s="348">
        <v>46357</v>
      </c>
      <c r="F2869" s="346" t="s">
        <v>610</v>
      </c>
      <c r="G2869" s="349" t="s">
        <v>439</v>
      </c>
      <c r="H2869" s="350">
        <f t="shared" si="58"/>
        <v>14400</v>
      </c>
      <c r="I2869" s="120" t="str">
        <f>IF(OR(D2869&lt;Capa!$A$5,D2869&gt;Capa!$A$7,E2869&lt;Capa!$A$5,E2869&gt;Capa!$A$7,D2869&gt;E2869),"Erro","")</f>
        <v/>
      </c>
    </row>
    <row r="2870" spans="1:9" ht="20" hidden="1">
      <c r="A2870" s="345">
        <v>3404</v>
      </c>
      <c r="B2870" s="346" t="s">
        <v>206</v>
      </c>
      <c r="C2870" s="347">
        <v>1200</v>
      </c>
      <c r="D2870" s="348">
        <v>46388</v>
      </c>
      <c r="E2870" s="348">
        <v>46722</v>
      </c>
      <c r="F2870" s="346" t="s">
        <v>610</v>
      </c>
      <c r="G2870" s="349" t="s">
        <v>439</v>
      </c>
      <c r="H2870" s="350">
        <f t="shared" si="58"/>
        <v>14400</v>
      </c>
      <c r="I2870" s="120" t="str">
        <f>IF(OR(D2870&lt;Capa!$A$5,D2870&gt;Capa!$A$7,E2870&lt;Capa!$A$5,E2870&gt;Capa!$A$7,D2870&gt;E2870),"Erro","")</f>
        <v/>
      </c>
    </row>
    <row r="2871" spans="1:9" ht="20" hidden="1">
      <c r="A2871" s="345">
        <v>3405</v>
      </c>
      <c r="B2871" s="346" t="s">
        <v>206</v>
      </c>
      <c r="C2871" s="347">
        <v>600</v>
      </c>
      <c r="D2871" s="348">
        <v>46753</v>
      </c>
      <c r="E2871" s="348">
        <v>47058</v>
      </c>
      <c r="F2871" s="346" t="s">
        <v>610</v>
      </c>
      <c r="G2871" s="349" t="s">
        <v>439</v>
      </c>
      <c r="H2871" s="350">
        <f t="shared" si="58"/>
        <v>6600</v>
      </c>
      <c r="I2871" s="120" t="str">
        <f>IF(OR(D2871&lt;Capa!$A$5,D2871&gt;Capa!$A$7,E2871&lt;Capa!$A$5,E2871&gt;Capa!$A$7,D2871&gt;E2871),"Erro","")</f>
        <v/>
      </c>
    </row>
    <row r="2872" spans="1:9" ht="20" hidden="1">
      <c r="A2872" s="345">
        <v>3406</v>
      </c>
      <c r="B2872" s="346" t="s">
        <v>208</v>
      </c>
      <c r="C2872" s="347">
        <v>850</v>
      </c>
      <c r="D2872" s="348">
        <v>45839</v>
      </c>
      <c r="E2872" s="348">
        <v>45992</v>
      </c>
      <c r="F2872" s="346" t="s">
        <v>610</v>
      </c>
      <c r="G2872" s="349" t="s">
        <v>439</v>
      </c>
      <c r="H2872" s="350">
        <f t="shared" si="58"/>
        <v>5100</v>
      </c>
      <c r="I2872" s="120" t="str">
        <f>IF(OR(D2872&lt;Capa!$A$5,D2872&gt;Capa!$A$7,E2872&lt;Capa!$A$5,E2872&gt;Capa!$A$7,D2872&gt;E2872),"Erro","")</f>
        <v/>
      </c>
    </row>
    <row r="2873" spans="1:9" ht="20" hidden="1">
      <c r="A2873" s="345">
        <v>3407</v>
      </c>
      <c r="B2873" s="346" t="s">
        <v>208</v>
      </c>
      <c r="C2873" s="347">
        <v>850</v>
      </c>
      <c r="D2873" s="348">
        <v>46023</v>
      </c>
      <c r="E2873" s="348">
        <v>46357</v>
      </c>
      <c r="F2873" s="346" t="s">
        <v>610</v>
      </c>
      <c r="G2873" s="349" t="s">
        <v>439</v>
      </c>
      <c r="H2873" s="350">
        <f t="shared" si="58"/>
        <v>10200</v>
      </c>
      <c r="I2873" s="120" t="str">
        <f>IF(OR(D2873&lt;Capa!$A$5,D2873&gt;Capa!$A$7,E2873&lt;Capa!$A$5,E2873&gt;Capa!$A$7,D2873&gt;E2873),"Erro","")</f>
        <v/>
      </c>
    </row>
    <row r="2874" spans="1:9" ht="20" hidden="1">
      <c r="A2874" s="345">
        <v>3408</v>
      </c>
      <c r="B2874" s="346" t="s">
        <v>208</v>
      </c>
      <c r="C2874" s="347">
        <v>850</v>
      </c>
      <c r="D2874" s="348">
        <v>46388</v>
      </c>
      <c r="E2874" s="348">
        <v>46722</v>
      </c>
      <c r="F2874" s="346" t="s">
        <v>610</v>
      </c>
      <c r="G2874" s="349" t="s">
        <v>439</v>
      </c>
      <c r="H2874" s="350">
        <f t="shared" si="58"/>
        <v>10200</v>
      </c>
      <c r="I2874" s="120" t="str">
        <f>IF(OR(D2874&lt;Capa!$A$5,D2874&gt;Capa!$A$7,E2874&lt;Capa!$A$5,E2874&gt;Capa!$A$7,D2874&gt;E2874),"Erro","")</f>
        <v/>
      </c>
    </row>
    <row r="2875" spans="1:9" ht="20" hidden="1">
      <c r="A2875" s="345">
        <v>3409</v>
      </c>
      <c r="B2875" s="346" t="s">
        <v>208</v>
      </c>
      <c r="C2875" s="347">
        <v>400</v>
      </c>
      <c r="D2875" s="348">
        <v>46753</v>
      </c>
      <c r="E2875" s="348">
        <v>47058</v>
      </c>
      <c r="F2875" s="346" t="s">
        <v>610</v>
      </c>
      <c r="G2875" s="349" t="s">
        <v>439</v>
      </c>
      <c r="H2875" s="350">
        <f t="shared" si="58"/>
        <v>4400</v>
      </c>
      <c r="I2875" s="120" t="str">
        <f>IF(OR(D2875&lt;Capa!$A$5,D2875&gt;Capa!$A$7,E2875&lt;Capa!$A$5,E2875&gt;Capa!$A$7,D2875&gt;E2875),"Erro","")</f>
        <v/>
      </c>
    </row>
    <row r="2876" spans="1:9" ht="20" hidden="1">
      <c r="A2876" s="345">
        <v>3410</v>
      </c>
      <c r="B2876" s="346" t="s">
        <v>210</v>
      </c>
      <c r="C2876" s="347">
        <v>60</v>
      </c>
      <c r="D2876" s="348">
        <v>45839</v>
      </c>
      <c r="E2876" s="348">
        <v>45992</v>
      </c>
      <c r="F2876" s="346" t="s">
        <v>610</v>
      </c>
      <c r="G2876" s="349" t="s">
        <v>439</v>
      </c>
      <c r="H2876" s="350">
        <f t="shared" si="58"/>
        <v>360</v>
      </c>
      <c r="I2876" s="120" t="str">
        <f>IF(OR(D2876&lt;Capa!$A$5,D2876&gt;Capa!$A$7,E2876&lt;Capa!$A$5,E2876&gt;Capa!$A$7,D2876&gt;E2876),"Erro","")</f>
        <v/>
      </c>
    </row>
    <row r="2877" spans="1:9" ht="20" hidden="1">
      <c r="A2877" s="345">
        <v>3411</v>
      </c>
      <c r="B2877" s="346" t="s">
        <v>210</v>
      </c>
      <c r="C2877" s="347">
        <v>60</v>
      </c>
      <c r="D2877" s="348">
        <v>46023</v>
      </c>
      <c r="E2877" s="348">
        <v>46357</v>
      </c>
      <c r="F2877" s="346" t="s">
        <v>610</v>
      </c>
      <c r="G2877" s="349" t="s">
        <v>439</v>
      </c>
      <c r="H2877" s="350">
        <f t="shared" si="58"/>
        <v>720</v>
      </c>
      <c r="I2877" s="120" t="str">
        <f>IF(OR(D2877&lt;Capa!$A$5,D2877&gt;Capa!$A$7,E2877&lt;Capa!$A$5,E2877&gt;Capa!$A$7,D2877&gt;E2877),"Erro","")</f>
        <v/>
      </c>
    </row>
    <row r="2878" spans="1:9" ht="20" hidden="1">
      <c r="A2878" s="345">
        <v>3412</v>
      </c>
      <c r="B2878" s="346" t="s">
        <v>210</v>
      </c>
      <c r="C2878" s="347">
        <v>60</v>
      </c>
      <c r="D2878" s="348">
        <v>46388</v>
      </c>
      <c r="E2878" s="348">
        <v>46722</v>
      </c>
      <c r="F2878" s="346" t="s">
        <v>610</v>
      </c>
      <c r="G2878" s="349" t="s">
        <v>439</v>
      </c>
      <c r="H2878" s="350">
        <f t="shared" si="58"/>
        <v>720</v>
      </c>
      <c r="I2878" s="120" t="str">
        <f>IF(OR(D2878&lt;Capa!$A$5,D2878&gt;Capa!$A$7,E2878&lt;Capa!$A$5,E2878&gt;Capa!$A$7,D2878&gt;E2878),"Erro","")</f>
        <v/>
      </c>
    </row>
    <row r="2879" spans="1:9" ht="20" hidden="1">
      <c r="A2879" s="345">
        <v>3413</v>
      </c>
      <c r="B2879" s="346" t="s">
        <v>210</v>
      </c>
      <c r="C2879" s="347">
        <v>49</v>
      </c>
      <c r="D2879" s="348">
        <v>46753</v>
      </c>
      <c r="E2879" s="348">
        <v>47058</v>
      </c>
      <c r="F2879" s="346" t="s">
        <v>610</v>
      </c>
      <c r="G2879" s="349" t="s">
        <v>439</v>
      </c>
      <c r="H2879" s="350">
        <f t="shared" si="58"/>
        <v>539</v>
      </c>
      <c r="I2879" s="120" t="str">
        <f>IF(OR(D2879&lt;Capa!$A$5,D2879&gt;Capa!$A$7,E2879&lt;Capa!$A$5,E2879&gt;Capa!$A$7,D2879&gt;E2879),"Erro","")</f>
        <v/>
      </c>
    </row>
    <row r="2880" spans="1:9" ht="20" hidden="1">
      <c r="A2880" s="345">
        <v>3414</v>
      </c>
      <c r="B2880" s="346" t="s">
        <v>214</v>
      </c>
      <c r="C2880" s="347">
        <v>140</v>
      </c>
      <c r="D2880" s="348">
        <v>45839</v>
      </c>
      <c r="E2880" s="348">
        <v>45992</v>
      </c>
      <c r="F2880" s="346" t="s">
        <v>610</v>
      </c>
      <c r="G2880" s="349" t="s">
        <v>439</v>
      </c>
      <c r="H2880" s="350">
        <f t="shared" si="58"/>
        <v>840</v>
      </c>
      <c r="I2880" s="120" t="str">
        <f>IF(OR(D2880&lt;Capa!$A$5,D2880&gt;Capa!$A$7,E2880&lt;Capa!$A$5,E2880&gt;Capa!$A$7,D2880&gt;E2880),"Erro","")</f>
        <v/>
      </c>
    </row>
    <row r="2881" spans="1:9" ht="20" hidden="1">
      <c r="A2881" s="345">
        <v>3415</v>
      </c>
      <c r="B2881" s="346" t="s">
        <v>214</v>
      </c>
      <c r="C2881" s="347">
        <v>140</v>
      </c>
      <c r="D2881" s="348">
        <v>46023</v>
      </c>
      <c r="E2881" s="348">
        <v>46357</v>
      </c>
      <c r="F2881" s="346" t="s">
        <v>610</v>
      </c>
      <c r="G2881" s="349" t="s">
        <v>439</v>
      </c>
      <c r="H2881" s="350">
        <f t="shared" si="58"/>
        <v>1680</v>
      </c>
      <c r="I2881" s="120" t="str">
        <f>IF(OR(D2881&lt;Capa!$A$5,D2881&gt;Capa!$A$7,E2881&lt;Capa!$A$5,E2881&gt;Capa!$A$7,D2881&gt;E2881),"Erro","")</f>
        <v/>
      </c>
    </row>
    <row r="2882" spans="1:9" ht="20" hidden="1">
      <c r="A2882" s="345">
        <v>3416</v>
      </c>
      <c r="B2882" s="346" t="s">
        <v>214</v>
      </c>
      <c r="C2882" s="347">
        <v>140</v>
      </c>
      <c r="D2882" s="348">
        <v>46388</v>
      </c>
      <c r="E2882" s="348">
        <v>46722</v>
      </c>
      <c r="F2882" s="346" t="s">
        <v>610</v>
      </c>
      <c r="G2882" s="349" t="s">
        <v>439</v>
      </c>
      <c r="H2882" s="350">
        <f t="shared" si="58"/>
        <v>1680</v>
      </c>
      <c r="I2882" s="120" t="str">
        <f>IF(OR(D2882&lt;Capa!$A$5,D2882&gt;Capa!$A$7,E2882&lt;Capa!$A$5,E2882&gt;Capa!$A$7,D2882&gt;E2882),"Erro","")</f>
        <v/>
      </c>
    </row>
    <row r="2883" spans="1:9" ht="20" hidden="1">
      <c r="A2883" s="345">
        <v>3417</v>
      </c>
      <c r="B2883" s="346" t="s">
        <v>214</v>
      </c>
      <c r="C2883" s="347">
        <v>70</v>
      </c>
      <c r="D2883" s="348">
        <v>46753</v>
      </c>
      <c r="E2883" s="348">
        <v>47058</v>
      </c>
      <c r="F2883" s="346" t="s">
        <v>610</v>
      </c>
      <c r="G2883" s="349" t="s">
        <v>439</v>
      </c>
      <c r="H2883" s="350">
        <f t="shared" si="58"/>
        <v>770</v>
      </c>
      <c r="I2883" s="120" t="str">
        <f>IF(OR(D2883&lt;Capa!$A$5,D2883&gt;Capa!$A$7,E2883&lt;Capa!$A$5,E2883&gt;Capa!$A$7,D2883&gt;E2883),"Erro","")</f>
        <v/>
      </c>
    </row>
    <row r="2884" spans="1:9" ht="20" hidden="1">
      <c r="A2884" s="345">
        <v>3418</v>
      </c>
      <c r="B2884" s="346" t="s">
        <v>212</v>
      </c>
      <c r="C2884" s="347">
        <v>260</v>
      </c>
      <c r="D2884" s="348">
        <v>45839</v>
      </c>
      <c r="E2884" s="348">
        <v>45992</v>
      </c>
      <c r="F2884" s="346" t="s">
        <v>610</v>
      </c>
      <c r="G2884" s="349" t="s">
        <v>439</v>
      </c>
      <c r="H2884" s="350">
        <f t="shared" si="58"/>
        <v>1560</v>
      </c>
      <c r="I2884" s="120" t="str">
        <f>IF(OR(D2884&lt;Capa!$A$5,D2884&gt;Capa!$A$7,E2884&lt;Capa!$A$5,E2884&gt;Capa!$A$7,D2884&gt;E2884),"Erro","")</f>
        <v/>
      </c>
    </row>
    <row r="2885" spans="1:9" ht="20" hidden="1">
      <c r="A2885" s="345">
        <v>3419</v>
      </c>
      <c r="B2885" s="346" t="s">
        <v>212</v>
      </c>
      <c r="C2885" s="347">
        <v>260</v>
      </c>
      <c r="D2885" s="348">
        <v>46023</v>
      </c>
      <c r="E2885" s="348">
        <v>46357</v>
      </c>
      <c r="F2885" s="346" t="s">
        <v>610</v>
      </c>
      <c r="G2885" s="349" t="s">
        <v>439</v>
      </c>
      <c r="H2885" s="350">
        <f t="shared" si="58"/>
        <v>3120</v>
      </c>
      <c r="I2885" s="120" t="str">
        <f>IF(OR(D2885&lt;Capa!$A$5,D2885&gt;Capa!$A$7,E2885&lt;Capa!$A$5,E2885&gt;Capa!$A$7,D2885&gt;E2885),"Erro","")</f>
        <v/>
      </c>
    </row>
    <row r="2886" spans="1:9" ht="20" hidden="1">
      <c r="A2886" s="345">
        <v>3420</v>
      </c>
      <c r="B2886" s="346" t="s">
        <v>212</v>
      </c>
      <c r="C2886" s="347">
        <v>260</v>
      </c>
      <c r="D2886" s="348">
        <v>46388</v>
      </c>
      <c r="E2886" s="348">
        <v>46722</v>
      </c>
      <c r="F2886" s="346" t="s">
        <v>610</v>
      </c>
      <c r="G2886" s="349" t="s">
        <v>439</v>
      </c>
      <c r="H2886" s="350">
        <f t="shared" si="58"/>
        <v>3120</v>
      </c>
      <c r="I2886" s="120" t="str">
        <f>IF(OR(D2886&lt;Capa!$A$5,D2886&gt;Capa!$A$7,E2886&lt;Capa!$A$5,E2886&gt;Capa!$A$7,D2886&gt;E2886),"Erro","")</f>
        <v/>
      </c>
    </row>
    <row r="2887" spans="1:9" ht="20" hidden="1">
      <c r="A2887" s="345">
        <v>3421</v>
      </c>
      <c r="B2887" s="346" t="s">
        <v>212</v>
      </c>
      <c r="C2887" s="347">
        <v>220</v>
      </c>
      <c r="D2887" s="348">
        <v>46753</v>
      </c>
      <c r="E2887" s="348">
        <v>47058</v>
      </c>
      <c r="F2887" s="346" t="s">
        <v>610</v>
      </c>
      <c r="G2887" s="349" t="s">
        <v>439</v>
      </c>
      <c r="H2887" s="350">
        <f t="shared" si="58"/>
        <v>2420</v>
      </c>
      <c r="I2887" s="120" t="str">
        <f>IF(OR(D2887&lt;Capa!$A$5,D2887&gt;Capa!$A$7,E2887&lt;Capa!$A$5,E2887&gt;Capa!$A$7,D2887&gt;E2887),"Erro","")</f>
        <v/>
      </c>
    </row>
    <row r="2888" spans="1:9" ht="40" hidden="1">
      <c r="A2888" s="345">
        <v>3422</v>
      </c>
      <c r="B2888" s="346" t="s">
        <v>248</v>
      </c>
      <c r="C2888" s="347">
        <v>846</v>
      </c>
      <c r="D2888" s="348">
        <v>45839</v>
      </c>
      <c r="E2888" s="348">
        <v>45992</v>
      </c>
      <c r="F2888" s="346" t="s">
        <v>610</v>
      </c>
      <c r="G2888" s="349" t="s">
        <v>440</v>
      </c>
      <c r="H2888" s="350">
        <f t="shared" si="58"/>
        <v>5076</v>
      </c>
      <c r="I2888" s="120" t="str">
        <f>IF(OR(D2888&lt;Capa!$A$5,D2888&gt;Capa!$A$7,E2888&lt;Capa!$A$5,E2888&gt;Capa!$A$7,D2888&gt;E2888),"Erro","")</f>
        <v/>
      </c>
    </row>
    <row r="2889" spans="1:9" ht="40" hidden="1">
      <c r="A2889" s="345">
        <v>3423</v>
      </c>
      <c r="B2889" s="346" t="s">
        <v>248</v>
      </c>
      <c r="C2889" s="347">
        <v>846</v>
      </c>
      <c r="D2889" s="348">
        <v>46023</v>
      </c>
      <c r="E2889" s="348">
        <v>46113</v>
      </c>
      <c r="F2889" s="346" t="s">
        <v>610</v>
      </c>
      <c r="G2889" s="349" t="s">
        <v>440</v>
      </c>
      <c r="H2889" s="350">
        <f t="shared" si="58"/>
        <v>3384</v>
      </c>
      <c r="I2889" s="120" t="str">
        <f>IF(OR(D2889&lt;Capa!$A$5,D2889&gt;Capa!$A$7,E2889&lt;Capa!$A$5,E2889&gt;Capa!$A$7,D2889&gt;E2889),"Erro","")</f>
        <v/>
      </c>
    </row>
    <row r="2890" spans="1:9" ht="40" hidden="1">
      <c r="A2890" s="345">
        <v>3424</v>
      </c>
      <c r="B2890" s="346" t="s">
        <v>248</v>
      </c>
      <c r="C2890" s="347">
        <v>846</v>
      </c>
      <c r="D2890" s="348">
        <v>46388</v>
      </c>
      <c r="E2890" s="348">
        <v>46478</v>
      </c>
      <c r="F2890" s="346" t="s">
        <v>610</v>
      </c>
      <c r="G2890" s="349" t="s">
        <v>440</v>
      </c>
      <c r="H2890" s="350">
        <f t="shared" si="58"/>
        <v>3384</v>
      </c>
      <c r="I2890" s="120" t="str">
        <f>IF(OR(D2890&lt;Capa!$A$5,D2890&gt;Capa!$A$7,E2890&lt;Capa!$A$5,E2890&gt;Capa!$A$7,D2890&gt;E2890),"Erro","")</f>
        <v/>
      </c>
    </row>
    <row r="2891" spans="1:9" ht="40" hidden="1">
      <c r="A2891" s="345">
        <v>3425</v>
      </c>
      <c r="B2891" s="346" t="s">
        <v>248</v>
      </c>
      <c r="C2891" s="347">
        <v>500</v>
      </c>
      <c r="D2891" s="348">
        <v>46753</v>
      </c>
      <c r="E2891" s="348">
        <v>46844</v>
      </c>
      <c r="F2891" s="346" t="s">
        <v>610</v>
      </c>
      <c r="G2891" s="349" t="s">
        <v>440</v>
      </c>
      <c r="H2891" s="350">
        <f t="shared" si="58"/>
        <v>2000</v>
      </c>
      <c r="I2891" s="120" t="str">
        <f>IF(OR(D2891&lt;Capa!$A$5,D2891&gt;Capa!$A$7,E2891&lt;Capa!$A$5,E2891&gt;Capa!$A$7,D2891&gt;E2891),"Erro","")</f>
        <v/>
      </c>
    </row>
    <row r="2892" spans="1:9" ht="30" hidden="1">
      <c r="A2892" s="345">
        <v>3426</v>
      </c>
      <c r="B2892" s="346" t="s">
        <v>266</v>
      </c>
      <c r="C2892" s="347">
        <v>1500</v>
      </c>
      <c r="D2892" s="348">
        <v>45839</v>
      </c>
      <c r="E2892" s="348">
        <v>45839</v>
      </c>
      <c r="F2892" s="346" t="s">
        <v>610</v>
      </c>
      <c r="G2892" s="349" t="s">
        <v>441</v>
      </c>
      <c r="H2892" s="350">
        <f t="shared" si="58"/>
        <v>1500</v>
      </c>
      <c r="I2892" s="120" t="str">
        <f>IF(OR(D2892&lt;Capa!$A$5,D2892&gt;Capa!$A$7,E2892&lt;Capa!$A$5,E2892&gt;Capa!$A$7,D2892&gt;E2892),"Erro","")</f>
        <v/>
      </c>
    </row>
    <row r="2893" spans="1:9" ht="30" hidden="1">
      <c r="A2893" s="345">
        <v>3427</v>
      </c>
      <c r="B2893" s="346" t="s">
        <v>266</v>
      </c>
      <c r="C2893" s="347">
        <v>1500</v>
      </c>
      <c r="D2893" s="348">
        <v>46023</v>
      </c>
      <c r="E2893" s="348">
        <v>46023</v>
      </c>
      <c r="F2893" s="346" t="s">
        <v>610</v>
      </c>
      <c r="G2893" s="349" t="s">
        <v>441</v>
      </c>
      <c r="H2893" s="350">
        <f t="shared" si="58"/>
        <v>1500</v>
      </c>
      <c r="I2893" s="120" t="str">
        <f>IF(OR(D2893&lt;Capa!$A$5,D2893&gt;Capa!$A$7,E2893&lt;Capa!$A$5,E2893&gt;Capa!$A$7,D2893&gt;E2893),"Erro","")</f>
        <v/>
      </c>
    </row>
    <row r="2894" spans="1:9" ht="30" hidden="1">
      <c r="A2894" s="345">
        <v>3428</v>
      </c>
      <c r="B2894" s="346" t="s">
        <v>266</v>
      </c>
      <c r="C2894" s="347">
        <v>1500</v>
      </c>
      <c r="D2894" s="348">
        <v>46388</v>
      </c>
      <c r="E2894" s="348">
        <v>46388</v>
      </c>
      <c r="F2894" s="346" t="s">
        <v>610</v>
      </c>
      <c r="G2894" s="349" t="s">
        <v>441</v>
      </c>
      <c r="H2894" s="350">
        <f t="shared" si="58"/>
        <v>1500</v>
      </c>
      <c r="I2894" s="120" t="str">
        <f>IF(OR(D2894&lt;Capa!$A$5,D2894&gt;Capa!$A$7,E2894&lt;Capa!$A$5,E2894&gt;Capa!$A$7,D2894&gt;E2894),"Erro","")</f>
        <v/>
      </c>
    </row>
    <row r="2895" spans="1:9" ht="30" hidden="1">
      <c r="A2895" s="345">
        <v>3429</v>
      </c>
      <c r="B2895" s="346" t="s">
        <v>266</v>
      </c>
      <c r="C2895" s="347">
        <v>750</v>
      </c>
      <c r="D2895" s="348">
        <v>46753</v>
      </c>
      <c r="E2895" s="348">
        <v>46753</v>
      </c>
      <c r="F2895" s="346" t="s">
        <v>610</v>
      </c>
      <c r="G2895" s="349" t="s">
        <v>441</v>
      </c>
      <c r="H2895" s="350">
        <f t="shared" si="58"/>
        <v>750</v>
      </c>
      <c r="I2895" s="120" t="str">
        <f>IF(OR(D2895&lt;Capa!$A$5,D2895&gt;Capa!$A$7,E2895&lt;Capa!$A$5,E2895&gt;Capa!$A$7,D2895&gt;E2895),"Erro","")</f>
        <v/>
      </c>
    </row>
    <row r="2896" spans="1:9" hidden="1">
      <c r="A2896" s="345">
        <v>3430</v>
      </c>
      <c r="B2896" s="346" t="s">
        <v>274</v>
      </c>
      <c r="C2896" s="347">
        <v>850</v>
      </c>
      <c r="D2896" s="348">
        <v>45839</v>
      </c>
      <c r="E2896" s="348">
        <v>45992</v>
      </c>
      <c r="F2896" s="346" t="s">
        <v>610</v>
      </c>
      <c r="G2896" s="349" t="s">
        <v>442</v>
      </c>
      <c r="H2896" s="350">
        <f t="shared" si="58"/>
        <v>5100</v>
      </c>
      <c r="I2896" s="120" t="str">
        <f>IF(OR(D2896&lt;Capa!$A$5,D2896&gt;Capa!$A$7,E2896&lt;Capa!$A$5,E2896&gt;Capa!$A$7,D2896&gt;E2896),"Erro","")</f>
        <v/>
      </c>
    </row>
    <row r="2897" spans="1:9" hidden="1">
      <c r="A2897" s="345">
        <v>3431</v>
      </c>
      <c r="B2897" s="346" t="s">
        <v>274</v>
      </c>
      <c r="C2897" s="347">
        <v>850</v>
      </c>
      <c r="D2897" s="348">
        <v>46023</v>
      </c>
      <c r="E2897" s="348">
        <v>46357</v>
      </c>
      <c r="F2897" s="346" t="s">
        <v>610</v>
      </c>
      <c r="G2897" s="349" t="s">
        <v>442</v>
      </c>
      <c r="H2897" s="350">
        <f t="shared" si="58"/>
        <v>10200</v>
      </c>
      <c r="I2897" s="120" t="str">
        <f>IF(OR(D2897&lt;Capa!$A$5,D2897&gt;Capa!$A$7,E2897&lt;Capa!$A$5,E2897&gt;Capa!$A$7,D2897&gt;E2897),"Erro","")</f>
        <v/>
      </c>
    </row>
    <row r="2898" spans="1:9" hidden="1">
      <c r="A2898" s="345">
        <v>3432</v>
      </c>
      <c r="B2898" s="346" t="s">
        <v>274</v>
      </c>
      <c r="C2898" s="347">
        <v>850</v>
      </c>
      <c r="D2898" s="348">
        <v>46388</v>
      </c>
      <c r="E2898" s="348">
        <v>46722</v>
      </c>
      <c r="F2898" s="346" t="s">
        <v>610</v>
      </c>
      <c r="G2898" s="349" t="s">
        <v>442</v>
      </c>
      <c r="H2898" s="350">
        <f t="shared" si="58"/>
        <v>10200</v>
      </c>
      <c r="I2898" s="120" t="str">
        <f>IF(OR(D2898&lt;Capa!$A$5,D2898&gt;Capa!$A$7,E2898&lt;Capa!$A$5,E2898&gt;Capa!$A$7,D2898&gt;E2898),"Erro","")</f>
        <v/>
      </c>
    </row>
    <row r="2899" spans="1:9" hidden="1">
      <c r="A2899" s="345">
        <v>3433</v>
      </c>
      <c r="B2899" s="346" t="s">
        <v>274</v>
      </c>
      <c r="C2899" s="347">
        <v>450</v>
      </c>
      <c r="D2899" s="348">
        <v>46753</v>
      </c>
      <c r="E2899" s="348">
        <v>47058</v>
      </c>
      <c r="F2899" s="346" t="s">
        <v>610</v>
      </c>
      <c r="G2899" s="349" t="s">
        <v>442</v>
      </c>
      <c r="H2899" s="350">
        <f t="shared" si="58"/>
        <v>4950</v>
      </c>
      <c r="I2899" s="120" t="str">
        <f>IF(OR(D2899&lt;Capa!$A$5,D2899&gt;Capa!$A$7,E2899&lt;Capa!$A$5,E2899&gt;Capa!$A$7,D2899&gt;E2899),"Erro","")</f>
        <v/>
      </c>
    </row>
    <row r="2900" spans="1:9" ht="40" hidden="1">
      <c r="A2900" s="345">
        <v>3434</v>
      </c>
      <c r="B2900" s="346" t="s">
        <v>236</v>
      </c>
      <c r="C2900" s="347">
        <v>450</v>
      </c>
      <c r="D2900" s="348">
        <v>45839</v>
      </c>
      <c r="E2900" s="348">
        <v>45992</v>
      </c>
      <c r="F2900" s="346" t="s">
        <v>610</v>
      </c>
      <c r="G2900" s="349" t="s">
        <v>443</v>
      </c>
      <c r="H2900" s="350">
        <f t="shared" si="58"/>
        <v>2700</v>
      </c>
      <c r="I2900" s="120" t="str">
        <f>IF(OR(D2900&lt;Capa!$A$5,D2900&gt;Capa!$A$7,E2900&lt;Capa!$A$5,E2900&gt;Capa!$A$7,D2900&gt;E2900),"Erro","")</f>
        <v/>
      </c>
    </row>
    <row r="2901" spans="1:9" ht="40" hidden="1">
      <c r="A2901" s="345">
        <v>3435</v>
      </c>
      <c r="B2901" s="346" t="s">
        <v>236</v>
      </c>
      <c r="C2901" s="347">
        <v>450</v>
      </c>
      <c r="D2901" s="348">
        <v>46023</v>
      </c>
      <c r="E2901" s="348">
        <v>46357</v>
      </c>
      <c r="F2901" s="346" t="s">
        <v>610</v>
      </c>
      <c r="G2901" s="349" t="s">
        <v>443</v>
      </c>
      <c r="H2901" s="350">
        <f t="shared" si="58"/>
        <v>5400</v>
      </c>
      <c r="I2901" s="120" t="str">
        <f>IF(OR(D2901&lt;Capa!$A$5,D2901&gt;Capa!$A$7,E2901&lt;Capa!$A$5,E2901&gt;Capa!$A$7,D2901&gt;E2901),"Erro","")</f>
        <v/>
      </c>
    </row>
    <row r="2902" spans="1:9" ht="40" hidden="1">
      <c r="A2902" s="345">
        <v>3436</v>
      </c>
      <c r="B2902" s="346" t="s">
        <v>236</v>
      </c>
      <c r="C2902" s="347">
        <v>450</v>
      </c>
      <c r="D2902" s="348">
        <v>46388</v>
      </c>
      <c r="E2902" s="348">
        <v>46722</v>
      </c>
      <c r="F2902" s="346" t="s">
        <v>610</v>
      </c>
      <c r="G2902" s="349" t="s">
        <v>443</v>
      </c>
      <c r="H2902" s="350">
        <f t="shared" si="58"/>
        <v>5400</v>
      </c>
      <c r="I2902" s="120" t="str">
        <f>IF(OR(D2902&lt;Capa!$A$5,D2902&gt;Capa!$A$7,E2902&lt;Capa!$A$5,E2902&gt;Capa!$A$7,D2902&gt;E2902),"Erro","")</f>
        <v/>
      </c>
    </row>
    <row r="2903" spans="1:9" ht="40" hidden="1">
      <c r="A2903" s="345">
        <v>3437</v>
      </c>
      <c r="B2903" s="346" t="s">
        <v>236</v>
      </c>
      <c r="C2903" s="347">
        <v>200</v>
      </c>
      <c r="D2903" s="348">
        <v>46753</v>
      </c>
      <c r="E2903" s="348">
        <v>47058</v>
      </c>
      <c r="F2903" s="346" t="s">
        <v>610</v>
      </c>
      <c r="G2903" s="349" t="s">
        <v>443</v>
      </c>
      <c r="H2903" s="350">
        <f t="shared" si="58"/>
        <v>2200</v>
      </c>
      <c r="I2903" s="120" t="str">
        <f>IF(OR(D2903&lt;Capa!$A$5,D2903&gt;Capa!$A$7,E2903&lt;Capa!$A$5,E2903&gt;Capa!$A$7,D2903&gt;E2903),"Erro","")</f>
        <v/>
      </c>
    </row>
    <row r="2904" spans="1:9" ht="30" hidden="1">
      <c r="A2904" s="345">
        <v>3438</v>
      </c>
      <c r="B2904" s="346" t="s">
        <v>240</v>
      </c>
      <c r="C2904" s="347">
        <v>50</v>
      </c>
      <c r="D2904" s="348">
        <v>45839</v>
      </c>
      <c r="E2904" s="348">
        <v>45992</v>
      </c>
      <c r="F2904" s="346" t="s">
        <v>610</v>
      </c>
      <c r="G2904" s="349" t="s">
        <v>444</v>
      </c>
      <c r="H2904" s="350">
        <f t="shared" si="58"/>
        <v>300</v>
      </c>
      <c r="I2904" s="120" t="str">
        <f>IF(OR(D2904&lt;Capa!$A$5,D2904&gt;Capa!$A$7,E2904&lt;Capa!$A$5,E2904&gt;Capa!$A$7,D2904&gt;E2904),"Erro","")</f>
        <v/>
      </c>
    </row>
    <row r="2905" spans="1:9" ht="30" hidden="1">
      <c r="A2905" s="345">
        <v>3439</v>
      </c>
      <c r="B2905" s="346" t="s">
        <v>240</v>
      </c>
      <c r="C2905" s="347">
        <v>50</v>
      </c>
      <c r="D2905" s="348">
        <v>46023</v>
      </c>
      <c r="E2905" s="348">
        <v>46357</v>
      </c>
      <c r="F2905" s="346" t="s">
        <v>610</v>
      </c>
      <c r="G2905" s="349" t="s">
        <v>444</v>
      </c>
      <c r="H2905" s="350">
        <f t="shared" si="58"/>
        <v>600</v>
      </c>
      <c r="I2905" s="120" t="str">
        <f>IF(OR(D2905&lt;Capa!$A$5,D2905&gt;Capa!$A$7,E2905&lt;Capa!$A$5,E2905&gt;Capa!$A$7,D2905&gt;E2905),"Erro","")</f>
        <v/>
      </c>
    </row>
    <row r="2906" spans="1:9" ht="30" hidden="1">
      <c r="A2906" s="345">
        <v>3440</v>
      </c>
      <c r="B2906" s="346" t="s">
        <v>240</v>
      </c>
      <c r="C2906" s="347">
        <v>50</v>
      </c>
      <c r="D2906" s="348">
        <v>46388</v>
      </c>
      <c r="E2906" s="348">
        <v>46722</v>
      </c>
      <c r="F2906" s="346" t="s">
        <v>610</v>
      </c>
      <c r="G2906" s="349" t="s">
        <v>444</v>
      </c>
      <c r="H2906" s="350">
        <f t="shared" si="58"/>
        <v>600</v>
      </c>
      <c r="I2906" s="120" t="str">
        <f>IF(OR(D2906&lt;Capa!$A$5,D2906&gt;Capa!$A$7,E2906&lt;Capa!$A$5,E2906&gt;Capa!$A$7,D2906&gt;E2906),"Erro","")</f>
        <v/>
      </c>
    </row>
    <row r="2907" spans="1:9" ht="30" hidden="1">
      <c r="A2907" s="345">
        <v>3441</v>
      </c>
      <c r="B2907" s="346" t="s">
        <v>240</v>
      </c>
      <c r="C2907" s="347">
        <v>25</v>
      </c>
      <c r="D2907" s="348">
        <v>46753</v>
      </c>
      <c r="E2907" s="348">
        <v>47058</v>
      </c>
      <c r="F2907" s="346" t="s">
        <v>610</v>
      </c>
      <c r="G2907" s="349" t="s">
        <v>444</v>
      </c>
      <c r="H2907" s="350">
        <f t="shared" si="58"/>
        <v>275</v>
      </c>
      <c r="I2907" s="120" t="str">
        <f>IF(OR(D2907&lt;Capa!$A$5,D2907&gt;Capa!$A$7,E2907&lt;Capa!$A$5,E2907&gt;Capa!$A$7,D2907&gt;E2907),"Erro","")</f>
        <v/>
      </c>
    </row>
    <row r="2908" spans="1:9" ht="30" hidden="1">
      <c r="A2908" s="345">
        <v>3442</v>
      </c>
      <c r="B2908" s="346" t="s">
        <v>244</v>
      </c>
      <c r="C2908" s="347">
        <v>250</v>
      </c>
      <c r="D2908" s="348">
        <v>45839</v>
      </c>
      <c r="E2908" s="348">
        <v>45992</v>
      </c>
      <c r="F2908" s="346" t="s">
        <v>610</v>
      </c>
      <c r="G2908" s="349" t="s">
        <v>445</v>
      </c>
      <c r="H2908" s="350">
        <f t="shared" si="58"/>
        <v>1500</v>
      </c>
      <c r="I2908" s="120" t="str">
        <f>IF(OR(D2908&lt;Capa!$A$5,D2908&gt;Capa!$A$7,E2908&lt;Capa!$A$5,E2908&gt;Capa!$A$7,D2908&gt;E2908),"Erro","")</f>
        <v/>
      </c>
    </row>
    <row r="2909" spans="1:9" ht="30" hidden="1">
      <c r="A2909" s="345">
        <v>3443</v>
      </c>
      <c r="B2909" s="346" t="s">
        <v>244</v>
      </c>
      <c r="C2909" s="347">
        <v>250</v>
      </c>
      <c r="D2909" s="348">
        <v>46023</v>
      </c>
      <c r="E2909" s="348">
        <v>46357</v>
      </c>
      <c r="F2909" s="346" t="s">
        <v>610</v>
      </c>
      <c r="G2909" s="349" t="s">
        <v>445</v>
      </c>
      <c r="H2909" s="350">
        <f t="shared" si="58"/>
        <v>3000</v>
      </c>
      <c r="I2909" s="120" t="str">
        <f>IF(OR(D2909&lt;Capa!$A$5,D2909&gt;Capa!$A$7,E2909&lt;Capa!$A$5,E2909&gt;Capa!$A$7,D2909&gt;E2909),"Erro","")</f>
        <v/>
      </c>
    </row>
    <row r="2910" spans="1:9" ht="30" hidden="1">
      <c r="A2910" s="345">
        <v>3444</v>
      </c>
      <c r="B2910" s="346" t="s">
        <v>244</v>
      </c>
      <c r="C2910" s="347">
        <v>250</v>
      </c>
      <c r="D2910" s="348">
        <v>46388</v>
      </c>
      <c r="E2910" s="348">
        <v>46722</v>
      </c>
      <c r="F2910" s="346" t="s">
        <v>610</v>
      </c>
      <c r="G2910" s="349" t="s">
        <v>445</v>
      </c>
      <c r="H2910" s="350">
        <f t="shared" si="58"/>
        <v>3000</v>
      </c>
      <c r="I2910" s="120" t="str">
        <f>IF(OR(D2910&lt;Capa!$A$5,D2910&gt;Capa!$A$7,E2910&lt;Capa!$A$5,E2910&gt;Capa!$A$7,D2910&gt;E2910),"Erro","")</f>
        <v/>
      </c>
    </row>
    <row r="2911" spans="1:9" ht="30" hidden="1">
      <c r="A2911" s="345">
        <v>3445</v>
      </c>
      <c r="B2911" s="346" t="s">
        <v>244</v>
      </c>
      <c r="C2911" s="347">
        <v>125</v>
      </c>
      <c r="D2911" s="348">
        <v>46753</v>
      </c>
      <c r="E2911" s="348">
        <v>47058</v>
      </c>
      <c r="F2911" s="346" t="s">
        <v>610</v>
      </c>
      <c r="G2911" s="349" t="s">
        <v>445</v>
      </c>
      <c r="H2911" s="350">
        <f t="shared" si="58"/>
        <v>1375</v>
      </c>
      <c r="I2911" s="120" t="str">
        <f>IF(OR(D2911&lt;Capa!$A$5,D2911&gt;Capa!$A$7,E2911&lt;Capa!$A$5,E2911&gt;Capa!$A$7,D2911&gt;E2911),"Erro","")</f>
        <v/>
      </c>
    </row>
    <row r="2912" spans="1:9" ht="20" hidden="1">
      <c r="A2912" s="345">
        <v>3446</v>
      </c>
      <c r="B2912" s="346" t="s">
        <v>246</v>
      </c>
      <c r="C2912" s="347">
        <v>390</v>
      </c>
      <c r="D2912" s="348">
        <v>45839</v>
      </c>
      <c r="E2912" s="348">
        <v>45992</v>
      </c>
      <c r="F2912" s="346" t="s">
        <v>610</v>
      </c>
      <c r="G2912" s="349" t="s">
        <v>446</v>
      </c>
      <c r="H2912" s="350">
        <f t="shared" si="58"/>
        <v>2340</v>
      </c>
      <c r="I2912" s="120" t="str">
        <f>IF(OR(D2912&lt;Capa!$A$5,D2912&gt;Capa!$A$7,E2912&lt;Capa!$A$5,E2912&gt;Capa!$A$7,D2912&gt;E2912),"Erro","")</f>
        <v/>
      </c>
    </row>
    <row r="2913" spans="1:9" ht="20" hidden="1">
      <c r="A2913" s="345">
        <v>3447</v>
      </c>
      <c r="B2913" s="346" t="s">
        <v>246</v>
      </c>
      <c r="C2913" s="347">
        <v>390</v>
      </c>
      <c r="D2913" s="348">
        <v>46023</v>
      </c>
      <c r="E2913" s="348">
        <v>46357</v>
      </c>
      <c r="F2913" s="346" t="s">
        <v>610</v>
      </c>
      <c r="G2913" s="349" t="s">
        <v>446</v>
      </c>
      <c r="H2913" s="350">
        <f t="shared" si="58"/>
        <v>4680</v>
      </c>
      <c r="I2913" s="120" t="str">
        <f>IF(OR(D2913&lt;Capa!$A$5,D2913&gt;Capa!$A$7,E2913&lt;Capa!$A$5,E2913&gt;Capa!$A$7,D2913&gt;E2913),"Erro","")</f>
        <v/>
      </c>
    </row>
    <row r="2914" spans="1:9" ht="20" hidden="1">
      <c r="A2914" s="345">
        <v>3448</v>
      </c>
      <c r="B2914" s="346" t="s">
        <v>246</v>
      </c>
      <c r="C2914" s="347">
        <v>390</v>
      </c>
      <c r="D2914" s="348">
        <v>46388</v>
      </c>
      <c r="E2914" s="348">
        <v>46722</v>
      </c>
      <c r="F2914" s="346" t="s">
        <v>610</v>
      </c>
      <c r="G2914" s="349" t="s">
        <v>446</v>
      </c>
      <c r="H2914" s="350">
        <f t="shared" si="58"/>
        <v>4680</v>
      </c>
      <c r="I2914" s="120" t="str">
        <f>IF(OR(D2914&lt;Capa!$A$5,D2914&gt;Capa!$A$7,E2914&lt;Capa!$A$5,E2914&gt;Capa!$A$7,D2914&gt;E2914),"Erro","")</f>
        <v/>
      </c>
    </row>
    <row r="2915" spans="1:9" ht="20" hidden="1">
      <c r="A2915" s="345">
        <v>3449</v>
      </c>
      <c r="B2915" s="346" t="s">
        <v>246</v>
      </c>
      <c r="C2915" s="347">
        <v>190</v>
      </c>
      <c r="D2915" s="348">
        <v>46753</v>
      </c>
      <c r="E2915" s="348">
        <v>47058</v>
      </c>
      <c r="F2915" s="346" t="s">
        <v>610</v>
      </c>
      <c r="G2915" s="349" t="s">
        <v>446</v>
      </c>
      <c r="H2915" s="350">
        <f t="shared" si="58"/>
        <v>2090</v>
      </c>
      <c r="I2915" s="120" t="str">
        <f>IF(OR(D2915&lt;Capa!$A$5,D2915&gt;Capa!$A$7,E2915&lt;Capa!$A$5,E2915&gt;Capa!$A$7,D2915&gt;E2915),"Erro","")</f>
        <v/>
      </c>
    </row>
    <row r="2916" spans="1:9" ht="30" hidden="1">
      <c r="A2916" s="345">
        <v>3450</v>
      </c>
      <c r="B2916" s="346" t="s">
        <v>258</v>
      </c>
      <c r="C2916" s="347">
        <v>50</v>
      </c>
      <c r="D2916" s="348">
        <v>45839</v>
      </c>
      <c r="E2916" s="348">
        <v>45992</v>
      </c>
      <c r="F2916" s="346" t="s">
        <v>610</v>
      </c>
      <c r="G2916" s="349" t="s">
        <v>447</v>
      </c>
      <c r="H2916" s="350">
        <f t="shared" si="58"/>
        <v>300</v>
      </c>
      <c r="I2916" s="120" t="str">
        <f>IF(OR(D2916&lt;Capa!$A$5,D2916&gt;Capa!$A$7,E2916&lt;Capa!$A$5,E2916&gt;Capa!$A$7,D2916&gt;E2916),"Erro","")</f>
        <v/>
      </c>
    </row>
    <row r="2917" spans="1:9" ht="30" hidden="1">
      <c r="A2917" s="345">
        <v>3451</v>
      </c>
      <c r="B2917" s="346" t="s">
        <v>258</v>
      </c>
      <c r="C2917" s="347">
        <v>50</v>
      </c>
      <c r="D2917" s="348">
        <v>46023</v>
      </c>
      <c r="E2917" s="348">
        <v>46357</v>
      </c>
      <c r="F2917" s="346" t="s">
        <v>610</v>
      </c>
      <c r="G2917" s="349" t="s">
        <v>447</v>
      </c>
      <c r="H2917" s="350">
        <f t="shared" si="58"/>
        <v>600</v>
      </c>
      <c r="I2917" s="120" t="str">
        <f>IF(OR(D2917&lt;Capa!$A$5,D2917&gt;Capa!$A$7,E2917&lt;Capa!$A$5,E2917&gt;Capa!$A$7,D2917&gt;E2917),"Erro","")</f>
        <v/>
      </c>
    </row>
    <row r="2918" spans="1:9" ht="30" hidden="1">
      <c r="A2918" s="345">
        <v>3452</v>
      </c>
      <c r="B2918" s="346" t="s">
        <v>258</v>
      </c>
      <c r="C2918" s="347">
        <v>50</v>
      </c>
      <c r="D2918" s="348">
        <v>46388</v>
      </c>
      <c r="E2918" s="348">
        <v>46722</v>
      </c>
      <c r="F2918" s="346" t="s">
        <v>610</v>
      </c>
      <c r="G2918" s="349" t="s">
        <v>447</v>
      </c>
      <c r="H2918" s="350">
        <f t="shared" si="58"/>
        <v>600</v>
      </c>
      <c r="I2918" s="120" t="str">
        <f>IF(OR(D2918&lt;Capa!$A$5,D2918&gt;Capa!$A$7,E2918&lt;Capa!$A$5,E2918&gt;Capa!$A$7,D2918&gt;E2918),"Erro","")</f>
        <v/>
      </c>
    </row>
    <row r="2919" spans="1:9" ht="30" hidden="1">
      <c r="A2919" s="345">
        <v>3453</v>
      </c>
      <c r="B2919" s="346" t="s">
        <v>258</v>
      </c>
      <c r="C2919" s="347">
        <v>20</v>
      </c>
      <c r="D2919" s="348">
        <v>46753</v>
      </c>
      <c r="E2919" s="348">
        <v>47058</v>
      </c>
      <c r="F2919" s="346" t="s">
        <v>610</v>
      </c>
      <c r="G2919" s="349" t="s">
        <v>447</v>
      </c>
      <c r="H2919" s="350">
        <f t="shared" si="58"/>
        <v>220</v>
      </c>
      <c r="I2919" s="120" t="str">
        <f>IF(OR(D2919&lt;Capa!$A$5,D2919&gt;Capa!$A$7,E2919&lt;Capa!$A$5,E2919&gt;Capa!$A$7,D2919&gt;E2919),"Erro","")</f>
        <v/>
      </c>
    </row>
    <row r="2920" spans="1:9" ht="40" hidden="1">
      <c r="A2920" s="345">
        <v>3454</v>
      </c>
      <c r="B2920" s="346" t="s">
        <v>276</v>
      </c>
      <c r="C2920" s="347">
        <v>500</v>
      </c>
      <c r="D2920" s="348">
        <v>45839</v>
      </c>
      <c r="E2920" s="348">
        <v>45992</v>
      </c>
      <c r="F2920" s="346" t="s">
        <v>610</v>
      </c>
      <c r="G2920" s="349" t="s">
        <v>448</v>
      </c>
      <c r="H2920" s="350">
        <f t="shared" si="58"/>
        <v>3000</v>
      </c>
      <c r="I2920" s="120" t="str">
        <f>IF(OR(D2920&lt;Capa!$A$5,D2920&gt;Capa!$A$7,E2920&lt;Capa!$A$5,E2920&gt;Capa!$A$7,D2920&gt;E2920),"Erro","")</f>
        <v/>
      </c>
    </row>
    <row r="2921" spans="1:9" ht="40" hidden="1">
      <c r="A2921" s="345">
        <v>3455</v>
      </c>
      <c r="B2921" s="346" t="s">
        <v>276</v>
      </c>
      <c r="C2921" s="347">
        <v>500</v>
      </c>
      <c r="D2921" s="348">
        <v>46023</v>
      </c>
      <c r="E2921" s="348">
        <v>46357</v>
      </c>
      <c r="F2921" s="346" t="s">
        <v>610</v>
      </c>
      <c r="G2921" s="349" t="s">
        <v>448</v>
      </c>
      <c r="H2921" s="350">
        <f t="shared" si="58"/>
        <v>6000</v>
      </c>
      <c r="I2921" s="120" t="str">
        <f>IF(OR(D2921&lt;Capa!$A$5,D2921&gt;Capa!$A$7,E2921&lt;Capa!$A$5,E2921&gt;Capa!$A$7,D2921&gt;E2921),"Erro","")</f>
        <v/>
      </c>
    </row>
    <row r="2922" spans="1:9" ht="40" hidden="1">
      <c r="A2922" s="345">
        <v>3456</v>
      </c>
      <c r="B2922" s="346" t="s">
        <v>276</v>
      </c>
      <c r="C2922" s="347">
        <v>500</v>
      </c>
      <c r="D2922" s="348">
        <v>46388</v>
      </c>
      <c r="E2922" s="348">
        <v>46722</v>
      </c>
      <c r="F2922" s="346" t="s">
        <v>610</v>
      </c>
      <c r="G2922" s="349" t="s">
        <v>448</v>
      </c>
      <c r="H2922" s="350">
        <f t="shared" si="58"/>
        <v>6000</v>
      </c>
      <c r="I2922" s="120" t="str">
        <f>IF(OR(D2922&lt;Capa!$A$5,D2922&gt;Capa!$A$7,E2922&lt;Capa!$A$5,E2922&gt;Capa!$A$7,D2922&gt;E2922),"Erro","")</f>
        <v/>
      </c>
    </row>
    <row r="2923" spans="1:9" ht="40" hidden="1">
      <c r="A2923" s="345">
        <v>3457</v>
      </c>
      <c r="B2923" s="346" t="s">
        <v>276</v>
      </c>
      <c r="C2923" s="347">
        <v>250</v>
      </c>
      <c r="D2923" s="348">
        <v>46753</v>
      </c>
      <c r="E2923" s="348">
        <v>47058</v>
      </c>
      <c r="F2923" s="346" t="s">
        <v>610</v>
      </c>
      <c r="G2923" s="349" t="s">
        <v>448</v>
      </c>
      <c r="H2923" s="350">
        <f t="shared" si="58"/>
        <v>2750</v>
      </c>
      <c r="I2923" s="120" t="str">
        <f>IF(OR(D2923&lt;Capa!$A$5,D2923&gt;Capa!$A$7,E2923&lt;Capa!$A$5,E2923&gt;Capa!$A$7,D2923&gt;E2923),"Erro","")</f>
        <v/>
      </c>
    </row>
    <row r="2924" spans="1:9" ht="40">
      <c r="A2924" s="345">
        <v>3458</v>
      </c>
      <c r="B2924" s="346" t="s">
        <v>278</v>
      </c>
      <c r="C2924" s="347">
        <v>33000</v>
      </c>
      <c r="D2924" s="348">
        <v>45839</v>
      </c>
      <c r="E2924" s="348">
        <v>45992</v>
      </c>
      <c r="F2924" s="346" t="s">
        <v>610</v>
      </c>
      <c r="G2924" s="349" t="s">
        <v>449</v>
      </c>
      <c r="H2924" s="350">
        <f t="shared" si="58"/>
        <v>198000</v>
      </c>
      <c r="I2924" s="120" t="str">
        <f>IF(OR(D2924&lt;Capa!$A$5,D2924&gt;Capa!$A$7,E2924&lt;Capa!$A$5,E2924&gt;Capa!$A$7,D2924&gt;E2924),"Erro","")</f>
        <v/>
      </c>
    </row>
    <row r="2925" spans="1:9" ht="40">
      <c r="A2925" s="345">
        <v>3459</v>
      </c>
      <c r="B2925" s="346" t="s">
        <v>278</v>
      </c>
      <c r="C2925" s="347">
        <v>33000</v>
      </c>
      <c r="D2925" s="348">
        <v>46023</v>
      </c>
      <c r="E2925" s="348">
        <v>46357</v>
      </c>
      <c r="F2925" s="346" t="s">
        <v>610</v>
      </c>
      <c r="G2925" s="349" t="s">
        <v>449</v>
      </c>
      <c r="H2925" s="350">
        <f t="shared" si="58"/>
        <v>396000</v>
      </c>
      <c r="I2925" s="120" t="str">
        <f>IF(OR(D2925&lt;Capa!$A$5,D2925&gt;Capa!$A$7,E2925&lt;Capa!$A$5,E2925&gt;Capa!$A$7,D2925&gt;E2925),"Erro","")</f>
        <v/>
      </c>
    </row>
    <row r="2926" spans="1:9" ht="40">
      <c r="A2926" s="345">
        <v>3460</v>
      </c>
      <c r="B2926" s="346" t="s">
        <v>278</v>
      </c>
      <c r="C2926" s="347">
        <v>33000</v>
      </c>
      <c r="D2926" s="348">
        <v>46388</v>
      </c>
      <c r="E2926" s="348">
        <v>46722</v>
      </c>
      <c r="F2926" s="346" t="s">
        <v>610</v>
      </c>
      <c r="G2926" s="349" t="s">
        <v>449</v>
      </c>
      <c r="H2926" s="350">
        <f t="shared" si="58"/>
        <v>396000</v>
      </c>
      <c r="I2926" s="120" t="str">
        <f>IF(OR(D2926&lt;Capa!$A$5,D2926&gt;Capa!$A$7,E2926&lt;Capa!$A$5,E2926&gt;Capa!$A$7,D2926&gt;E2926),"Erro","")</f>
        <v/>
      </c>
    </row>
    <row r="2927" spans="1:9" ht="40">
      <c r="A2927" s="345">
        <v>3461</v>
      </c>
      <c r="B2927" s="346" t="s">
        <v>278</v>
      </c>
      <c r="C2927" s="347">
        <v>18500</v>
      </c>
      <c r="D2927" s="348">
        <v>46753</v>
      </c>
      <c r="E2927" s="348">
        <v>47058</v>
      </c>
      <c r="F2927" s="346" t="s">
        <v>610</v>
      </c>
      <c r="G2927" s="349" t="s">
        <v>449</v>
      </c>
      <c r="H2927" s="350">
        <f t="shared" si="58"/>
        <v>203500</v>
      </c>
      <c r="I2927" s="120" t="str">
        <f>IF(OR(D2927&lt;Capa!$A$5,D2927&gt;Capa!$A$7,E2927&lt;Capa!$A$5,E2927&gt;Capa!$A$7,D2927&gt;E2927),"Erro","")</f>
        <v/>
      </c>
    </row>
    <row r="2928" spans="1:9" ht="40" hidden="1">
      <c r="A2928" s="345">
        <v>3462</v>
      </c>
      <c r="B2928" s="346" t="s">
        <v>280</v>
      </c>
      <c r="C2928" s="347">
        <v>100</v>
      </c>
      <c r="D2928" s="348">
        <v>45839</v>
      </c>
      <c r="E2928" s="348">
        <v>45992</v>
      </c>
      <c r="F2928" s="346" t="s">
        <v>610</v>
      </c>
      <c r="G2928" s="349" t="s">
        <v>450</v>
      </c>
      <c r="H2928" s="350">
        <f t="shared" si="58"/>
        <v>600</v>
      </c>
      <c r="I2928" s="120" t="str">
        <f>IF(OR(D2928&lt;Capa!$A$5,D2928&gt;Capa!$A$7,E2928&lt;Capa!$A$5,E2928&gt;Capa!$A$7,D2928&gt;E2928),"Erro","")</f>
        <v/>
      </c>
    </row>
    <row r="2929" spans="1:9" ht="40" hidden="1">
      <c r="A2929" s="345">
        <v>3463</v>
      </c>
      <c r="B2929" s="346" t="s">
        <v>280</v>
      </c>
      <c r="C2929" s="347">
        <v>100</v>
      </c>
      <c r="D2929" s="348">
        <v>46023</v>
      </c>
      <c r="E2929" s="348">
        <v>46357</v>
      </c>
      <c r="F2929" s="346" t="s">
        <v>610</v>
      </c>
      <c r="G2929" s="349" t="s">
        <v>450</v>
      </c>
      <c r="H2929" s="350">
        <f t="shared" si="58"/>
        <v>1200</v>
      </c>
      <c r="I2929" s="120" t="str">
        <f>IF(OR(D2929&lt;Capa!$A$5,D2929&gt;Capa!$A$7,E2929&lt;Capa!$A$5,E2929&gt;Capa!$A$7,D2929&gt;E2929),"Erro","")</f>
        <v/>
      </c>
    </row>
    <row r="2930" spans="1:9" ht="40" hidden="1">
      <c r="A2930" s="345">
        <v>3464</v>
      </c>
      <c r="B2930" s="346" t="s">
        <v>280</v>
      </c>
      <c r="C2930" s="347">
        <v>100</v>
      </c>
      <c r="D2930" s="348">
        <v>46388</v>
      </c>
      <c r="E2930" s="348">
        <v>46722</v>
      </c>
      <c r="F2930" s="346" t="s">
        <v>610</v>
      </c>
      <c r="G2930" s="349" t="s">
        <v>450</v>
      </c>
      <c r="H2930" s="350">
        <f t="shared" si="58"/>
        <v>1200</v>
      </c>
      <c r="I2930" s="120" t="str">
        <f>IF(OR(D2930&lt;Capa!$A$5,D2930&gt;Capa!$A$7,E2930&lt;Capa!$A$5,E2930&gt;Capa!$A$7,D2930&gt;E2930),"Erro","")</f>
        <v/>
      </c>
    </row>
    <row r="2931" spans="1:9" ht="40" hidden="1">
      <c r="A2931" s="345">
        <v>3465</v>
      </c>
      <c r="B2931" s="346" t="s">
        <v>280</v>
      </c>
      <c r="C2931" s="347">
        <v>50</v>
      </c>
      <c r="D2931" s="348">
        <v>46753</v>
      </c>
      <c r="E2931" s="348">
        <v>47058</v>
      </c>
      <c r="F2931" s="346" t="s">
        <v>610</v>
      </c>
      <c r="G2931" s="349" t="s">
        <v>450</v>
      </c>
      <c r="H2931" s="350">
        <f t="shared" si="58"/>
        <v>550</v>
      </c>
      <c r="I2931" s="120" t="str">
        <f>IF(OR(D2931&lt;Capa!$A$5,D2931&gt;Capa!$A$7,E2931&lt;Capa!$A$5,E2931&gt;Capa!$A$7,D2931&gt;E2931),"Erro","")</f>
        <v/>
      </c>
    </row>
    <row r="2932" spans="1:9" ht="40" hidden="1">
      <c r="A2932" s="345">
        <v>3466</v>
      </c>
      <c r="B2932" s="346" t="s">
        <v>282</v>
      </c>
      <c r="C2932" s="347">
        <v>450</v>
      </c>
      <c r="D2932" s="348">
        <v>45839</v>
      </c>
      <c r="E2932" s="348">
        <v>45992</v>
      </c>
      <c r="F2932" s="346" t="s">
        <v>610</v>
      </c>
      <c r="G2932" s="349" t="s">
        <v>451</v>
      </c>
      <c r="H2932" s="350">
        <f t="shared" si="58"/>
        <v>2700</v>
      </c>
      <c r="I2932" s="120" t="str">
        <f>IF(OR(D2932&lt;Capa!$A$5,D2932&gt;Capa!$A$7,E2932&lt;Capa!$A$5,E2932&gt;Capa!$A$7,D2932&gt;E2932),"Erro","")</f>
        <v/>
      </c>
    </row>
    <row r="2933" spans="1:9" ht="40" hidden="1">
      <c r="A2933" s="345">
        <v>3467</v>
      </c>
      <c r="B2933" s="346" t="s">
        <v>282</v>
      </c>
      <c r="C2933" s="347">
        <v>450</v>
      </c>
      <c r="D2933" s="348">
        <v>46023</v>
      </c>
      <c r="E2933" s="348">
        <v>46357</v>
      </c>
      <c r="F2933" s="346" t="s">
        <v>610</v>
      </c>
      <c r="G2933" s="349" t="s">
        <v>451</v>
      </c>
      <c r="H2933" s="350">
        <f t="shared" si="58"/>
        <v>5400</v>
      </c>
      <c r="I2933" s="120" t="str">
        <f>IF(OR(D2933&lt;Capa!$A$5,D2933&gt;Capa!$A$7,E2933&lt;Capa!$A$5,E2933&gt;Capa!$A$7,D2933&gt;E2933),"Erro","")</f>
        <v/>
      </c>
    </row>
    <row r="2934" spans="1:9" ht="40" hidden="1">
      <c r="A2934" s="345">
        <v>3468</v>
      </c>
      <c r="B2934" s="346" t="s">
        <v>282</v>
      </c>
      <c r="C2934" s="347">
        <v>450</v>
      </c>
      <c r="D2934" s="348">
        <v>46388</v>
      </c>
      <c r="E2934" s="348">
        <v>46722</v>
      </c>
      <c r="F2934" s="346" t="s">
        <v>610</v>
      </c>
      <c r="G2934" s="349" t="s">
        <v>451</v>
      </c>
      <c r="H2934" s="350">
        <f t="shared" si="58"/>
        <v>5400</v>
      </c>
      <c r="I2934" s="120" t="str">
        <f>IF(OR(D2934&lt;Capa!$A$5,D2934&gt;Capa!$A$7,E2934&lt;Capa!$A$5,E2934&gt;Capa!$A$7,D2934&gt;E2934),"Erro","")</f>
        <v/>
      </c>
    </row>
    <row r="2935" spans="1:9" ht="40" hidden="1">
      <c r="A2935" s="345">
        <v>3469</v>
      </c>
      <c r="B2935" s="346" t="s">
        <v>282</v>
      </c>
      <c r="C2935" s="347">
        <v>200</v>
      </c>
      <c r="D2935" s="348">
        <v>46753</v>
      </c>
      <c r="E2935" s="348">
        <v>47058</v>
      </c>
      <c r="F2935" s="346" t="s">
        <v>610</v>
      </c>
      <c r="G2935" s="349" t="s">
        <v>451</v>
      </c>
      <c r="H2935" s="350">
        <f t="shared" si="58"/>
        <v>2200</v>
      </c>
      <c r="I2935" s="120" t="str">
        <f>IF(OR(D2935&lt;Capa!$A$5,D2935&gt;Capa!$A$7,E2935&lt;Capa!$A$5,E2935&gt;Capa!$A$7,D2935&gt;E2935),"Erro","")</f>
        <v/>
      </c>
    </row>
    <row r="2936" spans="1:9" ht="40" hidden="1">
      <c r="A2936" s="345">
        <v>3470</v>
      </c>
      <c r="B2936" s="346" t="s">
        <v>284</v>
      </c>
      <c r="C2936" s="347">
        <v>950</v>
      </c>
      <c r="D2936" s="348">
        <v>45839</v>
      </c>
      <c r="E2936" s="348">
        <v>45992</v>
      </c>
      <c r="F2936" s="346" t="s">
        <v>610</v>
      </c>
      <c r="G2936" s="349" t="s">
        <v>451</v>
      </c>
      <c r="H2936" s="350">
        <f t="shared" si="58"/>
        <v>5700</v>
      </c>
      <c r="I2936" s="120" t="str">
        <f>IF(OR(D2936&lt;Capa!$A$5,D2936&gt;Capa!$A$7,E2936&lt;Capa!$A$5,E2936&gt;Capa!$A$7,D2936&gt;E2936),"Erro","")</f>
        <v/>
      </c>
    </row>
    <row r="2937" spans="1:9" ht="40" hidden="1">
      <c r="A2937" s="345">
        <v>3471</v>
      </c>
      <c r="B2937" s="346" t="s">
        <v>284</v>
      </c>
      <c r="C2937" s="347">
        <v>950</v>
      </c>
      <c r="D2937" s="348">
        <v>46023</v>
      </c>
      <c r="E2937" s="348">
        <v>46357</v>
      </c>
      <c r="F2937" s="346" t="s">
        <v>610</v>
      </c>
      <c r="G2937" s="349" t="s">
        <v>451</v>
      </c>
      <c r="H2937" s="350">
        <f t="shared" si="58"/>
        <v>11400</v>
      </c>
      <c r="I2937" s="120" t="str">
        <f>IF(OR(D2937&lt;Capa!$A$5,D2937&gt;Capa!$A$7,E2937&lt;Capa!$A$5,E2937&gt;Capa!$A$7,D2937&gt;E2937),"Erro","")</f>
        <v/>
      </c>
    </row>
    <row r="2938" spans="1:9" ht="40" hidden="1">
      <c r="A2938" s="345">
        <v>3472</v>
      </c>
      <c r="B2938" s="346" t="s">
        <v>284</v>
      </c>
      <c r="C2938" s="347">
        <v>950</v>
      </c>
      <c r="D2938" s="348">
        <v>46388</v>
      </c>
      <c r="E2938" s="348">
        <v>46722</v>
      </c>
      <c r="F2938" s="346" t="s">
        <v>610</v>
      </c>
      <c r="G2938" s="349" t="s">
        <v>451</v>
      </c>
      <c r="H2938" s="350">
        <f t="shared" si="58"/>
        <v>11400</v>
      </c>
      <c r="I2938" s="120" t="str">
        <f>IF(OR(D2938&lt;Capa!$A$5,D2938&gt;Capa!$A$7,E2938&lt;Capa!$A$5,E2938&gt;Capa!$A$7,D2938&gt;E2938),"Erro","")</f>
        <v/>
      </c>
    </row>
    <row r="2939" spans="1:9" ht="40" hidden="1">
      <c r="A2939" s="345">
        <v>3473</v>
      </c>
      <c r="B2939" s="346" t="s">
        <v>284</v>
      </c>
      <c r="C2939" s="347">
        <v>400</v>
      </c>
      <c r="D2939" s="348">
        <v>46753</v>
      </c>
      <c r="E2939" s="348">
        <v>47058</v>
      </c>
      <c r="F2939" s="346" t="s">
        <v>610</v>
      </c>
      <c r="G2939" s="349" t="s">
        <v>451</v>
      </c>
      <c r="H2939" s="350">
        <f t="shared" si="58"/>
        <v>4400</v>
      </c>
      <c r="I2939" s="120" t="str">
        <f>IF(OR(D2939&lt;Capa!$A$5,D2939&gt;Capa!$A$7,E2939&lt;Capa!$A$5,E2939&gt;Capa!$A$7,D2939&gt;E2939),"Erro","")</f>
        <v/>
      </c>
    </row>
    <row r="2940" spans="1:9" ht="40" hidden="1">
      <c r="A2940" s="345">
        <v>3474</v>
      </c>
      <c r="B2940" s="346" t="s">
        <v>286</v>
      </c>
      <c r="C2940" s="347">
        <v>1000</v>
      </c>
      <c r="D2940" s="348">
        <v>45839</v>
      </c>
      <c r="E2940" s="348">
        <v>45992</v>
      </c>
      <c r="F2940" s="346" t="s">
        <v>610</v>
      </c>
      <c r="G2940" s="349" t="s">
        <v>451</v>
      </c>
      <c r="H2940" s="350">
        <f t="shared" si="58"/>
        <v>6000</v>
      </c>
      <c r="I2940" s="120" t="str">
        <f>IF(OR(D2940&lt;Capa!$A$5,D2940&gt;Capa!$A$7,E2940&lt;Capa!$A$5,E2940&gt;Capa!$A$7,D2940&gt;E2940),"Erro","")</f>
        <v/>
      </c>
    </row>
    <row r="2941" spans="1:9" ht="40" hidden="1">
      <c r="A2941" s="345">
        <v>3475</v>
      </c>
      <c r="B2941" s="346" t="s">
        <v>286</v>
      </c>
      <c r="C2941" s="347">
        <v>1000</v>
      </c>
      <c r="D2941" s="348">
        <v>46023</v>
      </c>
      <c r="E2941" s="348">
        <v>46357</v>
      </c>
      <c r="F2941" s="346" t="s">
        <v>610</v>
      </c>
      <c r="G2941" s="349" t="s">
        <v>451</v>
      </c>
      <c r="H2941" s="350">
        <f t="shared" si="58"/>
        <v>12000</v>
      </c>
      <c r="I2941" s="120" t="str">
        <f>IF(OR(D2941&lt;Capa!$A$5,D2941&gt;Capa!$A$7,E2941&lt;Capa!$A$5,E2941&gt;Capa!$A$7,D2941&gt;E2941),"Erro","")</f>
        <v/>
      </c>
    </row>
    <row r="2942" spans="1:9" ht="40" hidden="1">
      <c r="A2942" s="345">
        <v>3476</v>
      </c>
      <c r="B2942" s="346" t="s">
        <v>286</v>
      </c>
      <c r="C2942" s="347">
        <v>1000</v>
      </c>
      <c r="D2942" s="348">
        <v>46388</v>
      </c>
      <c r="E2942" s="348">
        <v>46722</v>
      </c>
      <c r="F2942" s="346" t="s">
        <v>610</v>
      </c>
      <c r="G2942" s="349" t="s">
        <v>451</v>
      </c>
      <c r="H2942" s="350">
        <f t="shared" si="58"/>
        <v>12000</v>
      </c>
      <c r="I2942" s="120" t="str">
        <f>IF(OR(D2942&lt;Capa!$A$5,D2942&gt;Capa!$A$7,E2942&lt;Capa!$A$5,E2942&gt;Capa!$A$7,D2942&gt;E2942),"Erro","")</f>
        <v/>
      </c>
    </row>
    <row r="2943" spans="1:9" ht="40" hidden="1">
      <c r="A2943" s="345">
        <v>3477</v>
      </c>
      <c r="B2943" s="346" t="s">
        <v>286</v>
      </c>
      <c r="C2943" s="347">
        <v>500</v>
      </c>
      <c r="D2943" s="348">
        <v>46753</v>
      </c>
      <c r="E2943" s="348">
        <v>47058</v>
      </c>
      <c r="F2943" s="346" t="s">
        <v>610</v>
      </c>
      <c r="G2943" s="349" t="s">
        <v>451</v>
      </c>
      <c r="H2943" s="350">
        <f t="shared" si="58"/>
        <v>5500</v>
      </c>
      <c r="I2943" s="120" t="str">
        <f>IF(OR(D2943&lt;Capa!$A$5,D2943&gt;Capa!$A$7,E2943&lt;Capa!$A$5,E2943&gt;Capa!$A$7,D2943&gt;E2943),"Erro","")</f>
        <v/>
      </c>
    </row>
    <row r="2944" spans="1:9" ht="30" hidden="1">
      <c r="A2944" s="345">
        <v>3478</v>
      </c>
      <c r="B2944" s="346" t="s">
        <v>288</v>
      </c>
      <c r="C2944" s="347">
        <v>200</v>
      </c>
      <c r="D2944" s="348">
        <v>45839</v>
      </c>
      <c r="E2944" s="348">
        <v>45992</v>
      </c>
      <c r="F2944" s="346" t="s">
        <v>610</v>
      </c>
      <c r="G2944" s="349" t="s">
        <v>452</v>
      </c>
      <c r="H2944" s="350">
        <f t="shared" si="58"/>
        <v>1200</v>
      </c>
      <c r="I2944" s="120" t="str">
        <f>IF(OR(D2944&lt;Capa!$A$5,D2944&gt;Capa!$A$7,E2944&lt;Capa!$A$5,E2944&gt;Capa!$A$7,D2944&gt;E2944),"Erro","")</f>
        <v/>
      </c>
    </row>
    <row r="2945" spans="1:9" ht="30" hidden="1">
      <c r="A2945" s="345">
        <v>3479</v>
      </c>
      <c r="B2945" s="346" t="s">
        <v>288</v>
      </c>
      <c r="C2945" s="347">
        <v>200</v>
      </c>
      <c r="D2945" s="348">
        <v>46023</v>
      </c>
      <c r="E2945" s="348">
        <v>46357</v>
      </c>
      <c r="F2945" s="346" t="s">
        <v>610</v>
      </c>
      <c r="G2945" s="349" t="s">
        <v>452</v>
      </c>
      <c r="H2945" s="350">
        <f t="shared" si="58"/>
        <v>2400</v>
      </c>
      <c r="I2945" s="120" t="str">
        <f>IF(OR(D2945&lt;Capa!$A$5,D2945&gt;Capa!$A$7,E2945&lt;Capa!$A$5,E2945&gt;Capa!$A$7,D2945&gt;E2945),"Erro","")</f>
        <v/>
      </c>
    </row>
    <row r="2946" spans="1:9" ht="30" hidden="1">
      <c r="A2946" s="345">
        <v>3480</v>
      </c>
      <c r="B2946" s="346" t="s">
        <v>288</v>
      </c>
      <c r="C2946" s="347">
        <v>200</v>
      </c>
      <c r="D2946" s="348">
        <v>46388</v>
      </c>
      <c r="E2946" s="348">
        <v>46722</v>
      </c>
      <c r="F2946" s="346" t="s">
        <v>610</v>
      </c>
      <c r="G2946" s="349" t="s">
        <v>452</v>
      </c>
      <c r="H2946" s="350">
        <f t="shared" si="58"/>
        <v>2400</v>
      </c>
      <c r="I2946" s="120" t="str">
        <f>IF(OR(D2946&lt;Capa!$A$5,D2946&gt;Capa!$A$7,E2946&lt;Capa!$A$5,E2946&gt;Capa!$A$7,D2946&gt;E2946),"Erro","")</f>
        <v/>
      </c>
    </row>
    <row r="2947" spans="1:9" ht="30" hidden="1">
      <c r="A2947" s="345">
        <v>3481</v>
      </c>
      <c r="B2947" s="346" t="s">
        <v>288</v>
      </c>
      <c r="C2947" s="347">
        <v>100</v>
      </c>
      <c r="D2947" s="348">
        <v>46753</v>
      </c>
      <c r="E2947" s="348">
        <v>47058</v>
      </c>
      <c r="F2947" s="346" t="s">
        <v>610</v>
      </c>
      <c r="G2947" s="349" t="s">
        <v>452</v>
      </c>
      <c r="H2947" s="350">
        <f t="shared" si="58"/>
        <v>1100</v>
      </c>
      <c r="I2947" s="120" t="str">
        <f>IF(OR(D2947&lt;Capa!$A$5,D2947&gt;Capa!$A$7,E2947&lt;Capa!$A$5,E2947&gt;Capa!$A$7,D2947&gt;E2947),"Erro","")</f>
        <v/>
      </c>
    </row>
    <row r="2948" spans="1:9" ht="30" hidden="1">
      <c r="A2948" s="345">
        <v>3482</v>
      </c>
      <c r="B2948" s="346" t="s">
        <v>294</v>
      </c>
      <c r="C2948" s="347">
        <v>2000</v>
      </c>
      <c r="D2948" s="348">
        <v>45839</v>
      </c>
      <c r="E2948" s="348">
        <v>45992</v>
      </c>
      <c r="F2948" s="346" t="s">
        <v>610</v>
      </c>
      <c r="G2948" s="349" t="s">
        <v>453</v>
      </c>
      <c r="H2948" s="350">
        <f t="shared" si="58"/>
        <v>12000</v>
      </c>
      <c r="I2948" s="120" t="str">
        <f>IF(OR(D2948&lt;Capa!$A$5,D2948&gt;Capa!$A$7,E2948&lt;Capa!$A$5,E2948&gt;Capa!$A$7,D2948&gt;E2948),"Erro","")</f>
        <v/>
      </c>
    </row>
    <row r="2949" spans="1:9" ht="30" hidden="1">
      <c r="A2949" s="345">
        <v>3483</v>
      </c>
      <c r="B2949" s="346" t="s">
        <v>294</v>
      </c>
      <c r="C2949" s="347">
        <v>2000</v>
      </c>
      <c r="D2949" s="348">
        <v>46023</v>
      </c>
      <c r="E2949" s="348">
        <v>46357</v>
      </c>
      <c r="F2949" s="346" t="s">
        <v>610</v>
      </c>
      <c r="G2949" s="349" t="s">
        <v>453</v>
      </c>
      <c r="H2949" s="350">
        <f t="shared" si="58"/>
        <v>24000</v>
      </c>
      <c r="I2949" s="120" t="str">
        <f>IF(OR(D2949&lt;Capa!$A$5,D2949&gt;Capa!$A$7,E2949&lt;Capa!$A$5,E2949&gt;Capa!$A$7,D2949&gt;E2949),"Erro","")</f>
        <v/>
      </c>
    </row>
    <row r="2950" spans="1:9" ht="30" hidden="1">
      <c r="A2950" s="345">
        <v>3484</v>
      </c>
      <c r="B2950" s="346" t="s">
        <v>294</v>
      </c>
      <c r="C2950" s="347">
        <v>2000</v>
      </c>
      <c r="D2950" s="348">
        <v>46388</v>
      </c>
      <c r="E2950" s="348">
        <v>46722</v>
      </c>
      <c r="F2950" s="346" t="s">
        <v>610</v>
      </c>
      <c r="G2950" s="349" t="s">
        <v>453</v>
      </c>
      <c r="H2950" s="350">
        <f t="shared" si="58"/>
        <v>24000</v>
      </c>
      <c r="I2950" s="120" t="str">
        <f>IF(OR(D2950&lt;Capa!$A$5,D2950&gt;Capa!$A$7,E2950&lt;Capa!$A$5,E2950&gt;Capa!$A$7,D2950&gt;E2950),"Erro","")</f>
        <v/>
      </c>
    </row>
    <row r="2951" spans="1:9" ht="30" hidden="1">
      <c r="A2951" s="345">
        <v>3485</v>
      </c>
      <c r="B2951" s="346" t="s">
        <v>294</v>
      </c>
      <c r="C2951" s="347">
        <v>2000</v>
      </c>
      <c r="D2951" s="348">
        <v>46753</v>
      </c>
      <c r="E2951" s="348">
        <v>47058</v>
      </c>
      <c r="F2951" s="346" t="s">
        <v>610</v>
      </c>
      <c r="G2951" s="349" t="s">
        <v>453</v>
      </c>
      <c r="H2951" s="350">
        <f t="shared" si="58"/>
        <v>22000</v>
      </c>
      <c r="I2951" s="120" t="str">
        <f>IF(OR(D2951&lt;Capa!$A$5,D2951&gt;Capa!$A$7,E2951&lt;Capa!$A$5,E2951&gt;Capa!$A$7,D2951&gt;E2951),"Erro","")</f>
        <v/>
      </c>
    </row>
    <row r="2952" spans="1:9" ht="20" hidden="1">
      <c r="A2952" s="345">
        <v>3486</v>
      </c>
      <c r="B2952" s="346" t="s">
        <v>302</v>
      </c>
      <c r="C2952" s="347">
        <v>100</v>
      </c>
      <c r="D2952" s="348">
        <v>45839</v>
      </c>
      <c r="E2952" s="348">
        <v>45992</v>
      </c>
      <c r="F2952" s="346" t="s">
        <v>610</v>
      </c>
      <c r="G2952" s="349" t="s">
        <v>454</v>
      </c>
      <c r="H2952" s="350">
        <f t="shared" si="58"/>
        <v>600</v>
      </c>
      <c r="I2952" s="120" t="str">
        <f>IF(OR(D2952&lt;Capa!$A$5,D2952&gt;Capa!$A$7,E2952&lt;Capa!$A$5,E2952&gt;Capa!$A$7,D2952&gt;E2952),"Erro","")</f>
        <v/>
      </c>
    </row>
    <row r="2953" spans="1:9" ht="20" hidden="1">
      <c r="A2953" s="345">
        <v>3487</v>
      </c>
      <c r="B2953" s="346" t="s">
        <v>302</v>
      </c>
      <c r="C2953" s="347">
        <v>100</v>
      </c>
      <c r="D2953" s="348">
        <v>46023</v>
      </c>
      <c r="E2953" s="348">
        <v>46357</v>
      </c>
      <c r="F2953" s="346" t="s">
        <v>610</v>
      </c>
      <c r="G2953" s="349" t="s">
        <v>454</v>
      </c>
      <c r="H2953" s="350">
        <f t="shared" si="58"/>
        <v>1200</v>
      </c>
      <c r="I2953" s="120" t="str">
        <f>IF(OR(D2953&lt;Capa!$A$5,D2953&gt;Capa!$A$7,E2953&lt;Capa!$A$5,E2953&gt;Capa!$A$7,D2953&gt;E2953),"Erro","")</f>
        <v/>
      </c>
    </row>
    <row r="2954" spans="1:9" ht="20" hidden="1">
      <c r="A2954" s="345">
        <v>3488</v>
      </c>
      <c r="B2954" s="346" t="s">
        <v>302</v>
      </c>
      <c r="C2954" s="347">
        <v>100</v>
      </c>
      <c r="D2954" s="348">
        <v>46388</v>
      </c>
      <c r="E2954" s="348">
        <v>46722</v>
      </c>
      <c r="F2954" s="346" t="s">
        <v>610</v>
      </c>
      <c r="G2954" s="349" t="s">
        <v>454</v>
      </c>
      <c r="H2954" s="350">
        <f t="shared" si="58"/>
        <v>1200</v>
      </c>
      <c r="I2954" s="120" t="str">
        <f>IF(OR(D2954&lt;Capa!$A$5,D2954&gt;Capa!$A$7,E2954&lt;Capa!$A$5,E2954&gt;Capa!$A$7,D2954&gt;E2954),"Erro","")</f>
        <v/>
      </c>
    </row>
    <row r="2955" spans="1:9" ht="20" hidden="1">
      <c r="A2955" s="345">
        <v>3489</v>
      </c>
      <c r="B2955" s="346" t="s">
        <v>302</v>
      </c>
      <c r="C2955" s="347">
        <v>50</v>
      </c>
      <c r="D2955" s="348">
        <v>46753</v>
      </c>
      <c r="E2955" s="348">
        <v>47058</v>
      </c>
      <c r="F2955" s="346" t="s">
        <v>610</v>
      </c>
      <c r="G2955" s="349" t="s">
        <v>454</v>
      </c>
      <c r="H2955" s="350">
        <f t="shared" si="58"/>
        <v>550</v>
      </c>
      <c r="I2955" s="120" t="str">
        <f>IF(OR(D2955&lt;Capa!$A$5,D2955&gt;Capa!$A$7,E2955&lt;Capa!$A$5,E2955&gt;Capa!$A$7,D2955&gt;E2955),"Erro","")</f>
        <v/>
      </c>
    </row>
    <row r="2956" spans="1:9" ht="30" hidden="1">
      <c r="A2956" s="345">
        <v>3490</v>
      </c>
      <c r="B2956" s="346" t="s">
        <v>304</v>
      </c>
      <c r="C2956" s="347">
        <v>1000</v>
      </c>
      <c r="D2956" s="348">
        <v>45839</v>
      </c>
      <c r="E2956" s="348">
        <v>45992</v>
      </c>
      <c r="F2956" s="346" t="s">
        <v>610</v>
      </c>
      <c r="G2956" s="349" t="s">
        <v>455</v>
      </c>
      <c r="H2956" s="350">
        <f t="shared" si="58"/>
        <v>6000</v>
      </c>
      <c r="I2956" s="120" t="str">
        <f>IF(OR(D2956&lt;Capa!$A$5,D2956&gt;Capa!$A$7,E2956&lt;Capa!$A$5,E2956&gt;Capa!$A$7,D2956&gt;E2956),"Erro","")</f>
        <v/>
      </c>
    </row>
    <row r="2957" spans="1:9" ht="30" hidden="1">
      <c r="A2957" s="345">
        <v>3491</v>
      </c>
      <c r="B2957" s="346" t="s">
        <v>304</v>
      </c>
      <c r="C2957" s="347">
        <v>1000</v>
      </c>
      <c r="D2957" s="348">
        <v>46023</v>
      </c>
      <c r="E2957" s="348">
        <v>46357</v>
      </c>
      <c r="F2957" s="346" t="s">
        <v>610</v>
      </c>
      <c r="G2957" s="349" t="s">
        <v>455</v>
      </c>
      <c r="H2957" s="350">
        <f t="shared" si="58"/>
        <v>12000</v>
      </c>
      <c r="I2957" s="120" t="str">
        <f>IF(OR(D2957&lt;Capa!$A$5,D2957&gt;Capa!$A$7,E2957&lt;Capa!$A$5,E2957&gt;Capa!$A$7,D2957&gt;E2957),"Erro","")</f>
        <v/>
      </c>
    </row>
    <row r="2958" spans="1:9" ht="30" hidden="1">
      <c r="A2958" s="345">
        <v>3492</v>
      </c>
      <c r="B2958" s="346" t="s">
        <v>304</v>
      </c>
      <c r="C2958" s="347">
        <v>1000</v>
      </c>
      <c r="D2958" s="348">
        <v>46388</v>
      </c>
      <c r="E2958" s="348">
        <v>46722</v>
      </c>
      <c r="F2958" s="346" t="s">
        <v>610</v>
      </c>
      <c r="G2958" s="349" t="s">
        <v>455</v>
      </c>
      <c r="H2958" s="350">
        <f t="shared" si="58"/>
        <v>12000</v>
      </c>
      <c r="I2958" s="120" t="str">
        <f>IF(OR(D2958&lt;Capa!$A$5,D2958&gt;Capa!$A$7,E2958&lt;Capa!$A$5,E2958&gt;Capa!$A$7,D2958&gt;E2958),"Erro","")</f>
        <v/>
      </c>
    </row>
    <row r="2959" spans="1:9" ht="30" hidden="1">
      <c r="A2959" s="345">
        <v>3493</v>
      </c>
      <c r="B2959" s="346" t="s">
        <v>304</v>
      </c>
      <c r="C2959" s="347">
        <v>500</v>
      </c>
      <c r="D2959" s="348">
        <v>46753</v>
      </c>
      <c r="E2959" s="348">
        <v>47058</v>
      </c>
      <c r="F2959" s="346" t="s">
        <v>610</v>
      </c>
      <c r="G2959" s="349" t="s">
        <v>455</v>
      </c>
      <c r="H2959" s="350">
        <f t="shared" si="58"/>
        <v>5500</v>
      </c>
      <c r="I2959" s="120" t="str">
        <f>IF(OR(D2959&lt;Capa!$A$5,D2959&gt;Capa!$A$7,E2959&lt;Capa!$A$5,E2959&gt;Capa!$A$7,D2959&gt;E2959),"Erro","")</f>
        <v/>
      </c>
    </row>
    <row r="2960" spans="1:9" ht="30" hidden="1">
      <c r="A2960" s="345">
        <v>3494</v>
      </c>
      <c r="B2960" s="346" t="s">
        <v>312</v>
      </c>
      <c r="C2960" s="347">
        <v>200</v>
      </c>
      <c r="D2960" s="348">
        <v>45839</v>
      </c>
      <c r="E2960" s="348">
        <v>45992</v>
      </c>
      <c r="F2960" s="346" t="s">
        <v>610</v>
      </c>
      <c r="G2960" s="349" t="s">
        <v>571</v>
      </c>
      <c r="H2960" s="350">
        <f t="shared" si="58"/>
        <v>1200</v>
      </c>
      <c r="I2960" s="120" t="str">
        <f>IF(OR(D2960&lt;Capa!$A$5,D2960&gt;Capa!$A$7,E2960&lt;Capa!$A$5,E2960&gt;Capa!$A$7,D2960&gt;E2960),"Erro","")</f>
        <v/>
      </c>
    </row>
    <row r="2961" spans="1:9" ht="30" hidden="1">
      <c r="A2961" s="345">
        <v>3495</v>
      </c>
      <c r="B2961" s="346" t="s">
        <v>312</v>
      </c>
      <c r="C2961" s="347">
        <v>200</v>
      </c>
      <c r="D2961" s="348">
        <v>46023</v>
      </c>
      <c r="E2961" s="348">
        <v>46357</v>
      </c>
      <c r="F2961" s="346" t="s">
        <v>610</v>
      </c>
      <c r="G2961" s="349" t="s">
        <v>571</v>
      </c>
      <c r="H2961" s="350">
        <f t="shared" si="58"/>
        <v>2400</v>
      </c>
      <c r="I2961" s="120" t="str">
        <f>IF(OR(D2961&lt;Capa!$A$5,D2961&gt;Capa!$A$7,E2961&lt;Capa!$A$5,E2961&gt;Capa!$A$7,D2961&gt;E2961),"Erro","")</f>
        <v/>
      </c>
    </row>
    <row r="2962" spans="1:9" ht="30" hidden="1">
      <c r="A2962" s="345">
        <v>3496</v>
      </c>
      <c r="B2962" s="346" t="s">
        <v>312</v>
      </c>
      <c r="C2962" s="347">
        <v>200</v>
      </c>
      <c r="D2962" s="348">
        <v>46388</v>
      </c>
      <c r="E2962" s="348">
        <v>46722</v>
      </c>
      <c r="F2962" s="346" t="s">
        <v>610</v>
      </c>
      <c r="G2962" s="349" t="s">
        <v>571</v>
      </c>
      <c r="H2962" s="350">
        <f t="shared" si="58"/>
        <v>2400</v>
      </c>
      <c r="I2962" s="120" t="str">
        <f>IF(OR(D2962&lt;Capa!$A$5,D2962&gt;Capa!$A$7,E2962&lt;Capa!$A$5,E2962&gt;Capa!$A$7,D2962&gt;E2962),"Erro","")</f>
        <v/>
      </c>
    </row>
    <row r="2963" spans="1:9" ht="30" hidden="1">
      <c r="A2963" s="345">
        <v>3497</v>
      </c>
      <c r="B2963" s="346" t="s">
        <v>312</v>
      </c>
      <c r="C2963" s="347">
        <v>100</v>
      </c>
      <c r="D2963" s="348">
        <v>46753</v>
      </c>
      <c r="E2963" s="348">
        <v>47058</v>
      </c>
      <c r="F2963" s="346" t="s">
        <v>610</v>
      </c>
      <c r="G2963" s="349" t="s">
        <v>571</v>
      </c>
      <c r="H2963" s="350">
        <f t="shared" si="58"/>
        <v>1100</v>
      </c>
      <c r="I2963" s="120" t="str">
        <f>IF(OR(D2963&lt;Capa!$A$5,D2963&gt;Capa!$A$7,E2963&lt;Capa!$A$5,E2963&gt;Capa!$A$7,D2963&gt;E2963),"Erro","")</f>
        <v/>
      </c>
    </row>
    <row r="2964" spans="1:9" ht="50" hidden="1">
      <c r="A2964" s="345">
        <v>3498</v>
      </c>
      <c r="B2964" s="346" t="s">
        <v>316</v>
      </c>
      <c r="C2964" s="347">
        <v>800</v>
      </c>
      <c r="D2964" s="348">
        <v>45839</v>
      </c>
      <c r="E2964" s="348">
        <v>45992</v>
      </c>
      <c r="F2964" s="346" t="s">
        <v>610</v>
      </c>
      <c r="G2964" s="349" t="s">
        <v>741</v>
      </c>
      <c r="H2964" s="350">
        <f t="shared" si="58"/>
        <v>4800</v>
      </c>
      <c r="I2964" s="120" t="str">
        <f>IF(OR(D2964&lt;Capa!$A$5,D2964&gt;Capa!$A$7,E2964&lt;Capa!$A$5,E2964&gt;Capa!$A$7,D2964&gt;E2964),"Erro","")</f>
        <v/>
      </c>
    </row>
    <row r="2965" spans="1:9" ht="50" hidden="1">
      <c r="A2965" s="345">
        <v>3499</v>
      </c>
      <c r="B2965" s="346" t="s">
        <v>316</v>
      </c>
      <c r="C2965" s="347">
        <v>800</v>
      </c>
      <c r="D2965" s="348">
        <v>46023</v>
      </c>
      <c r="E2965" s="348">
        <v>46357</v>
      </c>
      <c r="F2965" s="346" t="s">
        <v>610</v>
      </c>
      <c r="G2965" s="349" t="s">
        <v>741</v>
      </c>
      <c r="H2965" s="350">
        <f t="shared" si="58"/>
        <v>9600</v>
      </c>
      <c r="I2965" s="120" t="str">
        <f>IF(OR(D2965&lt;Capa!$A$5,D2965&gt;Capa!$A$7,E2965&lt;Capa!$A$5,E2965&gt;Capa!$A$7,D2965&gt;E2965),"Erro","")</f>
        <v/>
      </c>
    </row>
    <row r="2966" spans="1:9" ht="50" hidden="1">
      <c r="A2966" s="345">
        <v>3500</v>
      </c>
      <c r="B2966" s="346" t="s">
        <v>316</v>
      </c>
      <c r="C2966" s="347">
        <v>800</v>
      </c>
      <c r="D2966" s="348">
        <v>46388</v>
      </c>
      <c r="E2966" s="348">
        <v>46722</v>
      </c>
      <c r="F2966" s="346" t="s">
        <v>610</v>
      </c>
      <c r="G2966" s="349" t="s">
        <v>741</v>
      </c>
      <c r="H2966" s="350">
        <f t="shared" si="58"/>
        <v>9600</v>
      </c>
      <c r="I2966" s="120" t="str">
        <f>IF(OR(D2966&lt;Capa!$A$5,D2966&gt;Capa!$A$7,E2966&lt;Capa!$A$5,E2966&gt;Capa!$A$7,D2966&gt;E2966),"Erro","")</f>
        <v/>
      </c>
    </row>
    <row r="2967" spans="1:9" ht="50" hidden="1">
      <c r="A2967" s="345">
        <v>3501</v>
      </c>
      <c r="B2967" s="346" t="s">
        <v>316</v>
      </c>
      <c r="C2967" s="347">
        <v>400</v>
      </c>
      <c r="D2967" s="348">
        <v>46753</v>
      </c>
      <c r="E2967" s="348">
        <v>47058</v>
      </c>
      <c r="F2967" s="346" t="s">
        <v>610</v>
      </c>
      <c r="G2967" s="349" t="s">
        <v>741</v>
      </c>
      <c r="H2967" s="350">
        <f t="shared" si="58"/>
        <v>4400</v>
      </c>
      <c r="I2967" s="120" t="str">
        <f>IF(OR(D2967&lt;Capa!$A$5,D2967&gt;Capa!$A$7,E2967&lt;Capa!$A$5,E2967&gt;Capa!$A$7,D2967&gt;E2967),"Erro","")</f>
        <v/>
      </c>
    </row>
    <row r="2968" spans="1:9" ht="50" hidden="1">
      <c r="A2968" s="345">
        <v>3502</v>
      </c>
      <c r="B2968" s="346" t="s">
        <v>318</v>
      </c>
      <c r="C2968" s="347">
        <v>1000</v>
      </c>
      <c r="D2968" s="348">
        <v>45839</v>
      </c>
      <c r="E2968" s="348">
        <v>45992</v>
      </c>
      <c r="F2968" s="346" t="s">
        <v>610</v>
      </c>
      <c r="G2968" s="349" t="s">
        <v>572</v>
      </c>
      <c r="H2968" s="350">
        <f t="shared" si="58"/>
        <v>6000</v>
      </c>
      <c r="I2968" s="120" t="str">
        <f>IF(OR(D2968&lt;Capa!$A$5,D2968&gt;Capa!$A$7,E2968&lt;Capa!$A$5,E2968&gt;Capa!$A$7,D2968&gt;E2968),"Erro","")</f>
        <v/>
      </c>
    </row>
    <row r="2969" spans="1:9" ht="50" hidden="1">
      <c r="A2969" s="345">
        <v>3503</v>
      </c>
      <c r="B2969" s="346" t="s">
        <v>318</v>
      </c>
      <c r="C2969" s="347">
        <v>1000</v>
      </c>
      <c r="D2969" s="348">
        <v>46023</v>
      </c>
      <c r="E2969" s="348">
        <v>46357</v>
      </c>
      <c r="F2969" s="346" t="s">
        <v>610</v>
      </c>
      <c r="G2969" s="349" t="s">
        <v>572</v>
      </c>
      <c r="H2969" s="350">
        <f t="shared" si="58"/>
        <v>12000</v>
      </c>
      <c r="I2969" s="120" t="str">
        <f>IF(OR(D2969&lt;Capa!$A$5,D2969&gt;Capa!$A$7,E2969&lt;Capa!$A$5,E2969&gt;Capa!$A$7,D2969&gt;E2969),"Erro","")</f>
        <v/>
      </c>
    </row>
    <row r="2970" spans="1:9" ht="50" hidden="1">
      <c r="A2970" s="345">
        <v>3504</v>
      </c>
      <c r="B2970" s="346" t="s">
        <v>318</v>
      </c>
      <c r="C2970" s="347">
        <v>1000</v>
      </c>
      <c r="D2970" s="348">
        <v>46388</v>
      </c>
      <c r="E2970" s="348">
        <v>46722</v>
      </c>
      <c r="F2970" s="346" t="s">
        <v>610</v>
      </c>
      <c r="G2970" s="349" t="s">
        <v>572</v>
      </c>
      <c r="H2970" s="350">
        <f t="shared" si="58"/>
        <v>12000</v>
      </c>
      <c r="I2970" s="120" t="str">
        <f>IF(OR(D2970&lt;Capa!$A$5,D2970&gt;Capa!$A$7,E2970&lt;Capa!$A$5,E2970&gt;Capa!$A$7,D2970&gt;E2970),"Erro","")</f>
        <v/>
      </c>
    </row>
    <row r="2971" spans="1:9" ht="50" hidden="1">
      <c r="A2971" s="345">
        <v>3505</v>
      </c>
      <c r="B2971" s="346" t="s">
        <v>318</v>
      </c>
      <c r="C2971" s="347">
        <v>200</v>
      </c>
      <c r="D2971" s="348">
        <v>46753</v>
      </c>
      <c r="E2971" s="348">
        <v>47058</v>
      </c>
      <c r="F2971" s="346" t="s">
        <v>610</v>
      </c>
      <c r="G2971" s="349" t="s">
        <v>572</v>
      </c>
      <c r="H2971" s="350">
        <f t="shared" si="58"/>
        <v>2200</v>
      </c>
      <c r="I2971" s="120" t="str">
        <f>IF(OR(D2971&lt;Capa!$A$5,D2971&gt;Capa!$A$7,E2971&lt;Capa!$A$5,E2971&gt;Capa!$A$7,D2971&gt;E2971),"Erro","")</f>
        <v/>
      </c>
    </row>
    <row r="2972" spans="1:9" ht="50" hidden="1">
      <c r="A2972" s="345">
        <v>3506</v>
      </c>
      <c r="B2972" s="346" t="s">
        <v>318</v>
      </c>
      <c r="C2972" s="347">
        <v>700</v>
      </c>
      <c r="D2972" s="348">
        <v>45839</v>
      </c>
      <c r="E2972" s="348">
        <v>45992</v>
      </c>
      <c r="F2972" s="346" t="s">
        <v>610</v>
      </c>
      <c r="G2972" s="349" t="s">
        <v>456</v>
      </c>
      <c r="H2972" s="350">
        <f t="shared" si="58"/>
        <v>4200</v>
      </c>
      <c r="I2972" s="120" t="str">
        <f>IF(OR(D2972&lt;Capa!$A$5,D2972&gt;Capa!$A$7,E2972&lt;Capa!$A$5,E2972&gt;Capa!$A$7,D2972&gt;E2972),"Erro","")</f>
        <v/>
      </c>
    </row>
    <row r="2973" spans="1:9" ht="50" hidden="1">
      <c r="A2973" s="345">
        <v>3507</v>
      </c>
      <c r="B2973" s="346" t="s">
        <v>318</v>
      </c>
      <c r="C2973" s="347">
        <v>700</v>
      </c>
      <c r="D2973" s="348">
        <v>46023</v>
      </c>
      <c r="E2973" s="348">
        <v>46357</v>
      </c>
      <c r="F2973" s="346" t="s">
        <v>610</v>
      </c>
      <c r="G2973" s="349" t="s">
        <v>456</v>
      </c>
      <c r="H2973" s="350">
        <f t="shared" si="58"/>
        <v>8400</v>
      </c>
      <c r="I2973" s="120" t="str">
        <f>IF(OR(D2973&lt;Capa!$A$5,D2973&gt;Capa!$A$7,E2973&lt;Capa!$A$5,E2973&gt;Capa!$A$7,D2973&gt;E2973),"Erro","")</f>
        <v/>
      </c>
    </row>
    <row r="2974" spans="1:9" ht="50" hidden="1">
      <c r="A2974" s="345">
        <v>3508</v>
      </c>
      <c r="B2974" s="346" t="s">
        <v>318</v>
      </c>
      <c r="C2974" s="347">
        <v>700</v>
      </c>
      <c r="D2974" s="348">
        <v>46388</v>
      </c>
      <c r="E2974" s="348">
        <v>46722</v>
      </c>
      <c r="F2974" s="346" t="s">
        <v>610</v>
      </c>
      <c r="G2974" s="349" t="s">
        <v>456</v>
      </c>
      <c r="H2974" s="350">
        <f t="shared" si="58"/>
        <v>8400</v>
      </c>
      <c r="I2974" s="120" t="str">
        <f>IF(OR(D2974&lt;Capa!$A$5,D2974&gt;Capa!$A$7,E2974&lt;Capa!$A$5,E2974&gt;Capa!$A$7,D2974&gt;E2974),"Erro","")</f>
        <v/>
      </c>
    </row>
    <row r="2975" spans="1:9" ht="50" hidden="1">
      <c r="A2975" s="345">
        <v>3509</v>
      </c>
      <c r="B2975" s="346" t="s">
        <v>318</v>
      </c>
      <c r="C2975" s="347">
        <v>200</v>
      </c>
      <c r="D2975" s="348">
        <v>46753</v>
      </c>
      <c r="E2975" s="348">
        <v>47058</v>
      </c>
      <c r="F2975" s="346" t="s">
        <v>610</v>
      </c>
      <c r="G2975" s="349" t="s">
        <v>456</v>
      </c>
      <c r="H2975" s="350">
        <f t="shared" si="58"/>
        <v>2200</v>
      </c>
      <c r="I2975" s="120" t="str">
        <f>IF(OR(D2975&lt;Capa!$A$5,D2975&gt;Capa!$A$7,E2975&lt;Capa!$A$5,E2975&gt;Capa!$A$7,D2975&gt;E2975),"Erro","")</f>
        <v/>
      </c>
    </row>
    <row r="2976" spans="1:9" ht="20" hidden="1">
      <c r="A2976" s="345">
        <v>3510</v>
      </c>
      <c r="B2976" s="346" t="s">
        <v>298</v>
      </c>
      <c r="C2976" s="347">
        <v>2450</v>
      </c>
      <c r="D2976" s="348">
        <v>45839</v>
      </c>
      <c r="E2976" s="348">
        <v>45992</v>
      </c>
      <c r="F2976" s="346" t="s">
        <v>610</v>
      </c>
      <c r="G2976" s="349" t="s">
        <v>457</v>
      </c>
      <c r="H2976" s="350">
        <f t="shared" si="58"/>
        <v>14700</v>
      </c>
      <c r="I2976" s="120" t="str">
        <f>IF(OR(D2976&lt;Capa!$A$5,D2976&gt;Capa!$A$7,E2976&lt;Capa!$A$5,E2976&gt;Capa!$A$7,D2976&gt;E2976),"Erro","")</f>
        <v/>
      </c>
    </row>
    <row r="2977" spans="1:9" ht="20" hidden="1">
      <c r="A2977" s="345">
        <v>3511</v>
      </c>
      <c r="B2977" s="346" t="s">
        <v>298</v>
      </c>
      <c r="C2977" s="347">
        <v>2450</v>
      </c>
      <c r="D2977" s="348">
        <v>46023</v>
      </c>
      <c r="E2977" s="348">
        <v>46357</v>
      </c>
      <c r="F2977" s="346" t="s">
        <v>610</v>
      </c>
      <c r="G2977" s="349" t="s">
        <v>457</v>
      </c>
      <c r="H2977" s="350">
        <f t="shared" si="58"/>
        <v>29400</v>
      </c>
      <c r="I2977" s="120" t="str">
        <f>IF(OR(D2977&lt;Capa!$A$5,D2977&gt;Capa!$A$7,E2977&lt;Capa!$A$5,E2977&gt;Capa!$A$7,D2977&gt;E2977),"Erro","")</f>
        <v/>
      </c>
    </row>
    <row r="2978" spans="1:9" ht="20" hidden="1">
      <c r="A2978" s="345">
        <v>3512</v>
      </c>
      <c r="B2978" s="346" t="s">
        <v>298</v>
      </c>
      <c r="C2978" s="347">
        <v>2450</v>
      </c>
      <c r="D2978" s="348">
        <v>46388</v>
      </c>
      <c r="E2978" s="348">
        <v>46722</v>
      </c>
      <c r="F2978" s="346" t="s">
        <v>610</v>
      </c>
      <c r="G2978" s="349" t="s">
        <v>457</v>
      </c>
      <c r="H2978" s="350">
        <f t="shared" si="58"/>
        <v>29400</v>
      </c>
      <c r="I2978" s="120" t="str">
        <f>IF(OR(D2978&lt;Capa!$A$5,D2978&gt;Capa!$A$7,E2978&lt;Capa!$A$5,E2978&gt;Capa!$A$7,D2978&gt;E2978),"Erro","")</f>
        <v/>
      </c>
    </row>
    <row r="2979" spans="1:9" ht="20" hidden="1">
      <c r="A2979" s="345">
        <v>3513</v>
      </c>
      <c r="B2979" s="346" t="s">
        <v>298</v>
      </c>
      <c r="C2979" s="347">
        <v>1250</v>
      </c>
      <c r="D2979" s="348">
        <v>46753</v>
      </c>
      <c r="E2979" s="348">
        <v>47058</v>
      </c>
      <c r="F2979" s="346" t="s">
        <v>610</v>
      </c>
      <c r="G2979" s="349" t="s">
        <v>457</v>
      </c>
      <c r="H2979" s="350">
        <f t="shared" si="58"/>
        <v>13750</v>
      </c>
      <c r="I2979" s="120" t="str">
        <f>IF(OR(D2979&lt;Capa!$A$5,D2979&gt;Capa!$A$7,E2979&lt;Capa!$A$5,E2979&gt;Capa!$A$7,D2979&gt;E2979),"Erro","")</f>
        <v/>
      </c>
    </row>
    <row r="2980" spans="1:9" ht="30" hidden="1">
      <c r="A2980" s="345">
        <v>3514</v>
      </c>
      <c r="B2980" s="346" t="s">
        <v>238</v>
      </c>
      <c r="C2980" s="347">
        <v>480</v>
      </c>
      <c r="D2980" s="348">
        <v>45839</v>
      </c>
      <c r="E2980" s="348">
        <v>45992</v>
      </c>
      <c r="F2980" s="346" t="s">
        <v>610</v>
      </c>
      <c r="G2980" s="349" t="s">
        <v>458</v>
      </c>
      <c r="H2980" s="350">
        <f t="shared" si="58"/>
        <v>2880</v>
      </c>
      <c r="I2980" s="120" t="str">
        <f>IF(OR(D2980&lt;Capa!$A$5,D2980&gt;Capa!$A$7,E2980&lt;Capa!$A$5,E2980&gt;Capa!$A$7,D2980&gt;E2980),"Erro","")</f>
        <v/>
      </c>
    </row>
    <row r="2981" spans="1:9" ht="30" hidden="1">
      <c r="A2981" s="345">
        <v>3515</v>
      </c>
      <c r="B2981" s="346" t="s">
        <v>238</v>
      </c>
      <c r="C2981" s="347">
        <v>480</v>
      </c>
      <c r="D2981" s="348">
        <v>46023</v>
      </c>
      <c r="E2981" s="348">
        <v>46357</v>
      </c>
      <c r="F2981" s="346" t="s">
        <v>610</v>
      </c>
      <c r="G2981" s="349" t="s">
        <v>458</v>
      </c>
      <c r="H2981" s="350">
        <f t="shared" si="58"/>
        <v>5760</v>
      </c>
      <c r="I2981" s="120" t="str">
        <f>IF(OR(D2981&lt;Capa!$A$5,D2981&gt;Capa!$A$7,E2981&lt;Capa!$A$5,E2981&gt;Capa!$A$7,D2981&gt;E2981),"Erro","")</f>
        <v/>
      </c>
    </row>
    <row r="2982" spans="1:9" ht="30" hidden="1">
      <c r="A2982" s="345">
        <v>3516</v>
      </c>
      <c r="B2982" s="346" t="s">
        <v>238</v>
      </c>
      <c r="C2982" s="347">
        <v>480</v>
      </c>
      <c r="D2982" s="348">
        <v>46388</v>
      </c>
      <c r="E2982" s="348">
        <v>46722</v>
      </c>
      <c r="F2982" s="346" t="s">
        <v>610</v>
      </c>
      <c r="G2982" s="349" t="s">
        <v>458</v>
      </c>
      <c r="H2982" s="350">
        <f t="shared" si="58"/>
        <v>5760</v>
      </c>
      <c r="I2982" s="120" t="str">
        <f>IF(OR(D2982&lt;Capa!$A$5,D2982&gt;Capa!$A$7,E2982&lt;Capa!$A$5,E2982&gt;Capa!$A$7,D2982&gt;E2982),"Erro","")</f>
        <v/>
      </c>
    </row>
    <row r="2983" spans="1:9" ht="30" hidden="1">
      <c r="A2983" s="345">
        <v>3517</v>
      </c>
      <c r="B2983" s="346" t="s">
        <v>238</v>
      </c>
      <c r="C2983" s="347">
        <v>240</v>
      </c>
      <c r="D2983" s="348">
        <v>46753</v>
      </c>
      <c r="E2983" s="348">
        <v>47058</v>
      </c>
      <c r="F2983" s="346" t="s">
        <v>610</v>
      </c>
      <c r="G2983" s="349" t="s">
        <v>458</v>
      </c>
      <c r="H2983" s="350">
        <f t="shared" si="58"/>
        <v>2640</v>
      </c>
      <c r="I2983" s="120" t="str">
        <f>IF(OR(D2983&lt;Capa!$A$5,D2983&gt;Capa!$A$7,E2983&lt;Capa!$A$5,E2983&gt;Capa!$A$7,D2983&gt;E2983),"Erro","")</f>
        <v/>
      </c>
    </row>
    <row r="2984" spans="1:9" ht="40" hidden="1">
      <c r="A2984" s="345">
        <v>3518</v>
      </c>
      <c r="B2984" s="346" t="s">
        <v>252</v>
      </c>
      <c r="C2984" s="347">
        <v>8000</v>
      </c>
      <c r="D2984" s="348">
        <v>45839</v>
      </c>
      <c r="E2984" s="348">
        <v>45992</v>
      </c>
      <c r="F2984" s="346" t="s">
        <v>610</v>
      </c>
      <c r="G2984" s="349" t="s">
        <v>459</v>
      </c>
      <c r="H2984" s="350">
        <f t="shared" si="58"/>
        <v>48000</v>
      </c>
      <c r="I2984" s="120" t="str">
        <f>IF(OR(D2984&lt;Capa!$A$5,D2984&gt;Capa!$A$7,E2984&lt;Capa!$A$5,E2984&gt;Capa!$A$7,D2984&gt;E2984),"Erro","")</f>
        <v/>
      </c>
    </row>
    <row r="2985" spans="1:9" ht="40" hidden="1">
      <c r="A2985" s="345">
        <v>3519</v>
      </c>
      <c r="B2985" s="346" t="s">
        <v>252</v>
      </c>
      <c r="C2985" s="347">
        <v>8000</v>
      </c>
      <c r="D2985" s="348">
        <v>46023</v>
      </c>
      <c r="E2985" s="348">
        <v>46357</v>
      </c>
      <c r="F2985" s="346" t="s">
        <v>610</v>
      </c>
      <c r="G2985" s="349" t="s">
        <v>459</v>
      </c>
      <c r="H2985" s="350">
        <f t="shared" si="58"/>
        <v>96000</v>
      </c>
      <c r="I2985" s="120" t="str">
        <f>IF(OR(D2985&lt;Capa!$A$5,D2985&gt;Capa!$A$7,E2985&lt;Capa!$A$5,E2985&gt;Capa!$A$7,D2985&gt;E2985),"Erro","")</f>
        <v/>
      </c>
    </row>
    <row r="2986" spans="1:9" ht="40" hidden="1">
      <c r="A2986" s="345">
        <v>3520</v>
      </c>
      <c r="B2986" s="346" t="s">
        <v>252</v>
      </c>
      <c r="C2986" s="347">
        <v>8000</v>
      </c>
      <c r="D2986" s="348">
        <v>46388</v>
      </c>
      <c r="E2986" s="348">
        <v>46722</v>
      </c>
      <c r="F2986" s="346" t="s">
        <v>610</v>
      </c>
      <c r="G2986" s="349" t="s">
        <v>459</v>
      </c>
      <c r="H2986" s="350">
        <f t="shared" si="58"/>
        <v>96000</v>
      </c>
      <c r="I2986" s="120" t="str">
        <f>IF(OR(D2986&lt;Capa!$A$5,D2986&gt;Capa!$A$7,E2986&lt;Capa!$A$5,E2986&gt;Capa!$A$7,D2986&gt;E2986),"Erro","")</f>
        <v/>
      </c>
    </row>
    <row r="2987" spans="1:9" ht="40" hidden="1">
      <c r="A2987" s="345">
        <v>3521</v>
      </c>
      <c r="B2987" s="346" t="s">
        <v>252</v>
      </c>
      <c r="C2987" s="347">
        <v>4000</v>
      </c>
      <c r="D2987" s="348">
        <v>46753</v>
      </c>
      <c r="E2987" s="348">
        <v>47058</v>
      </c>
      <c r="F2987" s="346" t="s">
        <v>610</v>
      </c>
      <c r="G2987" s="349" t="s">
        <v>459</v>
      </c>
      <c r="H2987" s="350">
        <f t="shared" si="58"/>
        <v>44000</v>
      </c>
      <c r="I2987" s="120" t="str">
        <f>IF(OR(D2987&lt;Capa!$A$5,D2987&gt;Capa!$A$7,E2987&lt;Capa!$A$5,E2987&gt;Capa!$A$7,D2987&gt;E2987),"Erro","")</f>
        <v/>
      </c>
    </row>
    <row r="2988" spans="1:9" ht="30" hidden="1">
      <c r="A2988" s="345">
        <v>3522</v>
      </c>
      <c r="B2988" s="346" t="s">
        <v>618</v>
      </c>
      <c r="C2988" s="347">
        <v>230000</v>
      </c>
      <c r="D2988" s="348">
        <v>45839</v>
      </c>
      <c r="E2988" s="348">
        <v>45839</v>
      </c>
      <c r="F2988" s="346" t="s">
        <v>610</v>
      </c>
      <c r="G2988" s="349" t="s">
        <v>591</v>
      </c>
      <c r="H2988" s="350">
        <f t="shared" si="58"/>
        <v>230000</v>
      </c>
      <c r="I2988" s="120" t="str">
        <f>IF(OR(D2988&lt;Capa!$A$5,D2988&gt;Capa!$A$7,E2988&lt;Capa!$A$5,E2988&gt;Capa!$A$7,D2988&gt;E2988),"Erro","")</f>
        <v/>
      </c>
    </row>
    <row r="2989" spans="1:9" ht="20" hidden="1">
      <c r="A2989" s="345">
        <v>3523</v>
      </c>
      <c r="B2989" s="346" t="s">
        <v>620</v>
      </c>
      <c r="C2989" s="347">
        <v>110</v>
      </c>
      <c r="D2989" s="348">
        <v>45839</v>
      </c>
      <c r="E2989" s="348">
        <v>47058</v>
      </c>
      <c r="F2989" s="346" t="s">
        <v>610</v>
      </c>
      <c r="G2989" s="349" t="s">
        <v>662</v>
      </c>
      <c r="H2989" s="350">
        <f t="shared" si="58"/>
        <v>4510</v>
      </c>
      <c r="I2989" s="120" t="str">
        <f>IF(OR(D2989&lt;Capa!$A$5,D2989&gt;Capa!$A$7,E2989&lt;Capa!$A$5,E2989&gt;Capa!$A$7,D2989&gt;E2989),"Erro","")</f>
        <v/>
      </c>
    </row>
    <row r="2990" spans="1:9" ht="20" hidden="1">
      <c r="A2990" s="345">
        <v>3524</v>
      </c>
      <c r="B2990" s="346" t="s">
        <v>622</v>
      </c>
      <c r="C2990" s="347">
        <v>850</v>
      </c>
      <c r="D2990" s="348">
        <v>45839</v>
      </c>
      <c r="E2990" s="348">
        <v>47058</v>
      </c>
      <c r="F2990" s="346" t="s">
        <v>610</v>
      </c>
      <c r="G2990" s="349" t="s">
        <v>664</v>
      </c>
      <c r="H2990" s="350">
        <f t="shared" si="58"/>
        <v>34850</v>
      </c>
      <c r="I2990" s="120" t="str">
        <f>IF(OR(D2990&lt;Capa!$A$5,D2990&gt;Capa!$A$7,E2990&lt;Capa!$A$5,E2990&gt;Capa!$A$7,D2990&gt;E2990),"Erro","")</f>
        <v/>
      </c>
    </row>
    <row r="2991" spans="1:9" ht="30" hidden="1">
      <c r="A2991" s="345">
        <v>3525</v>
      </c>
      <c r="B2991" s="346" t="s">
        <v>621</v>
      </c>
      <c r="C2991" s="347">
        <v>2000</v>
      </c>
      <c r="D2991" s="348">
        <v>45839</v>
      </c>
      <c r="E2991" s="348">
        <v>45839</v>
      </c>
      <c r="F2991" s="346" t="s">
        <v>610</v>
      </c>
      <c r="G2991" s="349" t="s">
        <v>595</v>
      </c>
      <c r="H2991" s="350">
        <f t="shared" si="58"/>
        <v>2000</v>
      </c>
      <c r="I2991" s="120" t="str">
        <f>IF(OR(D2991&lt;Capa!$A$5,D2991&gt;Capa!$A$7,E2991&lt;Capa!$A$5,E2991&gt;Capa!$A$7,D2991&gt;E2991),"Erro","")</f>
        <v/>
      </c>
    </row>
    <row r="2992" spans="1:9" ht="30" hidden="1">
      <c r="A2992" s="345">
        <v>3526</v>
      </c>
      <c r="B2992" s="346" t="s">
        <v>621</v>
      </c>
      <c r="C2992" s="347">
        <v>2000</v>
      </c>
      <c r="D2992" s="348">
        <v>46054</v>
      </c>
      <c r="E2992" s="348">
        <v>46054</v>
      </c>
      <c r="F2992" s="346" t="s">
        <v>610</v>
      </c>
      <c r="G2992" s="349" t="s">
        <v>595</v>
      </c>
      <c r="H2992" s="350">
        <f t="shared" si="58"/>
        <v>2000</v>
      </c>
      <c r="I2992" s="120" t="str">
        <f>IF(OR(D2992&lt;Capa!$A$5,D2992&gt;Capa!$A$7,E2992&lt;Capa!$A$5,E2992&gt;Capa!$A$7,D2992&gt;E2992),"Erro","")</f>
        <v/>
      </c>
    </row>
    <row r="2993" spans="1:9" ht="30" hidden="1">
      <c r="A2993" s="345">
        <v>3527</v>
      </c>
      <c r="B2993" s="346" t="s">
        <v>619</v>
      </c>
      <c r="C2993" s="347">
        <v>70</v>
      </c>
      <c r="D2993" s="348">
        <v>45839</v>
      </c>
      <c r="E2993" s="348">
        <v>47058</v>
      </c>
      <c r="F2993" s="346" t="s">
        <v>610</v>
      </c>
      <c r="G2993" s="349" t="s">
        <v>663</v>
      </c>
      <c r="H2993" s="350">
        <f t="shared" si="58"/>
        <v>2870</v>
      </c>
      <c r="I2993" s="120" t="str">
        <f>IF(OR(D2993&lt;Capa!$A$5,D2993&gt;Capa!$A$7,E2993&lt;Capa!$A$5,E2993&gt;Capa!$A$7,D2993&gt;E2993),"Erro","")</f>
        <v/>
      </c>
    </row>
    <row r="2994" spans="1:9" ht="30" hidden="1">
      <c r="A2994" s="345">
        <v>3528</v>
      </c>
      <c r="B2994" s="346" t="s">
        <v>617</v>
      </c>
      <c r="C2994" s="347">
        <v>200</v>
      </c>
      <c r="D2994" s="348">
        <v>45839</v>
      </c>
      <c r="E2994" s="348">
        <v>47058</v>
      </c>
      <c r="F2994" s="346" t="s">
        <v>610</v>
      </c>
      <c r="G2994" s="349" t="s">
        <v>639</v>
      </c>
      <c r="H2994" s="350">
        <f t="shared" si="58"/>
        <v>8200</v>
      </c>
      <c r="I2994" s="120" t="str">
        <f>IF(OR(D2994&lt;Capa!$A$5,D2994&gt;Capa!$A$7,E2994&lt;Capa!$A$5,E2994&gt;Capa!$A$7,D2994&gt;E2994),"Erro","")</f>
        <v/>
      </c>
    </row>
    <row r="2995" spans="1:9" ht="20" hidden="1">
      <c r="A2995" s="345">
        <v>3529</v>
      </c>
      <c r="B2995" s="346" t="s">
        <v>618</v>
      </c>
      <c r="C2995" s="347">
        <v>2500</v>
      </c>
      <c r="D2995" s="348">
        <v>45870</v>
      </c>
      <c r="E2995" s="348">
        <v>47058</v>
      </c>
      <c r="F2995" s="346" t="s">
        <v>610</v>
      </c>
      <c r="G2995" s="349" t="s">
        <v>657</v>
      </c>
      <c r="H2995" s="350">
        <f t="shared" si="58"/>
        <v>100000</v>
      </c>
      <c r="I2995" s="120" t="str">
        <f>IF(OR(D2995&lt;Capa!$A$5,D2995&gt;Capa!$A$7,E2995&lt;Capa!$A$5,E2995&gt;Capa!$A$7,D2995&gt;E2995),"Erro","")</f>
        <v/>
      </c>
    </row>
    <row r="2996" spans="1:9" ht="30" hidden="1">
      <c r="A2996" s="345">
        <v>3530</v>
      </c>
      <c r="B2996" s="346" t="s">
        <v>623</v>
      </c>
      <c r="C2996" s="347">
        <v>650</v>
      </c>
      <c r="D2996" s="348">
        <v>45839</v>
      </c>
      <c r="E2996" s="348">
        <v>46784</v>
      </c>
      <c r="F2996" s="346" t="s">
        <v>610</v>
      </c>
      <c r="G2996" s="349" t="s">
        <v>658</v>
      </c>
      <c r="H2996" s="350">
        <f t="shared" si="58"/>
        <v>20800</v>
      </c>
      <c r="I2996" s="120" t="str">
        <f>IF(OR(D2996&lt;Capa!$A$5,D2996&gt;Capa!$A$7,E2996&lt;Capa!$A$5,E2996&gt;Capa!$A$7,D2996&gt;E2996),"Erro","")</f>
        <v/>
      </c>
    </row>
    <row r="2997" spans="1:9" ht="20" hidden="1">
      <c r="A2997" s="345">
        <v>3531</v>
      </c>
      <c r="B2997" s="346" t="s">
        <v>625</v>
      </c>
      <c r="C2997" s="347">
        <v>90</v>
      </c>
      <c r="D2997" s="348">
        <v>45839</v>
      </c>
      <c r="E2997" s="348">
        <v>47058</v>
      </c>
      <c r="F2997" s="346" t="s">
        <v>610</v>
      </c>
      <c r="G2997" s="349" t="s">
        <v>659</v>
      </c>
      <c r="H2997" s="350">
        <f t="shared" si="58"/>
        <v>3690</v>
      </c>
      <c r="I2997" s="120" t="str">
        <f>IF(OR(D2997&lt;Capa!$A$5,D2997&gt;Capa!$A$7,E2997&lt;Capa!$A$5,E2997&gt;Capa!$A$7,D2997&gt;E2997),"Erro","")</f>
        <v/>
      </c>
    </row>
    <row r="2998" spans="1:9" ht="20" hidden="1">
      <c r="A2998" s="345">
        <v>3532</v>
      </c>
      <c r="B2998" s="346" t="s">
        <v>627</v>
      </c>
      <c r="C2998" s="347">
        <v>50</v>
      </c>
      <c r="D2998" s="348">
        <v>45839</v>
      </c>
      <c r="E2998" s="348">
        <v>47058</v>
      </c>
      <c r="F2998" s="346" t="s">
        <v>610</v>
      </c>
      <c r="G2998" s="349" t="s">
        <v>661</v>
      </c>
      <c r="H2998" s="350">
        <f t="shared" si="58"/>
        <v>2050</v>
      </c>
      <c r="I2998" s="120" t="str">
        <f>IF(OR(D2998&lt;Capa!$A$5,D2998&gt;Capa!$A$7,E2998&lt;Capa!$A$5,E2998&gt;Capa!$A$7,D2998&gt;E2998),"Erro","")</f>
        <v/>
      </c>
    </row>
    <row r="2999" spans="1:9" ht="30" hidden="1">
      <c r="A2999" s="345">
        <v>3533</v>
      </c>
      <c r="B2999" s="346" t="s">
        <v>626</v>
      </c>
      <c r="C2999" s="347">
        <v>350</v>
      </c>
      <c r="D2999" s="348">
        <v>45839</v>
      </c>
      <c r="E2999" s="348">
        <v>47058</v>
      </c>
      <c r="F2999" s="346" t="s">
        <v>610</v>
      </c>
      <c r="G2999" s="349" t="s">
        <v>660</v>
      </c>
      <c r="H2999" s="350">
        <f t="shared" si="58"/>
        <v>14350</v>
      </c>
      <c r="I2999" s="120" t="str">
        <f>IF(OR(D2999&lt;Capa!$A$5,D2999&gt;Capa!$A$7,E2999&lt;Capa!$A$5,E2999&gt;Capa!$A$7,D2999&gt;E2999),"Erro","")</f>
        <v/>
      </c>
    </row>
    <row r="3000" spans="1:9" ht="50" hidden="1">
      <c r="A3000" s="345">
        <v>3537</v>
      </c>
      <c r="B3000" s="346" t="s">
        <v>198</v>
      </c>
      <c r="C3000" s="347">
        <v>10500</v>
      </c>
      <c r="D3000" s="348">
        <v>45658</v>
      </c>
      <c r="E3000" s="348">
        <v>45992</v>
      </c>
      <c r="F3000" s="346" t="s">
        <v>101</v>
      </c>
      <c r="G3000" s="349" t="s">
        <v>498</v>
      </c>
      <c r="H3000" s="350">
        <f t="shared" si="58"/>
        <v>126000</v>
      </c>
      <c r="I3000" s="120" t="str">
        <f>IF(OR(D3000&lt;Capa!$A$5,D3000&gt;Capa!$A$7,E3000&lt;Capa!$A$5,E3000&gt;Capa!$A$7,D3000&gt;E3000),"Erro","")</f>
        <v/>
      </c>
    </row>
    <row r="3001" spans="1:9" ht="50" hidden="1">
      <c r="A3001" s="345">
        <v>3538</v>
      </c>
      <c r="B3001" s="346" t="s">
        <v>198</v>
      </c>
      <c r="C3001" s="347">
        <v>11025</v>
      </c>
      <c r="D3001" s="348">
        <v>46023</v>
      </c>
      <c r="E3001" s="348">
        <v>46357</v>
      </c>
      <c r="F3001" s="346" t="s">
        <v>101</v>
      </c>
      <c r="G3001" s="349" t="s">
        <v>498</v>
      </c>
      <c r="H3001" s="350">
        <f t="shared" si="58"/>
        <v>132300</v>
      </c>
      <c r="I3001" s="120" t="str">
        <f>IF(OR(D3001&lt;Capa!$A$5,D3001&gt;Capa!$A$7,E3001&lt;Capa!$A$5,E3001&gt;Capa!$A$7,D3001&gt;E3001),"Erro","")</f>
        <v/>
      </c>
    </row>
    <row r="3002" spans="1:9" ht="50" hidden="1">
      <c r="A3002" s="345">
        <v>3539</v>
      </c>
      <c r="B3002" s="346" t="s">
        <v>198</v>
      </c>
      <c r="C3002" s="347">
        <v>11576.25</v>
      </c>
      <c r="D3002" s="348">
        <v>46388</v>
      </c>
      <c r="E3002" s="348">
        <v>46722</v>
      </c>
      <c r="F3002" s="346" t="s">
        <v>101</v>
      </c>
      <c r="G3002" s="349" t="s">
        <v>498</v>
      </c>
      <c r="H3002" s="350">
        <f t="shared" si="58"/>
        <v>138915</v>
      </c>
      <c r="I3002" s="120" t="str">
        <f>IF(OR(D3002&lt;Capa!$A$5,D3002&gt;Capa!$A$7,E3002&lt;Capa!$A$5,E3002&gt;Capa!$A$7,D3002&gt;E3002),"Erro","")</f>
        <v/>
      </c>
    </row>
    <row r="3003" spans="1:9" ht="50" hidden="1">
      <c r="A3003" s="345">
        <v>3540</v>
      </c>
      <c r="B3003" s="346" t="s">
        <v>198</v>
      </c>
      <c r="C3003" s="347">
        <v>3000</v>
      </c>
      <c r="D3003" s="348">
        <v>46753</v>
      </c>
      <c r="E3003" s="348">
        <v>47058</v>
      </c>
      <c r="F3003" s="346" t="s">
        <v>101</v>
      </c>
      <c r="G3003" s="349" t="s">
        <v>498</v>
      </c>
      <c r="H3003" s="350">
        <f t="shared" si="58"/>
        <v>33000</v>
      </c>
      <c r="I3003" s="120" t="str">
        <f>IF(OR(D3003&lt;Capa!$A$5,D3003&gt;Capa!$A$7,E3003&lt;Capa!$A$5,E3003&gt;Capa!$A$7,D3003&gt;E3003),"Erro","")</f>
        <v/>
      </c>
    </row>
    <row r="3004" spans="1:9" ht="50" hidden="1">
      <c r="A3004" s="345">
        <v>3542</v>
      </c>
      <c r="B3004" s="346" t="s">
        <v>200</v>
      </c>
      <c r="C3004" s="347">
        <v>2000</v>
      </c>
      <c r="D3004" s="348">
        <v>45658</v>
      </c>
      <c r="E3004" s="348">
        <v>45992</v>
      </c>
      <c r="F3004" s="346" t="s">
        <v>101</v>
      </c>
      <c r="G3004" s="349" t="s">
        <v>499</v>
      </c>
      <c r="H3004" s="350">
        <f t="shared" si="58"/>
        <v>24000</v>
      </c>
      <c r="I3004" s="120" t="str">
        <f>IF(OR(D3004&lt;Capa!$A$5,D3004&gt;Capa!$A$7,E3004&lt;Capa!$A$5,E3004&gt;Capa!$A$7,D3004&gt;E3004),"Erro","")</f>
        <v/>
      </c>
    </row>
    <row r="3005" spans="1:9" ht="50" hidden="1">
      <c r="A3005" s="345">
        <v>3543</v>
      </c>
      <c r="B3005" s="346" t="s">
        <v>200</v>
      </c>
      <c r="C3005" s="347">
        <v>2000</v>
      </c>
      <c r="D3005" s="348">
        <v>46023</v>
      </c>
      <c r="E3005" s="348">
        <v>46357</v>
      </c>
      <c r="F3005" s="346" t="s">
        <v>101</v>
      </c>
      <c r="G3005" s="349" t="s">
        <v>499</v>
      </c>
      <c r="H3005" s="350">
        <f t="shared" si="58"/>
        <v>24000</v>
      </c>
      <c r="I3005" s="120" t="str">
        <f>IF(OR(D3005&lt;Capa!$A$5,D3005&gt;Capa!$A$7,E3005&lt;Capa!$A$5,E3005&gt;Capa!$A$7,D3005&gt;E3005),"Erro","")</f>
        <v/>
      </c>
    </row>
    <row r="3006" spans="1:9" ht="50" hidden="1">
      <c r="A3006" s="345">
        <v>3544</v>
      </c>
      <c r="B3006" s="346" t="s">
        <v>200</v>
      </c>
      <c r="C3006" s="347">
        <v>2000</v>
      </c>
      <c r="D3006" s="348">
        <v>46388</v>
      </c>
      <c r="E3006" s="348">
        <v>46722</v>
      </c>
      <c r="F3006" s="346" t="s">
        <v>101</v>
      </c>
      <c r="G3006" s="349" t="s">
        <v>499</v>
      </c>
      <c r="H3006" s="350">
        <f t="shared" si="58"/>
        <v>24000</v>
      </c>
      <c r="I3006" s="120" t="str">
        <f>IF(OR(D3006&lt;Capa!$A$5,D3006&gt;Capa!$A$7,E3006&lt;Capa!$A$5,E3006&gt;Capa!$A$7,D3006&gt;E3006),"Erro","")</f>
        <v/>
      </c>
    </row>
    <row r="3007" spans="1:9" ht="50" hidden="1">
      <c r="A3007" s="345">
        <v>3545</v>
      </c>
      <c r="B3007" s="346" t="s">
        <v>200</v>
      </c>
      <c r="C3007" s="347">
        <v>500</v>
      </c>
      <c r="D3007" s="348">
        <v>46753</v>
      </c>
      <c r="E3007" s="348">
        <v>47058</v>
      </c>
      <c r="F3007" s="346" t="s">
        <v>101</v>
      </c>
      <c r="G3007" s="349" t="s">
        <v>499</v>
      </c>
      <c r="H3007" s="350">
        <f t="shared" si="58"/>
        <v>5500</v>
      </c>
      <c r="I3007" s="120" t="str">
        <f>IF(OR(D3007&lt;Capa!$A$5,D3007&gt;Capa!$A$7,E3007&lt;Capa!$A$5,E3007&gt;Capa!$A$7,D3007&gt;E3007),"Erro","")</f>
        <v/>
      </c>
    </row>
    <row r="3008" spans="1:9" ht="50" hidden="1">
      <c r="A3008" s="345">
        <v>3546</v>
      </c>
      <c r="B3008" s="346" t="s">
        <v>202</v>
      </c>
      <c r="C3008" s="347">
        <v>1500</v>
      </c>
      <c r="D3008" s="348">
        <v>45689</v>
      </c>
      <c r="E3008" s="348">
        <v>45717</v>
      </c>
      <c r="F3008" s="346" t="s">
        <v>101</v>
      </c>
      <c r="G3008" s="349" t="s">
        <v>500</v>
      </c>
      <c r="H3008" s="350">
        <f t="shared" si="58"/>
        <v>3000</v>
      </c>
      <c r="I3008" s="120" t="str">
        <f>IF(OR(D3008&lt;Capa!$A$5,D3008&gt;Capa!$A$7,E3008&lt;Capa!$A$5,E3008&gt;Capa!$A$7,D3008&gt;E3008),"Erro","")</f>
        <v/>
      </c>
    </row>
    <row r="3009" spans="1:9" ht="50" hidden="1">
      <c r="A3009" s="345">
        <v>3547</v>
      </c>
      <c r="B3009" s="346" t="s">
        <v>202</v>
      </c>
      <c r="C3009" s="347">
        <v>1300</v>
      </c>
      <c r="D3009" s="348">
        <v>46054</v>
      </c>
      <c r="E3009" s="348">
        <v>46054</v>
      </c>
      <c r="F3009" s="346" t="s">
        <v>101</v>
      </c>
      <c r="G3009" s="349" t="s">
        <v>500</v>
      </c>
      <c r="H3009" s="350">
        <f t="shared" si="58"/>
        <v>1300</v>
      </c>
      <c r="I3009" s="120" t="str">
        <f>IF(OR(D3009&lt;Capa!$A$5,D3009&gt;Capa!$A$7,E3009&lt;Capa!$A$5,E3009&gt;Capa!$A$7,D3009&gt;E3009),"Erro","")</f>
        <v/>
      </c>
    </row>
    <row r="3010" spans="1:9" ht="50" hidden="1">
      <c r="A3010" s="345">
        <v>3548</v>
      </c>
      <c r="B3010" s="346" t="s">
        <v>202</v>
      </c>
      <c r="C3010" s="347">
        <v>1300</v>
      </c>
      <c r="D3010" s="348">
        <v>46419</v>
      </c>
      <c r="E3010" s="348">
        <v>46419</v>
      </c>
      <c r="F3010" s="346" t="s">
        <v>101</v>
      </c>
      <c r="G3010" s="349" t="s">
        <v>500</v>
      </c>
      <c r="H3010" s="350">
        <f t="shared" si="58"/>
        <v>1300</v>
      </c>
      <c r="I3010" s="120" t="str">
        <f>IF(OR(D3010&lt;Capa!$A$5,D3010&gt;Capa!$A$7,E3010&lt;Capa!$A$5,E3010&gt;Capa!$A$7,D3010&gt;E3010),"Erro","")</f>
        <v/>
      </c>
    </row>
    <row r="3011" spans="1:9" ht="50" hidden="1">
      <c r="A3011" s="345">
        <v>3549</v>
      </c>
      <c r="B3011" s="346" t="s">
        <v>202</v>
      </c>
      <c r="C3011" s="347">
        <v>750</v>
      </c>
      <c r="D3011" s="348">
        <v>46784</v>
      </c>
      <c r="E3011" s="348">
        <v>46784</v>
      </c>
      <c r="F3011" s="346" t="s">
        <v>101</v>
      </c>
      <c r="G3011" s="349" t="s">
        <v>500</v>
      </c>
      <c r="H3011" s="350">
        <f t="shared" si="58"/>
        <v>750</v>
      </c>
      <c r="I3011" s="120" t="str">
        <f>IF(OR(D3011&lt;Capa!$A$5,D3011&gt;Capa!$A$7,E3011&lt;Capa!$A$5,E3011&gt;Capa!$A$7,D3011&gt;E3011),"Erro","")</f>
        <v/>
      </c>
    </row>
    <row r="3012" spans="1:9" ht="60" hidden="1">
      <c r="A3012" s="345">
        <v>3550</v>
      </c>
      <c r="B3012" s="346" t="s">
        <v>204</v>
      </c>
      <c r="C3012" s="347">
        <v>1250</v>
      </c>
      <c r="D3012" s="348">
        <v>45689</v>
      </c>
      <c r="E3012" s="348">
        <v>45717</v>
      </c>
      <c r="F3012" s="346" t="s">
        <v>101</v>
      </c>
      <c r="G3012" s="349" t="s">
        <v>501</v>
      </c>
      <c r="H3012" s="350">
        <f t="shared" si="58"/>
        <v>2500</v>
      </c>
      <c r="I3012" s="120" t="str">
        <f>IF(OR(D3012&lt;Capa!$A$5,D3012&gt;Capa!$A$7,E3012&lt;Capa!$A$5,E3012&gt;Capa!$A$7,D3012&gt;E3012),"Erro","")</f>
        <v/>
      </c>
    </row>
    <row r="3013" spans="1:9" ht="60" hidden="1">
      <c r="A3013" s="345">
        <v>3551</v>
      </c>
      <c r="B3013" s="346" t="s">
        <v>204</v>
      </c>
      <c r="C3013" s="347">
        <v>1250</v>
      </c>
      <c r="D3013" s="348">
        <v>46054</v>
      </c>
      <c r="E3013" s="348">
        <v>46054</v>
      </c>
      <c r="F3013" s="346" t="s">
        <v>101</v>
      </c>
      <c r="G3013" s="349" t="s">
        <v>501</v>
      </c>
      <c r="H3013" s="350">
        <f t="shared" si="58"/>
        <v>1250</v>
      </c>
      <c r="I3013" s="120" t="str">
        <f>IF(OR(D3013&lt;Capa!$A$5,D3013&gt;Capa!$A$7,E3013&lt;Capa!$A$5,E3013&gt;Capa!$A$7,D3013&gt;E3013),"Erro","")</f>
        <v/>
      </c>
    </row>
    <row r="3014" spans="1:9" ht="60" hidden="1">
      <c r="A3014" s="345">
        <v>3552</v>
      </c>
      <c r="B3014" s="346" t="s">
        <v>204</v>
      </c>
      <c r="C3014" s="347">
        <v>1250</v>
      </c>
      <c r="D3014" s="348">
        <v>46419</v>
      </c>
      <c r="E3014" s="348">
        <v>46419</v>
      </c>
      <c r="F3014" s="346" t="s">
        <v>101</v>
      </c>
      <c r="G3014" s="349" t="s">
        <v>501</v>
      </c>
      <c r="H3014" s="350">
        <f t="shared" si="58"/>
        <v>1250</v>
      </c>
      <c r="I3014" s="120" t="str">
        <f>IF(OR(D3014&lt;Capa!$A$5,D3014&gt;Capa!$A$7,E3014&lt;Capa!$A$5,E3014&gt;Capa!$A$7,D3014&gt;E3014),"Erro","")</f>
        <v/>
      </c>
    </row>
    <row r="3015" spans="1:9" ht="60" hidden="1">
      <c r="A3015" s="345">
        <v>3553</v>
      </c>
      <c r="B3015" s="346" t="s">
        <v>204</v>
      </c>
      <c r="C3015" s="347">
        <v>780</v>
      </c>
      <c r="D3015" s="348">
        <v>46784</v>
      </c>
      <c r="E3015" s="348">
        <v>46784</v>
      </c>
      <c r="F3015" s="346" t="s">
        <v>101</v>
      </c>
      <c r="G3015" s="349" t="s">
        <v>501</v>
      </c>
      <c r="H3015" s="350">
        <f t="shared" si="58"/>
        <v>780</v>
      </c>
      <c r="I3015" s="120" t="str">
        <f>IF(OR(D3015&lt;Capa!$A$5,D3015&gt;Capa!$A$7,E3015&lt;Capa!$A$5,E3015&gt;Capa!$A$7,D3015&gt;E3015),"Erro","")</f>
        <v/>
      </c>
    </row>
    <row r="3016" spans="1:9" ht="60" hidden="1">
      <c r="A3016" s="345">
        <v>3555</v>
      </c>
      <c r="B3016" s="346" t="s">
        <v>206</v>
      </c>
      <c r="C3016" s="347">
        <v>1000</v>
      </c>
      <c r="D3016" s="348">
        <v>45658</v>
      </c>
      <c r="E3016" s="348">
        <v>45992</v>
      </c>
      <c r="F3016" s="346" t="s">
        <v>101</v>
      </c>
      <c r="G3016" s="349" t="s">
        <v>502</v>
      </c>
      <c r="H3016" s="350">
        <f t="shared" si="58"/>
        <v>12000</v>
      </c>
      <c r="I3016" s="120" t="str">
        <f>IF(OR(D3016&lt;Capa!$A$5,D3016&gt;Capa!$A$7,E3016&lt;Capa!$A$5,E3016&gt;Capa!$A$7,D3016&gt;E3016),"Erro","")</f>
        <v/>
      </c>
    </row>
    <row r="3017" spans="1:9" ht="60" hidden="1">
      <c r="A3017" s="345">
        <v>3556</v>
      </c>
      <c r="B3017" s="346" t="s">
        <v>206</v>
      </c>
      <c r="C3017" s="347">
        <v>1000</v>
      </c>
      <c r="D3017" s="348">
        <v>46023</v>
      </c>
      <c r="E3017" s="348">
        <v>46357</v>
      </c>
      <c r="F3017" s="346" t="s">
        <v>101</v>
      </c>
      <c r="G3017" s="349" t="s">
        <v>502</v>
      </c>
      <c r="H3017" s="350">
        <f t="shared" si="58"/>
        <v>12000</v>
      </c>
      <c r="I3017" s="120" t="str">
        <f>IF(OR(D3017&lt;Capa!$A$5,D3017&gt;Capa!$A$7,E3017&lt;Capa!$A$5,E3017&gt;Capa!$A$7,D3017&gt;E3017),"Erro","")</f>
        <v/>
      </c>
    </row>
    <row r="3018" spans="1:9" ht="60" hidden="1">
      <c r="A3018" s="345">
        <v>3557</v>
      </c>
      <c r="B3018" s="346" t="s">
        <v>206</v>
      </c>
      <c r="C3018" s="347">
        <v>1000</v>
      </c>
      <c r="D3018" s="348">
        <v>46388</v>
      </c>
      <c r="E3018" s="348">
        <v>46722</v>
      </c>
      <c r="F3018" s="346" t="s">
        <v>101</v>
      </c>
      <c r="G3018" s="349" t="s">
        <v>502</v>
      </c>
      <c r="H3018" s="350">
        <f t="shared" si="58"/>
        <v>12000</v>
      </c>
      <c r="I3018" s="120" t="str">
        <f>IF(OR(D3018&lt;Capa!$A$5,D3018&gt;Capa!$A$7,E3018&lt;Capa!$A$5,E3018&gt;Capa!$A$7,D3018&gt;E3018),"Erro","")</f>
        <v/>
      </c>
    </row>
    <row r="3019" spans="1:9" ht="60" hidden="1">
      <c r="A3019" s="345">
        <v>3558</v>
      </c>
      <c r="B3019" s="346" t="s">
        <v>206</v>
      </c>
      <c r="C3019" s="347">
        <v>670</v>
      </c>
      <c r="D3019" s="348">
        <v>46753</v>
      </c>
      <c r="E3019" s="348">
        <v>47058</v>
      </c>
      <c r="F3019" s="346" t="s">
        <v>101</v>
      </c>
      <c r="G3019" s="349" t="s">
        <v>502</v>
      </c>
      <c r="H3019" s="350">
        <f t="shared" si="58"/>
        <v>7370</v>
      </c>
      <c r="I3019" s="120" t="str">
        <f>IF(OR(D3019&lt;Capa!$A$5,D3019&gt;Capa!$A$7,E3019&lt;Capa!$A$5,E3019&gt;Capa!$A$7,D3019&gt;E3019),"Erro","")</f>
        <v/>
      </c>
    </row>
    <row r="3020" spans="1:9" ht="30" hidden="1">
      <c r="A3020" s="345">
        <v>3560</v>
      </c>
      <c r="B3020" s="346" t="s">
        <v>210</v>
      </c>
      <c r="C3020" s="347">
        <v>60</v>
      </c>
      <c r="D3020" s="348">
        <v>45658</v>
      </c>
      <c r="E3020" s="348">
        <v>45992</v>
      </c>
      <c r="F3020" s="346" t="s">
        <v>101</v>
      </c>
      <c r="G3020" s="349" t="s">
        <v>503</v>
      </c>
      <c r="H3020" s="350">
        <f t="shared" ref="H3020:H3054" si="59">IFERROR((DATEDIF(D3020,E3020,"M")+1)*C3020,0)</f>
        <v>720</v>
      </c>
      <c r="I3020" s="120" t="str">
        <f>IF(OR(D3020&lt;Capa!$A$5,D3020&gt;Capa!$A$7,E3020&lt;Capa!$A$5,E3020&gt;Capa!$A$7,D3020&gt;E3020),"Erro","")</f>
        <v/>
      </c>
    </row>
    <row r="3021" spans="1:9" ht="30" hidden="1">
      <c r="A3021" s="345">
        <v>3561</v>
      </c>
      <c r="B3021" s="346" t="s">
        <v>210</v>
      </c>
      <c r="C3021" s="347">
        <v>60</v>
      </c>
      <c r="D3021" s="348">
        <v>46023</v>
      </c>
      <c r="E3021" s="348">
        <v>46357</v>
      </c>
      <c r="F3021" s="346" t="s">
        <v>101</v>
      </c>
      <c r="G3021" s="349" t="s">
        <v>503</v>
      </c>
      <c r="H3021" s="350">
        <f t="shared" si="59"/>
        <v>720</v>
      </c>
      <c r="I3021" s="120" t="str">
        <f>IF(OR(D3021&lt;Capa!$A$5,D3021&gt;Capa!$A$7,E3021&lt;Capa!$A$5,E3021&gt;Capa!$A$7,D3021&gt;E3021),"Erro","")</f>
        <v/>
      </c>
    </row>
    <row r="3022" spans="1:9" ht="30" hidden="1">
      <c r="A3022" s="345">
        <v>3562</v>
      </c>
      <c r="B3022" s="346" t="s">
        <v>210</v>
      </c>
      <c r="C3022" s="347">
        <v>60</v>
      </c>
      <c r="D3022" s="348">
        <v>46388</v>
      </c>
      <c r="E3022" s="348">
        <v>46722</v>
      </c>
      <c r="F3022" s="346" t="s">
        <v>101</v>
      </c>
      <c r="G3022" s="349" t="s">
        <v>503</v>
      </c>
      <c r="H3022" s="350">
        <f t="shared" si="59"/>
        <v>720</v>
      </c>
      <c r="I3022" s="120" t="str">
        <f>IF(OR(D3022&lt;Capa!$A$5,D3022&gt;Capa!$A$7,E3022&lt;Capa!$A$5,E3022&gt;Capa!$A$7,D3022&gt;E3022),"Erro","")</f>
        <v/>
      </c>
    </row>
    <row r="3023" spans="1:9" ht="30" hidden="1">
      <c r="A3023" s="345">
        <v>3563</v>
      </c>
      <c r="B3023" s="346" t="s">
        <v>210</v>
      </c>
      <c r="C3023" s="347">
        <v>49</v>
      </c>
      <c r="D3023" s="348">
        <v>46753</v>
      </c>
      <c r="E3023" s="348">
        <v>47058</v>
      </c>
      <c r="F3023" s="346" t="s">
        <v>101</v>
      </c>
      <c r="G3023" s="349" t="s">
        <v>503</v>
      </c>
      <c r="H3023" s="350">
        <f t="shared" si="59"/>
        <v>539</v>
      </c>
      <c r="I3023" s="120" t="str">
        <f>IF(OR(D3023&lt;Capa!$A$5,D3023&gt;Capa!$A$7,E3023&lt;Capa!$A$5,E3023&gt;Capa!$A$7,D3023&gt;E3023),"Erro","")</f>
        <v/>
      </c>
    </row>
    <row r="3024" spans="1:9" ht="30" hidden="1">
      <c r="A3024" s="345">
        <v>3565</v>
      </c>
      <c r="B3024" s="346" t="s">
        <v>212</v>
      </c>
      <c r="C3024" s="347">
        <v>499.01</v>
      </c>
      <c r="D3024" s="348">
        <v>45658</v>
      </c>
      <c r="E3024" s="348">
        <v>45992</v>
      </c>
      <c r="F3024" s="346" t="s">
        <v>101</v>
      </c>
      <c r="G3024" s="349" t="s">
        <v>503</v>
      </c>
      <c r="H3024" s="350">
        <f t="shared" si="59"/>
        <v>5988.12</v>
      </c>
      <c r="I3024" s="120" t="str">
        <f>IF(OR(D3024&lt;Capa!$A$5,D3024&gt;Capa!$A$7,E3024&lt;Capa!$A$5,E3024&gt;Capa!$A$7,D3024&gt;E3024),"Erro","")</f>
        <v/>
      </c>
    </row>
    <row r="3025" spans="1:9" ht="30" hidden="1">
      <c r="A3025" s="345">
        <v>3566</v>
      </c>
      <c r="B3025" s="346" t="s">
        <v>212</v>
      </c>
      <c r="C3025" s="347">
        <v>528.15</v>
      </c>
      <c r="D3025" s="348">
        <v>46023</v>
      </c>
      <c r="E3025" s="348">
        <v>46357</v>
      </c>
      <c r="F3025" s="346" t="s">
        <v>101</v>
      </c>
      <c r="G3025" s="349" t="s">
        <v>503</v>
      </c>
      <c r="H3025" s="350">
        <f t="shared" si="59"/>
        <v>6337.7999999999993</v>
      </c>
      <c r="I3025" s="120" t="str">
        <f>IF(OR(D3025&lt;Capa!$A$5,D3025&gt;Capa!$A$7,E3025&lt;Capa!$A$5,E3025&gt;Capa!$A$7,D3025&gt;E3025),"Erro","")</f>
        <v/>
      </c>
    </row>
    <row r="3026" spans="1:9" ht="30" hidden="1">
      <c r="A3026" s="345">
        <v>3567</v>
      </c>
      <c r="B3026" s="346" t="s">
        <v>212</v>
      </c>
      <c r="C3026" s="347">
        <v>559</v>
      </c>
      <c r="D3026" s="348">
        <v>46388</v>
      </c>
      <c r="E3026" s="348">
        <v>46722</v>
      </c>
      <c r="F3026" s="346" t="s">
        <v>101</v>
      </c>
      <c r="G3026" s="349" t="s">
        <v>503</v>
      </c>
      <c r="H3026" s="350">
        <f t="shared" si="59"/>
        <v>6708</v>
      </c>
      <c r="I3026" s="120" t="str">
        <f>IF(OR(D3026&lt;Capa!$A$5,D3026&gt;Capa!$A$7,E3026&lt;Capa!$A$5,E3026&gt;Capa!$A$7,D3026&gt;E3026),"Erro","")</f>
        <v/>
      </c>
    </row>
    <row r="3027" spans="1:9" ht="30" hidden="1">
      <c r="A3027" s="345">
        <v>3568</v>
      </c>
      <c r="B3027" s="346" t="s">
        <v>212</v>
      </c>
      <c r="C3027" s="347">
        <v>591.64</v>
      </c>
      <c r="D3027" s="348">
        <v>46753</v>
      </c>
      <c r="E3027" s="348">
        <v>47058</v>
      </c>
      <c r="F3027" s="346" t="s">
        <v>101</v>
      </c>
      <c r="G3027" s="349" t="s">
        <v>503</v>
      </c>
      <c r="H3027" s="350">
        <f t="shared" si="59"/>
        <v>6508.04</v>
      </c>
      <c r="I3027" s="120" t="str">
        <f>IF(OR(D3027&lt;Capa!$A$5,D3027&gt;Capa!$A$7,E3027&lt;Capa!$A$5,E3027&gt;Capa!$A$7,D3027&gt;E3027),"Erro","")</f>
        <v/>
      </c>
    </row>
    <row r="3028" spans="1:9" ht="30" hidden="1">
      <c r="A3028" s="345">
        <v>3570</v>
      </c>
      <c r="B3028" s="346" t="s">
        <v>214</v>
      </c>
      <c r="C3028" s="347">
        <v>280</v>
      </c>
      <c r="D3028" s="348">
        <v>45658</v>
      </c>
      <c r="E3028" s="348">
        <v>45992</v>
      </c>
      <c r="F3028" s="346" t="s">
        <v>101</v>
      </c>
      <c r="G3028" s="349" t="s">
        <v>503</v>
      </c>
      <c r="H3028" s="350">
        <f t="shared" si="59"/>
        <v>3360</v>
      </c>
      <c r="I3028" s="120" t="str">
        <f>IF(OR(D3028&lt;Capa!$A$5,D3028&gt;Capa!$A$7,E3028&lt;Capa!$A$5,E3028&gt;Capa!$A$7,D3028&gt;E3028),"Erro","")</f>
        <v/>
      </c>
    </row>
    <row r="3029" spans="1:9" ht="30" hidden="1">
      <c r="A3029" s="345">
        <v>3571</v>
      </c>
      <c r="B3029" s="346" t="s">
        <v>214</v>
      </c>
      <c r="C3029" s="347">
        <v>280</v>
      </c>
      <c r="D3029" s="348">
        <v>46023</v>
      </c>
      <c r="E3029" s="348">
        <v>46357</v>
      </c>
      <c r="F3029" s="346" t="s">
        <v>101</v>
      </c>
      <c r="G3029" s="349" t="s">
        <v>503</v>
      </c>
      <c r="H3029" s="350">
        <f t="shared" si="59"/>
        <v>3360</v>
      </c>
      <c r="I3029" s="120" t="str">
        <f>IF(OR(D3029&lt;Capa!$A$5,D3029&gt;Capa!$A$7,E3029&lt;Capa!$A$5,E3029&gt;Capa!$A$7,D3029&gt;E3029),"Erro","")</f>
        <v/>
      </c>
    </row>
    <row r="3030" spans="1:9" ht="30" hidden="1">
      <c r="A3030" s="345">
        <v>3572</v>
      </c>
      <c r="B3030" s="346" t="s">
        <v>214</v>
      </c>
      <c r="C3030" s="347">
        <v>280</v>
      </c>
      <c r="D3030" s="348">
        <v>46388</v>
      </c>
      <c r="E3030" s="348">
        <v>46722</v>
      </c>
      <c r="F3030" s="346" t="s">
        <v>101</v>
      </c>
      <c r="G3030" s="349" t="s">
        <v>503</v>
      </c>
      <c r="H3030" s="350">
        <f t="shared" si="59"/>
        <v>3360</v>
      </c>
      <c r="I3030" s="120" t="str">
        <f>IF(OR(D3030&lt;Capa!$A$5,D3030&gt;Capa!$A$7,E3030&lt;Capa!$A$5,E3030&gt;Capa!$A$7,D3030&gt;E3030),"Erro","")</f>
        <v/>
      </c>
    </row>
    <row r="3031" spans="1:9" ht="30" hidden="1">
      <c r="A3031" s="345">
        <v>3573</v>
      </c>
      <c r="B3031" s="346" t="s">
        <v>214</v>
      </c>
      <c r="C3031" s="347">
        <v>140</v>
      </c>
      <c r="D3031" s="348">
        <v>46753</v>
      </c>
      <c r="E3031" s="348">
        <v>47058</v>
      </c>
      <c r="F3031" s="346" t="s">
        <v>101</v>
      </c>
      <c r="G3031" s="349" t="s">
        <v>503</v>
      </c>
      <c r="H3031" s="350">
        <f t="shared" si="59"/>
        <v>1540</v>
      </c>
      <c r="I3031" s="120" t="str">
        <f>IF(OR(D3031&lt;Capa!$A$5,D3031&gt;Capa!$A$7,E3031&lt;Capa!$A$5,E3031&gt;Capa!$A$7,D3031&gt;E3031),"Erro","")</f>
        <v/>
      </c>
    </row>
    <row r="3032" spans="1:9" ht="50" hidden="1">
      <c r="A3032" s="345">
        <v>3575</v>
      </c>
      <c r="B3032" s="346" t="s">
        <v>216</v>
      </c>
      <c r="C3032" s="347">
        <v>4000</v>
      </c>
      <c r="D3032" s="348">
        <v>45658</v>
      </c>
      <c r="E3032" s="348">
        <v>45992</v>
      </c>
      <c r="F3032" s="346" t="s">
        <v>101</v>
      </c>
      <c r="G3032" s="349" t="s">
        <v>497</v>
      </c>
      <c r="H3032" s="350">
        <f t="shared" si="59"/>
        <v>48000</v>
      </c>
      <c r="I3032" s="120" t="str">
        <f>IF(OR(D3032&lt;Capa!$A$5,D3032&gt;Capa!$A$7,E3032&lt;Capa!$A$5,E3032&gt;Capa!$A$7,D3032&gt;E3032),"Erro","")</f>
        <v/>
      </c>
    </row>
    <row r="3033" spans="1:9" ht="50" hidden="1">
      <c r="A3033" s="345">
        <v>3576</v>
      </c>
      <c r="B3033" s="346" t="s">
        <v>216</v>
      </c>
      <c r="C3033" s="347">
        <v>4000</v>
      </c>
      <c r="D3033" s="348">
        <v>46023</v>
      </c>
      <c r="E3033" s="348">
        <v>46357</v>
      </c>
      <c r="F3033" s="346" t="s">
        <v>101</v>
      </c>
      <c r="G3033" s="349" t="s">
        <v>497</v>
      </c>
      <c r="H3033" s="350">
        <f t="shared" si="59"/>
        <v>48000</v>
      </c>
      <c r="I3033" s="120" t="str">
        <f>IF(OR(D3033&lt;Capa!$A$5,D3033&gt;Capa!$A$7,E3033&lt;Capa!$A$5,E3033&gt;Capa!$A$7,D3033&gt;E3033),"Erro","")</f>
        <v/>
      </c>
    </row>
    <row r="3034" spans="1:9" ht="50" hidden="1">
      <c r="A3034" s="345">
        <v>3577</v>
      </c>
      <c r="B3034" s="346" t="s">
        <v>216</v>
      </c>
      <c r="C3034" s="347">
        <v>4000</v>
      </c>
      <c r="D3034" s="348">
        <v>46388</v>
      </c>
      <c r="E3034" s="348">
        <v>46722</v>
      </c>
      <c r="F3034" s="346" t="s">
        <v>101</v>
      </c>
      <c r="G3034" s="349" t="s">
        <v>497</v>
      </c>
      <c r="H3034" s="350">
        <f t="shared" si="59"/>
        <v>48000</v>
      </c>
      <c r="I3034" s="120" t="str">
        <f>IF(OR(D3034&lt;Capa!$A$5,D3034&gt;Capa!$A$7,E3034&lt;Capa!$A$5,E3034&gt;Capa!$A$7,D3034&gt;E3034),"Erro","")</f>
        <v/>
      </c>
    </row>
    <row r="3035" spans="1:9" ht="50" hidden="1">
      <c r="A3035" s="345">
        <v>3578</v>
      </c>
      <c r="B3035" s="346" t="s">
        <v>216</v>
      </c>
      <c r="C3035" s="347">
        <v>2000</v>
      </c>
      <c r="D3035" s="348">
        <v>46753</v>
      </c>
      <c r="E3035" s="348">
        <v>47058</v>
      </c>
      <c r="F3035" s="346" t="s">
        <v>101</v>
      </c>
      <c r="G3035" s="349" t="s">
        <v>497</v>
      </c>
      <c r="H3035" s="350">
        <f t="shared" si="59"/>
        <v>22000</v>
      </c>
      <c r="I3035" s="120" t="str">
        <f>IF(OR(D3035&lt;Capa!$A$5,D3035&gt;Capa!$A$7,E3035&lt;Capa!$A$5,E3035&gt;Capa!$A$7,D3035&gt;E3035),"Erro","")</f>
        <v/>
      </c>
    </row>
    <row r="3036" spans="1:9" ht="30" hidden="1">
      <c r="A3036" s="345">
        <v>3580</v>
      </c>
      <c r="B3036" s="346" t="s">
        <v>218</v>
      </c>
      <c r="C3036" s="377">
        <v>19000</v>
      </c>
      <c r="D3036" s="348">
        <v>45658</v>
      </c>
      <c r="E3036" s="348">
        <v>45992</v>
      </c>
      <c r="F3036" s="346" t="s">
        <v>101</v>
      </c>
      <c r="G3036" s="349" t="s">
        <v>504</v>
      </c>
      <c r="H3036" s="350">
        <f t="shared" si="59"/>
        <v>228000</v>
      </c>
      <c r="I3036" s="120" t="str">
        <f>IF(OR(D3036&lt;Capa!$A$5,D3036&gt;Capa!$A$7,E3036&lt;Capa!$A$5,E3036&gt;Capa!$A$7,D3036&gt;E3036),"Erro","")</f>
        <v/>
      </c>
    </row>
    <row r="3037" spans="1:9" ht="30" hidden="1">
      <c r="A3037" s="345">
        <v>3581</v>
      </c>
      <c r="B3037" s="346" t="s">
        <v>218</v>
      </c>
      <c r="C3037" s="377">
        <v>19000</v>
      </c>
      <c r="D3037" s="348">
        <v>46023</v>
      </c>
      <c r="E3037" s="348">
        <v>46357</v>
      </c>
      <c r="F3037" s="346" t="s">
        <v>101</v>
      </c>
      <c r="G3037" s="349" t="s">
        <v>504</v>
      </c>
      <c r="H3037" s="350">
        <f t="shared" si="59"/>
        <v>228000</v>
      </c>
      <c r="I3037" s="120" t="str">
        <f>IF(OR(D3037&lt;Capa!$A$5,D3037&gt;Capa!$A$7,E3037&lt;Capa!$A$5,E3037&gt;Capa!$A$7,D3037&gt;E3037),"Erro","")</f>
        <v/>
      </c>
    </row>
    <row r="3038" spans="1:9" ht="30" hidden="1">
      <c r="A3038" s="345">
        <v>3582</v>
      </c>
      <c r="B3038" s="346" t="s">
        <v>218</v>
      </c>
      <c r="C3038" s="377">
        <v>19000</v>
      </c>
      <c r="D3038" s="348">
        <v>46388</v>
      </c>
      <c r="E3038" s="348">
        <v>46722</v>
      </c>
      <c r="F3038" s="346" t="s">
        <v>101</v>
      </c>
      <c r="G3038" s="349" t="s">
        <v>504</v>
      </c>
      <c r="H3038" s="350">
        <f t="shared" si="59"/>
        <v>228000</v>
      </c>
      <c r="I3038" s="120" t="str">
        <f>IF(OR(D3038&lt;Capa!$A$5,D3038&gt;Capa!$A$7,E3038&lt;Capa!$A$5,E3038&gt;Capa!$A$7,D3038&gt;E3038),"Erro","")</f>
        <v/>
      </c>
    </row>
    <row r="3039" spans="1:9" ht="30" hidden="1">
      <c r="A3039" s="345">
        <v>3583</v>
      </c>
      <c r="B3039" s="346" t="s">
        <v>218</v>
      </c>
      <c r="C3039" s="377">
        <v>9000</v>
      </c>
      <c r="D3039" s="348">
        <v>46753</v>
      </c>
      <c r="E3039" s="348">
        <v>47058</v>
      </c>
      <c r="F3039" s="346" t="s">
        <v>101</v>
      </c>
      <c r="G3039" s="349" t="s">
        <v>504</v>
      </c>
      <c r="H3039" s="350">
        <f t="shared" si="59"/>
        <v>99000</v>
      </c>
      <c r="I3039" s="120" t="str">
        <f>IF(OR(D3039&lt;Capa!$A$5,D3039&gt;Capa!$A$7,E3039&lt;Capa!$A$5,E3039&gt;Capa!$A$7,D3039&gt;E3039),"Erro","")</f>
        <v/>
      </c>
    </row>
    <row r="3040" spans="1:9" ht="70" hidden="1">
      <c r="A3040" s="345">
        <v>3585</v>
      </c>
      <c r="B3040" s="346" t="s">
        <v>220</v>
      </c>
      <c r="C3040" s="377">
        <v>14000</v>
      </c>
      <c r="D3040" s="348">
        <v>45658</v>
      </c>
      <c r="E3040" s="348">
        <v>45992</v>
      </c>
      <c r="F3040" s="346" t="s">
        <v>101</v>
      </c>
      <c r="G3040" s="349" t="s">
        <v>568</v>
      </c>
      <c r="H3040" s="350">
        <f t="shared" si="59"/>
        <v>168000</v>
      </c>
      <c r="I3040" s="120" t="str">
        <f>IF(OR(D3040&lt;Capa!$A$5,D3040&gt;Capa!$A$7,E3040&lt;Capa!$A$5,E3040&gt;Capa!$A$7,D3040&gt;E3040),"Erro","")</f>
        <v/>
      </c>
    </row>
    <row r="3041" spans="1:9" ht="70" hidden="1">
      <c r="A3041" s="345">
        <v>3586</v>
      </c>
      <c r="B3041" s="346" t="s">
        <v>220</v>
      </c>
      <c r="C3041" s="377">
        <v>14000</v>
      </c>
      <c r="D3041" s="348">
        <v>46023</v>
      </c>
      <c r="E3041" s="348">
        <v>46357</v>
      </c>
      <c r="F3041" s="346" t="s">
        <v>101</v>
      </c>
      <c r="G3041" s="349" t="s">
        <v>568</v>
      </c>
      <c r="H3041" s="350">
        <f t="shared" si="59"/>
        <v>168000</v>
      </c>
      <c r="I3041" s="120" t="str">
        <f>IF(OR(D3041&lt;Capa!$A$5,D3041&gt;Capa!$A$7,E3041&lt;Capa!$A$5,E3041&gt;Capa!$A$7,D3041&gt;E3041),"Erro","")</f>
        <v/>
      </c>
    </row>
    <row r="3042" spans="1:9" ht="70" hidden="1">
      <c r="A3042" s="345">
        <v>3587</v>
      </c>
      <c r="B3042" s="346" t="s">
        <v>220</v>
      </c>
      <c r="C3042" s="377">
        <v>14000</v>
      </c>
      <c r="D3042" s="348">
        <v>46388</v>
      </c>
      <c r="E3042" s="348">
        <v>46722</v>
      </c>
      <c r="F3042" s="346" t="s">
        <v>101</v>
      </c>
      <c r="G3042" s="349" t="s">
        <v>568</v>
      </c>
      <c r="H3042" s="350">
        <f t="shared" si="59"/>
        <v>168000</v>
      </c>
      <c r="I3042" s="120" t="str">
        <f>IF(OR(D3042&lt;Capa!$A$5,D3042&gt;Capa!$A$7,E3042&lt;Capa!$A$5,E3042&gt;Capa!$A$7,D3042&gt;E3042),"Erro","")</f>
        <v/>
      </c>
    </row>
    <row r="3043" spans="1:9" ht="70" hidden="1">
      <c r="A3043" s="345">
        <v>3588</v>
      </c>
      <c r="B3043" s="346" t="s">
        <v>220</v>
      </c>
      <c r="C3043" s="377">
        <v>7000</v>
      </c>
      <c r="D3043" s="348">
        <v>46753</v>
      </c>
      <c r="E3043" s="348">
        <v>47058</v>
      </c>
      <c r="F3043" s="346" t="s">
        <v>101</v>
      </c>
      <c r="G3043" s="349" t="s">
        <v>568</v>
      </c>
      <c r="H3043" s="350">
        <f t="shared" si="59"/>
        <v>77000</v>
      </c>
      <c r="I3043" s="120" t="str">
        <f>IF(OR(D3043&lt;Capa!$A$5,D3043&gt;Capa!$A$7,E3043&lt;Capa!$A$5,E3043&gt;Capa!$A$7,D3043&gt;E3043),"Erro","")</f>
        <v/>
      </c>
    </row>
    <row r="3044" spans="1:9" ht="90" hidden="1">
      <c r="A3044" s="345">
        <v>3590</v>
      </c>
      <c r="B3044" s="346" t="s">
        <v>224</v>
      </c>
      <c r="C3044" s="377">
        <v>3704.45</v>
      </c>
      <c r="D3044" s="348">
        <v>45658</v>
      </c>
      <c r="E3044" s="348">
        <v>45992</v>
      </c>
      <c r="F3044" s="346" t="s">
        <v>101</v>
      </c>
      <c r="G3044" s="349" t="s">
        <v>569</v>
      </c>
      <c r="H3044" s="350">
        <f t="shared" si="59"/>
        <v>44453.399999999994</v>
      </c>
      <c r="I3044" s="120" t="str">
        <f>IF(OR(D3044&lt;Capa!$A$5,D3044&gt;Capa!$A$7,E3044&lt;Capa!$A$5,E3044&gt;Capa!$A$7,D3044&gt;E3044),"Erro","")</f>
        <v/>
      </c>
    </row>
    <row r="3045" spans="1:9" ht="90" hidden="1">
      <c r="A3045" s="345">
        <v>3591</v>
      </c>
      <c r="B3045" s="346" t="s">
        <v>224</v>
      </c>
      <c r="C3045" s="377">
        <v>3920.73</v>
      </c>
      <c r="D3045" s="348">
        <v>46023</v>
      </c>
      <c r="E3045" s="348">
        <v>46357</v>
      </c>
      <c r="F3045" s="346" t="s">
        <v>101</v>
      </c>
      <c r="G3045" s="349" t="s">
        <v>569</v>
      </c>
      <c r="H3045" s="350">
        <f t="shared" si="59"/>
        <v>47048.76</v>
      </c>
      <c r="I3045" s="120" t="str">
        <f>IF(OR(D3045&lt;Capa!$A$5,D3045&gt;Capa!$A$7,E3045&lt;Capa!$A$5,E3045&gt;Capa!$A$7,D3045&gt;E3045),"Erro","")</f>
        <v/>
      </c>
    </row>
    <row r="3046" spans="1:9" ht="90" hidden="1">
      <c r="A3046" s="345">
        <v>3592</v>
      </c>
      <c r="B3046" s="346" t="s">
        <v>224</v>
      </c>
      <c r="C3046" s="377">
        <v>4149.7</v>
      </c>
      <c r="D3046" s="348">
        <v>46388</v>
      </c>
      <c r="E3046" s="348">
        <v>46722</v>
      </c>
      <c r="F3046" s="346" t="s">
        <v>101</v>
      </c>
      <c r="G3046" s="349" t="s">
        <v>569</v>
      </c>
      <c r="H3046" s="350">
        <f t="shared" si="59"/>
        <v>49796.399999999994</v>
      </c>
      <c r="I3046" s="120" t="str">
        <f>IF(OR(D3046&lt;Capa!$A$5,D3046&gt;Capa!$A$7,E3046&lt;Capa!$A$5,E3046&gt;Capa!$A$7,D3046&gt;E3046),"Erro","")</f>
        <v/>
      </c>
    </row>
    <row r="3047" spans="1:9" ht="90" hidden="1">
      <c r="A3047" s="345">
        <v>3593</v>
      </c>
      <c r="B3047" s="346" t="s">
        <v>224</v>
      </c>
      <c r="C3047" s="377">
        <v>1000</v>
      </c>
      <c r="D3047" s="348">
        <v>46753</v>
      </c>
      <c r="E3047" s="348">
        <v>47058</v>
      </c>
      <c r="F3047" s="346" t="s">
        <v>101</v>
      </c>
      <c r="G3047" s="349" t="s">
        <v>569</v>
      </c>
      <c r="H3047" s="350">
        <f t="shared" si="59"/>
        <v>11000</v>
      </c>
      <c r="I3047" s="120" t="str">
        <f>IF(OR(D3047&lt;Capa!$A$5,D3047&gt;Capa!$A$7,E3047&lt;Capa!$A$5,E3047&gt;Capa!$A$7,D3047&gt;E3047),"Erro","")</f>
        <v/>
      </c>
    </row>
    <row r="3048" spans="1:9" ht="20" hidden="1">
      <c r="A3048" s="345">
        <v>3594</v>
      </c>
      <c r="B3048" s="346" t="s">
        <v>226</v>
      </c>
      <c r="C3048" s="347">
        <v>500</v>
      </c>
      <c r="D3048" s="348">
        <v>45658</v>
      </c>
      <c r="E3048" s="348">
        <v>47058</v>
      </c>
      <c r="F3048" s="346" t="s">
        <v>101</v>
      </c>
      <c r="G3048" s="349" t="s">
        <v>546</v>
      </c>
      <c r="H3048" s="350">
        <f t="shared" si="59"/>
        <v>23500</v>
      </c>
      <c r="I3048" s="120" t="str">
        <f>IF(OR(D3048&lt;Capa!$A$5,D3048&gt;Capa!$A$7,E3048&lt;Capa!$A$5,E3048&gt;Capa!$A$7,D3048&gt;E3048),"Erro","")</f>
        <v/>
      </c>
    </row>
    <row r="3049" spans="1:9" ht="30" hidden="1">
      <c r="A3049" s="345">
        <v>3595</v>
      </c>
      <c r="B3049" s="346" t="s">
        <v>236</v>
      </c>
      <c r="C3049" s="347">
        <v>800</v>
      </c>
      <c r="D3049" s="348">
        <v>45658</v>
      </c>
      <c r="E3049" s="348">
        <v>45931</v>
      </c>
      <c r="F3049" s="346" t="s">
        <v>101</v>
      </c>
      <c r="G3049" s="349" t="s">
        <v>551</v>
      </c>
      <c r="H3049" s="350">
        <f t="shared" si="59"/>
        <v>8000</v>
      </c>
      <c r="I3049" s="120" t="str">
        <f>IF(OR(D3049&lt;Capa!$A$5,D3049&gt;Capa!$A$7,E3049&lt;Capa!$A$5,E3049&gt;Capa!$A$7,D3049&gt;E3049),"Erro","")</f>
        <v/>
      </c>
    </row>
    <row r="3050" spans="1:9" ht="30" hidden="1">
      <c r="A3050" s="345">
        <v>3596</v>
      </c>
      <c r="B3050" s="346" t="s">
        <v>236</v>
      </c>
      <c r="C3050" s="347">
        <v>800</v>
      </c>
      <c r="D3050" s="348">
        <v>45962</v>
      </c>
      <c r="E3050" s="348">
        <v>46296</v>
      </c>
      <c r="F3050" s="346" t="s">
        <v>101</v>
      </c>
      <c r="G3050" s="349" t="s">
        <v>551</v>
      </c>
      <c r="H3050" s="350">
        <f t="shared" si="59"/>
        <v>9600</v>
      </c>
      <c r="I3050" s="120" t="str">
        <f>IF(OR(D3050&lt;Capa!$A$5,D3050&gt;Capa!$A$7,E3050&lt;Capa!$A$5,E3050&gt;Capa!$A$7,D3050&gt;E3050),"Erro","")</f>
        <v/>
      </c>
    </row>
    <row r="3051" spans="1:9" ht="30" hidden="1">
      <c r="A3051" s="345">
        <v>3597</v>
      </c>
      <c r="B3051" s="346" t="s">
        <v>236</v>
      </c>
      <c r="C3051" s="347">
        <v>800</v>
      </c>
      <c r="D3051" s="348">
        <v>46327</v>
      </c>
      <c r="E3051" s="348">
        <v>46722</v>
      </c>
      <c r="F3051" s="346" t="s">
        <v>101</v>
      </c>
      <c r="G3051" s="349" t="s">
        <v>551</v>
      </c>
      <c r="H3051" s="350">
        <f t="shared" si="59"/>
        <v>11200</v>
      </c>
      <c r="I3051" s="120" t="str">
        <f>IF(OR(D3051&lt;Capa!$A$5,D3051&gt;Capa!$A$7,E3051&lt;Capa!$A$5,E3051&gt;Capa!$A$7,D3051&gt;E3051),"Erro","")</f>
        <v/>
      </c>
    </row>
    <row r="3052" spans="1:9" ht="30" hidden="1">
      <c r="A3052" s="345">
        <v>3598</v>
      </c>
      <c r="B3052" s="346" t="s">
        <v>236</v>
      </c>
      <c r="C3052" s="347">
        <v>400</v>
      </c>
      <c r="D3052" s="348">
        <v>46753</v>
      </c>
      <c r="E3052" s="348">
        <v>47058</v>
      </c>
      <c r="F3052" s="346" t="s">
        <v>101</v>
      </c>
      <c r="G3052" s="349" t="s">
        <v>551</v>
      </c>
      <c r="H3052" s="350">
        <f t="shared" si="59"/>
        <v>4400</v>
      </c>
      <c r="I3052" s="120" t="str">
        <f>IF(OR(D3052&lt;Capa!$A$5,D3052&gt;Capa!$A$7,E3052&lt;Capa!$A$5,E3052&gt;Capa!$A$7,D3052&gt;E3052),"Erro","")</f>
        <v/>
      </c>
    </row>
    <row r="3053" spans="1:9" ht="30" hidden="1">
      <c r="A3053" s="345">
        <v>3599</v>
      </c>
      <c r="B3053" s="346" t="s">
        <v>238</v>
      </c>
      <c r="C3053" s="347">
        <v>480</v>
      </c>
      <c r="D3053" s="348">
        <v>45658</v>
      </c>
      <c r="E3053" s="348">
        <v>45931</v>
      </c>
      <c r="F3053" s="346" t="s">
        <v>101</v>
      </c>
      <c r="G3053" s="349" t="s">
        <v>551</v>
      </c>
      <c r="H3053" s="350">
        <f t="shared" si="59"/>
        <v>4800</v>
      </c>
      <c r="I3053" s="120" t="str">
        <f>IF(OR(D3053&lt;Capa!$A$5,D3053&gt;Capa!$A$7,E3053&lt;Capa!$A$5,E3053&gt;Capa!$A$7,D3053&gt;E3053),"Erro","")</f>
        <v/>
      </c>
    </row>
    <row r="3054" spans="1:9" ht="30" hidden="1">
      <c r="A3054" s="345">
        <v>3600</v>
      </c>
      <c r="B3054" s="346" t="s">
        <v>238</v>
      </c>
      <c r="C3054" s="347">
        <v>480</v>
      </c>
      <c r="D3054" s="348">
        <v>45962</v>
      </c>
      <c r="E3054" s="348">
        <v>46296</v>
      </c>
      <c r="F3054" s="346" t="s">
        <v>101</v>
      </c>
      <c r="G3054" s="349" t="s">
        <v>551</v>
      </c>
      <c r="H3054" s="350">
        <f t="shared" si="59"/>
        <v>5760</v>
      </c>
      <c r="I3054" s="120" t="str">
        <f>IF(OR(D3054&lt;Capa!$A$5,D3054&gt;Capa!$A$7,E3054&lt;Capa!$A$5,E3054&gt;Capa!$A$7,D3054&gt;E3054),"Erro","")</f>
        <v/>
      </c>
    </row>
    <row r="3055" spans="1:9" ht="30" hidden="1">
      <c r="A3055" s="345">
        <v>3601</v>
      </c>
      <c r="B3055" s="346" t="s">
        <v>238</v>
      </c>
      <c r="C3055" s="347">
        <v>480</v>
      </c>
      <c r="D3055" s="348">
        <v>46327</v>
      </c>
      <c r="E3055" s="348">
        <v>46661</v>
      </c>
      <c r="F3055" s="346" t="s">
        <v>101</v>
      </c>
      <c r="G3055" s="349" t="s">
        <v>551</v>
      </c>
      <c r="H3055" s="350">
        <f t="shared" ref="H3055:H3083" si="60">IFERROR((DATEDIF(D3055,E3055,"M")+1)*C3055,0)</f>
        <v>5760</v>
      </c>
      <c r="I3055" s="120" t="str">
        <f>IF(OR(D3055&lt;Capa!$A$5,D3055&gt;Capa!$A$7,E3055&lt;Capa!$A$5,E3055&gt;Capa!$A$7,D3055&gt;E3055),"Erro","")</f>
        <v/>
      </c>
    </row>
    <row r="3056" spans="1:9" ht="30" hidden="1">
      <c r="A3056" s="345">
        <v>3602</v>
      </c>
      <c r="B3056" s="346" t="s">
        <v>238</v>
      </c>
      <c r="C3056" s="347">
        <v>240</v>
      </c>
      <c r="D3056" s="348">
        <v>46692</v>
      </c>
      <c r="E3056" s="348">
        <v>47058</v>
      </c>
      <c r="F3056" s="346" t="s">
        <v>101</v>
      </c>
      <c r="G3056" s="349" t="s">
        <v>551</v>
      </c>
      <c r="H3056" s="350">
        <f t="shared" si="60"/>
        <v>3120</v>
      </c>
      <c r="I3056" s="120" t="str">
        <f>IF(OR(D3056&lt;Capa!$A$5,D3056&gt;Capa!$A$7,E3056&lt;Capa!$A$5,E3056&gt;Capa!$A$7,D3056&gt;E3056),"Erro","")</f>
        <v/>
      </c>
    </row>
    <row r="3057" spans="1:9" ht="30" hidden="1">
      <c r="A3057" s="345">
        <v>3603</v>
      </c>
      <c r="B3057" s="346" t="s">
        <v>240</v>
      </c>
      <c r="C3057" s="347">
        <v>300</v>
      </c>
      <c r="D3057" s="348">
        <v>45809</v>
      </c>
      <c r="E3057" s="348">
        <v>45931</v>
      </c>
      <c r="F3057" s="346" t="s">
        <v>101</v>
      </c>
      <c r="G3057" s="349" t="s">
        <v>551</v>
      </c>
      <c r="H3057" s="350">
        <f t="shared" si="60"/>
        <v>1500</v>
      </c>
      <c r="I3057" s="120" t="str">
        <f>IF(OR(D3057&lt;Capa!$A$5,D3057&gt;Capa!$A$7,E3057&lt;Capa!$A$5,E3057&gt;Capa!$A$7,D3057&gt;E3057),"Erro","")</f>
        <v/>
      </c>
    </row>
    <row r="3058" spans="1:9" ht="30" hidden="1">
      <c r="A3058" s="345">
        <v>3604</v>
      </c>
      <c r="B3058" s="346" t="s">
        <v>240</v>
      </c>
      <c r="C3058" s="347">
        <v>300</v>
      </c>
      <c r="D3058" s="348">
        <v>46174</v>
      </c>
      <c r="E3058" s="348">
        <v>46296</v>
      </c>
      <c r="F3058" s="346" t="s">
        <v>101</v>
      </c>
      <c r="G3058" s="349" t="s">
        <v>551</v>
      </c>
      <c r="H3058" s="350">
        <f t="shared" si="60"/>
        <v>1500</v>
      </c>
      <c r="I3058" s="120" t="str">
        <f>IF(OR(D3058&lt;Capa!$A$5,D3058&gt;Capa!$A$7,E3058&lt;Capa!$A$5,E3058&gt;Capa!$A$7,D3058&gt;E3058),"Erro","")</f>
        <v/>
      </c>
    </row>
    <row r="3059" spans="1:9" ht="30" hidden="1">
      <c r="A3059" s="345">
        <v>3605</v>
      </c>
      <c r="B3059" s="346" t="s">
        <v>240</v>
      </c>
      <c r="C3059" s="347">
        <v>300</v>
      </c>
      <c r="D3059" s="348">
        <v>46539</v>
      </c>
      <c r="E3059" s="348">
        <v>46661</v>
      </c>
      <c r="F3059" s="346" t="s">
        <v>101</v>
      </c>
      <c r="G3059" s="349" t="s">
        <v>551</v>
      </c>
      <c r="H3059" s="350">
        <f t="shared" si="60"/>
        <v>1500</v>
      </c>
      <c r="I3059" s="120" t="str">
        <f>IF(OR(D3059&lt;Capa!$A$5,D3059&gt;Capa!$A$7,E3059&lt;Capa!$A$5,E3059&gt;Capa!$A$7,D3059&gt;E3059),"Erro","")</f>
        <v/>
      </c>
    </row>
    <row r="3060" spans="1:9" ht="30" hidden="1">
      <c r="A3060" s="345">
        <v>3606</v>
      </c>
      <c r="B3060" s="346" t="s">
        <v>240</v>
      </c>
      <c r="C3060" s="347">
        <v>300</v>
      </c>
      <c r="D3060" s="348">
        <v>46905</v>
      </c>
      <c r="E3060" s="348">
        <v>47058</v>
      </c>
      <c r="F3060" s="346" t="s">
        <v>101</v>
      </c>
      <c r="G3060" s="349" t="s">
        <v>551</v>
      </c>
      <c r="H3060" s="350">
        <f t="shared" si="60"/>
        <v>1800</v>
      </c>
      <c r="I3060" s="120" t="str">
        <f>IF(OR(D3060&lt;Capa!$A$5,D3060&gt;Capa!$A$7,E3060&lt;Capa!$A$5,E3060&gt;Capa!$A$7,D3060&gt;E3060),"Erro","")</f>
        <v/>
      </c>
    </row>
    <row r="3061" spans="1:9" ht="20" hidden="1">
      <c r="A3061" s="345">
        <v>3607</v>
      </c>
      <c r="B3061" s="346" t="s">
        <v>242</v>
      </c>
      <c r="C3061" s="347">
        <v>1000</v>
      </c>
      <c r="D3061" s="348">
        <v>46966</v>
      </c>
      <c r="E3061" s="348">
        <v>47058</v>
      </c>
      <c r="F3061" s="346" t="s">
        <v>101</v>
      </c>
      <c r="G3061" s="349" t="s">
        <v>547</v>
      </c>
      <c r="H3061" s="350">
        <f t="shared" si="60"/>
        <v>4000</v>
      </c>
      <c r="I3061" s="120" t="str">
        <f>IF(OR(D3061&lt;Capa!$A$5,D3061&gt;Capa!$A$7,E3061&lt;Capa!$A$5,E3061&gt;Capa!$A$7,D3061&gt;E3061),"Erro","")</f>
        <v/>
      </c>
    </row>
    <row r="3062" spans="1:9" ht="20" hidden="1">
      <c r="A3062" s="345">
        <v>3608</v>
      </c>
      <c r="B3062" s="346" t="s">
        <v>244</v>
      </c>
      <c r="C3062" s="347">
        <v>350</v>
      </c>
      <c r="D3062" s="348">
        <v>45658</v>
      </c>
      <c r="E3062" s="348">
        <v>47058</v>
      </c>
      <c r="F3062" s="346" t="s">
        <v>101</v>
      </c>
      <c r="G3062" s="349" t="s">
        <v>548</v>
      </c>
      <c r="H3062" s="350">
        <f t="shared" si="60"/>
        <v>16450</v>
      </c>
      <c r="I3062" s="120" t="str">
        <f>IF(OR(D3062&lt;Capa!$A$5,D3062&gt;Capa!$A$7,E3062&lt;Capa!$A$5,E3062&gt;Capa!$A$7,D3062&gt;E3062),"Erro","")</f>
        <v/>
      </c>
    </row>
    <row r="3063" spans="1:9" ht="20" hidden="1">
      <c r="A3063" s="345">
        <v>3609</v>
      </c>
      <c r="B3063" s="346" t="s">
        <v>246</v>
      </c>
      <c r="C3063" s="347">
        <v>300</v>
      </c>
      <c r="D3063" s="348">
        <v>45658</v>
      </c>
      <c r="E3063" s="348">
        <v>45931</v>
      </c>
      <c r="F3063" s="346" t="s">
        <v>101</v>
      </c>
      <c r="G3063" s="349" t="s">
        <v>550</v>
      </c>
      <c r="H3063" s="350">
        <f t="shared" si="60"/>
        <v>3000</v>
      </c>
      <c r="I3063" s="120" t="str">
        <f>IF(OR(D3063&lt;Capa!$A$5,D3063&gt;Capa!$A$7,E3063&lt;Capa!$A$5,E3063&gt;Capa!$A$7,D3063&gt;E3063),"Erro","")</f>
        <v/>
      </c>
    </row>
    <row r="3064" spans="1:9" ht="20" hidden="1">
      <c r="A3064" s="345">
        <v>3610</v>
      </c>
      <c r="B3064" s="346" t="s">
        <v>246</v>
      </c>
      <c r="C3064" s="347">
        <v>300</v>
      </c>
      <c r="D3064" s="348">
        <v>45962</v>
      </c>
      <c r="E3064" s="348">
        <v>46296</v>
      </c>
      <c r="F3064" s="346" t="s">
        <v>101</v>
      </c>
      <c r="G3064" s="349" t="s">
        <v>550</v>
      </c>
      <c r="H3064" s="350">
        <f t="shared" si="60"/>
        <v>3600</v>
      </c>
      <c r="I3064" s="120" t="str">
        <f>IF(OR(D3064&lt;Capa!$A$5,D3064&gt;Capa!$A$7,E3064&lt;Capa!$A$5,E3064&gt;Capa!$A$7,D3064&gt;E3064),"Erro","")</f>
        <v/>
      </c>
    </row>
    <row r="3065" spans="1:9" ht="20" hidden="1">
      <c r="A3065" s="345">
        <v>3611</v>
      </c>
      <c r="B3065" s="346" t="s">
        <v>246</v>
      </c>
      <c r="C3065" s="347">
        <v>300</v>
      </c>
      <c r="D3065" s="348">
        <v>46327</v>
      </c>
      <c r="E3065" s="348">
        <v>46722</v>
      </c>
      <c r="F3065" s="346" t="s">
        <v>101</v>
      </c>
      <c r="G3065" s="349" t="s">
        <v>550</v>
      </c>
      <c r="H3065" s="350">
        <f t="shared" si="60"/>
        <v>4200</v>
      </c>
      <c r="I3065" s="120" t="str">
        <f>IF(OR(D3065&lt;Capa!$A$5,D3065&gt;Capa!$A$7,E3065&lt;Capa!$A$5,E3065&gt;Capa!$A$7,D3065&gt;E3065),"Erro","")</f>
        <v/>
      </c>
    </row>
    <row r="3066" spans="1:9" ht="20" hidden="1">
      <c r="A3066" s="345">
        <v>3612</v>
      </c>
      <c r="B3066" s="346" t="s">
        <v>246</v>
      </c>
      <c r="C3066" s="347">
        <v>150</v>
      </c>
      <c r="D3066" s="348">
        <v>46753</v>
      </c>
      <c r="E3066" s="348">
        <v>47058</v>
      </c>
      <c r="F3066" s="346" t="s">
        <v>101</v>
      </c>
      <c r="G3066" s="349" t="s">
        <v>550</v>
      </c>
      <c r="H3066" s="350">
        <f t="shared" si="60"/>
        <v>1650</v>
      </c>
      <c r="I3066" s="120" t="str">
        <f>IF(OR(D3066&lt;Capa!$A$5,D3066&gt;Capa!$A$7,E3066&lt;Capa!$A$5,E3066&gt;Capa!$A$7,D3066&gt;E3066),"Erro","")</f>
        <v/>
      </c>
    </row>
    <row r="3067" spans="1:9" ht="30" hidden="1">
      <c r="A3067" s="345">
        <v>3613</v>
      </c>
      <c r="B3067" s="346" t="s">
        <v>248</v>
      </c>
      <c r="C3067" s="347">
        <v>5000</v>
      </c>
      <c r="D3067" s="348">
        <v>45658</v>
      </c>
      <c r="E3067" s="348">
        <v>46357</v>
      </c>
      <c r="F3067" s="346" t="s">
        <v>101</v>
      </c>
      <c r="G3067" s="349" t="s">
        <v>549</v>
      </c>
      <c r="H3067" s="350">
        <f t="shared" si="60"/>
        <v>120000</v>
      </c>
      <c r="I3067" s="120" t="str">
        <f>IF(OR(D3067&lt;Capa!$A$5,D3067&gt;Capa!$A$7,E3067&lt;Capa!$A$5,E3067&gt;Capa!$A$7,D3067&gt;E3067),"Erro","")</f>
        <v/>
      </c>
    </row>
    <row r="3068" spans="1:9" ht="30" hidden="1">
      <c r="A3068" s="345">
        <v>3614</v>
      </c>
      <c r="B3068" s="346" t="s">
        <v>248</v>
      </c>
      <c r="C3068" s="347">
        <v>5000</v>
      </c>
      <c r="D3068" s="348">
        <v>46388</v>
      </c>
      <c r="E3068" s="348">
        <v>47058</v>
      </c>
      <c r="F3068" s="346" t="s">
        <v>101</v>
      </c>
      <c r="G3068" s="349" t="s">
        <v>549</v>
      </c>
      <c r="H3068" s="350">
        <f t="shared" si="60"/>
        <v>115000</v>
      </c>
      <c r="I3068" s="120" t="str">
        <f>IF(OR(D3068&lt;Capa!$A$5,D3068&gt;Capa!$A$7,E3068&lt;Capa!$A$5,E3068&gt;Capa!$A$7,D3068&gt;E3068),"Erro","")</f>
        <v/>
      </c>
    </row>
    <row r="3069" spans="1:9" hidden="1">
      <c r="A3069" s="345">
        <v>3615</v>
      </c>
      <c r="B3069" s="346" t="s">
        <v>258</v>
      </c>
      <c r="C3069" s="347">
        <v>1800</v>
      </c>
      <c r="D3069" s="348">
        <v>45658</v>
      </c>
      <c r="E3069" s="348">
        <v>47058</v>
      </c>
      <c r="F3069" s="346" t="s">
        <v>101</v>
      </c>
      <c r="G3069" s="349" t="s">
        <v>552</v>
      </c>
      <c r="H3069" s="350">
        <f t="shared" si="60"/>
        <v>84600</v>
      </c>
      <c r="I3069" s="120" t="str">
        <f>IF(OR(D3069&lt;Capa!$A$5,D3069&gt;Capa!$A$7,E3069&lt;Capa!$A$5,E3069&gt;Capa!$A$7,D3069&gt;E3069),"Erro","")</f>
        <v/>
      </c>
    </row>
    <row r="3070" spans="1:9" hidden="1">
      <c r="A3070" s="345">
        <v>3616</v>
      </c>
      <c r="B3070" s="346" t="s">
        <v>260</v>
      </c>
      <c r="C3070" s="347">
        <v>500</v>
      </c>
      <c r="D3070" s="348">
        <v>45658</v>
      </c>
      <c r="E3070" s="348">
        <v>46235</v>
      </c>
      <c r="F3070" s="346" t="s">
        <v>101</v>
      </c>
      <c r="G3070" s="349" t="s">
        <v>553</v>
      </c>
      <c r="H3070" s="350">
        <f t="shared" si="60"/>
        <v>10000</v>
      </c>
      <c r="I3070" s="120" t="str">
        <f>IF(OR(D3070&lt;Capa!$A$5,D3070&gt;Capa!$A$7,E3070&lt;Capa!$A$5,E3070&gt;Capa!$A$7,D3070&gt;E3070),"Erro","")</f>
        <v/>
      </c>
    </row>
    <row r="3071" spans="1:9" hidden="1">
      <c r="A3071" s="345">
        <v>3617</v>
      </c>
      <c r="B3071" s="346" t="s">
        <v>260</v>
      </c>
      <c r="C3071" s="347">
        <v>500</v>
      </c>
      <c r="D3071" s="348">
        <v>46266</v>
      </c>
      <c r="E3071" s="348">
        <v>47058</v>
      </c>
      <c r="F3071" s="346" t="s">
        <v>101</v>
      </c>
      <c r="G3071" s="349" t="s">
        <v>553</v>
      </c>
      <c r="H3071" s="350">
        <f t="shared" si="60"/>
        <v>13500</v>
      </c>
      <c r="I3071" s="120" t="str">
        <f>IF(OR(D3071&lt;Capa!$A$5,D3071&gt;Capa!$A$7,E3071&lt;Capa!$A$5,E3071&gt;Capa!$A$7,D3071&gt;E3071),"Erro","")</f>
        <v/>
      </c>
    </row>
    <row r="3072" spans="1:9" ht="30" hidden="1">
      <c r="A3072" s="345">
        <v>3618</v>
      </c>
      <c r="B3072" s="346" t="s">
        <v>262</v>
      </c>
      <c r="C3072" s="347">
        <v>180</v>
      </c>
      <c r="D3072" s="348">
        <v>45658</v>
      </c>
      <c r="E3072" s="348">
        <v>47058</v>
      </c>
      <c r="F3072" s="346" t="s">
        <v>101</v>
      </c>
      <c r="G3072" s="349" t="s">
        <v>554</v>
      </c>
      <c r="H3072" s="350">
        <f t="shared" si="60"/>
        <v>8460</v>
      </c>
      <c r="I3072" s="120" t="str">
        <f>IF(OR(D3072&lt;Capa!$A$5,D3072&gt;Capa!$A$7,E3072&lt;Capa!$A$5,E3072&gt;Capa!$A$7,D3072&gt;E3072),"Erro","")</f>
        <v/>
      </c>
    </row>
    <row r="3073" spans="1:9" ht="30" hidden="1">
      <c r="A3073" s="345">
        <v>3619</v>
      </c>
      <c r="B3073" s="346" t="s">
        <v>266</v>
      </c>
      <c r="C3073" s="347">
        <v>650</v>
      </c>
      <c r="D3073" s="348">
        <v>45658</v>
      </c>
      <c r="E3073" s="348">
        <v>47058</v>
      </c>
      <c r="F3073" s="346" t="s">
        <v>101</v>
      </c>
      <c r="G3073" s="349" t="s">
        <v>555</v>
      </c>
      <c r="H3073" s="350">
        <f t="shared" si="60"/>
        <v>30550</v>
      </c>
      <c r="I3073" s="120" t="str">
        <f>IF(OR(D3073&lt;Capa!$A$5,D3073&gt;Capa!$A$7,E3073&lt;Capa!$A$5,E3073&gt;Capa!$A$7,D3073&gt;E3073),"Erro","")</f>
        <v/>
      </c>
    </row>
    <row r="3074" spans="1:9" ht="40" hidden="1">
      <c r="A3074" s="345">
        <v>3620</v>
      </c>
      <c r="B3074" s="346" t="s">
        <v>274</v>
      </c>
      <c r="C3074" s="347">
        <v>1500</v>
      </c>
      <c r="D3074" s="348">
        <v>45658</v>
      </c>
      <c r="E3074" s="348">
        <v>45931</v>
      </c>
      <c r="F3074" s="346" t="s">
        <v>101</v>
      </c>
      <c r="G3074" s="349" t="s">
        <v>734</v>
      </c>
      <c r="H3074" s="350">
        <f t="shared" si="60"/>
        <v>15000</v>
      </c>
      <c r="I3074" s="120" t="str">
        <f>IF(OR(D3074&lt;Capa!$A$5,D3074&gt;Capa!$A$7,E3074&lt;Capa!$A$5,E3074&gt;Capa!$A$7,D3074&gt;E3074),"Erro","")</f>
        <v/>
      </c>
    </row>
    <row r="3075" spans="1:9" ht="40" hidden="1">
      <c r="A3075" s="345">
        <v>3621</v>
      </c>
      <c r="B3075" s="346" t="s">
        <v>274</v>
      </c>
      <c r="C3075" s="347">
        <v>1500</v>
      </c>
      <c r="D3075" s="348">
        <v>45962</v>
      </c>
      <c r="E3075" s="348">
        <v>46296</v>
      </c>
      <c r="F3075" s="346" t="s">
        <v>101</v>
      </c>
      <c r="G3075" s="349" t="s">
        <v>734</v>
      </c>
      <c r="H3075" s="350">
        <f t="shared" si="60"/>
        <v>18000</v>
      </c>
      <c r="I3075" s="120" t="str">
        <f>IF(OR(D3075&lt;Capa!$A$5,D3075&gt;Capa!$A$7,E3075&lt;Capa!$A$5,E3075&gt;Capa!$A$7,D3075&gt;E3075),"Erro","")</f>
        <v/>
      </c>
    </row>
    <row r="3076" spans="1:9" ht="40" hidden="1">
      <c r="A3076" s="345">
        <v>3622</v>
      </c>
      <c r="B3076" s="346" t="s">
        <v>274</v>
      </c>
      <c r="C3076" s="347">
        <v>1500</v>
      </c>
      <c r="D3076" s="348">
        <v>46327</v>
      </c>
      <c r="E3076" s="348">
        <v>46722</v>
      </c>
      <c r="F3076" s="346" t="s">
        <v>101</v>
      </c>
      <c r="G3076" s="349" t="s">
        <v>734</v>
      </c>
      <c r="H3076" s="350">
        <f t="shared" si="60"/>
        <v>21000</v>
      </c>
      <c r="I3076" s="120" t="str">
        <f>IF(OR(D3076&lt;Capa!$A$5,D3076&gt;Capa!$A$7,E3076&lt;Capa!$A$5,E3076&gt;Capa!$A$7,D3076&gt;E3076),"Erro","")</f>
        <v/>
      </c>
    </row>
    <row r="3077" spans="1:9" ht="40" hidden="1">
      <c r="A3077" s="345">
        <v>3623</v>
      </c>
      <c r="B3077" s="346" t="s">
        <v>274</v>
      </c>
      <c r="C3077" s="347">
        <v>750</v>
      </c>
      <c r="D3077" s="348">
        <v>46753</v>
      </c>
      <c r="E3077" s="348">
        <v>47058</v>
      </c>
      <c r="F3077" s="346" t="s">
        <v>101</v>
      </c>
      <c r="G3077" s="349" t="s">
        <v>734</v>
      </c>
      <c r="H3077" s="350">
        <f t="shared" si="60"/>
        <v>8250</v>
      </c>
      <c r="I3077" s="120" t="str">
        <f>IF(OR(D3077&lt;Capa!$A$5,D3077&gt;Capa!$A$7,E3077&lt;Capa!$A$5,E3077&gt;Capa!$A$7,D3077&gt;E3077),"Erro","")</f>
        <v/>
      </c>
    </row>
    <row r="3078" spans="1:9" hidden="1">
      <c r="A3078" s="345">
        <v>3624</v>
      </c>
      <c r="B3078" s="346" t="s">
        <v>623</v>
      </c>
      <c r="C3078" s="347">
        <v>250</v>
      </c>
      <c r="D3078" s="348">
        <v>45658</v>
      </c>
      <c r="E3078" s="348">
        <v>46784</v>
      </c>
      <c r="F3078" s="346" t="s">
        <v>101</v>
      </c>
      <c r="G3078" s="349" t="s">
        <v>679</v>
      </c>
      <c r="H3078" s="350">
        <f t="shared" si="60"/>
        <v>9500</v>
      </c>
      <c r="I3078" s="120" t="str">
        <f>IF(OR(D3078&lt;Capa!$A$5,D3078&gt;Capa!$A$7,E3078&lt;Capa!$A$5,E3078&gt;Capa!$A$7,D3078&gt;E3078),"Erro","")</f>
        <v/>
      </c>
    </row>
    <row r="3079" spans="1:9" ht="20" hidden="1">
      <c r="A3079" s="345">
        <v>3625</v>
      </c>
      <c r="B3079" s="346" t="s">
        <v>276</v>
      </c>
      <c r="C3079" s="347">
        <v>700</v>
      </c>
      <c r="D3079" s="348">
        <v>45658</v>
      </c>
      <c r="E3079" s="348">
        <v>47058</v>
      </c>
      <c r="F3079" s="346" t="s">
        <v>101</v>
      </c>
      <c r="G3079" s="349" t="s">
        <v>735</v>
      </c>
      <c r="H3079" s="350">
        <f t="shared" si="60"/>
        <v>32900</v>
      </c>
      <c r="I3079" s="120" t="str">
        <f>IF(OR(D3079&lt;Capa!$A$5,D3079&gt;Capa!$A$7,E3079&lt;Capa!$A$5,E3079&gt;Capa!$A$7,D3079&gt;E3079),"Erro","")</f>
        <v/>
      </c>
    </row>
    <row r="3080" spans="1:9" ht="40">
      <c r="A3080" s="345">
        <v>3626</v>
      </c>
      <c r="B3080" s="346" t="s">
        <v>278</v>
      </c>
      <c r="C3080" s="347">
        <v>5500</v>
      </c>
      <c r="D3080" s="348">
        <v>45658</v>
      </c>
      <c r="E3080" s="348">
        <v>47058</v>
      </c>
      <c r="F3080" s="346" t="s">
        <v>101</v>
      </c>
      <c r="G3080" s="349" t="s">
        <v>556</v>
      </c>
      <c r="H3080" s="350">
        <f t="shared" si="60"/>
        <v>258500</v>
      </c>
      <c r="I3080" s="120" t="str">
        <f>IF(OR(D3080&lt;Capa!$A$5,D3080&gt;Capa!$A$7,E3080&lt;Capa!$A$5,E3080&gt;Capa!$A$7,D3080&gt;E3080),"Erro","")</f>
        <v/>
      </c>
    </row>
    <row r="3081" spans="1:9" hidden="1">
      <c r="A3081" s="345">
        <v>3627</v>
      </c>
      <c r="B3081" s="346" t="s">
        <v>280</v>
      </c>
      <c r="C3081" s="347">
        <v>600</v>
      </c>
      <c r="D3081" s="348">
        <v>45658</v>
      </c>
      <c r="E3081" s="348">
        <v>47058</v>
      </c>
      <c r="F3081" s="346" t="s">
        <v>101</v>
      </c>
      <c r="G3081" s="349" t="s">
        <v>557</v>
      </c>
      <c r="H3081" s="350">
        <f t="shared" si="60"/>
        <v>28200</v>
      </c>
      <c r="I3081" s="120" t="str">
        <f>IF(OR(D3081&lt;Capa!$A$5,D3081&gt;Capa!$A$7,E3081&lt;Capa!$A$5,E3081&gt;Capa!$A$7,D3081&gt;E3081),"Erro","")</f>
        <v/>
      </c>
    </row>
    <row r="3082" spans="1:9" ht="30" hidden="1">
      <c r="A3082" s="345">
        <v>3628</v>
      </c>
      <c r="B3082" s="346" t="s">
        <v>282</v>
      </c>
      <c r="C3082" s="347">
        <v>750</v>
      </c>
      <c r="D3082" s="348">
        <v>45658</v>
      </c>
      <c r="E3082" s="348">
        <v>47058</v>
      </c>
      <c r="F3082" s="346" t="s">
        <v>101</v>
      </c>
      <c r="G3082" s="349" t="s">
        <v>558</v>
      </c>
      <c r="H3082" s="350">
        <f t="shared" si="60"/>
        <v>35250</v>
      </c>
      <c r="I3082" s="120" t="str">
        <f>IF(OR(D3082&lt;Capa!$A$5,D3082&gt;Capa!$A$7,E3082&lt;Capa!$A$5,E3082&gt;Capa!$A$7,D3082&gt;E3082),"Erro","")</f>
        <v/>
      </c>
    </row>
    <row r="3083" spans="1:9" ht="20" hidden="1">
      <c r="A3083" s="345">
        <v>3629</v>
      </c>
      <c r="B3083" s="346" t="s">
        <v>284</v>
      </c>
      <c r="C3083" s="347">
        <v>1700</v>
      </c>
      <c r="D3083" s="348">
        <v>45658</v>
      </c>
      <c r="E3083" s="348">
        <v>47058</v>
      </c>
      <c r="F3083" s="346" t="s">
        <v>101</v>
      </c>
      <c r="G3083" s="349" t="s">
        <v>559</v>
      </c>
      <c r="H3083" s="350">
        <f t="shared" si="60"/>
        <v>79900</v>
      </c>
      <c r="I3083" s="120" t="str">
        <f>IF(OR(D3083&lt;Capa!$A$5,D3083&gt;Capa!$A$7,E3083&lt;Capa!$A$5,E3083&gt;Capa!$A$7,D3083&gt;E3083),"Erro","")</f>
        <v/>
      </c>
    </row>
    <row r="3084" spans="1:9" ht="20" hidden="1">
      <c r="A3084" s="345">
        <v>3630</v>
      </c>
      <c r="B3084" s="346" t="s">
        <v>288</v>
      </c>
      <c r="C3084" s="347">
        <v>1200</v>
      </c>
      <c r="D3084" s="348">
        <v>45658</v>
      </c>
      <c r="E3084" s="348">
        <v>47058</v>
      </c>
      <c r="F3084" s="346" t="s">
        <v>101</v>
      </c>
      <c r="G3084" s="349" t="s">
        <v>560</v>
      </c>
      <c r="H3084" s="350">
        <f>IFERROR((DATEDIF(D3084,E3084,"M")+1)*C3084,0)</f>
        <v>56400</v>
      </c>
      <c r="I3084" s="120" t="str">
        <f>IF(OR(D3084&lt;Capa!$A$5,D3084&gt;Capa!$A$7,E3084&lt;Capa!$A$5,E3084&gt;Capa!$A$7,D3084&gt;E3084),"Erro","")</f>
        <v/>
      </c>
    </row>
    <row r="3085" spans="1:9" ht="20" hidden="1">
      <c r="A3085" s="345">
        <v>3631</v>
      </c>
      <c r="B3085" s="346" t="s">
        <v>290</v>
      </c>
      <c r="C3085" s="347">
        <v>200</v>
      </c>
      <c r="D3085" s="348">
        <v>45658</v>
      </c>
      <c r="E3085" s="348">
        <v>46784</v>
      </c>
      <c r="F3085" s="346" t="s">
        <v>101</v>
      </c>
      <c r="G3085" s="349" t="s">
        <v>560</v>
      </c>
      <c r="H3085" s="350">
        <f>IFERROR((DATEDIF(D3085,E3085,"M")+1)*C3085,0)</f>
        <v>7600</v>
      </c>
      <c r="I3085" s="120" t="str">
        <f>IF(OR(D3085&lt;Capa!$A$5,D3085&gt;Capa!$A$7,E3085&lt;Capa!$A$5,E3085&gt;Capa!$A$7,D3085&gt;E3085),"Erro","")</f>
        <v/>
      </c>
    </row>
    <row r="3086" spans="1:9" ht="20" hidden="1">
      <c r="A3086" s="345">
        <v>3632</v>
      </c>
      <c r="B3086" s="346" t="s">
        <v>292</v>
      </c>
      <c r="C3086" s="347">
        <v>20000</v>
      </c>
      <c r="D3086" s="348">
        <v>45962</v>
      </c>
      <c r="E3086" s="348">
        <v>45962</v>
      </c>
      <c r="F3086" s="346" t="s">
        <v>101</v>
      </c>
      <c r="G3086" s="349" t="s">
        <v>560</v>
      </c>
      <c r="H3086" s="350">
        <f t="shared" ref="H3086:H3143" si="61">IFERROR((DATEDIF(D3086,E3086,"M")+1)*C3086,0)</f>
        <v>20000</v>
      </c>
      <c r="I3086" s="120" t="str">
        <f>IF(OR(D3086&lt;Capa!$A$5,D3086&gt;Capa!$A$7,E3086&lt;Capa!$A$5,E3086&gt;Capa!$A$7,D3086&gt;E3086),"Erro","")</f>
        <v/>
      </c>
    </row>
    <row r="3087" spans="1:9" ht="20" hidden="1">
      <c r="A3087" s="345">
        <v>3633</v>
      </c>
      <c r="B3087" s="346" t="s">
        <v>292</v>
      </c>
      <c r="C3087" s="347">
        <v>20000</v>
      </c>
      <c r="D3087" s="348">
        <v>46327</v>
      </c>
      <c r="E3087" s="348">
        <v>46327</v>
      </c>
      <c r="F3087" s="346" t="s">
        <v>101</v>
      </c>
      <c r="G3087" s="349" t="s">
        <v>560</v>
      </c>
      <c r="H3087" s="350">
        <f t="shared" si="61"/>
        <v>20000</v>
      </c>
      <c r="I3087" s="120" t="str">
        <f>IF(OR(D3087&lt;Capa!$A$5,D3087&gt;Capa!$A$7,E3087&lt;Capa!$A$5,E3087&gt;Capa!$A$7,D3087&gt;E3087),"Erro","")</f>
        <v/>
      </c>
    </row>
    <row r="3088" spans="1:9" ht="20" hidden="1">
      <c r="A3088" s="345">
        <v>3634</v>
      </c>
      <c r="B3088" s="346" t="s">
        <v>292</v>
      </c>
      <c r="C3088" s="347">
        <v>20000</v>
      </c>
      <c r="D3088" s="348">
        <v>46692</v>
      </c>
      <c r="E3088" s="348">
        <v>46692</v>
      </c>
      <c r="F3088" s="346" t="s">
        <v>101</v>
      </c>
      <c r="G3088" s="349" t="s">
        <v>560</v>
      </c>
      <c r="H3088" s="350">
        <f t="shared" si="61"/>
        <v>20000</v>
      </c>
      <c r="I3088" s="120" t="str">
        <f>IF(OR(D3088&lt;Capa!$A$5,D3088&gt;Capa!$A$7,E3088&lt;Capa!$A$5,E3088&gt;Capa!$A$7,D3088&gt;E3088),"Erro","")</f>
        <v/>
      </c>
    </row>
    <row r="3089" spans="1:9" ht="20" hidden="1">
      <c r="A3089" s="345">
        <v>3635</v>
      </c>
      <c r="B3089" s="346" t="s">
        <v>292</v>
      </c>
      <c r="C3089" s="347">
        <v>20000</v>
      </c>
      <c r="D3089" s="348">
        <v>47058</v>
      </c>
      <c r="E3089" s="348">
        <v>47058</v>
      </c>
      <c r="F3089" s="346" t="s">
        <v>101</v>
      </c>
      <c r="G3089" s="349" t="s">
        <v>560</v>
      </c>
      <c r="H3089" s="350">
        <f t="shared" si="61"/>
        <v>20000</v>
      </c>
      <c r="I3089" s="120" t="str">
        <f>IF(OR(D3089&lt;Capa!$A$5,D3089&gt;Capa!$A$7,E3089&lt;Capa!$A$5,E3089&gt;Capa!$A$7,D3089&gt;E3089),"Erro","")</f>
        <v/>
      </c>
    </row>
    <row r="3090" spans="1:9" ht="20" hidden="1">
      <c r="A3090" s="345">
        <v>3636</v>
      </c>
      <c r="B3090" s="346" t="s">
        <v>292</v>
      </c>
      <c r="C3090" s="347">
        <v>500</v>
      </c>
      <c r="D3090" s="348">
        <v>45658</v>
      </c>
      <c r="E3090" s="348">
        <v>47058</v>
      </c>
      <c r="F3090" s="346" t="s">
        <v>101</v>
      </c>
      <c r="G3090" s="349" t="s">
        <v>560</v>
      </c>
      <c r="H3090" s="350">
        <f t="shared" si="61"/>
        <v>23500</v>
      </c>
      <c r="I3090" s="120" t="str">
        <f>IF(OR(D3090&lt;Capa!$A$5,D3090&gt;Capa!$A$7,E3090&lt;Capa!$A$5,E3090&gt;Capa!$A$7,D3090&gt;E3090),"Erro","")</f>
        <v/>
      </c>
    </row>
    <row r="3091" spans="1:9" ht="40" hidden="1">
      <c r="A3091" s="345">
        <v>3637</v>
      </c>
      <c r="B3091" s="346" t="s">
        <v>296</v>
      </c>
      <c r="C3091" s="347">
        <v>100</v>
      </c>
      <c r="D3091" s="348">
        <v>45658</v>
      </c>
      <c r="E3091" s="348">
        <v>47058</v>
      </c>
      <c r="F3091" s="346" t="s">
        <v>101</v>
      </c>
      <c r="G3091" s="349" t="s">
        <v>561</v>
      </c>
      <c r="H3091" s="350">
        <f t="shared" si="61"/>
        <v>4700</v>
      </c>
      <c r="I3091" s="120" t="str">
        <f>IF(OR(D3091&lt;Capa!$A$5,D3091&gt;Capa!$A$7,E3091&lt;Capa!$A$5,E3091&gt;Capa!$A$7,D3091&gt;E3091),"Erro","")</f>
        <v/>
      </c>
    </row>
    <row r="3092" spans="1:9" ht="40" hidden="1">
      <c r="A3092" s="345">
        <v>3638</v>
      </c>
      <c r="B3092" s="346" t="s">
        <v>298</v>
      </c>
      <c r="C3092" s="347">
        <v>9485.44</v>
      </c>
      <c r="D3092" s="348">
        <v>45658</v>
      </c>
      <c r="E3092" s="348">
        <v>45931</v>
      </c>
      <c r="F3092" s="346" t="s">
        <v>101</v>
      </c>
      <c r="G3092" s="349" t="s">
        <v>562</v>
      </c>
      <c r="H3092" s="350">
        <f t="shared" si="61"/>
        <v>94854.400000000009</v>
      </c>
      <c r="I3092" s="120" t="str">
        <f>IF(OR(D3092&lt;Capa!$A$5,D3092&gt;Capa!$A$7,E3092&lt;Capa!$A$5,E3092&gt;Capa!$A$7,D3092&gt;E3092),"Erro","")</f>
        <v/>
      </c>
    </row>
    <row r="3093" spans="1:9" ht="40" hidden="1">
      <c r="A3093" s="345">
        <v>3639</v>
      </c>
      <c r="B3093" s="346" t="s">
        <v>298</v>
      </c>
      <c r="C3093" s="347">
        <v>9959.7099999999991</v>
      </c>
      <c r="D3093" s="348">
        <v>45962</v>
      </c>
      <c r="E3093" s="348">
        <v>46296</v>
      </c>
      <c r="F3093" s="346" t="s">
        <v>101</v>
      </c>
      <c r="G3093" s="349" t="s">
        <v>562</v>
      </c>
      <c r="H3093" s="350">
        <f t="shared" si="61"/>
        <v>119516.51999999999</v>
      </c>
      <c r="I3093" s="120" t="str">
        <f>IF(OR(D3093&lt;Capa!$A$5,D3093&gt;Capa!$A$7,E3093&lt;Capa!$A$5,E3093&gt;Capa!$A$7,D3093&gt;E3093),"Erro","")</f>
        <v/>
      </c>
    </row>
    <row r="3094" spans="1:9" ht="40" hidden="1">
      <c r="A3094" s="345">
        <v>3640</v>
      </c>
      <c r="B3094" s="346" t="s">
        <v>298</v>
      </c>
      <c r="C3094" s="347">
        <v>10457.69</v>
      </c>
      <c r="D3094" s="348">
        <v>46327</v>
      </c>
      <c r="E3094" s="348">
        <v>46661</v>
      </c>
      <c r="F3094" s="346" t="s">
        <v>101</v>
      </c>
      <c r="G3094" s="349" t="s">
        <v>562</v>
      </c>
      <c r="H3094" s="350">
        <f t="shared" si="61"/>
        <v>125492.28</v>
      </c>
      <c r="I3094" s="120" t="str">
        <f>IF(OR(D3094&lt;Capa!$A$5,D3094&gt;Capa!$A$7,E3094&lt;Capa!$A$5,E3094&gt;Capa!$A$7,D3094&gt;E3094),"Erro","")</f>
        <v/>
      </c>
    </row>
    <row r="3095" spans="1:9" ht="40" hidden="1">
      <c r="A3095" s="345">
        <v>3641</v>
      </c>
      <c r="B3095" s="346" t="s">
        <v>298</v>
      </c>
      <c r="C3095" s="347">
        <v>10980.58</v>
      </c>
      <c r="D3095" s="348">
        <v>46692</v>
      </c>
      <c r="E3095" s="348">
        <v>47058</v>
      </c>
      <c r="F3095" s="346" t="s">
        <v>101</v>
      </c>
      <c r="G3095" s="349" t="s">
        <v>562</v>
      </c>
      <c r="H3095" s="350">
        <f t="shared" si="61"/>
        <v>142747.54</v>
      </c>
      <c r="I3095" s="120" t="str">
        <f>IF(OR(D3095&lt;Capa!$A$5,D3095&gt;Capa!$A$7,E3095&lt;Capa!$A$5,E3095&gt;Capa!$A$7,D3095&gt;E3095),"Erro","")</f>
        <v/>
      </c>
    </row>
    <row r="3096" spans="1:9" ht="20" hidden="1">
      <c r="A3096" s="345">
        <v>3642</v>
      </c>
      <c r="B3096" s="346" t="s">
        <v>302</v>
      </c>
      <c r="C3096" s="347">
        <v>200</v>
      </c>
      <c r="D3096" s="348">
        <v>45658</v>
      </c>
      <c r="E3096" s="348">
        <v>47058</v>
      </c>
      <c r="F3096" s="346" t="s">
        <v>101</v>
      </c>
      <c r="G3096" s="349" t="s">
        <v>563</v>
      </c>
      <c r="H3096" s="350">
        <f t="shared" si="61"/>
        <v>9400</v>
      </c>
      <c r="I3096" s="120" t="str">
        <f>IF(OR(D3096&lt;Capa!$A$5,D3096&gt;Capa!$A$7,E3096&lt;Capa!$A$5,E3096&gt;Capa!$A$7,D3096&gt;E3096),"Erro","")</f>
        <v/>
      </c>
    </row>
    <row r="3097" spans="1:9" ht="40" hidden="1">
      <c r="A3097" s="345">
        <v>3643</v>
      </c>
      <c r="B3097" s="346" t="s">
        <v>304</v>
      </c>
      <c r="C3097" s="347">
        <v>2000</v>
      </c>
      <c r="D3097" s="348">
        <v>45658</v>
      </c>
      <c r="E3097" s="348">
        <v>45931</v>
      </c>
      <c r="F3097" s="346" t="s">
        <v>101</v>
      </c>
      <c r="G3097" s="349" t="s">
        <v>564</v>
      </c>
      <c r="H3097" s="350">
        <f t="shared" si="61"/>
        <v>20000</v>
      </c>
      <c r="I3097" s="120" t="str">
        <f>IF(OR(D3097&lt;Capa!$A$5,D3097&gt;Capa!$A$7,E3097&lt;Capa!$A$5,E3097&gt;Capa!$A$7,D3097&gt;E3097),"Erro","")</f>
        <v/>
      </c>
    </row>
    <row r="3098" spans="1:9" ht="40" hidden="1">
      <c r="A3098" s="345">
        <v>3644</v>
      </c>
      <c r="B3098" s="346" t="s">
        <v>304</v>
      </c>
      <c r="C3098" s="347">
        <v>2000</v>
      </c>
      <c r="D3098" s="348">
        <v>45962</v>
      </c>
      <c r="E3098" s="348">
        <v>46296</v>
      </c>
      <c r="F3098" s="346" t="s">
        <v>101</v>
      </c>
      <c r="G3098" s="349" t="s">
        <v>564</v>
      </c>
      <c r="H3098" s="350">
        <f t="shared" si="61"/>
        <v>24000</v>
      </c>
      <c r="I3098" s="120" t="str">
        <f>IF(OR(D3098&lt;Capa!$A$5,D3098&gt;Capa!$A$7,E3098&lt;Capa!$A$5,E3098&gt;Capa!$A$7,D3098&gt;E3098),"Erro","")</f>
        <v/>
      </c>
    </row>
    <row r="3099" spans="1:9" ht="40" hidden="1">
      <c r="A3099" s="345">
        <v>3645</v>
      </c>
      <c r="B3099" s="346" t="s">
        <v>304</v>
      </c>
      <c r="C3099" s="347">
        <v>2000</v>
      </c>
      <c r="D3099" s="348">
        <v>46327</v>
      </c>
      <c r="E3099" s="348">
        <v>46661</v>
      </c>
      <c r="F3099" s="346" t="s">
        <v>101</v>
      </c>
      <c r="G3099" s="349" t="s">
        <v>564</v>
      </c>
      <c r="H3099" s="350">
        <f t="shared" si="61"/>
        <v>24000</v>
      </c>
      <c r="I3099" s="120" t="str">
        <f>IF(OR(D3099&lt;Capa!$A$5,D3099&gt;Capa!$A$7,E3099&lt;Capa!$A$5,E3099&gt;Capa!$A$7,D3099&gt;E3099),"Erro","")</f>
        <v/>
      </c>
    </row>
    <row r="3100" spans="1:9" ht="40" hidden="1">
      <c r="A3100" s="345">
        <v>3646</v>
      </c>
      <c r="B3100" s="346" t="s">
        <v>304</v>
      </c>
      <c r="C3100" s="347">
        <v>1000</v>
      </c>
      <c r="D3100" s="348">
        <v>46692</v>
      </c>
      <c r="E3100" s="348">
        <v>47058</v>
      </c>
      <c r="F3100" s="346" t="s">
        <v>101</v>
      </c>
      <c r="G3100" s="349" t="s">
        <v>564</v>
      </c>
      <c r="H3100" s="350">
        <f t="shared" si="61"/>
        <v>13000</v>
      </c>
      <c r="I3100" s="120" t="str">
        <f>IF(OR(D3100&lt;Capa!$A$5,D3100&gt;Capa!$A$7,E3100&lt;Capa!$A$5,E3100&gt;Capa!$A$7,D3100&gt;E3100),"Erro","")</f>
        <v/>
      </c>
    </row>
    <row r="3101" spans="1:9" ht="40" hidden="1">
      <c r="A3101" s="345">
        <v>3647</v>
      </c>
      <c r="B3101" s="346" t="s">
        <v>306</v>
      </c>
      <c r="C3101" s="347">
        <v>50</v>
      </c>
      <c r="D3101" s="348">
        <v>45658</v>
      </c>
      <c r="E3101" s="348">
        <v>47058</v>
      </c>
      <c r="F3101" s="346" t="s">
        <v>101</v>
      </c>
      <c r="G3101" s="349" t="s">
        <v>565</v>
      </c>
      <c r="H3101" s="350">
        <f t="shared" si="61"/>
        <v>2350</v>
      </c>
      <c r="I3101" s="120" t="str">
        <f>IF(OR(D3101&lt;Capa!$A$5,D3101&gt;Capa!$A$7,E3101&lt;Capa!$A$5,E3101&gt;Capa!$A$7,D3101&gt;E3101),"Erro","")</f>
        <v/>
      </c>
    </row>
    <row r="3102" spans="1:9" ht="30" hidden="1">
      <c r="A3102" s="345">
        <v>3648</v>
      </c>
      <c r="B3102" s="346" t="s">
        <v>310</v>
      </c>
      <c r="C3102" s="347">
        <v>1500</v>
      </c>
      <c r="D3102" s="348">
        <v>45658</v>
      </c>
      <c r="E3102" s="348">
        <v>45748</v>
      </c>
      <c r="F3102" s="346" t="s">
        <v>101</v>
      </c>
      <c r="G3102" s="349" t="s">
        <v>566</v>
      </c>
      <c r="H3102" s="350">
        <f t="shared" si="61"/>
        <v>6000</v>
      </c>
      <c r="I3102" s="120" t="str">
        <f>IF(OR(D3102&lt;Capa!$A$5,D3102&gt;Capa!$A$7,E3102&lt;Capa!$A$5,E3102&gt;Capa!$A$7,D3102&gt;E3102),"Erro","")</f>
        <v/>
      </c>
    </row>
    <row r="3103" spans="1:9" ht="30" hidden="1">
      <c r="A3103" s="345">
        <v>3649</v>
      </c>
      <c r="B3103" s="346" t="s">
        <v>310</v>
      </c>
      <c r="C3103" s="347">
        <v>1500</v>
      </c>
      <c r="D3103" s="348">
        <v>46023</v>
      </c>
      <c r="E3103" s="348">
        <v>46113</v>
      </c>
      <c r="F3103" s="346" t="s">
        <v>101</v>
      </c>
      <c r="G3103" s="349" t="s">
        <v>566</v>
      </c>
      <c r="H3103" s="350">
        <f t="shared" si="61"/>
        <v>6000</v>
      </c>
      <c r="I3103" s="120" t="str">
        <f>IF(OR(D3103&lt;Capa!$A$5,D3103&gt;Capa!$A$7,E3103&lt;Capa!$A$5,E3103&gt;Capa!$A$7,D3103&gt;E3103),"Erro","")</f>
        <v/>
      </c>
    </row>
    <row r="3104" spans="1:9" ht="30" hidden="1">
      <c r="A3104" s="345">
        <v>3650</v>
      </c>
      <c r="B3104" s="346" t="s">
        <v>310</v>
      </c>
      <c r="C3104" s="347">
        <v>1500</v>
      </c>
      <c r="D3104" s="348">
        <v>46388</v>
      </c>
      <c r="E3104" s="348">
        <v>46478</v>
      </c>
      <c r="F3104" s="346" t="s">
        <v>101</v>
      </c>
      <c r="G3104" s="349" t="s">
        <v>566</v>
      </c>
      <c r="H3104" s="350">
        <f t="shared" si="61"/>
        <v>6000</v>
      </c>
      <c r="I3104" s="120" t="str">
        <f>IF(OR(D3104&lt;Capa!$A$5,D3104&gt;Capa!$A$7,E3104&lt;Capa!$A$5,E3104&gt;Capa!$A$7,D3104&gt;E3104),"Erro","")</f>
        <v/>
      </c>
    </row>
    <row r="3105" spans="1:9" ht="30" hidden="1">
      <c r="A3105" s="345">
        <v>3651</v>
      </c>
      <c r="B3105" s="346" t="s">
        <v>310</v>
      </c>
      <c r="C3105" s="347">
        <v>1500</v>
      </c>
      <c r="D3105" s="348">
        <v>46753</v>
      </c>
      <c r="E3105" s="348">
        <v>46844</v>
      </c>
      <c r="F3105" s="346" t="s">
        <v>101</v>
      </c>
      <c r="G3105" s="349" t="s">
        <v>566</v>
      </c>
      <c r="H3105" s="350">
        <f t="shared" si="61"/>
        <v>6000</v>
      </c>
      <c r="I3105" s="120" t="str">
        <f>IF(OR(D3105&lt;Capa!$A$5,D3105&gt;Capa!$A$7,E3105&lt;Capa!$A$5,E3105&gt;Capa!$A$7,D3105&gt;E3105),"Erro","")</f>
        <v/>
      </c>
    </row>
    <row r="3106" spans="1:9" hidden="1">
      <c r="A3106" s="345">
        <v>3652</v>
      </c>
      <c r="B3106" s="346" t="s">
        <v>308</v>
      </c>
      <c r="C3106" s="347">
        <v>200</v>
      </c>
      <c r="D3106" s="348">
        <v>45658</v>
      </c>
      <c r="E3106" s="348">
        <v>47058</v>
      </c>
      <c r="F3106" s="346" t="s">
        <v>101</v>
      </c>
      <c r="G3106" s="349" t="s">
        <v>665</v>
      </c>
      <c r="H3106" s="350">
        <f t="shared" si="61"/>
        <v>9400</v>
      </c>
      <c r="I3106" s="120" t="str">
        <f>IF(OR(D3106&lt;Capa!$A$5,D3106&gt;Capa!$A$7,E3106&lt;Capa!$A$5,E3106&gt;Capa!$A$7,D3106&gt;E3106),"Erro","")</f>
        <v/>
      </c>
    </row>
    <row r="3107" spans="1:9" ht="30" hidden="1">
      <c r="A3107" s="345">
        <v>3653</v>
      </c>
      <c r="B3107" s="346" t="s">
        <v>312</v>
      </c>
      <c r="C3107" s="347">
        <v>200</v>
      </c>
      <c r="D3107" s="348">
        <v>45658</v>
      </c>
      <c r="E3107" s="348">
        <v>45931</v>
      </c>
      <c r="F3107" s="346" t="s">
        <v>101</v>
      </c>
      <c r="G3107" s="349" t="s">
        <v>566</v>
      </c>
      <c r="H3107" s="350">
        <f t="shared" si="61"/>
        <v>2000</v>
      </c>
      <c r="I3107" s="120" t="str">
        <f>IF(OR(D3107&lt;Capa!$A$5,D3107&gt;Capa!$A$7,E3107&lt;Capa!$A$5,E3107&gt;Capa!$A$7,D3107&gt;E3107),"Erro","")</f>
        <v/>
      </c>
    </row>
    <row r="3108" spans="1:9" ht="30" hidden="1">
      <c r="A3108" s="345">
        <v>3654</v>
      </c>
      <c r="B3108" s="346" t="s">
        <v>312</v>
      </c>
      <c r="C3108" s="347">
        <v>200</v>
      </c>
      <c r="D3108" s="348">
        <v>45962</v>
      </c>
      <c r="E3108" s="348">
        <v>46296</v>
      </c>
      <c r="F3108" s="346" t="s">
        <v>101</v>
      </c>
      <c r="G3108" s="349" t="s">
        <v>566</v>
      </c>
      <c r="H3108" s="350">
        <f t="shared" si="61"/>
        <v>2400</v>
      </c>
      <c r="I3108" s="120" t="str">
        <f>IF(OR(D3108&lt;Capa!$A$5,D3108&gt;Capa!$A$7,E3108&lt;Capa!$A$5,E3108&gt;Capa!$A$7,D3108&gt;E3108),"Erro","")</f>
        <v/>
      </c>
    </row>
    <row r="3109" spans="1:9" ht="30" hidden="1">
      <c r="A3109" s="345">
        <v>3655</v>
      </c>
      <c r="B3109" s="346" t="s">
        <v>312</v>
      </c>
      <c r="C3109" s="347">
        <v>200</v>
      </c>
      <c r="D3109" s="348">
        <v>46327</v>
      </c>
      <c r="E3109" s="348">
        <v>46661</v>
      </c>
      <c r="F3109" s="346" t="s">
        <v>101</v>
      </c>
      <c r="G3109" s="349" t="s">
        <v>566</v>
      </c>
      <c r="H3109" s="350">
        <f t="shared" si="61"/>
        <v>2400</v>
      </c>
      <c r="I3109" s="120" t="str">
        <f>IF(OR(D3109&lt;Capa!$A$5,D3109&gt;Capa!$A$7,E3109&lt;Capa!$A$5,E3109&gt;Capa!$A$7,D3109&gt;E3109),"Erro","")</f>
        <v/>
      </c>
    </row>
    <row r="3110" spans="1:9" ht="30" hidden="1">
      <c r="A3110" s="345">
        <v>3656</v>
      </c>
      <c r="B3110" s="346" t="s">
        <v>312</v>
      </c>
      <c r="C3110" s="347">
        <v>100</v>
      </c>
      <c r="D3110" s="348">
        <v>46692</v>
      </c>
      <c r="E3110" s="348">
        <v>47058</v>
      </c>
      <c r="F3110" s="346" t="s">
        <v>101</v>
      </c>
      <c r="G3110" s="349" t="s">
        <v>566</v>
      </c>
      <c r="H3110" s="350">
        <f t="shared" si="61"/>
        <v>1300</v>
      </c>
      <c r="I3110" s="120" t="str">
        <f>IF(OR(D3110&lt;Capa!$A$5,D3110&gt;Capa!$A$7,E3110&lt;Capa!$A$5,E3110&gt;Capa!$A$7,D3110&gt;E3110),"Erro","")</f>
        <v/>
      </c>
    </row>
    <row r="3111" spans="1:9" ht="50" hidden="1">
      <c r="A3111" s="345">
        <v>3657</v>
      </c>
      <c r="B3111" s="346" t="s">
        <v>314</v>
      </c>
      <c r="C3111" s="347">
        <v>500</v>
      </c>
      <c r="D3111" s="348">
        <v>45658</v>
      </c>
      <c r="E3111" s="348">
        <v>47058</v>
      </c>
      <c r="F3111" s="346" t="s">
        <v>101</v>
      </c>
      <c r="G3111" s="349" t="s">
        <v>567</v>
      </c>
      <c r="H3111" s="350">
        <f t="shared" si="61"/>
        <v>23500</v>
      </c>
      <c r="I3111" s="120" t="str">
        <f>IF(OR(D3111&lt;Capa!$A$5,D3111&gt;Capa!$A$7,E3111&lt;Capa!$A$5,E3111&gt;Capa!$A$7,D3111&gt;E3111),"Erro","")</f>
        <v/>
      </c>
    </row>
    <row r="3112" spans="1:9" ht="50" hidden="1">
      <c r="A3112" s="345">
        <v>3658</v>
      </c>
      <c r="B3112" s="346" t="s">
        <v>316</v>
      </c>
      <c r="C3112" s="347">
        <v>1500</v>
      </c>
      <c r="D3112" s="348">
        <v>45658</v>
      </c>
      <c r="E3112" s="348">
        <v>47058</v>
      </c>
      <c r="F3112" s="346" t="s">
        <v>101</v>
      </c>
      <c r="G3112" s="349" t="s">
        <v>567</v>
      </c>
      <c r="H3112" s="350">
        <f t="shared" si="61"/>
        <v>70500</v>
      </c>
      <c r="I3112" s="120" t="str">
        <f>IF(OR(D3112&lt;Capa!$A$5,D3112&gt;Capa!$A$7,E3112&lt;Capa!$A$5,E3112&gt;Capa!$A$7,D3112&gt;E3112),"Erro","")</f>
        <v/>
      </c>
    </row>
    <row r="3113" spans="1:9" ht="50" hidden="1">
      <c r="A3113" s="345">
        <v>3659</v>
      </c>
      <c r="B3113" s="346" t="s">
        <v>318</v>
      </c>
      <c r="C3113" s="347">
        <v>3000</v>
      </c>
      <c r="D3113" s="348">
        <v>45658</v>
      </c>
      <c r="E3113" s="348">
        <v>45931</v>
      </c>
      <c r="F3113" s="346" t="s">
        <v>101</v>
      </c>
      <c r="G3113" s="349" t="s">
        <v>674</v>
      </c>
      <c r="H3113" s="350">
        <f t="shared" si="61"/>
        <v>30000</v>
      </c>
      <c r="I3113" s="120" t="str">
        <f>IF(OR(D3113&lt;Capa!$A$5,D3113&gt;Capa!$A$7,E3113&lt;Capa!$A$5,E3113&gt;Capa!$A$7,D3113&gt;E3113),"Erro","")</f>
        <v/>
      </c>
    </row>
    <row r="3114" spans="1:9" ht="50" hidden="1">
      <c r="A3114" s="345">
        <v>3660</v>
      </c>
      <c r="B3114" s="346" t="s">
        <v>318</v>
      </c>
      <c r="C3114" s="347">
        <v>3000</v>
      </c>
      <c r="D3114" s="348">
        <v>45962</v>
      </c>
      <c r="E3114" s="348">
        <v>46296</v>
      </c>
      <c r="F3114" s="346" t="s">
        <v>101</v>
      </c>
      <c r="G3114" s="349" t="s">
        <v>674</v>
      </c>
      <c r="H3114" s="350">
        <f t="shared" si="61"/>
        <v>36000</v>
      </c>
      <c r="I3114" s="120" t="str">
        <f>IF(OR(D3114&lt;Capa!$A$5,D3114&gt;Capa!$A$7,E3114&lt;Capa!$A$5,E3114&gt;Capa!$A$7,D3114&gt;E3114),"Erro","")</f>
        <v/>
      </c>
    </row>
    <row r="3115" spans="1:9" ht="50" hidden="1">
      <c r="A3115" s="345">
        <v>3661</v>
      </c>
      <c r="B3115" s="346" t="s">
        <v>318</v>
      </c>
      <c r="C3115" s="347">
        <v>3000</v>
      </c>
      <c r="D3115" s="348">
        <v>46327</v>
      </c>
      <c r="E3115" s="348">
        <v>46661</v>
      </c>
      <c r="F3115" s="346" t="s">
        <v>101</v>
      </c>
      <c r="G3115" s="349" t="s">
        <v>674</v>
      </c>
      <c r="H3115" s="350">
        <f t="shared" si="61"/>
        <v>36000</v>
      </c>
      <c r="I3115" s="120" t="str">
        <f>IF(OR(D3115&lt;Capa!$A$5,D3115&gt;Capa!$A$7,E3115&lt;Capa!$A$5,E3115&gt;Capa!$A$7,D3115&gt;E3115),"Erro","")</f>
        <v/>
      </c>
    </row>
    <row r="3116" spans="1:9" ht="50" hidden="1">
      <c r="A3116" s="345">
        <v>3662</v>
      </c>
      <c r="B3116" s="346" t="s">
        <v>318</v>
      </c>
      <c r="C3116" s="347">
        <v>1700</v>
      </c>
      <c r="D3116" s="348">
        <v>46692</v>
      </c>
      <c r="E3116" s="348">
        <v>47058</v>
      </c>
      <c r="F3116" s="346" t="s">
        <v>101</v>
      </c>
      <c r="G3116" s="349" t="s">
        <v>674</v>
      </c>
      <c r="H3116" s="350">
        <f t="shared" si="61"/>
        <v>22100</v>
      </c>
      <c r="I3116" s="120" t="str">
        <f>IF(OR(D3116&lt;Capa!$A$5,D3116&gt;Capa!$A$7,E3116&lt;Capa!$A$5,E3116&gt;Capa!$A$7,D3116&gt;E3116),"Erro","")</f>
        <v/>
      </c>
    </row>
    <row r="3117" spans="1:9" ht="40" hidden="1">
      <c r="A3117" s="345">
        <v>3663</v>
      </c>
      <c r="B3117" s="346" t="s">
        <v>252</v>
      </c>
      <c r="C3117" s="377">
        <v>10500</v>
      </c>
      <c r="D3117" s="348">
        <v>45658</v>
      </c>
      <c r="E3117" s="348">
        <v>45658</v>
      </c>
      <c r="F3117" s="346" t="s">
        <v>101</v>
      </c>
      <c r="G3117" s="349" t="s">
        <v>680</v>
      </c>
      <c r="H3117" s="350">
        <f t="shared" si="61"/>
        <v>10500</v>
      </c>
      <c r="I3117" s="120" t="str">
        <f>IF(OR(D3117&lt;Capa!$A$5,D3117&gt;Capa!$A$7,E3117&lt;Capa!$A$5,E3117&gt;Capa!$A$7,D3117&gt;E3117),"Erro","")</f>
        <v/>
      </c>
    </row>
    <row r="3118" spans="1:9" ht="50" hidden="1">
      <c r="A3118" s="345">
        <v>3666</v>
      </c>
      <c r="B3118" s="378" t="s">
        <v>252</v>
      </c>
      <c r="C3118" s="377">
        <v>16002</v>
      </c>
      <c r="D3118" s="348">
        <v>45658</v>
      </c>
      <c r="E3118" s="348">
        <v>45992</v>
      </c>
      <c r="F3118" s="346" t="s">
        <v>101</v>
      </c>
      <c r="G3118" s="349" t="s">
        <v>739</v>
      </c>
      <c r="H3118" s="350">
        <f t="shared" si="61"/>
        <v>192024</v>
      </c>
      <c r="I3118" s="120" t="str">
        <f>IF(OR(D3118&lt;Capa!$A$5,D3118&gt;Capa!$A$7,E3118&lt;Capa!$A$5,E3118&gt;Capa!$A$7,D3118&gt;E3118),"Erro","")</f>
        <v/>
      </c>
    </row>
    <row r="3119" spans="1:9" ht="50" hidden="1">
      <c r="A3119" s="345">
        <v>3667</v>
      </c>
      <c r="B3119" s="346" t="s">
        <v>252</v>
      </c>
      <c r="C3119" s="377">
        <v>28600</v>
      </c>
      <c r="D3119" s="348">
        <v>45658</v>
      </c>
      <c r="E3119" s="348">
        <v>45992</v>
      </c>
      <c r="F3119" s="346" t="s">
        <v>101</v>
      </c>
      <c r="G3119" s="349" t="s">
        <v>740</v>
      </c>
      <c r="H3119" s="350">
        <f t="shared" si="61"/>
        <v>343200</v>
      </c>
      <c r="I3119" s="120" t="str">
        <f>IF(OR(D3119&lt;Capa!$A$5,D3119&gt;Capa!$A$7,E3119&lt;Capa!$A$5,E3119&gt;Capa!$A$7,D3119&gt;E3119),"Erro","")</f>
        <v/>
      </c>
    </row>
    <row r="3120" spans="1:9" ht="50" hidden="1">
      <c r="A3120" s="345">
        <v>3668</v>
      </c>
      <c r="B3120" s="346" t="s">
        <v>252</v>
      </c>
      <c r="C3120" s="377">
        <v>16936.516800000001</v>
      </c>
      <c r="D3120" s="348">
        <v>46023</v>
      </c>
      <c r="E3120" s="348">
        <v>46357</v>
      </c>
      <c r="F3120" s="346" t="s">
        <v>101</v>
      </c>
      <c r="G3120" s="349" t="s">
        <v>739</v>
      </c>
      <c r="H3120" s="350">
        <f t="shared" si="61"/>
        <v>203238.20160000003</v>
      </c>
      <c r="I3120" s="120" t="str">
        <f>IF(OR(D3120&lt;Capa!$A$5,D3120&gt;Capa!$A$7,E3120&lt;Capa!$A$5,E3120&gt;Capa!$A$7,D3120&gt;E3120),"Erro","")</f>
        <v/>
      </c>
    </row>
    <row r="3121" spans="1:9" ht="50" hidden="1">
      <c r="A3121" s="345">
        <v>3669</v>
      </c>
      <c r="B3121" s="346" t="s">
        <v>252</v>
      </c>
      <c r="C3121" s="377">
        <v>30270</v>
      </c>
      <c r="D3121" s="348">
        <v>46023</v>
      </c>
      <c r="E3121" s="348">
        <v>46357</v>
      </c>
      <c r="F3121" s="346" t="s">
        <v>101</v>
      </c>
      <c r="G3121" s="349" t="s">
        <v>740</v>
      </c>
      <c r="H3121" s="350">
        <f t="shared" si="61"/>
        <v>363240</v>
      </c>
      <c r="I3121" s="120" t="str">
        <f>IF(OR(D3121&lt;Capa!$A$5,D3121&gt;Capa!$A$7,E3121&lt;Capa!$A$5,E3121&gt;Capa!$A$7,D3121&gt;E3121),"Erro","")</f>
        <v/>
      </c>
    </row>
    <row r="3122" spans="1:9" ht="50" hidden="1">
      <c r="A3122" s="345">
        <v>3670</v>
      </c>
      <c r="B3122" s="346" t="s">
        <v>252</v>
      </c>
      <c r="C3122" s="377">
        <v>17783.342639999999</v>
      </c>
      <c r="D3122" s="348">
        <v>46388</v>
      </c>
      <c r="E3122" s="348">
        <v>46722</v>
      </c>
      <c r="F3122" s="346" t="s">
        <v>101</v>
      </c>
      <c r="G3122" s="349" t="s">
        <v>739</v>
      </c>
      <c r="H3122" s="350">
        <f t="shared" si="61"/>
        <v>213400.11167999997</v>
      </c>
      <c r="I3122" s="120" t="str">
        <f>IF(OR(D3122&lt;Capa!$A$5,D3122&gt;Capa!$A$7,E3122&lt;Capa!$A$5,E3122&gt;Capa!$A$7,D3122&gt;E3122),"Erro","")</f>
        <v/>
      </c>
    </row>
    <row r="3123" spans="1:9" ht="50" hidden="1">
      <c r="A3123" s="345">
        <v>3671</v>
      </c>
      <c r="B3123" s="346" t="s">
        <v>252</v>
      </c>
      <c r="C3123" s="377">
        <v>31783</v>
      </c>
      <c r="D3123" s="348">
        <v>46388</v>
      </c>
      <c r="E3123" s="348">
        <v>46722</v>
      </c>
      <c r="F3123" s="346" t="s">
        <v>101</v>
      </c>
      <c r="G3123" s="349" t="s">
        <v>740</v>
      </c>
      <c r="H3123" s="350">
        <f t="shared" si="61"/>
        <v>381396</v>
      </c>
      <c r="I3123" s="120" t="str">
        <f>IF(OR(D3123&lt;Capa!$A$5,D3123&gt;Capa!$A$7,E3123&lt;Capa!$A$5,E3123&gt;Capa!$A$7,D3123&gt;E3123),"Erro","")</f>
        <v/>
      </c>
    </row>
    <row r="3124" spans="1:9" ht="50" hidden="1">
      <c r="A3124" s="345">
        <v>3672</v>
      </c>
      <c r="B3124" s="346" t="s">
        <v>252</v>
      </c>
      <c r="C3124" s="377">
        <v>8891</v>
      </c>
      <c r="D3124" s="348">
        <v>46753</v>
      </c>
      <c r="E3124" s="348">
        <v>47058</v>
      </c>
      <c r="F3124" s="346" t="s">
        <v>101</v>
      </c>
      <c r="G3124" s="349" t="s">
        <v>739</v>
      </c>
      <c r="H3124" s="350">
        <f t="shared" si="61"/>
        <v>97801</v>
      </c>
    </row>
    <row r="3125" spans="1:9" ht="50" hidden="1">
      <c r="A3125" s="345">
        <v>3673</v>
      </c>
      <c r="B3125" s="346" t="s">
        <v>252</v>
      </c>
      <c r="C3125" s="377">
        <v>15891</v>
      </c>
      <c r="D3125" s="348">
        <v>46753</v>
      </c>
      <c r="E3125" s="348">
        <v>47058</v>
      </c>
      <c r="F3125" s="346" t="s">
        <v>101</v>
      </c>
      <c r="G3125" s="349" t="s">
        <v>740</v>
      </c>
      <c r="H3125" s="350">
        <f t="shared" si="61"/>
        <v>174801</v>
      </c>
    </row>
    <row r="3126" spans="1:9" ht="60" hidden="1">
      <c r="A3126" s="345">
        <v>3675</v>
      </c>
      <c r="B3126" s="346" t="s">
        <v>252</v>
      </c>
      <c r="C3126" s="347">
        <v>46274.97</v>
      </c>
      <c r="D3126" s="348">
        <v>45658</v>
      </c>
      <c r="E3126" s="348">
        <v>45689</v>
      </c>
      <c r="F3126" s="346" t="s">
        <v>101</v>
      </c>
      <c r="G3126" s="349" t="s">
        <v>719</v>
      </c>
      <c r="H3126" s="350">
        <f t="shared" si="61"/>
        <v>92549.94</v>
      </c>
      <c r="I3126" s="120" t="str">
        <f>IF(OR(D3126&lt;Capa!$A$5,D3126&gt;Capa!$A$7,E3126&lt;Capa!$A$5,E3126&gt;Capa!$A$7,D3126&gt;E3126),"Erro","")</f>
        <v/>
      </c>
    </row>
    <row r="3127" spans="1:9" ht="60" hidden="1">
      <c r="A3127" s="345">
        <v>3676</v>
      </c>
      <c r="B3127" s="346" t="s">
        <v>252</v>
      </c>
      <c r="C3127" s="347">
        <v>52885.68</v>
      </c>
      <c r="D3127" s="348">
        <v>45717</v>
      </c>
      <c r="E3127" s="348">
        <v>45992</v>
      </c>
      <c r="F3127" s="346" t="s">
        <v>101</v>
      </c>
      <c r="G3127" s="349" t="s">
        <v>719</v>
      </c>
      <c r="H3127" s="350">
        <f t="shared" si="61"/>
        <v>528856.80000000005</v>
      </c>
      <c r="I3127" s="120" t="str">
        <f>IF(OR(D3127&lt;Capa!$A$5,D3127&gt;Capa!$A$7,E3127&lt;Capa!$A$5,E3127&gt;Capa!$A$7,D3127&gt;E3127),"Erro","")</f>
        <v/>
      </c>
    </row>
    <row r="3128" spans="1:9" ht="60" hidden="1">
      <c r="A3128" s="345">
        <v>3677</v>
      </c>
      <c r="B3128" s="346" t="s">
        <v>252</v>
      </c>
      <c r="C3128" s="347">
        <v>56058.83</v>
      </c>
      <c r="D3128" s="348">
        <v>46082</v>
      </c>
      <c r="E3128" s="348">
        <v>46357</v>
      </c>
      <c r="F3128" s="346" t="s">
        <v>101</v>
      </c>
      <c r="G3128" s="349" t="s">
        <v>719</v>
      </c>
      <c r="H3128" s="350">
        <f t="shared" si="61"/>
        <v>560588.30000000005</v>
      </c>
      <c r="I3128" s="120" t="str">
        <f>IF(OR(D3128&lt;Capa!$A$5,D3128&gt;Capa!$A$7,E3128&lt;Capa!$A$5,E3128&gt;Capa!$A$7,D3128&gt;E3128),"Erro","")</f>
        <v/>
      </c>
    </row>
    <row r="3129" spans="1:9" ht="60" hidden="1">
      <c r="A3129" s="345">
        <v>3678</v>
      </c>
      <c r="B3129" s="346" t="s">
        <v>252</v>
      </c>
      <c r="C3129" s="347">
        <v>59422.36</v>
      </c>
      <c r="D3129" s="348">
        <v>46447</v>
      </c>
      <c r="E3129" s="348">
        <v>46722</v>
      </c>
      <c r="F3129" s="346" t="s">
        <v>101</v>
      </c>
      <c r="G3129" s="349" t="s">
        <v>719</v>
      </c>
      <c r="H3129" s="350">
        <f t="shared" si="61"/>
        <v>594223.6</v>
      </c>
      <c r="I3129" s="120" t="str">
        <f>IF(OR(D3129&lt;Capa!$A$5,D3129&gt;Capa!$A$7,E3129&lt;Capa!$A$5,E3129&gt;Capa!$A$7,D3129&gt;E3129),"Erro","")</f>
        <v/>
      </c>
    </row>
    <row r="3130" spans="1:9" ht="60" hidden="1">
      <c r="A3130" s="345">
        <v>3679</v>
      </c>
      <c r="B3130" s="346" t="s">
        <v>252</v>
      </c>
      <c r="C3130" s="347">
        <v>30000</v>
      </c>
      <c r="D3130" s="348">
        <v>46813</v>
      </c>
      <c r="E3130" s="348">
        <v>47058</v>
      </c>
      <c r="F3130" s="346" t="s">
        <v>101</v>
      </c>
      <c r="G3130" s="349" t="s">
        <v>719</v>
      </c>
      <c r="H3130" s="350">
        <f t="shared" si="61"/>
        <v>270000</v>
      </c>
      <c r="I3130" s="120" t="str">
        <f>IF(OR(D3130&lt;Capa!$A$5,D3130&gt;Capa!$A$7,E3130&lt;Capa!$A$5,E3130&gt;Capa!$A$7,D3130&gt;E3130),"Erro","")</f>
        <v/>
      </c>
    </row>
    <row r="3131" spans="1:9" ht="30" hidden="1">
      <c r="A3131" s="345">
        <v>3680</v>
      </c>
      <c r="B3131" s="346" t="s">
        <v>234</v>
      </c>
      <c r="C3131" s="347">
        <v>300</v>
      </c>
      <c r="D3131" s="348">
        <v>45658</v>
      </c>
      <c r="E3131" s="348">
        <v>46753</v>
      </c>
      <c r="F3131" s="346" t="s">
        <v>101</v>
      </c>
      <c r="G3131" s="349" t="s">
        <v>733</v>
      </c>
      <c r="H3131" s="350">
        <f t="shared" si="61"/>
        <v>11100</v>
      </c>
      <c r="I3131" s="120" t="str">
        <f>IF(OR(D3131&lt;Capa!$A$5,D3131&gt;Capa!$A$7,E3131&lt;Capa!$A$5,E3131&gt;Capa!$A$7,D3131&gt;E3131),"Erro","")</f>
        <v/>
      </c>
    </row>
    <row r="3132" spans="1:9" ht="20" hidden="1">
      <c r="A3132" s="345">
        <v>3681</v>
      </c>
      <c r="B3132" s="346" t="s">
        <v>208</v>
      </c>
      <c r="C3132" s="347">
        <v>100</v>
      </c>
      <c r="D3132" s="348">
        <v>45658</v>
      </c>
      <c r="E3132" s="348">
        <v>45931</v>
      </c>
      <c r="F3132" s="346" t="s">
        <v>101</v>
      </c>
      <c r="G3132" s="349" t="s">
        <v>669</v>
      </c>
      <c r="H3132" s="350">
        <f t="shared" si="61"/>
        <v>1000</v>
      </c>
      <c r="I3132" s="120" t="str">
        <f>IF(OR(D3132&lt;Capa!$A$5,D3132&gt;Capa!$A$7,E3132&lt;Capa!$A$5,E3132&gt;Capa!$A$7,D3132&gt;E3132),"Erro","")</f>
        <v/>
      </c>
    </row>
    <row r="3133" spans="1:9" ht="20" hidden="1">
      <c r="A3133" s="345">
        <v>3682</v>
      </c>
      <c r="B3133" s="346" t="s">
        <v>208</v>
      </c>
      <c r="C3133" s="347">
        <v>100</v>
      </c>
      <c r="D3133" s="348">
        <v>45962</v>
      </c>
      <c r="E3133" s="348">
        <v>46296</v>
      </c>
      <c r="F3133" s="346" t="s">
        <v>101</v>
      </c>
      <c r="G3133" s="349" t="s">
        <v>669</v>
      </c>
      <c r="H3133" s="350">
        <f t="shared" si="61"/>
        <v>1200</v>
      </c>
      <c r="I3133" s="120" t="str">
        <f>IF(OR(D3133&lt;Capa!$A$5,D3133&gt;Capa!$A$7,E3133&lt;Capa!$A$5,E3133&gt;Capa!$A$7,D3133&gt;E3133),"Erro","")</f>
        <v/>
      </c>
    </row>
    <row r="3134" spans="1:9" ht="20" hidden="1">
      <c r="A3134" s="345">
        <v>3683</v>
      </c>
      <c r="B3134" s="346" t="s">
        <v>208</v>
      </c>
      <c r="C3134" s="347">
        <v>100</v>
      </c>
      <c r="D3134" s="348">
        <v>46327</v>
      </c>
      <c r="E3134" s="348">
        <v>46661</v>
      </c>
      <c r="F3134" s="346" t="s">
        <v>101</v>
      </c>
      <c r="G3134" s="349" t="s">
        <v>669</v>
      </c>
      <c r="H3134" s="350">
        <f t="shared" si="61"/>
        <v>1200</v>
      </c>
      <c r="I3134" s="120" t="str">
        <f>IF(OR(D3134&lt;Capa!$A$5,D3134&gt;Capa!$A$7,E3134&lt;Capa!$A$5,E3134&gt;Capa!$A$7,D3134&gt;E3134),"Erro","")</f>
        <v/>
      </c>
    </row>
    <row r="3135" spans="1:9" ht="20" hidden="1">
      <c r="A3135" s="345">
        <v>3684</v>
      </c>
      <c r="B3135" s="346" t="s">
        <v>208</v>
      </c>
      <c r="C3135" s="347">
        <v>100</v>
      </c>
      <c r="D3135" s="348">
        <v>46692</v>
      </c>
      <c r="E3135" s="348">
        <v>47058</v>
      </c>
      <c r="F3135" s="346" t="s">
        <v>101</v>
      </c>
      <c r="G3135" s="349" t="s">
        <v>669</v>
      </c>
      <c r="H3135" s="350">
        <f t="shared" si="61"/>
        <v>1300</v>
      </c>
      <c r="I3135" s="120" t="str">
        <f>IF(OR(D3135&lt;Capa!$A$5,D3135&gt;Capa!$A$7,E3135&lt;Capa!$A$5,E3135&gt;Capa!$A$7,D3135&gt;E3135),"Erro","")</f>
        <v/>
      </c>
    </row>
    <row r="3136" spans="1:9" ht="20" hidden="1">
      <c r="A3136" s="345">
        <v>3685</v>
      </c>
      <c r="B3136" s="346" t="s">
        <v>624</v>
      </c>
      <c r="C3136" s="347">
        <v>700</v>
      </c>
      <c r="D3136" s="348">
        <v>45658</v>
      </c>
      <c r="E3136" s="348">
        <v>46784</v>
      </c>
      <c r="F3136" s="346" t="s">
        <v>101</v>
      </c>
      <c r="G3136" s="349" t="s">
        <v>738</v>
      </c>
      <c r="H3136" s="350">
        <f t="shared" si="61"/>
        <v>26600</v>
      </c>
    </row>
    <row r="3137" spans="1:9" ht="30" hidden="1">
      <c r="A3137" s="345">
        <v>3686</v>
      </c>
      <c r="B3137" s="346" t="s">
        <v>286</v>
      </c>
      <c r="C3137" s="347">
        <v>1500</v>
      </c>
      <c r="D3137" s="348">
        <v>45658</v>
      </c>
      <c r="E3137" s="348">
        <v>47058</v>
      </c>
      <c r="F3137" s="346" t="s">
        <v>101</v>
      </c>
      <c r="G3137" s="349" t="s">
        <v>736</v>
      </c>
      <c r="H3137" s="350">
        <f t="shared" si="61"/>
        <v>70500</v>
      </c>
    </row>
    <row r="3138" spans="1:9" ht="40" hidden="1">
      <c r="A3138" s="345">
        <v>3687</v>
      </c>
      <c r="B3138" s="346" t="s">
        <v>300</v>
      </c>
      <c r="C3138" s="347">
        <v>1200</v>
      </c>
      <c r="D3138" s="348">
        <v>45658</v>
      </c>
      <c r="E3138" s="348">
        <v>47058</v>
      </c>
      <c r="F3138" s="346" t="s">
        <v>101</v>
      </c>
      <c r="G3138" s="349" t="s">
        <v>737</v>
      </c>
      <c r="H3138" s="350">
        <f t="shared" si="61"/>
        <v>56400</v>
      </c>
    </row>
    <row r="3139" spans="1:9" ht="20" hidden="1">
      <c r="A3139" s="345">
        <v>3688</v>
      </c>
      <c r="B3139" s="346" t="s">
        <v>320</v>
      </c>
      <c r="C3139" s="347">
        <v>9779.0475000000006</v>
      </c>
      <c r="D3139" s="348">
        <v>45778</v>
      </c>
      <c r="E3139" s="348">
        <v>45992</v>
      </c>
      <c r="F3139" s="346" t="s">
        <v>101</v>
      </c>
      <c r="G3139" s="349" t="s">
        <v>683</v>
      </c>
      <c r="H3139" s="350">
        <f t="shared" si="61"/>
        <v>78232.38</v>
      </c>
      <c r="I3139" s="120" t="str">
        <f>IF(OR(D3139&lt;Capa!$A$5,D3139&gt;Capa!$A$7,E3139&lt;Capa!$A$5,E3139&gt;Capa!$A$7,D3139&gt;E3139),"Erro","")</f>
        <v/>
      </c>
    </row>
    <row r="3140" spans="1:9" ht="20" hidden="1">
      <c r="A3140" s="345">
        <v>3689</v>
      </c>
      <c r="B3140" s="346" t="s">
        <v>320</v>
      </c>
      <c r="C3140" s="347">
        <v>201.54466666670001</v>
      </c>
      <c r="D3140" s="348">
        <v>46023</v>
      </c>
      <c r="E3140" s="348">
        <v>47058</v>
      </c>
      <c r="F3140" s="346" t="s">
        <v>101</v>
      </c>
      <c r="G3140" s="349" t="s">
        <v>681</v>
      </c>
      <c r="H3140" s="350">
        <f t="shared" si="61"/>
        <v>7054.0633333345004</v>
      </c>
      <c r="I3140" s="120" t="str">
        <f>IF(OR(D3140&lt;Capa!$A$5,D3140&gt;Capa!$A$7,E3140&lt;Capa!$A$5,E3140&gt;Capa!$A$7,D3140&gt;E3140),"Erro","")</f>
        <v/>
      </c>
    </row>
    <row r="3141" spans="1:9" ht="20" hidden="1">
      <c r="A3141" s="345">
        <v>3691</v>
      </c>
      <c r="B3141" s="346" t="s">
        <v>230</v>
      </c>
      <c r="C3141" s="347">
        <v>300</v>
      </c>
      <c r="D3141" s="348">
        <v>45992</v>
      </c>
      <c r="E3141" s="348">
        <v>45992</v>
      </c>
      <c r="F3141" s="346" t="s">
        <v>101</v>
      </c>
      <c r="G3141" s="349" t="s">
        <v>668</v>
      </c>
      <c r="H3141" s="350">
        <f t="shared" si="61"/>
        <v>300</v>
      </c>
      <c r="I3141" s="120" t="str">
        <f>IF(OR(D3141&lt;Capa!$A$5,D3141&gt;Capa!$A$7,E3141&lt;Capa!$A$5,E3141&gt;Capa!$A$7,D3141&gt;E3141),"Erro","")</f>
        <v/>
      </c>
    </row>
    <row r="3142" spans="1:9" ht="20" hidden="1">
      <c r="A3142" s="345">
        <v>3692</v>
      </c>
      <c r="B3142" s="346" t="s">
        <v>230</v>
      </c>
      <c r="C3142" s="347">
        <v>300</v>
      </c>
      <c r="D3142" s="348">
        <v>46357</v>
      </c>
      <c r="E3142" s="348">
        <v>46357</v>
      </c>
      <c r="F3142" s="346" t="s">
        <v>101</v>
      </c>
      <c r="G3142" s="349" t="s">
        <v>668</v>
      </c>
      <c r="H3142" s="350">
        <f t="shared" si="61"/>
        <v>300</v>
      </c>
      <c r="I3142" s="120" t="str">
        <f>IF(OR(D3142&lt;Capa!$A$5,D3142&gt;Capa!$A$7,E3142&lt;Capa!$A$5,E3142&gt;Capa!$A$7,D3142&gt;E3142),"Erro","")</f>
        <v/>
      </c>
    </row>
    <row r="3143" spans="1:9" ht="20" hidden="1">
      <c r="A3143" s="345">
        <v>3693</v>
      </c>
      <c r="B3143" s="346" t="s">
        <v>230</v>
      </c>
      <c r="C3143" s="347">
        <v>300</v>
      </c>
      <c r="D3143" s="348">
        <v>46722</v>
      </c>
      <c r="E3143" s="348">
        <v>46722</v>
      </c>
      <c r="F3143" s="346" t="s">
        <v>101</v>
      </c>
      <c r="G3143" s="349" t="s">
        <v>668</v>
      </c>
      <c r="H3143" s="350">
        <f t="shared" si="61"/>
        <v>300</v>
      </c>
      <c r="I3143" s="120" t="str">
        <f>IF(OR(D3143&lt;Capa!$A$5,D3143&gt;Capa!$A$7,E3143&lt;Capa!$A$5,E3143&gt;Capa!$A$7,D3143&gt;E3143),"Erro","")</f>
        <v/>
      </c>
    </row>
    <row r="3144" spans="1:9" ht="20.25" hidden="1" customHeight="1" thickBot="1">
      <c r="A3144" s="351"/>
      <c r="B3144" s="352"/>
      <c r="C3144" s="351"/>
      <c r="D3144" s="351"/>
      <c r="E3144" s="351"/>
      <c r="F3144" s="352"/>
      <c r="G3144" s="353" t="s">
        <v>406</v>
      </c>
      <c r="H3144" s="354">
        <f>SUM(H4:H3143)</f>
        <v>72349548.282253057</v>
      </c>
    </row>
    <row r="3147" spans="1:9">
      <c r="B3147" s="80"/>
    </row>
    <row r="3148" spans="1:9">
      <c r="B3148" s="80"/>
    </row>
    <row r="3149" spans="1:9">
      <c r="B3149" s="80"/>
    </row>
    <row r="3150" spans="1:9">
      <c r="B3150" s="80"/>
    </row>
    <row r="3151" spans="1:9">
      <c r="B3151" s="80"/>
    </row>
  </sheetData>
  <autoFilter ref="A3:I3144" xr:uid="{00000000-0009-0000-0000-000008000000}">
    <filterColumn colId="1">
      <filters>
        <filter val="Lanches e Refeiçoes"/>
      </filters>
    </filterColumn>
  </autoFilter>
  <mergeCells count="2">
    <mergeCell ref="A1:H1"/>
    <mergeCell ref="A2:H2"/>
  </mergeCells>
  <conditionalFormatting sqref="A4:C4 D4:E141 F4:H146 B5:C141 A5:A3143 F147:G413 H147:H2994 C163:E270 B163:B286 B314:B429 F414:H417 F418:G694 B430:C436 B583:B714 C615:C716 F695:H698 F699:G836 B715:C720 B749:B856 F837:H840 F841:G978 B857:C862 B863:E1163 F979:H982 F983:G1121 F1122:H1125 F1126:G1260 C1164:E1223 B1164:B1281 C1224:C1281 D1224:E1291 F1261:H1264 F1265:G1403 B1282:C1291 C1292:E1323 B1292:B1427 C1324:C1427 F1404:H1407 F1408:G1546 B1428:C1434 F1547:H1550 F1551:G1689 C1578:C1633 B1578:B1712 C1634:E1712 F1690:H1693 F1694:G1719 B1713:E1853 G1720:G1822 F1720:F1848 G1823:H1826 G1827:G1847 G1848:H1848 F1849:G1853 B1854:G1854 G1855:G1965 F1855:F1992 B1855:E2135 G1966:H1969 F1993:G2110 B2138:C2166 D2138:E2250 F2138:G2281 C2163:C2254 B2167:B2278 C2251:E2274 C2271:C2278 D2275:E2281 B2279:C2295 D2284:E2315 F2284:G2395 C2296:C2319 B2296:B2418 C2316:E2419 F2396:H2399 F2400:G2420 B2419:C2446 E2420 F2427:G2538 B2447:B2561 C2447:C2562 F2539:H2542 F2543:G2967 B2562:C2565 B2566:E2589 C2590:E2609 B2590:B2703 D2606:E2705 C2606:C2707 B2704:C2705 B2706:E2732 B2733:B2846 C2733:E2850 B2851:E2967 D2968:H2971 B2968:C2975 D2972:G2975 B2976:G2988 F2995:H2999 B3000:H3143">
    <cfRule type="expression" dxfId="27" priority="3510">
      <formula>ISEVEN(ROW())</formula>
    </cfRule>
  </conditionalFormatting>
  <conditionalFormatting sqref="B287:C313">
    <cfRule type="expression" dxfId="26" priority="27">
      <formula>ISEVEN(ROW())</formula>
    </cfRule>
  </conditionalFormatting>
  <conditionalFormatting sqref="B2847:C2848 B2849:B2850">
    <cfRule type="expression" dxfId="25" priority="2277">
      <formula>ISEVEN(ROW())</formula>
    </cfRule>
  </conditionalFormatting>
  <conditionalFormatting sqref="B142:E162">
    <cfRule type="expression" dxfId="24" priority="28">
      <formula>ISEVEN(ROW())</formula>
    </cfRule>
  </conditionalFormatting>
  <conditionalFormatting sqref="B437:E582">
    <cfRule type="expression" dxfId="23" priority="1">
      <formula>ISEVEN(ROW())</formula>
    </cfRule>
  </conditionalFormatting>
  <conditionalFormatting sqref="B721:E748">
    <cfRule type="expression" dxfId="22" priority="24">
      <formula>ISEVEN(ROW())</formula>
    </cfRule>
  </conditionalFormatting>
  <conditionalFormatting sqref="B1435:E1571 B1572:C1577">
    <cfRule type="expression" dxfId="21" priority="31">
      <formula>ISEVEN(ROW())</formula>
    </cfRule>
  </conditionalFormatting>
  <conditionalFormatting sqref="B2989:E2999">
    <cfRule type="expression" dxfId="20" priority="35">
      <formula>ISEVEN(ROW())</formula>
    </cfRule>
  </conditionalFormatting>
  <conditionalFormatting sqref="B2136:G2137">
    <cfRule type="expression" dxfId="19" priority="61">
      <formula>ISEVEN(ROW())</formula>
    </cfRule>
  </conditionalFormatting>
  <conditionalFormatting sqref="C271:C286">
    <cfRule type="expression" dxfId="18" priority="17">
      <formula>ISEVEN(ROW())</formula>
    </cfRule>
  </conditionalFormatting>
  <conditionalFormatting sqref="C314:C317">
    <cfRule type="expression" dxfId="17" priority="6">
      <formula>ISEVEN(ROW())</formula>
    </cfRule>
  </conditionalFormatting>
  <conditionalFormatting sqref="C322:C430">
    <cfRule type="expression" dxfId="16" priority="4">
      <formula>ISEVEN(ROW())</formula>
    </cfRule>
  </conditionalFormatting>
  <conditionalFormatting sqref="C753:C858">
    <cfRule type="expression" dxfId="15" priority="2">
      <formula>ISEVEN(ROW())</formula>
    </cfRule>
  </conditionalFormatting>
  <conditionalFormatting sqref="C318:E321 D322:E436">
    <cfRule type="expression" dxfId="14" priority="3004">
      <formula>ISEVEN(ROW())</formula>
    </cfRule>
  </conditionalFormatting>
  <conditionalFormatting sqref="C583:E614">
    <cfRule type="expression" dxfId="13" priority="25">
      <formula>ISEVEN(ROW())</formula>
    </cfRule>
  </conditionalFormatting>
  <conditionalFormatting sqref="C749:E752 D753:E862">
    <cfRule type="expression" dxfId="12" priority="520">
      <formula>ISEVEN(ROW())</formula>
    </cfRule>
  </conditionalFormatting>
  <conditionalFormatting sqref="D2420:D2422 E2421:G2422 D2423:G2426">
    <cfRule type="expression" dxfId="11" priority="2171">
      <formula>ISEVEN(ROW())</formula>
    </cfRule>
  </conditionalFormatting>
  <conditionalFormatting sqref="D271:E317">
    <cfRule type="expression" dxfId="10" priority="613">
      <formula>ISEVEN(ROW())</formula>
    </cfRule>
  </conditionalFormatting>
  <conditionalFormatting sqref="D615:E720">
    <cfRule type="expression" dxfId="9" priority="2860">
      <formula>ISEVEN(ROW())</formula>
    </cfRule>
  </conditionalFormatting>
  <conditionalFormatting sqref="D1324:E1434">
    <cfRule type="expression" dxfId="8" priority="406">
      <formula>ISEVEN(ROW())</formula>
    </cfRule>
  </conditionalFormatting>
  <conditionalFormatting sqref="D1572:E1633">
    <cfRule type="expression" dxfId="7" priority="7">
      <formula>ISEVEN(ROW())</formula>
    </cfRule>
  </conditionalFormatting>
  <conditionalFormatting sqref="D2427:E2565">
    <cfRule type="expression" dxfId="6" priority="248">
      <formula>ISEVEN(ROW())</formula>
    </cfRule>
  </conditionalFormatting>
  <conditionalFormatting sqref="D2282:G2283">
    <cfRule type="expression" dxfId="5" priority="1776">
      <formula>ISEVEN(ROW())</formula>
    </cfRule>
  </conditionalFormatting>
  <conditionalFormatting sqref="F2115:G2135">
    <cfRule type="expression" dxfId="4" priority="2185">
      <formula>ISEVEN(ROW())</formula>
    </cfRule>
  </conditionalFormatting>
  <conditionalFormatting sqref="F2111:H2114">
    <cfRule type="expression" dxfId="3" priority="2593">
      <formula>ISEVEN(ROW())</formula>
    </cfRule>
  </conditionalFormatting>
  <conditionalFormatting sqref="G1970:G1991 G1992:H1992">
    <cfRule type="expression" dxfId="2" priority="34">
      <formula>ISEVEN(ROW())</formula>
    </cfRule>
  </conditionalFormatting>
  <conditionalFormatting sqref="G2989:G2993 F2989:F2994 G2994:H2994">
    <cfRule type="expression" dxfId="1" priority="59">
      <formula>ISEVEN(ROW())</formula>
    </cfRule>
  </conditionalFormatting>
  <dataValidations count="2">
    <dataValidation type="list" allowBlank="1" showInputMessage="1" showErrorMessage="1" sqref="B4:B3143" xr:uid="{00000000-0002-0000-0800-000000000000}">
      <formula1>Gerais</formula1>
      <formula2>0</formula2>
    </dataValidation>
    <dataValidation type="list" allowBlank="1" showInputMessage="1" showErrorMessage="1" sqref="F4:F3143" xr:uid="{00000000-0002-0000-0800-000001000000}">
      <formula1>VinculoPTg</formula1>
      <formula2>0</formula2>
    </dataValidation>
  </dataValidations>
  <pageMargins left="0.51180555555555496" right="0.51180555555555496" top="0.78749999999999998" bottom="0.78749999999999998" header="0.51180555555555496" footer="0.31527777777777799"/>
  <pageSetup paperSize="9" scale="85" firstPageNumber="0" fitToHeight="0" orientation="landscape" horizontalDpi="300" verticalDpi="300" r:id="rId1"/>
  <headerFooter>
    <oddFooter>&amp;CPágina &amp;P de &amp;N</oddFooter>
  </headerFooter>
  <rowBreaks count="1" manualBreakCount="1">
    <brk id="3129" max="16383" man="1"/>
  </rowBreak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414d09f0-56df-423b-92e5-75650b3356a2" xsi:nil="true"/>
    <lcf76f155ced4ddcb4097134ff3c332f xmlns="5eb5d589-dbdd-4f3f-b74b-9cfd9011a81a">
      <Terms xmlns="http://schemas.microsoft.com/office/infopath/2007/PartnerControls"/>
    </lcf76f155ced4ddcb4097134ff3c332f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6F4C49D281836D4E92FD382DEA1B6B69" ma:contentTypeVersion="15" ma:contentTypeDescription="Crie um novo documento." ma:contentTypeScope="" ma:versionID="877762fa6cc189146c4e1f15d798d2a6">
  <xsd:schema xmlns:xsd="http://www.w3.org/2001/XMLSchema" xmlns:xs="http://www.w3.org/2001/XMLSchema" xmlns:p="http://schemas.microsoft.com/office/2006/metadata/properties" xmlns:ns2="5eb5d589-dbdd-4f3f-b74b-9cfd9011a81a" xmlns:ns3="414d09f0-56df-423b-92e5-75650b3356a2" targetNamespace="http://schemas.microsoft.com/office/2006/metadata/properties" ma:root="true" ma:fieldsID="86920986c7658813823fdd577ece8c52" ns2:_="" ns3:_="">
    <xsd:import namespace="5eb5d589-dbdd-4f3f-b74b-9cfd9011a81a"/>
    <xsd:import namespace="414d09f0-56df-423b-92e5-75650b3356a2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LengthInSecond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ObjectDetectorVersions" minOccurs="0"/>
                <xsd:element ref="ns2:MediaServiceLocation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eb5d589-dbdd-4f3f-b74b-9cfd9011a81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LengthInSeconds" ma:index="11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5" nillable="true" ma:taxonomy="true" ma:internalName="lcf76f155ced4ddcb4097134ff3c332f" ma:taxonomyFieldName="MediaServiceImageTags" ma:displayName="Marcações de imagem" ma:readOnly="false" ma:fieldId="{5cf76f15-5ced-4ddc-b409-7134ff3c332f}" ma:taxonomyMulti="true" ma:sspId="917d32f3-4fa4-4f5b-a8d0-62dbd3d265b9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bjectDetectorVersions" ma:index="2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Location" ma:index="21" nillable="true" ma:displayName="Location" ma:indexed="true" ma:internalName="MediaServiceLocation" ma:readOnly="true">
      <xsd:simpleType>
        <xsd:restriction base="dms:Text"/>
      </xsd:simpleType>
    </xsd:element>
    <xsd:element name="MediaServiceSearchProperties" ma:index="22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14d09f0-56df-423b-92e5-75650b3356a2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Compartilhado com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Detalhes de Compartilhado Com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364ba5d2-42ae-408b-bb8b-4bee1c9673d2}" ma:internalName="TaxCatchAll" ma:showField="CatchAllData" ma:web="414d09f0-56df-423b-92e5-75650b3356a2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C2B60426-9ED4-435C-BE55-90A783584289}">
  <ds:schemaRefs>
    <ds:schemaRef ds:uri="http://schemas.microsoft.com/office/2006/metadata/properties"/>
    <ds:schemaRef ds:uri="http://schemas.microsoft.com/office/infopath/2007/PartnerControls"/>
    <ds:schemaRef ds:uri="414d09f0-56df-423b-92e5-75650b3356a2"/>
    <ds:schemaRef ds:uri="5eb5d589-dbdd-4f3f-b74b-9cfd9011a81a"/>
  </ds:schemaRefs>
</ds:datastoreItem>
</file>

<file path=customXml/itemProps2.xml><?xml version="1.0" encoding="utf-8"?>
<ds:datastoreItem xmlns:ds="http://schemas.openxmlformats.org/officeDocument/2006/customXml" ds:itemID="{3FB30C3B-E9BD-4D07-969F-C1BFAE0F9A03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112BDE69-972C-4EA1-9D7C-F2692A4D21E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eb5d589-dbdd-4f3f-b74b-9cfd9011a81a"/>
    <ds:schemaRef ds:uri="414d09f0-56df-423b-92e5-75650b3356a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12</vt:i4>
      </vt:variant>
      <vt:variant>
        <vt:lpstr>Intervalos Nomeados</vt:lpstr>
      </vt:variant>
      <vt:variant>
        <vt:i4>30</vt:i4>
      </vt:variant>
    </vt:vector>
  </HeadingPairs>
  <TitlesOfParts>
    <vt:vector size="42" baseType="lpstr">
      <vt:lpstr>Capa</vt:lpstr>
      <vt:lpstr>Cronogramas</vt:lpstr>
      <vt:lpstr>Sintético</vt:lpstr>
      <vt:lpstr>Gastos das Atividades</vt:lpstr>
      <vt:lpstr>Analítico</vt:lpstr>
      <vt:lpstr>Encargos e Benefícios</vt:lpstr>
      <vt:lpstr>Gastos com Pessoal</vt:lpstr>
      <vt:lpstr>Bens</vt:lpstr>
      <vt:lpstr>Gastos Gerais</vt:lpstr>
      <vt:lpstr>Desmobilização</vt:lpstr>
      <vt:lpstr>Assinatura</vt:lpstr>
      <vt:lpstr>Plano</vt:lpstr>
      <vt:lpstr>Aquisição_de_Bens_Permanentes</vt:lpstr>
      <vt:lpstr>Analítico!Area_de_impressao</vt:lpstr>
      <vt:lpstr>Assinatura!Area_de_impressao</vt:lpstr>
      <vt:lpstr>Bens!Area_de_impressao</vt:lpstr>
      <vt:lpstr>Capa!Area_de_impressao</vt:lpstr>
      <vt:lpstr>Desmobilização!Area_de_impressao</vt:lpstr>
      <vt:lpstr>'Encargos e Benefícios'!Area_de_impressao</vt:lpstr>
      <vt:lpstr>'Gastos com Pessoal'!Area_de_impressao</vt:lpstr>
      <vt:lpstr>'Gastos das Atividades'!Area_de_impressao</vt:lpstr>
      <vt:lpstr>Sintético!Area_de_impressao</vt:lpstr>
      <vt:lpstr>área_destinada</vt:lpstr>
      <vt:lpstr>Benefícios</vt:lpstr>
      <vt:lpstr>Beneficios2</vt:lpstr>
      <vt:lpstr>Beneficios3</vt:lpstr>
      <vt:lpstr>Bens</vt:lpstr>
      <vt:lpstr>Categorias</vt:lpstr>
      <vt:lpstr>Gastos_com_Pessoal</vt:lpstr>
      <vt:lpstr>Gastos_Gerais</vt:lpstr>
      <vt:lpstr>Gerais</vt:lpstr>
      <vt:lpstr>Ocorrência</vt:lpstr>
      <vt:lpstr>Receitas</vt:lpstr>
      <vt:lpstr>Rendimentos_de_Aplicações_Fin.</vt:lpstr>
      <vt:lpstr>Reserva</vt:lpstr>
      <vt:lpstr>Analítico!Titulos_de_impressao</vt:lpstr>
      <vt:lpstr>Desmobilização!Titulos_de_impressao</vt:lpstr>
      <vt:lpstr>'Encargos e Benefícios'!Titulos_de_impressao</vt:lpstr>
      <vt:lpstr>'Gastos com Pessoal'!Titulos_de_impressao</vt:lpstr>
      <vt:lpstr>'Gastos Gerais'!Titulos_de_impressao</vt:lpstr>
      <vt:lpstr>Sintético!Titulos_de_impressao</vt:lpstr>
      <vt:lpstr>Transferência_para_Reserva_de_Recursos</vt:lpstr>
    </vt:vector>
  </TitlesOfParts>
  <Company>SEPLAG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Gustavo Henrique Ribeiro Santos</dc:creator>
  <dc:description/>
  <cp:lastModifiedBy>Camila Nascentes</cp:lastModifiedBy>
  <cp:revision>1</cp:revision>
  <cp:lastPrinted>2023-12-07T14:26:50Z</cp:lastPrinted>
  <dcterms:created xsi:type="dcterms:W3CDTF">2007-08-22T17:17:00Z</dcterms:created>
  <dcterms:modified xsi:type="dcterms:W3CDTF">2024-12-27T17:57:20Z</dcterms:modified>
  <dc:language>pt-BR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0x0101006F4C49D281836D4E92FD382DEA1B6B69</vt:lpwstr>
  </property>
  <property fmtid="{D5CDD505-2E9C-101B-9397-08002B2CF9AE}" pid="3" name="ICV">
    <vt:lpwstr>47E515D2FD2A48E699BA43C32D47A141_12</vt:lpwstr>
  </property>
  <property fmtid="{D5CDD505-2E9C-101B-9397-08002B2CF9AE}" pid="4" name="KSOProductBuildVer">
    <vt:lpwstr>1046-12.2.0.13215</vt:lpwstr>
  </property>
</Properties>
</file>